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artados" sheetId="1" r:id="rId1"/>
  </sheets>
  <calcPr calcId="124519" fullCalcOnLoad="1"/>
</workbook>
</file>

<file path=xl/sharedStrings.xml><?xml version="1.0" encoding="utf-8"?>
<sst xmlns="http://schemas.openxmlformats.org/spreadsheetml/2006/main" count="93973" uniqueCount="45819">
  <si>
    <t>Carpeta de Origen</t>
  </si>
  <si>
    <t>Ruta Completa</t>
  </si>
  <si>
    <t>Acción</t>
  </si>
  <si>
    <t>Motivo del Descarte</t>
  </si>
  <si>
    <t>Fecha de Procesamiento</t>
  </si>
  <si>
    <t>ALIRO</t>
  </si>
  <si>
    <t>MALENTIN KARIME</t>
  </si>
  <si>
    <t>C:\Users\franc\OneDrive\Documentos\ALIRO\ALIRO\KATHY\ANA LUISA 2010\POSESION EFECTIVA\AMPLIACION  POSESION EFECTIVA CATALINA PAOLINI MERELLO.doc</t>
  </si>
  <si>
    <t>C:\Users\franc\OneDrive\Documentos\ALIRO\ALIRO\KATHY\ANA LUISA 2010\PEDIMENTOS\URANO.doc</t>
  </si>
  <si>
    <t>C:\Users\franc\OneDrive\Documentos\ALIRO\ALIRO\KATHY\ANA LUISA 2010\PEDIMENTOS\TOQUI 58.doc</t>
  </si>
  <si>
    <t>C:\Users\franc\OneDrive\Documentos\ALIRO\ALIRO\KATHY\ANA LUISA 2010\PEDIMENTOS\TOQUI 57.doc</t>
  </si>
  <si>
    <t>C:\Users\franc\OneDrive\Documentos\ALIRO\ALIRO\KATHY\ANA LUISA 2010\PEDIMENTOS\TOQUI 53.doc</t>
  </si>
  <si>
    <t>C:\Users\franc\OneDrive\Documentos\ALIRO\ALIRO\KATHY\ANA LUISA 2010\PEDIMENTOS\TOQUI 52.doc</t>
  </si>
  <si>
    <t>C:\Users\franc\OneDrive\Documentos\ALIRO\ALIRO\KATHY\ANA LUISA 2010\PEDIMENTOS\TOQUI 51.doc</t>
  </si>
  <si>
    <t>C:\Users\franc\OneDrive\Documentos\ALIRO\ALIRO\KATHY\ANA LUISA 2010\PEDIMENTOS\TOQUI 45.doc</t>
  </si>
  <si>
    <t>C:\Users\franc\OneDrive\Documentos\ALIRO\ALIRO\KATHY\ANA LUISA 2010\PEDIMENTOS\TOQUI 44.doc</t>
  </si>
  <si>
    <t>C:\Users\franc\OneDrive\Documentos\ALIRO\ALIRO\KATHY\ANA LUISA 2010\PEDIMENTOS\TOQUI 43.doc</t>
  </si>
  <si>
    <t>C:\Users\franc\OneDrive\Documentos\ALIRO\ALIRO\KATHY\ANA LUISA 2010\PEDIMENTOS\TOQUI 42.doc</t>
  </si>
  <si>
    <t>C:\Users\franc\OneDrive\Documentos\ALIRO\ALIRO\KATHY\ANA LUISA 2010\PEDIMENTOS\TOQUI 41.doc</t>
  </si>
  <si>
    <t>C:\Users\franc\OneDrive\Documentos\ALIRO\ALIRO\KATHY\ANA LUISA 2010\PEDIMENTOS\TOQUI 40.doc</t>
  </si>
  <si>
    <t>C:\Users\franc\OneDrive\Documentos\ALIRO\ALIRO\KATHY\ANA LUISA 2010\PEDIMENTOS\TOQUI 39.doc</t>
  </si>
  <si>
    <t>C:\Users\franc\OneDrive\Documentos\ALIRO\ALIRO\KATHY\ANA LUISA 2010\PEDIMENTOS\TOQUI 38.doc</t>
  </si>
  <si>
    <t>C:\Users\franc\OneDrive\Documentos\ALIRO\ALIRO\KATHY\ANA LUISA 2010\PEDIMENTOS\TOQUI 37.doc</t>
  </si>
  <si>
    <t>C:\Users\franc\OneDrive\Documentos\ALIRO\ALIRO\KATHY\ANA LUISA 2010\PEDIMENTOS\TOQUI 36.doc</t>
  </si>
  <si>
    <t>C:\Users\franc\OneDrive\Documentos\ALIRO\ALIRO\KATHY\ANA LUISA 2010\PEDIMENTOS\TOQUI 35.doc</t>
  </si>
  <si>
    <t>C:\Users\franc\OneDrive\Documentos\ALIRO\ALIRO\KATHY\ANA LUISA 2010\PEDIMENTOS\TOQUI 34.doc</t>
  </si>
  <si>
    <t>C:\Users\franc\OneDrive\Documentos\ALIRO\ALIRO\KATHY\ANA LUISA 2010\PEDIMENTOS\TOQUI 33.doc</t>
  </si>
  <si>
    <t>C:\Users\franc\OneDrive\Documentos\ALIRO\ALIRO\KATHY\ANA LUISA 2010\PEDIMENTOS\TOQUI 32.doc</t>
  </si>
  <si>
    <t>C:\Users\franc\OneDrive\Documentos\ALIRO\ALIRO\KATHY\ANA LUISA 2010\PEDIMENTOS\TOQUI 31.doc</t>
  </si>
  <si>
    <t>C:\Users\franc\OneDrive\Documentos\ALIRO\ALIRO\KATHY\ANA LUISA 2010\PEDIMENTOS\TOQUI 30.doc</t>
  </si>
  <si>
    <t>C:\Users\franc\OneDrive\Documentos\ALIRO\ALIRO\KATHY\ANA LUISA 2010\PEDIMENTOS\TOQUI 29.doc</t>
  </si>
  <si>
    <t>C:\Users\franc\OneDrive\Documentos\ALIRO\ALIRO\KATHY\ANA LUISA 2010\PEDIMENTOS\TOQUI 28.doc</t>
  </si>
  <si>
    <t>C:\Users\franc\OneDrive\Documentos\ALIRO\ALIRO\KATHY\ANA LUISA 2010\PEDIMENTOS\TOQUI 27.doc</t>
  </si>
  <si>
    <t>C:\Users\franc\OneDrive\Documentos\ALIRO\ALIRO\KATHY\ANA LUISA 2010\PEDIMENTOS\TOQUI 26.doc</t>
  </si>
  <si>
    <t>C:\Users\franc\OneDrive\Documentos\ALIRO\ALIRO\KATHY\ANA LUISA 2010\PEDIMENTOS\TOQUI 25.doc</t>
  </si>
  <si>
    <t>C:\Users\franc\OneDrive\Documentos\ALIRO\ALIRO\KATHY\ANA LUISA 2010\PEDIMENTOS\TOQUI 24.doc</t>
  </si>
  <si>
    <t>C:\Users\franc\OneDrive\Documentos\ALIRO\ALIRO\KATHY\ANA LUISA 2010\PEDIMENTOS\TOQUI 23.doc</t>
  </si>
  <si>
    <t>C:\Users\franc\OneDrive\Documentos\ALIRO\ALIRO\KATHY\ANA LUISA 2010\PEDIMENTOS\TOQUI 22.doc</t>
  </si>
  <si>
    <t>C:\Users\franc\OneDrive\Documentos\ALIRO\ALIRO\KATHY\ANA LUISA 2010\PEDIMENTOS\TOQUI 21.doc</t>
  </si>
  <si>
    <t>C:\Users\franc\OneDrive\Documentos\ALIRO\ALIRO\KATHY\ANA LUISA 2010\PEDIMENTOS\TOQUI 20.doc</t>
  </si>
  <si>
    <t>C:\Users\franc\OneDrive\Documentos\ALIRO\ALIRO\KATHY\ANA LUISA 2010\PEDIMENTOS\TOQUI 19.doc</t>
  </si>
  <si>
    <t>C:\Users\franc\OneDrive\Documentos\ALIRO\ALIRO\KATHY\ANA LUISA 2010\PEDIMENTOS\TOQUI 18.doc</t>
  </si>
  <si>
    <t>C:\Users\franc\OneDrive\Documentos\ALIRO\ALIRO\KATHY\ANA LUISA 2010\PEDIMENTOS\TOQUI 17.doc</t>
  </si>
  <si>
    <t>C:\Users\franc\OneDrive\Documentos\ALIRO\ALIRO\KATHY\ANA LUISA 2010\PEDIMENTOS\TOQUI 16.doc</t>
  </si>
  <si>
    <t>C:\Users\franc\OneDrive\Documentos\ALIRO\ALIRO\KATHY\ANA LUISA 2010\PEDIMENTOS\TOQUI 15.doc</t>
  </si>
  <si>
    <t>C:\Users\franc\OneDrive\Documentos\ALIRO\ALIRO\KATHY\ANA LUISA 2010\PEDIMENTOS\TOQUI 14.doc</t>
  </si>
  <si>
    <t>C:\Users\franc\OneDrive\Documentos\ALIRO\ALIRO\KATHY\ANA LUISA 2010\PEDIMENTOS\TOQUI 13.doc</t>
  </si>
  <si>
    <t>C:\Users\franc\OneDrive\Documentos\ALIRO\ALIRO\KATHY\ANA LUISA 2010\PEDIMENTOS\TOQUI 12.doc</t>
  </si>
  <si>
    <t>C:\Users\franc\OneDrive\Documentos\ALIRO\ALIRO\KATHY\ANA LUISA 2010\PEDIMENTOS\TOQUI 11.doc</t>
  </si>
  <si>
    <t>C:\Users\franc\OneDrive\Documentos\ALIRO\ALIRO\KATHY\ANA LUISA 2010\PEDIMENTOS\SECA 9  -    PRIMER JUZGADO.doc</t>
  </si>
  <si>
    <t>C:\Users\franc\OneDrive\Documentos\ALIRO\ALIRO\KATHY\ANA LUISA 2010\PEDIMENTOS\SECA 8  -    PRIMER JUZGADO.doc</t>
  </si>
  <si>
    <t>C:\Users\franc\OneDrive\Documentos\ALIRO\ALIRO\KATHY\ANA LUISA 2010\PEDIMENTOS\SECA 7  -    PRIMER JUZGADO.doc</t>
  </si>
  <si>
    <t>C:\Users\franc\OneDrive\Documentos\ALIRO\ALIRO\KATHY\ANA LUISA 2010\PEDIMENTOS\SECA 6  -    PRIMER JUZGADO.doc</t>
  </si>
  <si>
    <t>C:\Users\franc\OneDrive\Documentos\ALIRO\ALIRO\KATHY\ANA LUISA 2010\PEDIMENTOS\SECA 5  -    PRIMER JUZGADO.doc</t>
  </si>
  <si>
    <t>C:\Users\franc\OneDrive\Documentos\ALIRO\ALIRO\KATHY\ANA LUISA 2010\PEDIMENTOS\SECA 4  -    PRIMER JUZGADO.doc</t>
  </si>
  <si>
    <t>C:\Users\franc\OneDrive\Documentos\ALIRO\ALIRO\KATHY\ANA LUISA 2010\PEDIMENTOS\SECA 33  -    1º JUZGADO.doc</t>
  </si>
  <si>
    <t>C:\Users\franc\OneDrive\Documentos\ALIRO\ALIRO\KATHY\ANA LUISA 2010\PEDIMENTOS\SECA 32  -    1º JUZGADO.doc</t>
  </si>
  <si>
    <t>C:\Users\franc\OneDrive\Documentos\ALIRO\ALIRO\KATHY\ANA LUISA 2010\PEDIMENTOS\SECA 31  -    1º JUZGADO.doc</t>
  </si>
  <si>
    <t>C:\Users\franc\OneDrive\Documentos\ALIRO\ALIRO\KATHY\ANA LUISA 2010\PEDIMENTOS\SECA 30  -    1º JUZGADO.doc</t>
  </si>
  <si>
    <t>C:\Users\franc\OneDrive\Documentos\ALIRO\ALIRO\KATHY\ANA LUISA 2010\PEDIMENTOS\SECA 3  -    PRIMER JUZGADO.doc</t>
  </si>
  <si>
    <t>C:\Users\franc\OneDrive\Documentos\ALIRO\ALIRO\KATHY\ANA LUISA 2010\PEDIMENTOS\SECA 29  -    1º JUZGADO.doc</t>
  </si>
  <si>
    <t>C:\Users\franc\OneDrive\Documentos\ALIRO\ALIRO\KATHY\ANA LUISA 2010\PEDIMENTOS\SECA 28  -    1º JUZGADO.doc</t>
  </si>
  <si>
    <t>C:\Users\franc\OneDrive\Documentos\ALIRO\ALIRO\KATHY\ANA LUISA 2010\PEDIMENTOS\SECA 27  -    1º JUZGADO.doc</t>
  </si>
  <si>
    <t>C:\Users\franc\OneDrive\Documentos\ALIRO\ALIRO\KATHY\ANA LUISA 2010\PEDIMENTOS\SECA 26  -    1º JUZGADO.doc</t>
  </si>
  <si>
    <t>C:\Users\franc\OneDrive\Documentos\ALIRO\ALIRO\KATHY\ANA LUISA 2010\PEDIMENTOS\SECA 25  -    1º JUZGADO.doc</t>
  </si>
  <si>
    <t>C:\Users\franc\OneDrive\Documentos\ALIRO\ALIRO\KATHY\ANA LUISA 2010\PEDIMENTOS\SECA 24  -    1º JUZGADO.doc</t>
  </si>
  <si>
    <t>C:\Users\franc\OneDrive\Documentos\ALIRO\ALIRO\KATHY\ANA LUISA 2010\PEDIMENTOS\SECA 23  -    1º JUZGADO.doc</t>
  </si>
  <si>
    <t>C:\Users\franc\OneDrive\Documentos\ALIRO\ALIRO\KATHY\ANA LUISA 2010\PEDIMENTOS\SECA 22  -    1º JUZGADO.doc</t>
  </si>
  <si>
    <t>C:\Users\franc\OneDrive\Documentos\ALIRO\ALIRO\KATHY\ANA LUISA 2010\PEDIMENTOS\SECA 21  (PRIMER JUZGADO).doc</t>
  </si>
  <si>
    <t>C:\Users\franc\OneDrive\Documentos\ALIRO\ALIRO\KATHY\ANA LUISA 2010\PEDIMENTOS\SECA 2  -    PRIMER JUZGADO.doc</t>
  </si>
  <si>
    <t>C:\Users\franc\OneDrive\Documentos\ALIRO\ALIRO\KATHY\ANA LUISA 2010\PEDIMENTOS\SECA 18  -    1º JUZGADO.doc</t>
  </si>
  <si>
    <t>C:\Users\franc\OneDrive\Documentos\ALIRO\ALIRO\KATHY\ANA LUISA 2010\PEDIMENTOS\SECA 17  -    1º JUZGADO.doc</t>
  </si>
  <si>
    <t>C:\Users\franc\OneDrive\Documentos\ALIRO\ALIRO\KATHY\ANA LUISA 2010\PEDIMENTOS\SECA 16  -    1º JUZGADO.doc</t>
  </si>
  <si>
    <t>C:\Users\franc\OneDrive\Documentos\ALIRO\ALIRO\KATHY\ANA LUISA 2010\PEDIMENTOS\SECA 15  -    1º JUZGADO.doc</t>
  </si>
  <si>
    <t>C:\Users\franc\OneDrive\Documentos\ALIRO\ALIRO\KATHY\ANA LUISA 2010\PEDIMENTOS\SECA 14  -    1º JUZGADO.doc</t>
  </si>
  <si>
    <t>C:\Users\franc\OneDrive\Documentos\ALIRO\ALIRO\KATHY\ANA LUISA 2010\PEDIMENTOS\SECA 13  -    PRIMER JUZGADO.doc</t>
  </si>
  <si>
    <t>C:\Users\franc\OneDrive\Documentos\ALIRO\ALIRO\KATHY\ANA LUISA 2010\PEDIMENTOS\SECA 13  -    1º JUZGADO.doc</t>
  </si>
  <si>
    <t>C:\Users\franc\OneDrive\Documentos\ALIRO\ALIRO\KATHY\ANA LUISA 2010\PEDIMENTOS\SECA 12  -    PRIMER JUZGADO.doc</t>
  </si>
  <si>
    <t>C:\Users\franc\OneDrive\Documentos\ALIRO\ALIRO\KATHY\ANA LUISA 2010\PEDIMENTOS\SECA 11  -    PRIMER JUZGADO.doc</t>
  </si>
  <si>
    <t>C:\Users\franc\OneDrive\Documentos\ALIRO\ALIRO\KATHY\ANA LUISA 2010\PEDIMENTOS\SECA 10  -    PRIMER JUZGADO.doc</t>
  </si>
  <si>
    <t>C:\Users\franc\OneDrive\Documentos\ALIRO\ALIRO\KATHY\ANA LUISA 2010\PEDIMENTOS\SECA 1  -    PRIMER JUZGADO.doc</t>
  </si>
  <si>
    <t>C:\Users\franc\OneDrive\Documentos\ALIRO\ALIRO\KATHY\ANA LUISA 2010\PEDIMENTOS\SAUCE 25.doc</t>
  </si>
  <si>
    <t>C:\Users\franc\OneDrive\Documentos\ALIRO\ALIRO\KATHY\ANA LUISA 2010\PEDIMENTOS\SAUCE 24.doc</t>
  </si>
  <si>
    <t>C:\Users\franc\OneDrive\Documentos\ALIRO\ALIRO\KATHY\ANA LUISA 2010\PEDIMENTOS\SAUCE 23.doc</t>
  </si>
  <si>
    <t>C:\Users\franc\OneDrive\Documentos\ALIRO\ALIRO\KATHY\ANA LUISA 2010\PEDIMENTOS\SAUCE 22.doc</t>
  </si>
  <si>
    <t>C:\Users\franc\OneDrive\Documentos\ALIRO\ALIRO\KATHY\ANA LUISA 2010\PEDIMENTOS\SAUCE 21.doc</t>
  </si>
  <si>
    <t>C:\Users\franc\OneDrive\Documentos\ALIRO\ALIRO\KATHY\ANA LUISA 2010\PEDIMENTOS\SAUCE 20.doc</t>
  </si>
  <si>
    <t>C:\Users\franc\OneDrive\Documentos\ALIRO\ALIRO\KATHY\ANA LUISA 2010\PEDIMENTOS\SAUCE 19.doc</t>
  </si>
  <si>
    <t>C:\Users\franc\OneDrive\Documentos\ALIRO\ALIRO\KATHY\ANA LUISA 2010\PEDIMENTOS\SAUCE 18.doc</t>
  </si>
  <si>
    <t>C:\Users\franc\OneDrive\Documentos\ALIRO\ALIRO\KATHY\ANA LUISA 2010\PEDIMENTOS\SAUCE 17.doc</t>
  </si>
  <si>
    <t>C:\Users\franc\OneDrive\Documentos\ALIRO\ALIRO\KATHY\ANA LUISA 2010\PEDIMENTOS\SAUCE 16.doc</t>
  </si>
  <si>
    <t>C:\Users\franc\OneDrive\Documentos\ALIRO\ALIRO\KATHY\ANA LUISA 2010\PEDIMENTOS\SANTA ROSA 9 (PRIMER JUZGADO).doc</t>
  </si>
  <si>
    <t>C:\Users\franc\OneDrive\Documentos\ALIRO\ALIRO\KATHY\ANA LUISA 2010\PEDIMENTOS\SANTA ROSA 8 (PRIMER JUZGADO).doc</t>
  </si>
  <si>
    <t>C:\Users\franc\OneDrive\Documentos\ALIRO\ALIRO\KATHY\ANA LUISA 2010\PEDIMENTOS\SANTA ROSA 7 (PRIMER JUZGADO).doc</t>
  </si>
  <si>
    <t>C:\Users\franc\OneDrive\Documentos\ALIRO\ALIRO\KATHY\ANA LUISA 2010\PEDIMENTOS\SANTA ROSA 6 (PRIMER JUZGADO).doc</t>
  </si>
  <si>
    <t>C:\Users\franc\OneDrive\Documentos\ALIRO\ALIRO\KATHY\ANA LUISA 2010\PEDIMENTOS\SANTA ROSA 5 (PRIMER JUZGADO).doc</t>
  </si>
  <si>
    <t>C:\Users\franc\OneDrive\Documentos\ALIRO\ALIRO\KATHY\ANA LUISA 2010\PEDIMENTOS\SANTA ROSA 4 (PRIMER JUZGADO).doc</t>
  </si>
  <si>
    <t>C:\Users\franc\OneDrive\Documentos\ALIRO\ALIRO\KATHY\ANA LUISA 2010\PEDIMENTOS\SANTA ROSA 3 (PRIMER JUZGADO).doc</t>
  </si>
  <si>
    <t>C:\Users\franc\OneDrive\Documentos\ALIRO\ALIRO\KATHY\ANA LUISA 2010\PEDIMENTOS\SANTA ROSA 2 (PRIMER JUZGADO).doc</t>
  </si>
  <si>
    <t>C:\Users\franc\OneDrive\Documentos\ALIRO\ALIRO\KATHY\ANA LUISA 2010\PEDIMENTOS\SANTA ROSA 1 (PRIMER JUZGADO).doc</t>
  </si>
  <si>
    <t>C:\Users\franc\OneDrive\Documentos\ALIRO\ALIRO\KATHY\ANA LUISA 2010\PEDIMENTOS\SAN AGUSTIN 47 -  MIGUEL NENADOVICH  - 3º  JUZGADO.doc</t>
  </si>
  <si>
    <t>C:\Users\franc\OneDrive\Documentos\ALIRO\ALIRO\KATHY\ANA LUISA 2010\PEDIMENTOS\SAN AGUSTIN 46 -  MIGUEL NENADOVICH  - 3º  JUZGADO.doc</t>
  </si>
  <si>
    <t>C:\Users\franc\OneDrive\Documentos\ALIRO\ALIRO\KATHY\ANA LUISA 2010\PEDIMENTOS\SAN AGUSTIN 45 -  MIGUEL NENADOVICH  - 3º  JUZGADO.doc</t>
  </si>
  <si>
    <t>C:\Users\franc\OneDrive\Documentos\ALIRO\ALIRO\KATHY\ANA LUISA 2010\PEDIMENTOS\SAN AGUSTIN 44 -  MIGUEL NENADOVICH  - 3º  JUZGADO.doc</t>
  </si>
  <si>
    <t>C:\Users\franc\OneDrive\Documentos\ALIRO\ALIRO\KATHY\ANA LUISA 2010\PEDIMENTOS\SAN AGUSTIN 43 -  MIGUEL NENADOVICH  - 3º  JUZGADO.doc</t>
  </si>
  <si>
    <t>C:\Users\franc\OneDrive\Documentos\ALIRO\ALIRO\KATHY\ANA LUISA 2010\PEDIMENTOS\SAN AGUSTIN 42 -  MIGUEL NENADOVICH  - 3º  JUZGADO.doc</t>
  </si>
  <si>
    <t>C:\Users\franc\OneDrive\Documentos\ALIRO\ALIRO\KATHY\ANA LUISA 2010\PEDIMENTOS\SAN AGUSTIN 41 -  MIGUEL NENADOVICH  - 3º  JUZGADO.doc</t>
  </si>
  <si>
    <t>C:\Users\franc\OneDrive\Documentos\ALIRO\ALIRO\KATHY\ANA LUISA 2010\PEDIMENTOS\SALALA UF - 9.doc</t>
  </si>
  <si>
    <t>C:\Users\franc\OneDrive\Documentos\ALIRO\ALIRO\KATHY\ANA LUISA 2010\PEDIMENTOS\SALALA UF - 8.doc</t>
  </si>
  <si>
    <t>C:\Users\franc\OneDrive\Documentos\ALIRO\ALIRO\KATHY\ANA LUISA 2010\PEDIMENTOS\SALALA UF - 7.doc</t>
  </si>
  <si>
    <t>C:\Users\franc\OneDrive\Documentos\ALIRO\ALIRO\KATHY\ANA LUISA 2010\PEDIMENTOS\SALALA UF - 6.doc</t>
  </si>
  <si>
    <t>C:\Users\franc\OneDrive\Documentos\ALIRO\ALIRO\KATHY\ANA LUISA 2010\PEDIMENTOS\SALALA UF - 5.doc</t>
  </si>
  <si>
    <t>C:\Users\franc\OneDrive\Documentos\ALIRO\ALIRO\KATHY\ANA LUISA 2010\PEDIMENTOS\SALALA UF - 4.doc</t>
  </si>
  <si>
    <t>C:\Users\franc\OneDrive\Documentos\ALIRO\ALIRO\KATHY\ANA LUISA 2010\PEDIMENTOS\SALALA UF - 3.doc</t>
  </si>
  <si>
    <t>C:\Users\franc\OneDrive\Documentos\ALIRO\ALIRO\KATHY\ANA LUISA 2010\PEDIMENTOS\SALALA UF - 2.doc</t>
  </si>
  <si>
    <t>C:\Users\franc\OneDrive\Documentos\ALIRO\ALIRO\KATHY\ANA LUISA 2010\PEDIMENTOS\SALALA UF - 12.doc</t>
  </si>
  <si>
    <t>C:\Users\franc\OneDrive\Documentos\ALIRO\ALIRO\KATHY\ANA LUISA 2010\PEDIMENTOS\SALALA UF - 11.doc</t>
  </si>
  <si>
    <t>C:\Users\franc\OneDrive\Documentos\ALIRO\ALIRO\KATHY\ANA LUISA 2010\PEDIMENTOS\SALALA UF - 10.doc</t>
  </si>
  <si>
    <t>C:\Users\franc\OneDrive\Documentos\ALIRO\ALIRO\KATHY\ANA LUISA 2010\PEDIMENTOS\SALALA UF - 1.doc</t>
  </si>
  <si>
    <t>C:\Users\franc\OneDrive\Documentos\ALIRO\ALIRO\KATHY\ANA LUISA 2010\PEDIMENTOS\ROSA 2.doc</t>
  </si>
  <si>
    <t>C:\Users\franc\OneDrive\Documentos\ALIRO\ALIRO\KATHY\ANA LUISA 2010\PEDIMENTOS\ROSA 1.doc</t>
  </si>
  <si>
    <t>C:\Users\franc\OneDrive\Documentos\ALIRO\ALIRO\KATHY\ANA LUISA 2010\PEDIMENTOS\ROCIO UNO.doc</t>
  </si>
  <si>
    <t>C:\Users\franc\OneDrive\Documentos\ALIRO\ALIRO\KATHY\ANA LUISA 2010\PEDIMENTOS\RATONES TRES.doc</t>
  </si>
  <si>
    <t>C:\Users\franc\OneDrive\Documentos\ALIRO\ALIRO\KATHY\ANA LUISA 2010\PEDIMENTOS\QUISCO 44.doc</t>
  </si>
  <si>
    <t>C:\Users\franc\OneDrive\Documentos\ALIRO\ALIRO\KATHY\ANA LUISA 2010\PEDIMENTOS\QUISCO 43.doc</t>
  </si>
  <si>
    <t>C:\Users\franc\OneDrive\Documentos\ALIRO\ALIRO\KATHY\ANA LUISA 2010\PEDIMENTOS\QUISCO 42.doc</t>
  </si>
  <si>
    <t>C:\Users\franc\OneDrive\Documentos\ALIRO\ALIRO\KATHY\ANA LUISA 2010\PEDIMENTOS\QUISCO 41.doc</t>
  </si>
  <si>
    <t>C:\Users\franc\OneDrive\Documentos\ALIRO\ALIRO\KATHY\ANA LUISA 2010\PEDIMENTOS\QUISCO 40.doc</t>
  </si>
  <si>
    <t>C:\Users\franc\OneDrive\Documentos\ALIRO\ALIRO\KATHY\ANA LUISA 2010\PEDIMENTOS\QUISCO 39.doc</t>
  </si>
  <si>
    <t>C:\Users\franc\OneDrive\Documentos\ALIRO\ALIRO\KATHY\ANA LUISA 2010\PEDIMENTOS\QUISCO 38.doc</t>
  </si>
  <si>
    <t>C:\Users\franc\OneDrive\Documentos\ALIRO\ALIRO\KATHY\ANA LUISA 2010\PEDIMENTOS\QUISCO 37.doc</t>
  </si>
  <si>
    <t>C:\Users\franc\OneDrive\Documentos\ALIRO\ALIRO\KATHY\ANA LUISA 2010\PEDIMENTOS\QUISCO 36.doc</t>
  </si>
  <si>
    <t>C:\Users\franc\OneDrive\Documentos\ALIRO\ALIRO\KATHY\ANA LUISA 2010\PEDIMENTOS\QUISCO 35.doc</t>
  </si>
  <si>
    <t>C:\Users\franc\OneDrive\Documentos\ALIRO\ALIRO\KATHY\ANA LUISA 2010\PEDIMENTOS\QUISCO 34.doc</t>
  </si>
  <si>
    <t>C:\Users\franc\OneDrive\Documentos\ALIRO\ALIRO\KATHY\ANA LUISA 2010\PEDIMENTOS\QUISCO 33.doc</t>
  </si>
  <si>
    <t>C:\Users\franc\OneDrive\Documentos\ALIRO\ALIRO\KATHY\ANA LUISA 2010\PEDIMENTOS\QUISCO 32.doc</t>
  </si>
  <si>
    <t>C:\Users\franc\OneDrive\Documentos\ALIRO\ALIRO\KATHY\ANA LUISA 2010\PEDIMENTOS\QUISCO 31.doc</t>
  </si>
  <si>
    <t>C:\Users\franc\OneDrive\Documentos\ALIRO\ALIRO\KATHY\ANA LUISA 2010\PEDIMENTOS\QUISCO 12.doc</t>
  </si>
  <si>
    <t>C:\Users\franc\OneDrive\Documentos\ALIRO\ALIRO\KATHY\ANA LUISA 2010\PEDIMENTOS\PLUTON.doc</t>
  </si>
  <si>
    <t>C:\Users\franc\OneDrive\Documentos\ALIRO\ALIRO\KATHY\ANA LUISA 2010\PEDIMENTOS\PLAYA 8.doc</t>
  </si>
  <si>
    <t>C:\Users\franc\OneDrive\Documentos\ALIRO\ALIRO\KATHY\ANA LUISA 2010\PEDIMENTOS\PLAYA 7.doc</t>
  </si>
  <si>
    <t>C:\Users\franc\OneDrive\Documentos\ALIRO\ALIRO\KATHY\ANA LUISA 2010\PEDIMENTOS\PLAYA 3.doc</t>
  </si>
  <si>
    <t>C:\Users\franc\OneDrive\Documentos\ALIRO\ALIRO\KATHY\ANA LUISA 2010\PEDIMENTOS\PLAYA 2.doc</t>
  </si>
  <si>
    <t>C:\Users\franc\OneDrive\Documentos\ALIRO\ALIRO\KATHY\ANA LUISA 2010\PEDIMENTOS\PLAYA 18.doc</t>
  </si>
  <si>
    <t>C:\Users\franc\OneDrive\Documentos\ALIRO\ALIRO\KATHY\ANA LUISA 2010\PEDIMENTOS\PLAYA 17.doc</t>
  </si>
  <si>
    <t>C:\Users\franc\OneDrive\Documentos\ALIRO\ALIRO\KATHY\ANA LUISA 2010\PEDIMENTOS\PLAYA 16.doc</t>
  </si>
  <si>
    <t>C:\Users\franc\OneDrive\Documentos\ALIRO\ALIRO\KATHY\ANA LUISA 2010\PEDIMENTOS\PLAYA 15.doc</t>
  </si>
  <si>
    <t>C:\Users\franc\OneDrive\Documentos\ALIRO\ALIRO\KATHY\ANA LUISA 2010\PEDIMENTOS\PLAYA 14.doc</t>
  </si>
  <si>
    <t>C:\Users\franc\OneDrive\Documentos\ALIRO\ALIRO\KATHY\ANA LUISA 2010\PEDIMENTOS\PLAYA 13.doc</t>
  </si>
  <si>
    <t>C:\Users\franc\OneDrive\Documentos\ALIRO\ALIRO\KATHY\ANA LUISA 2010\PEDIMENTOS\PLAYA 12.doc</t>
  </si>
  <si>
    <t>C:\Users\franc\OneDrive\Documentos\ALIRO\ALIRO\KATHY\ANA LUISA 2010\PEDIMENTOS\PLAYA 11.doc</t>
  </si>
  <si>
    <t>C:\Users\franc\OneDrive\Documentos\ALIRO\ALIRO\KATHY\ANA LUISA 2010\PEDIMENTOS\PLAYA 1.doc</t>
  </si>
  <si>
    <t>C:\Users\franc\OneDrive\Documentos\ALIRO\ALIRO\KATHY\ANA LUISA 2010\PEDIMENTOS\PABLO.doc</t>
  </si>
  <si>
    <t>C:\Users\franc\OneDrive\Documentos\ALIRO\ALIRO\KATHY\ANA LUISA 2010\PEDIMENTOS\NOLANA SEGUNDA  (PRIMER JUZGADO).doc</t>
  </si>
  <si>
    <t>C:\Users\franc\OneDrive\Documentos\ALIRO\ALIRO\KATHY\ANA LUISA 2010\PEDIMENTOS\NOLANA PRIMERA  (PRIMER JUZGADO).doc</t>
  </si>
  <si>
    <t>C:\Users\franc\OneDrive\Documentos\ALIRO\ALIRO\KATHY\ANA LUISA 2010\PEDIMENTOS\NATALIA UNO.doc</t>
  </si>
  <si>
    <t>C:\Users\franc\OneDrive\Documentos\ALIRO\ALIRO\KATHY\ANA LUISA 2010\PEDIMENTOS\NATALIA TRES.doc</t>
  </si>
  <si>
    <t>C:\Users\franc\OneDrive\Documentos\ALIRO\ALIRO\KATHY\ANA LUISA 2010\PEDIMENTOS\NATALIA SIETE.doc</t>
  </si>
  <si>
    <t>C:\Users\franc\OneDrive\Documentos\ALIRO\ALIRO\KATHY\ANA LUISA 2010\PEDIMENTOS\NATALIA SEIS.doc</t>
  </si>
  <si>
    <t>C:\Users\franc\OneDrive\Documentos\ALIRO\ALIRO\KATHY\ANA LUISA 2010\PEDIMENTOS\NATALIA OCHO.doc</t>
  </si>
  <si>
    <t>C:\Users\franc\OneDrive\Documentos\ALIRO\ALIRO\KATHY\ANA LUISA 2010\PEDIMENTOS\NATALIA DOS.doc</t>
  </si>
  <si>
    <t>C:\Users\franc\OneDrive\Documentos\ALIRO\ALIRO\KATHY\ANA LUISA 2010\PEDIMENTOS\NATALIA CUATRO.doc</t>
  </si>
  <si>
    <t>C:\Users\franc\OneDrive\Documentos\ALIRO\ALIRO\KATHY\ANA LUISA 2010\PEDIMENTOS\NATALIA CINCO.doc</t>
  </si>
  <si>
    <t>C:\Users\franc\OneDrive\Documentos\ALIRO\ALIRO\KATHY\ANA LUISA 2010\PEDIMENTOS\MONICA II 9.doc</t>
  </si>
  <si>
    <t>C:\Users\franc\OneDrive\Documentos\ALIRO\ALIRO\KATHY\ANA LUISA 2010\PEDIMENTOS\MONICA II 13.doc</t>
  </si>
  <si>
    <t>C:\Users\franc\OneDrive\Documentos\ALIRO\ALIRO\KATHY\ANA LUISA 2010\PEDIMENTOS\marte.doc</t>
  </si>
  <si>
    <t>C:\Users\franc\OneDrive\Documentos\ALIRO\ALIRO\KATHY\ANA LUISA 2010\PEDIMENTOS\MARIA PAULA I.doc</t>
  </si>
  <si>
    <t>C:\Users\franc\OneDrive\Documentos\ALIRO\ALIRO\KATHY\ANA LUISA 2010\PEDIMENTOS\MANGANESO SANTA BARBARA.doc</t>
  </si>
  <si>
    <t>C:\Users\franc\OneDrive\Documentos\ALIRO\ALIRO\KATHY\ANA LUISA 2010\PEDIMENTOS\MADURO 9.doc</t>
  </si>
  <si>
    <t>C:\Users\franc\OneDrive\Documentos\ALIRO\ALIRO\KATHY\ANA LUISA 2010\PEDIMENTOS\MADURO 8.doc</t>
  </si>
  <si>
    <t>C:\Users\franc\OneDrive\Documentos\ALIRO\ALIRO\KATHY\ANA LUISA 2010\PEDIMENTOS\MADURO 14.doc</t>
  </si>
  <si>
    <t>C:\Users\franc\OneDrive\Documentos\ALIRO\ALIRO\KATHY\ANA LUISA 2010\PEDIMENTOS\MADURO 13.doc</t>
  </si>
  <si>
    <t>C:\Users\franc\OneDrive\Documentos\ALIRO\ALIRO\KATHY\ANA LUISA 2010\PEDIMENTOS\MADURO 12.doc</t>
  </si>
  <si>
    <t>C:\Users\franc\OneDrive\Documentos\ALIRO\ALIRO\KATHY\ANA LUISA 2010\PEDIMENTOS\MADURO 11.doc</t>
  </si>
  <si>
    <t>C:\Users\franc\OneDrive\Documentos\ALIRO\ALIRO\KATHY\ANA LUISA 2010\PEDIMENTOS\MADURO 10.doc</t>
  </si>
  <si>
    <t>C:\Users\franc\OneDrive\Documentos\ALIRO\ALIRO\KATHY\ANA LUISA 2010\PEDIMENTOS\LOS PISCOLEROS UNO.doc</t>
  </si>
  <si>
    <t>C:\Users\franc\OneDrive\Documentos\ALIRO\ALIRO\KATHY\ANA LUISA 2010\PEDIMENTOS\LOS PISCOLEROS 2.doc</t>
  </si>
  <si>
    <t>C:\Users\franc\OneDrive\Documentos\ALIRO\ALIRO\KATHY\ANA LUISA 2010\PEDIMENTOS\LOS PISCOLEROS 1.doc</t>
  </si>
  <si>
    <t>C:\Users\franc\OneDrive\Documentos\ALIRO\ALIRO\KATHY\ANA LUISA 2010\PEDIMENTOS\LOMAS VIII  -    PRIMER JUZGADO.doc</t>
  </si>
  <si>
    <t>C:\Users\franc\OneDrive\Documentos\ALIRO\ALIRO\KATHY\ANA LUISA 2010\PEDIMENTOS\LOMAS VII  -    PRIMER JUZGADO.doc</t>
  </si>
  <si>
    <t>C:\Users\franc\OneDrive\Documentos\ALIRO\ALIRO\KATHY\ANA LUISA 2010\PEDIMENTOS\LOMAS VI  -    PRIMER JUZGADO.doc</t>
  </si>
  <si>
    <t>C:\Users\franc\OneDrive\Documentos\ALIRO\ALIRO\KATHY\ANA LUISA 2010\PEDIMENTOS\LOMAS V  -    PRIMER JUZGADO.doc</t>
  </si>
  <si>
    <t>C:\Users\franc\OneDrive\Documentos\ALIRO\ALIRO\KATHY\ANA LUISA 2010\PEDIMENTOS\LOMAS IV  -    PRIMER JUZGADO.doc</t>
  </si>
  <si>
    <t>C:\Users\franc\OneDrive\Documentos\ALIRO\ALIRO\KATHY\ANA LUISA 2010\PEDIMENTOS\LOMAS III  -    PRIMER JUZGADO.doc</t>
  </si>
  <si>
    <t>C:\Users\franc\OneDrive\Documentos\ALIRO\ALIRO\KATHY\ANA LUISA 2010\PEDIMENTOS\LOMAS II  -    PRIMER JUZGADO.doc</t>
  </si>
  <si>
    <t>C:\Users\franc\OneDrive\Documentos\ALIRO\ALIRO\KATHY\ANA LUISA 2010\PEDIMENTOS\LOMAS I  -    PRIMER JUZGADO.doc</t>
  </si>
  <si>
    <t>C:\Users\franc\OneDrive\Documentos\ALIRO\ALIRO\KATHY\ANA LUISA 2010\PEDIMENTOS\LLANOS 6 -    PRIMER JUZGADO.doc</t>
  </si>
  <si>
    <t>C:\Users\franc\OneDrive\Documentos\ALIRO\ALIRO\KATHY\ANA LUISA 2010\PEDIMENTOS\LLANOS 5 -    PRIMER JUZGADO.doc</t>
  </si>
  <si>
    <t>C:\Users\franc\OneDrive\Documentos\ALIRO\ALIRO\KATHY\ANA LUISA 2010\PEDIMENTOS\LLANOS 4 -    PRIMER JUZGADO.doc</t>
  </si>
  <si>
    <t>C:\Users\franc\OneDrive\Documentos\ALIRO\ALIRO\KATHY\ANA LUISA 2010\PEDIMENTOS\LLANOS 3 -    PRIMER JUZGADO.doc</t>
  </si>
  <si>
    <t>C:\Users\franc\OneDrive\Documentos\ALIRO\ALIRO\KATHY\ANA LUISA 2010\PEDIMENTOS\LLANOS 2 -    PRIMER JUZGADO.doc</t>
  </si>
  <si>
    <t>C:\Users\franc\OneDrive\Documentos\ALIRO\ALIRO\KATHY\ANA LUISA 2010\PEDIMENTOS\LLANOS 1 -    PRIMER JUZGADO.doc</t>
  </si>
  <si>
    <t>C:\Users\franc\OneDrive\Documentos\ALIRO\ALIRO\KATHY\ANA LUISA 2010\PEDIMENTOS\LANGOSTA 7   TERCER JUZGADO.doc</t>
  </si>
  <si>
    <t>C:\Users\franc\OneDrive\Documentos\ALIRO\ALIRO\KATHY\ANA LUISA 2010\PEDIMENTOS\LANGOSTA 6   TERCER JUZGADO.doc</t>
  </si>
  <si>
    <t>C:\Users\franc\OneDrive\Documentos\ALIRO\ALIRO\KATHY\ANA LUISA 2010\PEDIMENTOS\LANGOSTA 5   TERCER JUZGADO.doc</t>
  </si>
  <si>
    <t>C:\Users\franc\OneDrive\Documentos\ALIRO\ALIRO\KATHY\ANA LUISA 2010\PEDIMENTOS\LANGOSTA 4   TERCER JUZGADO.doc</t>
  </si>
  <si>
    <t>C:\Users\franc\OneDrive\Documentos\ALIRO\ALIRO\KATHY\ANA LUISA 2010\PEDIMENTOS\LANGOSTA 3    TERCER JUZGADO.doc</t>
  </si>
  <si>
    <t>C:\Users\franc\OneDrive\Documentos\ALIRO\ALIRO\KATHY\ANA LUISA 2010\PEDIMENTOS\LANGOSTA 2    TERCER JUZGADO.doc</t>
  </si>
  <si>
    <t>C:\Users\franc\OneDrive\Documentos\ALIRO\ALIRO\KATHY\ANA LUISA 2010\PEDIMENTOS\LA TOTORA.doc</t>
  </si>
  <si>
    <t>C:\Users\franc\OneDrive\Documentos\ALIRO\ALIRO\KATHY\ANA LUISA 2010\PEDIMENTOS\LA PUNTA UNA.doc</t>
  </si>
  <si>
    <t>C:\Users\franc\OneDrive\Documentos\ALIRO\ALIRO\KATHY\ANA LUISA 2010\PEDIMENTOS\KASANDRA II  9.doc</t>
  </si>
  <si>
    <t>C:\Users\franc\OneDrive\Documentos\ALIRO\ALIRO\KATHY\ANA LUISA 2010\PEDIMENTOS\KASANDRA II  6.doc</t>
  </si>
  <si>
    <t>C:\Users\franc\OneDrive\Documentos\ALIRO\ALIRO\KATHY\ANA LUISA 2010\PEDIMENTOS\KASANDRA II  5.doc</t>
  </si>
  <si>
    <t>C:\Users\franc\OneDrive\Documentos\ALIRO\ALIRO\KATHY\ANA LUISA 2010\PEDIMENTOS\KASANDRA II  4.doc</t>
  </si>
  <si>
    <t>C:\Users\franc\OneDrive\Documentos\ALIRO\ALIRO\KATHY\ANA LUISA 2010\PEDIMENTOS\KASANDRA II  3.doc</t>
  </si>
  <si>
    <t>C:\Users\franc\OneDrive\Documentos\ALIRO\ALIRO\KATHY\ANA LUISA 2010\PEDIMENTOS\KASANDRA II  2.doc</t>
  </si>
  <si>
    <t>C:\Users\franc\OneDrive\Documentos\ALIRO\ALIRO\KATHY\ANA LUISA 2010\PEDIMENTOS\KASANDRA II  14.doc</t>
  </si>
  <si>
    <t>C:\Users\franc\OneDrive\Documentos\ALIRO\ALIRO\KATHY\ANA LUISA 2010\PEDIMENTOS\KASANDRA II  13.doc</t>
  </si>
  <si>
    <t>C:\Users\franc\OneDrive\Documentos\ALIRO\ALIRO\KATHY\ANA LUISA 2010\PEDIMENTOS\KASANDRA II  11.doc</t>
  </si>
  <si>
    <t>C:\Users\franc\OneDrive\Documentos\ALIRO\ALIRO\KATHY\ANA LUISA 2010\PEDIMENTOS\KASANDRA II  1.doc</t>
  </si>
  <si>
    <t>C:\Users\franc\OneDrive\Documentos\ALIRO\ALIRO\KATHY\ANA LUISA 2010\PEDIMENTOS\JAVIERA UNO.doc</t>
  </si>
  <si>
    <t>C:\Users\franc\OneDrive\Documentos\ALIRO\ALIRO\KATHY\ANA LUISA 2010\PEDIMENTOS\JAVIERA 9.doc</t>
  </si>
  <si>
    <t>C:\Users\franc\OneDrive\Documentos\ALIRO\ALIRO\KATHY\ANA LUISA 2010\PEDIMENTOS\JAVIERA 8.doc</t>
  </si>
  <si>
    <t>C:\Users\franc\OneDrive\Documentos\ALIRO\ALIRO\KATHY\ANA LUISA 2010\PEDIMENTOS\JAVIERA 7.doc</t>
  </si>
  <si>
    <t>C:\Users\franc\OneDrive\Documentos\ALIRO\ALIRO\KATHY\ANA LUISA 2010\PEDIMENTOS\JAVIERA 6.doc</t>
  </si>
  <si>
    <t>C:\Users\franc\OneDrive\Documentos\ALIRO\ALIRO\KATHY\ANA LUISA 2010\PEDIMENTOS\JAVIERA 5.doc</t>
  </si>
  <si>
    <t>C:\Users\franc\OneDrive\Documentos\ALIRO\ALIRO\KATHY\ANA LUISA 2010\PEDIMENTOS\JAVIERA 42.doc</t>
  </si>
  <si>
    <t>C:\Users\franc\OneDrive\Documentos\ALIRO\ALIRO\KATHY\ANA LUISA 2010\PEDIMENTOS\JAVIERA 41.doc</t>
  </si>
  <si>
    <t>C:\Users\franc\OneDrive\Documentos\ALIRO\ALIRO\KATHY\ANA LUISA 2010\PEDIMENTOS\JAVIERA 40.doc</t>
  </si>
  <si>
    <t>C:\Users\franc\OneDrive\Documentos\ALIRO\ALIRO\KATHY\ANA LUISA 2010\PEDIMENTOS\JAVIERA 4.doc</t>
  </si>
  <si>
    <t>C:\Users\franc\OneDrive\Documentos\ALIRO\ALIRO\KATHY\ANA LUISA 2010\PEDIMENTOS\JAVIERA 39.doc</t>
  </si>
  <si>
    <t>C:\Users\franc\OneDrive\Documentos\ALIRO\ALIRO\KATHY\ANA LUISA 2010\PEDIMENTOS\JAVIERA 38.doc</t>
  </si>
  <si>
    <t>C:\Users\franc\OneDrive\Documentos\ALIRO\ALIRO\KATHY\ANA LUISA 2010\PEDIMENTOS\JAVIERA 37.doc</t>
  </si>
  <si>
    <t>C:\Users\franc\OneDrive\Documentos\ALIRO\ALIRO\KATHY\ANA LUISA 2010\PEDIMENTOS\JAVIERA 36.doc</t>
  </si>
  <si>
    <t>C:\Users\franc\OneDrive\Documentos\ALIRO\ALIRO\KATHY\ANA LUISA 2010\PEDIMENTOS\JAVIERA 35.doc</t>
  </si>
  <si>
    <t>C:\Users\franc\OneDrive\Documentos\ALIRO\ALIRO\KATHY\ANA LUISA 2010\PEDIMENTOS\JAVIERA 34.doc</t>
  </si>
  <si>
    <t>C:\Users\franc\OneDrive\Documentos\ALIRO\ALIRO\KATHY\ANA LUISA 2010\PEDIMENTOS\JAVIERA 33.doc</t>
  </si>
  <si>
    <t>C:\Users\franc\OneDrive\Documentos\ALIRO\ALIRO\KATHY\ANA LUISA 2010\PEDIMENTOS\JAVIERA 32.doc</t>
  </si>
  <si>
    <t>C:\Users\franc\OneDrive\Documentos\ALIRO\ALIRO\KATHY\ANA LUISA 2010\PEDIMENTOS\JAVIERA 31.doc</t>
  </si>
  <si>
    <t>C:\Users\franc\OneDrive\Documentos\ALIRO\ALIRO\KATHY\ANA LUISA 2010\PEDIMENTOS\JAVIERA 30.doc</t>
  </si>
  <si>
    <t>C:\Users\franc\OneDrive\Documentos\ALIRO\ALIRO\KATHY\ANA LUISA 2010\PEDIMENTOS\JAVIERA 3.doc</t>
  </si>
  <si>
    <t>C:\Users\franc\OneDrive\Documentos\ALIRO\ALIRO\KATHY\ANA LUISA 2010\PEDIMENTOS\JAVIERA 29.doc</t>
  </si>
  <si>
    <t>C:\Users\franc\OneDrive\Documentos\ALIRO\ALIRO\KATHY\ANA LUISA 2010\PEDIMENTOS\JAVIERA 28.doc</t>
  </si>
  <si>
    <t>C:\Users\franc\OneDrive\Documentos\ALIRO\ALIRO\KATHY\ANA LUISA 2010\PEDIMENTOS\JAVIERA 27.doc</t>
  </si>
  <si>
    <t>C:\Users\franc\OneDrive\Documentos\ALIRO\ALIRO\KATHY\ANA LUISA 2010\PEDIMENTOS\JAVIERA 26.doc</t>
  </si>
  <si>
    <t>C:\Users\franc\OneDrive\Documentos\ALIRO\ALIRO\KATHY\ANA LUISA 2010\PEDIMENTOS\JAVIERA 25.doc</t>
  </si>
  <si>
    <t>C:\Users\franc\OneDrive\Documentos\ALIRO\ALIRO\KATHY\ANA LUISA 2010\PEDIMENTOS\JAVIERA 24.doc</t>
  </si>
  <si>
    <t>C:\Users\franc\OneDrive\Documentos\ALIRO\ALIRO\KATHY\ANA LUISA 2010\PEDIMENTOS\JAVIERA 23.doc</t>
  </si>
  <si>
    <t>C:\Users\franc\OneDrive\Documentos\ALIRO\ALIRO\KATHY\ANA LUISA 2010\PEDIMENTOS\JAVIERA 22.doc</t>
  </si>
  <si>
    <t>C:\Users\franc\OneDrive\Documentos\ALIRO\ALIRO\KATHY\ANA LUISA 2010\PEDIMENTOS\JAVIERA 21.doc</t>
  </si>
  <si>
    <t>C:\Users\franc\OneDrive\Documentos\ALIRO\ALIRO\KATHY\ANA LUISA 2010\PEDIMENTOS\JAVIERA 20.doc</t>
  </si>
  <si>
    <t>C:\Users\franc\OneDrive\Documentos\ALIRO\ALIRO\KATHY\ANA LUISA 2010\PEDIMENTOS\JAVIERA 2.doc</t>
  </si>
  <si>
    <t>C:\Users\franc\OneDrive\Documentos\ALIRO\ALIRO\KATHY\ANA LUISA 2010\PEDIMENTOS\JAVIERA 19.doc</t>
  </si>
  <si>
    <t>C:\Users\franc\OneDrive\Documentos\ALIRO\ALIRO\KATHY\ANA LUISA 2010\PEDIMENTOS\JAVIERA 18.doc</t>
  </si>
  <si>
    <t>C:\Users\franc\OneDrive\Documentos\ALIRO\ALIRO\KATHY\ANA LUISA 2010\PEDIMENTOS\JAVIERA 17.doc</t>
  </si>
  <si>
    <t>C:\Users\franc\OneDrive\Documentos\ALIRO\ALIRO\KATHY\ANA LUISA 2010\PEDIMENTOS\JAVIERA 16.doc</t>
  </si>
  <si>
    <t>C:\Users\franc\OneDrive\Documentos\ALIRO\ALIRO\KATHY\ANA LUISA 2010\PEDIMENTOS\JAVIERA 15.doc</t>
  </si>
  <si>
    <t>C:\Users\franc\OneDrive\Documentos\ALIRO\ALIRO\KATHY\ANA LUISA 2010\PEDIMENTOS\JAVIERA 14.doc</t>
  </si>
  <si>
    <t>C:\Users\franc\OneDrive\Documentos\ALIRO\ALIRO\KATHY\ANA LUISA 2010\PEDIMENTOS\JAVIERA 13.doc</t>
  </si>
  <si>
    <t>C:\Users\franc\OneDrive\Documentos\ALIRO\ALIRO\KATHY\ANA LUISA 2010\PEDIMENTOS\JAVIERA 12.doc</t>
  </si>
  <si>
    <t>C:\Users\franc\OneDrive\Documentos\ALIRO\ALIRO\KATHY\ANA LUISA 2010\PEDIMENTOS\JAVIERA 11.doc</t>
  </si>
  <si>
    <t>C:\Users\franc\OneDrive\Documentos\ALIRO\ALIRO\KATHY\ANA LUISA 2010\PEDIMENTOS\JAVIERA 10.doc</t>
  </si>
  <si>
    <t>C:\Users\franc\OneDrive\Documentos\ALIRO\ALIRO\KATHY\ANA LUISA 2010\PEDIMENTOS\JAVIERA 1.doc</t>
  </si>
  <si>
    <t>C:\Users\franc\OneDrive\Documentos\ALIRO\ALIRO\KATHY\ANA LUISA 2010\PEDIMENTOS\JANE PRIMERA (PRIMER JUZGADO).doc</t>
  </si>
  <si>
    <t>C:\Users\franc\OneDrive\Documentos\ALIRO\ALIRO\KATHY\ANA LUISA 2010\PEDIMENTOS\INCA VI.doc</t>
  </si>
  <si>
    <t>C:\Users\franc\OneDrive\Documentos\ALIRO\ALIRO\KATHY\ANA LUISA 2010\PEDIMENTOS\INCA V.doc</t>
  </si>
  <si>
    <t>C:\Users\franc\OneDrive\Documentos\ALIRO\ALIRO\KATHY\ANA LUISA 2010\PEDIMENTOS\INCA TERCERO.doc</t>
  </si>
  <si>
    <t>C:\Users\franc\OneDrive\Documentos\ALIRO\ALIRO\KATHY\ANA LUISA 2010\PEDIMENTOS\INCA SEGUNDO.doc</t>
  </si>
  <si>
    <t>C:\Users\franc\OneDrive\Documentos\ALIRO\ALIRO\KATHY\ANA LUISA 2010\PEDIMENTOS\INCA IV.doc</t>
  </si>
  <si>
    <t>C:\Users\franc\OneDrive\Documentos\ALIRO\ALIRO\KATHY\ANA LUISA 2010\PEDIMENTOS\INCA III.doc</t>
  </si>
  <si>
    <t>C:\Users\franc\OneDrive\Documentos\ALIRO\ALIRO\KATHY\ANA LUISA 2010\PEDIMENTOS\INCA II.doc</t>
  </si>
  <si>
    <t>C:\Users\franc\OneDrive\Documentos\ALIRO\ALIRO\KATHY\ANA LUISA 2010\PEDIMENTOS\INCA I.doc</t>
  </si>
  <si>
    <t>C:\Users\franc\OneDrive\Documentos\ALIRO\ALIRO\KATHY\ANA LUISA 2010\PEDIMENTOS\INCA CUARTO.doc</t>
  </si>
  <si>
    <t>C:\Users\franc\OneDrive\Documentos\ALIRO\ALIRO\KATHY\ANA LUISA 2010\PEDIMENTOS\INCA 2.doc</t>
  </si>
  <si>
    <t>C:\Users\franc\OneDrive\Documentos\ALIRO\ALIRO\KATHY\ANA LUISA 2010\PEDIMENTOS\HURTADO 41.doc</t>
  </si>
  <si>
    <t>C:\Users\franc\OneDrive\Documentos\ALIRO\ALIRO\KATHY\ANA LUISA 2010\PEDIMENTOS\HURTADO  9.doc</t>
  </si>
  <si>
    <t>C:\Users\franc\OneDrive\Documentos\ALIRO\ALIRO\KATHY\ANA LUISA 2010\PEDIMENTOS\HURTADO  8.doc</t>
  </si>
  <si>
    <t>C:\Users\franc\OneDrive\Documentos\ALIRO\ALIRO\KATHY\ANA LUISA 2010\PEDIMENTOS\HURTADO  7.doc</t>
  </si>
  <si>
    <t>C:\Users\franc\OneDrive\Documentos\ALIRO\ALIRO\KATHY\ANA LUISA 2010\PEDIMENTOS\HURTADO  6.doc</t>
  </si>
  <si>
    <t>C:\Users\franc\OneDrive\Documentos\ALIRO\ALIRO\KATHY\ANA LUISA 2010\PEDIMENTOS\HURTADO  56.doc</t>
  </si>
  <si>
    <t>C:\Users\franc\OneDrive\Documentos\ALIRO\ALIRO\KATHY\ANA LUISA 2010\PEDIMENTOS\HURTADO  55.doc</t>
  </si>
  <si>
    <t>C:\Users\franc\OneDrive\Documentos\ALIRO\ALIRO\KATHY\ANA LUISA 2010\PEDIMENTOS\HURTADO  54.doc</t>
  </si>
  <si>
    <t>C:\Users\franc\OneDrive\Documentos\ALIRO\ALIRO\KATHY\ANA LUISA 2010\PEDIMENTOS\HURTADO  53.doc</t>
  </si>
  <si>
    <t>C:\Users\franc\OneDrive\Documentos\ALIRO\ALIRO\KATHY\ANA LUISA 2010\PEDIMENTOS\HURTADO  52.doc</t>
  </si>
  <si>
    <t>C:\Users\franc\OneDrive\Documentos\ALIRO\ALIRO\KATHY\ANA LUISA 2010\PEDIMENTOS\HURTADO  51.doc</t>
  </si>
  <si>
    <t>C:\Users\franc\OneDrive\Documentos\ALIRO\ALIRO\KATHY\ANA LUISA 2010\PEDIMENTOS\HURTADO  50.doc</t>
  </si>
  <si>
    <t>C:\Users\franc\OneDrive\Documentos\ALIRO\ALIRO\KATHY\ANA LUISA 2010\PEDIMENTOS\HURTADO  5.doc</t>
  </si>
  <si>
    <t>C:\Users\franc\OneDrive\Documentos\ALIRO\ALIRO\KATHY\ANA LUISA 2010\PEDIMENTOS\HURTADO  49.doc</t>
  </si>
  <si>
    <t>C:\Users\franc\OneDrive\Documentos\ALIRO\ALIRO\KATHY\ANA LUISA 2010\PEDIMENTOS\HURTADO  48.doc</t>
  </si>
  <si>
    <t>C:\Users\franc\OneDrive\Documentos\ALIRO\ALIRO\KATHY\ANA LUISA 2010\PEDIMENTOS\HURTADO  47.doc</t>
  </si>
  <si>
    <t>C:\Users\franc\OneDrive\Documentos\ALIRO\ALIRO\KATHY\ANA LUISA 2010\PEDIMENTOS\HURTADO  46.doc</t>
  </si>
  <si>
    <t>C:\Users\franc\OneDrive\Documentos\ALIRO\ALIRO\KATHY\ANA LUISA 2010\PEDIMENTOS\HURTADO  45.doc</t>
  </si>
  <si>
    <t>C:\Users\franc\OneDrive\Documentos\ALIRO\ALIRO\KATHY\ANA LUISA 2010\PEDIMENTOS\HURTADO  44.doc</t>
  </si>
  <si>
    <t>C:\Users\franc\OneDrive\Documentos\ALIRO\ALIRO\KATHY\ANA LUISA 2010\PEDIMENTOS\HURTADO  43.doc</t>
  </si>
  <si>
    <t>C:\Users\franc\OneDrive\Documentos\ALIRO\ALIRO\KATHY\ANA LUISA 2010\PEDIMENTOS\HURTADO  42.doc</t>
  </si>
  <si>
    <t>C:\Users\franc\OneDrive\Documentos\ALIRO\ALIRO\KATHY\ANA LUISA 2010\PEDIMENTOS\HURTADO  41.doc</t>
  </si>
  <si>
    <t>C:\Users\franc\OneDrive\Documentos\ALIRO\ALIRO\KATHY\ANA LUISA 2010\PEDIMENTOS\HURTADO  40.doc</t>
  </si>
  <si>
    <t>C:\Users\franc\OneDrive\Documentos\ALIRO\ALIRO\KATHY\ANA LUISA 2010\PEDIMENTOS\HURTADO  4.doc</t>
  </si>
  <si>
    <t>C:\Users\franc\OneDrive\Documentos\ALIRO\ALIRO\KATHY\ANA LUISA 2010\PEDIMENTOS\HURTADO  39.doc</t>
  </si>
  <si>
    <t>C:\Users\franc\OneDrive\Documentos\ALIRO\ALIRO\KATHY\ANA LUISA 2010\PEDIMENTOS\HURTADO  38.doc</t>
  </si>
  <si>
    <t>C:\Users\franc\OneDrive\Documentos\ALIRO\ALIRO\KATHY\ANA LUISA 2010\PEDIMENTOS\HURTADO  37.doc</t>
  </si>
  <si>
    <t>C:\Users\franc\OneDrive\Documentos\ALIRO\ALIRO\KATHY\ANA LUISA 2010\PEDIMENTOS\HURTADO  36.doc</t>
  </si>
  <si>
    <t>C:\Users\franc\OneDrive\Documentos\ALIRO\ALIRO\KATHY\ANA LUISA 2010\PEDIMENTOS\HURTADO  35.doc</t>
  </si>
  <si>
    <t>C:\Users\franc\OneDrive\Documentos\ALIRO\ALIRO\KATHY\ANA LUISA 2010\PEDIMENTOS\HURTADO  34.doc</t>
  </si>
  <si>
    <t>C:\Users\franc\OneDrive\Documentos\ALIRO\ALIRO\KATHY\ANA LUISA 2010\PEDIMENTOS\HURTADO  33.doc</t>
  </si>
  <si>
    <t>C:\Users\franc\OneDrive\Documentos\ALIRO\ALIRO\KATHY\ANA LUISA 2010\PEDIMENTOS\HURTADO  32.doc</t>
  </si>
  <si>
    <t>C:\Users\franc\OneDrive\Documentos\ALIRO\ALIRO\KATHY\ANA LUISA 2010\PEDIMENTOS\HURTADO  31.doc</t>
  </si>
  <si>
    <t>C:\Users\franc\OneDrive\Documentos\ALIRO\ALIRO\KATHY\ANA LUISA 2010\PEDIMENTOS\HURTADO  30.doc</t>
  </si>
  <si>
    <t>C:\Users\franc\OneDrive\Documentos\ALIRO\ALIRO\KATHY\ANA LUISA 2010\PEDIMENTOS\HURTADO  3      TERCER JUZGADO.doc</t>
  </si>
  <si>
    <t>C:\Users\franc\OneDrive\Documentos\ALIRO\ALIRO\KATHY\ANA LUISA 2010\PEDIMENTOS\HURTADO  29.doc</t>
  </si>
  <si>
    <t>C:\Users\franc\OneDrive\Documentos\ALIRO\ALIRO\KATHY\ANA LUISA 2010\PEDIMENTOS\HURTADO  28.doc</t>
  </si>
  <si>
    <t>C:\Users\franc\OneDrive\Documentos\ALIRO\ALIRO\KATHY\ANA LUISA 2010\PEDIMENTOS\HURTADO  27.doc</t>
  </si>
  <si>
    <t>C:\Users\franc\OneDrive\Documentos\ALIRO\ALIRO\KATHY\ANA LUISA 2010\PEDIMENTOS\HURTADO  26.doc</t>
  </si>
  <si>
    <t>C:\Users\franc\OneDrive\Documentos\ALIRO\ALIRO\KATHY\ANA LUISA 2010\PEDIMENTOS\HURTADO  25.doc</t>
  </si>
  <si>
    <t>C:\Users\franc\OneDrive\Documentos\ALIRO\ALIRO\KATHY\ANA LUISA 2010\PEDIMENTOS\HURTADO  24.doc</t>
  </si>
  <si>
    <t>C:\Users\franc\OneDrive\Documentos\ALIRO\ALIRO\KATHY\ANA LUISA 2010\PEDIMENTOS\HURTADO  22.doc</t>
  </si>
  <si>
    <t>C:\Users\franc\OneDrive\Documentos\ALIRO\ALIRO\KATHY\ANA LUISA 2010\PEDIMENTOS\HURTADO  23.doc</t>
  </si>
  <si>
    <t>C:\Users\franc\OneDrive\Documentos\ALIRO\ALIRO\KATHY\ANA LUISA 2010\PEDIMENTOS\HURTADO  21.doc</t>
  </si>
  <si>
    <t>C:\Users\franc\OneDrive\Documentos\ALIRO\ALIRO\KATHY\ANA LUISA 2010\PEDIMENTOS\HURTADO  20.doc</t>
  </si>
  <si>
    <t>C:\Users\franc\OneDrive\Documentos\ALIRO\ALIRO\KATHY\ANA LUISA 2010\PEDIMENTOS\HURTADO  2      TERCER JUZGADO.doc</t>
  </si>
  <si>
    <t>C:\Users\franc\OneDrive\Documentos\ALIRO\ALIRO\KATHY\ANA LUISA 2010\PEDIMENTOS\HURTADO  19.doc</t>
  </si>
  <si>
    <t>C:\Users\franc\OneDrive\Documentos\ALIRO\ALIRO\KATHY\ANA LUISA 2010\PEDIMENTOS\HURTADO  18.doc</t>
  </si>
  <si>
    <t>C:\Users\franc\OneDrive\Documentos\ALIRO\ALIRO\KATHY\ANA LUISA 2010\PEDIMENTOS\HURTADO  17.doc</t>
  </si>
  <si>
    <t>C:\Users\franc\OneDrive\Documentos\ALIRO\ALIRO\KATHY\ANA LUISA 2010\PEDIMENTOS\HURTADO  16.doc</t>
  </si>
  <si>
    <t>C:\Users\franc\OneDrive\Documentos\ALIRO\ALIRO\KATHY\ANA LUISA 2010\PEDIMENTOS\HURTADO  15.doc</t>
  </si>
  <si>
    <t>C:\Users\franc\OneDrive\Documentos\ALIRO\ALIRO\KATHY\ANA LUISA 2010\PEDIMENTOS\HURTADO  14.doc</t>
  </si>
  <si>
    <t>C:\Users\franc\OneDrive\Documentos\ALIRO\ALIRO\KATHY\ANA LUISA 2010\PEDIMENTOS\HURTADO  13.doc</t>
  </si>
  <si>
    <t>C:\Users\franc\OneDrive\Documentos\ALIRO\ALIRO\KATHY\ANA LUISA 2010\PEDIMENTOS\HURTADO  12.doc</t>
  </si>
  <si>
    <t>C:\Users\franc\OneDrive\Documentos\ALIRO\ALIRO\KATHY\ANA LUISA 2010\PEDIMENTOS\HURTADO  11.doc</t>
  </si>
  <si>
    <t>C:\Users\franc\OneDrive\Documentos\ALIRO\ALIRO\KATHY\ANA LUISA 2010\PEDIMENTOS\HURTADO  10.doc</t>
  </si>
  <si>
    <t>C:\Users\franc\OneDrive\Documentos\ALIRO\ALIRO\KATHY\ANA LUISA 2010\PEDIMENTOS\HURTADO  1.doc</t>
  </si>
  <si>
    <t>C:\Users\franc\OneDrive\Documentos\ALIRO\ALIRO\KATHY\ANA LUISA 2010\PEDIMENTOS\HAPI II 16.doc</t>
  </si>
  <si>
    <t>C:\Users\franc\OneDrive\Documentos\ALIRO\ALIRO\KATHY\ANA LUISA 2010\PEDIMENTOS\HAPI 18 B.doc</t>
  </si>
  <si>
    <t>C:\Users\franc\OneDrive\Documentos\ALIRO\ALIRO\KATHY\ANA LUISA 2010\PEDIMENTOS\GRIMPAZ.doc</t>
  </si>
  <si>
    <t>C:\Users\franc\OneDrive\Documentos\ALIRO\ALIRO\KATHY\ANA LUISA 2010\PEDIMENTOS\EVELYN 7 -  JESUS ROJAS PATIÑO.doc</t>
  </si>
  <si>
    <t>C:\Users\franc\OneDrive\Documentos\ALIRO\ALIRO\KATHY\ANA LUISA 2010\PEDIMENTOS\EVELYN 6 -  JESUS ROJAS PATIÑO.doc</t>
  </si>
  <si>
    <t>C:\Users\franc\OneDrive\Documentos\ALIRO\ALIRO\KATHY\ANA LUISA 2010\PEDIMENTOS\EVELYN 5 -  JESUS ROJAS PATIÑO.doc</t>
  </si>
  <si>
    <t>C:\Users\franc\OneDrive\Documentos\ALIRO\ALIRO\KATHY\ANA LUISA 2010\PEDIMENTOS\EVELYN 4 -  JESUS ROJAS PATIÑO.doc</t>
  </si>
  <si>
    <t>C:\Users\franc\OneDrive\Documentos\ALIRO\ALIRO\KATHY\ANA LUISA 2010\PEDIMENTOS\EVELYN 3 -  JESUS ROJAS PATIÑO.doc</t>
  </si>
  <si>
    <t>C:\Users\franc\OneDrive\Documentos\ALIRO\ALIRO\KATHY\ANA LUISA 2010\PEDIMENTOS\EVELYN 2 -  JESUS ROJAS PATIÑO.doc</t>
  </si>
  <si>
    <t>C:\Users\franc\OneDrive\Documentos\ALIRO\ALIRO\KATHY\ANA LUISA 2010\PEDIMENTOS\EVELYN 1 -  JESUS ROJAS PATIÑO.doc</t>
  </si>
  <si>
    <t>C:\Users\franc\OneDrive\Documentos\ALIRO\ALIRO\KATHY\ANA LUISA 2010\PEDIMENTOS\ELQUI UNO.doc</t>
  </si>
  <si>
    <t>C:\Users\franc\OneDrive\Documentos\ALIRO\ALIRO\KATHY\ANA LUISA 2010\PEDIMENTOS\ELQUI TRES.doc</t>
  </si>
  <si>
    <t>C:\Users\franc\OneDrive\Documentos\ALIRO\ALIRO\KATHY\ANA LUISA 2010\PEDIMENTOS\ELQUI SIETE.doc</t>
  </si>
  <si>
    <t>C:\Users\franc\OneDrive\Documentos\ALIRO\ALIRO\KATHY\ANA LUISA 2010\PEDIMENTOS\ELQUI SEIS.doc</t>
  </si>
  <si>
    <t>C:\Users\franc\OneDrive\Documentos\ALIRO\ALIRO\KATHY\ANA LUISA 2010\PEDIMENTOS\ELQUI OCHO.doc</t>
  </si>
  <si>
    <t>C:\Users\franc\OneDrive\Documentos\ALIRO\ALIRO\KATHY\ANA LUISA 2010\PEDIMENTOS\ELQUI DOS.doc</t>
  </si>
  <si>
    <t>C:\Users\franc\OneDrive\Documentos\ALIRO\ALIRO\KATHY\ANA LUISA 2010\PEDIMENTOS\ELQUI CUATRO.doc</t>
  </si>
  <si>
    <t>C:\Users\franc\OneDrive\Documentos\ALIRO\ALIRO\KATHY\ANA LUISA 2010\PEDIMENTOS\ELQUI CINCO.doc</t>
  </si>
  <si>
    <t>C:\Users\franc\OneDrive\Documentos\ALIRO\ALIRO\KATHY\ANA LUISA 2010\PEDIMENTOS\DIVISADERO F.doc</t>
  </si>
  <si>
    <t>C:\Users\franc\OneDrive\Documentos\ALIRO\ALIRO\KATHY\ANA LUISA 2010\PEDIMENTOS\DIVISADERO E.doc</t>
  </si>
  <si>
    <t>C:\Users\franc\OneDrive\Documentos\ALIRO\ALIRO\KATHY\ANA LUISA 2010\PEDIMENTOS\DIVISADERO D.doc</t>
  </si>
  <si>
    <t>C:\Users\franc\OneDrive\Documentos\ALIRO\ALIRO\KATHY\ANA LUISA 2010\PEDIMENTOS\DIVISADERO C.doc</t>
  </si>
  <si>
    <t>C:\Users\franc\OneDrive\Documentos\ALIRO\ALIRO\KATHY\ANA LUISA 2010\PEDIMENTOS\DIVISADERO B.doc</t>
  </si>
  <si>
    <t>C:\Users\franc\OneDrive\Documentos\ALIRO\ALIRO\KATHY\ANA LUISA 2010\PEDIMENTOS\DIVISADERO A.doc</t>
  </si>
  <si>
    <t>C:\Users\franc\OneDrive\Documentos\ALIRO\ALIRO\KATHY\ANA LUISA 2010\PEDIMENTOS\CHIVAS UNO.doc</t>
  </si>
  <si>
    <t>C:\Users\franc\OneDrive\Documentos\ALIRO\ALIRO\KATHY\ANA LUISA 2010\PEDIMENTOS\CHIVAS TRES.doc</t>
  </si>
  <si>
    <t>C:\Users\franc\OneDrive\Documentos\ALIRO\ALIRO\KATHY\ANA LUISA 2010\PEDIMENTOS\CHIVAS DOS.doc</t>
  </si>
  <si>
    <t>C:\Users\franc\OneDrive\Documentos\ALIRO\ALIRO\KATHY\ANA LUISA 2010\PEDIMENTOS\CHIVAS CUATRO.doc</t>
  </si>
  <si>
    <t>C:\Users\franc\OneDrive\Documentos\ALIRO\ALIRO\KATHY\ANA LUISA 2010\PEDIMENTOS\CHAGUAL UNO (PRIMER JUZGADO).doc</t>
  </si>
  <si>
    <t>C:\Users\franc\OneDrive\Documentos\ALIRO\ALIRO\KATHY\ANA LUISA 2010\PEDIMENTOS\CHAGUAL TRES  (PRIMER JUZGADO).doc</t>
  </si>
  <si>
    <t>C:\Users\franc\OneDrive\Documentos\ALIRO\ALIRO\KATHY\ANA LUISA 2010\PEDIMENTOS\CHAGUAL DOS  (PRIMER JUZGADO).doc</t>
  </si>
  <si>
    <t>C:\Users\franc\OneDrive\Documentos\ALIRO\ALIRO\KATHY\ANA LUISA 2010\PEDIMENTOS\CERRO PAZ 1.doc</t>
  </si>
  <si>
    <t>C:\Users\franc\OneDrive\Documentos\ALIRO\ALIRO\KATHY\ANA LUISA 2010\PEDIMENTOS\CENTAUREA I  -    PRIMER JUZGADO.doc</t>
  </si>
  <si>
    <t>C:\Users\franc\OneDrive\Documentos\ALIRO\ALIRO\KATHY\ANA LUISA 2010\PEDIMENTOS\CAPRIL.doc</t>
  </si>
  <si>
    <t>C:\Users\franc\OneDrive\Documentos\ALIRO\ALIRO\KATHY\ANA LUISA 2010\PEDIMENTOS\BRILLADOR.doc</t>
  </si>
  <si>
    <t>C:\Users\franc\OneDrive\Documentos\ALIRO\ALIRO\KATHY\ANA LUISA 2010\PEDIMENTOS\AMELITA 24 -  2º JUZGADO.doc</t>
  </si>
  <si>
    <t>C:\Users\franc\OneDrive\Documentos\ALIRO\ALIRO\KATHY\ANA LUISA 2010\PEDIMENTOS\ALEX 9  -    HECTOR DE LAS PEÑAS SALINAS  -  2º JUZGADO.doc</t>
  </si>
  <si>
    <t>C:\Users\franc\OneDrive\Documentos\ALIRO\ALIRO\KATHY\ANA LUISA 2010\PEDIMENTOS\ALEX 8  -    HECTOR DE LAS PEÑAS SALINAS  -  2º JUZGADO.doc</t>
  </si>
  <si>
    <t>C:\Users\franc\OneDrive\Documentos\ALIRO\ALIRO\KATHY\ANA LUISA 2010\PEDIMENTOS\ALEX 7  -    HECTOR DE LAS PEÑAS SALINAS  -  2º JUZGADO.doc</t>
  </si>
  <si>
    <t>C:\Users\franc\OneDrive\Documentos\ALIRO\ALIRO\KATHY\ANA LUISA 2010\PEDIMENTOS\ALEX 6  -    HECTOR DE LAS PEÑAS SALINAS  -  2º JUZGADO.doc</t>
  </si>
  <si>
    <t>C:\Users\franc\OneDrive\Documentos\ALIRO\ALIRO\KATHY\ANA LUISA 2010\PEDIMENTOS\ALEX 5  -    HECTOR DE LAS PEÑAS SALINAS  -  2º JUZGADO.doc</t>
  </si>
  <si>
    <t>C:\Users\franc\OneDrive\Documentos\ALIRO\ALIRO\KATHY\ANA LUISA 2010\PEDIMENTOS\ALEX 4  -    HECTOR DE LAS PEÑAS SALINAS  -  2º JUZGADO.doc</t>
  </si>
  <si>
    <t>C:\Users\franc\OneDrive\Documentos\ALIRO\ALIRO\KATHY\ANA LUISA 2010\PEDIMENTOS\ALEX 3  -    HECTOR DE LAS PEÑAS SALINAS  -  2º JUZGADO.doc</t>
  </si>
  <si>
    <t>C:\Users\franc\OneDrive\Documentos\ALIRO\ALIRO\KATHY\ANA LUISA 2010\PEDIMENTOS\ALEX 2  -    HECTOR DE LAS PEÑAS SALINAS  -  2º JUZGADO.doc</t>
  </si>
  <si>
    <t>C:\Users\franc\OneDrive\Documentos\ALIRO\ALIRO\KATHY\ANA LUISA 2010\PEDIMENTOS\ALEX 18  -    HECTOR DE LAS PEÑAS SALINAS  -  2º JUZGADO.doc</t>
  </si>
  <si>
    <t>C:\Users\franc\OneDrive\Documentos\ALIRO\ALIRO\KATHY\ANA LUISA 2010\PEDIMENTOS\ALEX 17  -    HECTOR DE LAS PEÑAS SALINAS  -  2º JUZGADO.doc</t>
  </si>
  <si>
    <t>C:\Users\franc\OneDrive\Documentos\ALIRO\ALIRO\KATHY\ANA LUISA 2010\PEDIMENTOS\ALEX 16  -    HECTOR DE LAS PEÑAS SALINAS  -  2º JUZGADO.doc</t>
  </si>
  <si>
    <t>C:\Users\franc\OneDrive\Documentos\ALIRO\ALIRO\KATHY\ANA LUISA 2010\PEDIMENTOS\ALEX 15  -    HECTOR DE LAS PEÑAS SALINAS  -  2º JUZGADO.doc</t>
  </si>
  <si>
    <t>C:\Users\franc\OneDrive\Documentos\ALIRO\ALIRO\KATHY\ANA LUISA 2010\PEDIMENTOS\ALEX 14  -    HECTOR DE LAS PEÑAS SALINAS  -  2º JUZGADO.doc</t>
  </si>
  <si>
    <t>C:\Users\franc\OneDrive\Documentos\ALIRO\ALIRO\KATHY\ANA LUISA 2010\PEDIMENTOS\ALEX 13  -    HECTOR DE LAS PEÑAS SALINAS  -  2º JUZGADO.doc</t>
  </si>
  <si>
    <t>C:\Users\franc\OneDrive\Documentos\ALIRO\ALIRO\KATHY\ANA LUISA 2010\PEDIMENTOS\ALEX 12  -    HECTOR DE LAS PEÑAS SALINAS  -  2º JUZGADO.doc</t>
  </si>
  <si>
    <t>C:\Users\franc\OneDrive\Documentos\ALIRO\ALIRO\KATHY\ANA LUISA 2010\PEDIMENTOS\ALEX 11  -    HECTOR DE LAS PEÑAS SALINAS  -  2º JUZGADO.doc</t>
  </si>
  <si>
    <t>C:\Users\franc\OneDrive\Documentos\ALIRO\ALIRO\KATHY\ANA LUISA 2010\PEDIMENTOS\ALEX 10  -    HECTOR DE LAS PEÑAS SALINAS  -  2º JUZGADO.doc</t>
  </si>
  <si>
    <t>C:\Users\franc\OneDrive\Documentos\ALIRO\ALIRO\KATHY\ANA LUISA 2010\PEDIMENTOS\ALEX 1  -    HECTOR DE LAS PEÑAS SALINAS  -  2º JUZGADO.doc</t>
  </si>
  <si>
    <t>C:\Users\franc\OneDrive\Documentos\ALIRO\ALIRO\KATHY\ANA LUISA 2010\PEDIMENTOS\ALEJA 9.doc</t>
  </si>
  <si>
    <t>C:\Users\franc\OneDrive\Documentos\ALIRO\ALIRO\KATHY\ANA LUISA 2010\PEDIMENTOS\ALEJA 8.doc</t>
  </si>
  <si>
    <t>C:\Users\franc\OneDrive\Documentos\ALIRO\ALIRO\KATHY\ANA LUISA 2010\PEDIMENTOS\ALEJA 7.doc</t>
  </si>
  <si>
    <t>C:\Users\franc\OneDrive\Documentos\ALIRO\ALIRO\KATHY\ANA LUISA 2010\PEDIMENTOS\ALEJA 6.doc</t>
  </si>
  <si>
    <t>C:\Users\franc\OneDrive\Documentos\ALIRO\ALIRO\KATHY\ANA LUISA 2010\PEDIMENTOS\ALEJA 5.doc</t>
  </si>
  <si>
    <t>C:\Users\franc\OneDrive\Documentos\ALIRO\ALIRO\KATHY\ANA LUISA 2010\PEDIMENTOS\ALEJA 4.doc</t>
  </si>
  <si>
    <t>C:\Users\franc\OneDrive\Documentos\ALIRO\ALIRO\KATHY\ANA LUISA 2010\PEDIMENTOS\ALEJA 3.doc</t>
  </si>
  <si>
    <t>C:\Users\franc\OneDrive\Documentos\ALIRO\ALIRO\KATHY\ANA LUISA 2010\PEDIMENTOS\ALEJA 2.doc</t>
  </si>
  <si>
    <t>C:\Users\franc\OneDrive\Documentos\ALIRO\ALIRO\KATHY\ANA LUISA 2010\PEDIMENTOS\ALEJA 18.doc</t>
  </si>
  <si>
    <t>C:\Users\franc\OneDrive\Documentos\ALIRO\ALIRO\KATHY\ANA LUISA 2010\PEDIMENTOS\ALEJA 17.doc</t>
  </si>
  <si>
    <t>C:\Users\franc\OneDrive\Documentos\ALIRO\ALIRO\KATHY\ANA LUISA 2010\PEDIMENTOS\ALEJA 16.doc</t>
  </si>
  <si>
    <t>C:\Users\franc\OneDrive\Documentos\ALIRO\ALIRO\KATHY\ANA LUISA 2010\PEDIMENTOS\ALEJA 15.doc</t>
  </si>
  <si>
    <t>C:\Users\franc\OneDrive\Documentos\ALIRO\ALIRO\KATHY\ANA LUISA 2010\PEDIMENTOS\ALEJA 14.doc</t>
  </si>
  <si>
    <t>C:\Users\franc\OneDrive\Documentos\ALIRO\ALIRO\KATHY\ANA LUISA 2010\PEDIMENTOS\ALEJA 13.doc</t>
  </si>
  <si>
    <t>C:\Users\franc\OneDrive\Documentos\ALIRO\ALIRO\KATHY\ANA LUISA 2010\PEDIMENTOS\ALEJA 12.doc</t>
  </si>
  <si>
    <t>C:\Users\franc\OneDrive\Documentos\ALIRO\ALIRO\KATHY\ANA LUISA 2010\PEDIMENTOS\ALEJA 11.doc</t>
  </si>
  <si>
    <t>C:\Users\franc\OneDrive\Documentos\ALIRO\ALIRO\KATHY\ANA LUISA 2010\PEDIMENTOS\ALEJA 10.doc</t>
  </si>
  <si>
    <t>C:\Users\franc\OneDrive\Documentos\ALIRO\ALIRO\KATHY\ANA LUISA 2010\PEDIMENTOS\ALEJA 1.doc</t>
  </si>
  <si>
    <t>C:\Users\franc\OneDrive\Documentos\ALIRO\ALIRO\KATHY\ANA LUISA 2010\PEDIMENTOS\ADULTO 7 -  TECK EXPLORACIONES MRAS CHILE LTDA -  2º JUZGADO.doc</t>
  </si>
  <si>
    <t>C:\Users\franc\OneDrive\Documentos\ALIRO\ALIRO\KATHY\ANA LUISA 2010\PEDIMENTOS\ADULTO 6 -  TECK EXPLORACIONES MRAS CHILE LTDA -  2º JUZGADO.doc</t>
  </si>
  <si>
    <t>C:\Users\franc\OneDrive\Documentos\ALIRO\ALIRO\KATHY\ANA LUISA 2010\PEDIMENTOS\ADULTO 5 -  TECK EXPLORACIONES MRAS CHILE LTDA -  2º JUZGADO.doc</t>
  </si>
  <si>
    <t>C:\Users\franc\OneDrive\Documentos\ALIRO\ALIRO\KATHY\ANA LUISA 2010\PEDIMENTOS\ADULTO 4 -  TECK EXPLORACIONES MRAS CHILE LTDA -  2º JUZGADO.doc</t>
  </si>
  <si>
    <t>C:\Users\franc\OneDrive\Documentos\ALIRO\ALIRO\KATHY\ANA LUISA 2010\PEDIMENTOS\ADULTO 3 -  TECK EXPLORACIONES MRAS CHILE LTDA -  2º JUZGADO.doc</t>
  </si>
  <si>
    <t>C:\Users\franc\OneDrive\Documentos\ALIRO\ALIRO\KATHY\ANA LUISA 2010\PEDIMENTOS\ADULTO 2 -  TECK EXPLORACIONES MRAS CHILE LTDA -  2º JUZGADO.doc</t>
  </si>
  <si>
    <t>C:\Users\franc\OneDrive\Documentos\ALIRO\ALIRO\KATHY\ANA LUISA 2010\PEDIMENTOS\ADULTO 1 -  TECK EXPLORACIONES MRAS CHILE LTDA -  2º JUZGADO.doc</t>
  </si>
  <si>
    <t>C:\Users\franc\OneDrive\Documentos\ALIRO\ALIRO\KATHY\ANA LUISA 2010\MENSURAS\VINCHUCAS 1 AL 10.doc</t>
  </si>
  <si>
    <t>C:\Users\franc\OneDrive\Documentos\ALIRO\ALIRO\KATHY\ANA LUISA 2010\MENSURAS\VINCHUCAS 1 AL 10  - PRIMER JDO - CARLOS ARAVENA.doc</t>
  </si>
  <si>
    <t>C:\Users\franc\OneDrive\Documentos\ALIRO\ALIRO\KATHY\ANA LUISA 2010\MENSURAS\VICTORIA V, 1 AL 258 VICTOR OLGUIN (TERCER JUZGADO).doc</t>
  </si>
  <si>
    <t>C:\Users\franc\OneDrive\Documentos\ALIRO\ALIRO\KATHY\ANA LUISA 2010\MENSURAS\SULFURO 1 A 8.doc</t>
  </si>
  <si>
    <t>C:\Users\franc\OneDrive\Documentos\ALIRO\ALIRO\KATHY\ANA LUISA 2010\MENSURAS\SULFURO 1 A 8.  2.doc</t>
  </si>
  <si>
    <t>C:\Users\franc\OneDrive\Documentos\ALIRO\ALIRO\KATHY\ANA LUISA 2010\MENSURAS\SCARLETH 1 AL 2   TERCER JDO     JUAN CARLOS ARAVENA.doc</t>
  </si>
  <si>
    <t>C:\Users\franc\OneDrive\Documentos\ALIRO\ALIRO\KATHY\ANA LUISA 2010\MENSURAS\santa_rita_uno_al_treinta_TERCER_JUZGADO.doc</t>
  </si>
  <si>
    <t>C:\Users\franc\OneDrive\Documentos\ALIRO\ALIRO\KATHY\ANA LUISA 2010\MENSURAS\SANTA MARIA 1 AL 4  -  CATALINO ALBANEZ  -  SEGUNDO JUZGADO.doc</t>
  </si>
  <si>
    <t>C:\Users\franc\OneDrive\Documentos\ALIRO\ALIRO\KATHY\ANA LUISA 2010\MENSURAS\SANTA HELENA II 1 AL 5.doc</t>
  </si>
  <si>
    <t>C:\Users\franc\OneDrive\Documentos\ALIRO\ALIRO\KATHY\ANA LUISA 2010\MENSURAS\SANTA HELENA II 1 AL 5    LUIS DAN ROJAS    PRIMER JDO.doc</t>
  </si>
  <si>
    <t>C:\Users\franc\OneDrive\Documentos\ALIRO\ALIRO\KATHY\ANA LUISA 2010\MENSURAS\SAN MIGUEL UNO AL VEINTE -   3º JUZGADO.doc</t>
  </si>
  <si>
    <t>C:\Users\franc\OneDrive\Documentos\ALIRO\ALIRO\KATHY\ANA LUISA 2010\MENSURAS\SAN MIGUEL 1 AL 20.doc</t>
  </si>
  <si>
    <t>C:\Users\franc\OneDrive\Documentos\ALIRO\ALIRO\KATHY\ANA LUISA 2010\MENSURAS\SAN FELIX 1 AL 8  -    2º JUZGADO  -   LUIS DAN ROJAS.doc</t>
  </si>
  <si>
    <t>C:\Users\franc\OneDrive\Documentos\ALIRO\ALIRO\KATHY\ANA LUISA 2010\MENSURAS\SAN ANDRES 1 AL 10.doc</t>
  </si>
  <si>
    <t>C:\Users\franc\OneDrive\Documentos\ALIRO\ALIRO\KATHY\ANA LUISA 2010\MENSURAS\SAN ANDRES 1 AL 10..doc</t>
  </si>
  <si>
    <t>C:\Users\franc\OneDrive\Documentos\ALIRO\ALIRO\KATHY\ANA LUISA 2010\MENSURAS\ROCIO 1 AL 20  -  1º JUZGADO  -  CATALINO ALBANEZ.doc</t>
  </si>
  <si>
    <t>C:\Users\franc\OneDrive\Documentos\ALIRO\ALIRO\KATHY\ANA LUISA 2010\MENSURAS\RAICES DEL UNO AL CATORCE.doc</t>
  </si>
  <si>
    <t>C:\Users\franc\OneDrive\Documentos\ALIRO\ALIRO\KATHY\ANA LUISA 2010\MENSURAS\RAICES DEL 1 AL 14.doc</t>
  </si>
  <si>
    <t>C:\Users\franc\OneDrive\Documentos\ALIRO\ALIRO\KATHY\ANA LUISA 2010\MENSURAS\PUCARINA 1 AL 20.doc</t>
  </si>
  <si>
    <t>C:\Users\franc\OneDrive\Documentos\ALIRO\ALIRO\KATHY\ANA LUISA 2010\MENSURAS\PIRULA 1 AL 10    PRIMER JDO     LUIS DAN ROJAS.doc</t>
  </si>
  <si>
    <t>C:\Users\franc\OneDrive\Documentos\ALIRO\ALIRO\KATHY\ANA LUISA 2010\MENSURAS\PAOLA UNO 1 AL 6.doc</t>
  </si>
  <si>
    <t>C:\Users\franc\OneDrive\Documentos\ALIRO\ALIRO\KATHY\ANA LUISA 2010\MENSURAS\PANULSUR 18   1 AL 15.doc</t>
  </si>
  <si>
    <t>C:\Users\franc\OneDrive\Documentos\ALIRO\ALIRO\KATHY\ANA LUISA 2010\MENSURAS\PANULSUR 17 1 AL 30.doc</t>
  </si>
  <si>
    <t>C:\Users\franc\OneDrive\Documentos\ALIRO\ALIRO\KATHY\ANA LUISA 2010\MENSURAS\PALM SPRINGS 1 AL 25 - PRIMER JDO - JUAN CARLOS ARAVENA.doc</t>
  </si>
  <si>
    <t>C:\Users\franc\OneDrive\Documentos\ALIRO\ALIRO\KATHY\ANA LUISA 2010\MENSURAS\OLIVIA PRIMERA ¿SEGUNDO JUZGADO ISRAEL PEREIRA MARIN.doc</t>
  </si>
  <si>
    <t>C:\Users\franc\OneDrive\Documentos\ALIRO\ALIRO\KATHY\ANA LUISA 2010\MENSURAS\NRO.doc</t>
  </si>
  <si>
    <t>C:\Users\franc\OneDrive\Documentos\ALIRO\ALIRO\KATHY\ANA LUISA 2010\MENSURAS\NANITA MARIANA 3 1 AL 120.doc</t>
  </si>
  <si>
    <t>C:\Users\franc\OneDrive\Documentos\ALIRO\ALIRO\KATHY\ANA LUISA 2010\MENSURAS\NANITA MARIANA 2  1 AL 150.doc</t>
  </si>
  <si>
    <t>C:\Users\franc\OneDrive\Documentos\ALIRO\ALIRO\KATHY\ANA LUISA 2010\MENSURAS\NANITA MARIANA 1  1 AL 150.doc</t>
  </si>
  <si>
    <t>C:\Users\franc\OneDrive\Documentos\ALIRO\ALIRO\KATHY\ANA LUISA 2010\MENSURAS\MISS 1 AL 20.doc</t>
  </si>
  <si>
    <t>C:\Users\franc\OneDrive\Documentos\ALIRO\ALIRO\KATHY\ANA LUISA 2010\MENSURAS\MINA SAN ANTONIO 1 AL 10 -  JUAN CARLOS ARAVENA - 3º JUZGADO.doc</t>
  </si>
  <si>
    <t>C:\Users\franc\OneDrive\Documentos\ALIRO\ALIRO\KATHY\ANA LUISA 2010\MENSURAS\MINA LA ROMY 1 AL 5 -  JUAN ARAVENA  -  TERCER JUZGADO.doc</t>
  </si>
  <si>
    <t>C:\Users\franc\OneDrive\Documentos\ALIRO\ALIRO\KATHY\ANA LUISA 2010\MENSURAS\MINA LA CORTADERA 1 AL 5.doc</t>
  </si>
  <si>
    <t>C:\Users\franc\OneDrive\Documentos\ALIRO\ALIRO\KATHY\ANA LUISA 2010\MENSURAS\MINA LA CARMELITA 1 AL 20   -   JUAN CARLOS ARAVENA   -   3º JUZGADO.doc</t>
  </si>
  <si>
    <t>C:\Users\franc\OneDrive\Documentos\ALIRO\ALIRO\KATHY\ANA LUISA 2010\MENSURAS\MINA COLORADA UNO AL DIEZ.doc</t>
  </si>
  <si>
    <t>C:\Users\franc\OneDrive\Documentos\ALIRO\ALIRO\KATHY\ANA LUISA 2010\MENSURAS\MINA COLORADA 1 AL 10.doc</t>
  </si>
  <si>
    <t>C:\Users\franc\OneDrive\Documentos\ALIRO\ALIRO\KATHY\ANA LUISA 2010\MENSURAS\MERCEDITA VIGESIMA QUINTA 1 AL 9 - JUAN CARLOS ARAVENA - 2º JUZGADO.doc</t>
  </si>
  <si>
    <t>C:\Users\franc\OneDrive\Documentos\ALIRO\ALIRO\KATHY\ANA LUISA 2010\MENSURAS\MENSURA LOS DOS AMIGOS 1-6.doc</t>
  </si>
  <si>
    <t>C:\Users\franc\OneDrive\Documentos\ALIRO\ALIRO\KATHY\ANA LUISA 2010\MENSURAS\MANUELITO 1 AL 15   CATALINO ALBANEZ    TERCER JDO.doc</t>
  </si>
  <si>
    <t>C:\Users\franc\OneDrive\Documentos\ALIRO\ALIRO\KATHY\ANA LUISA 2010\MENSURAS\MANUELITA SEGUNDA 1 AL 12   MARCELO BENAVENTE   SEGUNDO JDO.doc</t>
  </si>
  <si>
    <t>C:\Users\franc\OneDrive\Documentos\ALIRO\ALIRO\KATHY\ANA LUISA 2010\MENSURAS\MANTOS VERDES 1 AL 20 - JORGE CIFUENTES - TERCER JUZGADO.doc</t>
  </si>
  <si>
    <t>C:\Users\franc\OneDrive\Documentos\ALIRO\ALIRO\KATHY\ANA LUISA 2010\MENSURAS\MALAQUITA I 1 AL 10     SEGUNDO JDO     CATALINO ALBANEZ.doc</t>
  </si>
  <si>
    <t>C:\Users\franc\OneDrive\Documentos\ALIRO\ALIRO\KATHY\ANA LUISA 2010\MENSURAS\LOS MANTOS DE LA CORTADERA 1 AL 14.doc</t>
  </si>
  <si>
    <t>C:\Users\franc\OneDrive\Documentos\ALIRO\ALIRO\KATHY\ANA LUISA 2010\MENSURAS\logo.doc</t>
  </si>
  <si>
    <t>C:\Users\franc\OneDrive\Documentos\ALIRO\ALIRO\KATHY\ANA LUISA 2010\MENSURAS\lLA CARZA GRANDE 1 AL CINCO.doc</t>
  </si>
  <si>
    <t>C:\Users\franc\OneDrive\Documentos\ALIRO\ALIRO\KATHY\ANA LUISA 2010\MENSURAS\lLA CARZA GRANDE 1 AL 5.doc</t>
  </si>
  <si>
    <t>C:\Users\franc\OneDrive\Documentos\ALIRO\ALIRO\KATHY\ANA LUISA 2010\MENSURAS\LIPA 1 A 10    LUIS LORCA SANDOVAL     TERCER JUZGADO.doc</t>
  </si>
  <si>
    <t>C:\Users\franc\OneDrive\Documentos\ALIRO\ALIRO\KATHY\ANA LUISA 2010\MENSURAS\lARCO IRIS 1 AL 30   TERCER JUZGADO   HUGO GARRIDO.doc</t>
  </si>
  <si>
    <t>C:\Users\franc\OneDrive\Documentos\ALIRO\ALIRO\KATHY\ANA LUISA 2010\MENSURAS\LA VERDOSA 1 al 3  TERCER JDO-  ANGELA SUCKEL.doc</t>
  </si>
  <si>
    <t>C:\Users\franc\OneDrive\Documentos\ALIRO\ALIRO\KATHY\ANA LUISA 2010\MENSURAS\LA VERDOSA 1 A 3.doc</t>
  </si>
  <si>
    <t>C:\Users\franc\OneDrive\Documentos\ALIRO\ALIRO\KATHY\ANA LUISA 2010\MENSURAS\LA ROSICLER PRIMERA UNO AL CINCO.doc</t>
  </si>
  <si>
    <t>C:\Users\franc\OneDrive\Documentos\ALIRO\ALIRO\KATHY\ANA LUISA 2010\MENSURAS\LA ROSICLER PRIMERA 1 AL 5.doc</t>
  </si>
  <si>
    <t>C:\Users\franc\OneDrive\Documentos\ALIRO\ALIRO\KATHY\ANA LUISA 2010\MENSURAS\LA NORTINA.doc</t>
  </si>
  <si>
    <t>C:\Users\franc\OneDrive\Documentos\ALIRO\ALIRO\KATHY\ANA LUISA 2010\MENSURAS\LA NORTINA 1 AL 5.doc</t>
  </si>
  <si>
    <t>C:\Users\franc\OneDrive\Documentos\ALIRO\ALIRO\KATHY\ANA LUISA 2010\MENSURAS\LA MISS 1 AL 20    CATALINO ALBANEZ    PRIMER JUZGADO.doc</t>
  </si>
  <si>
    <t>C:\Users\franc\OneDrive\Documentos\ALIRO\ALIRO\KATHY\ANA LUISA 2010\MENSURAS\LA FRONTERA UNO DE ESTANCIA DE MINILLAS.doc</t>
  </si>
  <si>
    <t>C:\Users\franc\OneDrive\Documentos\ALIRO\ALIRO\KATHY\ANA LUISA 2010\MENSURAS\LA ESTRELLA 1 AL 10     LUIS DAN ROJAS     TERCER JDO.doc</t>
  </si>
  <si>
    <t>C:\Users\franc\OneDrive\Documentos\ALIRO\ALIRO\KATHY\ANA LUISA 2010\MENSURAS\LA ESCONDIDA 1 AL 10 -  CATALINO ALBANEZ - TERCER JDO.doc</t>
  </si>
  <si>
    <t>C:\Users\franc\OneDrive\Documentos\ALIRO\ALIRO\KATHY\ANA LUISA 2010\MENSURAS\LA ENCANTADA 1 AL 16.doc</t>
  </si>
  <si>
    <t>C:\Users\franc\OneDrive\Documentos\ALIRO\ALIRO\KATHY\ANA LUISA 2010\MENSURAS\LA ENCANTADA 1 AL 16 II doc.doc</t>
  </si>
  <si>
    <t>C:\Users\franc\OneDrive\Documentos\ALIRO\ALIRO\KATHY\ANA LUISA 2010\MENSURAS\LA DIVINA UNA AL CINCO.doc</t>
  </si>
  <si>
    <t>C:\Users\franc\OneDrive\Documentos\ALIRO\ALIRO\KATHY\ANA LUISA 2010\MENSURAS\LA DESPRECIADA UNO AL CINCO   3º JUZGADO  JORGE ROMO.doc</t>
  </si>
  <si>
    <t>C:\Users\franc\OneDrive\Documentos\ALIRO\ALIRO\KATHY\ANA LUISA 2010\MENSURAS\la despreciada definitiva.doc</t>
  </si>
  <si>
    <t>C:\Users\franc\OneDrive\Documentos\ALIRO\ALIRO\KATHY\ANA LUISA 2010\MENSURAS\LA DESPRECIADA 1 AL 5     TERCER JDO   JORGE ROMO.doc</t>
  </si>
  <si>
    <t>C:\Users\franc\OneDrive\Documentos\ALIRO\ALIRO\KATHY\ANA LUISA 2010\MENSURAS\LA CAÑA 11 A LA CAÑA 20 - PABLO CORTES A MARTIN MARAMBIO.doc</t>
  </si>
  <si>
    <t>C:\Users\franc\OneDrive\Documentos\ALIRO\ALIRO\KATHY\ANA LUISA 2010\MENSURAS\LA CARZA GRANDE 1 AL CINCO CON LOGO.doc</t>
  </si>
  <si>
    <t>C:\Users\franc\OneDrive\Documentos\ALIRO\ALIRO\KATHY\ANA LUISA 2010\MENSURAS\JUANITA DEL 1 AL 6     SEGUNDO JDO     ANGELA SUCKEL.doc</t>
  </si>
  <si>
    <t>C:\Users\franc\OneDrive\Documentos\ALIRO\ALIRO\KATHY\ANA LUISA 2010\MENSURAS\JUAN NACHITO 4  1 AL 30.doc</t>
  </si>
  <si>
    <t>C:\Users\franc\OneDrive\Documentos\ALIRO\ALIRO\KATHY\ANA LUISA 2010\MENSURAS\JUAN NACHITO 3 1 AL 10.doc</t>
  </si>
  <si>
    <t>C:\Users\franc\OneDrive\Documentos\ALIRO\ALIRO\KATHY\ANA LUISA 2010\MENSURAS\JUAN NACHITO 3  UNO AL DIEZ.doc</t>
  </si>
  <si>
    <t>C:\Users\franc\OneDrive\Documentos\ALIRO\ALIRO\KATHY\ANA LUISA 2010\MENSURAS\JUAN NACHITO 3  1 AL 10.doc</t>
  </si>
  <si>
    <t>C:\Users\franc\OneDrive\Documentos\ALIRO\ALIRO\KATHY\ANA LUISA 2010\MENSURAS\JUAN NACHITO 2  1 AL 10.doc</t>
  </si>
  <si>
    <t>C:\Users\franc\OneDrive\Documentos\ALIRO\ALIRO\KATHY\ANA LUISA 2010\MENSURAS\JUAN NACHITO 1  1 al 20.doc</t>
  </si>
  <si>
    <t>C:\Users\franc\OneDrive\Documentos\ALIRO\ALIRO\KATHY\ANA LUISA 2010\MENSURAS\finiquito.doc</t>
  </si>
  <si>
    <t>C:\Users\franc\OneDrive\Documentos\ALIRO\ALIRO\KATHY\ANA LUISA 2010\MENSURAS\ESPINAL 1 AL 20.doc</t>
  </si>
  <si>
    <t>C:\Users\franc\OneDrive\Documentos\ALIRO\ALIRO\KATHY\ANA LUISA 2010\MENSURAS\ESCONDIDA 1 AL 24  ANGELA SUCKEL   PRIMER JDO.doc</t>
  </si>
  <si>
    <t>C:\Users\franc\OneDrive\Documentos\ALIRO\ALIRO\KATHY\ANA LUISA 2010\MENSURAS\EL INGENIO 1 AL 3      PRIMER JUZGADO     JORGE ROMO.doc</t>
  </si>
  <si>
    <t>C:\Users\franc\OneDrive\Documentos\ALIRO\ALIRO\KATHY\ANA LUISA 2010\MENSURAS\EL ALGARROBITO UNA A VEINTE ANGELA SUCKEL   PRIMER JDO.doc</t>
  </si>
  <si>
    <t>C:\Users\franc\OneDrive\Documentos\ALIRO\ALIRO\KATHY\ANA LUISA 2010\MENSURAS\EL ALGARROBITO UNA A VEINTE  LUIS DAN ROJAS    PRIMER JDO.doc</t>
  </si>
  <si>
    <t>C:\Users\franc\OneDrive\Documentos\ALIRO\ALIRO\KATHY\ANA LUISA 2010\MENSURAS\DESIERTO 1 AL 24  ANGELA SUCKEL   PRIMER JDO.doc</t>
  </si>
  <si>
    <t>C:\Users\franc\OneDrive\Documentos\ALIRO\ALIRO\KATHY\ANA LUISA 2010\MENSURAS\CAMINO REAL 1 AL 8.doc</t>
  </si>
  <si>
    <t>C:\Users\franc\OneDrive\Documentos\ALIRO\ALIRO\KATHY\ANA LUISA 2010\MENSURAS\CAMINO REAL  ULTIMA.doc</t>
  </si>
  <si>
    <t>C:\Users\franc\OneDrive\Documentos\ALIRO\ALIRO\KATHY\ANA LUISA 2010\MENSURAS\CALCITA 1 AL 10    CATALINO ALBANEZ    SEGUNDO JDO.doc</t>
  </si>
  <si>
    <t>C:\Users\franc\OneDrive\Documentos\ALIRO\ALIRO\KATHY\ANA LUISA 2010\MENSURAS\BONIE UNO AL CINCO.doc</t>
  </si>
  <si>
    <t>C:\Users\franc\OneDrive\Documentos\ALIRO\ALIRO\KATHY\ANA LUISA 2010\MENSURAS\BONIE UNO AL CINCO   TERCER JUZGADO   LUIS DAN ROJAS.doc</t>
  </si>
  <si>
    <t>C:\Users\franc\OneDrive\Documentos\ALIRO\ALIRO\KATHY\ANA LUISA 2010\MENSURAS\BONIE 1 AL 5.doc</t>
  </si>
  <si>
    <t>C:\Users\franc\OneDrive\Documentos\ALIRO\ALIRO\KATHY\ANA LUISA 2010\MENSURAS\ATILA 2  1 AL 60.doc</t>
  </si>
  <si>
    <t>C:\Users\franc\OneDrive\Documentos\ALIRO\ALIRO\KATHY\ANA LUISA 2010\MENSURAS\ANITA 1 AL 12 - JORGE CIFUENTES - TERCER JUZGADO.doc</t>
  </si>
  <si>
    <t>C:\Users\franc\OneDrive\Documentos\ALIRO\ALIRO\KATHY\ANA LUISA 2010\MENSURAS\ANDREA CUATRO 1 AL 300 - BASILIO DIEZ SANTIBAÑEZ - PRIMER JDO.doc</t>
  </si>
  <si>
    <t>C:\Users\franc\OneDrive\Documentos\ALIRO\ALIRO\KATHY\ANA LUISA 2010\MENSURAS\ANA LUISA II 1 AL 68.docx</t>
  </si>
  <si>
    <t>C:\Users\franc\OneDrive\Documentos\ALIRO\ALIRO\KATHY\ANA LUISA 2010\MENSURAS\ANA LUISA II 1 AL 140 CIA MINERA PUNITAQUI, VICTOR OLGUIN (TERCER JUZGADO).docx</t>
  </si>
  <si>
    <t>C:\Users\franc\OneDrive\Documentos\ALIRO\ALIRO\KATHY\ANA LUISA 2010\MENSURAS\ANA LUISA II 1 AL 140 CIA MINERA PUNITAQUI, VICTOR OLGUIN (TERCER JUZGADO).doc</t>
  </si>
  <si>
    <t>C:\Users\franc\OneDrive\Documentos\ALIRO\ALIRO\KATHY\ANA LUISA 2010\MENSURAS\ANA LUISA I 1 AL 140 CIA MINERA PUNITAQUI, VICTOR OLGUIN (TERCER JUZGADO).docx</t>
  </si>
  <si>
    <t>C:\Users\franc\OneDrive\Documentos\ALIRO\ALIRO\KATHY\ANA LUISA 2010\MENSURAS\ALFA BETA PRIMERA 1 AL 5  - ALBERTO CERDA- 1º JDO.doc</t>
  </si>
  <si>
    <t>C:\Users\franc\OneDrive\Documentos\ALIRO\ALIRO\KATHY\ANA LUISA 2010\MENSURAS\AGUA DEL INCA VIII    CATALINO ALBANEZ    PRIMER JDO.doc</t>
  </si>
  <si>
    <t>C:\Users\franc\OneDrive\Documentos\ALIRO\ALIRO\KATHY\ANA LUISA 2010\MENSURAS\AGUA DEL INCA VII    CATALINO ALBANEZ     PRIMER JDO.doc</t>
  </si>
  <si>
    <t>C:\Users\franc\OneDrive\Documentos\ALIRO\ALIRO\KATHY\ANA LUISA 2010\MENSURAS\AGUA DEL INCA VI  CATALINO ALBANEZ   PRIMER JDO.doc</t>
  </si>
  <si>
    <t>C:\Users\franc\OneDrive\Documentos\ALIRO\ALIRO\KATHY\ANA LUISA 2010\MENSURAS\AGUA DEL INCA IV 1 AL 60   CATALINO ALBANEZ   PRIMER JDO.doc</t>
  </si>
  <si>
    <t>C:\Users\franc\OneDrive\Documentos\ALIRO\ALIRO\KATHY\ANA LUISA 2010\MENSURAS\AGUA DEL INCA II 1 AL 40   CATALINO ALBANEZ   PRIMER JDO.doc</t>
  </si>
  <si>
    <t>C:\Users\franc\OneDrive\Documentos\ALIRO\ALIRO\KATHY\ANA LUISA 2010\MENSURAS\AGUA DEL INCA 1I  1 AL 40   CATALINO ALBANEZ   PRIMER JDO.doc</t>
  </si>
  <si>
    <t>C:\Users\franc\OneDrive\Documentos\ALIRO\ALIRO\KATHY\ANA LUISA 2010\MENSURAS\AGUA DEL INCA 1 AL 40   CATALINO ALBANEZ  PRIMER JDO.doc</t>
  </si>
  <si>
    <t>C:\Users\franc\OneDrive\Documentos\ALIRO\ALIRO\KATHY\ANA LUISA 2010\MANIFESTACIONES\victoria.doc</t>
  </si>
  <si>
    <t>C:\Users\franc\OneDrive\Documentos\ALIRO\ALIRO\KATHY\ANA LUISA 2010\MANIFESTACIONES\VETARRON UNA AL VEINTEc.doc</t>
  </si>
  <si>
    <t>C:\Users\franc\OneDrive\Documentos\ALIRO\ALIRO\KATHY\ANA LUISA 2010\MANIFESTACIONES\TOBRUC ONCE A DIECINUEVE.doc</t>
  </si>
  <si>
    <t>C:\Users\franc\OneDrive\Documentos\ALIRO\ALIRO\KATHY\ANA LUISA 2010\MANIFESTACIONES\TAHUINEO 1 AL 15 (SEGUNDO JUZGADO).doc</t>
  </si>
  <si>
    <t>C:\Users\franc\OneDrive\Documentos\ALIRO\ALIRO\KATHY\ANA LUISA 2010\MANIFESTACIONES\SEBASTIAN TERCERO 1 AL 10.doc</t>
  </si>
  <si>
    <t>C:\Users\franc\OneDrive\Documentos\ALIRO\ALIRO\KATHY\ANA LUISA 2010\MANIFESTACIONES\SEBASTIAN SEXTO 1 AL 10.doc</t>
  </si>
  <si>
    <t>C:\Users\franc\OneDrive\Documentos\ALIRO\ALIRO\KATHY\ANA LUISA 2010\MANIFESTACIONES\SEBASTIAN SEPTIMO 1 AL 10.doc</t>
  </si>
  <si>
    <t>C:\Users\franc\OneDrive\Documentos\ALIRO\ALIRO\KATHY\ANA LUISA 2010\MANIFESTACIONES\SEBASTIAN SEGUNDO 1 AL 10.doc</t>
  </si>
  <si>
    <t>C:\Users\franc\OneDrive\Documentos\ALIRO\ALIRO\KATHY\ANA LUISA 2010\MANIFESTACIONES\SEBASTIAN QUINTO 1 AL 10.doc</t>
  </si>
  <si>
    <t>C:\Users\franc\OneDrive\Documentos\ALIRO\ALIRO\KATHY\ANA LUISA 2010\MANIFESTACIONES\SEBASTIAN PRIMERO 1 AL 10.doc</t>
  </si>
  <si>
    <t>C:\Users\franc\OneDrive\Documentos\ALIRO\ALIRO\KATHY\ANA LUISA 2010\MANIFESTACIONES\SEBASTIAN OCTAVO 1 AL 4.doc</t>
  </si>
  <si>
    <t>C:\Users\franc\OneDrive\Documentos\ALIRO\ALIRO\KATHY\ANA LUISA 2010\MANIFESTACIONES\SEBASTIAN CUARTO 1 AL 10.doc</t>
  </si>
  <si>
    <t>C:\Users\franc\OneDrive\Documentos\ALIRO\ALIRO\KATHY\ANA LUISA 2010\MANIFESTACIONES\SANTA LUCIA CINCUENTA Y TRES 1 AL 30 (SEGUNDO JUZGADO).doc</t>
  </si>
  <si>
    <t>C:\Users\franc\OneDrive\Documentos\ALIRO\ALIRO\KATHY\ANA LUISA 2010\MANIFESTACIONES\SANTA ISABEL UNA AL VEINTE.doc</t>
  </si>
  <si>
    <t>C:\Users\franc\OneDrive\Documentos\ALIRO\ALIRO\KATHY\ANA LUISA 2010\MANIFESTACIONES\SANTA ELENA 1 AL 50 (SEGUNDO JUZGADO).doc</t>
  </si>
  <si>
    <t>C:\Users\franc\OneDrive\Documentos\ALIRO\ALIRO\KATHY\ANA LUISA 2010\MANIFESTACIONES\SANTA ANITA 1 AL 10.doc</t>
  </si>
  <si>
    <t>C:\Users\franc\OneDrive\Documentos\ALIRO\ALIRO\KATHY\ANA LUISA 2010\MANIFESTACIONES\SAN JUAN 1 - 10 (SEGUNDO JUZGADO).doc</t>
  </si>
  <si>
    <t>C:\Users\franc\OneDrive\Documentos\ALIRO\ALIRO\KATHY\ANA LUISA 2010\MANIFESTACIONES\SAN JOSE 1 AL 10 (SEGUNDO JUZGADO).doc</t>
  </si>
  <si>
    <t>C:\Users\franc\OneDrive\Documentos\ALIRO\ALIRO\KATHY\ANA LUISA 2010\MANIFESTACIONES\ROSITA DOS 1 AL 20.doc</t>
  </si>
  <si>
    <t>C:\Users\franc\OneDrive\Documentos\ALIRO\ALIRO\KATHY\ANA LUISA 2010\MANIFESTACIONES\ROCIO 1 AL 15.doc</t>
  </si>
  <si>
    <t>C:\Users\franc\OneDrive\Documentos\ALIRO\ALIRO\KATHY\ANA LUISA 2010\MANIFESTACIONES\QUEBRADA  DEL MOLLE UNO AL VEINTE (SEGUNDO JUZGADO).doc</t>
  </si>
  <si>
    <t>C:\Users\franc\OneDrive\Documentos\ALIRO\ALIRO\KATHY\ANA LUISA 2010\MANIFESTACIONES\PEDESTAL UNA AL DIEZ.doc</t>
  </si>
  <si>
    <t>C:\Users\franc\OneDrive\Documentos\ALIRO\ALIRO\KATHY\ANA LUISA 2010\MANIFESTACIONES\PASO AL FRENTE 1 AL 14.doc</t>
  </si>
  <si>
    <t>C:\Users\franc\OneDrive\Documentos\ALIRO\ALIRO\KATHY\ANA LUISA 2010\MANIFESTACIONES\PARA EL FUTURO DEL 1 AL 15 SEGUNDO JUZGADO).doc</t>
  </si>
  <si>
    <t>C:\Users\franc\OneDrive\Documentos\ALIRO\ALIRO\KATHY\ANA LUISA 2010\MANIFESTACIONES\PALOMA INFIEL 1 AL 20.doc</t>
  </si>
  <si>
    <t>C:\Users\franc\OneDrive\Documentos\ALIRO\ALIRO\KATHY\ANA LUISA 2010\MANIFESTACIONES\PALOMA INFIEL  PAGINA 2.doc</t>
  </si>
  <si>
    <t>C:\Users\franc\OneDrive\Documentos\ALIRO\ALIRO\KATHY\ANA LUISA 2010\MANIFESTACIONES\PALOMA INFIEL    PAGINA 3.doc</t>
  </si>
  <si>
    <t>C:\Users\franc\OneDrive\Documentos\ALIRO\ALIRO\KATHY\ANA LUISA 2010\MANIFESTACIONES\OMI 1 AL 20.doc</t>
  </si>
  <si>
    <t>C:\Users\franc\OneDrive\Documentos\ALIRO\ALIRO\KATHY\ANA LUISA 2010\MANIFESTACIONES\MINA SANTA ISABEL 1 AL 5.doc</t>
  </si>
  <si>
    <t>C:\Users\franc\OneDrive\Documentos\ALIRO\ALIRO\KATHY\ANA LUISA 2010\MANIFESTACIONES\MINA ORTIGA UNA AL CINCO.doc</t>
  </si>
  <si>
    <t>C:\Users\franc\OneDrive\Documentos\ALIRO\ALIRO\KATHY\ANA LUISA 2010\MANIFESTACIONES\MINA LULI 1 AL 5 (SEGUNDO JUZGADO).doc</t>
  </si>
  <si>
    <t>C:\Users\franc\OneDrive\Documentos\ALIRO\ALIRO\KATHY\ANA LUISA 2010\MANIFESTACIONES\MINA ESPERANZA UNA AL CINCO.doc</t>
  </si>
  <si>
    <t>C:\Users\franc\OneDrive\Documentos\ALIRO\ALIRO\KATHY\ANA LUISA 2010\MANIFESTACIONES\MINA EL SOL 1 AL 100 (SEGUNDO JUZGADO).doc</t>
  </si>
  <si>
    <t>C:\Users\franc\OneDrive\Documentos\ALIRO\ALIRO\KATHY\ANA LUISA 2010\MANIFESTACIONES\MERCEDITA VIGESIMA SEGUNDA 1 AL 30.doc</t>
  </si>
  <si>
    <t>C:\Users\franc\OneDrive\Documentos\ALIRO\ALIRO\KATHY\ANA LUISA 2010\MANIFESTACIONES\MERCEDITA VIGESIMA PRIMERA 1 AL 10.doc</t>
  </si>
  <si>
    <t>C:\Users\franc\OneDrive\Documentos\ALIRO\ALIRO\KATHY\ANA LUISA 2010\MANIFESTACIONES\MERCEDITA DIECISIETE 1 AL 10.doc</t>
  </si>
  <si>
    <t>C:\Users\franc\OneDrive\Documentos\ALIRO\ALIRO\KATHY\ANA LUISA 2010\MANIFESTACIONES\MERCEDITA DECIMO SEPTIMA 1 AL 40.doc</t>
  </si>
  <si>
    <t>C:\Users\franc\OneDrive\Documentos\ALIRO\ALIRO\KATHY\ANA LUISA 2010\MANIFESTACIONES\MERCEDITA DECIMO PRIMERA 1 AL 20.doc</t>
  </si>
  <si>
    <t>C:\Users\franc\OneDrive\Documentos\ALIRO\ALIRO\KATHY\ANA LUISA 2010\MANIFESTACIONES\MERCEDITA DECIMO CUARTA 1 AL 20       ENAMI.doc</t>
  </si>
  <si>
    <t>C:\Users\franc\OneDrive\Documentos\ALIRO\ALIRO\KATHY\ANA LUISA 2010\MANIFESTACIONES\MERCEDES DOS 1-10.doc</t>
  </si>
  <si>
    <t>C:\Users\franc\OneDrive\Documentos\ALIRO\ALIRO\KATHY\ANA LUISA 2010\MANIFESTACIONES\MERCEDES 1-10.doc</t>
  </si>
  <si>
    <t>C:\Users\franc\OneDrive\Documentos\ALIRO\ALIRO\KATHY\ANA LUISA 2010\MANIFESTACIONES\MAR 1 A 10.doc</t>
  </si>
  <si>
    <t>C:\Users\franc\OneDrive\Documentos\ALIRO\ALIRO\KATHY\ANA LUISA 2010\MANIFESTACIONES\MANTOS DE ORO UNO 1 AL 30 (SEGUNDO JUZGADO).doc</t>
  </si>
  <si>
    <t>C:\Users\franc\OneDrive\Documentos\ALIRO\ALIRO\KATHY\ANA LUISA 2010\MANIFESTACIONES\MANTOS DE ORO TRES 1 AL 30 (SEGUNDO JUZGADO)..doc</t>
  </si>
  <si>
    <t>C:\Users\franc\OneDrive\Documentos\ALIRO\ALIRO\KATHY\ANA LUISA 2010\MANIFESTACIONES\MANTOS DE ORO DOS 1 AL 30 (SEGUNDO JUZGADO).doc</t>
  </si>
  <si>
    <t>C:\Users\franc\OneDrive\Documentos\ALIRO\ALIRO\KATHY\ANA LUISA 2010\MANIFESTACIONES\MANTOS DE ORO CUATRO 1 AL 30 (SEGUNDO JUZGADO).doc</t>
  </si>
  <si>
    <t>C:\Users\franc\OneDrive\Documentos\ALIRO\ALIRO\KATHY\ANA LUISA 2010\MANIFESTACIONES\MANTOS DE ORO CINCO 1 AL 30 (SEGUNDO JUZGADO).doc</t>
  </si>
  <si>
    <t>C:\Users\franc\OneDrive\Documentos\ALIRO\ALIRO\KATHY\ANA LUISA 2010\MANIFESTACIONES\MANTO DE LA PIEDRA 1 AL 5 SEGUNDO JUZGADO).doc</t>
  </si>
  <si>
    <t>C:\Users\franc\OneDrive\Documentos\ALIRO\ALIRO\KATHY\ANA LUISA 2010\MANIFESTACIONES\manifestacion.doc</t>
  </si>
  <si>
    <t>C:\Users\franc\OneDrive\Documentos\ALIRO\ALIRO\KATHY\ANA LUISA 2010\MANIFESTACIONES\MANGANESO SANTA BARBARA TRES 1 AL 20 (SEGUNDO JUZGADO).doc</t>
  </si>
  <si>
    <t>C:\Users\franc\OneDrive\Documentos\ALIRO\ALIRO\KATHY\ANA LUISA 2010\MANIFESTACIONES\LOS TEOS CINCUENTA Y SEIS 1 AL 30(SEGUNDO JUZGADO).doc</t>
  </si>
  <si>
    <t>C:\Users\franc\OneDrive\Documentos\ALIRO\ALIRO\KATHY\ANA LUISA 2010\MANIFESTACIONES\LOS BUEYTES CINCUENTA Y CINCO 1 AL 30 (SEGUNDO JUZGADO).doc</t>
  </si>
  <si>
    <t>C:\Users\franc\OneDrive\Documentos\ALIRO\ALIRO\KATHY\ANA LUISA 2010\MANIFESTACIONES\LOS BUEYES CINCUENTA Y CUATRO 1 AL 30 (SEGUNDO JUZGADO).doc</t>
  </si>
  <si>
    <t>C:\Users\franc\OneDrive\Documentos\ALIRO\ALIRO\KATHY\ANA LUISA 2010\MANIFESTACIONES\LOS AROMOS 1 AL 20 SEGUNDO JUZGADO).doc</t>
  </si>
  <si>
    <t>C:\Users\franc\OneDrive\Documentos\ALIRO\ALIRO\KATHY\ANA LUISA 2010\MANIFESTACIONES\LIRIMO UNO 1 AL 30 (SEGUNDO JUZGADO).doc</t>
  </si>
  <si>
    <t>C:\Users\franc\OneDrive\Documentos\ALIRO\ALIRO\KATHY\ANA LUISA 2010\MANIFESTACIONES\LIRIMO TRES 1 AL 30 (SEGUNDO JUZGADO).doc</t>
  </si>
  <si>
    <t>C:\Users\franc\OneDrive\Documentos\ALIRO\ALIRO\KATHY\ANA LUISA 2010\MANIFESTACIONES\LIRIMO DOS 1 AL 30 (SEGUNDO JUZGADO).doc</t>
  </si>
  <si>
    <t>C:\Users\franc\OneDrive\Documentos\ALIRO\ALIRO\KATHY\ANA LUISA 2010\MANIFESTACIONES\LIRIMO CINCO 1 AL 30 (SEGUNDO JUZGADO).doc</t>
  </si>
  <si>
    <t>C:\Users\franc\OneDrive\Documentos\ALIRO\ALIRO\KATHY\ANA LUISA 2010\MANIFESTACIONES\LA SECA CINCUENTA Y OCHO 1 AL 30(SEGUNDO JUZGADO).doc</t>
  </si>
  <si>
    <t>C:\Users\franc\OneDrive\Documentos\ALIRO\ALIRO\KATHY\ANA LUISA 2010\MANIFESTACIONES\LA SECA CINCUENTA Y NUEVE 1 AL 30(SEGUNDO JUZGADO).doc</t>
  </si>
  <si>
    <t>C:\Users\franc\OneDrive\Documentos\ALIRO\ALIRO\KATHY\ANA LUISA 2010\MANIFESTACIONES\LA SALVACION UNO AL SIETE(SEGUNDO JUZGADO).doc</t>
  </si>
  <si>
    <t>C:\Users\franc\OneDrive\Documentos\ALIRO\ALIRO\KATHY\ANA LUISA 2010\MANIFESTACIONES\La Salvacion 1 al 5 (PRIMER JUZGADO).doc</t>
  </si>
  <si>
    <t>C:\Users\franc\OneDrive\Documentos\ALIRO\ALIRO\KATHY\ANA LUISA 2010\MANIFESTACIONES\la poderosa.doc</t>
  </si>
  <si>
    <t>C:\Users\franc\OneDrive\Documentos\ALIRO\ALIRO\KATHY\ANA LUISA 2010\MANIFESTACIONES\LA HIGUERITA UNA AL CINCO.doc</t>
  </si>
  <si>
    <t>C:\Users\franc\OneDrive\Documentos\ALIRO\ALIRO\KATHY\ANA LUISA 2010\MANIFESTACIONES\LA FORTUNA 1 AL 24.doc</t>
  </si>
  <si>
    <t>C:\Users\franc\OneDrive\Documentos\ALIRO\ALIRO\KATHY\ANA LUISA 2010\MANIFESTACIONES\LA DICHOSA 1 AL 48.doc</t>
  </si>
  <si>
    <t>C:\Users\franc\OneDrive\Documentos\ALIRO\ALIRO\KATHY\ANA LUISA 2010\MANIFESTACIONES\LA COTA VEINTINUEVE 1 AL 30.doc</t>
  </si>
  <si>
    <t>C:\Users\franc\OneDrive\Documentos\ALIRO\ALIRO\KATHY\ANA LUISA 2010\MANIFESTACIONES\LA COTA TREINTA Y NUEVE 1 AL 30.doc</t>
  </si>
  <si>
    <t>C:\Users\franc\OneDrive\Documentos\ALIRO\ALIRO\KATHY\ANA LUISA 2010\MANIFESTACIONES\LA COTA SESENTA 1 AL 20 (SEGUNDO JUZGADO).doc</t>
  </si>
  <si>
    <t>C:\Users\franc\OneDrive\Documentos\ALIRO\ALIRO\KATHY\ANA LUISA 2010\MANIFESTACIONES\LA COTA CUARENTA Y UNO 1 AL 30.doc</t>
  </si>
  <si>
    <t>C:\Users\franc\OneDrive\Documentos\ALIRO\ALIRO\KATHY\ANA LUISA 2010\MANIFESTACIONES\LA COTA CUARENTA Y SIETE 1 AL 30 (SEGUNDO JUZGADO).doc</t>
  </si>
  <si>
    <t>C:\Users\franc\OneDrive\Documentos\ALIRO\ALIRO\KATHY\ANA LUISA 2010\MANIFESTACIONES\LA COTA CINCUENTA Y SIETE 1 AL 30(SEGUNDO JUZGADO).doc</t>
  </si>
  <si>
    <t>C:\Users\franc\OneDrive\Documentos\ALIRO\ALIRO\KATHY\ANA LUISA 2010\MANIFESTACIONES\LA COTA CINCUENTA Y NUEVE 1 AL 30(SEGUNDO JUZGADO).doc</t>
  </si>
  <si>
    <t>C:\Users\franc\OneDrive\Documentos\ALIRO\ALIRO\KATHY\ANA LUISA 2010\MANIFESTACIONES\LA BANDOLERA 1 AL 20.doc</t>
  </si>
  <si>
    <t>C:\Users\franc\OneDrive\Documentos\ALIRO\ALIRO\KATHY\ANA LUISA 2010\MANIFESTACIONES\LA ALMENDRA 1 AL 10.doc</t>
  </si>
  <si>
    <t>C:\Users\franc\OneDrive\Documentos\ALIRO\ALIRO\KATHY\ANA LUISA 2010\MANIFESTACIONES\JUANITA Y YO UNO 1 AL 20.doc</t>
  </si>
  <si>
    <t>C:\Users\franc\OneDrive\Documentos\ALIRO\ALIRO\KATHY\ANA LUISA 2010\MANIFESTACIONES\i.doc</t>
  </si>
  <si>
    <t>C:\Users\franc\OneDrive\Documentos\ALIRO\ALIRO\KATHY\ANA LUISA 2010\MANIFESTACIONES\HAPI C 9  1 AL 20  -   SEGUNDO JUZGADO OVALLE.doc</t>
  </si>
  <si>
    <t>C:\Users\franc\OneDrive\Documentos\ALIRO\ALIRO\KATHY\ANA LUISA 2010\MANIFESTACIONES\HAPI C 8  1 AL 10  -   SEGUNDO JUZGADO OVALLE.doc</t>
  </si>
  <si>
    <t>C:\Users\franc\OneDrive\Documentos\ALIRO\ALIRO\KATHY\ANA LUISA 2010\MANIFESTACIONES\HAPI C 6  1 AL 30  -   SEGUNDO JUZGADO OVALLE.doc</t>
  </si>
  <si>
    <t>C:\Users\franc\OneDrive\Documentos\ALIRO\ALIRO\KATHY\ANA LUISA 2010\MANIFESTACIONES\HAPI C 14  1 AL 30  -   SEGUNDO JUZGADO OVALLE.doc</t>
  </si>
  <si>
    <t>C:\Users\franc\OneDrive\Documentos\ALIRO\ALIRO\KATHY\ANA LUISA 2010\MANIFESTACIONES\HAPI C 12  1 AL 20  -   SEGUNDO JUZGADO OVALLE.doc</t>
  </si>
  <si>
    <t>C:\Users\franc\OneDrive\Documentos\ALIRO\ALIRO\KATHY\ANA LUISA 2010\MANIFESTACIONES\HAPI 20  O 1 AL 20  -  SEGUNDO JUZGADO.doc</t>
  </si>
  <si>
    <t>C:\Users\franc\OneDrive\Documentos\ALIRO\ALIRO\KATHY\ANA LUISA 2010\MANIFESTACIONES\HAPI 19 O 1 AL 20  -  SEGUNDO JUZGADO.doc</t>
  </si>
  <si>
    <t>C:\Users\franc\OneDrive\Documentos\ALIRO\ALIRO\KATHY\ANA LUISA 2010\MANIFESTACIONES\HAPI 17 O 1 AL 20  Segundo Juzgado.doc</t>
  </si>
  <si>
    <t>C:\Users\franc\OneDrive\Documentos\ALIRO\ALIRO\KATHY\ANA LUISA 2010\MANIFESTACIONES\GISSEL 1 AL 5    PRIMER JDO.doc</t>
  </si>
  <si>
    <t>C:\Users\franc\OneDrive\Documentos\ALIRO\ALIRO\KATHY\ANA LUISA 2010\MANIFESTACIONES\GABRIEL VI, 1 AL 200.doc</t>
  </si>
  <si>
    <t>C:\Users\franc\OneDrive\Documentos\ALIRO\ALIRO\KATHY\ANA LUISA 2010\MANIFESTACIONES\GABRIEL V, 1 AL 300.doc</t>
  </si>
  <si>
    <t>C:\Users\franc\OneDrive\Documentos\ALIRO\ALIRO\KATHY\ANA LUISA 2010\MANIFESTACIONES\GABRIEL IV, 1 AL 300.doc</t>
  </si>
  <si>
    <t>C:\Users\franc\OneDrive\Documentos\ALIRO\ALIRO\KATHY\ANA LUISA 2010\MANIFESTACIONES\FRAGATA UNO A FRAGATA VEINTE.doc</t>
  </si>
  <si>
    <t>C:\Users\franc\OneDrive\Documentos\ALIRO\ALIRO\KATHY\ANA LUISA 2010\MANIFESTACIONES\FLOR DEL CERRO 1 AL 100  (SEGUNDO JUZGADO).doc</t>
  </si>
  <si>
    <t>C:\Users\franc\OneDrive\Documentos\ALIRO\ALIRO\KATHY\ANA LUISA 2010\MANIFESTACIONES\ESCOBA UNO 1 AL 13.doc</t>
  </si>
  <si>
    <t>C:\Users\franc\OneDrive\Documentos\ALIRO\ALIRO\KATHY\ANA LUISA 2010\MANIFESTACIONES\ESCOBA TRES 1 AL 13.doc</t>
  </si>
  <si>
    <t>C:\Users\franc\OneDrive\Documentos\ALIRO\ALIRO\KATHY\ANA LUISA 2010\MANIFESTACIONES\ESCOBA TRECE 1 AL 13.doc</t>
  </si>
  <si>
    <t>C:\Users\franc\OneDrive\Documentos\ALIRO\ALIRO\KATHY\ANA LUISA 2010\MANIFESTACIONES\ESCOBA SIETE 1 AL 13.doc</t>
  </si>
  <si>
    <t>C:\Users\franc\OneDrive\Documentos\ALIRO\ALIRO\KATHY\ANA LUISA 2010\MANIFESTACIONES\ESCOBA SEIS 1 AL 13.doc</t>
  </si>
  <si>
    <t>C:\Users\franc\OneDrive\Documentos\ALIRO\ALIRO\KATHY\ANA LUISA 2010\MANIFESTACIONES\ESCOBA ONCE 1 AL 13.doc</t>
  </si>
  <si>
    <t>C:\Users\franc\OneDrive\Documentos\ALIRO\ALIRO\KATHY\ANA LUISA 2010\MANIFESTACIONES\ESCOBA OCHO 1 AL 13.doc</t>
  </si>
  <si>
    <t>C:\Users\franc\OneDrive\Documentos\ALIRO\ALIRO\KATHY\ANA LUISA 2010\MANIFESTACIONES\ESCOBA NUEVE 1 AL 5.doc</t>
  </si>
  <si>
    <t>C:\Users\franc\OneDrive\Documentos\ALIRO\ALIRO\KATHY\ANA LUISA 2010\MANIFESTACIONES\ESCOBA DOS 1 AL 5.doc</t>
  </si>
  <si>
    <t>C:\Users\franc\OneDrive\Documentos\ALIRO\ALIRO\KATHY\ANA LUISA 2010\MANIFESTACIONES\ESCOBA DOCE 1 AL 13.doc</t>
  </si>
  <si>
    <t>C:\Users\franc\OneDrive\Documentos\ALIRO\ALIRO\KATHY\ANA LUISA 2010\MANIFESTACIONES\ESCOBA DIEZ 1 AL 13.doc</t>
  </si>
  <si>
    <t>C:\Users\franc\OneDrive\Documentos\ALIRO\ALIRO\KATHY\ANA LUISA 2010\MANIFESTACIONES\ESCOBA CUATRO 1 AL 13.doc</t>
  </si>
  <si>
    <t>C:\Users\franc\OneDrive\Documentos\ALIRO\ALIRO\KATHY\ANA LUISA 2010\MANIFESTACIONES\ESCOBA CINCO 1 AL 13.doc</t>
  </si>
  <si>
    <t>C:\Users\franc\OneDrive\Documentos\ALIRO\ALIRO\KATHY\ANA LUISA 2010\MANIFESTACIONES\ESCOBA CATORCE 1 AL 13.doc</t>
  </si>
  <si>
    <t>C:\Users\franc\OneDrive\Documentos\ALIRO\ALIRO\KATHY\ANA LUISA 2010\MANIFESTACIONES\EL ACIERTO 7  (PEDIMENTO).doc</t>
  </si>
  <si>
    <t>C:\Users\franc\OneDrive\Documentos\ALIRO\ALIRO\KATHY\ANA LUISA 2010\MANIFESTACIONES\EL ACIERTO 6 (PEDIMENTO).doc</t>
  </si>
  <si>
    <t>C:\Users\franc\OneDrive\Documentos\ALIRO\ALIRO\KATHY\ANA LUISA 2010\MANIFESTACIONES\DON MARIO.doc</t>
  </si>
  <si>
    <t>C:\Users\franc\OneDrive\Documentos\ALIRO\ALIRO\KATHY\ANA LUISA 2010\MANIFESTACIONES\DON MARIO 1 AL 100.doc</t>
  </si>
  <si>
    <t>C:\Users\franc\OneDrive\Documentos\ALIRO\ALIRO\KATHY\ANA LUISA 2010\MANIFESTACIONES\DESIERTO 1 AL 24.doc</t>
  </si>
  <si>
    <t>C:\Users\franc\OneDrive\Documentos\ALIRO\ALIRO\KATHY\ANA LUISA 2010\MANIFESTACIONES\DADIN CUARENTA Y CUATRO 1 AL 30 .(SEGUNDO JUZGADO).doc</t>
  </si>
  <si>
    <t>C:\Users\franc\OneDrive\Documentos\ALIRO\ALIRO\KATHY\ANA LUISA 2010\MANIFESTACIONES\CUNACO UNO, DEL 1 AL 100 (SEGUNDO JUZGADO).doc</t>
  </si>
  <si>
    <t>C:\Users\franc\OneDrive\Documentos\ALIRO\ALIRO\KATHY\ANA LUISA 2010\MANIFESTACIONES\CUNACO CUATRO, DEL 1 AL 20 (SEGUNDO JUZGADO).doc</t>
  </si>
  <si>
    <t>C:\Users\franc\OneDrive\Documentos\ALIRO\ALIRO\KATHY\ANA LUISA 2010\MANIFESTACIONES\CUMBRE VIII DEL 1 AL 10.doc</t>
  </si>
  <si>
    <t>C:\Users\franc\OneDrive\Documentos\ALIRO\ALIRO\KATHY\ANA LUISA 2010\MANIFESTACIONES\CUMBRE III DEL 1 AL 10.doc</t>
  </si>
  <si>
    <t>C:\Users\franc\OneDrive\Documentos\ALIRO\ALIRO\KATHY\ANA LUISA 2010\MANIFESTACIONES\CRISOCOLA 1 A 10.doc</t>
  </si>
  <si>
    <t>C:\Users\franc\OneDrive\Documentos\ALIRO\ALIRO\KATHY\ANA LUISA 2010\MANIFESTACIONES\COLORADA 1 AL 21.doc</t>
  </si>
  <si>
    <t>C:\Users\franc\OneDrive\Documentos\ALIRO\ALIRO\KATHY\ANA LUISA 2010\MANIFESTACIONES\CARMEN II 1 AL 10.doc</t>
  </si>
  <si>
    <t>C:\Users\franc\OneDrive\Documentos\ALIRO\ALIRO\KATHY\ANA LUISA 2010\MANIFESTACIONES\BULRREME UNO 1 AL 20(SEGUNDO JUZGADO).doc</t>
  </si>
  <si>
    <t>C:\Users\franc\OneDrive\Documentos\ALIRO\ALIRO\KATHY\ANA LUISA 2010\MANIFESTACIONES\BULRREME TRES 1 AL 20(SEGUNDO JUZGADO).doc</t>
  </si>
  <si>
    <t>C:\Users\franc\OneDrive\Documentos\ALIRO\ALIRO\KATHY\ANA LUISA 2010\MANIFESTACIONES\BARTOLA 1 A 5.doc</t>
  </si>
  <si>
    <t>C:\Users\franc\OneDrive\Documentos\ALIRO\ALIRO\KATHY\ANA LUISA 2010\MANIFESTACIONES\BANDURRIAS IV DEL 1 AL 20.doc</t>
  </si>
  <si>
    <t>C:\Users\franc\OneDrive\Documentos\ALIRO\ALIRO\KATHY\ANA LUISA 2010\MANIFESTACIONES\BANDURRIAS III DEL 1 AL 20.doc</t>
  </si>
  <si>
    <t>C:\Users\franc\OneDrive\Documentos\ALIRO\ALIRO\KATHY\ANA LUISA 2010\MANIFESTACIONES\BANDURRIAS II DEL 1 AL 20.doc</t>
  </si>
  <si>
    <t>C:\Users\franc\OneDrive\Documentos\ALIRO\ALIRO\KATHY\ANA LUISA 2010\HIPOTECAS\SERVIDUMBRE COMPAÑIA MINERA PUNITAQUI SCM - CINABRIO 28-50.doc</t>
  </si>
  <si>
    <t>C:\Users\franc\OneDrive\Documentos\ALIRO\ALIRO\KATHY\ANA LUISA 2010\MANIFESTACIONES\BANDURRIAS I DEL 1 AL 20.doc</t>
  </si>
  <si>
    <t>C:\Users\franc\OneDrive\Documentos\ALIRO\ALIRO\KATHY\ANA LUISA 2010\MANIFESTACIONES\ATILA C 3  1 AL 20  -   SEGUNDO JUZGADO OVALLE.doc</t>
  </si>
  <si>
    <t>C:\Users\franc\OneDrive\Documentos\ALIRO\ALIRO\KATHY\ANA LUISA 2010\MANIFESTACIONES\ATILA 1 AL 5.doc</t>
  </si>
  <si>
    <t>C:\Users\franc\OneDrive\Documentos\ALIRO\ALIRO\KATHY\ANA LUISA 2010\MANIFESTACIONES\ATILA 1 0  1 AL 20  -  SEGUNDO JUZGADO.doc</t>
  </si>
  <si>
    <t>C:\Users\franc\OneDrive\Documentos\ALIRO\ALIRO\KATHY\ANA LUISA 2010\MANIFESTACIONES\ANA LUISA III, 1 AL 300.doc</t>
  </si>
  <si>
    <t>C:\Users\franc\OneDrive\Documentos\ALIRO\ALIRO\KATHY\ANA LUISA 2010\HIPOTECAS\VALE 1 AL 38 - ENAMI.doc</t>
  </si>
  <si>
    <t>C:\Users\franc\OneDrive\Documentos\ALIRO\ALIRO\KATHY\ANA LUISA 2010\HIPOTECAS\TERMINO DE ARRENDAMIENTO LA SATAN 1 AL 20.doc</t>
  </si>
  <si>
    <t>C:\Users\franc\OneDrive\Documentos\ALIRO\ALIRO\KATHY\ANA LUISA 2010\HIPOTECAS\TERMINO ANTICIPADO CONTRATO DE ARRENDAMIENTO LA AURORITA 1 AL 10.doc</t>
  </si>
  <si>
    <t>C:\Users\franc\OneDrive\Documentos\ALIRO\ALIRO\KATHY\ANA LUISA 2010\HIPOTECAS\SERVIDUMBRE PANAL II  1 AL 10   Y  PANAL III  1 AL 10  -  ANGLO AMERICAN NORTE S.A.  -  ENAMI.doc</t>
  </si>
  <si>
    <t>C:\Users\franc\OneDrive\Documentos\ALIRO\ALIRO\KATHY\ANA LUISA 2010\HIPOTECAS\SERVIDUMBRE NEGATIVA SOCIEDAD CONTRACTUAL MINERA TALCA Y ATACAMA ENERGY HOLDINGS SpA.-RINCÓN UNO AL DIECINUEVE.doc</t>
  </si>
  <si>
    <t>C:\Users\franc\OneDrive\Documentos\ALIRO\ALIRO\KATHY\ANA LUISA 2010\HIPOTECAS\SERVIDUMBRE NEGATIVA SOCIEDAD CONTRACTUAL MINERA TALCA Y ATACAMA ENERGY HOLDINGS SpA.-NIEBLA UNO AL DOCE.doc</t>
  </si>
  <si>
    <t>C:\Users\franc\OneDrive\Documentos\ALIRO\ALIRO\KATHY\ANA LUISA 2010\HIPOTECAS\SERVIDUMBRE NEGATIVA SOCIEDAD CONTRACTUAL MINERA TALCA Y ATACAMA ENERGY HOLDINGS SpA.-NIEBLA TRECE AL SESENTA Y CUATRO.doc</t>
  </si>
  <si>
    <t>C:\Users\franc\OneDrive\Documentos\ALIRO\ALIRO\KATHY\ANA LUISA 2010\HIPOTECAS\SERVIDUMBRE NEGATIVA SOCIEDAD CONTRACTUAL MINERA TALCA Y ATACAMA ENERGY HOLDINGS SpA.-NIEBLA SUR UNO AL SESENTA Y DOS.doc</t>
  </si>
  <si>
    <t>C:\Users\franc\OneDrive\Documentos\ALIRO\ALIRO\KATHY\ANA LUISA 2010\HIPOTECAS\SERVIDUMBRE NEGATIVA SOCIEDAD CONTRACTUAL MINERA TALCA Y ATACAMA ENERGY HOLDINGS SpA.-LA ROSQUITA SEGUNDA, UNO AL NUEVE (Reparado).doc</t>
  </si>
  <si>
    <t>C:\Users\franc\OneDrive\Documentos\ALIRO\ALIRO\KATHY\ANA LUISA 2010\HIPOTECAS\SERVIDUMBRE NEGATIVA SOCIEDAD CONTRACTUAL MINERA TALCA Y ATACAMA ENERGY HOLDINGS SpA.-DON RÁUL, 1 AL 50.doc</t>
  </si>
  <si>
    <t>C:\Users\franc\OneDrive\Documentos\ALIRO\ALIRO\KATHY\ANA LUISA 2010\HIPOTECAS\SERVIDUMBRE NEGATIVA SOCIEDAD AGRICOLA LOS ÑISÑILES LIMITADA A IMELSA S.A. - LOS PIMIENTOS 1 AL 52.doc</t>
  </si>
  <si>
    <t>C:\Users\franc\OneDrive\Documentos\ALIRO\ALIRO\KATHY\ANA LUISA 2010\HIPOTECAS\SERVIDUMBRE NEGATIVA SOCIEDAD AGRICOLA LOS ÑISÑILES LIMITADA A IMELSA S.A. - LOS LLANOS 1 AL 60.doc</t>
  </si>
  <si>
    <t>C:\Users\franc\OneDrive\Documentos\ALIRO\ALIRO\KATHY\ANA LUISA 2010\HIPOTECAS\SERVIDUMBRE NEGATIVA RENOVALIA CHILE NUEVE SpA A LAS MOLLACAS SpA - ROCIO DOS, 1 AL 20.doc</t>
  </si>
  <si>
    <t>C:\Users\franc\OneDrive\Documentos\ALIRO\ALIRO\KATHY\ANA LUISA 2010\HIPOTECAS\SERVIDUMBRE NEGATIVA HACIENDAS TALINAY S.A. A PARQUE EÓLICO PUNTA DE TALCA SpA - SOFIA 60 AB 1 AL 201 Y OTRAS.doc</t>
  </si>
  <si>
    <t>C:\Users\franc\OneDrive\Documentos\ALIRO\ALIRO\KATHY\ANA LUISA 2010\HIPOTECAS\SERVIDUMBRE NEGATIVA HACIENDAS TALINAY S.A. A PARQUE EÓLICO PUNTA DE TALCA SpA - ORIENTE DE TALINAY 16 D Y OTRAS.doc</t>
  </si>
  <si>
    <t>C:\Users\franc\OneDrive\Documentos\ALIRO\ALIRO\KATHY\ANA LUISA 2010\HIPOTECAS\SERVIDUMBRE NEGATIVA CELTIC SOLAR GROUP SpA A CAMARICO SOLAR DOS SpA - CAMARINCO VI 1 AL 7 Y LOS OLIVOS NUEVE.doc</t>
  </si>
  <si>
    <t>C:\Users\franc\OneDrive\Documentos\ALIRO\ALIRO\KATHY\ANA LUISA 2010\HIPOTECAS\SERVIDUMBRE NEGATIVA CELTIC SOLAR GROUP SpA A CAMARICO SOLAR DOS SpA - CAMARINCO III 1 AL 10.-V3.doc</t>
  </si>
  <si>
    <t>C:\Users\franc\OneDrive\Documentos\ALIRO\ALIRO\KATHY\ANA LUISA 2010\HIPOTECAS\SERVIDUMBRE LOMAS I, II Y IV - CRISTIAN RUIZ-TAGLE - SOC. AG. Y GAN. RIO NEGRO LTDACOMPAÑIA MINERA PUNITAQUI SCM - CINABRIO 28-50.doc</t>
  </si>
  <si>
    <t>C:\Users\franc\OneDrive\Documentos\ALIRO\ALIRO\KATHY\ANA LUISA 2010\HIPOTECAS\SERVIDUMBRE EL DORADO CENTRO 1 AL 10 Y OTRAS.doc</t>
  </si>
  <si>
    <t>C:\Users\franc\OneDrive\Documentos\ALIRO\ALIRO\KATHY\ANA LUISA 2010\HIPOTECAS\SERVIDUMBRE DALMACIA Y ARCO IRIS.doc</t>
  </si>
  <si>
    <t>C:\Users\franc\OneDrive\Documentos\ALIRO\ALIRO\KATHY\ANA LUISA 2010\HIPOTECAS\SERVIDUMBRE COMUNIDAD AGRICOLA PUNITAQUI.doc</t>
  </si>
  <si>
    <t>C:\Users\franc\OneDrive\Documentos\ALIRO\ALIRO\KATHY\ANA LUISA 2010\HIPOTECAS\SERVIDUMBRE COMUNIDAD AGRICOLA PUNITAQUI A CIA MRA. TAMAYA SCM Y CIA MRA LOS MANTOS SCM.doc</t>
  </si>
  <si>
    <t>C:\Users\franc\OneDrive\Documentos\ALIRO\ALIRO\KATHY\ANA LUISA 2010\HIPOTECAS\SERVIDUMBRE COMUNIDAD AGR. PUNITAQUI A CIA MINERA TAMAYA SCM Y OTRA - ULTIMA.doc</t>
  </si>
  <si>
    <t>C:\Users\franc\OneDrive\Documentos\ALIRO\ALIRO\KATHY\ANA LUISA 2010\HIPOTECAS\SANTA CLARA 1 AL 2.doc</t>
  </si>
  <si>
    <t>C:\Users\franc\OneDrive\Documentos\ALIRO\ALIRO\KATHY\ANA LUISA 2010\HIPOTECAS\ROSITA UNA A SEIS.doc</t>
  </si>
  <si>
    <t>C:\Users\franc\OneDrive\Documentos\ALIRO\ALIRO\KATHY\ANA LUISA 2010\HIPOTECAS\MODELO.doc</t>
  </si>
  <si>
    <t>C:\Users\franc\OneDrive\Documentos\ALIRO\ALIRO\KATHY\ANA LUISA 2010\HIPOTECAS\MIODIFICACION CONTRATO DE EXPLOTACION MINERA  -  ALTO DEL VALLE 1 AL 5.doc</t>
  </si>
  <si>
    <t>C:\Users\franc\OneDrive\Documentos\ALIRO\ALIRO\KATHY\ANA LUISA 2010\HIPOTECAS\MINA INSIENSO 1 AL 20.- ENAMI.doc</t>
  </si>
  <si>
    <t>C:\Users\franc\OneDrive\Documentos\ALIRO\ALIRO\KATHY\ANA LUISA 2010\HIPOTECAS\MINA INSIENSO 1 AL 20 - ENAMI.doc</t>
  </si>
  <si>
    <t>C:\Users\franc\OneDrive\Documentos\ALIRO\ALIRO\KATHY\ANA LUISA 2010\HIPOTECAS\MARÍA MERCEDES 1 AL 10 - ENAMI.doc</t>
  </si>
  <si>
    <t>C:\Users\franc\OneDrive\Documentos\ALIRO\ALIRO\KATHY\ANA LUISA 2010\HIPOTECAS\LA CAÑA UNO A LA CAÑA DIEZ - ENAMI.doc</t>
  </si>
  <si>
    <t>C:\Users\franc\OneDrive\Documentos\ALIRO\ALIRO\KATHY\ANA LUISA 2010\HIPOTECAS\LA CARZA GRANDE UNA AL CINCO.doc</t>
  </si>
  <si>
    <t>C:\Users\franc\OneDrive\Documentos\ALIRO\ALIRO\KATHY\ANA LUISA 2010\HIPOTECAS\FLOR DE ESPINO 1 AL 5 - ENAMI.doc</t>
  </si>
  <si>
    <t>C:\Users\franc\OneDrive\Documentos\ALIRO\ALIRO\KATHY\ANA LUISA 2010\HIPOTECAS\BONIE 1 AL 5     ENAMI.doc</t>
  </si>
  <si>
    <t>C:\Users\franc\OneDrive\Documentos\ALIRO\ALIRO\KATHY\ANA LUISA 2010\HIPOTECAS\17.doc</t>
  </si>
  <si>
    <t>C:\Users\franc\OneDrive\Documentos\ALIRO\ALIRO\KATHY\ANA LUISA 2010\HIPOTECAS\1.doc</t>
  </si>
  <si>
    <t>C:\Users\franc\OneDrive\Documentos\ALIRO\ALIRO\KATHY\ANA LUISA 2010\CONCESION DE EXPLORACION\DOÑA CLEMENTINA  --  PRIMER JUZGADO.doc</t>
  </si>
  <si>
    <t>C:\Users\franc\OneDrive\Documentos\ALIRO\ALIRO\KATHY\ANA LUISA 2010\COMPRAVENTA DE PERTENENCIAS MINERAS\RENDICION DE CUENTAS   -   DON DOMINGO  - CONCESION DE EXPLORACION.doc</t>
  </si>
  <si>
    <t>C:\Users\franc\OneDrive\Documentos\ALIRO\ALIRO\KATHY\ANA LUISA 2010\COMPRAVENTA DE PERTENENCIAS MINERAS\nancy.doc</t>
  </si>
  <si>
    <t>C:\Users\franc\OneDrive\Documentos\ALIRO\ALIRO\KATHY\ANA LUISA 2010\COMPRAVENTA DE PERTENENCIAS MINERAS\logo.doc</t>
  </si>
  <si>
    <t>C:\Users\franc\OneDrive\Documentos\ALIRO\ALIRO\KATHY\ANA LUISA 2010\COMPRAVENTA DE PERTENENCIAS MINERAS\Doc2.doc</t>
  </si>
  <si>
    <t>C:\Users\franc\OneDrive\Documentos\ALIRO\ALIRO\KATHY\ANA LUISA 2010\COMPRAVENTA DE PERTENENCIAS MINERAS\DECLARACION MANDATO A NOMBRE PRPIO Y RENDICION CTAS   -   CONSTANZA - CONCESION EXPLORAXCION.doc</t>
  </si>
  <si>
    <t>C:\Users\franc\OneDrive\Documentos\ALIRO\ALIRO\KATHY\ANA LUISA 2010\COMPRAVENTA DE PERTENENCIAS MINERAS\COMPRAVENTA LOS PATRIARCAS DIECISIETE.doc</t>
  </si>
  <si>
    <t>C:\Users\franc\OneDrive\Documentos\ALIRO\ALIRO\KATHY\ANA LUISA 2010\COMPRAVENTA DE PERTENENCIAS MINERAS\COMPRAVENTA EL RUMPO 1 AL 5.doc</t>
  </si>
  <si>
    <t>C:\Users\franc\OneDrive\Documentos\ALIRO\ALIRO\KATHY\ANA LUISA 2010\COMPRAVENTA DE PERTENENCIAS MINERAS\ADQUISICION Y DOMINIO  BICKMAR V.doc</t>
  </si>
  <si>
    <t>C:\Users\franc\OneDrive\Documentos\ALIRO\ALIRO\KATHY\ANA LUISA 2010\COMPRAVENTA DE PERTENENCIAS MINERAS\ADQUISICION Y DOMINIO  BICKMAR IV.doc</t>
  </si>
  <si>
    <t>C:\Users\franc\OneDrive\Documentos\ALIRO\ALIRO\KATHY\ANA LUISA 2010\COMPRAVENTA DE PERTENENCIAS MINERAS\ADQUISICION Y DOMINIO  BICKMAR III.doc</t>
  </si>
  <si>
    <t>C:\Users\franc\OneDrive\Documentos\ALIRO\ALIRO\KATHY\ANA LUISA 2010\COMPRAVENTA DE PERTENENCIAS MINERAS\ADQUISICION Y DOMINIO  BICKMAR II.doc</t>
  </si>
  <si>
    <t>C:\Users\franc\OneDrive\Documentos\ALIRO\ALIRO\KATHY\ANA LUISA 2010\COMPRAVENTA DE PERTENENCIAS MINERAS\ADQUISICION Y DOMINIO  BICKMAR I.doc</t>
  </si>
  <si>
    <t>C:\Users\franc\OneDrive\Documentos\ALIRO\ALIRO\KATHY\ANA LUISA 2010\COMPRAVENTA DE PERTENENCIAS MINERAS\ADQUISICION Y DOMINIO  BICKMAR 1 AL 16.doc</t>
  </si>
  <si>
    <t>C:\Users\franc\OneDrive\Documentos\ALIRO\ALIRO\KATHY\ANA LUISA 2010\COMPRAVENTA DE PERTENENCIAS MINERAS\ADQUISICION TORO UNO AL DOCE.doc</t>
  </si>
  <si>
    <t>C:\Users\franc\OneDrive\Documentos\ALIRO\ALIRO\KATHY\ANA LUISA 2010\COMPRAVENTA DE PERTENENCIAS MINERAS\ADQUISICION SAN LUIS V UNO AL VEINTE (LUIS CARRASCO) MANIFESTACION.doc</t>
  </si>
  <si>
    <t>C:\Users\franc\OneDrive\Documentos\ALIRO\ALIRO\KATHY\ANA LUISA 2010\COMPRAVENTA DE PERTENENCIAS MINERAS\ADQUISICION PORVENIR UNO AL CUATRO.doc</t>
  </si>
  <si>
    <t>C:\Users\franc\OneDrive\Documentos\ALIRO\ALIRO\KATHY\ANA LUISA 2010\COMPRAVENTA DE PERTENENCIAS MINERAS\ADJUDICACION EN REMATE    OLIVIA QUINTA 1 AL 9.doc</t>
  </si>
  <si>
    <t>C:\Users\franc\OneDrive\Documentos\ALIRO\ALIRO\KATHY\ANA LUISA 2010\COMPRAVENTA DE PERTENENCIAS MINERAS\8.doc</t>
  </si>
  <si>
    <t>C:\Users\franc\OneDrive\Documentos\ALIRO\ALIRO\KATHY\ANA LUISA 2010\COMPRAVENTA DE DERECHOS MINEROS\MODELO.DOS.doc</t>
  </si>
  <si>
    <t>C:\Users\franc\OneDrive\Documentos\ALIRO\ALIRO\KATHY\ANA LUISA 2010\COMPRAVENTA DE DERECHOS MINEROS\logo.doc</t>
  </si>
  <si>
    <t>C:\Users\franc\OneDrive\Documentos\ALIRO\ALIRO\KATHY\ANA LUISA 2010\COMPRAVENTA DE DERECHOS MINEROS\COMPRAVENTA DERECHOS REPETIDA 1 AL 13.doc</t>
  </si>
  <si>
    <t>C:\Users\franc\OneDrive\Documentos\ALIRO\ALIRO\KATHY\ANA LUISA 2010\CESION DE ACCIONES\SOCIEDAD MINA ISRAEL ANTONIO UNO DE PUNITAQUI.doc</t>
  </si>
  <si>
    <t>C:\Users\franc\OneDrive\Documentos\ALIRO\ALIRO\KATHY\ANA LUISA 2010\CESION DE ACCIONES\SOCIEDAD LOS MANTOS DE LA CORTADERA - GONZALO GUERRERO A SLMJERUSALEM UNO DE OVALLE - CIA MRA NACIONAL LTDA Y ENAMI.doc</t>
  </si>
  <si>
    <t>C:\Users\franc\OneDrive\Documentos\ALIRO\ALIRO\KATHY\ANA LUISA 2010\CESION DE ACCIONES\SOCIEDAD BUENA VISTA UNO DEL SECTOR DE SAMO BAJO.doc</t>
  </si>
  <si>
    <t>C:\Users\franc\OneDrive\Documentos\ALIRO\ALIRO\KATHY\ANA LUISA 2010\CESION DE ACCIONES\logo.doc</t>
  </si>
  <si>
    <t>C:\Users\franc\OneDrive\Documentos\ALIRO\ALIRO\KATHY\ANA LUISA 2010\CESION DE ACCIONES\CESION ACCIONES A SMC GOLD CHILE LTDA EN CIA. MRA. TAMAYA SCM.doc</t>
  </si>
  <si>
    <t>C:\Users\franc\OneDrive\Documentos\ALIRO\ALIRO\KATHY\ANA LUISA 2010\CESION DE ACCIONES\6.doc</t>
  </si>
  <si>
    <t>C:\Users\franc\OneDrive\Documentos\ALIRO\ALIRO\KATHY\ANA LUISA 2010\CESION DE ACCIONES\1.doc</t>
  </si>
  <si>
    <t>C:\Users\franc\OneDrive\Documentos\ALIRO\ALIRO\KATHY\ANA LUISA 2010\CERTIFICADOS DE LITIGIOS\VICTORIA VIII 1 AL 200.doc</t>
  </si>
  <si>
    <t>C:\Users\franc\OneDrive\Documentos\ALIRO\ALIRO\KATHY\ANA LUISA 2010\CERTIFICADOS DE LITIGIOS\VICTORIA VII 1 AL 200.doc</t>
  </si>
  <si>
    <t>C:\Users\franc\OneDrive\Documentos\ALIRO\ALIRO\KATHY\ANA LUISA 2010\CERTIFICADOS DE LITIGIOS\VICTORIA VI 1 AL 200.doc</t>
  </si>
  <si>
    <t>C:\Users\franc\OneDrive\Documentos\ALIRO\ALIRO\KATHY\ANA LUISA 2010\CERTIFICADOS DE LITIGIOS\VICTORIA V 1 AL 300.doc</t>
  </si>
  <si>
    <t>C:\Users\franc\OneDrive\Documentos\ALIRO\ALIRO\KATHY\ANA LUISA 2010\CERTIFICADOS DE LITIGIOS\VICTORIA IV 1-300.doc</t>
  </si>
  <si>
    <t>C:\Users\franc\OneDrive\Documentos\ALIRO\ALIRO\KATHY\ANA LUISA 2010\CERTIFICADOS DE LITIGIOS\VICTORIA III 1 AL 235.doc</t>
  </si>
  <si>
    <t>C:\Users\franc\OneDrive\Documentos\ALIRO\ALIRO\KATHY\ANA LUISA 2010\CERTIFICADOS DE LITIGIOS\VICTORIA II 1 AL 285.doc</t>
  </si>
  <si>
    <t>C:\Users\franc\OneDrive\Documentos\ALIRO\ALIRO\KATHY\ANA LUISA 2010\CERTIFICADOS DE LITIGIOS\VICTORIA I 1 AL 245.doc</t>
  </si>
  <si>
    <t>C:\Users\franc\OneDrive\Documentos\ALIRO\ALIRO\KATHY\ANA LUISA 2010\CERTIFICADOS DE LITIGIOS\SANTA RITA 1 AL 7.doc</t>
  </si>
  <si>
    <t>C:\Users\franc\OneDrive\Documentos\ALIRO\ALIRO\KATHY\ANA LUISA 2010\CERTIFICADOS DE LITIGIOS\SANTA FE.doc</t>
  </si>
  <si>
    <t>C:\Users\franc\OneDrive\Documentos\ALIRO\ALIRO\KATHY\ANA LUISA 2010\CERTIFICADOS DE LITIGIOS\SAN PABLO UNO A CINCO.doc</t>
  </si>
  <si>
    <t>C:\Users\franc\OneDrive\Documentos\ALIRO\ALIRO\KATHY\ANA LUISA 2010\CERTIFICADOS DE LITIGIOS\SAN MIGUEL 1 AL 20 - MIGUEL TAPIA.doc</t>
  </si>
  <si>
    <t>C:\Users\franc\OneDrive\Documentos\ALIRO\ALIRO\KATHY\ANA LUISA 2010\CERTIFICADOS DE LITIGIOS\SAN ANDRES 1 AL 14 - MINERA ALTOS DE PUNITAQUI LLIMITADA.doc</t>
  </si>
  <si>
    <t>C:\Users\franc\OneDrive\Documentos\ALIRO\ALIRO\KATHY\ANA LUISA 2010\CERTIFICADOS DE LITIGIOS\ROCIO 1 AL 10.doc</t>
  </si>
  <si>
    <t>C:\Users\franc\OneDrive\Documentos\ALIRO\ALIRO\KATHY\ANA LUISA 2010\CERTIFICADOS DE LITIGIOS\RITA 1 AL 7.doc</t>
  </si>
  <si>
    <t>C:\Users\franc\OneDrive\Documentos\ALIRO\ALIRO\KATHY\ANA LUISA 2010\CERTIFICADOS DE LITIGIOS\QUILES 1 A 10.doc</t>
  </si>
  <si>
    <t>C:\Users\franc\OneDrive\Documentos\ALIRO\ALIRO\KATHY\ANA LUISA 2010\CERTIFICADOS DE LITIGIOS\PUNITAQUI 1 AL 50.doc</t>
  </si>
  <si>
    <t>C:\Users\franc\OneDrive\Documentos\ALIRO\ALIRO\KATHY\ANA LUISA 2010\CERTIFICADOS DE LITIGIOS\PORTEÑA - CIA. MINERA TAMAYA.doc</t>
  </si>
  <si>
    <t>C:\Users\franc\OneDrive\Documentos\ALIRO\ALIRO\KATHY\ANA LUISA 2010\CERTIFICADOS DE LITIGIOS\PANAL III    1 AL 10 ANGLO AMERICAN NORTE S.A..doc</t>
  </si>
  <si>
    <t>C:\Users\franc\OneDrive\Documentos\ALIRO\ALIRO\KATHY\ANA LUISA 2010\CERTIFICADOS DE LITIGIOS\PANAL II    1 AL 10 ANGLO AMERICAN NORTE S.A..doc</t>
  </si>
  <si>
    <t>C:\Users\franc\OneDrive\Documentos\ALIRO\ALIRO\KATHY\ANA LUISA 2010\CERTIFICADOS DE LITIGIOS\PANAL I  1 AL 10 ANGLO AMERICAN NORTE S.A..doc</t>
  </si>
  <si>
    <t>C:\Users\franc\OneDrive\Documentos\ALIRO\ALIRO\KATHY\ANA LUISA 2010\CERTIFICADOS DE LITIGIOS\MINA SANTA ALICIA UNO AL DIECISIETE - 2011.doc</t>
  </si>
  <si>
    <t>C:\Users\franc\OneDrive\Documentos\ALIRO\ALIRO\KATHY\ANA LUISA 2010\CERTIFICADOS DE LITIGIOS\MINA SANTA ALICIA 1 AL 17  (2010).doc</t>
  </si>
  <si>
    <t>C:\Users\franc\OneDrive\Documentos\ALIRO\ALIRO\KATHY\ANA LUISA 2010\CERTIFICADOS DE LITIGIOS\MINA PORRITA 1 AL 5.doc</t>
  </si>
  <si>
    <t>C:\Users\franc\OneDrive\Documentos\ALIRO\ALIRO\KATHY\ANA LUISA 2010\CERTIFICADOS DE LITIGIOS\MERCED 1 AL 10.doc</t>
  </si>
  <si>
    <t>C:\Users\franc\OneDrive\Documentos\ALIRO\ALIRO\KATHY\ANA LUISA 2010\CERTIFICADOS DE LITIGIOS\MANTOS VERDES 1 AL 20.doc</t>
  </si>
  <si>
    <t>C:\Users\franc\OneDrive\Documentos\ALIRO\ALIRO\KATHY\ANA LUISA 2010\CERTIFICADOS DE LITIGIOS\MANTAQUI UNA Y DOS.doc</t>
  </si>
  <si>
    <t>C:\Users\franc\OneDrive\Documentos\ALIRO\ALIRO\KATHY\ANA LUISA 2010\CERTIFICADOS DE LITIGIOS\MANTAQUI OCTAVA.doc</t>
  </si>
  <si>
    <t>C:\Users\franc\OneDrive\Documentos\ALIRO\ALIRO\KATHY\ANA LUISA 2010\CERTIFICADOS DE LITIGIOS\MABEL - CIA. MINERA TAMAYA.doc</t>
  </si>
  <si>
    <t>C:\Users\franc\OneDrive\Documentos\ALIRO\ALIRO\KATHY\ANA LUISA 2010\CERTIFICADOS DE LITIGIOS\ENSUEÑO 1 AL 11 (ANA LUISA.doc</t>
  </si>
  <si>
    <t>C:\Users\franc\OneDrive\Documentos\ALIRO\ALIRO\KATHY\ANA LUISA 2010\CERTIFICADOS DE LITIGIOS\CONSTANCIA.doc</t>
  </si>
  <si>
    <t>C:\Users\franc\OneDrive\Documentos\ALIRO\ALIRO\KATHY\ANA LUISA 2010\CERTIFICADOS DE LITIGIOS\CONSERVA SEGUNDA - CIA. MRA. TAMAYA.doc</t>
  </si>
  <si>
    <t>C:\Users\franc\OneDrive\Documentos\ALIRO\ALIRO\KATHY\ANA LUISA 2010\CERTIFICADOS DE LITIGIOS\COMPAÑIA 21 AL 40.doc</t>
  </si>
  <si>
    <t>C:\Users\franc\OneDrive\Documentos\ALIRO\ALIRO\KATHY\ANA LUISA 2010\CERTIFICADOS DE LITIGIOS\CHIMBA 1º A 26 - 28 A 31 - 36 A 50.doc</t>
  </si>
  <si>
    <t>C:\Users\franc\OneDrive\Documentos\ALIRO\ALIRO\KATHY\ANA LUISA 2010\CERTIFICADOS DE LITIGIOS\CHATUCA 1 - 125.doc</t>
  </si>
  <si>
    <t>C:\Users\franc\OneDrive\Documentos\ALIRO\ALIRO\KATHY\ANA LUISA 2010\CERTIFICADOS DE LITIGIOS\AÑAÑUCA 1 AL 3 - 2011.doc</t>
  </si>
  <si>
    <t>C:\Users\franc\OneDrive\Documentos\ALIRO\ALIRO\KATHY\ANA LUISA 2010\CERTIFICADOS DE LITIGIOS\ALTAR UNO A SEIS.doc</t>
  </si>
  <si>
    <t>C:\Users\franc\OneDrive\Documentos\ALIRO\ALIRO\KATHY\ANA LUISA 2010\CERTIFICADOS DE HIP Y GRAV. DE SOC. LEG. MRAS\MODELO.doc</t>
  </si>
  <si>
    <t>C:\Users\franc\OneDrive\Documentos\ALIRO\ALIRO\KATHY\ANA LUISA 2010\CERTIFICADOS DE HIP Y GRAV. DE SOC. LEG. MRAS\logo.doc</t>
  </si>
  <si>
    <t>C:\Users\franc\OneDrive\Documentos\ALIRO\ALIRO\KATHY\ANA LUISA 2010\CERTIFICADOS DE DOMINIO\ÑISÑIÑES 1 AL 10  -   CIA MINERA PANULCILLO S.A..doc</t>
  </si>
  <si>
    <t>C:\Users\franc\OneDrive\Documentos\ALIRO\ALIRO\KATHY\ANA LUISA 2010\CERTIFICADOS DE DOMINIO\ºLA MORENA 1 AL 10.doc</t>
  </si>
  <si>
    <t>C:\Users\franc\OneDrive\Documentos\ALIRO\ALIRO\KATHY\ANA LUISA 2010\CERTIFICADOS DE DOMINIO\ZAPAHUIRA UNO  -  CONCESION DE EXPLORACION.doc</t>
  </si>
  <si>
    <t>C:\Users\franc\OneDrive\Documentos\ALIRO\ALIRO\KATHY\ANA LUISA 2010\CERTIFICADOS DE DOMINIO\YOHANA 1 AL 10.doc</t>
  </si>
  <si>
    <t>C:\Users\franc\OneDrive\Documentos\ALIRO\ALIRO\KATHY\ANA LUISA 2010\CERTIFICADOS DE DOMINIO\vinchucas 1 al 10.doc</t>
  </si>
  <si>
    <t>C:\Users\franc\OneDrive\Documentos\ALIRO\ALIRO\KATHY\ANA LUISA 2010\CERTIFICADOS DE DOMINIO\VICTORIA VIII  1-200  -   COMPAÑIA MINERA PUNITAQUI SCM.doc</t>
  </si>
  <si>
    <t>C:\Users\franc\OneDrive\Documentos\ALIRO\ALIRO\KATHY\ANA LUISA 2010\CERTIFICADOS DE DOMINIO\VICTORIA VII  1-200  -   COMPAÑIA MINERA PUNITAQUI SCM.doc</t>
  </si>
  <si>
    <t>C:\Users\franc\OneDrive\Documentos\ALIRO\ALIRO\KATHY\ANA LUISA 2010\CERTIFICADOS DE DOMINIO\VICTORIA VI 1-200 -  MANIFESTACION.doc</t>
  </si>
  <si>
    <t>C:\Users\franc\OneDrive\Documentos\ALIRO\ALIRO\KATHY\ANA LUISA 2010\CERTIFICADOS DE DOMINIO\VICTORIA VI  1-200  -   COMPAÑIA MINERA PUNITAQUI SCM.doc</t>
  </si>
  <si>
    <t>C:\Users\franc\OneDrive\Documentos\ALIRO\ALIRO\KATHY\ANA LUISA 2010\CERTIFICADOS DE DOMINIO\VICTORIA V 1-300 -  MANIFESTACION.doc</t>
  </si>
  <si>
    <t>C:\Users\franc\OneDrive\Documentos\ALIRO\ALIRO\KATHY\ANA LUISA 2010\CERTIFICADOS DE DOMINIO\VICTORIA V  1-300  -   COMPAÑIA MINERA PUNITAQUI SCM.doc</t>
  </si>
  <si>
    <t>C:\Users\franc\OneDrive\Documentos\ALIRO\ALIRO\KATHY\ANA LUISA 2010\CERTIFICADOS DE DOMINIO\VICTORIA IX  1-100  -   COMPAÑIA MINERA PUNITAQUI SCM.doc</t>
  </si>
  <si>
    <t>C:\Users\franc\OneDrive\Documentos\ALIRO\ALIRO\KATHY\ANA LUISA 2010\CERTIFICADOS DE DOMINIO\VICTORIA III 1 AL 235.doc</t>
  </si>
  <si>
    <t>C:\Users\franc\OneDrive\Documentos\ALIRO\ALIRO\KATHY\ANA LUISA 2010\CERTIFICADOS DE DOMINIO\VICTORIA II 1 AL 285.doc</t>
  </si>
  <si>
    <t>C:\Users\franc\OneDrive\Documentos\ALIRO\ALIRO\KATHY\ANA LUISA 2010\CERTIFICADOS DE DOMINIO\VICTORIA I 1 AL 245.doc</t>
  </si>
  <si>
    <t>C:\Users\franc\OneDrive\Documentos\ALIRO\ALIRO\KATHY\ANA LUISA 2010\CERTIFICADOS DE DOMINIO\VERI UNO AL CUATRO.doc</t>
  </si>
  <si>
    <t>C:\Users\franc\OneDrive\Documentos\ALIRO\ALIRO\KATHY\ANA LUISA 2010\CERTIFICADOS DE DOMINIO\VALIENTE SOLDADO 1 AL 30  -    MANIFESTACION.doc</t>
  </si>
  <si>
    <t>C:\Users\franc\OneDrive\Documentos\ALIRO\ALIRO\KATHY\ANA LUISA 2010\CERTIFICADOS DE DOMINIO\TUPACAMARU.doc</t>
  </si>
  <si>
    <t>C:\Users\franc\OneDrive\Documentos\ALIRO\ALIRO\KATHY\ANA LUISA 2010\CERTIFICADOS DE DOMINIO\TUCAPEL.doc</t>
  </si>
  <si>
    <t>C:\Users\franc\OneDrive\Documentos\ALIRO\ALIRO\KATHY\ANA LUISA 2010\CERTIFICADOS DE DOMINIO\TORBELLINO 1 AL 56.doc</t>
  </si>
  <si>
    <t>C:\Users\franc\OneDrive\Documentos\ALIRO\ALIRO\KATHY\ANA LUISA 2010\CERTIFICADOS DE DOMINIO\TOQUI 59.doc</t>
  </si>
  <si>
    <t>C:\Users\franc\OneDrive\Documentos\ALIRO\ALIRO\KATHY\ANA LUISA 2010\CERTIFICADOS DE DOMINIO\TOQUI 58.doc</t>
  </si>
  <si>
    <t>C:\Users\franc\OneDrive\Documentos\ALIRO\ALIRO\KATHY\ANA LUISA 2010\CERTIFICADOS DE DOMINIO\TOQUI 46.doc</t>
  </si>
  <si>
    <t>C:\Users\franc\OneDrive\Documentos\ALIRO\ALIRO\KATHY\ANA LUISA 2010\CERTIFICADOS DE DOMINIO\TOQUI 45.doc</t>
  </si>
  <si>
    <t>C:\Users\franc\OneDrive\Documentos\ALIRO\ALIRO\KATHY\ANA LUISA 2010\CERTIFICADOS DE DOMINIO\THOR CINCO 1 AL 300  MANIFESTACION.doc</t>
  </si>
  <si>
    <t>C:\Users\franc\OneDrive\Documentos\ALIRO\ALIRO\KATHY\ANA LUISA 2010\CERTIFICADOS DE DOMINIO\TERESA  -   CIA MINERA DE TOCOPILLA S.A..doc</t>
  </si>
  <si>
    <t>C:\Users\franc\OneDrive\Documentos\ALIRO\ALIRO\KATHY\ANA LUISA 2010\CERTIFICADOS DE DOMINIO\TERESA  -   CIA MINERA DE PANULCILLO S.A..doc</t>
  </si>
  <si>
    <t>C:\Users\franc\OneDrive\Documentos\ALIRO\ALIRO\KATHY\ANA LUISA 2010\CERTIFICADOS DE DOMINIO\TALCA 1 AL 40.doc</t>
  </si>
  <si>
    <t>C:\Users\franc\OneDrive\Documentos\ALIRO\ALIRO\KATHY\ANA LUISA 2010\CERTIFICADOS DE DOMINIO\SULFURO 1 AL 8.doc</t>
  </si>
  <si>
    <t>C:\Users\franc\OneDrive\Documentos\ALIRO\ALIRO\KATHY\ANA LUISA 2010\CERTIFICADOS DE DOMINIO\SUCESORA  -   CIA MINERA PANULCILLO S.A..doc</t>
  </si>
  <si>
    <t>C:\Users\franc\OneDrive\Documentos\ALIRO\ALIRO\KATHY\ANA LUISA 2010\CERTIFICADOS DE DOMINIO\SCARLETH 1 AL 2.doc</t>
  </si>
  <si>
    <t>C:\Users\franc\OneDrive\Documentos\ALIRO\ALIRO\KATHY\ANA LUISA 2010\CERTIFICADOS DE DOMINIO\SANTA RITA 1 AL 12.doc</t>
  </si>
  <si>
    <t>C:\Users\franc\OneDrive\Documentos\ALIRO\ALIRO\KATHY\ANA LUISA 2010\CERTIFICADOS DE DOMINIO\SANTA NICOLE 1 AL 5  MANIFESTACION.doc</t>
  </si>
  <si>
    <t>C:\Users\franc\OneDrive\Documentos\ALIRO\ALIRO\KATHY\ANA LUISA 2010\CERTIFICADOS DE DOMINIO\SANTA LUCIA 1 AL 10.- SALVADOR FERNANDO CASTILLO HONORES.doc</t>
  </si>
  <si>
    <t>C:\Users\franc\OneDrive\Documentos\ALIRO\ALIRO\KATHY\ANA LUISA 2010\CERTIFICADOS DE DOMINIO\SANTA FE.doc</t>
  </si>
  <si>
    <t>C:\Users\franc\OneDrive\Documentos\ALIRO\ALIRO\KATHY\ANA LUISA 2010\CERTIFICADOS DE DOMINIO\SANTA ELENA 1 AL 11.doc</t>
  </si>
  <si>
    <t>C:\Users\franc\OneDrive\Documentos\ALIRO\ALIRO\KATHY\ANA LUISA 2010\CERTIFICADOS DE DOMINIO\SANTA CLARA II 1 AL 7 - MANUEL CARVAJAL CUELLO.doc</t>
  </si>
  <si>
    <t>C:\Users\franc\OneDrive\Documentos\ALIRO\ALIRO\KATHY\ANA LUISA 2010\CERTIFICADOS DE DOMINIO\SANTA CLARA 1 AL 2 - MANUEL CARVAJAL CUELLO.doc</t>
  </si>
  <si>
    <t>C:\Users\franc\OneDrive\Documentos\ALIRO\ALIRO\KATHY\ANA LUISA 2010\CERTIFICADOS DE DOMINIO\SANTA CAROLINA OCHO.doc</t>
  </si>
  <si>
    <t>C:\Users\franc\OneDrive\Documentos\ALIRO\ALIRO\KATHY\ANA LUISA 2010\CERTIFICADOS DE DOMINIO\SANTA CAROLINA NUEVE Y DIEZ.doc</t>
  </si>
  <si>
    <t>C:\Users\franc\OneDrive\Documentos\ALIRO\ALIRO\KATHY\ANA LUISA 2010\CERTIFICADOS DE DOMINIO\SAN PEDRO 1 AL 5.doc</t>
  </si>
  <si>
    <t>C:\Users\franc\OneDrive\Documentos\ALIRO\ALIRO\KATHY\ANA LUISA 2010\CERTIFICADOS DE DOMINIO\SAN PEDRO 1 AL 5 - MENSURA  JORGE ARAYA BARRAZA.doc</t>
  </si>
  <si>
    <t>C:\Users\franc\OneDrive\Documentos\ALIRO\ALIRO\KATHY\ANA LUISA 2010\CERTIFICADOS DE DOMINIO\SAN MIGUEL 1 AL 20.doc</t>
  </si>
  <si>
    <t>C:\Users\franc\OneDrive\Documentos\ALIRO\ALIRO\KATHY\ANA LUISA 2010\CERTIFICADOS DE DOMINIO\SAN MARCELO UNO A SAN MARCELO VEINTE.doc</t>
  </si>
  <si>
    <t>C:\Users\franc\OneDrive\Documentos\ALIRO\ALIRO\KATHY\ANA LUISA 2010\CERTIFICADOS DE DOMINIO\SAN MANUEL SEGUNDA 1 AL 10.doc</t>
  </si>
  <si>
    <t>C:\Users\franc\OneDrive\Documentos\ALIRO\ALIRO\KATHY\ANA LUISA 2010\CERTIFICADOS DE DOMINIO\SAN MANUEL 11 al 20.doc</t>
  </si>
  <si>
    <t>C:\Users\franc\OneDrive\Documentos\ALIRO\ALIRO\KATHY\ANA LUISA 2010\CERTIFICADOS DE DOMINIO\SAN MANUEL 1 AL 10.doc</t>
  </si>
  <si>
    <t>C:\Users\franc\OneDrive\Documentos\ALIRO\ALIRO\KATHY\ANA LUISA 2010\CERTIFICADOS DE DOMINIO\SAN JOSE 61 - 80   MANIFESTACION.doc</t>
  </si>
  <si>
    <t>C:\Users\franc\OneDrive\Documentos\ALIRO\ALIRO\KATHY\ANA LUISA 2010\CERTIFICADOS DE DOMINIO\SAN JORGE 1 AL 15.doc</t>
  </si>
  <si>
    <t>C:\Users\franc\OneDrive\Documentos\ALIRO\ALIRO\KATHY\ANA LUISA 2010\CERTIFICADOS DE DOMINIO\SAN JORGE  -   CIA MINERA DE TOCOPILLA S.A..doc</t>
  </si>
  <si>
    <t>C:\Users\franc\OneDrive\Documentos\ALIRO\ALIRO\KATHY\ANA LUISA 2010\CERTIFICADOS DE DOMINIO\SAN JORGE  -   CIA MINERA DE PANULCILLO S.A..doc</t>
  </si>
  <si>
    <t>C:\Users\franc\OneDrive\Documentos\ALIRO\ALIRO\KATHY\ANA LUISA 2010\CERTIFICADOS DE DOMINIO\SAN FELIX II DEL 1 AL 20    MANIFESTACION.doc</t>
  </si>
  <si>
    <t>C:\Users\franc\OneDrive\Documentos\ALIRO\ALIRO\KATHY\ANA LUISA 2010\CERTIFICADOS DE DOMINIO\SAN FELIX 1 AL 8.doc</t>
  </si>
  <si>
    <t>C:\Users\franc\OneDrive\Documentos\ALIRO\ALIRO\KATHY\ANA LUISA 2010\CERTIFICADOS DE DOMINIO\SAN FELIX  III   DEL 1 AL 20    MANIFESTACION.doc</t>
  </si>
  <si>
    <t>C:\Users\franc\OneDrive\Documentos\ALIRO\ALIRO\KATHY\ANA LUISA 2010\CERTIFICADOS DE DOMINIO\SAN ANDRES 1 AL 7.doc</t>
  </si>
  <si>
    <t>C:\Users\franc\OneDrive\Documentos\ALIRO\ALIRO\KATHY\ANA LUISA 2010\CERTIFICADOS DE DOMINIO\SAN ANDRES 1 AL 14.doc</t>
  </si>
  <si>
    <t>C:\Users\franc\OneDrive\Documentos\ALIRO\ALIRO\KATHY\ANA LUISA 2010\CERTIFICADOS DE DOMINIO\SAN ANDRES 1 AL 10 - AMALIA DEL C. RISSO.doc</t>
  </si>
  <si>
    <t>C:\Users\franc\OneDrive\Documentos\ALIRO\ALIRO\KATHY\ANA LUISA 2010\CERTIFICADOS DE DOMINIO\SAN AGUSTIN 1 AL 10  -  PATRICIA RIVERA MURA.doc</t>
  </si>
  <si>
    <t>C:\Users\franc\OneDrive\Documentos\ALIRO\ALIRO\KATHY\ANA LUISA 2010\CERTIFICADOS DE DOMINIO\SALAMANCA.doc</t>
  </si>
  <si>
    <t>C:\Users\franc\OneDrive\Documentos\ALIRO\ALIRO\KATHY\ANA LUISA 2010\CERTIFICADOS DE DOMINIO\ROSANA  - MINERA MARUJA TRES AL CINCO.doc</t>
  </si>
  <si>
    <t>C:\Users\franc\OneDrive\Documentos\ALIRO\ALIRO\KATHY\ANA LUISA 2010\CERTIFICADOS DE DOMINIO\ROCIO SIETE 1 AL 30 - MENSURA 2011.doc</t>
  </si>
  <si>
    <t>C:\Users\franc\OneDrive\Documentos\ALIRO\ALIRO\KATHY\ANA LUISA 2010\CERTIFICADOS DE DOMINIO\ROCIO SIETE 1 AL 30  -    MANIFESTACION.doc</t>
  </si>
  <si>
    <t>C:\Users\franc\OneDrive\Documentos\ALIRO\ALIRO\KATHY\ANA LUISA 2010\CERTIFICADOS DE DOMINIO\ROCIO ONCE 1 AL 30  -    MANIFESTACION.doc</t>
  </si>
  <si>
    <t>C:\Users\franc\OneDrive\Documentos\ALIRO\ALIRO\KATHY\ANA LUISA 2010\CERTIFICADOS DE DOMINIO\ROCIO ONCE 1 AL 12 - MENSURA 2011.doc</t>
  </si>
  <si>
    <t>C:\Users\franc\OneDrive\Documentos\ALIRO\ALIRO\KATHY\ANA LUISA 2010\CERTIFICADOS DE DOMINIO\ROCIO NUEVE 1 AL 30  -    MANIFESTACION.doc</t>
  </si>
  <si>
    <t>C:\Users\franc\OneDrive\Documentos\ALIRO\ALIRO\KATHY\ANA LUISA 2010\CERTIFICADOS DE DOMINIO\ROCIO NUEVE  1 AL 30 - MENSURA 2011.doc</t>
  </si>
  <si>
    <t>C:\Users\franc\OneDrive\Documentos\ALIRO\ALIRO\KATHY\ANA LUISA 2010\CERTIFICADOS DE DOMINIO\ROCIO DOCE 1 AL 5  -    MANIFESTACION.doc</t>
  </si>
  <si>
    <t>C:\Users\franc\OneDrive\Documentos\ALIRO\ALIRO\KATHY\ANA LUISA 2010\CERTIFICADOS DE DOMINIO\ROCIO DOCE 1 AL 2 - MENSURA 2010.doc</t>
  </si>
  <si>
    <t>C:\Users\franc\OneDrive\Documentos\ALIRO\ALIRO\KATHY\ANA LUISA 2010\CERTIFICADOS DE DOMINIO\ROCIO DIEZ 1 AL 30  -    MANIFESTACION.doc</t>
  </si>
  <si>
    <t>C:\Users\franc\OneDrive\Documentos\ALIRO\ALIRO\KATHY\ANA LUISA 2010\CERTIFICADOS DE DOMINIO\ROCIO DIEZ  1 AL 29 - MENSURA 2011.doc</t>
  </si>
  <si>
    <t>C:\Users\franc\OneDrive\Documentos\ALIRO\ALIRO\KATHY\ANA LUISA 2010\CERTIFICADOS DE DOMINIO\ROCIO 7   -   CONCESION DE EXPLORACION.doc</t>
  </si>
  <si>
    <t>C:\Users\franc\OneDrive\Documentos\ALIRO\ALIRO\KATHY\ANA LUISA 2010\CERTIFICADOS DE DOMINIO\RITA 1 AL 7.doc</t>
  </si>
  <si>
    <t>C:\Users\franc\OneDrive\Documentos\ALIRO\ALIRO\KATHY\ANA LUISA 2010\CERTIFICADOS DE DOMINIO\RINCON 1 A 19.doc</t>
  </si>
  <si>
    <t>C:\Users\franc\OneDrive\Documentos\ALIRO\ALIRO\KATHY\ANA LUISA 2010\CERTIFICADOS DE DOMINIO\RHODESIA.doc</t>
  </si>
  <si>
    <t>C:\Users\franc\OneDrive\Documentos\ALIRO\ALIRO\KATHY\ANA LUISA 2010\CERTIFICADOS DE DOMINIO\REY PRIMERO 1-2-7-8-9-........doc</t>
  </si>
  <si>
    <t>C:\Users\franc\OneDrive\Documentos\ALIRO\ALIRO\KATHY\ANA LUISA 2010\CERTIFICADOS DE DOMINIO\RESGUARDO.doc</t>
  </si>
  <si>
    <t>C:\Users\franc\OneDrive\Documentos\ALIRO\ALIRO\KATHY\ANA LUISA 2010\CERTIFICADOS DE DOMINIO\RESGUARDO 1 AL 6.doc</t>
  </si>
  <si>
    <t>C:\Users\franc\OneDrive\Documentos\ALIRO\ALIRO\KATHY\ANA LUISA 2010\CERTIFICADOS DE DOMINIO\RESERVA 1 A 11.doc</t>
  </si>
  <si>
    <t>C:\Users\franc\OneDrive\Documentos\ALIRO\ALIRO\KATHY\ANA LUISA 2010\CERTIFICADOS DE DOMINIO\REPUBLICANA.doc</t>
  </si>
  <si>
    <t>C:\Users\franc\OneDrive\Documentos\ALIRO\ALIRO\KATHY\ANA LUISA 2010\CERTIFICADOS DE DOMINIO\RASGO.doc</t>
  </si>
  <si>
    <t>C:\Users\franc\OneDrive\Documentos\ALIRO\ALIRO\KATHY\ANA LUISA 2010\CERTIFICADOS DE DOMINIO\RAMONCITO.doc</t>
  </si>
  <si>
    <t>C:\Users\franc\OneDrive\Documentos\ALIRO\ALIRO\KATHY\ANA LUISA 2010\CERTIFICADOS DE DOMINIO\RAICES DEL 1 AL 14.doc</t>
  </si>
  <si>
    <t>C:\Users\franc\OneDrive\Documentos\ALIRO\ALIRO\KATHY\ANA LUISA 2010\CERTIFICADOS DE DOMINIO\QUILES 1 A 10.doc</t>
  </si>
  <si>
    <t>C:\Users\franc\OneDrive\Documentos\ALIRO\ALIRO\KATHY\ANA LUISA 2010\CERTIFICADOS DE DOMINIO\PUNTA VERDE 9 A 1 AL 30.doc</t>
  </si>
  <si>
    <t>C:\Users\franc\OneDrive\Documentos\ALIRO\ALIRO\KATHY\ANA LUISA 2010\CERTIFICADOS DE DOMINIO\PUNTA VERDE 9 A 1 AL 30.-.doc</t>
  </si>
  <si>
    <t>C:\Users\franc\OneDrive\Documentos\ALIRO\ALIRO\KATHY\ANA LUISA 2010\CERTIFICADOS DE DOMINIO\PUNTA VERDE 8 A 1 AL 30.doc</t>
  </si>
  <si>
    <t>C:\Users\franc\OneDrive\Documentos\ALIRO\ALIRO\KATHY\ANA LUISA 2010\CERTIFICADOS DE DOMINIO\PUNTA VERDE 8 A 1 AL 30.-.doc</t>
  </si>
  <si>
    <t>C:\Users\franc\OneDrive\Documentos\ALIRO\ALIRO\KATHY\ANA LUISA 2010\CERTIFICADOS DE DOMINIO\PUNTA VERDE 7 A 1 AL 30.doc</t>
  </si>
  <si>
    <t>C:\Users\franc\OneDrive\Documentos\ALIRO\ALIRO\KATHY\ANA LUISA 2010\CERTIFICADOS DE DOMINIO\PUNTA VERDE 6A 1 AL 30.doc</t>
  </si>
  <si>
    <t>C:\Users\franc\OneDrive\Documentos\ALIRO\ALIRO\KATHY\ANA LUISA 2010\CERTIFICADOS DE DOMINIO\PUNTA VERDE 61, 1 AL 20.doc</t>
  </si>
  <si>
    <t>C:\Users\franc\OneDrive\Documentos\ALIRO\ALIRO\KATHY\ANA LUISA 2010\CERTIFICADOS DE DOMINIO\PUNTA VERDE 60, 1 AL 30.doc</t>
  </si>
  <si>
    <t>C:\Users\franc\OneDrive\Documentos\ALIRO\ALIRO\KATHY\ANA LUISA 2010\CERTIFICADOS DE DOMINIO\PUNTA VERDE 51, 1 AL 30.doc</t>
  </si>
  <si>
    <t>C:\Users\franc\OneDrive\Documentos\ALIRO\ALIRO\KATHY\ANA LUISA 2010\CERTIFICADOS DE DOMINIO\PUNTA VERDE 31, 1 AL 19.doc</t>
  </si>
  <si>
    <t>C:\Users\franc\OneDrive\Documentos\ALIRO\ALIRO\KATHY\ANA LUISA 2010\CERTIFICADOS DE DOMINIO\PUNTA VERDE 31 A 1 AL 11.doc</t>
  </si>
  <si>
    <t>C:\Users\franc\OneDrive\Documentos\ALIRO\ALIRO\KATHY\ANA LUISA 2010\CERTIFICADOS DE DOMINIO\PUNTA VERDE 29, 1 AL 32.doc</t>
  </si>
  <si>
    <t>C:\Users\franc\OneDrive\Documentos\ALIRO\ALIRO\KATHY\ANA LUISA 2010\CERTIFICADOS DE DOMINIO\PUNTA VERDE 29 A 1 AL 13.doc</t>
  </si>
  <si>
    <t>C:\Users\franc\OneDrive\Documentos\ALIRO\ALIRO\KATHY\ANA LUISA 2010\CERTIFICADOS DE DOMINIO\PUNTA VERDE 27, 1 AL 34.doc</t>
  </si>
  <si>
    <t>C:\Users\franc\OneDrive\Documentos\ALIRO\ALIRO\KATHY\ANA LUISA 2010\CERTIFICADOS DE DOMINIO\PUNTA VERDE 21, 1 AL 20.doc</t>
  </si>
  <si>
    <t>C:\Users\franc\OneDrive\Documentos\ALIRO\ALIRO\KATHY\ANA LUISA 2010\CERTIFICADOS DE DOMINIO\PUNTA VERDE 19A 1 AL 30.doc</t>
  </si>
  <si>
    <t>C:\Users\franc\OneDrive\Documentos\ALIRO\ALIRO\KATHY\ANA LUISA 2010\CERTIFICADOS DE DOMINIO\PUNTA VERDE 14A 1 AL 20.doc</t>
  </si>
  <si>
    <t>C:\Users\franc\OneDrive\Documentos\ALIRO\ALIRO\KATHY\ANA LUISA 2010\CERTIFICADOS DE DOMINIO\PUNTA VERDE 13A 1 AL 20.doc</t>
  </si>
  <si>
    <t>C:\Users\franc\OneDrive\Documentos\ALIRO\ALIRO\KATHY\ANA LUISA 2010\CERTIFICADOS DE DOMINIO\PUNTA VERDE 12A 1 AL 20.doc</t>
  </si>
  <si>
    <t>C:\Users\franc\OneDrive\Documentos\ALIRO\ALIRO\KATHY\ANA LUISA 2010\CERTIFICADOS DE DOMINIO\PUNTA VERDE 11 A 1 AL 27.doc</t>
  </si>
  <si>
    <t>C:\Users\franc\OneDrive\Documentos\ALIRO\ALIRO\KATHY\ANA LUISA 2010\CERTIFICADOS DE DOMINIO\PUNTA VERDE 10 A 1 AL 30.doc</t>
  </si>
  <si>
    <t>C:\Users\franc\OneDrive\Documentos\ALIRO\ALIRO\KATHY\ANA LUISA 2010\CERTIFICADOS DE DOMINIO\PUNTA VERDE 10 A 1 AL 30.-.doc</t>
  </si>
  <si>
    <t>C:\Users\franc\OneDrive\Documentos\ALIRO\ALIRO\KATHY\ANA LUISA 2010\CERTIFICADOS DE DOMINIO\PUNITAQUI 1º A PUNITAQUI 50.doc</t>
  </si>
  <si>
    <t>C:\Users\franc\OneDrive\Documentos\ALIRO\ALIRO\KATHY\ANA LUISA 2010\CERTIFICADOS DE DOMINIO\PUNITAQUI 1 AL 50.doc</t>
  </si>
  <si>
    <t>C:\Users\franc\OneDrive\Documentos\ALIRO\ALIRO\KATHY\ANA LUISA 2010\CERTIFICADOS DE DOMINIO\PUMA 1 AL 20  -  MANIFESTACION.doc</t>
  </si>
  <si>
    <t>C:\Users\franc\OneDrive\Documentos\ALIRO\ALIRO\KATHY\ANA LUISA 2010\CERTIFICADOS DE DOMINIO\PROTECCIÓN SEGUNDA 1 AL 36.doc</t>
  </si>
  <si>
    <t>C:\Users\franc\OneDrive\Documentos\ALIRO\ALIRO\KATHY\ANA LUISA 2010\CERTIFICADOS DE DOMINIO\PROTECCIÓN CUARTA 1 AL 20.doc</t>
  </si>
  <si>
    <t>C:\Users\franc\OneDrive\Documentos\ALIRO\ALIRO\KATHY\ANA LUISA 2010\CERTIFICADOS DE DOMINIO\PROTECCION TERCERA 1 AL 41.doc</t>
  </si>
  <si>
    <t>C:\Users\franc\OneDrive\Documentos\ALIRO\ALIRO\KATHY\ANA LUISA 2010\CERTIFICADOS DE DOMINIO\PROTECCION SEXTA 1 AL 38.doc</t>
  </si>
  <si>
    <t>C:\Users\franc\OneDrive\Documentos\ALIRO\ALIRO\KATHY\ANA LUISA 2010\CERTIFICADOS DE DOMINIO\PROTECCION SEGUNDA 61.doc</t>
  </si>
  <si>
    <t>C:\Users\franc\OneDrive\Documentos\ALIRO\ALIRO\KATHY\ANA LUISA 2010\CERTIFICADOS DE DOMINIO\PROTECCION SEGUNDA 1 AL 36.doc</t>
  </si>
  <si>
    <t>C:\Users\franc\OneDrive\Documentos\ALIRO\ALIRO\KATHY\ANA LUISA 2010\CERTIFICADOS DE DOMINIO\PROTECCION PRIMERA 61.doc</t>
  </si>
  <si>
    <t>C:\Users\franc\OneDrive\Documentos\ALIRO\ALIRO\KATHY\ANA LUISA 2010\CERTIFICADOS DE DOMINIO\PROTECCION PRIMERA 1 AL 45.doc</t>
  </si>
  <si>
    <t>C:\Users\franc\OneDrive\Documentos\ALIRO\ALIRO\KATHY\ANA LUISA 2010\CERTIFICADOS DE DOMINIO\PROTECCION OCTAVA 1 AL 2.doc</t>
  </si>
  <si>
    <t>C:\Users\franc\OneDrive\Documentos\ALIRO\ALIRO\KATHY\ANA LUISA 2010\CERTIFICADOS DE DOMINIO\PRINCIPESCA 1 AL 12 - RODOLFO ROJAS.doc</t>
  </si>
  <si>
    <t>C:\Users\franc\OneDrive\Documentos\ALIRO\ALIRO\KATHY\ANA LUISA 2010\CERTIFICADOS DE DOMINIO\PRINCESA 1 AL 10  - RODOLFO ROJAS.doc</t>
  </si>
  <si>
    <t>C:\Users\franc\OneDrive\Documentos\ALIRO\ALIRO\KATHY\ANA LUISA 2010\CERTIFICADOS DE DOMINIO\PORTUGUESA.doc</t>
  </si>
  <si>
    <t>C:\Users\franc\OneDrive\Documentos\ALIRO\ALIRO\KATHY\ANA LUISA 2010\CERTIFICADOS DE DOMINIO\PODEROSA   1 a 200.doc</t>
  </si>
  <si>
    <t>C:\Users\franc\OneDrive\Documentos\ALIRO\ALIRO\KATHY\ANA LUISA 2010\CERTIFICADOS DE DOMINIO\PERRO MUERTO 1 AL 11.doc</t>
  </si>
  <si>
    <t>C:\Users\franc\OneDrive\Documentos\ALIRO\ALIRO\KATHY\ANA LUISA 2010\CERTIFICADOS DE DOMINIO\PELANTARU.doc</t>
  </si>
  <si>
    <t>C:\Users\franc\OneDrive\Documentos\ALIRO\ALIRO\KATHY\ANA LUISA 2010\CERTIFICADOS DE DOMINIO\PEDESTAL 1 AL 6.doc</t>
  </si>
  <si>
    <t>C:\Users\franc\OneDrive\Documentos\ALIRO\ALIRO\KATHY\ANA LUISA 2010\CERTIFICADOS DE DOMINIO\PATRIA Y LA LIBERTAD UNO A CINCO.doc</t>
  </si>
  <si>
    <t>C:\Users\franc\OneDrive\Documentos\ALIRO\ALIRO\KATHY\ANA LUISA 2010\CERTIFICADOS DE DOMINIO\PATRIA NUEVA UNO.doc</t>
  </si>
  <si>
    <t>C:\Users\franc\OneDrive\Documentos\ALIRO\ALIRO\KATHY\ANA LUISA 2010\CERTIFICADOS DE DOMINIO\PANULSUR TERCERA 1 AL 30.doc</t>
  </si>
  <si>
    <t>C:\Users\franc\OneDrive\Documentos\ALIRO\ALIRO\KATHY\ANA LUISA 2010\CERTIFICADOS DE DOMINIO\PANULSUR DECIMO TERCERA 1 AL 30.doc</t>
  </si>
  <si>
    <t>C:\Users\franc\OneDrive\Documentos\ALIRO\ALIRO\KATHY\ANA LUISA 2010\CERTIFICADOS DE DOMINIO\PANULSUR DECIMO CUARTA 1 AL 30.doc</t>
  </si>
  <si>
    <t>C:\Users\franc\OneDrive\Documentos\ALIRO\ALIRO\KATHY\ANA LUISA 2010\CERTIFICADOS DE DOMINIO\PANAL III   1 AL 10 - ANGLO AMERICAN NORTE S.A..doc</t>
  </si>
  <si>
    <t>C:\Users\franc\OneDrive\Documentos\ALIRO\ALIRO\KATHY\ANA LUISA 2010\CERTIFICADOS DE DOMINIO\PANAL II   1 AL 10 - ANGLO AMERICAN NORTE S.A..doc</t>
  </si>
  <si>
    <t>C:\Users\franc\OneDrive\Documentos\ALIRO\ALIRO\KATHY\ANA LUISA 2010\CERTIFICADOS DE DOMINIO\PANAL I 1 AL 10 - ANGLO AMERICAN NORTE S.A..doc</t>
  </si>
  <si>
    <t>C:\Users\franc\OneDrive\Documentos\ALIRO\ALIRO\KATHY\ANA LUISA 2010\CERTIFICADOS DE DOMINIO\PALM SPRING 1 AL 25.doc</t>
  </si>
  <si>
    <t>C:\Users\franc\OneDrive\Documentos\ALIRO\ALIRO\KATHY\ANA LUISA 2010\CERTIFICADOS DE DOMINIO\ORIZABA.doc</t>
  </si>
  <si>
    <t>C:\Users\franc\OneDrive\Documentos\ALIRO\ALIRO\KATHY\ANA LUISA 2010\CERTIFICADOS DE DOMINIO\OLIVIA SEPTIMA 1 AL 10   -    MANIFESTACION.doc</t>
  </si>
  <si>
    <t>C:\Users\franc\OneDrive\Documentos\ALIRO\ALIRO\KATHY\ANA LUISA 2010\CERTIFICADOS DE DOMINIO\OLIBILLO 1 AL 10.doc</t>
  </si>
  <si>
    <t>C:\Users\franc\OneDrive\Documentos\ALIRO\ALIRO\KATHY\ANA LUISA 2010\CERTIFICADOS DE DOMINIO\NUMANCIA 1 AL 5.doc</t>
  </si>
  <si>
    <t>C:\Users\franc\OneDrive\Documentos\ALIRO\ALIRO\KATHY\ANA LUISA 2010\CERTIFICADOS DE DOMINIO\NUEVA TAMAYINA 1 - 15.doc</t>
  </si>
  <si>
    <t>C:\Users\franc\OneDrive\Documentos\ALIRO\ALIRO\KATHY\ANA LUISA 2010\CERTIFICADOS DE DOMINIO\NUEVA MILENKA 1 AL 12  -  NELSON GERALDO GONZALEZ.doc</t>
  </si>
  <si>
    <t>C:\Users\franc\OneDrive\Documentos\ALIRO\ALIRO\KATHY\ANA LUISA 2010\CERTIFICADOS DE DOMINIO\NUEVA DALMACIA  1-100  -   COMPAÑIA MINERA PUNITAQUI SCM.doc</t>
  </si>
  <si>
    <t>C:\Users\franc\OneDrive\Documentos\ALIRO\ALIRO\KATHY\ANA LUISA 2010\CERTIFICADOS DE DOMINIO\NUEVA CINABRIO  1-100  -   COMPAÑIA MINERA PUNITAQUI SCM.doc</t>
  </si>
  <si>
    <t>C:\Users\franc\OneDrive\Documentos\ALIRO\ALIRO\KATHY\ANA LUISA 2010\CERTIFICADOS DE DOMINIO\NIEBLA SUR 1 AL 62.doc</t>
  </si>
  <si>
    <t>C:\Users\franc\OneDrive\Documentos\ALIRO\ALIRO\KATHY\ANA LUISA 2010\CERTIFICADOS DE DOMINIO\NIEBLA  1 AL 12.doc</t>
  </si>
  <si>
    <t>C:\Users\franc\OneDrive\Documentos\ALIRO\ALIRO\KATHY\ANA LUISA 2010\CERTIFICADOS DE DOMINIO\NICOLE 1 A NICOLE 10 MANIFESTACION.doc</t>
  </si>
  <si>
    <t>C:\Users\franc\OneDrive\Documentos\ALIRO\ALIRO\KATHY\ANA LUISA 2010\CERTIFICADOS DE DOMINIO\MODELO NOTARIO SUPLENTE.doc</t>
  </si>
  <si>
    <t>C:\Users\franc\OneDrive\Documentos\ALIRO\ALIRO\KATHY\ANA LUISA 2010\CERTIFICADOS DE DOMINIO\MIRADOR 1 A 18.doc</t>
  </si>
  <si>
    <t>C:\Users\franc\OneDrive\Documentos\ALIRO\ALIRO\KATHY\ANA LUISA 2010\CERTIFICADOS DE DOMINIO\MINA SOLEDAD 1 AL 7  - MANIFESTACION MARIO PORTILLA.doc</t>
  </si>
  <si>
    <t>C:\Users\franc\OneDrive\Documentos\ALIRO\ALIRO\KATHY\ANA LUISA 2010\CERTIFICADOS DE DOMINIO\MINA SANTANDER 2 Y 3.doc</t>
  </si>
  <si>
    <t>C:\Users\franc\OneDrive\Documentos\ALIRO\ALIRO\KATHY\ANA LUISA 2010\CERTIFICADOS DE DOMINIO\MINA SANTA ALICIA UNO AL DIESCISIETE.doc</t>
  </si>
  <si>
    <t>C:\Users\franc\OneDrive\Documentos\ALIRO\ALIRO\KATHY\ANA LUISA 2010\CERTIFICADOS DE DOMINIO\MINA SANTA ALICIA UNO AL DIESCISIETE año 2022.doc</t>
  </si>
  <si>
    <t>C:\Users\franc\OneDrive\Documentos\ALIRO\ALIRO\KATHY\ANA LUISA 2010\CERTIFICADOS DE DOMINIO\MINA SAN RAMON 2-3-4-5-26-27-28-31-32 Y 33.doc</t>
  </si>
  <si>
    <t>C:\Users\franc\OneDrive\Documentos\ALIRO\ALIRO\KATHY\ANA LUISA 2010\CERTIFICADOS DE DOMINIO\MINA SAN ANTONIO 1 AL 10.doc</t>
  </si>
  <si>
    <t>C:\Users\franc\OneDrive\Documentos\ALIRO\ALIRO\KATHY\ANA LUISA 2010\CERTIFICADOS DE DOMINIO\MINA SAMITA II 1 AL 5.doc</t>
  </si>
  <si>
    <t>C:\Users\franc\OneDrive\Documentos\ALIRO\ALIRO\KATHY\ANA LUISA 2010\CERTIFICADOS DE DOMINIO\MINA ROSICLER PRIMERA 1 AL 5.doc</t>
  </si>
  <si>
    <t>C:\Users\franc\OneDrive\Documentos\ALIRO\ALIRO\KATHY\ANA LUISA 2010\CERTIFICADOS DE DOMINIO\MINA LAMPERA SEGUNDA 1 AL 8.doc</t>
  </si>
  <si>
    <t>C:\Users\franc\OneDrive\Documentos\ALIRO\ALIRO\KATHY\ANA LUISA 2010\CERTIFICADOS DE DOMINIO\MINA LA MURIETA I  1 AL 4.doc</t>
  </si>
  <si>
    <t>C:\Users\franc\OneDrive\Documentos\ALIRO\ALIRO\KATHY\ANA LUISA 2010\CERTIFICADOS DE DOMINIO\MINA LA INDIA 1 AL 15.doc</t>
  </si>
  <si>
    <t>C:\Users\franc\OneDrive\Documentos\ALIRO\ALIRO\KATHY\ANA LUISA 2010\CERTIFICADOS DE DOMINIO\MINA LA DISPUTADA 1 AL 10.doc</t>
  </si>
  <si>
    <t>C:\Users\franc\OneDrive\Documentos\ALIRO\ALIRO\KATHY\ANA LUISA 2010\CERTIFICADOS DE DOMINIO\MINA LA DISPUTADA 1 AL 10  -   LUIS CARRASCO GUERRA.doc</t>
  </si>
  <si>
    <t>C:\Users\franc\OneDrive\Documentos\ALIRO\ALIRO\KATHY\ANA LUISA 2010\CERTIFICADOS DE DOMINIO\MINA LA DESPRECIADA 1 AL 16 - SLM LA DESPRECIADA UNO DE LA COMUNIDAD EL PERAL.doc</t>
  </si>
  <si>
    <t>C:\Users\franc\OneDrive\Documentos\ALIRO\ALIRO\KATHY\ANA LUISA 2010\CERTIFICADOS DE DOMINIO\MINA LA CORTADERA 1 AL 5.doc</t>
  </si>
  <si>
    <t>C:\Users\franc\OneDrive\Documentos\ALIRO\ALIRO\KATHY\ANA LUISA 2010\CERTIFICADOS DE DOMINIO\MINA LA CANTA GALLO 1 AL 20.doc</t>
  </si>
  <si>
    <t>C:\Users\franc\OneDrive\Documentos\ALIRO\ALIRO\KATHY\ANA LUISA 2010\CERTIFICADOS DE DOMINIO\MINA LA CANTA GALLO 1 AL 20 año 2020.doc</t>
  </si>
  <si>
    <t>C:\Users\franc\OneDrive\Documentos\ALIRO\ALIRO\KATHY\ANA LUISA 2010\CERTIFICADOS DE DOMINIO\MINA LA AURORA 1 AL 5.doc</t>
  </si>
  <si>
    <t>C:\Users\franc\OneDrive\Documentos\ALIRO\ALIRO\KATHY\ANA LUISA 2010\CERTIFICADOS DE DOMINIO\MINA INSIENSO 1 AL 20.doc</t>
  </si>
  <si>
    <t>C:\Users\franc\OneDrive\Documentos\ALIRO\ALIRO\KATHY\ANA LUISA 2010\CERTIFICADOS DE DOMINIO\MINA INSIENSO 1 AL 20 año 2022.doc</t>
  </si>
  <si>
    <t>C:\Users\franc\OneDrive\Documentos\ALIRO\ALIRO\KATHY\ANA LUISA 2010\CERTIFICADOS DE DOMINIO\MINA INSIENSO 1 AL 20 año 2022 mariana.doc</t>
  </si>
  <si>
    <t>C:\Users\franc\OneDrive\Documentos\ALIRO\ALIRO\KATHY\ANA LUISA 2010\CERTIFICADOS DE DOMINIO\MINA EL POZO 1 AL 5.doc</t>
  </si>
  <si>
    <t>C:\Users\franc\OneDrive\Documentos\ALIRO\ALIRO\KATHY\ANA LUISA 2010\CERTIFICADOS DE DOMINIO\MINA EL FARELLON 1 AL 10   -    MANIFESTACION.doc</t>
  </si>
  <si>
    <t>C:\Users\franc\OneDrive\Documentos\ALIRO\ALIRO\KATHY\ANA LUISA 2010\CERTIFICADOS DE DOMINIO\MINA CUATRO AMIGOS UNO AL DIEZ.doc</t>
  </si>
  <si>
    <t>C:\Users\franc\OneDrive\Documentos\ALIRO\ALIRO\KATHY\ANA LUISA 2010\CERTIFICADOS DE DOMINIO\MINA COLORADA 1 AL 10.doc</t>
  </si>
  <si>
    <t>C:\Users\franc\OneDrive\Documentos\ALIRO\ALIRO\KATHY\ANA LUISA 2010\CERTIFICADOS DE DOMINIO\MICHELANGELO 1 AL 8 ALEX ROJAS ARDILES.doc</t>
  </si>
  <si>
    <t>C:\Users\franc\OneDrive\Documentos\ALIRO\ALIRO\KATHY\ANA LUISA 2010\CERTIFICADOS DE DOMINIO\MERCEDITA SEPTIMA 1 AL 4 Y 9 AL 16.doc</t>
  </si>
  <si>
    <t>C:\Users\franc\OneDrive\Documentos\ALIRO\ALIRO\KATHY\ANA LUISA 2010\CERTIFICADOS DE DOMINIO\MERCEDES UNO AL VEINTE.doc</t>
  </si>
  <si>
    <t>C:\Users\franc\OneDrive\Documentos\ALIRO\ALIRO\KATHY\ANA LUISA 2010\CERTIFICADOS DE DOMINIO\MERCED 1 AL 10.doc</t>
  </si>
  <si>
    <t>C:\Users\franc\OneDrive\Documentos\ALIRO\ALIRO\KATHY\ANA LUISA 2010\CERTIFICADOS DE DOMINIO\MARUJA 1 AL 5.doc</t>
  </si>
  <si>
    <t>C:\Users\franc\OneDrive\Documentos\ALIRO\ALIRO\KATHY\ANA LUISA 2010\CERTIFICADOS DE DOMINIO\MARISOL 1 AL 7.doc</t>
  </si>
  <si>
    <t>C:\Users\franc\OneDrive\Documentos\ALIRO\ALIRO\KATHY\ANA LUISA 2010\CERTIFICADOS DE DOMINIO\MARIA SAN JUAN 1 AL 5.doc</t>
  </si>
  <si>
    <t>C:\Users\franc\OneDrive\Documentos\ALIRO\ALIRO\KATHY\ANA LUISA 2010\CERTIFICADOS DE DOMINIO\MANTOS VERDES 1 AL 20.doc</t>
  </si>
  <si>
    <t>C:\Users\franc\OneDrive\Documentos\ALIRO\ALIRO\KATHY\ANA LUISA 2010\CERTIFICADOS DE DOMINIO\MANTAQUI OCTAVA.doc</t>
  </si>
  <si>
    <t>C:\Users\franc\OneDrive\Documentos\ALIRO\ALIRO\KATHY\ANA LUISA 2010\CERTIFICADOS DE DOMINIO\MANTAQUI 1 Y 2.doc</t>
  </si>
  <si>
    <t>C:\Users\franc\OneDrive\Documentos\ALIRO\ALIRO\KATHY\ANA LUISA 2010\CERTIFICADOS DE DOMINIO\MALAGARIGA DOS 1 -  20  -     MANIFESTACION.doc</t>
  </si>
  <si>
    <t>C:\Users\franc\OneDrive\Documentos\ALIRO\ALIRO\KATHY\ANA LUISA 2010\CERTIFICADOS DE DOMINIO\MALAGARIGA 1 -  20  -     MANIFESTACION.doc</t>
  </si>
  <si>
    <t>C:\Users\franc\OneDrive\Documentos\ALIRO\ALIRO\KATHY\ANA LUISA 2010\CERTIFICADOS DE DOMINIO\LUNA 1 AL 44.doc</t>
  </si>
  <si>
    <t>C:\Users\franc\OneDrive\Documentos\ALIRO\ALIRO\KATHY\ANA LUISA 2010\CERTIFICADOS DE DOMINIO\LUNA  1 A 44.doc</t>
  </si>
  <si>
    <t>C:\Users\franc\OneDrive\Documentos\ALIRO\ALIRO\KATHY\ANA LUISA 2010\CERTIFICADOS DE DOMINIO\LOS DOS AMIGOS 1 AL 6.doc</t>
  </si>
  <si>
    <t>C:\Users\franc\OneDrive\Documentos\ALIRO\ALIRO\KATHY\ANA LUISA 2010\CERTIFICADOS DE DOMINIO\LOS CHAÑARES 1 AL 5.doc</t>
  </si>
  <si>
    <t>C:\Users\franc\OneDrive\Documentos\ALIRO\ALIRO\KATHY\ANA LUISA 2010\CERTIFICADOS DE DOMINIO\LO SOCIOS 1 AL 18.doc</t>
  </si>
  <si>
    <t>C:\Users\franc\OneDrive\Documentos\ALIRO\ALIRO\KATHY\ANA LUISA 2010\CERTIFICADOS DE DOMINIO\LEONOR E 2, 1 AL 20 CODELCO.doc</t>
  </si>
  <si>
    <t>C:\Users\franc\OneDrive\Documentos\ALIRO\ALIRO\KATHY\ANA LUISA 2010\CERTIFICADOS DE DOMINIO\LAS TAZAS UNA AL VEINTE.doc</t>
  </si>
  <si>
    <t>C:\Users\franc\OneDrive\Documentos\ALIRO\ALIRO\KATHY\ANA LUISA 2010\CERTIFICADOS DE DOMINIO\LAS ROZAS 1 AL 15 - DAVID ROJAS AGO. 2010.doc</t>
  </si>
  <si>
    <t>C:\Users\franc\OneDrive\Documentos\ALIRO\ALIRO\KATHY\ANA LUISA 2010\CERTIFICADOS DE DOMINIO\LAS GUIAS  - EMPRESA MINERA PUNTA DE TALCA LMITADA.doc</t>
  </si>
  <si>
    <t>C:\Users\franc\OneDrive\Documentos\ALIRO\ALIRO\KATHY\ANA LUISA 2010\CERTIFICADOS DE DOMINIO\LAS CUMBRES II 1 AL 5.doc</t>
  </si>
  <si>
    <t>C:\Users\franc\OneDrive\Documentos\ALIRO\ALIRO\KATHY\ANA LUISA 2010\CERTIFICADOS DE DOMINIO\LAMUDA 1 AL 12   - RODOLFO ROJAS.doc</t>
  </si>
  <si>
    <t>C:\Users\franc\OneDrive\Documentos\ALIRO\ALIRO\KATHY\ANA LUISA 2010\CERTIFICADOS DE DOMINIO\LADOMINGA  1 AL 3  - RODOLFO ROJAS.doc</t>
  </si>
  <si>
    <t>C:\Users\franc\OneDrive\Documentos\ALIRO\ALIRO\KATHY\ANA LUISA 2010\CERTIFICADOS DE DOMINIO\LA ULTIMA UNO  -  HUMBERTO RIVERA CORTES.doc</t>
  </si>
  <si>
    <t>C:\Users\franc\OneDrive\Documentos\ALIRO\ALIRO\KATHY\ANA LUISA 2010\CERTIFICADOS DE DOMINIO\LA TUCAN I DEL 1 AL 24.doc</t>
  </si>
  <si>
    <t>C:\Users\franc\OneDrive\Documentos\ALIRO\ALIRO\KATHY\ANA LUISA 2010\CERTIFICADOS DE DOMINIO\LA TRES HERMANOS 1-12.doc</t>
  </si>
  <si>
    <t>C:\Users\franc\OneDrive\Documentos\ALIRO\ALIRO\KATHY\ANA LUISA 2010\CERTIFICADOS DE DOMINIO\LA SUERTE.doc</t>
  </si>
  <si>
    <t>C:\Users\franc\OneDrive\Documentos\ALIRO\ALIRO\KATHY\ANA LUISA 2010\CERTIFICADOS DE DOMINIO\LA SOLEDAD 1 AL 5.doc</t>
  </si>
  <si>
    <t>C:\Users\franc\OneDrive\Documentos\ALIRO\ALIRO\KATHY\ANA LUISA 2010\CERTIFICADOS DE DOMINIO\LA SATAN UNO AL VEINTE.doc</t>
  </si>
  <si>
    <t>C:\Users\franc\OneDrive\Documentos\ALIRO\ALIRO\KATHY\ANA LUISA 2010\CERTIFICADOS DE DOMINIO\LA SATAN UNO AL VEINTE - SOC. MINERA SANTA ESPERANZA S.A..doc</t>
  </si>
  <si>
    <t>C:\Users\franc\OneDrive\Documentos\ALIRO\ALIRO\KATHY\ANA LUISA 2010\CERTIFICADOS DE DOMINIO\LA RUBIA UNO AL VEINTE.doc</t>
  </si>
  <si>
    <t>C:\Users\franc\OneDrive\Documentos\ALIRO\ALIRO\KATHY\ANA LUISA 2010\CERTIFICADOS DE DOMINIO\LA ROSQUITA UNA AL CINCO.doc</t>
  </si>
  <si>
    <t>C:\Users\franc\OneDrive\Documentos\ALIRO\ALIRO\KATHY\ANA LUISA 2010\CERTIFICADOS DE DOMINIO\LA ROSITA 1 AL 20   -    LUIS CARRASCO GUERRA.doc</t>
  </si>
  <si>
    <t>C:\Users\franc\OneDrive\Documentos\ALIRO\ALIRO\KATHY\ANA LUISA 2010\CERTIFICADOS DE DOMINIO\LA REGALADA SEGUNDA 1 AL 50.doc</t>
  </si>
  <si>
    <t>C:\Users\franc\OneDrive\Documentos\ALIRO\ALIRO\KATHY\ANA LUISA 2010\CERTIFICADOS DE DOMINIO\LA REGALADA 1 AL 100.doc</t>
  </si>
  <si>
    <t>C:\Users\franc\OneDrive\Documentos\ALIRO\ALIRO\KATHY\ANA LUISA 2010\CERTIFICADOS DE DOMINIO\LA RECUPERADA 1 AL 20  -     MANIFESTACION.doc</t>
  </si>
  <si>
    <t>C:\Users\franc\OneDrive\Documentos\ALIRO\ALIRO\KATHY\ANA LUISA 2010\CERTIFICADOS DE DOMINIO\LA POR SI ACASO 1 AL 9 - RODOLFO ROJAS.doc</t>
  </si>
  <si>
    <t>C:\Users\franc\OneDrive\Documentos\ALIRO\ALIRO\KATHY\ANA LUISA 2010\CERTIFICADOS DE DOMINIO\LA PODEROSA PRIMERA A SEXTA.doc</t>
  </si>
  <si>
    <t>C:\Users\franc\OneDrive\Documentos\ALIRO\ALIRO\KATHY\ANA LUISA 2010\CERTIFICADOS DE DOMINIO\LA PERLA SEGUNDA.doc</t>
  </si>
  <si>
    <t>C:\Users\franc\OneDrive\Documentos\ALIRO\ALIRO\KATHY\ANA LUISA 2010\CERTIFICADOS DE DOMINIO\LA PASCUALA SEGUNDA 1  AL 6.doc</t>
  </si>
  <si>
    <t>C:\Users\franc\OneDrive\Documentos\ALIRO\ALIRO\KATHY\ANA LUISA 2010\CERTIFICADOS DE DOMINIO\LA PAOLA 1 AL 18    MANIFESTACION.doc</t>
  </si>
  <si>
    <t>C:\Users\franc\OneDrive\Documentos\ALIRO\ALIRO\KATHY\ANA LUISA 2010\CERTIFICADOS DE DOMINIO\LA NONITA 1 AL 9.doc</t>
  </si>
  <si>
    <t>C:\Users\franc\OneDrive\Documentos\ALIRO\ALIRO\KATHY\ANA LUISA 2010\CERTIFICADOS DE DOMINIO\LA NONITA 1 AL 9   -   RAMONA ROJAS PASTEN.doc</t>
  </si>
  <si>
    <t>C:\Users\franc\OneDrive\Documentos\ALIRO\ALIRO\KATHY\ANA LUISA 2010\CERTIFICADOS DE DOMINIO\LA NEGRA BUENA 1 AL 16 -  MANIFESTACION.doc</t>
  </si>
  <si>
    <t>C:\Users\franc\OneDrive\Documentos\ALIRO\ALIRO\KATHY\ANA LUISA 2010\CERTIFICADOS DE DOMINIO\LA MORENA UNO AL DIEZ.doc</t>
  </si>
  <si>
    <t>C:\Users\franc\OneDrive\Documentos\ALIRO\ALIRO\KATHY\ANA LUISA 2010\CERTIFICADOS DE DOMINIO\LA MORENA 1 AL 10  -  LORENZO ARAYA COFRE.doc</t>
  </si>
  <si>
    <t>C:\Users\franc\OneDrive\Documentos\ALIRO\ALIRO\KATHY\ANA LUISA 2010\CERTIFICADOS DE DOMINIO\LA MARINA.doc</t>
  </si>
  <si>
    <t>C:\Users\franc\OneDrive\Documentos\ALIRO\ALIRO\KATHY\ANA LUISA 2010\CERTIFICADOS DE DOMINIO\LA LLORONA UNO AL CINCO.doc</t>
  </si>
  <si>
    <t>C:\Users\franc\OneDrive\Documentos\ALIRO\ALIRO\KATHY\ANA LUISA 2010\CERTIFICADOS DE DOMINIO\LA LECHUZA I DEL 1 AL 90.doc</t>
  </si>
  <si>
    <t>C:\Users\franc\OneDrive\Documentos\ALIRO\ALIRO\KATHY\ANA LUISA 2010\CERTIFICADOS DE DOMINIO\LA LAMPERA UNA AL SEIS.doc</t>
  </si>
  <si>
    <t>C:\Users\franc\OneDrive\Documentos\ALIRO\ALIRO\KATHY\ANA LUISA 2010\CERTIFICADOS DE DOMINIO\LA LAMPERA 1 AL 6 - ANTOLINA  ROJAS.doc</t>
  </si>
  <si>
    <t>C:\Users\franc\OneDrive\Documentos\ALIRO\ALIRO\KATHY\ANA LUISA 2010\CERTIFICADOS DE DOMINIO\LA FE GRANDE 1 AL 7.doc</t>
  </si>
  <si>
    <t>C:\Users\franc\OneDrive\Documentos\ALIRO\ALIRO\KATHY\ANA LUISA 2010\CERTIFICADOS DE DOMINIO\LA FE GRANDE 1 AL 7 AÑO 2022.doc</t>
  </si>
  <si>
    <t>C:\Users\franc\OneDrive\Documentos\ALIRO\ALIRO\KATHY\ANA LUISA 2010\CERTIFICADOS DE DOMINIO\LA ENCANTADA 1 AL 16  -   LUIS CARRASCO GUERRA.doc</t>
  </si>
  <si>
    <t>C:\Users\franc\OneDrive\Documentos\ALIRO\ALIRO\KATHY\ANA LUISA 2010\CERTIFICADOS DE DOMINIO\LA DISPUTADA 1 AL 20.doc</t>
  </si>
  <si>
    <t>C:\Users\franc\OneDrive\Documentos\ALIRO\ALIRO\KATHY\ANA LUISA 2010\CERTIFICADOS DE DOMINIO\LA DESPRECIADA 1 AL 5 COMPAÑIA MINERA RIO HURTADO.doc</t>
  </si>
  <si>
    <t>C:\Users\franc\OneDrive\Documentos\ALIRO\ALIRO\KATHY\ANA LUISA 2010\CERTIFICADOS DE DOMINIO\LA DESPRECIADA 1 AL 20.doc</t>
  </si>
  <si>
    <t>C:\Users\franc\OneDrive\Documentos\ALIRO\ALIRO\KATHY\ANA LUISA 2010\CERTIFICADOS DE DOMINIO\LA DESCONOCIDA DOS 1 AL 2.doc</t>
  </si>
  <si>
    <t>C:\Users\franc\OneDrive\Documentos\ALIRO\ALIRO\KATHY\ANA LUISA 2010\CERTIFICADOS DE DOMINIO\JUAN DE DIOS 1 AL 40.doc</t>
  </si>
  <si>
    <t>C:\Users\franc\OneDrive\Documentos\ALIRO\ALIRO\KATHY\ANA LUISA 2010\CERTIFICADOS DE DOMINIO\JAZMIN PRIMERA A JAZMIN TERCERA.doc</t>
  </si>
  <si>
    <t>C:\Users\franc\OneDrive\Documentos\ALIRO\ALIRO\KATHY\ANA LUISA 2010\CERTIFICADOS DE DOMINIO\ITEA 4.doc</t>
  </si>
  <si>
    <t>C:\Users\franc\OneDrive\Documentos\ALIRO\ALIRO\KATHY\ANA LUISA 2010\CERTIFICADOS DE DOMINIO\HURACAN 1 AL 36.doc</t>
  </si>
  <si>
    <t>C:\Users\franc\OneDrive\Documentos\ALIRO\ALIRO\KATHY\ANA LUISA 2010\CERTIFICADOS DE DOMINIO\HUAMPULLA UNO 1 AL 30 - PRESTADORA DE SERVICIOS S.A..doc</t>
  </si>
  <si>
    <t>C:\Users\franc\OneDrive\Documentos\ALIRO\ALIRO\KATHY\ANA LUISA 2010\CERTIFICADOS DE DOMINIO\HUAMPULLA dos  1 AL 30 - PRESTADORA DE SERVICIOS S.A..doc</t>
  </si>
  <si>
    <t>C:\Users\franc\OneDrive\Documentos\ALIRO\ALIRO\KATHY\ANA LUISA 2010\CERTIFICADOS DE DOMINIO\HUAMPULLA CUARTO   1 AL 20 - PRESTADORA DE SERVICIOS S.A..doc</t>
  </si>
  <si>
    <t>C:\Users\franc\OneDrive\Documentos\ALIRO\ALIRO\KATHY\ANA LUISA 2010\CERTIFICADOS DE DOMINIO\HUAMPULLA  TERCERO   1 AL 20 - PRESTADORA DE SERVICIOS S.A..doc</t>
  </si>
  <si>
    <t>C:\Users\franc\OneDrive\Documentos\ALIRO\ALIRO\KATHY\ANA LUISA 2010\CERTIFICADOS DE DOMINIO\HERRADURA 1 AL 7.doc</t>
  </si>
  <si>
    <t>C:\Users\franc\OneDrive\Documentos\ALIRO\ALIRO\KATHY\ANA LUISA 2010\CERTIFICADOS DE DOMINIO\HASS 1 AL 18 MENSURA COMPAÑIA MINERA MUNIZAGA.doc</t>
  </si>
  <si>
    <t>C:\Users\franc\OneDrive\Documentos\ALIRO\ALIRO\KATHY\ANA LUISA 2010\CERTIFICADOS DE DOMINIO\HASS 1 AL 18  COMPAÑIA MINERA MUNIZAGA.doc</t>
  </si>
  <si>
    <t>C:\Users\franc\OneDrive\Documentos\ALIRO\ALIRO\KATHY\ANA LUISA 2010\CERTIFICADOS DE DOMINIO\HASS 1 A 20  -  MANIFESTACION.doc</t>
  </si>
  <si>
    <t>C:\Users\franc\OneDrive\Documentos\ALIRO\ALIRO\KATHY\ANA LUISA 2010\CERTIFICADOS DE DOMINIO\HASS 1 A 20   -    MANIFESTACION.doc</t>
  </si>
  <si>
    <t>C:\Users\franc\OneDrive\Documentos\ALIRO\ALIRO\KATHY\ANA LUISA 2010\CERTIFICADOS DE DOMINIO\GENERAL YAMAGATA UNO A YAMAGATA VEINTE.doc</t>
  </si>
  <si>
    <t>C:\Users\franc\OneDrive\Documentos\ALIRO\ALIRO\KATHY\ANA LUISA 2010\CERTIFICADOS DE DOMINIO\GENERAL YAMAGATA UNO A GENERAL YAMAGATA VEINTE.doc</t>
  </si>
  <si>
    <t>C:\Users\franc\OneDrive\Documentos\ALIRO\ALIRO\KATHY\ANA LUISA 2010\CERTIFICADOS DE DOMINIO\GABRIEL VIII  1-16  -   COMPAÑIA MINERA PUNITAQUI SCM.doc</t>
  </si>
  <si>
    <t>C:\Users\franc\OneDrive\Documentos\ALIRO\ALIRO\KATHY\ANA LUISA 2010\CERTIFICADOS DE DOMINIO\GABRIEL VII  1-32  -   COMPAÑIA MINERA PUNITAQUI SCM.doc</t>
  </si>
  <si>
    <t>C:\Users\franc\OneDrive\Documentos\ALIRO\ALIRO\KATHY\ANA LUISA 2010\CERTIFICADOS DE DOMINIO\GABRIEL III  1-300  -   COMPAÑIA MINERA PUNITAQUI SCM.doc</t>
  </si>
  <si>
    <t>C:\Users\franc\OneDrive\Documentos\ALIRO\ALIRO\KATHY\ANA LUISA 2010\CERTIFICADOS DE DOMINIO\GABRIEL II  1-200  -   COMPAÑIA MINERA PUNITAQUI SCM.doc</t>
  </si>
  <si>
    <t>C:\Users\franc\OneDrive\Documentos\ALIRO\ALIRO\KATHY\ANA LUISA 2010\CERTIFICADOS DE DOMINIO\GABRIEL I  1-200  -   COMPAÑIA MINERA PUNITAQUI SCM.doc</t>
  </si>
  <si>
    <t>C:\Users\franc\OneDrive\Documentos\ALIRO\ALIRO\KATHY\ANA LUISA 2010\CERTIFICADOS DE DOMINIO\GABRIEL I  1 AL 200  -  COMPAÑIA MINERA PUNITAQUI SCM.doc</t>
  </si>
  <si>
    <t>C:\Users\franc\OneDrive\Documentos\ALIRO\ALIRO\KATHY\ANA LUISA 2010\CERTIFICADOS DE DOMINIO\FUTURO EL LLANO 3 1- 9     MANIFESTACION.doc</t>
  </si>
  <si>
    <t>C:\Users\franc\OneDrive\Documentos\ALIRO\ALIRO\KATHY\ANA LUISA 2010\CERTIFICADOS DE DOMINIO\FRANCESA 1º Y 2º.doc</t>
  </si>
  <si>
    <t>C:\Users\franc\OneDrive\Documentos\ALIRO\ALIRO\KATHY\ANA LUISA 2010\CERTIFICADOS DE DOMINIO\FLOR DE ALCAPARRA TERCERA A QUINTA.doc</t>
  </si>
  <si>
    <t>C:\Users\franc\OneDrive\Documentos\ALIRO\ALIRO\KATHY\ANA LUISA 2010\CERTIFICADOS DE DOMINIO\FELIPE 1 A FELIPE 20  MANIFESTACION.doc</t>
  </si>
  <si>
    <t>C:\Users\franc\OneDrive\Documentos\ALIRO\ALIRO\KATHY\ANA LUISA 2010\CERTIFICADOS DE DOMINIO\ESPERANZA 1 AL 20 (DOMINIO VIGENTE).doc</t>
  </si>
  <si>
    <t>C:\Users\franc\OneDrive\Documentos\ALIRO\ALIRO\KATHY\ANA LUISA 2010\CERTIFICADOS DE DOMINIO\EPIFANIA 1 AL 54.doc</t>
  </si>
  <si>
    <t>C:\Users\franc\OneDrive\Documentos\ALIRO\ALIRO\KATHY\ANA LUISA 2010\CERTIFICADOS DE DOMINIO\ENTROPIA 1 AL 10.doc</t>
  </si>
  <si>
    <t>C:\Users\franc\OneDrive\Documentos\ALIRO\ALIRO\KATHY\ANA LUISA 2010\CERTIFICADOS DE DOMINIO\ELENA 9 AL 13 - 16-17-18-19 Y 21.doc</t>
  </si>
  <si>
    <t>C:\Users\franc\OneDrive\Documentos\ALIRO\ALIRO\KATHY\ANA LUISA 2010\CERTIFICADOS DE DOMINIO\ELENA 1 AL 8   Y   14 - 20 Y 22.doc</t>
  </si>
  <si>
    <t>C:\Users\franc\OneDrive\Documentos\ALIRO\ALIRO\KATHY\ANA LUISA 2010\CERTIFICADOS DE DOMINIO\ELENA 1 AL 8   -   14 - 15 - 20 Y 22.doc</t>
  </si>
  <si>
    <t>C:\Users\franc\OneDrive\Documentos\ALIRO\ALIRO\KATHY\ANA LUISA 2010\CERTIFICADOS DE DOMINIO\EL VALLECITO 43.doc</t>
  </si>
  <si>
    <t>C:\Users\franc\OneDrive\Documentos\ALIRO\ALIRO\KATHY\ANA LUISA 2010\CERTIFICADOS DE DOMINIO\EL VALLECITO 42.doc</t>
  </si>
  <si>
    <t>C:\Users\franc\OneDrive\Documentos\ALIRO\ALIRO\KATHY\ANA LUISA 2010\CERTIFICADOS DE DOMINIO\EL VALLECITO 41.doc</t>
  </si>
  <si>
    <t>C:\Users\franc\OneDrive\Documentos\ALIRO\ALIRO\KATHY\ANA LUISA 2010\CERTIFICADOS DE DOMINIO\EL VALLECITO 36.doc</t>
  </si>
  <si>
    <t>C:\Users\franc\OneDrive\Documentos\ALIRO\ALIRO\KATHY\ANA LUISA 2010\CERTIFICADOS DE DOMINIO\EL VALLECITO 35.doc</t>
  </si>
  <si>
    <t>C:\Users\franc\OneDrive\Documentos\ALIRO\ALIRO\KATHY\ANA LUISA 2010\CERTIFICADOS DE DOMINIO\EL VALLECITO 34.doc</t>
  </si>
  <si>
    <t>C:\Users\franc\OneDrive\Documentos\ALIRO\ALIRO\KATHY\ANA LUISA 2010\CERTIFICADOS DE DOMINIO\EL VALLECITO 33.doc</t>
  </si>
  <si>
    <t>C:\Users\franc\OneDrive\Documentos\ALIRO\ALIRO\KATHY\ANA LUISA 2010\CERTIFICADOS DE DOMINIO\EL VALLECITO 32.doc</t>
  </si>
  <si>
    <t>C:\Users\franc\OneDrive\Documentos\ALIRO\ALIRO\KATHY\ANA LUISA 2010\CERTIFICADOS DE DOMINIO\EL VALLECITO 31.doc</t>
  </si>
  <si>
    <t>C:\Users\franc\OneDrive\Documentos\ALIRO\ALIRO\KATHY\ANA LUISA 2010\CERTIFICADOS DE DOMINIO\EL VALLECITO 30.doc</t>
  </si>
  <si>
    <t>C:\Users\franc\OneDrive\Documentos\ALIRO\ALIRO\KATHY\ANA LUISA 2010\CERTIFICADOS DE DOMINIO\EL VALLECITO 29.doc</t>
  </si>
  <si>
    <t>C:\Users\franc\OneDrive\Documentos\ALIRO\ALIRO\KATHY\ANA LUISA 2010\CERTIFICADOS DE DOMINIO\EL SAUCE I  -   PEDIMENTO.doc</t>
  </si>
  <si>
    <t>C:\Users\franc\OneDrive\Documentos\ALIRO\ALIRO\KATHY\ANA LUISA 2010\CERTIFICADOS DE DOMINIO\EL SAUCE  III.doc</t>
  </si>
  <si>
    <t>C:\Users\franc\OneDrive\Documentos\ALIRO\ALIRO\KATHY\ANA LUISA 2010\CERTIFICADOS DE DOMINIO\EL SAUCE  II.doc</t>
  </si>
  <si>
    <t>C:\Users\franc\OneDrive\Documentos\ALIRO\ALIRO\KATHY\ANA LUISA 2010\CERTIFICADOS DE DOMINIO\EL SAUCE  I.doc</t>
  </si>
  <si>
    <t>C:\Users\franc\OneDrive\Documentos\ALIRO\ALIRO\KATHY\ANA LUISA 2010\CERTIFICADOS DE DOMINIO\EL RUMPO 1 AL 8.doc</t>
  </si>
  <si>
    <t>C:\Users\franc\OneDrive\Documentos\ALIRO\ALIRO\KATHY\ANA LUISA 2010\CERTIFICADOS DE DOMINIO\EL ROBLE 1 - 17.doc</t>
  </si>
  <si>
    <t>C:\Users\franc\OneDrive\Documentos\ALIRO\ALIRO\KATHY\ANA LUISA 2010\CERTIFICADOS DE DOMINIO\EL INGENIO PRIMERA 1 AL 4.doc</t>
  </si>
  <si>
    <t>C:\Users\franc\OneDrive\Documentos\ALIRO\ALIRO\KATHY\ANA LUISA 2010\CERTIFICADOS DE DOMINIO\EL INGENIO PRIMERA 1 A 6   -    MANIFESTACION.doc</t>
  </si>
  <si>
    <t>C:\Users\franc\OneDrive\Documentos\ALIRO\ALIRO\KATHY\ANA LUISA 2010\CERTIFICADOS DE DOMINIO\EL INGENIO 1 AL 3.doc</t>
  </si>
  <si>
    <t>C:\Users\franc\OneDrive\Documentos\ALIRO\ALIRO\KATHY\ANA LUISA 2010\CERTIFICADOS DE DOMINIO\EL DORADO SUR 1 AL 3.doc</t>
  </si>
  <si>
    <t>C:\Users\franc\OneDrive\Documentos\ALIRO\ALIRO\KATHY\ANA LUISA 2010\CERTIFICADOS DE DOMINIO\EL DORADO NORTE 1 AL 3 Y 5 AL 21.doc</t>
  </si>
  <si>
    <t>C:\Users\franc\OneDrive\Documentos\ALIRO\ALIRO\KATHY\ANA LUISA 2010\CERTIFICADOS DE DOMINIO\EL DORADO CENTRO 1 AL 10.doc</t>
  </si>
  <si>
    <t>C:\Users\franc\OneDrive\Documentos\ALIRO\ALIRO\KATHY\ANA LUISA 2010\CERTIFICADOS DE DOMINIO\DUQUE  -   CIA MINERA DE PANULCILLO S.A..doc</t>
  </si>
  <si>
    <t>C:\Users\franc\OneDrive\Documentos\ALIRO\ALIRO\KATHY\ANA LUISA 2010\CERTIFICADOS DE DOMINIO\DON REMIGIO 1 AL 20   -    MANIFESTACION.doc</t>
  </si>
  <si>
    <t>C:\Users\franc\OneDrive\Documentos\ALIRO\ALIRO\KATHY\ANA LUISA 2010\CERTIFICADOS DE DOMINIO\DESTELLO 1 AL 60.doc</t>
  </si>
  <si>
    <t>C:\Users\franc\OneDrive\Documentos\ALIRO\ALIRO\KATHY\ANA LUISA 2010\CERTIFICADOS DE DOMINIO\DESPRECIADA QUINTA DEL 1 AL 5.doc</t>
  </si>
  <si>
    <t>C:\Users\franc\OneDrive\Documentos\ALIRO\ALIRO\KATHY\ANA LUISA 2010\CERTIFICADOS DE DOMINIO\DELTA 1.doc</t>
  </si>
  <si>
    <t>C:\Users\franc\OneDrive\Documentos\ALIRO\ALIRO\KATHY\ANA LUISA 2010\CERTIFICADOS DE DOMINIO\DELTA 1 AL 122.doc</t>
  </si>
  <si>
    <t>C:\Users\franc\OneDrive\Documentos\ALIRO\ALIRO\KATHY\ANA LUISA 2010\CERTIFICADOS DE DOMINIO\CORTIJO 1 AL 5.doc</t>
  </si>
  <si>
    <t>C:\Users\franc\OneDrive\Documentos\ALIRO\ALIRO\KATHY\ANA LUISA 2010\CERTIFICADOS DE DOMINIO\CORIDORA 1D  1 AL 90    MANIFESTACION.doc</t>
  </si>
  <si>
    <t>C:\Users\franc\OneDrive\Documentos\ALIRO\ALIRO\KATHY\ANA LUISA 2010\CERTIFICADOS DE DOMINIO\CORIDORA 1C  1 AL 90    MANIFESTACION.doc</t>
  </si>
  <si>
    <t>C:\Users\franc\OneDrive\Documentos\ALIRO\ALIRO\KATHY\ANA LUISA 2010\CERTIFICADOS DE DOMINIO\CORIDORA 1B  1 AL 40    MANIFESTACION.doc</t>
  </si>
  <si>
    <t>C:\Users\franc\OneDrive\Documentos\ALIRO\ALIRO\KATHY\ANA LUISA 2010\CERTIFICADOS DE DOMINIO\CORIDORA 1A  1 AL 20    MANIFESTACION.doc</t>
  </si>
  <si>
    <t>C:\Users\franc\OneDrive\Documentos\ALIRO\ALIRO\KATHY\ANA LUISA 2010\CERTIFICADOS DE DOMINIO\CONSTANZA - CONCESION EXPLORACION.doc</t>
  </si>
  <si>
    <t>C:\Users\franc\OneDrive\Documentos\ALIRO\ALIRO\KATHY\ANA LUISA 2010\CERTIFICADOS DE DOMINIO\CONSTANCIA.doc</t>
  </si>
  <si>
    <t>C:\Users\franc\OneDrive\Documentos\ALIRO\ALIRO\KATHY\ANA LUISA 2010\CERTIFICADOS DE DOMINIO\CONDESA 1 AL 10  -   CIA MINERA PANULCILLO S.A..doc</t>
  </si>
  <si>
    <t>C:\Users\franc\OneDrive\Documentos\ALIRO\ALIRO\KATHY\ANA LUISA 2010\CERTIFICADOS DE DOMINIO\COLORADA  -   CIA MINERA DE TOCOPILLA S.A..doc</t>
  </si>
  <si>
    <t>C:\Users\franc\OneDrive\Documentos\ALIRO\ALIRO\KATHY\ANA LUISA 2010\CERTIFICADOS DE DOMINIO\COCINERA 1 AL 64  -   CIA MINERA PANULCILLO S.A..doc</t>
  </si>
  <si>
    <t>C:\Users\franc\OneDrive\Documentos\ALIRO\ALIRO\KATHY\ANA LUISA 2010\CERTIFICADOS DE DOMINIO\COCINERA 1 AL 64  -   CIA MINERA PANULCILLO S.A......doc</t>
  </si>
  <si>
    <t>C:\Users\franc\OneDrive\Documentos\ALIRO\ALIRO\KATHY\ANA LUISA 2010\CERTIFICADOS DE DOMINIO\COCINERA 1 AL 64  -   CIA MINERA PANULCILLO S.A.  01  Dic.doc</t>
  </si>
  <si>
    <t>C:\Users\franc\OneDrive\Documentos\ALIRO\ALIRO\KATHY\ANA LUISA 2010\CERTIFICADOS DE DOMINIO\CHIVAS CUATRO   1 AL 20  -  MANIFESTACION.doc</t>
  </si>
  <si>
    <t>C:\Users\franc\OneDrive\Documentos\ALIRO\ALIRO\KATHY\ANA LUISA 2010\CERTIFICADOS DE DOMINIO\CHIMBA 1º A 26 - 28 A 31, Y 36 A 50.doc</t>
  </si>
  <si>
    <t>C:\Users\franc\OneDrive\Documentos\ALIRO\ALIRO\KATHY\ANA LUISA 2010\CERTIFICADOS DE DOMINIO\CHATUCA 1 - 125 DANIZA ORO PRIETO.doc</t>
  </si>
  <si>
    <t>C:\Users\franc\OneDrive\Documentos\ALIRO\ALIRO\KATHY\ANA LUISA 2010\CERTIFICADOS DE DOMINIO\CHACAY BAJO UNO  CONCESION DE EXPLORACION.doc</t>
  </si>
  <si>
    <t>C:\Users\franc\OneDrive\Documentos\ALIRO\ALIRO\KATHY\ANA LUISA 2010\CERTIFICADOS DE DOMINIO\CASUALIDAD.doc</t>
  </si>
  <si>
    <t>C:\Users\franc\OneDrive\Documentos\ALIRO\ALIRO\KATHY\ANA LUISA 2010\CERTIFICADOS DE DOMINIO\CAROLINA 1 AL 20.doc</t>
  </si>
  <si>
    <t>C:\Users\franc\OneDrive\Documentos\ALIRO\ALIRO\KATHY\ANA LUISA 2010\CERTIFICADOS DE DOMINIO\CARMEN UNO AL VEINTE  -   AMANDA BRAVO GONZALEZ.doc</t>
  </si>
  <si>
    <t>C:\Users\franc\OneDrive\Documentos\ALIRO\ALIRO\KATHY\ANA LUISA 2010\CERTIFICADOS DE DOMINIO\CARBONATO  -   CIA MINERA PANULCILLO S.A..doc</t>
  </si>
  <si>
    <t>C:\Users\franc\OneDrive\Documentos\ALIRO\ALIRO\KATHY\ANA LUISA 2010\CERTIFICADOS DE DOMINIO\CAMINO REAL 1 AL 8.doc</t>
  </si>
  <si>
    <t>C:\Users\franc\OneDrive\Documentos\ALIRO\ALIRO\KATHY\ANA LUISA 2010\CERTIFICADOS DE DOMINIO\CAMILA 1 AL 5 DOMINIO SOLO (MENSURA).doc</t>
  </si>
  <si>
    <t>C:\Users\franc\OneDrive\Documentos\ALIRO\ALIRO\KATHY\ANA LUISA 2010\CERTIFICADOS DE DOMINIO\BLANCA  -   CIA MINERA DE TOCOPILLA.doc</t>
  </si>
  <si>
    <t>C:\Users\franc\OneDrive\Documentos\ALIRO\ALIRO\KATHY\ANA LUISA 2010\CERTIFICADOS DE DOMINIO\BELEN 1 AL 138.doc</t>
  </si>
  <si>
    <t>C:\Users\franc\OneDrive\Documentos\ALIRO\ALIRO\KATHY\ANA LUISA 2010\CERTIFICADOS DE DOMINIO\AÑAÑUCA 1 AL 3 - MENSURA.doc</t>
  </si>
  <si>
    <t>C:\Users\franc\OneDrive\Documentos\ALIRO\ALIRO\KATHY\ANA LUISA 2010\CERTIFICADOS DE DOMINIO\AÑAÑUCA 1 AL 3  -  MANIFESTACION.doc</t>
  </si>
  <si>
    <t>C:\Users\franc\OneDrive\Documentos\ALIRO\ALIRO\KATHY\ANA LUISA 2010\CERTIFICADOS DE DOMINIO\AURUM 1 AL 20.doc</t>
  </si>
  <si>
    <t>C:\Users\franc\OneDrive\Documentos\ALIRO\ALIRO\KATHY\ANA LUISA 2010\CERTIFICADOS DE DOMINIO\ARCO IRIS, 1 AL 30 - PRESTADORA DE SERVICIOS S.A..doc</t>
  </si>
  <si>
    <t>C:\Users\franc\OneDrive\Documentos\ALIRO\ALIRO\KATHY\ANA LUISA 2010\CERTIFICADOS DE DOMINIO\ARCO IRIS 1 AL 20.doc</t>
  </si>
  <si>
    <t>C:\Users\franc\OneDrive\Documentos\ALIRO\ALIRO\KATHY\ANA LUISA 2010\CERTIFICADOS DE DOMINIO\ANTONIO 1 AL 29.doc</t>
  </si>
  <si>
    <t>C:\Users\franc\OneDrive\Documentos\ALIRO\ALIRO\KATHY\ANA LUISA 2010\CERTIFICADOS DE DOMINIO\ANDREA 26.doc</t>
  </si>
  <si>
    <t>C:\Users\franc\OneDrive\Documentos\ALIRO\ALIRO\KATHY\ANA LUISA 2010\CERTIFICADOS DE DOMINIO\ANDACOLLO 1 AL 13.doc</t>
  </si>
  <si>
    <t>C:\Users\franc\OneDrive\Documentos\ALIRO\ALIRO\KATHY\ANA LUISA 2010\CERTIFICADOS DE DOMINIO\ANAHUAC.doc</t>
  </si>
  <si>
    <t>C:\Users\franc\OneDrive\Documentos\ALIRO\ALIRO\KATHY\ANA LUISA 2010\CERTIFICADOS DE DOMINIO\ANA MARIA.doc</t>
  </si>
  <si>
    <t>C:\Users\franc\OneDrive\Documentos\ALIRO\ALIRO\KATHY\ANA LUISA 2010\CERTIFICADOS DE DOMINIO\ANA LUISAL II  1 AL 68  -   COMPAÑIA MINERA PUNITAQUI SCM.doc</t>
  </si>
  <si>
    <t>C:\Users\franc\OneDrive\Documentos\ALIRO\ALIRO\KATHY\ANA LUISA 2010\CERTIFICADOS DE DOMINIO\ANA LUISAL I  1 AL 140  -   COMPAÑIA MINERA PUNITAQUI SCM.doc</t>
  </si>
  <si>
    <t>C:\Users\franc\OneDrive\Documentos\ALIRO\ALIRO\KATHY\ANA LUISA 2010\CERTIFICADOS DE DOMINIO\ANA LUISA II  1-300  -   COMPAÑIA MINERA PUNITAQUI SCM.doc</t>
  </si>
  <si>
    <t>C:\Users\franc\OneDrive\Documentos\ALIRO\ALIRO\KATHY\ANA LUISA 2010\CERTIFICADOS DE DOMINIO\ANA LUISA I  1-200  -   COMPAÑIA MINERA PUNITAQUI SCM.doc</t>
  </si>
  <si>
    <t>C:\Users\franc\OneDrive\Documentos\ALIRO\ALIRO\KATHY\ANA LUISA 2010\CERTIFICADOS DE DOMINIO\ANA LUISA  II 1 AL 68 -  COMPAÑIA MINERA PUNITAQUI SCM.doc</t>
  </si>
  <si>
    <t>C:\Users\franc\OneDrive\Documentos\ALIRO\ALIRO\KATHY\ANA LUISA 2010\CERTIFICADOS DE DOMINIO\ANA LUISA  I  1 - 140 -  COMPAÑIA MINERA PUNITAQUI SCM.doc</t>
  </si>
  <si>
    <t>C:\Users\franc\OneDrive\Documentos\ALIRO\ALIRO\KATHY\ANA LUISA 2010\CERTIFICADOS DE DOMINIO\AMARILLA  5-6-7-8-9-10-11-12-13 Y 14.doc</t>
  </si>
  <si>
    <t>C:\Users\franc\OneDrive\Documentos\ALIRO\ALIRO\KATHY\ANA LUISA 2010\CERTIFICADOS DE DOMINIO\AMANDA 1 A AMANDA 20  MANIFESTACION.doc</t>
  </si>
  <si>
    <t>C:\Users\franc\OneDrive\Documentos\ALIRO\ALIRO\KATHY\ANA LUISA 2010\CERTIFICADOS DE DOMINIO\ALTAMIRA.doc</t>
  </si>
  <si>
    <t>C:\Users\franc\OneDrive\Documentos\ALIRO\ALIRO\KATHY\ANA LUISA 2010\CERTIFICADOS DE DOMINIO\ADRIANA SEXTA 10 AL 16 Y 19 AL 24.doc</t>
  </si>
  <si>
    <t>C:\Users\franc\OneDrive\Documentos\ALIRO\ALIRO\KATHY\ANA LUISA 2010\CERTIFICADOS DE DOMINIO\ADRIANA PRIMERA 1 AL 10.doc</t>
  </si>
  <si>
    <t>C:\Users\franc\OneDrive\Documentos\ALIRO\ALIRO\KATHY\ANA LUISA 2010\CERTIFICADOS DE DOMINIO\ADRIANA DECIMA TERCERA 1 AL 53.doc</t>
  </si>
  <si>
    <t>C:\Users\franc\OneDrive\Documentos\ALIRO\ALIRO\KATHY\ANA LUISA 2010\CERTIFICADOS DE DOMINIO\ABANDONADA UNA AL SEIS.doc</t>
  </si>
  <si>
    <t>C:\Users\franc\OneDrive\Documentos\ALIRO\ALIRO\KATHY\ANA LUISA 2010\CERTIFICADO DE HIPOTECAS Y GRAV\WILMA UNO - CINCO.doc</t>
  </si>
  <si>
    <t>C:\Users\franc\OneDrive\Documentos\ALIRO\ALIRO\KATHY\ANA LUISA 2010\CERTIFICADO DE HIPOTECAS Y GRAV\VIRGINIA UNA A CINCO.doc</t>
  </si>
  <si>
    <t>C:\Users\franc\OneDrive\Documentos\ALIRO\ALIRO\KATHY\ANA LUISA 2010\CERTIFICADO DE HIPOTECAS Y GRAV\VIOLETA SEGUNDA (2018).doc</t>
  </si>
  <si>
    <t>C:\Users\franc\OneDrive\Documentos\ALIRO\ALIRO\KATHY\ANA LUISA 2010\CERTIFICADO DE HIPOTECAS Y GRAV\VIOLETA PRIMERA (2018).doc</t>
  </si>
  <si>
    <t>C:\Users\franc\OneDrive\Documentos\ALIRO\ALIRO\KATHY\ANA LUISA 2010\CERTIFICADO DE HIPOTECAS Y GRAV\VIOLETA 1º A 2º.doc</t>
  </si>
  <si>
    <t>C:\Users\franc\OneDrive\Documentos\ALIRO\ALIRO\KATHY\ANA LUISA 2010\CERTIFICADO DE HIPOTECAS Y GRAV\VICTORIA VIII  1 AL 200  -  COMPAÑIA MINERA PUNITAQUI SCM.doc</t>
  </si>
  <si>
    <t>C:\Users\franc\OneDrive\Documentos\ALIRO\ALIRO\KATHY\ANA LUISA 2010\CERTIFICADO DE HIPOTECAS Y GRAV\VICTORIA VIII  1 AL 200  -  CIA MINERA LOS MANTOS SCM.doc</t>
  </si>
  <si>
    <t>C:\Users\franc\OneDrive\Documentos\ALIRO\ALIRO\KATHY\ANA LUISA 2010\CERTIFICADO DE HIPOTECAS Y GRAV\VICTORIA VII  1 AL 200  -  COMPAÑIA MINERA PUNITAQUI SCM.doc</t>
  </si>
  <si>
    <t>C:\Users\franc\OneDrive\Documentos\ALIRO\ALIRO\KATHY\ANA LUISA 2010\CERTIFICADO DE HIPOTECAS Y GRAV\VICTORIA VII  1 AL 200  -  CIA MINERA LOS MANTOS SCM.doc</t>
  </si>
  <si>
    <t>C:\Users\franc\OneDrive\Documentos\ALIRO\ALIRO\KATHY\ANA LUISA 2010\CERTIFICADO DE HIPOTECAS Y GRAV\VICTORIA VI  1 AL 200  -  COMPAÑIA MINERA PUNITAQUI SCM.doc</t>
  </si>
  <si>
    <t>C:\Users\franc\OneDrive\Documentos\ALIRO\ALIRO\KATHY\ANA LUISA 2010\CERTIFICADO DE HIPOTECAS Y GRAV\VICTORIA VI  1 AL 200  -  CIA MINERA LOS MANTOS SCM.doc</t>
  </si>
  <si>
    <t>C:\Users\franc\OneDrive\Documentos\ALIRO\ALIRO\KATHY\ANA LUISA 2010\CERTIFICADO DE HIPOTECAS Y GRAV\VICTORIA V  1 AL 300  -  COMPAÑIA MINERA PUNITAQUI SCM.doc</t>
  </si>
  <si>
    <t>C:\Users\franc\OneDrive\Documentos\ALIRO\ALIRO\KATHY\ANA LUISA 2010\CERTIFICADO DE HIPOTECAS Y GRAV\VICTORIA V  1 AL 300  -  CIA MINERA LOS MANTOS SCM.doc</t>
  </si>
  <si>
    <t>C:\Users\franc\OneDrive\Documentos\ALIRO\ALIRO\KATHY\ANA LUISA 2010\CERTIFICADO DE HIPOTECAS Y GRAV\VICTORIA UNA A CUATRO.doc</t>
  </si>
  <si>
    <t>C:\Users\franc\OneDrive\Documentos\ALIRO\ALIRO\KATHY\ANA LUISA 2010\CERTIFICADO DE HIPOTECAS Y GRAV\VICTORIA IX  1 AL 100  -  COMPAÑIA MINERA PUNITAQUI SCM.doc</t>
  </si>
  <si>
    <t>C:\Users\franc\OneDrive\Documentos\ALIRO\ALIRO\KATHY\ANA LUISA 2010\CERTIFICADO DE HIPOTECAS Y GRAV\VICTORIA IV  1 AL 300  -  COMPAÑIA MINERA PUNITAQUI SCM.doc</t>
  </si>
  <si>
    <t>C:\Users\franc\OneDrive\Documentos\ALIRO\ALIRO\KATHY\ANA LUISA 2010\CERTIFICADO DE HIPOTECAS Y GRAV\VICTORIA IV  1 AL 300  -  CIA MINERA LOS MANTOS SCM.doc</t>
  </si>
  <si>
    <t>C:\Users\franc\OneDrive\Documentos\ALIRO\ALIRO\KATHY\ANA LUISA 2010\CERTIFICADO DE HIPOTECAS Y GRAV\VICTORIA III  1 AL 300  -  COMPAÑIA MINERA PUNITAQUI SCM.doc</t>
  </si>
  <si>
    <t>C:\Users\franc\OneDrive\Documentos\ALIRO\ALIRO\KATHY\ANA LUISA 2010\CERTIFICADO DE HIPOTECAS Y GRAV\VICTORIA IIi  1 AL 235.doc</t>
  </si>
  <si>
    <t>C:\Users\franc\OneDrive\Documentos\ALIRO\ALIRO\KATHY\ANA LUISA 2010\CERTIFICADO DE HIPOTECAS Y GRAV\VICTORIA II 1 AL 285.doc</t>
  </si>
  <si>
    <t>C:\Users\franc\OneDrive\Documentos\ALIRO\ALIRO\KATHY\ANA LUISA 2010\CERTIFICADO DE HIPOTECAS Y GRAV\VICTORIA II  1 AL 300  -  COMPAÑIA MINERA PUNITAQUI SCM.doc</t>
  </si>
  <si>
    <t>C:\Users\franc\OneDrive\Documentos\ALIRO\ALIRO\KATHY\ANA LUISA 2010\CERTIFICADO DE HIPOTECAS Y GRAV\VICTORIA I 1 AL 245.doc</t>
  </si>
  <si>
    <t>C:\Users\franc\OneDrive\Documentos\ALIRO\ALIRO\KATHY\ANA LUISA 2010\CERTIFICADO DE HIPOTECAS Y GRAV\VICTORIA I  1 AL 300  -  COMPAÑIA MINERA PUNITAQUI SCM.doc</t>
  </si>
  <si>
    <t>C:\Users\franc\OneDrive\Documentos\ALIRO\ALIRO\KATHY\ANA LUISA 2010\CERTIFICADO DE HIPOTECAS Y GRAV\VENUS (2018).doc</t>
  </si>
  <si>
    <t>C:\Users\franc\OneDrive\Documentos\ALIRO\ALIRO\KATHY\ANA LUISA 2010\CERTIFICADO DE HIPOTECAS Y GRAV\VASCO 1 A 157.doc</t>
  </si>
  <si>
    <t>C:\Users\franc\OneDrive\Documentos\ALIRO\ALIRO\KATHY\ANA LUISA 2010\CERTIFICADO DE HIPOTECAS Y GRAV\TURQUIA UNA A TRES (2018).doc</t>
  </si>
  <si>
    <t>C:\Users\franc\OneDrive\Documentos\ALIRO\ALIRO\KATHY\ANA LUISA 2010\CERTIFICADO DE HIPOTECAS Y GRAV\TRINITARIA (2018).doc</t>
  </si>
  <si>
    <t>C:\Users\franc\OneDrive\Documentos\ALIRO\ALIRO\KATHY\ANA LUISA 2010\CERTIFICADO DE HIPOTECAS Y GRAV\TOTORAL 4 1 AL 20.doc</t>
  </si>
  <si>
    <t>C:\Users\franc\OneDrive\Documentos\ALIRO\ALIRO\KATHY\ANA LUISA 2010\CERTIFICADO DE HIPOTECAS Y GRAV\TOTORAL 4  1 AL  20 2010.doc</t>
  </si>
  <si>
    <t>C:\Users\franc\OneDrive\Documentos\ALIRO\ALIRO\KATHY\ANA LUISA 2010\CERTIFICADO DE HIPOTECAS Y GRAV\TORCA UNO AL CINCO.doc</t>
  </si>
  <si>
    <t>C:\Users\franc\OneDrive\Documentos\ALIRO\ALIRO\KATHY\ANA LUISA 2010\CERTIFICADO DE HIPOTECAS Y GRAV\TOLTEN 1 AL 17.doc</t>
  </si>
  <si>
    <t>C:\Users\franc\OneDrive\Documentos\ALIRO\ALIRO\KATHY\ANA LUISA 2010\CERTIFICADO DE HIPOTECAS Y GRAV\TOLAS UNO AL CATORCE.doc</t>
  </si>
  <si>
    <t>C:\Users\franc\OneDrive\Documentos\ALIRO\ALIRO\KATHY\ANA LUISA 2010\CERTIFICADO DE HIPOTECAS Y GRAV\TODA LA VIDA UNA A VEINTE.doc</t>
  </si>
  <si>
    <t>C:\Users\franc\OneDrive\Documentos\ALIRO\ALIRO\KATHY\ANA LUISA 2010\CERTIFICADO DE HIPOTECAS Y GRAV\TOCONCE UNO AL DIECIOCHO.doc</t>
  </si>
  <si>
    <t>C:\Users\franc\OneDrive\Documentos\ALIRO\ALIRO\KATHY\ANA LUISA 2010\CERTIFICADO DE HIPOTECAS Y GRAV\TOCOMAR UNO AL VEINTE.doc</t>
  </si>
  <si>
    <t>C:\Users\franc\OneDrive\Documentos\ALIRO\ALIRO\KATHY\ANA LUISA 2010\CERTIFICADO DE HIPOTECAS Y GRAV\TIPAY UNO AL CATORCE.doc</t>
  </si>
  <si>
    <t>C:\Users\franc\OneDrive\Documentos\ALIRO\ALIRO\KATHY\ANA LUISA 2010\CERTIFICADO DE HIPOTECAS Y GRAV\TIGNAMAR UNO AL VEINTISEIS.doc</t>
  </si>
  <si>
    <t>C:\Users\franc\OneDrive\Documentos\ALIRO\ALIRO\KATHY\ANA LUISA 2010\CERTIFICADO DE HIPOTECAS Y GRAV\TICALHUE 1 AL 17Ç.doc</t>
  </si>
  <si>
    <t>C:\Users\franc\OneDrive\Documentos\ALIRO\ALIRO\KATHY\ANA LUISA 2010\CERTIFICADO DE HIPOTECAS Y GRAV\TEMO UNO AL DOS.doc</t>
  </si>
  <si>
    <t>C:\Users\franc\OneDrive\Documentos\ALIRO\ALIRO\KATHY\ANA LUISA 2010\CERTIFICADO DE HIPOTECAS Y GRAV\TAUCO 3-4-5-8-9-10-15-20 Y 25.doc</t>
  </si>
  <si>
    <t>C:\Users\franc\OneDrive\Documentos\ALIRO\ALIRO\KATHY\ANA LUISA 2010\CERTIFICADO DE HIPOTECAS Y GRAV\TAUCO 3,4,5,8,9,10,15,20 Y 25 (2018).doc</t>
  </si>
  <si>
    <t>C:\Users\franc\OneDrive\Documentos\ALIRO\ALIRO\KATHY\ANA LUISA 2010\CERTIFICADO DE HIPOTECAS Y GRAV\TANUME 1 AL 28.doc</t>
  </si>
  <si>
    <t>C:\Users\franc\OneDrive\Documentos\ALIRO\ALIRO\KATHY\ANA LUISA 2010\CERTIFICADO DE HIPOTECAS Y GRAV\TAMAYA 1 AL 120.doc</t>
  </si>
  <si>
    <t>C:\Users\franc\OneDrive\Documentos\ALIRO\ALIRO\KATHY\ANA LUISA 2010\CERTIFICADO DE HIPOTECAS Y GRAV\TAMARUGO UNO AL CUARENTA Y CUATRO.doc</t>
  </si>
  <si>
    <t>C:\Users\franc\OneDrive\Documentos\ALIRO\ALIRO\KATHY\ANA LUISA 2010\CERTIFICADO DE HIPOTECAS Y GRAV\TALPUNA 1 AL 34.doc</t>
  </si>
  <si>
    <t>C:\Users\franc\OneDrive\Documentos\ALIRO\ALIRO\KATHY\ANA LUISA 2010\CERTIFICADO DE HIPOTECAS Y GRAV\TALCAN 1 AL 18.doc</t>
  </si>
  <si>
    <t>C:\Users\franc\OneDrive\Documentos\ALIRO\ALIRO\KATHY\ANA LUISA 2010\CERTIFICADO DE HIPOTECAS Y GRAV\TALCA UNA AL VEINTE.doc</t>
  </si>
  <si>
    <t>C:\Users\franc\OneDrive\Documentos\ALIRO\ALIRO\KATHY\ANA LUISA 2010\CERTIFICADO DE HIPOTECAS Y GRAV\TALABRE 1 AL 25.doc</t>
  </si>
  <si>
    <t>C:\Users\franc\OneDrive\Documentos\ALIRO\ALIRO\KATHY\ANA LUISA 2010\CERTIFICADO DE HIPOTECAS Y GRAV\TAHUIMCO 1 AL 40.doc</t>
  </si>
  <si>
    <t>C:\Users\franc\OneDrive\Documentos\ALIRO\ALIRO\KATHY\ANA LUISA 2010\CERTIFICADO DE HIPOTECAS Y GRAV\TACORA 1 AL 65.doc</t>
  </si>
  <si>
    <t>C:\Users\franc\OneDrive\Documentos\ALIRO\ALIRO\KATHY\ANA LUISA 2010\CERTIFICADO DE HIPOTECAS Y GRAV\SUERTE 10, 11, 12, 13, 14, 15, 25, 26, 27, 28, 29, 30.doc</t>
  </si>
  <si>
    <t>C:\Users\franc\OneDrive\Documentos\ALIRO\ALIRO\KATHY\ANA LUISA 2010\CERTIFICADO DE HIPOTECAS Y GRAV\SILVIA.doc</t>
  </si>
  <si>
    <t>C:\Users\franc\OneDrive\Documentos\ALIRO\ALIRO\KATHY\ANA LUISA 2010\CERTIFICADO DE HIPOTECAS Y GRAV\SILVA PRIMERA A CUARTA (2018).doc</t>
  </si>
  <si>
    <t>C:\Users\franc\OneDrive\Documentos\ALIRO\ALIRO\KATHY\ANA LUISA 2010\CERTIFICADO DE HIPOTECAS Y GRAV\SANTA RITA 1 AL 12.doc</t>
  </si>
  <si>
    <t>C:\Users\franc\OneDrive\Documentos\ALIRO\ALIRO\KATHY\ANA LUISA 2010\CERTIFICADO DE HIPOTECAS Y GRAV\SANTA RITA 1 AL 12  NUEVO.doc</t>
  </si>
  <si>
    <t>C:\Users\franc\OneDrive\Documentos\ALIRO\ALIRO\KATHY\ANA LUISA 2010\CERTIFICADO DE HIPOTECAS Y GRAV\SANTA LUCIA 1 AL 10.doc</t>
  </si>
  <si>
    <t>C:\Users\franc\OneDrive\Documentos\ALIRO\ALIRO\KATHY\ANA LUISA 2010\CERTIFICADO DE HIPOTECAS Y GRAV\SANTA FÉ (2018).doc</t>
  </si>
  <si>
    <t>C:\Users\franc\OneDrive\Documentos\ALIRO\ALIRO\KATHY\ANA LUISA 2010\CERTIFICADO DE HIPOTECAS Y GRAV\SANTA FE.doc</t>
  </si>
  <si>
    <t>C:\Users\franc\OneDrive\Documentos\ALIRO\ALIRO\KATHY\ANA LUISA 2010\CERTIFICADO DE HIPOTECAS Y GRAV\SANTA CRISTINA 1 AL 8.doc</t>
  </si>
  <si>
    <t>C:\Users\franc\OneDrive\Documentos\ALIRO\ALIRO\KATHY\ANA LUISA 2010\CERTIFICADO DE HIPOTECAS Y GRAV\SANTA CLARA 1 AL 2.doc</t>
  </si>
  <si>
    <t>C:\Users\franc\OneDrive\Documentos\ALIRO\ALIRO\KATHY\ANA LUISA 2010\CERTIFICADO DE HIPOTECAS Y GRAV\SAN MIGUEL 1 AL 20.doc</t>
  </si>
  <si>
    <t>C:\Users\franc\OneDrive\Documentos\ALIRO\ALIRO\KATHY\ANA LUISA 2010\CERTIFICADO DE HIPOTECAS Y GRAV\SAN MARCELO UNO A SAN MARCELO VEINTE.doc</t>
  </si>
  <si>
    <t>C:\Users\franc\OneDrive\Documentos\ALIRO\ALIRO\KATHY\ANA LUISA 2010\CERTIFICADO DE HIPOTECAS Y GRAV\SAN CRISTOBAL 1 AL 30.doc</t>
  </si>
  <si>
    <t>C:\Users\franc\OneDrive\Documentos\ALIRO\ALIRO\KATHY\ANA LUISA 2010\CERTIFICADO DE HIPOTECAS Y GRAV\SAN ANDRES 1 AL 7.doc</t>
  </si>
  <si>
    <t>C:\Users\franc\OneDrive\Documentos\ALIRO\ALIRO\KATHY\ANA LUISA 2010\CERTIFICADO DE HIPOTECAS Y GRAV\SAN ANDRES 1 AL 14 - MINERA ALTOS DE PUNITAQUI LIMITADA.doc</t>
  </si>
  <si>
    <t>C:\Users\franc\OneDrive\Documentos\ALIRO\ALIRO\KATHY\ANA LUISA 2010\CERTIFICADO DE HIPOTECAS Y GRAV\SALAMANCA.doc</t>
  </si>
  <si>
    <t>C:\Users\franc\OneDrive\Documentos\ALIRO\ALIRO\KATHY\ANA LUISA 2010\CERTIFICADO DE HIPOTECAS Y GRAV\ROSITA UNA A ROSITA SEIS.doc</t>
  </si>
  <si>
    <t>C:\Users\franc\OneDrive\Documentos\ALIRO\ALIRO\KATHY\ANA LUISA 2010\CERTIFICADO DE HIPOTECAS Y GRAV\ROCIO SIETE 1 AL 30.doc</t>
  </si>
  <si>
    <t>C:\Users\franc\OneDrive\Documentos\ALIRO\ALIRO\KATHY\ANA LUISA 2010\CERTIFICADO DE HIPOTECAS Y GRAV\ROCIO ONCE 1 AL 30.doc</t>
  </si>
  <si>
    <t>C:\Users\franc\OneDrive\Documentos\ALIRO\ALIRO\KATHY\ANA LUISA 2010\CERTIFICADO DE HIPOTECAS Y GRAV\ROCIO NUEVE 1 AL 30.doc</t>
  </si>
  <si>
    <t>C:\Users\franc\OneDrive\Documentos\ALIRO\ALIRO\KATHY\ANA LUISA 2010\CERTIFICADO DE HIPOTECAS Y GRAV\ROCIO DOCE 1 AL 5.doc</t>
  </si>
  <si>
    <t>C:\Users\franc\OneDrive\Documentos\ALIRO\ALIRO\KATHY\ANA LUISA 2010\CERTIFICADO DE HIPOTECAS Y GRAV\ROCIO DIEZ 1 AL 30.doc</t>
  </si>
  <si>
    <t>C:\Users\franc\OneDrive\Documentos\ALIRO\ALIRO\KATHY\ANA LUISA 2010\CERTIFICADO DE HIPOTECAS Y GRAV\RITA 1 AL 7.doc</t>
  </si>
  <si>
    <t>C:\Users\franc\OneDrive\Documentos\ALIRO\ALIRO\KATHY\ANA LUISA 2010\CERTIFICADO DE HIPOTECAS Y GRAV\RESGUARDO.doc</t>
  </si>
  <si>
    <t>C:\Users\franc\OneDrive\Documentos\ALIRO\ALIRO\KATHY\ANA LUISA 2010\CERTIFICADO DE HIPOTECAS Y GRAV\RESGUARDO PRIMERA A QUINTA (2018).doc</t>
  </si>
  <si>
    <t>C:\Users\franc\OneDrive\Documentos\ALIRO\ALIRO\KATHY\ANA LUISA 2010\CERTIFICADO DE HIPOTECAS Y GRAV\RESGUARDO 1º A 5º.doc</t>
  </si>
  <si>
    <t>C:\Users\franc\OneDrive\Documentos\ALIRO\ALIRO\KATHY\ANA LUISA 2010\CERTIFICADO DE HIPOTECAS Y GRAV\REPUBLICANA.doc</t>
  </si>
  <si>
    <t>C:\Users\franc\OneDrive\Documentos\ALIRO\ALIRO\KATHY\ANA LUISA 2010\CERTIFICADO DE HIPOTECAS Y GRAV\REPUBLICANA (2018).doc</t>
  </si>
  <si>
    <t>C:\Users\franc\OneDrive\Documentos\ALIRO\ALIRO\KATHY\ANA LUISA 2010\CERTIFICADO DE HIPOTECAS Y GRAV\RECOLETA 8.doc</t>
  </si>
  <si>
    <t>C:\Users\franc\OneDrive\Documentos\ALIRO\ALIRO\KATHY\ANA LUISA 2010\CERTIFICADO DE HIPOTECAS Y GRAV\RECOLETA 7.doc</t>
  </si>
  <si>
    <t>C:\Users\franc\OneDrive\Documentos\ALIRO\ALIRO\KATHY\ANA LUISA 2010\CERTIFICADO DE HIPOTECAS Y GRAV\RECOLETA 6.doc</t>
  </si>
  <si>
    <t>C:\Users\franc\OneDrive\Documentos\ALIRO\ALIRO\KATHY\ANA LUISA 2010\CERTIFICADO DE HIPOTECAS Y GRAV\RECOLETA 5.doc</t>
  </si>
  <si>
    <t>C:\Users\franc\OneDrive\Documentos\ALIRO\ALIRO\KATHY\ANA LUISA 2010\CERTIFICADO DE HIPOTECAS Y GRAV\RECOLETA 4.doc</t>
  </si>
  <si>
    <t>C:\Users\franc\OneDrive\Documentos\ALIRO\ALIRO\KATHY\ANA LUISA 2010\CERTIFICADO DE HIPOTECAS Y GRAV\RECOLETA 3.doc</t>
  </si>
  <si>
    <t>C:\Users\franc\OneDrive\Documentos\ALIRO\ALIRO\KATHY\ANA LUISA 2010\CERTIFICADO DE HIPOTECAS Y GRAV\RECOLETA 2.doc</t>
  </si>
  <si>
    <t>C:\Users\franc\OneDrive\Documentos\ALIRO\ALIRO\KATHY\ANA LUISA 2010\CERTIFICADO DE HIPOTECAS Y GRAV\REALIDAD.doc</t>
  </si>
  <si>
    <t>C:\Users\franc\OneDrive\Documentos\ALIRO\ALIRO\KATHY\ANA LUISA 2010\CERTIFICADO DE HIPOTECAS Y GRAV\REALIDAD (2018).doc</t>
  </si>
  <si>
    <t>C:\Users\franc\OneDrive\Documentos\ALIRO\ALIRO\KATHY\ANA LUISA 2010\CERTIFICADO DE HIPOTECAS Y GRAV\RAMÓN (2018).doc</t>
  </si>
  <si>
    <t>C:\Users\franc\OneDrive\Documentos\ALIRO\ALIRO\KATHY\ANA LUISA 2010\CERTIFICADO DE HIPOTECAS Y GRAV\RAMONCITO.doc</t>
  </si>
  <si>
    <t>C:\Users\franc\OneDrive\Documentos\ALIRO\ALIRO\KATHY\ANA LUISA 2010\CERTIFICADO DE HIPOTECAS Y GRAV\RAMONCITO (2018).doc</t>
  </si>
  <si>
    <t>C:\Users\franc\OneDrive\Documentos\ALIRO\ALIRO\KATHY\ANA LUISA 2010\CERTIFICADO DE HIPOTECAS Y GRAV\QUILES UNA A QUILES DIEZ.doc</t>
  </si>
  <si>
    <t>C:\Users\franc\OneDrive\Documentos\ALIRO\ALIRO\KATHY\ANA LUISA 2010\CERTIFICADO DE HIPOTECAS Y GRAV\QUEBRADA.doc</t>
  </si>
  <si>
    <t>C:\Users\franc\OneDrive\Documentos\ALIRO\ALIRO\KATHY\ANA LUISA 2010\CERTIFICADO DE HIPOTECAS Y GRAV\QUEBRADA (2018).doc</t>
  </si>
  <si>
    <t>C:\Users\franc\OneDrive\Documentos\ALIRO\ALIRO\KATHY\ANA LUISA 2010\CERTIFICADO DE HIPOTECAS Y GRAV\PUNTILLA PRIMERA A TERCERA.doc</t>
  </si>
  <si>
    <t>C:\Users\franc\OneDrive\Documentos\ALIRO\ALIRO\KATHY\ANA LUISA 2010\CERTIFICADO DE HIPOTECAS Y GRAV\PUNTILLA I A III   2010.doc</t>
  </si>
  <si>
    <t>C:\Users\franc\OneDrive\Documentos\ALIRO\ALIRO\KATHY\ANA LUISA 2010\CERTIFICADO DE HIPOTECAS Y GRAV\PUNITAQUI PRIMERA A CINCUENTA  2010.doc</t>
  </si>
  <si>
    <t>C:\Users\franc\OneDrive\Documentos\ALIRO\ALIRO\KATHY\ANA LUISA 2010\CERTIFICADO DE HIPOTECAS Y GRAV\PUNITAQUI 1 AL 50.doc</t>
  </si>
  <si>
    <t>C:\Users\franc\OneDrive\Documentos\ALIRO\ALIRO\KATHY\ANA LUISA 2010\CERTIFICADO DE HIPOTECAS Y GRAV\PUNITAQUI 1 AL 50 - PROHIBICIONES E INTERDICCIONES DE MINAS.doc</t>
  </si>
  <si>
    <t>C:\Users\franc\OneDrive\Documentos\ALIRO\ALIRO\KATHY\ANA LUISA 2010\CERTIFICADO DE HIPOTECAS Y GRAV\POZO ALMONTE.doc</t>
  </si>
  <si>
    <t>C:\Users\franc\OneDrive\Documentos\ALIRO\ALIRO\KATHY\ANA LUISA 2010\CERTIFICADO DE HIPOTECAS Y GRAV\PORTUGUESA 1 AL 3.doc</t>
  </si>
  <si>
    <t>C:\Users\franc\OneDrive\Documentos\ALIRO\ALIRO\KATHY\ANA LUISA 2010\CERTIFICADO DE HIPOTECAS Y GRAV\PORTUGUESA   2010.doc</t>
  </si>
  <si>
    <t>C:\Users\franc\OneDrive\Documentos\ALIRO\ALIRO\KATHY\ANA LUISA 2010\CERTIFICADO DE HIPOTECAS Y GRAV\PINTA UNO AL SETENTA Y DOS (2018).doc</t>
  </si>
  <si>
    <t>C:\Users\franc\OneDrive\Documentos\ALIRO\ALIRO\KATHY\ANA LUISA 2010\CERTIFICADO DE HIPOTECAS Y GRAV\PASILLO UNO AL QUINCE.doc</t>
  </si>
  <si>
    <t>C:\Users\franc\OneDrive\Documentos\ALIRO\ALIRO\KATHY\ANA LUISA 2010\CERTIFICADO DE HIPOTECAS Y GRAV\PANAL III   1 AL 10.doc</t>
  </si>
  <si>
    <t>C:\Users\franc\OneDrive\Documentos\ALIRO\ALIRO\KATHY\ANA LUISA 2010\CERTIFICADO DE HIPOTECAS Y GRAV\PANAL II   1 AL 10 ANGLO AMERICAN NORTES S.A..doc</t>
  </si>
  <si>
    <t>C:\Users\franc\OneDrive\Documentos\ALIRO\ALIRO\KATHY\ANA LUISA 2010\CERTIFICADO DE HIPOTECAS Y GRAV\PANAL I   1 AL 10.doc</t>
  </si>
  <si>
    <t>C:\Users\franc\OneDrive\Documentos\ALIRO\ALIRO\KATHY\ANA LUISA 2010\CERTIFICADO DE HIPOTECAS Y GRAV\OREGON UNA A DOS.doc</t>
  </si>
  <si>
    <t>C:\Users\franc\OneDrive\Documentos\ALIRO\ALIRO\KATHY\ANA LUISA 2010\CERTIFICADO DE HIPOTECAS Y GRAV\OLGA UNO A VEINTE.doc</t>
  </si>
  <si>
    <t>C:\Users\franc\OneDrive\Documentos\ALIRO\ALIRO\KATHY\ANA LUISA 2010\CERTIFICADO DE HIPOTECAS Y GRAV\NUEVA YORK UNA A CUARENTA.doc</t>
  </si>
  <si>
    <t>C:\Users\franc\OneDrive\Documentos\ALIRO\ALIRO\KATHY\ANA LUISA 2010\CERTIFICADO DE HIPOTECAS Y GRAV\NUEVA MEJICO UNA A CUATRO.doc</t>
  </si>
  <si>
    <t>C:\Users\franc\OneDrive\Documentos\ALIRO\ALIRO\KATHY\ANA LUISA 2010\CERTIFICADO DE HIPOTECAS Y GRAV\NUEVA DALMACIA  1 AL 100  -  COMPAÑIA MINERA PUNITAQUI SCM.doc</t>
  </si>
  <si>
    <t>C:\Users\franc\OneDrive\Documentos\ALIRO\ALIRO\KATHY\ANA LUISA 2010\CERTIFICADO DE HIPOTECAS Y GRAV\NUEVA CINABRIO  1 AL 100  -  COMPAÑIA MINERA PUNITAQUI SCM.doc</t>
  </si>
  <si>
    <t>C:\Users\franc\OneDrive\Documentos\ALIRO\ALIRO\KATHY\ANA LUISA 2010\CERTIFICADO DE HIPOTECAS Y GRAV\NIELOL 1 AL 20 (2018).doc</t>
  </si>
  <si>
    <t>C:\Users\franc\OneDrive\Documentos\ALIRO\ALIRO\KATHY\ANA LUISA 2010\CERTIFICADO DE HIPOTECAS Y GRAV\NEW YERSEY UNA Y DOS.doc</t>
  </si>
  <si>
    <t>C:\Users\franc\OneDrive\Documentos\ALIRO\ALIRO\KATHY\ANA LUISA 2010\CERTIFICADO DE HIPOTECAS Y GRAV\NEVADA.doc</t>
  </si>
  <si>
    <t>C:\Users\franc\OneDrive\Documentos\ALIRO\ALIRO\KATHY\ANA LUISA 2010\CERTIFICADO DE HIPOTECAS Y GRAV\MOZAS 1 AL 6.doc</t>
  </si>
  <si>
    <t>C:\Users\franc\OneDrive\Documentos\ALIRO\ALIRO\KATHY\ANA LUISA 2010\CERTIFICADO DE HIPOTECAS Y GRAV\mozas 1 al 6    2010.doc</t>
  </si>
  <si>
    <t>C:\Users\franc\OneDrive\Documentos\ALIRO\ALIRO\KATHY\ANA LUISA 2010\CERTIFICADO DE HIPOTECAS Y GRAV\MORENA UNA A DIECIOCHO.doc</t>
  </si>
  <si>
    <t>C:\Users\franc\OneDrive\Documentos\ALIRO\ALIRO\KATHY\ANA LUISA 2010\CERTIFICADO DE HIPOTECAS Y GRAV\MIRADOR 1 A MIRADOR 18.doc</t>
  </si>
  <si>
    <t>C:\Users\franc\OneDrive\Documentos\ALIRO\ALIRO\KATHY\ANA LUISA 2010\CERTIFICADO DE HIPOTECAS Y GRAV\MINUTERO 1 AL 30.doc</t>
  </si>
  <si>
    <t>C:\Users\franc\OneDrive\Documentos\ALIRO\ALIRO\KATHY\ANA LUISA 2010\CERTIFICADO DE HIPOTECAS Y GRAV\MINA SANTA ALICIA 1 AL 17 - 2010.doc</t>
  </si>
  <si>
    <t>C:\Users\franc\OneDrive\Documentos\ALIRO\ALIRO\KATHY\ANA LUISA 2010\CERTIFICADO DE HIPOTECAS Y GRAV\MINA LAMPERA II 1 AL 8.doc</t>
  </si>
  <si>
    <t>C:\Users\franc\OneDrive\Documentos\ALIRO\ALIRO\KATHY\ANA LUISA 2010\CERTIFICADO DE HIPOTECAS Y GRAV\MINA LA PORRITA 1 AL 5.doc</t>
  </si>
  <si>
    <t>C:\Users\franc\OneDrive\Documentos\ALIRO\ALIRO\KATHY\ANA LUISA 2010\CERTIFICADO DE HIPOTECAS Y GRAV\MINA LA CORTADERA 1 AL 5.doc</t>
  </si>
  <si>
    <t>C:\Users\franc\OneDrive\Documentos\ALIRO\ALIRO\KATHY\ANA LUISA 2010\CERTIFICADO DE HIPOTECAS Y GRAV\MILAGRO.doc</t>
  </si>
  <si>
    <t>C:\Users\franc\OneDrive\Documentos\ALIRO\ALIRO\KATHY\ANA LUISA 2010\CERTIFICADO DE HIPOTECAS Y GRAV\MILAGRO (2018).doc</t>
  </si>
  <si>
    <t>C:\Users\franc\OneDrive\Documentos\ALIRO\ALIRO\KATHY\ANA LUISA 2010\CERTIFICADO DE HIPOTECAS Y GRAV\MICHIGAN UNO A CUARENTA.doc</t>
  </si>
  <si>
    <t>C:\Users\franc\OneDrive\Documentos\ALIRO\ALIRO\KATHY\ANA LUISA 2010\CERTIFICADO DE HIPOTECAS Y GRAV\MERCED UNO AL DIEZ.doc</t>
  </si>
  <si>
    <t>C:\Users\franc\OneDrive\Documentos\ALIRO\ALIRO\KATHY\ANA LUISA 2010\CERTIFICADO DE HIPOTECAS Y GRAV\MERCED UNO AL DIEZ - PROHIBICIONES E INTERDICCIONES DE MINAS.doc</t>
  </si>
  <si>
    <t>C:\Users\franc\OneDrive\Documentos\ALIRO\ALIRO\KATHY\ANA LUISA 2010\CERTIFICADO DE HIPOTECAS Y GRAV\MERCED 1 AL 10.doc</t>
  </si>
  <si>
    <t>C:\Users\franc\OneDrive\Documentos\ALIRO\ALIRO\KATHY\ANA LUISA 2010\CERTIFICADO DE HIPOTECAS Y GRAV\MARÍA 2, 1 AL 118 (2018).doc</t>
  </si>
  <si>
    <t>C:\Users\franc\OneDrive\Documentos\ALIRO\ALIRO\KATHY\ANA LUISA 2010\CERTIFICADO DE HIPOTECAS Y GRAV\MARÍA 2, (55, 62 AL 66, 68 AL 188) del grupo MARIA 2, 1 AL 118.doc</t>
  </si>
  <si>
    <t>C:\Users\franc\OneDrive\Documentos\ALIRO\ALIRO\KATHY\ANA LUISA 2010\CERTIFICADO DE HIPOTECAS Y GRAV\MARUJA UNO AL CINCO.doc</t>
  </si>
  <si>
    <t>C:\Users\franc\OneDrive\Documentos\ALIRO\ALIRO\KATHY\ANA LUISA 2010\CERTIFICADO DE HIPOTECAS Y GRAV\MARTE.doc</t>
  </si>
  <si>
    <t>C:\Users\franc\OneDrive\Documentos\ALIRO\ALIRO\KATHY\ANA LUISA 2010\CERTIFICADO DE HIPOTECAS Y GRAV\MARTE      2010.doc</t>
  </si>
  <si>
    <t>C:\Users\franc\OneDrive\Documentos\ALIRO\ALIRO\KATHY\ANA LUISA 2010\CERTIFICADO DE HIPOTECAS Y GRAV\MARGOT UNA A MARGOT DIEZ.doc</t>
  </si>
  <si>
    <t>C:\Users\franc\OneDrive\Documentos\ALIRO\ALIRO\KATHY\ANA LUISA 2010\CERTIFICADO DE HIPOTECAS Y GRAV\MARGOT 1 A 20.doc</t>
  </si>
  <si>
    <t>C:\Users\franc\OneDrive\Documentos\ALIRO\ALIRO\KATHY\ANA LUISA 2010\CERTIFICADO DE HIPOTECAS Y GRAV\MARGARITA 1 A 7.doc</t>
  </si>
  <si>
    <t>C:\Users\franc\OneDrive\Documentos\ALIRO\ALIRO\KATHY\ANA LUISA 2010\CERTIFICADO DE HIPOTECAS Y GRAV\MANUELITO 1 AL 15.doc</t>
  </si>
  <si>
    <t>C:\Users\franc\OneDrive\Documentos\ALIRO\ALIRO\KATHY\ANA LUISA 2010\CERTIFICADO DE HIPOTECAS Y GRAV\MANUEL RODRIGUEZ.doc</t>
  </si>
  <si>
    <t>C:\Users\franc\OneDrive\Documentos\ALIRO\ALIRO\KATHY\ANA LUISA 2010\CERTIFICADO DE HIPOTECAS Y GRAV\MANTAQUI OCTAVA.doc</t>
  </si>
  <si>
    <t>C:\Users\franc\OneDrive\Documentos\ALIRO\ALIRO\KATHY\ANA LUISA 2010\CERTIFICADO DE HIPOTECAS Y GRAV\MANTAQUI 1º Y 2º.doc</t>
  </si>
  <si>
    <t>C:\Users\franc\OneDrive\Documentos\ALIRO\ALIRO\KATHY\ANA LUISA 2010\CERTIFICADO DE HIPOTECAS Y GRAV\MAGDA UNO AL DIEZ.doc</t>
  </si>
  <si>
    <t>C:\Users\franc\OneDrive\Documentos\ALIRO\ALIRO\KATHY\ANA LUISA 2010\CERTIFICADO DE HIPOTECAS Y GRAV\MACEL UNO AL SEIS   2010.doc</t>
  </si>
  <si>
    <t>C:\Users\franc\OneDrive\Documentos\ALIRO\ALIRO\KATHY\ANA LUISA 2010\CERTIFICADO DE HIPOTECAS Y GRAV\MACEL 1 AL 6.doc</t>
  </si>
  <si>
    <t>C:\Users\franc\OneDrive\Documentos\ALIRO\ALIRO\KATHY\ANA LUISA 2010\CERTIFICADO DE HIPOTECAS Y GRAV\LUNA UNO AL CATORCE.doc</t>
  </si>
  <si>
    <t>C:\Users\franc\OneDrive\Documentos\ALIRO\ALIRO\KATHY\ANA LUISA 2010\CERTIFICADO DE HIPOTECAS Y GRAV\LOUISIANA.doc</t>
  </si>
  <si>
    <t>C:\Users\franc\OneDrive\Documentos\ALIRO\ALIRO\KATHY\ANA LUISA 2010\CERTIFICADO DE HIPOTECAS Y GRAV\LOS LLIMPES UNO A VEINTE.doc</t>
  </si>
  <si>
    <t>C:\Users\franc\OneDrive\Documentos\ALIRO\ALIRO\KATHY\ANA LUISA 2010\CERTIFICADO DE HIPOTECAS Y GRAV\LOS DOS AMIGOS 1 AL 6.doc</t>
  </si>
  <si>
    <t>C:\Users\franc\OneDrive\Documentos\ALIRO\ALIRO\KATHY\ANA LUISA 2010\CERTIFICADO DE HIPOTECAS Y GRAV\LOS CHAÑARES 1 AL 5.doc</t>
  </si>
  <si>
    <t>C:\Users\franc\OneDrive\Documentos\ALIRO\ALIRO\KATHY\ANA LUISA 2010\CERTIFICADO DE HIPOTECAS Y GRAV\LOMA NEGRA UNO AL CINCUENTA.doc</t>
  </si>
  <si>
    <t>C:\Users\franc\OneDrive\Documentos\ALIRO\ALIRO\KATHY\ANA LUISA 2010\CERTIFICADO DE HIPOTECAS Y GRAV\logo.doc</t>
  </si>
  <si>
    <t>C:\Users\franc\OneDrive\Documentos\ALIRO\ALIRO\KATHY\ANA LUISA 2010\CERTIFICADO DE HIPOTECAS Y GRAV\LLANO SEGUNDA.doc</t>
  </si>
  <si>
    <t>C:\Users\franc\OneDrive\Documentos\ALIRO\ALIRO\KATHY\ANA LUISA 2010\CERTIFICADO DE HIPOTECAS Y GRAV\LLANO SEGUNDA (2018).doc</t>
  </si>
  <si>
    <t>C:\Users\franc\OneDrive\Documentos\ALIRO\ALIRO\KATHY\ANA LUISA 2010\CERTIFICADO DE HIPOTECAS Y GRAV\LLANO PRIMERA.doc</t>
  </si>
  <si>
    <t>C:\Users\franc\OneDrive\Documentos\ALIRO\ALIRO\KATHY\ANA LUISA 2010\CERTIFICADO DE HIPOTECAS Y GRAV\LLANO PRIMERA (2018).doc</t>
  </si>
  <si>
    <t>C:\Users\franc\OneDrive\Documentos\ALIRO\ALIRO\KATHY\ANA LUISA 2010\CERTIFICADO DE HIPOTECAS Y GRAV\LECAROS 1 - 120.doc</t>
  </si>
  <si>
    <t>C:\Users\franc\OneDrive\Documentos\ALIRO\ALIRO\KATHY\ANA LUISA 2010\CERTIFICADO DE HIPOTECAS Y GRAV\LAS BUENAS MOZAS 21 AL 32    2010.doc</t>
  </si>
  <si>
    <t>C:\Users\franc\OneDrive\Documentos\ALIRO\ALIRO\KATHY\ANA LUISA 2010\CERTIFICADO DE HIPOTECAS Y GRAV\LAS BUENAS MOZAS 21 a 32.doc</t>
  </si>
  <si>
    <t>C:\Users\franc\OneDrive\Documentos\ALIRO\ALIRO\KATHY\ANA LUISA 2010\CERTIFICADO DE HIPOTECAS Y GRAV\LAS BUENAS MOZAS 1 AL 20.doc</t>
  </si>
  <si>
    <t>C:\Users\franc\OneDrive\Documentos\ALIRO\ALIRO\KATHY\ANA LUISA 2010\CERTIFICADO DE HIPOTECAS Y GRAV\LAS BUENAS MOZAS   1 AL 20     2010.doc</t>
  </si>
  <si>
    <t>C:\Users\franc\OneDrive\Documentos\ALIRO\ALIRO\KATHY\ANA LUISA 2010\CERTIFICADO DE HIPOTECAS Y GRAV\LA SUERTE.doc</t>
  </si>
  <si>
    <t>C:\Users\franc\OneDrive\Documentos\ALIRO\ALIRO\KATHY\ANA LUISA 2010\CERTIFICADO DE HIPOTECAS Y GRAV\LA SUERTE ( 2018).doc</t>
  </si>
  <si>
    <t>C:\Users\franc\OneDrive\Documentos\ALIRO\ALIRO\KATHY\ANA LUISA 2010\CERTIFICADO DE HIPOTECAS Y GRAV\LA SOL UNA A CUATRO.doc</t>
  </si>
  <si>
    <t>C:\Users\franc\OneDrive\Documentos\ALIRO\ALIRO\KATHY\ANA LUISA 2010\CERTIFICADO DE HIPOTECAS Y GRAV\LA MORENA 1 AL 10 (2018).doc</t>
  </si>
  <si>
    <t>C:\Users\franc\OneDrive\Documentos\ALIRO\ALIRO\KATHY\ANA LUISA 2010\CERTIFICADO DE HIPOTECAS Y GRAV\LA LUSITANIA 1 AL 5.doc</t>
  </si>
  <si>
    <t>C:\Users\franc\OneDrive\Documentos\ALIRO\ALIRO\KATHY\ANA LUISA 2010\CERTIFICADO DE HIPOTECAS Y GRAV\LA BORRACHO 1 AL 3.doc</t>
  </si>
  <si>
    <t>C:\Users\franc\OneDrive\Documentos\ALIRO\ALIRO\KATHY\ANA LUISA 2010\CERTIFICADO DE HIPOTECAS Y GRAV\JUAN DE DIOS UNO AL CUARENTA.doc</t>
  </si>
  <si>
    <t>C:\Users\franc\OneDrive\Documentos\ALIRO\ALIRO\KATHY\ANA LUISA 2010\CERTIFICADO DE HIPOTECAS Y GRAV\JAZMIN TERCERA (2018).doc</t>
  </si>
  <si>
    <t>C:\Users\franc\OneDrive\Documentos\ALIRO\ALIRO\KATHY\ANA LUISA 2010\CERTIFICADO DE HIPOTECAS Y GRAV\JAZMIN SEGUNDA (2018).doc</t>
  </si>
  <si>
    <t>C:\Users\franc\OneDrive\Documentos\ALIRO\ALIRO\KATHY\ANA LUISA 2010\CERTIFICADO DE HIPOTECAS Y GRAV\JAZMIN PRIMERA A TERCERA.doc</t>
  </si>
  <si>
    <t>C:\Users\franc\OneDrive\Documentos\ALIRO\ALIRO\KATHY\ANA LUISA 2010\CERTIFICADO DE HIPOTECAS Y GRAV\JAZMIN PRIMERA (2018).doc</t>
  </si>
  <si>
    <t>C:\Users\franc\OneDrive\Documentos\ALIRO\ALIRO\KATHY\ANA LUISA 2010\CERTIFICADO DE HIPOTECAS Y GRAV\ITALIANA SEGUNDA A CUARTA.doc</t>
  </si>
  <si>
    <t>C:\Users\franc\OneDrive\Documentos\ALIRO\ALIRO\KATHY\ANA LUISA 2010\CERTIFICADO DE HIPOTECAS Y GRAV\ITALIANA (2018).doc</t>
  </si>
  <si>
    <t>C:\Users\franc\OneDrive\Documentos\ALIRO\ALIRO\KATHY\ANA LUISA 2010\CERTIFICADO DE HIPOTECAS Y GRAV\ITALIANA  SEGUNDA A CUARTA (2018).doc</t>
  </si>
  <si>
    <t>C:\Users\franc\OneDrive\Documentos\ALIRO\ALIRO\KATHY\ANA LUISA 2010\CERTIFICADO DE HIPOTECAS Y GRAV\GUIAS ALTAS.doc</t>
  </si>
  <si>
    <t>C:\Users\franc\OneDrive\Documentos\ALIRO\ALIRO\KATHY\ANA LUISA 2010\CERTIFICADO DE HIPOTECAS Y GRAV\GEORGIA UNA A SIETE.doc</t>
  </si>
  <si>
    <t>C:\Users\franc\OneDrive\Documentos\ALIRO\ALIRO\KATHY\ANA LUISA 2010\CERTIFICADO DE HIPOTECAS Y GRAV\GABRIEL VIII  1 AL 16  -  COMPAÑIA MINERA PUNITAQUI SCM.doc</t>
  </si>
  <si>
    <t>C:\Users\franc\OneDrive\Documentos\ALIRO\ALIRO\KATHY\ANA LUISA 2010\CERTIFICADO DE HIPOTECAS Y GRAV\GABRIEL VII  1 AL 32  -  COMPAÑIA MINERA PUNITAQUI SCM.doc</t>
  </si>
  <si>
    <t>C:\Users\franc\OneDrive\Documentos\ALIRO\ALIRO\KATHY\ANA LUISA 2010\CERTIFICADO DE HIPOTECAS Y GRAV\GABRIEL III  1 AL 300  -  COMPAÑIA MINERA PUNITAQUI SCM.doc</t>
  </si>
  <si>
    <t>C:\Users\franc\OneDrive\Documentos\ALIRO\ALIRO\KATHY\ANA LUISA 2010\CERTIFICADO DE HIPOTECAS Y GRAV\GABRIEL I 1 AL 200  -  COMPAÑIA MINERA PUNITAQUI SCM.doc</t>
  </si>
  <si>
    <t>C:\Users\franc\OneDrive\Documentos\ALIRO\ALIRO\KATHY\ANA LUISA 2010\CERTIFICADO DE HIPOTECAS Y GRAV\FUSIONADA (2018).doc</t>
  </si>
  <si>
    <t>C:\Users\franc\OneDrive\Documentos\ALIRO\ALIRO\KATHY\ANA LUISA 2010\CERTIFICADO DE HIPOTECAS Y GRAV\FRANCESA SEGUNDA (2018).doc</t>
  </si>
  <si>
    <t>C:\Users\franc\OneDrive\Documentos\ALIRO\ALIRO\KATHY\ANA LUISA 2010\CERTIFICADO DE HIPOTECAS Y GRAV\FRANCESA PRIMERA (2018).doc</t>
  </si>
  <si>
    <t>C:\Users\franc\OneDrive\Documentos\ALIRO\ALIRO\KATHY\ANA LUISA 2010\CERTIFICADO DE HIPOTECAS Y GRAV\FLORIDA UNA A VEINTISEIS.doc</t>
  </si>
  <si>
    <t>C:\Users\franc\OneDrive\Documentos\ALIRO\ALIRO\KATHY\ANA LUISA 2010\CERTIFICADO DE HIPOTECAS Y GRAV\FLOR DEL BOSQUE UNA A CINCO.doc</t>
  </si>
  <si>
    <t>C:\Users\franc\OneDrive\Documentos\ALIRO\ALIRO\KATHY\ANA LUISA 2010\CERTIFICADO DE HIPOTECAS Y GRAV\FLOR DE MAYO.doc</t>
  </si>
  <si>
    <t>C:\Users\franc\OneDrive\Documentos\ALIRO\ALIRO\KATHY\ANA LUISA 2010\CERTIFICADO DE HIPOTECAS Y GRAV\FLOR DE MAYO ( 2018).doc</t>
  </si>
  <si>
    <t>C:\Users\franc\OneDrive\Documentos\ALIRO\ALIRO\KATHY\ANA LUISA 2010\CERTIFICADO DE HIPOTECAS Y GRAV\FARELLON 1 AL 4.doc</t>
  </si>
  <si>
    <t>C:\Users\franc\OneDrive\Documentos\ALIRO\ALIRO\KATHY\ANA LUISA 2010\CERTIFICADO DE HIPOTECAS Y GRAV\ESPERANZA O BUENA ESPERANZA.doc</t>
  </si>
  <si>
    <t>C:\Users\franc\OneDrive\Documentos\ALIRO\ALIRO\KATHY\ANA LUISA 2010\CERTIFICADO DE HIPOTECAS Y GRAV\ESPERANZA O BUENA ESPERANZA (2018).doc</t>
  </si>
  <si>
    <t>C:\Users\franc\OneDrive\Documentos\ALIRO\ALIRO\KATHY\ANA LUISA 2010\CERTIFICADO DE HIPOTECAS Y GRAV\EPIFANIA 1 AL 54.doc</t>
  </si>
  <si>
    <t>C:\Users\franc\OneDrive\Documentos\ALIRO\ALIRO\KATHY\ANA LUISA 2010\CERTIFICADO DE HIPOTECAS Y GRAV\EL ORO.doc</t>
  </si>
  <si>
    <t>C:\Users\franc\OneDrive\Documentos\ALIRO\ALIRO\KATHY\ANA LUISA 2010\CERTIFICADO DE HIPOTECAS Y GRAV\EL ORO (2018).doc</t>
  </si>
  <si>
    <t>C:\Users\franc\OneDrive\Documentos\ALIRO\ALIRO\KATHY\ANA LUISA 2010\CERTIFICADO DE HIPOTECAS Y GRAV\EL COBRE.doc</t>
  </si>
  <si>
    <t>C:\Users\franc\OneDrive\Documentos\ALIRO\ALIRO\KATHY\ANA LUISA 2010\CERTIFICADO DE HIPOTECAS Y GRAV\EL COBRE (2018).doc</t>
  </si>
  <si>
    <t>C:\Users\franc\OneDrive\Documentos\ALIRO\ALIRO\KATHY\ANA LUISA 2010\CERTIFICADO DE HIPOTECAS Y GRAV\DON HUMBERTO 1.doc</t>
  </si>
  <si>
    <t>C:\Users\franc\OneDrive\Documentos\ALIRO\ALIRO\KATHY\ANA LUISA 2010\CERTIFICADO DE HIPOTECAS Y GRAV\DELIRIO.doc</t>
  </si>
  <si>
    <t>C:\Users\franc\OneDrive\Documentos\ALIRO\ALIRO\KATHY\ANA LUISA 2010\CERTIFICADO DE HIPOTECAS Y GRAV\DELIRIO (2018).doc</t>
  </si>
  <si>
    <t>C:\Users\franc\OneDrive\Documentos\ALIRO\ALIRO\KATHY\ANA LUISA 2010\CERTIFICADO DE HIPOTECAS Y GRAV\DEIDAMIA UNA Y DOS.doc</t>
  </si>
  <si>
    <t>C:\Users\franc\OneDrive\Documentos\ALIRO\ALIRO\KATHY\ANA LUISA 2010\CERTIFICADO DE HIPOTECAS Y GRAV\DALMACIA PRIMERA A VIGESIMA.doc</t>
  </si>
  <si>
    <t>C:\Users\franc\OneDrive\Documentos\ALIRO\ALIRO\KATHY\ANA LUISA 2010\CERTIFICADO DE HIPOTECAS Y GRAV\CUMBRE (2018).doc</t>
  </si>
  <si>
    <t>C:\Users\franc\OneDrive\Documentos\ALIRO\ALIRO\KATHY\ANA LUISA 2010\CERTIFICADO DE HIPOTECAS Y GRAV\CORTIJO 1 AL 5.doc</t>
  </si>
  <si>
    <t>C:\Users\franc\OneDrive\Documentos\ALIRO\ALIRO\KATHY\ANA LUISA 2010\CERTIFICADO DE HIPOTECAS Y GRAV\CONSTANCIA.doc</t>
  </si>
  <si>
    <t>C:\Users\franc\OneDrive\Documentos\ALIRO\ALIRO\KATHY\ANA LUISA 2010\CERTIFICADO DE HIPOTECAS Y GRAV\CONSTANCIA   2010.doc</t>
  </si>
  <si>
    <t>C:\Users\franc\OneDrive\Documentos\ALIRO\ALIRO\KATHY\ANA LUISA 2010\CERTIFICADO DE HIPOTECAS Y GRAV\CONSERVA.doc</t>
  </si>
  <si>
    <t>C:\Users\franc\OneDrive\Documentos\ALIRO\ALIRO\KATHY\ANA LUISA 2010\CERTIFICADO DE HIPOTECAS Y GRAV\CONSERVA TERCERA (2018).doc</t>
  </si>
  <si>
    <t>C:\Users\franc\OneDrive\Documentos\ALIRO\ALIRO\KATHY\ANA LUISA 2010\CERTIFICADO DE HIPOTECAS Y GRAV\CONSERVA CUARTA (2018).doc</t>
  </si>
  <si>
    <t>C:\Users\franc\OneDrive\Documentos\ALIRO\ALIRO\KATHY\ANA LUISA 2010\CERTIFICADO DE HIPOTECAS Y GRAV\CONSERVA ( 2018).doc</t>
  </si>
  <si>
    <t>C:\Users\franc\OneDrive\Documentos\ALIRO\ALIRO\KATHY\ANA LUISA 2010\CERTIFICADO DE HIPOTECAS Y GRAV\CONSERVA    SEGUNDA.doc</t>
  </si>
  <si>
    <t>C:\Users\franc\OneDrive\Documentos\ALIRO\ALIRO\KATHY\ANA LUISA 2010\CERTIFICADO DE HIPOTECAS Y GRAV\CONFLUENCIA.doc</t>
  </si>
  <si>
    <t>C:\Users\franc\OneDrive\Documentos\ALIRO\ALIRO\KATHY\ANA LUISA 2010\CERTIFICADO DE HIPOTECAS Y GRAV\CONFLUENCIA (2018).doc</t>
  </si>
  <si>
    <t>C:\Users\franc\OneDrive\Documentos\ALIRO\ALIRO\KATHY\ANA LUISA 2010\CERTIFICADO DE HIPOTECAS Y GRAV\COMPAÑÍA VEINTIUNA AL CUARENTA (2018).doc</t>
  </si>
  <si>
    <t>C:\Users\franc\OneDrive\Documentos\ALIRO\ALIRO\KATHY\ANA LUISA 2010\CERTIFICADO DE HIPOTECAS Y GRAV\COMPAÑIA 21 A 40.doc</t>
  </si>
  <si>
    <t>C:\Users\franc\OneDrive\Documentos\ALIRO\ALIRO\KATHY\ANA LUISA 2010\CERTIFICADO DE HIPOTECAS Y GRAV\CHIMBA TREINTA Y UNO (2018).doc</t>
  </si>
  <si>
    <t>C:\Users\franc\OneDrive\Documentos\ALIRO\ALIRO\KATHY\ANA LUISA 2010\CERTIFICADO DE HIPOTECAS Y GRAV\CHIMBA QUINCE (2018).doc</t>
  </si>
  <si>
    <t>C:\Users\franc\OneDrive\Documentos\ALIRO\ALIRO\KATHY\ANA LUISA 2010\CERTIFICADO DE HIPOTECAS Y GRAV\CHIMBA 48-49-50 (CHIMBA 36 A 50) (2018).doc</t>
  </si>
  <si>
    <t>C:\Users\franc\OneDrive\Documentos\ALIRO\ALIRO\KATHY\ANA LUISA 2010\CERTIFICADO DE HIPOTECAS Y GRAV\CHIMBA  1 A 26 - 28 A 31 - 36 - 50.doc</t>
  </si>
  <si>
    <t>C:\Users\franc\OneDrive\Documentos\ALIRO\ALIRO\KATHY\ANA LUISA 2010\CERTIFICADO DE HIPOTECAS Y GRAV\CHILENA UNO AL CIEN.doc</t>
  </si>
  <si>
    <t>C:\Users\franc\OneDrive\Documentos\ALIRO\ALIRO\KATHY\ANA LUISA 2010\CERTIFICADO DE HIPOTECAS Y GRAV\CHEPILLO 1 AL 4.doc</t>
  </si>
  <si>
    <t>C:\Users\franc\OneDrive\Documentos\ALIRO\ALIRO\KATHY\ANA LUISA 2010\CERTIFICADO DE HIPOTECAS Y GRAV\CHATUCA 1 - 125 DANIZA ORO PRIETO.doc</t>
  </si>
  <si>
    <t>C:\Users\franc\OneDrive\Documentos\ALIRO\ALIRO\KATHY\ANA LUISA 2010\CERTIFICADO DE HIPOTECAS Y GRAV\CERRILLOS PRIMERA.doc</t>
  </si>
  <si>
    <t>C:\Users\franc\OneDrive\Documentos\ALIRO\ALIRO\KATHY\ANA LUISA 2010\CERTIFICADO DE HIPOTECAS Y GRAV\CASUALIDAD ( 2018).doc</t>
  </si>
  <si>
    <t>C:\Users\franc\OneDrive\Documentos\ALIRO\ALIRO\KATHY\ANA LUISA 2010\CERTIFICADO DE HIPOTECAS Y GRAV\CAROLINA.doc</t>
  </si>
  <si>
    <t>C:\Users\franc\OneDrive\Documentos\ALIRO\ALIRO\KATHY\ANA LUISA 2010\CERTIFICADO DE HIPOTECAS Y GRAV\CAROLINA DOS A CUATRO.doc</t>
  </si>
  <si>
    <t>C:\Users\franc\OneDrive\Documentos\ALIRO\ALIRO\KATHY\ANA LUISA 2010\CERTIFICADO DE HIPOTECAS Y GRAV\CAPITANA.doc</t>
  </si>
  <si>
    <t>C:\Users\franc\OneDrive\Documentos\ALIRO\ALIRO\KATHY\ANA LUISA 2010\CERTIFICADO DE HIPOTECAS Y GRAV\CAPITANA (2018).doc</t>
  </si>
  <si>
    <t>C:\Users\franc\OneDrive\Documentos\ALIRO\ALIRO\KATHY\ANA LUISA 2010\CERTIFICADO DE HIPOTECAS Y GRAV\CANASTA UNA AL CIEN.doc</t>
  </si>
  <si>
    <t>C:\Users\franc\OneDrive\Documentos\ALIRO\ALIRO\KATHY\ANA LUISA 2010\CERTIFICADO DE HIPOTECAS Y GRAV\CAMPOSANTO 1 A 17.doc</t>
  </si>
  <si>
    <t>C:\Users\franc\OneDrive\Documentos\ALIRO\ALIRO\KATHY\ANA LUISA 2010\CERTIFICADO DE HIPOTECAS Y GRAV\CAMPAMENTO PRIMERA A CUARTA ( 2018).doc</t>
  </si>
  <si>
    <t>C:\Users\franc\OneDrive\Documentos\ALIRO\ALIRO\KATHY\ANA LUISA 2010\CERTIFICADO DE HIPOTECAS Y GRAV\CAMPAMENTO 1 A 4.doc</t>
  </si>
  <si>
    <t>C:\Users\franc\OneDrive\Documentos\ALIRO\ALIRO\KATHY\ANA LUISA 2010\CERTIFICADO DE HIPOTECAS Y GRAV\CALVARIO 1 AL 20.doc</t>
  </si>
  <si>
    <t>C:\Users\franc\OneDrive\Documentos\ALIRO\ALIRO\KATHY\ANA LUISA 2010\CERTIFICADO DE HIPOTECAS Y GRAV\CALIFORNIA SEIS AL CATORCE.doc</t>
  </si>
  <si>
    <t>C:\Users\franc\OneDrive\Documentos\ALIRO\ALIRO\KATHY\ANA LUISA 2010\CERTIFICADO DE HIPOTECAS Y GRAV\BUENAS UNO AL SEIS.doc</t>
  </si>
  <si>
    <t>C:\Users\franc\OneDrive\Documentos\ALIRO\ALIRO\KATHY\ANA LUISA 2010\CERTIFICADO DE HIPOTECAS Y GRAV\BLANQUITA UNO AL NUEVE.doc</t>
  </si>
  <si>
    <t>C:\Users\franc\OneDrive\Documentos\ALIRO\ALIRO\KATHY\ANA LUISA 2010\CERTIFICADO DE HIPOTECAS Y GRAV\BLANCA.doc</t>
  </si>
  <si>
    <t>C:\Users\franc\OneDrive\Documentos\ALIRO\ALIRO\KATHY\ANA LUISA 2010\CERTIFICADO DE HIPOTECAS Y GRAV\BLANCA (2018).doc</t>
  </si>
  <si>
    <t>C:\Users\franc\OneDrive\Documentos\ALIRO\ALIRO\KATHY\ANA LUISA 2010\CERTIFICADO DE HIPOTECAS Y GRAV\AÑAÑUCA 1 AL 3 - HTO. RIVERA CORTES.doc</t>
  </si>
  <si>
    <t>C:\Users\franc\OneDrive\Documentos\ALIRO\ALIRO\KATHY\ANA LUISA 2010\CERTIFICADO DE HIPOTECAS Y GRAV\AZUCENA.doc</t>
  </si>
  <si>
    <t>C:\Users\franc\OneDrive\Documentos\ALIRO\ALIRO\KATHY\ANA LUISA 2010\CERTIFICADO DE HIPOTECAS Y GRAV\AZUCENA (2018).doc</t>
  </si>
  <si>
    <t>C:\Users\franc\OneDrive\Documentos\ALIRO\ALIRO\KATHY\ANA LUISA 2010\CERTIFICADO DE HIPOTECAS Y GRAV\AURORA 1 A 2.doc</t>
  </si>
  <si>
    <t>C:\Users\franc\OneDrive\Documentos\ALIRO\ALIRO\KATHY\ANA LUISA 2010\CERTIFICADO DE HIPOTECAS Y GRAV\ARCO IRIS 1 A 20.doc</t>
  </si>
  <si>
    <t>C:\Users\franc\OneDrive\Documentos\ALIRO\ALIRO\KATHY\ANA LUISA 2010\CERTIFICADO DE HIPOTECAS Y GRAV\ANA LUISA II 1 AL 68  -  COMPAÑIA MINERA PUNITAQUI SCM.doc</t>
  </si>
  <si>
    <t>C:\Users\franc\OneDrive\Documentos\ALIRO\ALIRO\KATHY\ANA LUISA 2010\CERTIFICADO DE HIPOTECAS Y GRAV\ANA LUISA I 1 AL 140  -  COMPAÑIA MINERA PUNITAQUI SCM.doc</t>
  </si>
  <si>
    <t>C:\Users\franc\OneDrive\Documentos\ALIRO\ALIRO\KATHY\ANA LUISA 2010\CERTIFICADO DE HIPOTECAS Y GRAV\AMPLIACION UNA A AMPLIACION DIECISEIS.doc</t>
  </si>
  <si>
    <t>C:\Users\franc\OneDrive\Documentos\ALIRO\ALIRO\KATHY\ANA LUISA 2010\CERTIFICADO DE HIPOTECAS Y GRAV\ALEMANIA (2018).doc</t>
  </si>
  <si>
    <t>C:\Users\franc\OneDrive\Documentos\ALIRO\ALIRO\KATHY\ANA LUISA 2010\CERTIFICADO DE HIPOTECAS Y GRAV\ALBA (2018).doc</t>
  </si>
  <si>
    <t>C:\Users\franc\OneDrive\Documentos\ALIRO\ALIRO\KATHY\ANA LUISA 2010\CERTIFICADO DE HIPOTECAS Y GRAV\AGUADA.doc</t>
  </si>
  <si>
    <t>C:\Users\franc\OneDrive\Documentos\ALIRO\ALIRO\KATHY\ANA LUISA 2010\CERTIFICADO DE HIPOTECAS Y GRAV\ADRIANITA 1 AL 35.doc</t>
  </si>
  <si>
    <t>C:\Users\franc\OneDrive\Documentos\ALIRO\ALIRO\KATHY\ANA LUISA 2010\CERTIFICADO DE HIPOTECAS Y GRAV\ADOLFO, RAMON, EL COBRE, EL ORO.doc</t>
  </si>
  <si>
    <t>C:\Users\franc\OneDrive\Documentos\ALIRO\ALIRO\KATHY\ANA LUISA 2010\CERTIFICADO DE HIPOTECAS Y GRAV\ADOLFO (2018).doc</t>
  </si>
  <si>
    <t>C:\Users\franc\OneDrive\Documentos\ALIRO\ALIRO\KATHY\ANA LUISA 2010\CERTIFICADO DE HIPOTECAS Y GRAV\ABANDONADA.doc</t>
  </si>
  <si>
    <t>C:\Users\franc\OneDrive\Documentos\ALIRO\ALIRO\KATHY\ANA LUISA 2010\CERTIFICADO DE DOMINIO SOC. LEGAL MINERA\SOCIEDAD SANTA LAURA UNO DE PUNITAQUI.doc</t>
  </si>
  <si>
    <t>C:\Users\franc\OneDrive\Documentos\ALIRO\ALIRO\KATHY\ANA LUISA 2010\CERTIFICADO DE DOMINIO SOC. LEGAL MINERA\SOCIEDAD ROCIO SIETE DE PUNITAQUI.doc</t>
  </si>
  <si>
    <t>C:\Users\franc\OneDrive\Documentos\ALIRO\ALIRO\KATHY\ANA LUISA 2010\CERTIFICADO DE DOMINIO SOC. LEGAL MINERA\SOCIEDAD BICKMAR UNO DEL SECTOR LOS POZOS.doc</t>
  </si>
  <si>
    <t>C:\Users\franc\OneDrive\Documentos\ALIRO\ALIRO\KATHY\ANA LUISA 2010\CERTIFICADO DE DOMINIO SOC. LEGAL MINERA\COMPAÑIA MINERA DEMETRIO TELLO - NOMBRAMIENTO GERENTE.doc</t>
  </si>
  <si>
    <t>C:\Users\franc\OneDrive\Documentos\ALIRO\ALIRO\KATHY\ANA LUISA 2010\CERTIFICADO DE DOMINIO SOC. LEGAL MINERA\COMPAÑIA MINERA DEMETRIO TELLO - NOMBRAMIENTO GERENTE año 2022.doc</t>
  </si>
  <si>
    <t>C:\Users\franc\OneDrive\Documentos\ALIRO\ALIRO\KATHY\ANA LUISA 2010\CERTIFICADO DE DOMINIO SOC. LEGAL MINERA\COMPAÑIA MINERA DEMETRIO TELLO - NOMBRAMIENTO GERENTE 2022.doc</t>
  </si>
  <si>
    <t>C:\Users\franc\OneDrive\Documentos\ALIRO\ALIRO\KATHY\ANA LUISA 2010\ANA LUISA 2010\VARIOS\NOTA MARGINAL CADUCIDAD DE PERTENENCIAS (TRIBUNAL).doc</t>
  </si>
  <si>
    <t>C:\Users\franc\OneDrive\Documentos\ALIRO\ALIRO\KATHY\ANA LUISA 2010\ANA LUISA 2010\VARIOS\NOMBRE, ROL, GATO, JAGUAR Y OTRAS.docx</t>
  </si>
  <si>
    <t>C:\Users\franc\OneDrive\Documentos\ALIRO\ALIRO\KATHY\ANA LUISA 2010\ANA LUISA 2010\VARIOS\MINISTRO VISITADOR CONSERVADOR DE MINAS.doc</t>
  </si>
  <si>
    <t>C:\Users\franc\OneDrive\Documentos\ALIRO\ALIRO\KATHY\ANA LUISA 2010\ANA LUISA 2010\VARIOS\MARGEN IZQUIERDO.doc</t>
  </si>
  <si>
    <t>C:\Users\franc\OneDrive\Documentos\ALIRO\ALIRO\KATHY\ANA LUISA 2010\ANA LUISA 2010\VARIOS\MARGEN IZQUIERDO Alzamiento Hipoteca.doc</t>
  </si>
  <si>
    <t>C:\Users\franc\OneDrive\Documentos\ALIRO\ALIRO\KATHY\ANA LUISA 2010\ANA LUISA 2010\VARIOS\MARGEN IZQUIERDO Alzamiento Hipoteca y Prohibición.doc</t>
  </si>
  <si>
    <t>C:\Users\franc\OneDrive\Documentos\ALIRO\ALIRO\KATHY\ANA LUISA 2010\ANA LUISA 2010\VARIOS\MARGEN IZQUIERDO Aceptacion de Compra.doc</t>
  </si>
  <si>
    <t>C:\Users\franc\OneDrive\Documentos\ALIRO\ALIRO\KATHY\ANA LUISA 2010\ANA LUISA 2010\VARIOS\MARGEN DERECHOHIPOTECA Y PROHIBICION.doc</t>
  </si>
  <si>
    <t>C:\Users\franc\OneDrive\Documentos\ALIRO\ALIRO\KATHY\ANA LUISA 2010\ANA LUISA 2010\VARIOS\MARGEN DERECHO TRANSFERENCIA.doc</t>
  </si>
  <si>
    <t>C:\Users\franc\OneDrive\Documentos\ALIRO\ALIRO\KATHY\ANA LUISA 2010\ANA LUISA 2010\VARIOS\MARGEN DERECHO TERMINO ARRIENDO 2.doc</t>
  </si>
  <si>
    <t>C:\Users\franc\OneDrive\Documentos\ALIRO\ALIRO\KATHY\ANA LUISA 2010\ANA LUISA 2010\VARIOS\MARGEN DERECHO SLM.doc</t>
  </si>
  <si>
    <t>C:\Users\franc\OneDrive\Documentos\ALIRO\ALIRO\KATHY\ANA LUISA 2010\ANA LUISA 2010\VARIOS\Margen Derecho Santa nicole.doc</t>
  </si>
  <si>
    <t>C:\Users\franc\OneDrive\Documentos\ALIRO\ALIRO\KATHY\ANA LUISA 2010\ANA LUISA 2010\VARIOS\MARGEN DERECHO RENDICION DE CUENTAS.doc</t>
  </si>
  <si>
    <t>C:\Users\franc\OneDrive\Documentos\ALIRO\ALIRO\KATHY\ANA LUISA 2010\ANA LUISA 2010\VARIOS\MARGEN DERECHO Modificación Contrato Esperanza tres 1 al 18.doc</t>
  </si>
  <si>
    <t>C:\Users\franc\OneDrive\Documentos\ALIRO\ALIRO\KATHY\ANA LUISA 2010\ANA LUISA 2010\VARIOS\Margen Derecho Manantial.doc</t>
  </si>
  <si>
    <t>C:\Users\franc\OneDrive\Documentos\ALIRO\ALIRO\KATHY\ANA LUISA 2010\ANA LUISA 2010\VARIOS\MARGEN DERECHO JUNTA DE ACCIONISTAS.doc</t>
  </si>
  <si>
    <t>C:\Users\franc\OneDrive\Documentos\ALIRO\ALIRO\KATHY\ANA LUISA 2010\ANA LUISA 2010\VARIOS\MARGEN DERECHO JUNTA DE ACCIONISTAS (VARIOS).doc</t>
  </si>
  <si>
    <t>C:\Users\franc\OneDrive\Documentos\ALIRO\ALIRO\KATHY\ANA LUISA 2010\ANA LUISA 2010\VARIOS\Margen Derecho Hipoteca y Prohibición 2.doc</t>
  </si>
  <si>
    <t>C:\Users\franc\OneDrive\Documentos\ALIRO\ALIRO\KATHY\ANA LUISA 2010\ANA LUISA 2010\VARIOS\MARGEN DERECHO EXTRACTO.doc</t>
  </si>
  <si>
    <t>C:\Users\franc\OneDrive\Documentos\ALIRO\ALIRO\KATHY\ANA LUISA 2010\ANA LUISA 2010\VARIOS\MARGEN DERECHO CDUCIDAD DE DERECHOS.doc</t>
  </si>
  <si>
    <t>C:\Users\franc\OneDrive\Documentos\ALIRO\ALIRO\KATHY\ANA LUISA 2010\ANA LUISA 2010\VARIOS\MARGEN DERECHO Cambio de Nombre.doc</t>
  </si>
  <si>
    <t>C:\Users\franc\OneDrive\Documentos\ALIRO\ALIRO\KATHY\ANA LUISA 2010\ANA LUISA 2010\VARIOS\MARGEN DERECHO Adquisición y dominio.doc</t>
  </si>
  <si>
    <t>C:\Users\franc\OneDrive\Documentos\ALIRO\ALIRO\KATHY\ANA LUISA 2010\ANA LUISA 2010\VARIOS\LEGALIZACION REG. PROPIEDAD.doc</t>
  </si>
  <si>
    <t>C:\Users\franc\OneDrive\Documentos\ALIRO\ALIRO\KATHY\ANA LUISA 2010\ANA LUISA 2010\VARIOS\HOJA ANEXA SIMPLE.doc</t>
  </si>
  <si>
    <t>C:\Users\franc\OneDrive\Documentos\ALIRO\ALIRO\KATHY\ANA LUISA 2010\ANA LUISA 2010\VARIOS\HOJA ANEXA 4.doc</t>
  </si>
  <si>
    <t>C:\Users\franc\OneDrive\Documentos\ALIRO\ALIRO\KATHY\ANA LUISA 2010\ANA LUISA 2010\VARIOS\HOJA ANEXA 3 (punitaqui).doc</t>
  </si>
  <si>
    <t>C:\Users\franc\OneDrive\Documentos\ALIRO\ALIRO\KATHY\ANA LUISA 2010\ANA LUISA 2010\VARIOS\HOJA ANEXA  CERTIFICACION SAN FELIX XIV 1 AL 20 Y OTRAS..doc</t>
  </si>
  <si>
    <t>C:\Users\franc\OneDrive\Documentos\ALIRO\ALIRO\KATHY\ANA LUISA 2010\ANA LUISA 2010\VARIOS\HOJA ANEXA  CERTIFICACION RENDICION DE CUENTAS Y APORTES SOFIA, VIENTO Y CHELO.doc</t>
  </si>
  <si>
    <t>C:\Users\franc\OneDrive\Documentos\ALIRO\ALIRO\KATHY\ANA LUISA 2010\ANA LUISA 2010\VARIOS\HOJA ANEXA  CERTIFICACION RENDICION DE CUENTAS RANGER.doc</t>
  </si>
  <si>
    <t>C:\Users\franc\OneDrive\Documentos\ALIRO\ALIRO\KATHY\ANA LUISA 2010\ANA LUISA 2010\VARIOS\HOJA ANEXA  CERTIFICACION APORTES CODELCO.doc</t>
  </si>
  <si>
    <t>C:\Users\franc\OneDrive\Documentos\ALIRO\ALIRO\KATHY\ANA LUISA 2010\ANA LUISA 2010\VARIOS\FOJAS.doc</t>
  </si>
  <si>
    <t>C:\Users\franc\OneDrive\Documentos\ALIRO\ALIRO\KATHY\ANA LUISA 2010\ANA LUISA 2010\VARIOS\FOJAS FINALacc.doc</t>
  </si>
  <si>
    <t>C:\Users\franc\OneDrive\Documentos\ALIRO\ALIRO\KATHY\ANA LUISA 2010\ANA LUISA 2010\VARIOS\FOJAS FINAL.doc</t>
  </si>
  <si>
    <t>C:\Users\franc\OneDrive\Documentos\ALIRO\ALIRO\KATHY\ANA LUISA 2010\ANA LUISA 2010\VARIOS\DOCUMENTOS PROTOCOLIZADOS REGISTRO DE GRAVÁMENES Y PROHIBICIONES DE ACCIONISTAS DE MINAS.docx</t>
  </si>
  <si>
    <t>C:\Users\franc\OneDrive\Documentos\ALIRO\ALIRO\KATHY\ANA LUISA 2010\ANA LUISA 2010\VARIOS\DECLARACION JURADA.doc</t>
  </si>
  <si>
    <t>C:\Users\franc\OneDrive\Documentos\ALIRO\ALIRO\KATHY\ANA LUISA 2010\ANA LUISA 2010\VARIOS\CERTIFICADO.doc</t>
  </si>
  <si>
    <t>C:\Users\franc\OneDrive\Documentos\ALIRO\ALIRO\KATHY\ANA LUISA 2010\ANA LUISA 2010\VARIOS\CERTIFICADO ENAMI.doc</t>
  </si>
  <si>
    <t>C:\Users\franc\OneDrive\Documentos\ALIRO\ALIRO\KATHY\ANA LUISA 2010\ANA LUISA 2010\VARIOS\CARTA PODER MAMA.doc</t>
  </si>
  <si>
    <t>C:\Users\franc\OneDrive\Documentos\ALIRO\ALIRO\KATHY\ANA LUISA 2010\ANA LUISA 2010\VARIOS\CARTA NICOL SOLIS.doc</t>
  </si>
  <si>
    <t>C:\Users\franc\OneDrive\Documentos\ALIRO\ALIRO\KATHY\ANA LUISA 2010\ANA LUISA 2010\VARIOS\CARTA MARIA PULGAR.doc</t>
  </si>
  <si>
    <t>C:\Users\franc\OneDrive\Documentos\ALIRO\ALIRO\KATHY\ANA LUISA 2010\ANA LUISA 2010\VARIOS\CARTA JUZGADO CON LOGO.doc</t>
  </si>
  <si>
    <t>C:\Users\franc\OneDrive\Documentos\ALIRO\ALIRO\KATHY\ANA LUISA 2010\ANA LUISA 2010\VARIOS\CARTA Javier Poblete.doc</t>
  </si>
  <si>
    <t>C:\Users\franc\OneDrive\Documentos\ALIRO\ALIRO\KATHY\ANA LUISA 2010\ANA LUISA 2010\VARIOS\AUTORIZACION PROPIEDAD HORIZONTAL.doc</t>
  </si>
  <si>
    <t>C:\Users\franc\OneDrive\Documentos\ALIRO\ALIRO\KATHY\ANA LUISA 2010\ANA LUISA 2010\VARIOS\AUTORIZACION DESCUBRIMIENTOS VERTICAL DERECHO.doc</t>
  </si>
  <si>
    <t>C:\Users\franc\OneDrive\Documentos\ALIRO\ALIRO\KATHY\ANA LUISA 2010\ANA LUISA 2010\VARIOS\AUTORIZACION DE PROTOCOLIZADO DE PROPIEDAD.doc</t>
  </si>
  <si>
    <t>C:\Users\franc\OneDrive\Documentos\ALIRO\ALIRO\KATHY\ANA LUISA 2010\ANA LUISA 2010\TESTAMENTOS\TESTAMENTOS DE HANS GERSTENKORN ADAM.doc</t>
  </si>
  <si>
    <t>C:\Users\franc\OneDrive\Documentos\ALIRO\ALIRO\KATHY\ANA LUISA 2010\ANA LUISA 2010\TESTAMENTOS\TESTAMENTO DE MIGUEL TAPIA LAGUNAS (PROPIEDAD).doc</t>
  </si>
  <si>
    <t>C:\Users\franc\OneDrive\Documentos\ALIRO\ALIRO\KATHY\ANA LUISA 2010\ANA LUISA 2010\TESTAMENTOS\TESTAMENTO DE MIGUEL TAPIA LAGUNAS (ACCIONISTAS).doc</t>
  </si>
  <si>
    <t>C:\Users\franc\OneDrive\Documentos\ALIRO\ALIRO\KATHY\ANA LUISA 2010\ANA LUISA 2010\PROHIBICION\SAN JULIÁN 1 AL 31 Y SAN JULIÁN QUINTO 1 AL 15.- PROHIBICION NEXT MINERALS S.A..doc</t>
  </si>
  <si>
    <t>C:\Users\franc\OneDrive\Documentos\ALIRO\ALIRO\KATHY\ANA LUISA 2010\ANA LUISA 2010\PROHIBICION\LA LOMA 1 AL 10.- PROHIBICION CON RAUL CORTES CODOCEO.doc</t>
  </si>
  <si>
    <t>C:\Users\franc\OneDrive\Documentos\ALIRO\ALIRO\KATHY\ANA LUISA 2010\ANA LUISA 2010\MANIFESTACIONES\MARIA UNA AL SEIS TERCER.doc</t>
  </si>
  <si>
    <t>C:\Users\franc\OneDrive\Documentos\ALIRO\ALIRO\KATHY\ANA LUISA 2010\ANA LUISA 2010\MANIFESTACIONES\DECLARACION JURADA Y RECIBO DE TESTAMENTO.docx</t>
  </si>
  <si>
    <t>C:\Users\franc\OneDrive\Documentos\ALIRO\ALIRO\KATHY\ANA LUISA 2010\ANA LUISA 2010\MANIFESTACIONES\CUTAMA UNO 1-3 - PRIMER JUZGADO.doc</t>
  </si>
  <si>
    <t>C:\Users\franc\OneDrive\Documentos\ALIRO\ALIRO\KATHY\ANA LUISA 2010\ANA LUISA 2010\MANIFESTACIONES\CUTAMA TRES  1-3 - PRIMER JUZGADO.doc</t>
  </si>
  <si>
    <t>C:\Users\franc\OneDrive\Documentos\ALIRO\ALIRO\KATHY\ANA LUISA 2010\ANA LUISA 2010\MANIFESTACIONES\CUTAMA DOS  1-3 - PRIMER JUZGADO.doc</t>
  </si>
  <si>
    <t>C:\Users\franc\OneDrive\Documentos\ALIRO\ALIRO\KATHY\ANA LUISA 2010\ANA LUISA 2010\MANIFESTACIONES\CARMEN UN ALA SIES SEGUNDO.doc</t>
  </si>
  <si>
    <t>C:\Users\franc\OneDrive\Documentos\ALIRO\ALIRO\KATHY\ANA LUISA 2010\ANA LUISA 2010\MANIFESTACIONES\CALUROSA 1 A CALUROSA 12 PRIMER JUZGADO.doc</t>
  </si>
  <si>
    <t>C:\Users\franc\OneDrive\Documentos\ALIRO\ALIRO\KATHY\ANA LUISA 2010\ANA LUISA 2010\HIPOTECAS\USUFRUCTO DE CONTRATO DE ARRENDAMIENTO.-LA PASCUALA II 7, II 8, LA FORTUNA 1 AL 10, LA VERDOSA UNA A TRES.doc</t>
  </si>
  <si>
    <t>C:\Users\franc\OneDrive\Documentos\ALIRO\ALIRO\KATHY\ANA LUISA 2010\ANA LUISA 2010\HIPOTECAS\ESCOBA 1 AL 10 HIPOTECA.doc</t>
  </si>
  <si>
    <t>C:\Users\franc\OneDrive\Documentos\ALIRO\ALIRO\KATHY\ANA LUISA 2010\ANA LUISA 2010\COMPRAVENTA PERTENENCIAS MINERAS (MANIFESTACION)\FOJAS.doc</t>
  </si>
  <si>
    <t>C:\Users\franc\OneDrive\Documentos\ALIRO\ALIRO\KATHY\ANA LUISA 2010\ANA LUISA 2010\CERTIFICADOS LITIGIOS\COMPAÑIA MINERA ALCAPARRA.doc</t>
  </si>
  <si>
    <t>C:\Users\franc\OneDrive\Documentos\ALIRO\ALIRO\KATHY\ANA LUISA 2010\ANA LUISA 2010\CERTIFICADOS LITIGIOS\COCINERA 1 AL 64.doc</t>
  </si>
  <si>
    <t>C:\Users\franc\OneDrive\Documentos\ALIRO\ALIRO\KATHY\ANA LUISA 2010\ANA LUISA 2010\CERTIFICADO\EL FUTURO UNO AL CINCO.doc</t>
  </si>
  <si>
    <t>C:\Users\franc\OneDrive\Documentos\ALIRO\ALIRO\KATHY\ANA LUISA 2010\ANA LUISA 2010\ACEPTACION OPCION DE COMPRA\CERTIFICACION CAPTURA DE PANTALLA RUTA D605 OVALLE  PUNITAQUI CASA PREFABRICADA.pdf</t>
  </si>
  <si>
    <t>C:\Users\franc\OneDrive\Documentos\ALIRO\ALIRO\KATHY\ANA LUISA 2010\ANA LUISA 2010\MARGEN IZQUIERDO.doc</t>
  </si>
  <si>
    <t>C:\Users\franc\OneDrive\Documentos\ALIRO\ALIRO\KATHY\ANA LUISA 2010\carta solictud.doc</t>
  </si>
  <si>
    <t>C:\Users\franc\OneDrive\Documentos\ALIRO\ALIRO\KATHY\ANA LUISA 2010\CARTA SEGUNDO JUZGADO - RESPUESTA A OFICIO CANAL MAL PASO.doc</t>
  </si>
  <si>
    <t>C:\Users\franc\OneDrive\Documentos\ALIRO\ALIRO\KATHY\ANA LUISA 2010\CARTA PRIMER JUZGADO - REPERTORIO.doc</t>
  </si>
  <si>
    <t>C:\Users\franc\OneDrive\Documentos\ALIRO\ALIRO\KATHY\ANA LUISA 2010\ALINDERAMIENTO Y OTRAS (ANA LUISA).doc</t>
  </si>
  <si>
    <t>C:\Users\franc\OneDrive\Documentos\ALIRO\ALIRO\KATHY\ANA LUISA 2010\Acta Notarial Hijuela Santa Catalina.doc</t>
  </si>
  <si>
    <t>C:\Users\franc\OneDrive\Documentos\ALIRO\ALIRO\KATHY\ANA LUISA 2010\Acta Notarial 21-11-13.doc</t>
  </si>
  <si>
    <t>C:\Users\franc\OneDrive\Documentos\ALIRO\ALIRO\KATHY\SOBRE SERNAGEOMIN.doc</t>
  </si>
  <si>
    <t>C:\Users\franc\OneDrive\Documentos\ALIRO\ALIRO\KATHY\NOTA AL MARGEN TRANSFERENCIA.doc</t>
  </si>
  <si>
    <t>C:\Users\franc\OneDrive\Documentos\ALIRO\ALIRO\KATHY\NOTA AL MARGEN EN MANIFESTACION - MARGEN DERECHO.doc</t>
  </si>
  <si>
    <t>C:\Users\franc\OneDrive\Documentos\ALIRO\ALIRO\KATHY\NOMBRE LIBRO DE REPERTORIO.doc</t>
  </si>
  <si>
    <t>C:\Users\franc\OneDrive\Documentos\ALIRO\ALIRO\KATHY\LOGO ARCHIVADORES ACCCIONISTAS.doc</t>
  </si>
  <si>
    <t>C:\Users\franc\OneDrive\Documentos\ALIRO\ALIRO\KATHY\LOGO ARCHIVADORES ACCCIONISTAS HIP Y GRAV..doc</t>
  </si>
  <si>
    <t>C:\Users\franc\OneDrive\Documentos\ALIRO\ALIRO\KATHY\CERTIFICACION AGREGA UNA HOJA NOTA AL MARGEN.doc</t>
  </si>
  <si>
    <t>C:\Users\franc\OneDrive\Documentos\ALIRO\ALIRO\KATHY\CARTA SERNAGEOMIN 23 JUNIO. 2016.doc</t>
  </si>
  <si>
    <t>C:\Users\franc\OneDrive\Documentos\ALIRO\ALIRO\KATHY\CARTA SERNAGEOMIN 20 ABR. 2016.doc</t>
  </si>
  <si>
    <t>C:\Users\franc\OneDrive\Documentos\ALIRO\ALIRO\KATHY\CARTA SERNAGEOMIN 06 DE JULIO 2016.doc</t>
  </si>
  <si>
    <t>C:\Users\franc\OneDrive\Documentos\ALIRO\ALIRO\KATHY\CARTA PRIMER JUZGADO - REPERTORIO.doc</t>
  </si>
  <si>
    <t>C:\Users\franc\OneDrive\Documentos\ALIRO\ALIRO\KATHY\CARTA ENTEL.doc</t>
  </si>
  <si>
    <t>C:\Users\franc\OneDrive\Documentos\ALIRO\ALIRO\KATHY\CAROLA UNO AL CUATRO CERTIFICADO LITIGIOS.doc</t>
  </si>
  <si>
    <t>C:\Users\franc\OneDrive\Documentos\ALIRO\ALIRO\KATHY\ANEXO DE CONTRATO DE TRABAJO.doc</t>
  </si>
  <si>
    <t>C:\Users\franc\OneDrive\Documentos\ALIRO\ALIRO\ALIRO\PEDIMENTO\PARRAL (TERCER JUZGADO).doc</t>
  </si>
  <si>
    <t>C:\Users\franc\OneDrive\Documentos\ALIRO\ALIRO\ALIRO\PEDIMENTO\PARAISO 2.- SALAZAR NILO JAIME HERNAN Y OTRO.  3er JUZGADO.doc</t>
  </si>
  <si>
    <t>C:\Users\franc\OneDrive\Documentos\ALIRO\ALIRO\ALIRO\PEDIMENTO\PARAISO 1.- SALAZAR NILO JAIME HERNAN Y OTRO.  2do JUZGADO.doc</t>
  </si>
  <si>
    <t>C:\Users\franc\OneDrive\Documentos\ALIRO\ALIRO\ALIRO\MENSURA\2016\SOFIA 84 A, 1 AL 300 (2° VICTOR JARA INOSTROZA).doc</t>
  </si>
  <si>
    <t>C:\Users\franc\OneDrive\Documentos\ALIRO\ALIRO\ALIRO\MENSURA\2016\ROSARIO TRES  1 AL 100.doc</t>
  </si>
  <si>
    <t>C:\Users\franc\OneDrive\Documentos\ALIRO\ALIRO\ALIRO\MENSURA\2016\ROSARIO DOS  1 AL 100.doc</t>
  </si>
  <si>
    <t>C:\Users\franc\OneDrive\Documentos\ALIRO\ALIRO\ALIRO\MENSURA\VIENTO 15 1 AL 200   JAIME MOLINAQ  1°.doc</t>
  </si>
  <si>
    <t>C:\Users\franc\OneDrive\Documentos\ALIRO\ALIRO\ALIRO\MENSURA\VIENTO 14 1 AL 300 JAIME MOLINA S  3°.doc</t>
  </si>
  <si>
    <t>C:\Users\franc\OneDrive\Documentos\ALIRO\ALIRO\ALIRO\MENSURA\MINA MONSERRAT III, 1 AL 10 (PRIMER JUZGADO)GILBERTO CISTERNAS OLIVARES.doc</t>
  </si>
  <si>
    <t>C:\Users\franc\OneDrive\Documentos\ALIRO\ALIRO\ALIRO\MENSURA\MENSURA STELLA 1 AL 100.doc</t>
  </si>
  <si>
    <t>C:\Users\franc\OneDrive\Documentos\ALIRO\ALIRO\ALIRO\MENSURA\MANANTIAL 4, 1 AL 56 (TERCER JUZGADO) PERITO JAVIER ROMO.doc</t>
  </si>
  <si>
    <t>C:\Users\franc\OneDrive\Documentos\ALIRO\ALIRO\ALIRO\MENSURA\LA TUCAN V DEL 1 AL 37  JUAN CARLOS ARAVENA GODOY( PRIMER JUZGADO).doc</t>
  </si>
  <si>
    <t>C:\Users\franc\OneDrive\Documentos\ALIRO\ALIRO\ALIRO\MENSURA\CARMEN I 1 AL 40.- PERITO LUIS DAN ROJAS  3°.doc</t>
  </si>
  <si>
    <t>C:\Users\franc\OneDrive\Documentos\ALIRO\ALIRO\ALIRO\MENSURA\BELEN 1 AL 138 CATALINO ALBANEZ  TERCER JUZGADO DE LETRAS.doc</t>
  </si>
  <si>
    <t>C:\Users\franc\OneDrive\Documentos\ALIRO\ALIRO\ALIRO\MENSURA\ALTOS 23 1 AL 200 JUAN CARLOS ARAVENA GODOY (PRIMER JUZGADO).doc</t>
  </si>
  <si>
    <t>C:\Users\franc\OneDrive\Documentos\ALIRO\ALIRO\ALIRO\MENSURA\ALTOS 22 1 AL 200 JUAN CARLOS ARAVENA GODOY (PRIMER JUZGADO).doc</t>
  </si>
  <si>
    <t>C:\Users\franc\OneDrive\Documentos\ALIRO\ALIRO\ALIRO\MANIFESTACIONES\MANIFESTACION 2014\SLM SOLEDAD TRES 1 AL 161 - JUAN ARAVENA GODOY - SEGUNDO JUZGADO.doc</t>
  </si>
  <si>
    <t>C:\Users\franc\OneDrive\Documentos\ALIRO\ALIRO\ALIRO\MANIFESTACIONES\SANTA CECILIA 2   1 AL 20 (PRIMER JUZGADO).doc</t>
  </si>
  <si>
    <t>C:\Users\franc\OneDrive\Documentos\ALIRO\ALIRO\ALIRO\MANIFESTACIONES\SANTA CATALINA III 1 AL 27 (SEGUNDO JUZGADO).doc</t>
  </si>
  <si>
    <t>C:\Users\franc\OneDrive\Documentos\ALIRO\ALIRO\ALIRO\MANIFESTACIONES\SANTA CATALINA II 1 AL 10 (SEGUNDO JUZGADO).doc</t>
  </si>
  <si>
    <t>C:\Users\franc\OneDrive\Documentos\ALIRO\ALIRO\ALIRO\MANIFESTACIONES\POMPEYITA 1 AL 5 (TERCER JUZGADO).doc</t>
  </si>
  <si>
    <t>C:\Users\franc\OneDrive\Documentos\ALIRO\ALIRO\ALIRO\MANIFESTACIONES\OPORTUNIDAD 1 AL 15 (TERCER JUZGADO).doc</t>
  </si>
  <si>
    <t>C:\Users\franc\OneDrive\Documentos\ALIRO\ALIRO\ALIRO\MANIFESTACIONES\MINA LA PORFIADA UNO AL VEINTE.doc</t>
  </si>
  <si>
    <t>C:\Users\franc\OneDrive\Documentos\ALIRO\ALIRO\ALIRO\MANIFESTACIONES\MINA JESI 1 AL 5 (PRIMER  JUZGADO).doc</t>
  </si>
  <si>
    <t>C:\Users\franc\OneDrive\Documentos\ALIRO\ALIRO\ALIRO\MANIFESTACIONES\MAURA DIAZ DEL 1 AL 100.- DEYCE JAMETT DIAZ.- 1er JUZGADO.doc</t>
  </si>
  <si>
    <t>C:\Users\franc\OneDrive\Documentos\ALIRO\ALIRO\ALIRO\MANIFESTACIONES\MAURA ANDREA ELIAZ DIAS 1°.doc</t>
  </si>
  <si>
    <t>C:\Users\franc\OneDrive\Documentos\ALIRO\ALIRO\ALIRO\MANIFESTACIONES\MARIQUITA 2.- PERALTA DUBÓ JOSE MANUEL Y OTRO.- 1º JUZGADO.doc</t>
  </si>
  <si>
    <t>C:\Users\franc\OneDrive\Documentos\ALIRO\ALIRO\ALIRO\MANIFESTACIONES\MARIQUITA 2, DEL 1 AL 25.- ANICETO DUBÓ DUBÓ.- 3ER JUZGADO.doc</t>
  </si>
  <si>
    <t>C:\Users\franc\OneDrive\Documentos\ALIRO\ALIRO\ALIRO\MANIFESTACIONES\MANIFESTACION MINA SOLEDAD UNA AL SIETE.doc</t>
  </si>
  <si>
    <t>C:\Users\franc\OneDrive\Documentos\ALIRO\ALIRO\ALIRO\MANIFESTACIONES\MANIFESTACION CHORCHA 1 AL 10.doc</t>
  </si>
  <si>
    <t>C:\Users\franc\OneDrive\Documentos\ALIRO\ALIRO\ALIRO\MANIFESTACIONES\MANIFESTACION ALCAPARRA UNO AL VEINTE(3er).doc</t>
  </si>
  <si>
    <t>C:\Users\franc\OneDrive\Documentos\ALIRO\ALIRO\ALIRO\MANIFESTACIONES\MANIFESTACION  MINA LAS NIPAS 1 AL 20.doc</t>
  </si>
  <si>
    <t>C:\Users\franc\OneDrive\Documentos\ALIRO\ALIRO\ALIRO\MANIFESTACIONES\LEON IV, 1 AL 110 (SEGUNDO JUZGADO).doc</t>
  </si>
  <si>
    <t>C:\Users\franc\OneDrive\Documentos\ALIRO\ALIRO\ALIRO\MANIFESTACIONES\LAS CAÑAS 1 AL 10 (TERCER JUZGADO).doc</t>
  </si>
  <si>
    <t>C:\Users\franc\OneDrive\Documentos\ALIRO\ALIRO\ALIRO\MANIFESTACIONES\LA ILUSION UNO 1 AL 20 JOSE ALONSO ZAMORA 2°.doc</t>
  </si>
  <si>
    <t>C:\Users\franc\OneDrive\Documentos\ALIRO\ALIRO\ALIRO\MANIFESTACIONES\LA ILUSION DOS 1 AL 20 JOSE ALONSO ZAMORA 2°.doc</t>
  </si>
  <si>
    <t>C:\Users\franc\OneDrive\Documentos\ALIRO\ALIRO\ALIRO\MANIFESTACIONES\LA ILUSION DOS 1 AL 20 JOSE ALONSO ZAMORA 1°.doc</t>
  </si>
  <si>
    <t>C:\Users\franc\OneDrive\Documentos\ALIRO\ALIRO\ALIRO\MANIFESTACIONES\INESPERADA (PRIMER JUZGADO).doc</t>
  </si>
  <si>
    <t>C:\Users\franc\OneDrive\Documentos\ALIRO\ALIRO\ALIRO\MANIFESTACIONES\INDIGENA 1 AL 20.- JOSE LUIS PELAYO ALONSO ZAMORA.- 3ER JUZGADO.doc</t>
  </si>
  <si>
    <t>C:\Users\franc\OneDrive\Documentos\ALIRO\ALIRO\ALIRO\MANIFESTACIONES\IMAGINACIÓN 1 AL 20 (SEGUNDO JUZGADO).doc</t>
  </si>
  <si>
    <t>C:\Users\franc\OneDrive\Documentos\ALIRO\ALIRO\ALIRO\MANIFESTACIONES\EL LITRE 1 AL 9. PEDRO ARAYA ZEPEDA.- 1ER JUZGADO.doc</t>
  </si>
  <si>
    <t>C:\Users\franc\OneDrive\Documentos\ALIRO\ALIRO\ALIRO\MANIFESTACIONES\EL INDIO 1 AL 20 (TERCER JUZGADO).doc</t>
  </si>
  <si>
    <t>C:\Users\franc\OneDrive\Documentos\ALIRO\ALIRO\ALIRO\MANIFESTACIONES\DOÑA LUPE 1 AL 5 (PRIMER JUZGADO).doc</t>
  </si>
  <si>
    <t>C:\Users\franc\OneDrive\Documentos\ALIRO\ALIRO\ALIRO\MANIFESTACIONES\AMOLANA 1 AL 4.- OVIDIO CARVAJAL.- 2DO JUZGADO.doc</t>
  </si>
  <si>
    <t>C:\Users\franc\OneDrive\Documentos\ALIRO\ALIRO\ALIRO\MANIFESTACIONES\ALFA III  1 AL 10 (TERCER JUZGADO).doc</t>
  </si>
  <si>
    <t>C:\Users\franc\OneDrive\Documentos\ALIRO\ALIRO\ALIRO\MANIFESTACIONES\ALEJANDRA SEBASTIAN HERRERA 3°.doc</t>
  </si>
  <si>
    <t>C:\Users\franc\OneDrive\Documentos\ALIRO\ALIRO\ALIRO\MANIFESTACIONES\AGUSTINA 1 AL 20 (SEGUNDO JUZGADO).doc</t>
  </si>
  <si>
    <t>C:\Users\franc\OneDrive\Documentos\ALIRO\ALIRO\ALIRO\Copia de MENSURA 2010\MENSURA STELLA 1 AL 100.doc</t>
  </si>
  <si>
    <t>C:\Users\franc\OneDrive\Documentos\ALIRO\ALIRO\ALIRO\CONCESIONES\FLORENCIA SIETE (SEGUNDO JUZGADO).doc</t>
  </si>
  <si>
    <t>C:\Users\franc\OneDrive\Documentos\ALIRO\ALIRO\ALIRO\CONCESIONES\FLORENCIA SEIS (SEGUNDO JUZGADO).doc</t>
  </si>
  <si>
    <t>C:\Users\franc\OneDrive\Documentos\ALIRO\ALIRO\ALIRO\CONCESIONES\FLORENCIA DOS (SEGUNDO JUZGADO).doc</t>
  </si>
  <si>
    <t>C:\Users\franc\OneDrive\Documentos\ALIRO\ALIRO\ALIRO\CONCESIONES\FLORENCIA CUATRO (SEGUNDO JUZGADO).doc</t>
  </si>
  <si>
    <t>C:\Users\franc\OneDrive\Documentos\ALIRO\ALIRO\ALIRO\CONCESIONES\FLORENCIA CINCO (SEGUNDO JUZGADO).doc</t>
  </si>
  <si>
    <t>C:\Users\franc\OneDrive\Documentos\ALIRO\ALIRO\ALIRO\CONCESIONES\FLORENCIA 1(SEGUNDO JUZGADO).doc</t>
  </si>
  <si>
    <t>C:\Users\franc\OneDrive\Documentos\ALIRO\ALIRO\ALIRO\CONCESIONES\ESTRELLA 64  (TERCER JUZGADO).doc</t>
  </si>
  <si>
    <t>C:\Users\franc\OneDrive\Documentos\ALIRO\ALIRO\ALIRO\CONCESIONES\ESTRELLA 62  (TERCER JUZGADO).doc</t>
  </si>
  <si>
    <t>C:\Users\franc\OneDrive\Documentos\ALIRO\ALIRO\ALIRO\CONCESIONES\ESTRELLA 55  (PRIMER  JUZGADO).doc</t>
  </si>
  <si>
    <t>C:\Users\franc\OneDrive\Documentos\ALIRO\ALIRO\ALIRO\Compañia Demetrio Tello\VISTA HERMOSA 1-2-3-4-5-6-7.doc</t>
  </si>
  <si>
    <t>C:\Users\franc\OneDrive\Documentos\ALIRO\ALIRO\ALIRO\Compañia Demetrio Tello\VENTOLERA UNO AL CINCO.doc</t>
  </si>
  <si>
    <t>C:\Users\franc\OneDrive\Documentos\ALIRO\ALIRO\ALIRO\Compañia Demetrio Tello\RINCON 1 A 19.doc</t>
  </si>
  <si>
    <t>C:\Users\franc\OneDrive\Documentos\ALIRO\ALIRO\ALIRO\Compañia Demetrio Tello\PATRIA NUEVA CUATRO.doc</t>
  </si>
  <si>
    <t>C:\Users\franc\OneDrive\Documentos\ALIRO\ALIRO\ALIRO\Compañia Demetrio Tello\OLIVO UNO AL DIEZ.doc</t>
  </si>
  <si>
    <t>C:\Users\franc\OneDrive\Documentos\ALIRO\ALIRO\ALIRO\Compañia Demetrio Tello\NIEBLA UNO AL DOCE.doc</t>
  </si>
  <si>
    <t>C:\Users\franc\OneDrive\Documentos\ALIRO\ALIRO\ALIRO\Compañia Demetrio Tello\NIEBLA SUR UNO AL SESENTA Y DOS.doc</t>
  </si>
  <si>
    <t>C:\Users\franc\OneDrive\Documentos\ALIRO\ALIRO\ALIRO\Compañia Demetrio Tello\MINA SANTANDER UNO - CUATRO.doc</t>
  </si>
  <si>
    <t>C:\Users\franc\OneDrive\Documentos\ALIRO\ALIRO\ALIRO\Compañia Demetrio Tello\LA ULTIMA SEIS.doc</t>
  </si>
  <si>
    <t>C:\Users\franc\OneDrive\Documentos\ALIRO\ALIRO\ALIRO\Compañia Demetrio Tello\LA ROSQUITA UNA AL CINCO.doc</t>
  </si>
  <si>
    <t>C:\Users\franc\OneDrive\Documentos\ALIRO\ALIRO\ALIRO\Compañia Demetrio Tello\DULCINEA UNO A DULCINEA DOS.doc</t>
  </si>
  <si>
    <t>C:\Users\franc\OneDrive\Documentos\ALIRO\ALIRO\ALIRO\Compañia Demetrio Tello\COSTA UNO AL VEINTISIETE.doc</t>
  </si>
  <si>
    <t>C:\Users\franc\OneDrive\Documentos\ALIRO\ALIRO\ALIRO\Compañia Demetrio Tello\CITACIONES.doc</t>
  </si>
  <si>
    <t>C:\Users\franc\OneDrive\Documentos\ALIRO\ALIRO\ALIRO\Compañia Demetrio Tello\AZULILLO UNO AL SEIS.doc</t>
  </si>
  <si>
    <t>C:\Users\franc\OneDrive\Documentos\ALIRO\ALIRO\ALIRO\CERTIFICADOS\REPLUBICANA año 2022.doc</t>
  </si>
  <si>
    <t>C:\Users\franc\OneDrive\Documentos\ALIRO\ALIRO\ALIRO\CERTIFICADOS\CERTIFICADO DE DOMONIO VIGENTE BUENA VISTA 1 DEL SECTOR DE SAMO BAJO.doc</t>
  </si>
  <si>
    <t>C:\Users\franc\OneDrive\Documentos\ALIRO\ALIRO\ALIRO\CERTIFICADOS\CERTIFICADO DE DOMINIO VIGENTE LIBERTAD 1 -3.doc</t>
  </si>
  <si>
    <t>C:\Users\franc\OneDrive\Documentos\ALIRO\ALIRO\ALIRO\CERTIFICADOS\CERTIFICADO DE DOMINIO NIEBLA SUR 1 AL 60.doc</t>
  </si>
  <si>
    <t>C:\Users\franc\OneDrive\Documentos\ALIRO\ALIRO\ALIRO\AUTORIZACION\REUNION COMUNIDAD CON DERECHO A VOZ Y VOTO (1).doc</t>
  </si>
  <si>
    <t>C:\Users\franc\OneDrive\Documentos\ALIRO\ALIRO\ALIRO\AUTORIZACION\AUTORIZACION protocolizado acc. (VER-IZQUIERD).doc</t>
  </si>
  <si>
    <t>C:\Users\franc\OneDrive\Documentos\ALIRO\ALIRO\ALIRO\AUTORIZACION\AUTORIZACION PROPIEDAD Mantos Verdes 4-17 (HORIZONTAL ).doc</t>
  </si>
  <si>
    <t>C:\Users\franc\OneDrive\Documentos\ALIRO\ALIRO\ALIRO\AUTORIZACION\AUTORIZACION PROPIEDAD (VERTICAL IZQUIEREDD).doc</t>
  </si>
  <si>
    <t>C:\Users\franc\OneDrive\Documentos\ALIRO\ALIRO\ALIRO\AUTORIZACION\AUTORIZACION PROPIEDAD (HORIZONTAL ).doc</t>
  </si>
  <si>
    <t>C:\Users\franc\OneDrive\Documentos\ALIRO\ALIRO\ALIRO\AUTORIZACION\AUTORIZACION DOCUMENTOS PROTOCOLIZADOS.doc</t>
  </si>
  <si>
    <t>C:\Users\franc\OneDrive\Documentos\ALIRO\ALIRO\ALIRO\AUTORIZACION\AUTORIZACION DOCUMENTOS PROTOCOLIZADOS BOLETIN MINERO.doc</t>
  </si>
  <si>
    <t>C:\Users\franc\OneDrive\Documentos\ALIRO\ALIRO\ALIRO\AUTORIZACION\AUTORIZACION DESCUBRIMIENTOS (HORIZONTAL).docx</t>
  </si>
  <si>
    <t>C:\Users\franc\OneDrive\Documentos\ALIRO\ALIRO\ALIRO\AUTORIZACION\AUTORIZACION DESCUBRIMIENTO Vigente(VER-IZQUIERD).doc</t>
  </si>
  <si>
    <t>C:\Users\franc\OneDrive\Documentos\ALIRO\ALIRO\ALIRO\AUTORIZACION\AUTORIZACION DESCUBRIMIENTO DOCUMENTOS PROTOCOLIZADOS (VER-IZQUIERD).doc</t>
  </si>
  <si>
    <t>C:\Users\franc\OneDrive\Documentos\ALIRO\ALIRO\ALIRO\AUTORIZACION\AUTORIZACION DESCUBRIMIENTO (VER-IZQUIERD).doc</t>
  </si>
  <si>
    <t>C:\Users\franc\OneDrive\Documentos\ALIRO\ALIRO\ALIRO\AUTORIZACION\AUTORIZACION DESCUBRIMIENTO (MARGEN-DER).doc</t>
  </si>
  <si>
    <t>C:\Users\franc\OneDrive\Documentos\ALIRO\ALIRO\ALIRO\AUTORIZACION\APR RURAL.docx</t>
  </si>
  <si>
    <t>C:\Users\franc\OneDrive\Documentos\MALENTIN KARIME\VTA. PROPIEDAD\VTA SEPULTURA\ANA SALFATE A RAMON LARA.doc</t>
  </si>
  <si>
    <t>C:\Users\franc\OneDrive\Documentos\MALENTIN KARIME\VTA. PROPIEDAD\subdiv\VIVIANA ARAYA HIDALGO A MARIA CANIHUANTE LOTE A-7.doc</t>
  </si>
  <si>
    <t>C:\Users\franc\OneDrive\Documentos\MALENTIN KARIME\VTA. PROPIEDAD\subdiv\VIVIANA ARAYA HIDALGO A Margarita tapiaLOTE A-3.doc</t>
  </si>
  <si>
    <t>C:\Users\franc\OneDrive\Documentos\MALENTIN KARIME\VTA. PROPIEDAD\subdiv\VIVIANA ARAYA HIDALGO A JORGE PEÑALOZA LOTE A-4.doc</t>
  </si>
  <si>
    <t>C:\Users\franc\OneDrive\Documentos\MALENTIN KARIME\VTA. PROPIEDAD\subdiv\VIVIANA ARAYA HIDALGO A Eduardo Joel LOTE A-11.doc</t>
  </si>
  <si>
    <t>C:\Users\franc\OneDrive\Documentos\MALENTIN KARIME\VTA. PROPIEDAD\subdiv\ROSENDO CAMPO CASTILLO a María Campo SAG.doc</t>
  </si>
  <si>
    <t>C:\Users\franc\OneDrive\Documentos\MALENTIN KARIME\VTA. PROPIEDAD\subdiv\RAMON OLIVARES a Salustino  Araya SAG.doc</t>
  </si>
  <si>
    <t>C:\Users\franc\OneDrive\Documentos\MALENTIN KARIME\VTA. PROPIEDAD\subdiv\RAMON OLIVARES a Raúl Maluenda SAG.doc</t>
  </si>
  <si>
    <t>C:\Users\franc\OneDrive\Documentos\MALENTIN KARIME\VTA. PROPIEDAD\subdiv\MODELO HECTOR VELOZO.doc</t>
  </si>
  <si>
    <t>C:\Users\franc\OneDrive\Documentos\MALENTIN KARIME\VTA. PROPIEDAD\subdiv\MIRTA ARACENA A ALAN ROCO POZO  (NUEVA SUB) LOTE 1 - A.doc</t>
  </si>
  <si>
    <t>C:\Users\franc\OneDrive\Documentos\MALENTIN KARIME\VTA. PROPIEDAD\subdiv\MIGUEL BUGUEÑO CAMPOS A DAVID PINO LOPEZ.doc</t>
  </si>
  <si>
    <t>C:\Users\franc\OneDrive\Documentos\MALENTIN KARIME\VTA. PROPIEDAD\subdiv\MANUELA PIZARRO CAMPUSANO    subd muni.doc</t>
  </si>
  <si>
    <t>C:\Users\franc\OneDrive\Documentos\MALENTIN KARIME\VTA. PROPIEDAD\subdiv\Lotes.doc</t>
  </si>
  <si>
    <t>C:\Users\franc\OneDrive\Documentos\MALENTIN KARIME\VTA. PROPIEDAD\subdiv\KAREN LUTTGUES LOTE 26 D.doc</t>
  </si>
  <si>
    <t>C:\Users\franc\OneDrive\Documentos\MALENTIN KARIME\VTA. PROPIEDAD\subdiv\KAREN LUTTGUES A JUAN BROCA GUERRERO.doc</t>
  </si>
  <si>
    <t>C:\Users\franc\OneDrive\Documentos\MALENTIN KARIME\VTA. PROPIEDAD\subdiv\KAREN LUTTGUES A BRAYAN LUTTGUES LOTE 26 A.doc</t>
  </si>
  <si>
    <t>C:\Users\franc\OneDrive\Documentos\MALENTIN KARIME\VTA. PROPIEDAD\subdiv\JULIA ROBLES GALINDO Plantilla.doc</t>
  </si>
  <si>
    <t>C:\Users\franc\OneDrive\Documentos\MALENTIN KARIME\VTA. PROPIEDAD\subdiv\JULIA ROBLES GALINDO 71 F.doc</t>
  </si>
  <si>
    <t>C:\Users\franc\OneDrive\Documentos\MALENTIN KARIME\VTA. PROPIEDAD\subdiv\JULIA ROBLES GALINDO 71 E.doc</t>
  </si>
  <si>
    <t>C:\Users\franc\OneDrive\Documentos\MALENTIN KARIME\VTA. PROPIEDAD\subdiv\JULIA ROBLES GALINDO 71 D.doc</t>
  </si>
  <si>
    <t>C:\Users\franc\OneDrive\Documentos\MALENTIN KARIME\VTA. PROPIEDAD\subdiv\JULIA ROBLES GALINDO 71 C.doc</t>
  </si>
  <si>
    <t>C:\Users\franc\OneDrive\Documentos\MALENTIN KARIME\VTA. PROPIEDAD\subdiv\JULIA ROBLES GALINDO 71 B.doc</t>
  </si>
  <si>
    <t>C:\Users\franc\OneDrive\Documentos\MALENTIN KARIME\VTA. PROPIEDAD\subdiv\JULIA ROBLES GALINDO 71 A.doc</t>
  </si>
  <si>
    <t>C:\Users\franc\OneDrive\Documentos\MALENTIN KARIME\VTA. PROPIEDAD\subdiv\Héctor Velozo DESLINDES.doc</t>
  </si>
  <si>
    <t>C:\Users\franc\OneDrive\Documentos\MALENTIN KARIME\VTA. PROPIEDAD\subdiv\HERIBERTO TIRADO A MARTIN TIRADO ley 19807.doc</t>
  </si>
  <si>
    <t>C:\Users\franc\OneDrive\Documentos\MALENTIN KARIME\VTA. PROPIEDAD\subdiv\HECTOR VELOZO A NIBALDO ARAYA LOTE 7 - A 10.doc</t>
  </si>
  <si>
    <t>C:\Users\franc\OneDrive\Documentos\MALENTIN KARIME\VTA. PROPIEDAD\subdiv\HECTOR VELOZO A MARITZA RAMIREZ  LOTE 7 - A 8.doc</t>
  </si>
  <si>
    <t>C:\Users\franc\OneDrive\Documentos\MALENTIN KARIME\VTA. PROPIEDAD\subdiv\HECTOR VELOZO A LUIS ROMANQUE LOTE 7 - A 47.doc</t>
  </si>
  <si>
    <t>C:\Users\franc\OneDrive\Documentos\MALENTIN KARIME\VTA. PROPIEDAD\subdiv\HECTOR VELOZO A JENNY ROJAS BARRAZA LOTE 7 - A 10.doc</t>
  </si>
  <si>
    <t>C:\Users\franc\OneDrive\Documentos\MALENTIN KARIME\VTA. PROPIEDAD\subdiv\HECTOR VELOZO A EDUARDO PEREZ LOTE 7 - A 2.doc</t>
  </si>
  <si>
    <t>C:\Users\franc\OneDrive\Documentos\MALENTIN KARIME\VTA. PROPIEDAD\subdiv\HECTOR VELOZO A CARMEN OLAVE venta.doc</t>
  </si>
  <si>
    <t>C:\Users\franc\OneDrive\Documentos\MALENTIN KARIME\VTA. PROPIEDAD\subdiv\HECTOR VELOZO A ALIRO SANTANDER LOTE 7 - A  38.doc</t>
  </si>
  <si>
    <t>C:\Users\franc\OneDrive\Documentos\MALENTIN KARIME\VTA. PROPIEDAD\subdiv\FRANCISCO GUERRERO LOTE 31 D 3.doc</t>
  </si>
  <si>
    <t>C:\Users\franc\OneDrive\Documentos\MALENTIN KARIME\VTA. PROPIEDAD\subdiv\FRANCISCO GUERRERO LOTE 31 D 2.doc</t>
  </si>
  <si>
    <t>C:\Users\franc\OneDrive\Documentos\MALENTIN KARIME\VTA. PROPIEDAD\subdiv\EDUARDO CASTILLO CASTILLO Venta sol.doc</t>
  </si>
  <si>
    <t>C:\Users\franc\OneDrive\Documentos\MALENTIN KARIME\VTA. PROPIEDAD\subdiv\CLAUDIA PAREDES PIZARRO A Ivan Mondaca    subd muni.doc</t>
  </si>
  <si>
    <t>C:\Users\franc\OneDrive\Documentos\MALENTIN KARIME\VTA. PROPIEDAD\subdiv\BENEDICTO CISTERNAS servidumbre y venta final.doc</t>
  </si>
  <si>
    <t>C:\Users\franc\OneDrive\Documentos\MALENTIN KARIME\VTA. PROPIEDAD\subdiv\BENEDICTO CISTERNAS servidumbre y venta final con cambios.doc</t>
  </si>
  <si>
    <t>C:\Users\franc\OneDrive\Documentos\MALENTIN KARIME\VTA. PROPIEDAD\subdiv\BENEDICTO CISTERNAS RESCILIACION Y VENTA.doc</t>
  </si>
  <si>
    <t>C:\Users\franc\OneDrive\Documentos\MALENTIN KARIME\VTA. PROPIEDAD\subdiv\BENEDICTO CISTERNAS a Víctor Cisternas.doc</t>
  </si>
  <si>
    <t>C:\Users\franc\OneDrive\Documentos\MALENTIN KARIME\VTA. PROPIEDAD\subdiv\BENEDICTO CISTERNAS a Mariela Cisternas.doc</t>
  </si>
  <si>
    <t>C:\Users\franc\OneDrive\Documentos\MALENTIN KARIME\VTA. PROPIEDAD\subdiv\BENEDICTO CISTERNAS A Joselin Villegas.doc</t>
  </si>
  <si>
    <t>C:\Users\franc\OneDrive\Documentos\MALENTIN KARIME\VTA. PROPIEDAD\subdiv\BENEDICTO CISTERNAS a Jessica Segovia.doc</t>
  </si>
  <si>
    <t>C:\Users\franc\OneDrive\Documentos\MALENTIN KARIME\VTA. PROPIEDAD\subdiv\BENEDICTO CISTERNAS a Guido Cisternas.doc</t>
  </si>
  <si>
    <t>C:\Users\franc\OneDrive\Documentos\MALENTIN KARIME\VTA. PROPIEDAD\subdiv\BENEDICTO CISTERNAS a Ana Cisternas.doc</t>
  </si>
  <si>
    <t>C:\Users\franc\OneDrive\Documentos\MALENTIN KARIME\VTA. PROPIEDAD\subdiv\ALDECIRA VILLALOBOS y Juan Rojas  SAG.doc</t>
  </si>
  <si>
    <t>C:\Users\franc\OneDrive\Documentos\MALENTIN KARIME\VTA. PROPIEDAD\subdiv\AGRICOLA LOS ÑISÑILES LT 9 10 19.doc</t>
  </si>
  <si>
    <t>C:\Users\franc\OneDrive\Documentos\MALENTIN KARIME\VTA. PROPIEDAD\subdiv\AGRICOLA LOS ÑISÑILES LT  18 Roberto Castillo.doc</t>
  </si>
  <si>
    <t>C:\Users\franc\OneDrive\Documentos\MALENTIN KARIME\VTA. PROPIEDAD\subdiv\AGRICOLA LOS ÑISÑILES LT  15 Erika Castillo.doc</t>
  </si>
  <si>
    <t>C:\Users\franc\OneDrive\Documentos\MALENTIN KARIME\VTA. PROPIEDAD\subdiv\AGRICOLA LOS ÑISÑILES LT  13 Carmen Castillo.doc</t>
  </si>
  <si>
    <t>C:\Users\franc\OneDrive\Documentos\MALENTIN KARIME\VTA. PROPIEDAD\subdiv\AGRICOLA LOS ÑISÑILES LT  12 Berta Castillo.doc</t>
  </si>
  <si>
    <t>C:\Users\franc\OneDrive\Documentos\MALENTIN KARIME\VTA. PROPIEDAD\subdiv\AGRICOLA LOS ÑISÑILES a Victoria Castillo.doc</t>
  </si>
  <si>
    <t>C:\Users\franc\OneDrive\Documentos\MALENTIN KARIME\VTA. PROPIEDAD\subdiv\AGRICOLA LOS NISÑILES Lt 17.doc</t>
  </si>
  <si>
    <t>C:\Users\franc\OneDrive\Documentos\MALENTIN KARIME\VTA. PROPIEDAD\MINUTAS\2015\TERESA ALVARADO A RUTH MENESES minuta.doc</t>
  </si>
  <si>
    <t>C:\Users\franc\OneDrive\Documentos\MALENTIN KARIME\VTA. PROPIEDAD\MINUTAS\2015\RODRIGO DE CASACUBERTA A LIDIA GONZALEZ Lote R.doc</t>
  </si>
  <si>
    <t>C:\Users\franc\OneDrive\Documentos\MALENTIN KARIME\VTA. PROPIEDAD\MINUTAS\YARELA CARVAJAL A FRANCISCA ZAMBRA minuta.doc</t>
  </si>
  <si>
    <t>C:\Users\franc\OneDrive\Documentos\MALENTIN KARIME\VTA. PROPIEDAD\MINUTAS\SUSANA TAPIA AVILES A DANIELA ARAYA ESCOBAR subsdio.doc</t>
  </si>
  <si>
    <t>C:\Users\franc\OneDrive\Documentos\MALENTIN KARIME\VTA. PROPIEDAD\MINUTAS\ROSA RAMIREZ Y OTROS CESION DE DERECHOS Finalllll Paola Arancibia.doc</t>
  </si>
  <si>
    <t>C:\Users\franc\OneDrive\Documentos\MALENTIN KARIME\VTA. PROPIEDAD\MINUTAS\ROSA RAMIREZ Y OTROS CESION DE DERECHOS Final Segunda parte Paola Arancibia.doc</t>
  </si>
  <si>
    <t>C:\Users\franc\OneDrive\Documentos\MALENTIN KARIME\VTA. PROPIEDAD\MINUTAS\RIGOBERTO MONTERREY PERALTA A CORINA MONTERREY Minuta.doc</t>
  </si>
  <si>
    <t>C:\Users\franc\OneDrive\Documentos\MALENTIN KARIME\VTA. PROPIEDAD\MINUTAS\RAQUEL MEDINA HIPOTECAS Y GRAV.doc</t>
  </si>
  <si>
    <t>C:\Users\franc\OneDrive\Documentos\MALENTIN KARIME\VTA. PROPIEDAD\MINUTAS\RAQUEL MEDINA Cvta. Arturo.doc</t>
  </si>
  <si>
    <t>C:\Users\franc\OneDrive\Documentos\MALENTIN KARIME\VTA. PROPIEDAD\MINUTAS\RAQUEL MEDINA Cvta. Arturo VISTO BUENO.doc</t>
  </si>
  <si>
    <t>C:\Users\franc\OneDrive\Documentos\MALENTIN KARIME\VTA. PROPIEDAD\MINUTAS\PLASTOCK 2 A Transportes Carvajal Minuta MARIA JOSE CERDA.doc</t>
  </si>
  <si>
    <t>C:\Users\franc\OneDrive\Documentos\MALENTIN KARIME\VTA. PROPIEDAD\MINUTAS\PLASTOCK 1 A Transportes Carvajal Minuta MARIA JOSE CERDA.doc</t>
  </si>
  <si>
    <t>C:\Users\franc\OneDrive\Documentos\MALENTIN KARIME\VTA. PROPIEDAD\MINUTAS\NUEVA Nueva CESION DE DERECHOS FAMILIA MALUENDA SEGOVIA-2.doc</t>
  </si>
  <si>
    <t>C:\Users\franc\OneDrive\Documentos\MALENTIN KARIME\VTA. PROPIEDAD\MINUTAS\MILTON TELLO ANDRADE Y OTRA A Rentas e Inversiones La Esperanza.doc</t>
  </si>
  <si>
    <t>C:\Users\franc\OneDrive\Documentos\MALENTIN KARIME\VTA. PROPIEDAD\MINUTAS\MILTON TELLO ANDRADE Y OTRA A Rentas e Inversiones La Esperanza FINAL.doc</t>
  </si>
  <si>
    <t>C:\Users\franc\OneDrive\Documentos\MALENTIN KARIME\VTA. PROPIEDAD\MINUTAS\MARTA GAMBOA CAZANGA A MARGOTH CASTRO GAMBOA (CESION DERECHOS).doc</t>
  </si>
  <si>
    <t>C:\Users\franc\OneDrive\Documentos\MALENTIN KARIME\VTA. PROPIEDAD\MINUTAS\MARIA ROJAS A Sociedad Talhuen TANIA.doc</t>
  </si>
  <si>
    <t>C:\Users\franc\OneDrive\Documentos\MALENTIN KARIME\VTA. PROPIEDAD\MINUTAS\MARIA CHOCAIR A MARIO FLORES Orlando Gallardo.doc</t>
  </si>
  <si>
    <t>C:\Users\franc\OneDrive\Documentos\MALENTIN KARIME\VTA. PROPIEDAD\MINUTAS\MARCELA IRIARTE PIZARRO.doc</t>
  </si>
  <si>
    <t>C:\Users\franc\OneDrive\Documentos\MALENTIN KARIME\VTA. PROPIEDAD\MINUTAS\LUIS ROCCO HUERTA Y OTRA A Nidia Rivera Rocco.doc</t>
  </si>
  <si>
    <t>C:\Users\franc\OneDrive\Documentos\MALENTIN KARIME\VTA. PROPIEDAD\MINUTAS\LUIS LORCA A DRISCOLL Lombardo.doc</t>
  </si>
  <si>
    <t>C:\Users\franc\OneDrive\Documentos\MALENTIN KARIME\VTA. PROPIEDAD\MINUTAS\LUCY ASTUDILLO minuta.doc</t>
  </si>
  <si>
    <t>C:\Users\franc\OneDrive\Documentos\MALENTIN KARIME\VTA. PROPIEDAD\MINUTAS\JOSE RAMOS ARAYA A INELIA RAMOS Y OTROS Cristian B.doc</t>
  </si>
  <si>
    <t>C:\Users\franc\OneDrive\Documentos\MALENTIN KARIME\VTA. PROPIEDAD\MINUTAS\JORGE ARAYA A Emilio Araya Minuta Cyndi.doc</t>
  </si>
  <si>
    <t>C:\Users\franc\OneDrive\Documentos\MALENTIN KARIME\VTA. PROPIEDAD\MINUTAS\Intrucciones Mediana  a Castillo FINAL.doc</t>
  </si>
  <si>
    <t>C:\Users\franc\OneDrive\Documentos\MALENTIN KARIME\VTA. PROPIEDAD\MINUTAS\INSTRUCCIONES.doc</t>
  </si>
  <si>
    <t>C:\Users\franc\OneDrive\Documentos\MALENTIN KARIME\VTA. PROPIEDAD\MINUTAS\INSTRUCCIONES Valeska.doc</t>
  </si>
  <si>
    <t>C:\Users\franc\OneDrive\Documentos\MALENTIN KARIME\VTA. PROPIEDAD\MINUTAS\INSTRUCCIONES Rolando Muñoz.doc</t>
  </si>
  <si>
    <t>C:\Users\franc\OneDrive\Documentos\MALENTIN KARIME\VTA. PROPIEDAD\MINUTAS\INSTRUCCION Tello a Loyola.doc</t>
  </si>
  <si>
    <t>C:\Users\franc\OneDrive\Documentos\MALENTIN KARIME\VTA. PROPIEDAD\MINUTAS\FELIX SORIA A Carlos Sarra.doc</t>
  </si>
  <si>
    <t>C:\Users\franc\OneDrive\Documentos\MALENTIN KARIME\VTA. PROPIEDAD\MINUTAS\ELBA PASTENE ARAYA Rene Allene.doc</t>
  </si>
  <si>
    <t>C:\Users\franc\OneDrive\Documentos\MALENTIN KARIME\VTA. PROPIEDAD\MINUTAS\DORILA SEGOVIA A CARMEN VELIZ Cesion Pattty Alfaro.doc</t>
  </si>
  <si>
    <t>C:\Users\franc\OneDrive\Documentos\MALENTIN KARIME\VTA. PROPIEDAD\MINUTAS\DONAL CORNEJO y Wilson Yañez minuta.doc</t>
  </si>
  <si>
    <t>C:\Users\franc\OneDrive\Documentos\MALENTIN KARIME\VTA. PROPIEDAD\MINUTAS\CRISTIAN GALLARDO A MARISOL MEDINACony autoriza CLEMENTE FUENTEALBA.doc</t>
  </si>
  <si>
    <t>C:\Users\franc\OneDrive\Documentos\MALENTIN KARIME\VTA. PROPIEDAD\MINUTAS\CONSUELO TELLO A RAQUEL LOYOLA.doc</t>
  </si>
  <si>
    <t>C:\Users\franc\OneDrive\Documentos\MALENTIN KARIME\VTA. PROPIEDAD\MINUTAS\CAROLYN GONGORA A EDO. RAMIREZ Mandato.doc</t>
  </si>
  <si>
    <t>C:\Users\franc\OneDrive\Documentos\MALENTIN KARIME\VTA. PROPIEDAD\MINUTAS\BERTA TORRRES A ESMERALDO VALDIVIA W.altamirano.doc</t>
  </si>
  <si>
    <t>C:\Users\franc\OneDrive\Documentos\MALENTIN KARIME\VTA. PROPIEDAD\MINUTAS\ANA JOFRE EGAÑA A KATHERINE OLIVARES, Minuta SAGA.doc</t>
  </si>
  <si>
    <t>C:\Users\franc\OneDrive\Documentos\MALENTIN KARIME\VTA. PROPIEDAD\MINUTAS\ALEJO ZAMBRA A RAQUEL ZAMBRA Y OTRA.doc</t>
  </si>
  <si>
    <t>C:\Users\franc\OneDrive\Documentos\MALENTIN KARIME\VTA. PROPIEDAD\MINUTAS\ALDA SALINAS A GASTON VIDELA E. Rivas 2015.doc</t>
  </si>
  <si>
    <t>C:\Users\franc\OneDrive\Documentos\MALENTIN KARIME\VTA. PROPIEDAD\MINUTAS\AGRICOLA E INVERSIONES LAS NIETAS Fusion.doc</t>
  </si>
  <si>
    <t>C:\Users\franc\OneDrive\Documentos\MALENTIN KARIME\VTA. PROPIEDAD\MINUTAS\AGRICOLA AGUACERO A LUCY ASTUDILLO.doc</t>
  </si>
  <si>
    <t>C:\Users\franc\OneDrive\Documentos\MALENTIN KARIME\VTA. PROPIEDAD\MINUTAS\ADRIANA CASTRO NAVEA A Valeska Torres.doc</t>
  </si>
  <si>
    <t>C:\Users\franc\OneDrive\Documentos\MALENTIN KARIME\VTA. PROPIEDAD\BIENES MUEBLES\Mónica Cisternas a Fernanda Carvajal.doc</t>
  </si>
  <si>
    <t>C:\Users\franc\OneDrive\Documentos\MALENTIN KARIME\VTA. PROPIEDAD\BIENES MUEBLES\HERMAN FIGUEROA A Daniel Tarifeño.doc</t>
  </si>
  <si>
    <t>C:\Users\franc\OneDrive\Documentos\MALENTIN KARIME\VTA. PROPIEDAD\BIENES MUEBLES\EDUARDO CORTES AROSTICA A Omar Cerda P Segovia.doc</t>
  </si>
  <si>
    <t>C:\Users\franc\OneDrive\Documentos\MALENTIN KARIME\VTA. PROPIEDAD\2021\SILVIA SANTANDER ARAYA A SERGIO DIAZ VEGA s.doc</t>
  </si>
  <si>
    <t>C:\Users\franc\OneDrive\Documentos\MALENTIN KARIME\VTA. PROPIEDAD\2021\SEBASTIAN SUAZO A  SME TRCNOLOGÍA SpA.doc</t>
  </si>
  <si>
    <t>C:\Users\franc\OneDrive\Documentos\MALENTIN KARIME\VTA. PROPIEDAD\2021\SAMUEL CARVAJAL CARVAJAL  vta y usufructo.doc</t>
  </si>
  <si>
    <t>C:\Users\franc\OneDrive\Documentos\MALENTIN KARIME\VTA. PROPIEDAD\2021\ROSA GODOY CASTILLO derechos.doc</t>
  </si>
  <si>
    <t>C:\Users\franc\OneDrive\Documentos\MALENTIN KARIME\VTA. PROPIEDAD\2021\ROGELIO GONZALEZ A  hijos vta. derechos.doc</t>
  </si>
  <si>
    <t>C:\Users\franc\OneDrive\Documentos\MALENTIN KARIME\VTA. PROPIEDAD\2021\RAMONA ROJAS CASTILLO A Lorenzo Flores.doc</t>
  </si>
  <si>
    <t>C:\Users\franc\OneDrive\Documentos\MALENTIN KARIME\VTA. PROPIEDAD\2021\PATRICIA GODOY VEAS vta.derechos.doc</t>
  </si>
  <si>
    <t>C:\Users\franc\OneDrive\Documentos\MALENTIN KARIME\VTA. PROPIEDAD\2021\PATRICIA GODOY VEAS sin 2  vta.derechos.doc</t>
  </si>
  <si>
    <t>C:\Users\franc\OneDrive\Documentos\MALENTIN KARIME\VTA. PROPIEDAD\2021\OSCAR LAZO  SANTANDER con conyuge.doc</t>
  </si>
  <si>
    <t>C:\Users\franc\OneDrive\Documentos\MALENTIN KARIME\VTA. PROPIEDAD\2021\MARIA OSSANDON A Vivianda Duran sep.doc</t>
  </si>
  <si>
    <t>C:\Users\franc\OneDrive\Documentos\MALENTIN KARIME\VTA. PROPIEDAD\2021\MARGOT VARAS Sucesion minuta.doc</t>
  </si>
  <si>
    <t>C:\Users\franc\OneDrive\Documentos\MALENTIN KARIME\VTA. PROPIEDAD\2021\MANUEL PALTA A CAUPOLICAN CHIRINO con conyuge.doc</t>
  </si>
  <si>
    <t>C:\Users\franc\OneDrive\Documentos\MALENTIN KARIME\VTA. PROPIEDAD\2021\LUIS ALBURQUENQUE A MARICELA ALBURQUENQUE.doc</t>
  </si>
  <si>
    <t>C:\Users\franc\OneDrive\Documentos\MALENTIN KARIME\VTA. PROPIEDAD\2021\LUCY BUGUEÑO A JUAN MICHEA venta minuta.doc</t>
  </si>
  <si>
    <t>C:\Users\franc\OneDrive\Documentos\MALENTIN KARIME\VTA. PROPIEDAD\2021\KATHERINE SEPULVEDApoder.doc</t>
  </si>
  <si>
    <t>C:\Users\franc\OneDrive\Documentos\MALENTIN KARIME\VTA. PROPIEDAD\2021\JORGE ADAOS PIZARRO 2019.doc</t>
  </si>
  <si>
    <t>C:\Users\franc\OneDrive\Documentos\MALENTIN KARIME\VTA. PROPIEDAD\2021\JENNY MANCINI A MARIA TELLO minuta.doc</t>
  </si>
  <si>
    <t>C:\Users\franc\OneDrive\Documentos\MALENTIN KARIME\VTA. PROPIEDAD\2021\Jenny Gutierrez soltera.doc</t>
  </si>
  <si>
    <t>C:\Users\franc\OneDrive\Documentos\MALENTIN KARIME\VTA. PROPIEDAD\2021\INGRID TALAMILLA RODRIGUEZ 100.doc</t>
  </si>
  <si>
    <t>C:\Users\franc\OneDrive\Documentos\MALENTIN KARIME\VTA. PROPIEDAD\2021\HILDA BONILLA GUTIERREZ AJONATHAN MARAMBIO conyuge adm.doc</t>
  </si>
  <si>
    <t>C:\Users\franc\OneDrive\Documentos\MALENTIN KARIME\VTA. PROPIEDAD\2021\GRIMALDINA ARAYA ROJAS A JUAN CARLOS GODOY poder.doc</t>
  </si>
  <si>
    <t>C:\Users\franc\OneDrive\Documentos\MALENTIN KARIME\VTA. PROPIEDAD\2021\FLORIDOR MICHEA A NILO PASTEN.doc</t>
  </si>
  <si>
    <t>C:\Users\franc\OneDrive\Documentos\MALENTIN KARIME\VTA. PROPIEDAD\2021\FABIOLA FIGUERA A RICARDOGALLEGUILLOS conyuge adm.doc</t>
  </si>
  <si>
    <t>C:\Users\franc\OneDrive\Documentos\MALENTIN KARIME\VTA. PROPIEDAD\2021\DANIEL TAPIA A RAUL DORIA venta.doc</t>
  </si>
  <si>
    <t>C:\Users\franc\OneDrive\Documentos\MALENTIN KARIME\VTA. PROPIEDAD\2021\CRISTIAN CONCHA A ELENA GALLARDO.doc</t>
  </si>
  <si>
    <t>C:\Users\franc\OneDrive\Documentos\MALENTIN KARIME\VTA. PROPIEDAD\2021\COMPRAVENTA ANA VALDIVIA.doc</t>
  </si>
  <si>
    <t>C:\Users\franc\OneDrive\Documentos\MALENTIN KARIME\VTA. PROPIEDAD\2021\CLAUDIO OSSANDON A MARITZA GUERRERO 100.doc</t>
  </si>
  <si>
    <t>C:\Users\franc\OneDrive\Documentos\MALENTIN KARIME\VTA. PROPIEDAD\2021\CLAUDIA CORTES AVENDAÑO A LUISA AVENDAÑO.doc</t>
  </si>
  <si>
    <t>C:\Users\franc\OneDrive\Documentos\MALENTIN KARIME\VTA. PROPIEDAD\2021\CARLOS VENEGAS A NICOLE VENEGAS derechos.doc</t>
  </si>
  <si>
    <t>C:\Users\franc\OneDrive\Documentos\MALENTIN KARIME\VTA. PROPIEDAD\2021\BESSY COFRE LOPEZ A Gilberto Aguirre soltera.doc</t>
  </si>
  <si>
    <t>C:\Users\franc\OneDrive\Documentos\MALENTIN KARIME\VTA. PROPIEDAD\2021\ASCENCIO MARAMBIO A Hijos vta y usufructo.doc</t>
  </si>
  <si>
    <t>C:\Users\franc\OneDrive\Documentos\MALENTIN KARIME\VTA. PROPIEDAD\2021\ANYELO SALFATE A ADRIANA SALFATE vta.derechos.doc</t>
  </si>
  <si>
    <t>C:\Users\franc\OneDrive\Documentos\MALENTIN KARIME\VTA. PROPIEDAD\2021\ALFREDO OLATE A CECILIA GARCIA.doc</t>
  </si>
  <si>
    <t>C:\Users\franc\OneDrive\Documentos\MALENTIN KARIME\VTA. PROPIEDAD\2019\OSCAR LAZO  SANTANDER con conyuge.doc</t>
  </si>
  <si>
    <t>C:\Users\franc\OneDrive\Documentos\MALENTIN KARIME\VTA. PROPIEDAD\2017\ZOLA CAMPUSANO A Rocio Baez solteros.doc</t>
  </si>
  <si>
    <t>C:\Users\franc\OneDrive\Documentos\MALENTIN KARIME\VTA. PROPIEDAD\2017\YESSENIA ANACONA OLIVARES A José Cruces Castillo.doc</t>
  </si>
  <si>
    <t>C:\Users\franc\OneDrive\Documentos\MALENTIN KARIME\VTA. PROPIEDAD\2017\YANET PIZARRO GONZALEZ A María Pizarro solteras.doc</t>
  </si>
  <si>
    <t>C:\Users\franc\OneDrive\Documentos\MALENTIN KARIME\VTA. PROPIEDAD\2017\XIMENA CHACANA TAPIA suc.doc</t>
  </si>
  <si>
    <t>C:\Users\franc\OneDrive\Documentos\MALENTIN KARIME\VTA. PROPIEDAD\2017\VLADIMIR IRIARTE A MARISOL CORTES 2017.doc</t>
  </si>
  <si>
    <t>C:\Users\franc\OneDrive\Documentos\MALENTIN KARIME\VTA. PROPIEDAD\2017\VIOLETA VALDIVIA  A Ruben Aguilera solteros.doc</t>
  </si>
  <si>
    <t>C:\Users\franc\OneDrive\Documentos\MALENTIN KARIME\VTA. PROPIEDAD\2017\VICTORIA SARRAS TUMA A Magaliy Sarras derechos.doc</t>
  </si>
  <si>
    <t>C:\Users\franc\OneDrive\Documentos\MALENTIN KARIME\VTA. PROPIEDAD\2017\VERONICA BARRAZA Y OTRA A Isabel Medina 2018.doc</t>
  </si>
  <si>
    <t>C:\Users\franc\OneDrive\Documentos\MALENTIN KARIME\VTA. PROPIEDAD\2017\vende casada sep bienes sin liquidar sociedad.doc</t>
  </si>
  <si>
    <t>C:\Users\franc\OneDrive\Documentos\MALENTIN KARIME\VTA. PROPIEDAD\2017\VALESKA HENRIQUEZ ALFARO.doc</t>
  </si>
  <si>
    <t>C:\Users\franc\OneDrive\Documentos\MALENTIN KARIME\VTA. PROPIEDAD\2017\SYLVIA FLORES A Silvia Rivera  (Ley  19.807).doc</t>
  </si>
  <si>
    <t>C:\Users\franc\OneDrive\Documentos\MALENTIN KARIME\VTA. PROPIEDAD\2017\SYLVIA FLORES A Katerine Rivera  (Ley  19.807).doc</t>
  </si>
  <si>
    <t>C:\Users\franc\OneDrive\Documentos\MALENTIN KARIME\VTA. PROPIEDAD\2017\SYLVIA FLORES A Deysi Rivera  (Ley  19.807).doc</t>
  </si>
  <si>
    <t>C:\Users\franc\OneDrive\Documentos\MALENTIN KARIME\VTA. PROPIEDAD\2017\SUSANA PASTEN ROJAS A Juan Carrasco con adm.doc</t>
  </si>
  <si>
    <t>C:\Users\franc\OneDrive\Documentos\MALENTIN KARIME\VTA. PROPIEDAD\2017\SUCESION Vilche LEmus.doc</t>
  </si>
  <si>
    <t>C:\Users\franc\OneDrive\Documentos\MALENTIN KARIME\VTA. PROPIEDAD\2017\SUCESION Segovia Zuñiga 2018.doc</t>
  </si>
  <si>
    <t>C:\Users\franc\OneDrive\Documentos\MALENTIN KARIME\VTA. PROPIEDAD\2017\SUCESION Santander 100.doc</t>
  </si>
  <si>
    <t>C:\Users\franc\OneDrive\Documentos\MALENTIN KARIME\VTA. PROPIEDAD\2017\SUCESION Miranda con pp.doc</t>
  </si>
  <si>
    <t>C:\Users\franc\OneDrive\Documentos\MALENTIN KARIME\VTA. PROPIEDAD\2017\SUCESION MAYA.doc</t>
  </si>
  <si>
    <t>C:\Users\franc\OneDrive\Documentos\MALENTIN KARIME\VTA. PROPIEDAD\2017\SUCESION CORTES SOTO derechos 2018.doc</t>
  </si>
  <si>
    <t>C:\Users\franc\OneDrive\Documentos\MALENTIN KARIME\VTA. PROPIEDAD\2017\Sucesin Araya Castillo.doc</t>
  </si>
  <si>
    <t>C:\Users\franc\OneDrive\Documentos\MALENTIN KARIME\VTA. PROPIEDAD\2017\SOC AGRICOLA ALFALFARES y SUCESION ALANIZ.doc</t>
  </si>
  <si>
    <t>C:\Users\franc\OneDrive\Documentos\MALENTIN KARIME\VTA. PROPIEDAD\2017\SOC AGRICOLA ALFALFARES y SUCESION ALANIZ borrador.doc</t>
  </si>
  <si>
    <t>C:\Users\franc\OneDrive\Documentos\MALENTIN KARIME\VTA. PROPIEDAD\2017\SILVIA RAQUEL CORTES HIDALGO Y OTROS 100.doc</t>
  </si>
  <si>
    <t>C:\Users\franc\OneDrive\Documentos\MALENTIN KARIME\VTA. PROPIEDAD\2017\SILVIA ACUÑA CASTRO A PABLO ACUÑA solteros.doc</t>
  </si>
  <si>
    <t>C:\Users\franc\OneDrive\Documentos\MALENTIN KARIME\VTA. PROPIEDAD\2017\SANTIAGO BOYD A JENNY BOYD.doc</t>
  </si>
  <si>
    <t>C:\Users\franc\OneDrive\Documentos\MALENTIN KARIME\VTA. PROPIEDAD\2017\SANDRA CHAPARRO A RENE CASTILLOS Sol.doc</t>
  </si>
  <si>
    <t>C:\Users\franc\OneDrive\Documentos\MALENTIN KARIME\VTA. PROPIEDAD\2017\RUPERTO VASQUEZ A Eugenia Vasque.doc</t>
  </si>
  <si>
    <t>C:\Users\franc\OneDrive\Documentos\MALENTIN KARIME\VTA. PROPIEDAD\2017\RUDECINDA GARCIA A Darwin Muñoz (administrador).doc</t>
  </si>
  <si>
    <t>C:\Users\franc\OneDrive\Documentos\MALENTIN KARIME\VTA. PROPIEDAD\2017\RUBEN PIZARRO Y CALIXTO PIZARRO con esposa.doc</t>
  </si>
  <si>
    <t>C:\Users\franc\OneDrive\Documentos\MALENTIN KARIME\VTA. PROPIEDAD\2017\RUBEN PIZARRO FLORES A Calixto Pizarro con ella.doc</t>
  </si>
  <si>
    <t>C:\Users\franc\OneDrive\Documentos\MALENTIN KARIME\VTA. PROPIEDAD\2017\RUBEN ARANGUIZ Y SERGIO SEGOVIA con conyuge.doc</t>
  </si>
  <si>
    <t>C:\Users\franc\OneDrive\Documentos\MALENTIN KARIME\VTA. PROPIEDAD\2017\ROXANA PIZARRO JOFRE cony. administrador.doc</t>
  </si>
  <si>
    <t>C:\Users\franc\OneDrive\Documentos\MALENTIN KARIME\VTA. PROPIEDAD\2017\ROMERLIO ROBLES CARVAJAL A Waldemar Carvajal solteros.doc</t>
  </si>
  <si>
    <t>C:\Users\franc\OneDrive\Documentos\MALENTIN KARIME\VTA. PROPIEDAD\2017\ROBERTO ARAYA ROJAS A Barbara Olivares con ella.doc</t>
  </si>
  <si>
    <t>C:\Users\franc\OneDrive\Documentos\MALENTIN KARIME\VTA. PROPIEDAD\2017\RICARDO VALDIVIA A Magaly Chinga.doc</t>
  </si>
  <si>
    <t>C:\Users\franc\OneDrive\Documentos\MALENTIN KARIME\VTA. PROPIEDAD\2017\RICARDO ARAYA A Cecilia Araya poder.doc</t>
  </si>
  <si>
    <t>C:\Users\franc\OneDrive\Documentos\MALENTIN KARIME\VTA. PROPIEDAD\2017\RAUL ARIAS ROJAS derechos Guanaqueros.doc</t>
  </si>
  <si>
    <t>C:\Users\franc\OneDrive\Documentos\MALENTIN KARIME\VTA. PROPIEDAD\2017\RAUL ANGEL GONZALEZ.doc</t>
  </si>
  <si>
    <t>C:\Users\franc\OneDrive\Documentos\MALENTIN KARIME\VTA. PROPIEDAD\2017\PERFECTO OLIVARES TAPIA Y OTROS Sucesion.doc</t>
  </si>
  <si>
    <t>C:\Users\franc\OneDrive\Documentos\MALENTIN KARIME\VTA. PROPIEDAD\2017\PERFECTO OLIVARES TAPIA Y OTROS Sucesion 2018.doc</t>
  </si>
  <si>
    <t>C:\Users\franc\OneDrive\Documentos\MALENTIN KARIME\VTA. PROPIEDAD\2017\PEDRO VILLEGAS AROS con conyuge tierra.doc</t>
  </si>
  <si>
    <t>C:\Users\franc\OneDrive\Documentos\MALENTIN KARIME\VTA. PROPIEDAD\2017\PATRICIA GALLARDO A ANA GALLARDO minuta.doc</t>
  </si>
  <si>
    <t>C:\Users\franc\OneDrive\Documentos\MALENTIN KARIME\VTA. PROPIEDAD\2017\Osiel Marambio a José Alfaro.doc</t>
  </si>
  <si>
    <t>C:\Users\franc\OneDrive\Documentos\MALENTIN KARIME\VTA. PROPIEDAD\2017\OSCAR JIMENEZ ECHEVERRIA A Francisco Jimenez Derechos.doc</t>
  </si>
  <si>
    <t>C:\Users\franc\OneDrive\Documentos\MALENTIN KARIME\VTA. PROPIEDAD\2017\NORA PIZARRO RODRIGUEZ A Dorys Rodriguez  solteros 2018.doc</t>
  </si>
  <si>
    <t>C:\Users\franc\OneDrive\Documentos\MALENTIN KARIME\VTA. PROPIEDAD\2017\NINFA OGALDE DELGADO Minuta Gabriel.doc</t>
  </si>
  <si>
    <t>C:\Users\franc\OneDrive\Documentos\MALENTIN KARIME\VTA. PROPIEDAD\2017\NELSON URQUETA ARANCIBIA Soltero.doc</t>
  </si>
  <si>
    <t>C:\Users\franc\OneDrive\Documentos\MALENTIN KARIME\VTA. PROPIEDAD\2017\MIGUEL VEGA PASTEN.doc</t>
  </si>
  <si>
    <t>C:\Users\franc\OneDrive\Documentos\MALENTIN KARIME\VTA. PROPIEDAD\2017\MIGUEL MORALES GOMEZ A Juan Morales Derechos 2018.doc</t>
  </si>
  <si>
    <t>C:\Users\franc\OneDrive\Documentos\MALENTIN KARIME\VTA. PROPIEDAD\2017\MAVIS GUERRERO A PATRICIO CASTILLO100 Derechos.doc</t>
  </si>
  <si>
    <t>C:\Users\franc\OneDrive\Documentos\MALENTIN KARIME\VTA. PROPIEDAD\2017\MARY GODOY A HERNANI GODOY solteros.doc</t>
  </si>
  <si>
    <t>C:\Users\franc\OneDrive\Documentos\MALENTIN KARIME\VTA. PROPIEDAD\2017\MARTA NORA HUERTA.doc</t>
  </si>
  <si>
    <t>C:\Users\franc\OneDrive\Documentos\MALENTIN KARIME\VTA. PROPIEDAD\2017\MARIO TORO TORO A DENIS CORTES tierra y agua.doc</t>
  </si>
  <si>
    <t>C:\Users\franc\OneDrive\Documentos\MALENTIN KARIME\VTA. PROPIEDAD\2017\MARIA OLIVARES A Sandra Ojeda minuta.doc</t>
  </si>
  <si>
    <t>C:\Users\franc\OneDrive\Documentos\MALENTIN KARIME\VTA. PROPIEDAD\2017\MANUEL JIMENEZ RAMIREZ con conyuge.doc</t>
  </si>
  <si>
    <t>C:\Users\franc\OneDrive\Documentos\MALENTIN KARIME\VTA. PROPIEDAD\2017\MANUEL CELIZ CARVAJAL vta con usufructo.doc</t>
  </si>
  <si>
    <t>C:\Users\franc\OneDrive\Documentos\MALENTIN KARIME\VTA. PROPIEDAD\2017\MANUEL ALVAREZ GALLARDO A Pilar Ossandon Solteros.doc</t>
  </si>
  <si>
    <t>C:\Users\franc\OneDrive\Documentos\MALENTIN KARIME\VTA. PROPIEDAD\2017\LUZ HIDALGO ARAYA A VIVIANA ARAYA.doc</t>
  </si>
  <si>
    <t>C:\Users\franc\OneDrive\Documentos\MALENTIN KARIME\VTA. PROPIEDAD\2017\LUZ HIDALGO ARAYA A VIVIANA ARAYA ST 5 Y  1.doc</t>
  </si>
  <si>
    <t>C:\Users\franc\OneDrive\Documentos\MALENTIN KARIME\VTA. PROPIEDAD\2017\LUZ HIDALGO ARAYA A VIVIANA ARAYA LOTE A -3.doc</t>
  </si>
  <si>
    <t>C:\Users\franc\OneDrive\Documentos\MALENTIN KARIME\VTA. PROPIEDAD\2017\LUZ HIDALGO ARAYA A VIVIANA ARAYA LOTE A -3-4-3 .doc</t>
  </si>
  <si>
    <t>C:\Users\franc\OneDrive\Documentos\MALENTIN KARIME\VTA. PROPIEDAD\2017\LUZ HIDALGO ARAYA A VIVIANA ARAYA LOTE A -3-4-1 .doc</t>
  </si>
  <si>
    <t>C:\Users\franc\OneDrive\Documentos\MALENTIN KARIME\VTA. PROPIEDAD\2017\LUZ HIDALGO ARAYA A VIVIANA ARAYA A 27.doc</t>
  </si>
  <si>
    <t>C:\Users\franc\OneDrive\Documentos\MALENTIN KARIME\VTA. PROPIEDAD\2017\LUIS VILLALOBOS GUTIERREZ con conyuge.doc</t>
  </si>
  <si>
    <t>C:\Users\franc\OneDrive\Documentos\MALENTIN KARIME\VTA. PROPIEDAD\2017\LUIS SALFATE divorciado firma con ex.doc</t>
  </si>
  <si>
    <t>C:\Users\franc\OneDrive\Documentos\MALENTIN KARIME\VTA. PROPIEDAD\2017\LUIS BRAVO PATIÑO A Celia Soto vta con usufructo 2018.doc</t>
  </si>
  <si>
    <t>C:\Users\franc\OneDrive\Documentos\MALENTIN KARIME\VTA. PROPIEDAD\2017\LORETO GALINDO A VICTOR GARCIA Derechos.doc</t>
  </si>
  <si>
    <t>C:\Users\franc\OneDrive\Documentos\MALENTIN KARIME\VTA. PROPIEDAD\2017\LORENA CADIZ BARRA A Cristian Salgado.doc</t>
  </si>
  <si>
    <t>C:\Users\franc\OneDrive\Documentos\MALENTIN KARIME\VTA. PROPIEDAD\2017\LILIA GONZALEZ MELLA  A Natalia Castillo derechos.doc</t>
  </si>
  <si>
    <t>C:\Users\franc\OneDrive\Documentos\MALENTIN KARIME\VTA. PROPIEDAD\2017\LILIA GONZALEZ MELLA  A Jacqueline Castillo derechos.doc</t>
  </si>
  <si>
    <t>C:\Users\franc\OneDrive\Documentos\MALENTIN KARIME\VTA. PROPIEDAD\2017\LIDIA CORTES GONZALEZ conyuge adm.doc</t>
  </si>
  <si>
    <t>C:\Users\franc\OneDrive\Documentos\MALENTIN KARIME\VTA. PROPIEDAD\2017\LAURA PEREZ Y MARIA COFRE Compraventa derecho y goce.doc</t>
  </si>
  <si>
    <t>C:\Users\franc\OneDrive\Documentos\MALENTIN KARIME\VTA. PROPIEDAD\2017\KAREN LUTTGUES A DARWIN GUERRERO.doc</t>
  </si>
  <si>
    <t>C:\Users\franc\OneDrive\Documentos\MALENTIN KARIME\VTA. PROPIEDAD\2017\KAREN LUTTGUES A BRAYAN LUTTGUES LOTE 26 A.doc</t>
  </si>
  <si>
    <t>C:\Users\franc\OneDrive\Documentos\MALENTIN KARIME\VTA. PROPIEDAD\2017\JULIO ROBLES CASTRO A Aurora Robles cvta usufructo.doc</t>
  </si>
  <si>
    <t>C:\Users\franc\OneDrive\Documentos\MALENTIN KARIME\VTA. PROPIEDAD\2017\JULIO LUTTGUES A VIVIANA ARAYA.doc</t>
  </si>
  <si>
    <t>C:\Users\franc\OneDrive\Documentos\MALENTIN KARIME\VTA. PROPIEDAD\2017\JULIO LUTTGUES A VIVIANA ARAYA Lote A fusionado.doc</t>
  </si>
  <si>
    <t>C:\Users\franc\OneDrive\Documentos\MALENTIN KARIME\VTA. PROPIEDAD\2017\JULIA MUÑOZ OLIVARES A Mabel Valenzuela Solteros.doc</t>
  </si>
  <si>
    <t>C:\Users\franc\OneDrive\Documentos\MALENTIN KARIME\VTA. PROPIEDAD\2017\JUANA ROJAS RIVERA A Luis Pasten2017.doc</t>
  </si>
  <si>
    <t>C:\Users\franc\OneDrive\Documentos\MALENTIN KARIME\VTA. PROPIEDAD\2017\JUAN ROJAS GALAN A Sergio Jiménez con instruccion.doc</t>
  </si>
  <si>
    <t>C:\Users\franc\OneDrive\Documentos\MALENTIN KARIME\VTA. PROPIEDAD\2017\JUAN CASTRO A Eduardo Lopez.doc</t>
  </si>
  <si>
    <t>C:\Users\franc\OneDrive\Documentos\MALENTIN KARIME\VTA. PROPIEDAD\2017\JOSE GASTON ROJAS ROJAS Derechos 100.doc</t>
  </si>
  <si>
    <t>C:\Users\franc\OneDrive\Documentos\MALENTIN KARIME\VTA. PROPIEDAD\2017\JORGE ADAOS PIZARRO 2019.doc</t>
  </si>
  <si>
    <t>C:\Users\franc\OneDrive\Documentos\MALENTIN KARIME\VTA. PROPIEDAD\2017\JOCELYN GODOY GODOY Soltera 2018.doc</t>
  </si>
  <si>
    <t>C:\Users\franc\OneDrive\Documentos\MALENTIN KARIME\VTA. PROPIEDAD\2017\JESSICA CARVAJAL A Janet Castillocon adm.doc</t>
  </si>
  <si>
    <t>C:\Users\franc\OneDrive\Documentos\MALENTIN KARIME\VTA. PROPIEDAD\2017\JAIME GUERRERO A Salvador Vega 2018.doc</t>
  </si>
  <si>
    <t>C:\Users\franc\OneDrive\Documentos\MALENTIN KARIME\VTA. PROPIEDAD\2017\ITALIA RAMIREZ A Carlos Navea Ramirez viuda.doc</t>
  </si>
  <si>
    <t>C:\Users\franc\OneDrive\Documentos\MALENTIN KARIME\VTA. PROPIEDAD\2017\ISABEL OPAZO DONOSO A Mario Araya.doc</t>
  </si>
  <si>
    <t>C:\Users\franc\OneDrive\Documentos\MALENTIN KARIME\VTA. PROPIEDAD\2017\IRMA ORDENEZ ALVAREZ 2018 derecho goce y tierra.doc</t>
  </si>
  <si>
    <t>C:\Users\franc\OneDrive\Documentos\MALENTIN KARIME\VTA. PROPIEDAD\2017\INSTRUCCIONES Maya 2018.doc</t>
  </si>
  <si>
    <t>C:\Users\franc\OneDrive\Documentos\MALENTIN KARIME\VTA. PROPIEDAD\2017\INSTRUCCIONES Ema Lopez.doc</t>
  </si>
  <si>
    <t>C:\Users\franc\OneDrive\Documentos\MALENTIN KARIME\VTA. PROPIEDAD\2017\HUMBERTO CONTRERAS Y ROSA CONTRERAS Esposa}.doc</t>
  </si>
  <si>
    <t>C:\Users\franc\OneDrive\Documentos\MALENTIN KARIME\VTA. PROPIEDAD\2017\HUGO MICHEA TAPIA A ALEJANDRO CORTES Solteros 2018.doc</t>
  </si>
  <si>
    <t>C:\Users\franc\OneDrive\Documentos\MALENTIN KARIME\VTA. PROPIEDAD\2017\HUGO MARAMBIO.doc</t>
  </si>
  <si>
    <t>C:\Users\franc\OneDrive\Documentos\MALENTIN KARIME\VTA. PROPIEDAD\2017\HUGO CASTILLO A claudio castillo minuta.doc</t>
  </si>
  <si>
    <t>C:\Users\franc\OneDrive\Documentos\MALENTIN KARIME\VTA. PROPIEDAD\2017\HERMAN LOPEZ VICENCIO A Jorge Lopez 100.doc</t>
  </si>
  <si>
    <t>C:\Users\franc\OneDrive\Documentos\MALENTIN KARIME\VTA. PROPIEDAD\2017\GUILLERMO DIAZ Y CIA. LTDA.}.doc</t>
  </si>
  <si>
    <t>C:\Users\franc\OneDrive\Documentos\MALENTIN KARIME\VTA. PROPIEDAD\2017\GINO ANGOTZI A FARID JACOB Solteros 2018.doc</t>
  </si>
  <si>
    <t>C:\Users\franc\OneDrive\Documentos\MALENTIN KARIME\VTA. PROPIEDAD\2017\GEORGINA VARAS RAMIREZ.doc</t>
  </si>
  <si>
    <t>C:\Users\franc\OneDrive\Documentos\MALENTIN KARIME\VTA. PROPIEDAD\2017\GEORGINA VARAS RAMIREZ final.doc</t>
  </si>
  <si>
    <t>C:\Users\franc\OneDrive\Documentos\MALENTIN KARIME\VTA. PROPIEDAD\2017\FRANCISCO RIVERA CASTILLO con conyuge.doc</t>
  </si>
  <si>
    <t>C:\Users\franc\OneDrive\Documentos\MALENTIN KARIME\VTA. PROPIEDAD\2017\FRANCISCO MAYO vta con usufructo.doc</t>
  </si>
  <si>
    <t>C:\Users\franc\OneDrive\Documentos\MALENTIN KARIME\VTA. PROPIEDAD\2017\Francisco Araya a Elsa Araya y  otro (1).doc</t>
  </si>
  <si>
    <t>C:\Users\franc\OneDrive\Documentos\MALENTIN KARIME\VTA. PROPIEDAD\2017\FLORENCIA VALDERRAMA A Nibaldo Barraza.doc</t>
  </si>
  <si>
    <t>C:\Users\franc\OneDrive\Documentos\MALENTIN KARIME\VTA. PROPIEDAD\2017\EVELYN ULLOA A Jovita Fuentes CVillagran.doc</t>
  </si>
  <si>
    <t>C:\Users\franc\OneDrive\Documentos\MALENTIN KARIME\VTA. PROPIEDAD\2017\ERICA ALVAREZ A RODRIGO VALDES con adm.doc</t>
  </si>
  <si>
    <t>C:\Users\franc\OneDrive\Documentos\MALENTIN KARIME\VTA. PROPIEDAD\2017\EMA LOPEZ COLLAO A JOSE VALDES Cony adm.doc</t>
  </si>
  <si>
    <t>C:\Users\franc\OneDrive\Documentos\MALENTIN KARIME\VTA. PROPIEDAD\2017\ELEAZAR CARVAJAL A Exequiel Lopez.doc</t>
  </si>
  <si>
    <t>C:\Users\franc\OneDrive\Documentos\MALENTIN KARIME\VTA. PROPIEDAD\2017\ELBA BARRAZA A CRISTINA VEGA (administrador )cvta usufructo.doc</t>
  </si>
  <si>
    <t>C:\Users\franc\OneDrive\Documentos\MALENTIN KARIME\VTA. PROPIEDAD\2017\EDITH RAMOS A Pabla Robledo.doc</t>
  </si>
  <si>
    <t>C:\Users\franc\OneDrive\Documentos\MALENTIN KARIME\VTA. PROPIEDAD\2017\Edith Albanez Campusano a Luis Guererro.doc</t>
  </si>
  <si>
    <t>C:\Users\franc\OneDrive\Documentos\MALENTIN KARIME\VTA. PROPIEDAD\2017\DILIA CARVAJAL OLIVARES A Emilio Alvarado con autorizacion marital.doc</t>
  </si>
  <si>
    <t>C:\Users\franc\OneDrive\Documentos\MALENTIN KARIME\VTA. PROPIEDAD\2017\DENIS RODRIGUEZ A LORENA OLIVARES art 150 vend.doc</t>
  </si>
  <si>
    <t>C:\Users\franc\OneDrive\Documentos\MALENTIN KARIME\VTA. PROPIEDAD\2017\DEMETRIO CASTRO CON NOEMI GUERRA con ella.doc</t>
  </si>
  <si>
    <t>C:\Users\franc\OneDrive\Documentos\MALENTIN KARIME\VTA. PROPIEDAD\2017\DANISA MUÑOZ A Bernarda Muñoz solteros.doc</t>
  </si>
  <si>
    <t>C:\Users\franc\OneDrive\Documentos\MALENTIN KARIME\VTA. PROPIEDAD\2017\DANIELA SEGOVIA A Milicent Guzman solteras.doc</t>
  </si>
  <si>
    <t>C:\Users\franc\OneDrive\Documentos\MALENTIN KARIME\VTA. PROPIEDAD\2017\CONSTRUCTORA OLIVARES &amp; CORTES A Javier Olivares.doc</t>
  </si>
  <si>
    <t>C:\Users\franc\OneDrive\Documentos\MALENTIN KARIME\VTA. PROPIEDAD\2017\CLAUDIO BRICEÑO A Sergio Pizarro solteros.doc</t>
  </si>
  <si>
    <t>C:\Users\franc\OneDrive\Documentos\MALENTIN KARIME\VTA. PROPIEDAD\2017\CEFERINO VALLE VALLE.doc</t>
  </si>
  <si>
    <t>C:\Users\franc\OneDrive\Documentos\MALENTIN KARIME\VTA. PROPIEDAD\2017\CARMEN SEGOVIA SALAZAR Tierra y agua auto.doc</t>
  </si>
  <si>
    <t>C:\Users\franc\OneDrive\Documentos\MALENTIN KARIME\VTA. PROPIEDAD\2017\CARMEN SEGOVIA SALAZAR Tierra auto.doc</t>
  </si>
  <si>
    <t>C:\Users\franc\OneDrive\Documentos\MALENTIN KARIME\VTA. PROPIEDAD\2017\CARMEN SEGOVIA SALAZAR Agua auto.doc</t>
  </si>
  <si>
    <t>C:\Users\franc\OneDrive\Documentos\MALENTIN KARIME\VTA. PROPIEDAD\2017\CARMEN RODRIGUEZ A JORGE MIRANDA.doc</t>
  </si>
  <si>
    <t>C:\Users\franc\OneDrive\Documentos\MALENTIN KARIME\VTA. PROPIEDAD\2017\CARMEN CORTES TORRES solteros.doc</t>
  </si>
  <si>
    <t>C:\Users\franc\OneDrive\Documentos\MALENTIN KARIME\VTA. PROPIEDAD\2017\CARMEN CARMONA A Daniel Cortes.doc</t>
  </si>
  <si>
    <t>C:\Users\franc\OneDrive\Documentos\MALENTIN KARIME\VTA. PROPIEDAD\2017\CARLOS EGAÑA PIZARRO A Angelica Egaña derechos.doc</t>
  </si>
  <si>
    <t>C:\Users\franc\OneDrive\Documentos\MALENTIN KARIME\VTA. PROPIEDAD\2017\BERNARDO ZEPEDA PEREZ A Yonel Zepeda solteros.doc</t>
  </si>
  <si>
    <t>C:\Users\franc\OneDrive\Documentos\MALENTIN KARIME\VTA. PROPIEDAD\2017\BERNARDITA LOPEZ Soltera.doc</t>
  </si>
  <si>
    <t>C:\Users\franc\OneDrive\Documentos\MALENTIN KARIME\VTA. PROPIEDAD\2017\BERNARDA ADAROS A Berta Diaz solteros.doc</t>
  </si>
  <si>
    <t>C:\Users\franc\OneDrive\Documentos\MALENTIN KARIME\VTA. PROPIEDAD\2017\ARTURO NARANJO A VERONICA BARRAZA.doc</t>
  </si>
  <si>
    <t>C:\Users\franc\OneDrive\Documentos\MALENTIN KARIME\VTA. PROPIEDAD\2017\ARTEMIO ALVARADO A Luis ROjas.doc</t>
  </si>
  <si>
    <t>C:\Users\franc\OneDrive\Documentos\MALENTIN KARIME\VTA. PROPIEDAD\2017\ANGELA LEON A Felipe Castillo.doc</t>
  </si>
  <si>
    <t>C:\Users\franc\OneDrive\Documentos\MALENTIN KARIME\VTA. PROPIEDAD\2017\AMANDA DEL CARMEN BARRAZA BARRAZA, Compraventa tierra.doc</t>
  </si>
  <si>
    <t>C:\Users\franc\OneDrive\Documentos\MALENTIN KARIME\VTA. PROPIEDAD\2017\AMANDA DEL CARMEN BARRAZA BARRAZA, Compraventa derecho y tierra.doc</t>
  </si>
  <si>
    <t>C:\Users\franc\OneDrive\Documentos\MALENTIN KARIME\VTA. PROPIEDAD\2017\ALIRO GUERRERO A Waldo Rodriguez.doc</t>
  </si>
  <si>
    <t>C:\Users\franc\OneDrive\Documentos\MALENTIN KARIME\VTA. PROPIEDAD\2017\ALFONSO PASTEN HENRIQUEZ A COMERCIAL TOLEDO GIANZO con conyuge.doc</t>
  </si>
  <si>
    <t>C:\Users\franc\OneDrive\Documentos\MALENTIN KARIME\VTA. PROPIEDAD\2016\YANETT PJIZARRO A María Pizarro.doc</t>
  </si>
  <si>
    <t>C:\Users\franc\OneDrive\Documentos\MALENTIN KARIME\VTA. PROPIEDAD\2016\YANET PIZARRO Derechos.doc</t>
  </si>
  <si>
    <t>C:\Users\franc\OneDrive\Documentos\MALENTIN KARIME\VTA. PROPIEDAD\2016\VERNA ROJAS ARRAÑO Cony adm.doc</t>
  </si>
  <si>
    <t>C:\Users\franc\OneDrive\Documentos\MALENTIN KARIME\VTA. PROPIEDAD\2016\SUCESION VEGA ORDENES 2016.doc</t>
  </si>
  <si>
    <t>C:\Users\franc\OneDrive\Documentos\MALENTIN KARIME\VTA. PROPIEDAD\2016\SILVIA ROJAS ROJAS A MARIA ROJAS ROJAS Solteras.doc</t>
  </si>
  <si>
    <t>C:\Users\franc\OneDrive\Documentos\MALENTIN KARIME\VTA. PROPIEDAD\2016\SERGIO ARAYA ARAYA A Emilia Araya Alquinta solteras.doc</t>
  </si>
  <si>
    <t>C:\Users\franc\OneDrive\Documentos\MALENTIN KARIME\VTA. PROPIEDAD\2016\PEDRO CAMPOS RIVERA A Mireya Araya con poder.doc</t>
  </si>
  <si>
    <t>C:\Users\franc\OneDrive\Documentos\MALENTIN KARIME\VTA. PROPIEDAD\2016\OLIVIA SEGOVIA A Jose Alfaro Segovia.doc</t>
  </si>
  <si>
    <t>C:\Users\franc\OneDrive\Documentos\MALENTIN KARIME\VTA. PROPIEDAD\2016\NORMA RIVERA A BERLINDA OLIVARES Solteras.doc</t>
  </si>
  <si>
    <t>C:\Users\franc\OneDrive\Documentos\MALENTIN KARIME\VTA. PROPIEDAD\2016\MIGUELINA RODRIGUEZ DIAZ A Lady Cortes y otra.doc</t>
  </si>
  <si>
    <t>C:\Users\franc\OneDrive\Documentos\MALENTIN KARIME\VTA. PROPIEDAD\2016\MARLENE AGUILERA A ELVIRA PIZARRO Minuta.doc</t>
  </si>
  <si>
    <t>C:\Users\franc\OneDrive\Documentos\MALENTIN KARIME\VTA. PROPIEDAD\2016\MARCIA ARAYA PEREIRA A Lady Toro Minuta.doc</t>
  </si>
  <si>
    <t>C:\Users\franc\OneDrive\Documentos\MALENTIN KARIME\VTA. PROPIEDAD\2016\LUIS MALUENDA ROJAS A Katerine Segovia y otros SAG.doc</t>
  </si>
  <si>
    <t>C:\Users\franc\OneDrive\Documentos\MALENTIN KARIME\VTA. PROPIEDAD\2016\LUIS CAMPUSANO CODOCEO A Hugo Cortes.doc</t>
  </si>
  <si>
    <t>C:\Users\franc\OneDrive\Documentos\MALENTIN KARIME\VTA. PROPIEDAD\2016\JUAN CALLAJAN A GERMAN REBOLLEDO con poder.doc</t>
  </si>
  <si>
    <t>C:\Users\franc\OneDrive\Documentos\MALENTIN KARIME\VTA. PROPIEDAD\2016\JORGE ROBLES Cony adm.doc</t>
  </si>
  <si>
    <t>C:\Users\franc\OneDrive\Documentos\MALENTIN KARIME\VTA. PROPIEDAD\2016\JERONIMO ROJAS ARAYA Derechos.doc</t>
  </si>
  <si>
    <t>C:\Users\franc\OneDrive\Documentos\MALENTIN KARIME\VTA. PROPIEDAD\2016\JAQUELINE RIVERA REYES.doc</t>
  </si>
  <si>
    <t>C:\Users\franc\OneDrive\Documentos\MALENTIN KARIME\VTA. PROPIEDAD\2016\INES FABIOLA RIVERA CANIBILO Y OTROS 2016.doc</t>
  </si>
  <si>
    <t>C:\Users\franc\OneDrive\Documentos\MALENTIN KARIME\VTA. PROPIEDAD\2016\HILDA ORTIZ LUNA A Grimaldina Carmona Minuta.doc</t>
  </si>
  <si>
    <t>C:\Users\franc\OneDrive\Documentos\MALENTIN KARIME\VTA. PROPIEDAD\2016\HECTOR RIVERA A YANETT VENEGAS.doc</t>
  </si>
  <si>
    <t>C:\Users\franc\OneDrive\Documentos\MALENTIN KARIME\VTA. PROPIEDAD\2016\GUILLERMO ESPINOZA SEGOVIAvta con usufructo.doc</t>
  </si>
  <si>
    <t>C:\Users\franc\OneDrive\Documentos\MALENTIN KARIME\VTA. PROPIEDAD\2016\FRESIA DEL ROSARIO PARRA100 Derechos.doc</t>
  </si>
  <si>
    <t>C:\Users\franc\OneDrive\Documentos\MALENTIN KARIME\VTA. PROPIEDAD\2016\FRANCISCO RIVERA A OMAR MOYA Minuta G Rodr.doc</t>
  </si>
  <si>
    <t>C:\Users\franc\OneDrive\Documentos\MALENTIN KARIME\VTA. PROPIEDAD\2016\ELENA CORTES ALVAREZ A Elena Cortés.doc</t>
  </si>
  <si>
    <t>C:\Users\franc\OneDrive\Documentos\MALENTIN KARIME\VTA. PROPIEDAD\2016\EDGAR IBACETA A Alex Fiorentino.doc</t>
  </si>
  <si>
    <t>C:\Users\franc\OneDrive\Documentos\MALENTIN KARIME\VTA. PROPIEDAD\2016\CECILIA GONZALEZ Y OTRA A Dario Gonzalez derechos.doc</t>
  </si>
  <si>
    <t>C:\Users\franc\OneDrive\Documentos\MALENTIN KARIME\VTA. PROPIEDAD\2016\BENJAMIN BAEZA A Miriam Velasquez.doc</t>
  </si>
  <si>
    <t>C:\Users\franc\OneDrive\Documentos\MALENTIN KARIME\VTA. PROPIEDAD\2016\BALTAZAR RAMIREZ ARAYA A sonia salazar (minuta).doc</t>
  </si>
  <si>
    <t>C:\Users\franc\OneDrive\Documentos\MALENTIN KARIME\VTA. PROPIEDAD\2016\ALAN MARIN A Michael López Minuta.doc</t>
  </si>
  <si>
    <t>C:\Users\franc\OneDrive\Documentos\MALENTIN KARIME\VTA. PROPIEDAD\2015\ZAPATA TREVERTON.doc</t>
  </si>
  <si>
    <t>C:\Users\franc\OneDrive\Documentos\MALENTIN KARIME\VTA. PROPIEDAD\2015\YOLANDA CONTRERAS A Orlando y otro.doc</t>
  </si>
  <si>
    <t>C:\Users\franc\OneDrive\Documentos\MALENTIN KARIME\VTA. PROPIEDAD\2015\YOLANDA CONTRERAS A  REGINA CONTRERAS  y otrodoc.doc</t>
  </si>
  <si>
    <t>C:\Users\franc\OneDrive\Documentos\MALENTIN KARIME\VTA. PROPIEDAD\2015\VICTOR GARCIA A MABEL RAMIREZ sotleros.doc</t>
  </si>
  <si>
    <t>C:\Users\franc\OneDrive\Documentos\MALENTIN KARIME\VTA. PROPIEDAD\2015\SUSANA DIAZ ASTUDILLO Subdivision.doc</t>
  </si>
  <si>
    <t>C:\Users\franc\OneDrive\Documentos\MALENTIN KARIME\VTA. PROPIEDAD\2015\SUFANG WONG FONTECILLA A Hipolito Fernández viudo a casado.doc</t>
  </si>
  <si>
    <t>C:\Users\franc\OneDrive\Documentos\MALENTIN KARIME\VTA. PROPIEDAD\2015\SUCESION PARRA CISTERNAS Con agua.doc</t>
  </si>
  <si>
    <t>C:\Users\franc\OneDrive\Documentos\MALENTIN KARIME\VTA. PROPIEDAD\2015\SUCESION ORELLANA ARAYA.doc</t>
  </si>
  <si>
    <t>C:\Users\franc\OneDrive\Documentos\MALENTIN KARIME\VTA. PROPIEDAD\2015\SUCESION MALEBRAN Mayo 2015.doc</t>
  </si>
  <si>
    <t>C:\Users\franc\OneDrive\Documentos\MALENTIN KARIME\VTA. PROPIEDAD\2015\SUCESION ESPINOSA BUGUEÑO100 Derechos.doc</t>
  </si>
  <si>
    <t>C:\Users\franc\OneDrive\Documentos\MALENTIN KARIME\VTA. PROPIEDAD\2015\SUCESION CORTES DIAZ.doc</t>
  </si>
  <si>
    <t>C:\Users\franc\OneDrive\Documentos\MALENTIN KARIME\VTA. PROPIEDAD\2015\SUCESION CONTRERAS compra para.doc</t>
  </si>
  <si>
    <t>C:\Users\franc\OneDrive\Documentos\MALENTIN KARIME\VTA. PROPIEDAD\2015\SUCESION CONTRERAS compra para final.doc</t>
  </si>
  <si>
    <t>C:\Users\franc\OneDrive\Documentos\MALENTIN KARIME\VTA. PROPIEDAD\2015\SUCESION ARAYA ROJAS.doc</t>
  </si>
  <si>
    <t>C:\Users\franc\OneDrive\Documentos\MALENTIN KARIME\VTA. PROPIEDAD\2015\SEGISFREDO LEON VELIZ a Ana Echanez 2015.doc</t>
  </si>
  <si>
    <t>C:\Users\franc\OneDrive\Documentos\MALENTIN KARIME\VTA. PROPIEDAD\2015\SEGISFREDO LEON VELIZ a Ana Echanez 2015 minuta.doc</t>
  </si>
  <si>
    <t>C:\Users\franc\OneDrive\Documentos\MALENTIN KARIME\VTA. PROPIEDAD\2015\SAMUEL TAPIA TAPIA A WILSON FLORES.doc</t>
  </si>
  <si>
    <t>C:\Users\franc\OneDrive\Documentos\MALENTIN KARIME\VTA. PROPIEDAD\2015\ROXANA RIVERA ARABENA A MYRIAM RIVERA poder compra.doc</t>
  </si>
  <si>
    <t>C:\Users\franc\OneDrive\Documentos\MALENTIN KARIME\VTA. PROPIEDAD\2015\ROMELIO ROBLES CARVAJAL Art 150.doc</t>
  </si>
  <si>
    <t>C:\Users\franc\OneDrive\Documentos\MALENTIN KARIME\VTA. PROPIEDAD\2015\RODRIGO DE CASACUBERTA a JOSE CARVAJAL.doc</t>
  </si>
  <si>
    <t>C:\Users\franc\OneDrive\Documentos\MALENTIN KARIME\VTA. PROPIEDAD\2015\RENE TELLO A ALFREDO VALDIVIA.doc</t>
  </si>
  <si>
    <t>C:\Users\franc\OneDrive\Documentos\MALENTIN KARIME\VTA. PROPIEDAD\2015\PATRICIO GARCIA ALFARO A Haydee Torres Cony autoriza.doc</t>
  </si>
  <si>
    <t>C:\Users\franc\OneDrive\Documentos\MALENTIN KARIME\VTA. PROPIEDAD\2015\OSVALDO PARRA A GILDA PARRA.doc</t>
  </si>
  <si>
    <t>C:\Users\franc\OneDrive\Documentos\MALENTIN KARIME\VTA. PROPIEDAD\2015\OSCAR TAIBA ORELLANA A Jaime GonzàlezProh.Legal.doc</t>
  </si>
  <si>
    <t>C:\Users\franc\OneDrive\Documentos\MALENTIN KARIME\VTA. PROPIEDAD\2015\NILO PIZARRO SALAZAR A Valeska Pizarro y otro usufructo.doc</t>
  </si>
  <si>
    <t>C:\Users\franc\OneDrive\Documentos\MALENTIN KARIME\VTA. PROPIEDAD\2015\NELSO MUÑOZ ROSEL A Miguel Tapia Cony autoriza.doc</t>
  </si>
  <si>
    <t>C:\Users\franc\OneDrive\Documentos\MALENTIN KARIME\VTA. PROPIEDAD\2015\NANCY MERCADO RIVERA borrador.doc</t>
  </si>
  <si>
    <t>C:\Users\franc\OneDrive\Documentos\MALENTIN KARIME\VTA. PROPIEDAD\2015\NANCY MERCADO RIVERA A Clemente Fuentealba.doc</t>
  </si>
  <si>
    <t>C:\Users\franc\OneDrive\Documentos\MALENTIN KARIME\VTA. PROPIEDAD\2015\MISAEL GONZALEZ A JERY SIERRA Solteros.doc</t>
  </si>
  <si>
    <t>C:\Users\franc\OneDrive\Documentos\MALENTIN KARIME\VTA. PROPIEDAD\2015\MISAEL ARAYA A Laura Guerrero100 Derechos.doc</t>
  </si>
  <si>
    <t>C:\Users\franc\OneDrive\Documentos\MALENTIN KARIME\VTA. PROPIEDAD\2015\MIRIAM ADONES A Carmen Roja Conyuge Administrador.doc</t>
  </si>
  <si>
    <t>C:\Users\franc\OneDrive\Documentos\MALENTIN KARIME\VTA. PROPIEDAD\2015\MARTA NORA HUERTA.doc</t>
  </si>
  <si>
    <t>C:\Users\franc\OneDrive\Documentos\MALENTIN KARIME\VTA. PROPIEDAD\2015\MARIO GARCIA A ARINDA VENEGAS Cony autoriza.doc</t>
  </si>
  <si>
    <t>C:\Users\franc\OneDrive\Documentos\MALENTIN KARIME\VTA. PROPIEDAD\2015\MARIANO GONZALEZ A MARGARITA GONZALEZDerechos.doc</t>
  </si>
  <si>
    <t>C:\Users\franc\OneDrive\Documentos\MALENTIN KARIME\VTA. PROPIEDAD\2015\MARIA RODRIGUEZ PIZARRO A HECTOR URIBE Cony autoriza adm.doc</t>
  </si>
  <si>
    <t>C:\Users\franc\OneDrive\Documentos\MALENTIN KARIME\VTA. PROPIEDAD\2015\MARIA CORTES CORTES A Sandra Soria.doc</t>
  </si>
  <si>
    <t>C:\Users\franc\OneDrive\Documentos\MALENTIN KARIME\VTA. PROPIEDAD\2015\LUISA EGEA VERGARA.doc</t>
  </si>
  <si>
    <t>C:\Users\franc\OneDrive\Documentos\MALENTIN KARIME\VTA. PROPIEDAD\2015\LUIS CHANDIA  A Julio Barahona Derechos.doc</t>
  </si>
  <si>
    <t>C:\Users\franc\OneDrive\Documentos\MALENTIN KARIME\VTA. PROPIEDAD\2015\LUIS ALBERTO GODOY GODOY  Y OTROvta con usufructo.doc</t>
  </si>
  <si>
    <t>C:\Users\franc\OneDrive\Documentos\MALENTIN KARIME\VTA. PROPIEDAD\2015\JULIO MUÑOZ VELASQUEZ A MANOLO TABILO SUBDIV SAG.doc</t>
  </si>
  <si>
    <t>C:\Users\franc\OneDrive\Documentos\MALENTIN KARIME\VTA. PROPIEDAD\2015\JULIO HENRIQUEZ JEVEZ A Pamela Benavente.doc</t>
  </si>
  <si>
    <t>C:\Users\franc\OneDrive\Documentos\MALENTIN KARIME\VTA. PROPIEDAD\2015\JUAN VARAS ARAYA A Marcos Moya CON CONYUGE.doc</t>
  </si>
  <si>
    <t>C:\Users\franc\OneDrive\Documentos\MALENTIN KARIME\VTA. PROPIEDAD\2015\JUAN MORALES TELLO Subdivision SAG.doc</t>
  </si>
  <si>
    <t>C:\Users\franc\OneDrive\Documentos\MALENTIN KARIME\VTA. PROPIEDAD\2015\JUAN DIAZ CORTES A  VICTOR VEGA Cony autoriza.doc</t>
  </si>
  <si>
    <t>C:\Users\franc\OneDrive\Documentos\MALENTIN KARIME\VTA. PROPIEDAD\2015\JUAN CODOCEO CAMPUSANO 2 prop.doc</t>
  </si>
  <si>
    <t>C:\Users\franc\OneDrive\Documentos\MALENTIN KARIME\VTA. PROPIEDAD\2015\JACQUELINE ROJAS A EDUARDO ARAYA vta con usufructo.doc</t>
  </si>
  <si>
    <t>C:\Users\franc\OneDrive\Documentos\MALENTIN KARIME\VTA. PROPIEDAD\2015\Ismael Layana a Melinda Carvajal.doc</t>
  </si>
  <si>
    <t>C:\Users\franc\OneDrive\Documentos\MALENTIN KARIME\VTA. PROPIEDAD\2015\INES OLIVARES ARAYA Y OTROS A Edith Gomez Sucesio´n.doc</t>
  </si>
  <si>
    <t>C:\Users\franc\OneDrive\Documentos\MALENTIN KARIME\VTA. PROPIEDAD\2015\INES FABIOLA RIVERA CANIBILO Y OTROS.doc</t>
  </si>
  <si>
    <t>C:\Users\franc\OneDrive\Documentos\MALENTIN KARIME\VTA. PROPIEDAD\2015\INES FABIOLA RIVERA CANIBILO Y OTROS borrador.doc</t>
  </si>
  <si>
    <t>C:\Users\franc\OneDrive\Documentos\MALENTIN KARIME\VTA. PROPIEDAD\2015\IBAR CASTRO A COMITE VIOLETA PARRA.doc</t>
  </si>
  <si>
    <t>C:\Users\franc\OneDrive\Documentos\MALENTIN KARIME\VTA. PROPIEDAD\2015\HUGO CASTRO CORTES A Ana Cortes.doc</t>
  </si>
  <si>
    <t>C:\Users\franc\OneDrive\Documentos\MALENTIN KARIME\VTA. PROPIEDAD\2015\HONORINDA MUÑOZ soltear.doc</t>
  </si>
  <si>
    <t>C:\Users\franc\OneDrive\Documentos\MALENTIN KARIME\VTA. PROPIEDAD\2015\HILDA VARAS ARAYA, usufructo y venta.doc</t>
  </si>
  <si>
    <t>C:\Users\franc\OneDrive\Documentos\MALENTIN KARIME\VTA. PROPIEDAD\2015\HERMINIO LOPEZ A OCTAVIO PIZARRO Cony autoriza.doc</t>
  </si>
  <si>
    <t>C:\Users\franc\OneDrive\Documentos\MALENTIN KARIME\VTA. PROPIEDAD\2015\GUSTAVO CORTEZ ROJAS Varios.doc</t>
  </si>
  <si>
    <t>C:\Users\franc\OneDrive\Documentos\MALENTIN KARIME\VTA. PROPIEDAD\2015\GONZALO CORTES VALDIVIA Y Rosalia Cortes con conyuge.doc</t>
  </si>
  <si>
    <t>C:\Users\franc\OneDrive\Documentos\MALENTIN KARIME\VTA. PROPIEDAD\2015\GONZALO CORTES VALDIVIA (COMUNIDAD AGR PUNITAQUI).doc</t>
  </si>
  <si>
    <t>C:\Users\franc\OneDrive\Documentos\MALENTIN KARIME\VTA. PROPIEDAD\2015\GONZALO CORTES VALDIVIA  sin rosalia.doc</t>
  </si>
  <si>
    <t>C:\Users\franc\OneDrive\Documentos\MALENTIN KARIME\VTA. PROPIEDAD\2015\GONZALO CORTES A VALDIVIA A HIJA Cony autoriza.doc</t>
  </si>
  <si>
    <t>C:\Users\franc\OneDrive\Documentos\MALENTIN KARIME\VTA. PROPIEDAD\2015\GERARDO RAMIREZ A Rodrigo Gomez del Pino.doc</t>
  </si>
  <si>
    <t>C:\Users\franc\OneDrive\Documentos\MALENTIN KARIME\VTA. PROPIEDAD\2015\GEORGINA VARAS RAMIREZ.doc</t>
  </si>
  <si>
    <t>C:\Users\franc\OneDrive\Documentos\MALENTIN KARIME\VTA. PROPIEDAD\2015\GABRIEL CATALDO A CLAUDIO CATALDO.doc</t>
  </si>
  <si>
    <t>C:\Users\franc\OneDrive\Documentos\MALENTIN KARIME\VTA. PROPIEDAD\2015\FRANCISCO PASTEN PASTEN Cony autoriza.doc</t>
  </si>
  <si>
    <t>C:\Users\franc\OneDrive\Documentos\MALENTIN KARIME\VTA. PROPIEDAD\2015\FILOMENO CASTILLO A Maria Castillo usufructo.doc</t>
  </si>
  <si>
    <t>C:\Users\franc\OneDrive\Documentos\MALENTIN KARIME\VTA. PROPIEDAD\2015\FERNANDA NAVEA A Juana Garcia Solteros.doc</t>
  </si>
  <si>
    <t>C:\Users\franc\OneDrive\Documentos\MALENTIN KARIME\VTA. PROPIEDAD\2015\FABIAN ALVAREZ GUZMAN A  cony auto.doc</t>
  </si>
  <si>
    <t>C:\Users\franc\OneDrive\Documentos\MALENTIN KARIME\VTA. PROPIEDAD\2015\EUDOCIO VEGA ARAYA  con usufructo.doc</t>
  </si>
  <si>
    <t>C:\Users\franc\OneDrive\Documentos\MALENTIN KARIME\VTA. PROPIEDAD\2015\ESTUDIO I BUENAVENTURA LTDA..doc</t>
  </si>
  <si>
    <t>C:\Users\franc\OneDrive\Documentos\MALENTIN KARIME\VTA. PROPIEDAD\2015\EMELINDA TAPIA TAPIA cvta usufructo.doc</t>
  </si>
  <si>
    <t>C:\Users\franc\OneDrive\Documentos\MALENTIN KARIME\VTA. PROPIEDAD\2015\EMELINDA TAPIA TAPIA cvta usufructo 2 hijos.doc</t>
  </si>
  <si>
    <t>C:\Users\franc\OneDrive\Documentos\MALENTIN KARIME\VTA. PROPIEDAD\2015\ELIANA ARQUEROS PASTEN viuda.doc</t>
  </si>
  <si>
    <t>C:\Users\franc\OneDrive\Documentos\MALENTIN KARIME\VTA. PROPIEDAD\2015\ELBA PERINES A ALEXIS LEON art 150, vende.doc</t>
  </si>
  <si>
    <t>C:\Users\franc\OneDrive\Documentos\MALENTIN KARIME\VTA. PROPIEDAD\2015\EGLANTINA OLIVARES A JOSE ZEPEDA.doc</t>
  </si>
  <si>
    <t>C:\Users\franc\OneDrive\Documentos\MALENTIN KARIME\VTA. PROPIEDAD\2015\EDUARDO VIGORENA A BERMANS VIGORENA Derechos.doc</t>
  </si>
  <si>
    <t>C:\Users\franc\OneDrive\Documentos\MALENTIN KARIME\VTA. PROPIEDAD\2015\EDUARDO MIRANDA.doc</t>
  </si>
  <si>
    <t>C:\Users\franc\OneDrive\Documentos\MALENTIN KARIME\VTA. PROPIEDAD\2015\DIEGO MORGAN AMENGUAL A María Aviles compra Art 150.doc</t>
  </si>
  <si>
    <t>C:\Users\franc\OneDrive\Documentos\MALENTIN KARIME\VTA. PROPIEDAD\2015\DESLINDES Amanda Castellanos.doc</t>
  </si>
  <si>
    <t>C:\Users\franc\OneDrive\Documentos\MALENTIN KARIME\VTA. PROPIEDAD\2015\COMUNIDAD LA COIPA A Cecilia Lopez y otra Minuta.doc</t>
  </si>
  <si>
    <t>C:\Users\franc\OneDrive\Documentos\MALENTIN KARIME\VTA. PROPIEDAD\2015\COMUNIDAD LA COIPA  (HERNAN PEREZ).doc</t>
  </si>
  <si>
    <t>C:\Users\franc\OneDrive\Documentos\MALENTIN KARIME\VTA. PROPIEDAD\2015\CLEMENTE FUENTEALBA Y OTROS.doc</t>
  </si>
  <si>
    <t>C:\Users\franc\OneDrive\Documentos\MALENTIN KARIME\VTA. PROPIEDAD\2015\CECILIA GONZALEZ Y OTRA A Dario Gonzalez derechos.doc</t>
  </si>
  <si>
    <t>C:\Users\franc\OneDrive\Documentos\MALENTIN KARIME\VTA. PROPIEDAD\2015\CATALINA SANTANDER A Audelina Miranda y otro USUFRUCTO.doc</t>
  </si>
  <si>
    <t>C:\Users\franc\OneDrive\Documentos\MALENTIN KARIME\VTA. PROPIEDAD\2015\CARMEN VIDELA TELLO A Javier AcuñaDerechos.doc</t>
  </si>
  <si>
    <t>C:\Users\franc\OneDrive\Documentos\MALENTIN KARIME\VTA. PROPIEDAD\2015\CARMEN ARAYA ARAYA Eliana Arancibia Derechos.doc</t>
  </si>
  <si>
    <t>C:\Users\franc\OneDrive\Documentos\MALENTIN KARIME\VTA. PROPIEDAD\2015\CARLOS SIERRA LOPEZ A Bernardino Cortes sotleros.doc</t>
  </si>
  <si>
    <t>C:\Users\franc\OneDrive\Documentos\MALENTIN KARIME\VTA. PROPIEDAD\2015\BORIS PIZARRO MILLA Derechos, Proh Legal.doc</t>
  </si>
  <si>
    <t>C:\Users\franc\OneDrive\Documentos\MALENTIN KARIME\VTA. PROPIEDAD\2015\BLAS ALCAYAGA A Victoria Jaime Cony autoriza.doc</t>
  </si>
  <si>
    <t>C:\Users\franc\OneDrive\Documentos\MALENTIN KARIME\VTA. PROPIEDAD\2015\BERNABE HARDT LOPEZ A Esteban Zepeda.doc</t>
  </si>
  <si>
    <t>C:\Users\franc\OneDrive\Documentos\MALENTIN KARIME\VTA. PROPIEDAD\2015\ANIBAL CERDA LEYTON A Yessenia Cerda cony auto.doc</t>
  </si>
  <si>
    <t>C:\Users\franc\OneDrive\Documentos\MALENTIN KARIME\VTA. PROPIEDAD\2015\ANGELINA GALLEGUILLOS A GABRIEL GALLEGUILLOS Solteros.doc</t>
  </si>
  <si>
    <t>C:\Users\franc\OneDrive\Documentos\MALENTIN KARIME\VTA. PROPIEDAD\2015\ANGELA FLORES FLORES A Pedro Fuentes Ortis y otros Derechos.doc</t>
  </si>
  <si>
    <t>C:\Users\franc\OneDrive\Documentos\MALENTIN KARIME\VTA. PROPIEDAD\2015\ANA CHANDIA CONCHA A Julio Barahona Derechos.doc</t>
  </si>
  <si>
    <t>C:\Users\franc\OneDrive\Documentos\MALENTIN KARIME\VTA. PROPIEDAD\2015\ANA BENAVENTE CASTILLO Y Raquel Collao poder dueño.doc</t>
  </si>
  <si>
    <t>C:\Users\franc\OneDrive\Documentos\MALENTIN KARIME\VTA. PROPIEDAD\2015\AMANDA CASTELLANOS LOTE DOS A.doc</t>
  </si>
  <si>
    <t>C:\Users\franc\OneDrive\Documentos\MALENTIN KARIME\VTA. PROPIEDAD\2015\AMANDA CASTELLANOS a Yoanna Zambra.doc</t>
  </si>
  <si>
    <t>C:\Users\franc\OneDrive\Documentos\MALENTIN KARIME\VTA. PROPIEDAD\2015\AMANDA CASTELLANOS a Román Hidalgo.doc</t>
  </si>
  <si>
    <t>C:\Users\franc\OneDrive\Documentos\MALENTIN KARIME\VTA. PROPIEDAD\2015\AMANDA CASTELLANOS a Patricio Zambra.doc</t>
  </si>
  <si>
    <t>C:\Users\franc\OneDrive\Documentos\MALENTIN KARIME\VTA. PROPIEDAD\2015\AMANDA CASTELLANOS a Luis Zambra Castellanos.doc</t>
  </si>
  <si>
    <t>C:\Users\franc\OneDrive\Documentos\MALENTIN KARIME\VTA. PROPIEDAD\2015\AMANDA CASTELLANOS  a Roberto Cofre.doc</t>
  </si>
  <si>
    <t>C:\Users\franc\OneDrive\Documentos\MALENTIN KARIME\VTA. PROPIEDAD\2015\ALICIA DEL CARMEN CARVAJAL MOLINA Solteras con Art 150.doc</t>
  </si>
  <si>
    <t>C:\Users\franc\OneDrive\Documentos\MALENTIN KARIME\VTA. PROPIEDAD\2015\ALFONSO CASTILLO A Carmen Vega Cony autoriza.doc</t>
  </si>
  <si>
    <t>C:\Users\franc\OneDrive\Documentos\MALENTIN KARIME\VTA. PROPIEDAD\2015\ABEL GONZALEZ YAÑEZ A Angelica Gonzalez Cony autoriza.doc</t>
  </si>
  <si>
    <t>C:\Users\franc\OneDrive\Documentos\MALENTIN KARIME\VTA. PROPIEDAD\2015\ABEL GONZALEZ YAÑEZ A Angelica Gonzalez Cony autoriza SIN USUFR.doc</t>
  </si>
  <si>
    <t>C:\Users\franc\OneDrive\Documentos\MALENTIN KARIME\VTA. PROPIEDAD\2014\VICTORIANO CORTES DIAZ Derechos.doc</t>
  </si>
  <si>
    <t>C:\Users\franc\OneDrive\Documentos\MALENTIN KARIME\VTA. PROPIEDAD\2014\VALENTIN CONTRERAS OLIVARES.doc</t>
  </si>
  <si>
    <t>C:\Users\franc\OneDrive\Documentos\MALENTIN KARIME\VTA. PROPIEDAD\2014\URBANA BORQUEZ DELGADO A Geraldo Robledo solteros.doc</t>
  </si>
  <si>
    <t>C:\Users\franc\OneDrive\Documentos\MALENTIN KARIME\VTA. PROPIEDAD\2014\TASACIONES Clemente Fuentealba.doc</t>
  </si>
  <si>
    <t>C:\Users\franc\OneDrive\Documentos\MALENTIN KARIME\VTA. PROPIEDAD\2014\TASACIONES Clemente Fuentealba a Pedro Sanchez.doc</t>
  </si>
  <si>
    <t>C:\Users\franc\OneDrive\Documentos\MALENTIN KARIME\VTA. PROPIEDAD\2014\SYLVIA SARRIA RAMIREZ A María AcuñaCVTA USUFRUC.doc</t>
  </si>
  <si>
    <t>C:\Users\franc\OneDrive\Documentos\MALENTIN KARIME\VTA. PROPIEDAD\2014\Sucesion ROJAS CISTERNAS.doc</t>
  </si>
  <si>
    <t>C:\Users\franc\OneDrive\Documentos\MALENTIN KARIME\VTA. PROPIEDAD\2014\SILVIA CORTES PASTEN A Irma Alvarado Cony adm.doc</t>
  </si>
  <si>
    <t>C:\Users\franc\OneDrive\Documentos\MALENTIN KARIME\VTA. PROPIEDAD\2014\SERGIO RIVERA DOMINGUEZ  con poder.doc</t>
  </si>
  <si>
    <t>C:\Users\franc\OneDrive\Documentos\MALENTIN KARIME\VTA. PROPIEDAD\2014\SEGISFREDO LEON VELIZ a Ana Echanez  Con agua.doc</t>
  </si>
  <si>
    <t>C:\Users\franc\OneDrive\Documentos\MALENTIN KARIME\VTA. PROPIEDAD\2014\SEGISFREDO LEON VELIZ a Ana Echanez  Con agua BORRADOR.doc</t>
  </si>
  <si>
    <t>C:\Users\franc\OneDrive\Documentos\MALENTIN KARIME\VTA. PROPIEDAD\2014\SEBASTIAN CONTRERAS 18 B 6.doc</t>
  </si>
  <si>
    <t>C:\Users\franc\OneDrive\Documentos\MALENTIN KARIME\VTA. PROPIEDAD\2014\ROSA RAMIREZ MALUENDA Cesion Minuta NUEVA Genara.doc</t>
  </si>
  <si>
    <t>C:\Users\franc\OneDrive\Documentos\MALENTIN KARIME\VTA. PROPIEDAD\2014\ROSA RAMIREZ MALUENDA Cesion Minuta GenaraCESION DE DERECHOS FAMILIA MALUENDA SEGOVIA-1.doc</t>
  </si>
  <si>
    <t>C:\Users\franc\OneDrive\Documentos\MALENTIN KARIME\VTA. PROPIEDAD\2014\ROSA ADONES Y OTROS A Edith Cortes ANA POZO Minuta.doc</t>
  </si>
  <si>
    <t>C:\Users\franc\OneDrive\Documentos\MALENTIN KARIME\VTA. PROPIEDAD\2014\RODRIGO DE CASACUBERTA.doc</t>
  </si>
  <si>
    <t>C:\Users\franc\OneDrive\Documentos\MALENTIN KARIME\VTA. PROPIEDAD\2014\RICARDO MONTERO ROJAS A Jose Contreras agua y tierra.doc</t>
  </si>
  <si>
    <t>C:\Users\franc\OneDrive\Documentos\MALENTIN KARIME\VTA. PROPIEDAD\2014\RICARDO CORTES ARAYA.doc</t>
  </si>
  <si>
    <t>C:\Users\franc\OneDrive\Documentos\MALENTIN KARIME\VTA. PROPIEDAD\2014\RAQUEL PINTO AGUILERA poderes.doc</t>
  </si>
  <si>
    <t>C:\Users\franc\OneDrive\Documentos\MALENTIN KARIME\VTA. PROPIEDAD\2014\PAMELA POBLETE HERRERA A Carlos Bruna  solteros.doc</t>
  </si>
  <si>
    <t>C:\Users\franc\OneDrive\Documentos\MALENTIN KARIME\VTA. PROPIEDAD\2014\OTILIO TABILO A Marta Huerta poder.doc</t>
  </si>
  <si>
    <t>C:\Users\franc\OneDrive\Documentos\MALENTIN KARIME\VTA. PROPIEDAD\2014\OSVALDO ARAYA A Sebastian Araya Cony autoriza.doc</t>
  </si>
  <si>
    <t>C:\Users\franc\OneDrive\Documentos\MALENTIN KARIME\VTA. PROPIEDAD\2014\OLGA CORTES ROJAS A LEANDRO GALLARDO Minuta.doc</t>
  </si>
  <si>
    <t>C:\Users\franc\OneDrive\Documentos\MALENTIN KARIME\VTA. PROPIEDAD\2014\OLGA CORTES ROJAS A LEANDRO GALLARDO Minuta borrador.doc</t>
  </si>
  <si>
    <t>C:\Users\franc\OneDrive\Documentos\MALENTIN KARIME\VTA. PROPIEDAD\2014\NELSON MIRANDA FLORES A NELSON Hijo.doc</t>
  </si>
  <si>
    <t>C:\Users\franc\OneDrive\Documentos\MALENTIN KARIME\VTA. PROPIEDAD\2014\NELSON MIRANDA FLORES A Amanda Caceres cHijo.doc</t>
  </si>
  <si>
    <t>C:\Users\franc\OneDrive\Documentos\MALENTIN KARIME\VTA. PROPIEDAD\2014\MONICA DIAZ RIVERA  solteros.doc</t>
  </si>
  <si>
    <t>C:\Users\franc\OneDrive\Documentos\MALENTIN KARIME\VTA. PROPIEDAD\2014\MARIA OSSANDON Y Juan Araya Con agua.doc</t>
  </si>
  <si>
    <t>C:\Users\franc\OneDrive\Documentos\MALENTIN KARIME\VTA. PROPIEDAD\2014\MARIA JULIETA BARRIOS CORTES  casada 150.doc</t>
  </si>
  <si>
    <t>C:\Users\franc\OneDrive\Documentos\MALENTIN KARIME\VTA. PROPIEDAD\2014\MARIA FERNANDEZ CORTES Resciliacion PATY ALFARO.doc</t>
  </si>
  <si>
    <t>C:\Users\franc\OneDrive\Documentos\MALENTIN KARIME\VTA. PROPIEDAD\2014\MARIA CODOCEO CASTRO A Julio Codoceo Derechos.doc</t>
  </si>
  <si>
    <t>C:\Users\franc\OneDrive\Documentos\MALENTIN KARIME\VTA. PROPIEDAD\2014\MARIA BUGUEÑO CARRASCO Derechos.doc</t>
  </si>
  <si>
    <t>C:\Users\franc\OneDrive\Documentos\MALENTIN KARIME\VTA. PROPIEDAD\2014\MARIA ANGEL ARTAL A Luis Guerra subdiv.doc</t>
  </si>
  <si>
    <t>C:\Users\franc\OneDrive\Documentos\MALENTIN KARIME\VTA. PROPIEDAD\2014\MARGARITA ROJAS AVENDAÑO Art 150.doc</t>
  </si>
  <si>
    <t>C:\Users\franc\OneDrive\Documentos\MALENTIN KARIME\VTA. PROPIEDAD\2014\MARCO CORTES DIAZ A Juan Cuello sotleros.doc</t>
  </si>
  <si>
    <t>C:\Users\franc\OneDrive\Documentos\MALENTIN KARIME\VTA. PROPIEDAD\2014\LORENZO DIAZ OLIVARES Derechos.doc</t>
  </si>
  <si>
    <t>C:\Users\franc\OneDrive\Documentos\MALENTIN KARIME\VTA. PROPIEDAD\2014\JUAN MUNDACA RODRIGUEZ Y OTROS Minuta.doc</t>
  </si>
  <si>
    <t>C:\Users\franc\OneDrive\Documentos\MALENTIN KARIME\VTA. PROPIEDAD\2014\JUAN CARLOS MARIN JIMENEZ A Luis Tapia MINUTA.doc</t>
  </si>
  <si>
    <t>C:\Users\franc\OneDrive\Documentos\MALENTIN KARIME\VTA. PROPIEDAD\2014\JUAN CARLOS MARIN JIMENEZ A Luis Tapia MINUTA  INSTRUCCIONES.doc</t>
  </si>
  <si>
    <t>C:\Users\franc\OneDrive\Documentos\MALENTIN KARIME\VTA. PROPIEDAD\2014\JUAN CARLOS MARIN JIMENEZ A BORRADOR C. PROP.doc</t>
  </si>
  <si>
    <t>C:\Users\franc\OneDrive\Documentos\MALENTIN KARIME\VTA. PROPIEDAD\2014\JUAN ALFONSO MUÑOZ MUÑOZ Cony autoriza Y 150.doc</t>
  </si>
  <si>
    <t>C:\Users\franc\OneDrive\Documentos\MALENTIN KARIME\VTA. PROPIEDAD\2014\JOVA ARGANDOÑA A Claudia Valverde derechos.doc</t>
  </si>
  <si>
    <t>C:\Users\franc\OneDrive\Documentos\MALENTIN KARIME\VTA. PROPIEDAD\2014\JORGE RIVERA DURAN y Jhonny Araya.doc</t>
  </si>
  <si>
    <t>C:\Users\franc\OneDrive\Documentos\MALENTIN KARIME\VTA. PROPIEDAD\2014\JOAQUIN ALVAREZ TAPIA A Jorge Castillo Cony autoriza.doc</t>
  </si>
  <si>
    <t>C:\Users\franc\OneDrive\Documentos\MALENTIN KARIME\VTA. PROPIEDAD\2014\JANET MOROSO VERGARA.doc</t>
  </si>
  <si>
    <t>C:\Users\franc\OneDrive\Documentos\MALENTIN KARIME\VTA. PROPIEDAD\2014\IVO YURIS A HERNAN HONRORS.doc</t>
  </si>
  <si>
    <t>C:\Users\franc\OneDrive\Documentos\MALENTIN KARIME\VTA. PROPIEDAD\2014\IVO YURIS A HERNAN HONRORS VERSION final.doc</t>
  </si>
  <si>
    <t>C:\Users\franc\OneDrive\Documentos\MALENTIN KARIME\VTA. PROPIEDAD\2014\IRENE PIZARRO ARAYA A DORIS PIZARRO Art 150.doc</t>
  </si>
  <si>
    <t>C:\Users\franc\OneDrive\Documentos\MALENTIN KARIME\VTA. PROPIEDAD\2014\INSTRUCCIONES Clemente.doc</t>
  </si>
  <si>
    <t>C:\Users\franc\OneDrive\Documentos\MALENTIN KARIME\VTA. PROPIEDAD\2014\INSTRUCCIONES CARLOS CARVAJAL.doc</t>
  </si>
  <si>
    <t>C:\Users\franc\OneDrive\Documentos\MALENTIN KARIME\VTA. PROPIEDAD\2014\INSTRUCCIONES BERNABE HARDT.doc</t>
  </si>
  <si>
    <t>C:\Users\franc\OneDrive\Documentos\MALENTIN KARIME\VTA. PROPIEDAD\2014\INSTRUCCIONES AROLDO TELLO.doc</t>
  </si>
  <si>
    <t>C:\Users\franc\OneDrive\Documentos\MALENTIN KARIME\VTA. PROPIEDAD\2014\HUGO DIAZ BRITO Y ANA DIAZ  Con agua.doc</t>
  </si>
  <si>
    <t>C:\Users\franc\OneDrive\Documentos\MALENTIN KARIME\VTA. PROPIEDAD\2014\HECTOR VELOZO INOSTROZA 7A 25.doc</t>
  </si>
  <si>
    <t>C:\Users\franc\OneDrive\Documentos\MALENTIN KARIME\VTA. PROPIEDAD\2014\HECTOR VELOZO INOSTROZA 7A 24.doc</t>
  </si>
  <si>
    <t>C:\Users\franc\OneDrive\Documentos\MALENTIN KARIME\VTA. PROPIEDAD\2014\GREGORIO PORTILLA A Leandro Gallardo MINUTA Maritza R.doc</t>
  </si>
  <si>
    <t>C:\Users\franc\OneDrive\Documentos\MALENTIN KARIME\VTA. PROPIEDAD\2014\FRANCISCA ARAYA DIAZ Y OTRA A Elizabeth Jimenez.doc</t>
  </si>
  <si>
    <t>C:\Users\franc\OneDrive\Documentos\MALENTIN KARIME\VTA. PROPIEDAD\2014\FLORA TAPIA A Blanca Tapia minuta.doc</t>
  </si>
  <si>
    <t>C:\Users\franc\OneDrive\Documentos\MALENTIN KARIME\VTA. PROPIEDAD\2014\FANTINA BRICENO A SUSANA ROJAS Cony adm.doc</t>
  </si>
  <si>
    <t>C:\Users\franc\OneDrive\Documentos\MALENTIN KARIME\VTA. PROPIEDAD\2014\ELIZABETH VARGAS JOFRE cvta usufructo.doc</t>
  </si>
  <si>
    <t>C:\Users\franc\OneDrive\Documentos\MALENTIN KARIME\VTA. PROPIEDAD\2014\EDUARDO VIGORENA MANCILLA 100 Derechos.doc</t>
  </si>
  <si>
    <t>C:\Users\franc\OneDrive\Documentos\MALENTIN KARIME\VTA. PROPIEDAD\2014\EDUARDO ARAYA ROJAS A Viviana Cortes Rivera Art 150.doc</t>
  </si>
  <si>
    <t>C:\Users\franc\OneDrive\Documentos\MALENTIN KARIME\VTA. PROPIEDAD\2014\EDMUNDO LOYOLA Cony autoriza.doc</t>
  </si>
  <si>
    <t>C:\Users\franc\OneDrive\Documentos\MALENTIN KARIME\VTA. PROPIEDAD\2014\DUALDO CONTRERAS  AVILA A Adelina Albornoz CVTA USUFRUC.doc</t>
  </si>
  <si>
    <t>C:\Users\franc\OneDrive\Documentos\MALENTIN KARIME\VTA. PROPIEDAD\2014\DIGNA ROJAS ARAYA 100 Derechos.doc</t>
  </si>
  <si>
    <t>C:\Users\franc\OneDrive\Documentos\MALENTIN KARIME\VTA. PROPIEDAD\2014\DAVID USEDO ROJAS Y ART 150.doc</t>
  </si>
  <si>
    <t>C:\Users\franc\OneDrive\Documentos\MALENTIN KARIME\VTA. PROPIEDAD\2014\CLODOMIRO ALVAREZ herencia.doc</t>
  </si>
  <si>
    <t>C:\Users\franc\OneDrive\Documentos\MALENTIN KARIME\VTA. PROPIEDAD\2014\CLAUDIA VASQUEZ CASTILO A Elba Castillo  solteros.doc</t>
  </si>
  <si>
    <t>C:\Users\franc\OneDrive\Documentos\MALENTIN KARIME\VTA. PROPIEDAD\2014\CAROL CORTES ARAYA A LORENZO CORTES JOFRE Corporacion Judicical.doc</t>
  </si>
  <si>
    <t>C:\Users\franc\OneDrive\Documentos\MALENTIN KARIME\VTA. PROPIEDAD\2014\CARLOS CARVAJAL RODRIGUEZ 18 B 5.doc</t>
  </si>
  <si>
    <t>C:\Users\franc\OneDrive\Documentos\MALENTIN KARIME\VTA. PROPIEDAD\2014\CARLOS CARVAJAL RODRIGUEZ 18 B 3 sin poder.doc</t>
  </si>
  <si>
    <t>C:\Users\franc\OneDrive\Documentos\MALENTIN KARIME\VTA. PROPIEDAD\2014\CARLOS CARVAJAL RODRIGUEZ 18 B 14.doc</t>
  </si>
  <si>
    <t>C:\Users\franc\OneDrive\Documentos\MALENTIN KARIME\VTA. PROPIEDAD\2014\CARLOS CARVAJAL RODRIGUEZ 18 B 13 poder.doc</t>
  </si>
  <si>
    <t>C:\Users\franc\OneDrive\Documentos\MALENTIN KARIME\VTA. PROPIEDAD\2014\CARLOS CARVAJAL RODRIGUEZ 18 B 12 sin poder.doc</t>
  </si>
  <si>
    <t>C:\Users\franc\OneDrive\Documentos\MALENTIN KARIME\VTA. PROPIEDAD\2014\CARLOS CARVAJAL RODRIGUEZ 18 B 12 sin poder fianl.doc</t>
  </si>
  <si>
    <t>C:\Users\franc\OneDrive\Documentos\MALENTIN KARIME\VTA. PROPIEDAD\2014\CARLOS CARVAJAL RODRIGUEZ 18 B 10 poder.doc</t>
  </si>
  <si>
    <t>C:\Users\franc\OneDrive\Documentos\MALENTIN KARIME\VTA. PROPIEDAD\2014\CARLOS CARVAJAL RODRIGUEZ 18 B 1 poder.doc</t>
  </si>
  <si>
    <t>C:\Users\franc\OneDrive\Documentos\MALENTIN KARIME\VTA. PROPIEDAD\2014\CARLOS CARVAJAL RODRIGUEZ 18 A 2 modelo.doc</t>
  </si>
  <si>
    <t>C:\Users\franc\OneDrive\Documentos\MALENTIN KARIME\VTA. PROPIEDAD\2014\CARLOS CARVAJAL RODRIGUEZ 18 A 12.doc</t>
  </si>
  <si>
    <t>C:\Users\franc\OneDrive\Documentos\MALENTIN KARIME\VTA. PROPIEDAD\2014\CARLOS CARVAJAL Recibo de Dinero.doc</t>
  </si>
  <si>
    <t>C:\Users\franc\OneDrive\Documentos\MALENTIN KARIME\VTA. PROPIEDAD\2014\ATANASIO ALFARO A Zaida Aguilera CVTA USUFRUC.doc</t>
  </si>
  <si>
    <t>C:\Users\franc\OneDrive\Documentos\MALENTIN KARIME\VTA. PROPIEDAD\2014\ANIBAL CUELLO RAMIREZ.doc</t>
  </si>
  <si>
    <t>C:\Users\franc\OneDrive\Documentos\MALENTIN KARIME\VTA. PROPIEDAD\YESSICA GONZALEZ A RAFAEL ARAYA.doc</t>
  </si>
  <si>
    <t>C:\Users\franc\OneDrive\Documentos\MALENTIN KARIME\VTA. PROPIEDAD\XIMENA ABBOTT LARRAIN.doc</t>
  </si>
  <si>
    <t>C:\Users\franc\OneDrive\Documentos\MALENTIN KARIME\VTA. PROPIEDAD\VIVIANA ARAYA HIDALGO A ULISES OCHOA MOROSO.doc</t>
  </si>
  <si>
    <t>C:\Users\franc\OneDrive\Documentos\MALENTIN KARIME\VTA. PROPIEDAD\UVALDO LEYTON ALFARO A SANDRA LEYTON autoriza cónyuge.doc</t>
  </si>
  <si>
    <t>C:\Users\franc\OneDrive\Documentos\MALENTIN KARIME\VTA. PROPIEDAD\URSULA LUTTGUES A  JUAN ARAYA Proh.Legal.doc</t>
  </si>
  <si>
    <t>C:\Users\franc\OneDrive\Documentos\MALENTIN KARIME\VTA. PROPIEDAD\TERESA CORTES TELLO A PAMELA GONZALEZ.doc</t>
  </si>
  <si>
    <t>C:\Users\franc\OneDrive\Documentos\MALENTIN KARIME\VTA. PROPIEDAD\TASACIONES Y SERVICIOS INMOBILIARIOS LTDA..doc</t>
  </si>
  <si>
    <t>C:\Users\franc\OneDrive\Documentos\MALENTIN KARIME\VTA. PROPIEDAD\SYLVIA FLORES ALVAREZ Con agua.doc</t>
  </si>
  <si>
    <t>C:\Users\franc\OneDrive\Documentos\MALENTIN KARIME\VTA. PROPIEDAD\SYLVIA ELENA A RODRIGO  ALCAYA Proh.Legal Terreno.doc</t>
  </si>
  <si>
    <t>C:\Users\franc\OneDrive\Documentos\MALENTIN KARIME\VTA. PROPIEDAD\sucesion IRMA GONZALEZ Y VICTOR.doc</t>
  </si>
  <si>
    <t>C:\Users\franc\OneDrive\Documentos\MALENTIN KARIME\VTA. PROPIEDAD\SUCESION BUGUEÑO TELLO.doc</t>
  </si>
  <si>
    <t>C:\Users\franc\OneDrive\Documentos\MALENTIN KARIME\VTA. PROPIEDAD\SUCESION AMELIA MEDALLA DELSO Derechos.doc</t>
  </si>
  <si>
    <t>C:\Users\franc\OneDrive\Documentos\MALENTIN KARIME\VTA. PROPIEDAD\SILVIA PLAZA OROSTEGUI A Orieta Cisternas.doc</t>
  </si>
  <si>
    <t>C:\Users\franc\OneDrive\Documentos\MALENTIN KARIME\VTA. PROPIEDAD\SERGIO PASCUAL a Bernardo Barraza 100 Derechos.doc</t>
  </si>
  <si>
    <t>C:\Users\franc\OneDrive\Documentos\MALENTIN KARIME\VTA. PROPIEDAD\SANDRA GAETE OLMEDO A ANA ARENAS solteros.doc</t>
  </si>
  <si>
    <t>C:\Users\franc\OneDrive\Documentos\MALENTIN KARIME\VTA. PROPIEDAD\SANDRA GAETE OLMEDO A Ana Arenas Miranda.doc</t>
  </si>
  <si>
    <t>C:\Users\franc\OneDrive\Documentos\MALENTIN KARIME\VTA. PROPIEDAD\SANDRA GAETE OLMEDO A Ana Arenas Miranda AUTOCONTRATAR.doc</t>
  </si>
  <si>
    <t>C:\Users\franc\OneDrive\Documentos\MALENTIN KARIME\VTA. PROPIEDAD\SAMUEL VILLARROEL A Ella solteros.doc</t>
  </si>
  <si>
    <t>C:\Users\franc\OneDrive\Documentos\MALENTIN KARIME\VTA. PROPIEDAD\ROSA VARAS ROBLES A Ceferino Segovia Solteras.doc</t>
  </si>
  <si>
    <t>C:\Users\franc\OneDrive\Documentos\MALENTIN KARIME\VTA. PROPIEDAD\ROSA TAPIA A SILVA URQUETA Conyuge Administrador.doc</t>
  </si>
  <si>
    <t>C:\Users\franc\OneDrive\Documentos\MALENTIN KARIME\VTA. PROPIEDAD\ROSA OCHOA PAEZ Sucesion y p.p.doc</t>
  </si>
  <si>
    <t>C:\Users\franc\OneDrive\Documentos\MALENTIN KARIME\VTA. PROPIEDAD\ROSA CORTES RUBINA A CINTIHA ROJAS RIVERA.doc</t>
  </si>
  <si>
    <t>C:\Users\franc\OneDrive\Documentos\MALENTIN KARIME\VTA. PROPIEDAD\ROSA CORTES A ABEL CORTES.doc</t>
  </si>
  <si>
    <t>C:\Users\franc\OneDrive\Documentos\MALENTIN KARIME\VTA. PROPIEDAD\ROSA CASTILLO GENERAL A MIGUEL GODOY Minuta Luis gallardo.doc</t>
  </si>
  <si>
    <t>C:\Users\franc\OneDrive\Documentos\MALENTIN KARIME\VTA. PROPIEDAD\RENE GODOY A GALVARINO GONZALEZ Monte Patria Minuta.doc</t>
  </si>
  <si>
    <t>C:\Users\franc\OneDrive\Documentos\MALENTIN KARIME\VTA. PROPIEDAD\RAUL MALUENDA A Massiel Maluenda Cvta Usufructo.doc</t>
  </si>
  <si>
    <t>C:\Users\franc\OneDrive\Documentos\MALENTIN KARIME\VTA. PROPIEDAD\RAUL CONTRERAS A mery contreras ubillo usufructo.doc</t>
  </si>
  <si>
    <t>C:\Users\franc\OneDrive\Documentos\MALENTIN KARIME\VTA. PROPIEDAD\PEDRO ROJO A HUGO DIAZ Servd.doc</t>
  </si>
  <si>
    <t>C:\Users\franc\OneDrive\Documentos\MALENTIN KARIME\VTA. PROPIEDAD\PEDRO PIÑONES ANTIQUERA A PEDRO VEGA.doc</t>
  </si>
  <si>
    <t>C:\Users\franc\OneDrive\Documentos\MALENTIN KARIME\VTA. PROPIEDAD\PATRICIO JIMENEZ A LUIS ARAYA.doc</t>
  </si>
  <si>
    <t>C:\Users\franc\OneDrive\Documentos\MALENTIN KARIME\VTA. PROPIEDAD\PATRICIA VALENZUELA ARAYA.doc</t>
  </si>
  <si>
    <t>C:\Users\franc\OneDrive\Documentos\MALENTIN KARIME\VTA. PROPIEDAD\PAMELA CAMPOS DIAZ Derechos.doc</t>
  </si>
  <si>
    <t>C:\Users\franc\OneDrive\Documentos\MALENTIN KARIME\VTA. PROPIEDAD\OSCAR FERNANDEZ MORA.doc</t>
  </si>
  <si>
    <t>C:\Users\franc\OneDrive\Documentos\MALENTIN KARIME\VTA. PROPIEDAD\OSCAR FERNANDEZ MORA Instrucciones.doc</t>
  </si>
  <si>
    <t>C:\Users\franc\OneDrive\Documentos\MALENTIN KARIME\VTA. PROPIEDAD\ORLANDA DIAZ A IVAN JAIME solteros DERECHOS.doc</t>
  </si>
  <si>
    <t>C:\Users\franc\OneDrive\Documentos\MALENTIN KARIME\VTA. PROPIEDAD\NORBERTO DIAZ DIAZ A MARINA ELGUEDA ARAYAProh.Legal.doc</t>
  </si>
  <si>
    <t>C:\Users\franc\OneDrive\Documentos\MALENTIN KARIME\VTA. PROPIEDAD\NOELFA TAPIA A Susana Morales solteros.doc</t>
  </si>
  <si>
    <t>C:\Users\franc\OneDrive\Documentos\MALENTIN KARIME\VTA. PROPIEDAD\NEVA PEÑA CERECEDA  Minuta l. Gallardo.doc</t>
  </si>
  <si>
    <t>C:\Users\franc\OneDrive\Documentos\MALENTIN KARIME\VTA. PROPIEDAD\NELIDA IRENE ZUMARAN PROH LEGAL.doc</t>
  </si>
  <si>
    <t>C:\Users\franc\OneDrive\Documentos\MALENTIN KARIME\VTA. PROPIEDAD\NEIDA CARVAJAL A JULIO ANTIÑIR solteros.doc</t>
  </si>
  <si>
    <t>C:\Users\franc\OneDrive\Documentos\MALENTIN KARIME\VTA. PROPIEDAD\MODELO CVTA Conyuge.doc</t>
  </si>
  <si>
    <t>C:\Users\franc\OneDrive\Documentos\MALENTIN KARIME\VTA. PROPIEDAD\MIRIAM SEGOVIA QUEVEDO A VICTOR SILVA Y OTROS.doc</t>
  </si>
  <si>
    <t>C:\Users\franc\OneDrive\Documentos\MALENTIN KARIME\VTA. PROPIEDAD\MILTON MALDONADO Y OTRO a Carlos Montiel.doc</t>
  </si>
  <si>
    <t>C:\Users\franc\OneDrive\Documentos\MALENTIN KARIME\VTA. PROPIEDAD\MELANIA CABELLO BARRAZA  Conyuge Administrador.doc</t>
  </si>
  <si>
    <t>C:\Users\franc\OneDrive\Documentos\MALENTIN KARIME\VTA. PROPIEDAD\MAUREEN VALENCIA GUZMAN A Paulina Galvez Agosto 13.doc</t>
  </si>
  <si>
    <t>C:\Users\franc\OneDrive\Documentos\MALENTIN KARIME\VTA. PROPIEDAD\MATILDE ZEPEDA A Emilia Zepeda.doc</t>
  </si>
  <si>
    <t>C:\Users\franc\OneDrive\Documentos\MALENTIN KARIME\VTA. PROPIEDAD\MARÍA SOLEDAD.doc</t>
  </si>
  <si>
    <t>C:\Users\franc\OneDrive\Documentos\MALENTIN KARIME\VTA. PROPIEDAD\MARIO CESPEDES MUÑOZ sucesion.doc</t>
  </si>
  <si>
    <t>C:\Users\franc\OneDrive\Documentos\MALENTIN KARIME\VTA. PROPIEDAD\MARIANA PLAZA A NILDA PLAZA.doc</t>
  </si>
  <si>
    <t>C:\Users\franc\OneDrive\Documentos\MALENTIN KARIME\VTA. PROPIEDAD\MARIA TAPIA OSSANDON A CARLOS AGUIRRE Conyuge Administrador.doc</t>
  </si>
  <si>
    <t>C:\Users\franc\OneDrive\Documentos\MALENTIN KARIME\VTA. PROPIEDAD\MARIA ROJAS GONZALEZ A PATRICIO CORTES.doc</t>
  </si>
  <si>
    <t>C:\Users\franc\OneDrive\Documentos\MALENTIN KARIME\VTA. PROPIEDAD\MARIA ROJAS CRUZ Y OTRA A Margarita Bugueño Derechos.doc</t>
  </si>
  <si>
    <t>C:\Users\franc\OneDrive\Documentos\MALENTIN KARIME\VTA. PROPIEDAD\MARIA MUÑOZ CISTERNAS A LADYS ROJAS MUÑOZ cvta usufructo.doc</t>
  </si>
  <si>
    <t>C:\Users\franc\OneDrive\Documentos\MALENTIN KARIME\VTA. PROPIEDAD\MARIA ISABEL GONZALEZ A JOSE MORALES MUÑOZ.doc</t>
  </si>
  <si>
    <t>C:\Users\franc\OneDrive\Documentos\MALENTIN KARIME\VTA. PROPIEDAD\MARIA HERNANDEZ LEYTON A LUIS CORTES.doc</t>
  </si>
  <si>
    <t>C:\Users\franc\OneDrive\Documentos\MALENTIN KARIME\VTA. PROPIEDAD\MARIA GEMITA NOVOA PALACIOS a LIDIA FLORES Solteras.doc</t>
  </si>
  <si>
    <t>C:\Users\franc\OneDrive\Documentos\MALENTIN KARIME\VTA. PROPIEDAD\MARIA CORTES A VANESSA MUÑOZ.doc</t>
  </si>
  <si>
    <t>C:\Users\franc\OneDrive\Documentos\MALENTIN KARIME\VTA. PROPIEDAD\MARIA ANGEL ARTAL A ALDO SALINAS  Proh.Legal.doc</t>
  </si>
  <si>
    <t>C:\Users\franc\OneDrive\Documentos\MALENTIN KARIME\VTA. PROPIEDAD\MARIA AGUIRRE ARAYA  A Daniel Araya y otro cvta usufructo.doc</t>
  </si>
  <si>
    <t>C:\Users\franc\OneDrive\Documentos\MALENTIN KARIME\VTA. PROPIEDAD\MARIA AGUIRRE ARAYA  A Daniel Araya y Derechos.doc</t>
  </si>
  <si>
    <t>C:\Users\franc\OneDrive\Documentos\MALENTIN KARIME\VTA. PROPIEDAD\MARIA AGUIRRE A PETRONILA VELASQUEZ.doc</t>
  </si>
  <si>
    <t>C:\Users\franc\OneDrive\Documentos\MALENTIN KARIME\VTA. PROPIEDAD\MARGARITA DONOSO ARAYA A Carlos Rivera cvta usufructo.doc</t>
  </si>
  <si>
    <t>C:\Users\franc\OneDrive\Documentos\MALENTIN KARIME\VTA. PROPIEDAD\MARGARITA BRAVO A CARMEN VALDIVIA Solteras.doc</t>
  </si>
  <si>
    <t>C:\Users\franc\OneDrive\Documentos\MALENTIN KARIME\VTA. PROPIEDAD\MANUEL ROBLES ARAYA a Angel Robles C.doc</t>
  </si>
  <si>
    <t>C:\Users\franc\OneDrive\Documentos\MALENTIN KARIME\VTA. PROPIEDAD\MANAGEMET LTDA.Ç.doc</t>
  </si>
  <si>
    <t>C:\Users\franc\OneDrive\Documentos\MALENTIN KARIME\VTA. PROPIEDAD\LUZ CORONADO A OCTAVIO MIRANDA.doc</t>
  </si>
  <si>
    <t>C:\Users\franc\OneDrive\Documentos\MALENTIN KARIME\VTA. PROPIEDAD\LUIS PIZARRO A MARIA BARRAZA.doc</t>
  </si>
  <si>
    <t>C:\Users\franc\OneDrive\Documentos\MALENTIN KARIME\VTA. PROPIEDAD\LUIS OLIVARES OLIVARES A ALBINA ORELLANA autoriza cónyuge.doc</t>
  </si>
  <si>
    <t>C:\Users\franc\OneDrive\Documentos\MALENTIN KARIME\VTA. PROPIEDAD\LUIS JOFRE GONZALEZ Subd Minuta Orlando Gallardo.doc</t>
  </si>
  <si>
    <t>C:\Users\franc\OneDrive\Documentos\MALENTIN KARIME\VTA. PROPIEDAD\LUIS FLORES A SAUL INOSTROZACony autoriza.doc</t>
  </si>
  <si>
    <t>C:\Users\franc\OneDrive\Documentos\MALENTIN KARIME\VTA. PROPIEDAD\LUIS AURELIO OLIVARES O A ALBINA ORELLANA MOLINA Derechos.doc</t>
  </si>
  <si>
    <t>C:\Users\franc\OneDrive\Documentos\MALENTIN KARIME\VTA. PROPIEDAD\LUIS  INOSTROZA BRIONES A ALAMIRO BRIONES VARAS.doc</t>
  </si>
  <si>
    <t>C:\Users\franc\OneDrive\Documentos\MALENTIN KARIME\VTA. PROPIEDAD\LUCY ASTUDILLO MICHEA.doc</t>
  </si>
  <si>
    <t>C:\Users\franc\OneDrive\Documentos\MALENTIN KARIME\VTA. PROPIEDAD\LORENZO CORTES JOFRE Corporacion Judicical.doc</t>
  </si>
  <si>
    <t>C:\Users\franc\OneDrive\Documentos\MALENTIN KARIME\VTA. PROPIEDAD\LORENA SANDOVAL VELOSO A Lilian MirandaProh.Legal.doc</t>
  </si>
  <si>
    <t>C:\Users\franc\OneDrive\Documentos\MALENTIN KARIME\VTA. PROPIEDAD\LISSETTE CERVA CORTES  A DILIA CARVAJAL Sep bienes.doc</t>
  </si>
  <si>
    <t>C:\Users\franc\OneDrive\Documentos\MALENTIN KARIME\VTA. PROPIEDAD\LIDIA DEL ROSARIO CISTERNA A Juan lara Cisterna Cvta usufructo.doc</t>
  </si>
  <si>
    <t>C:\Users\franc\OneDrive\Documentos\MALENTIN KARIME\VTA. PROPIEDAD\LEONIDES CORTES A MARITZA MICHEA.doc</t>
  </si>
  <si>
    <t>C:\Users\franc\OneDrive\Documentos\MALENTIN KARIME\VTA. PROPIEDAD\LAURA FUENTEALBA A Clemente Fuentealba.doc</t>
  </si>
  <si>
    <t>C:\Users\franc\OneDrive\Documentos\MALENTIN KARIME\VTA. PROPIEDAD\LAURA ELGUEDA CORTES.doc</t>
  </si>
  <si>
    <t>C:\Users\franc\OneDrive\Documentos\MALENTIN KARIME\VTA. PROPIEDAD\JUANA OLIVARES ARAYA A JUAN RAMOS.doc</t>
  </si>
  <si>
    <t>C:\Users\franc\OneDrive\Documentos\MALENTIN KARIME\VTA. PROPIEDAD\JUANA CAMPOS A ISABEL TORRES solteros.doc</t>
  </si>
  <si>
    <t>C:\Users\franc\OneDrive\Documentos\MALENTIN KARIME\VTA. PROPIEDAD\JUANA ARAYA OYARCE A ESIQUIEL CORTES Conyuge Administrador.doc</t>
  </si>
  <si>
    <t>C:\Users\franc\OneDrive\Documentos\MALENTIN KARIME\VTA. PROPIEDAD\JUAN VELASQUEZ VASQUEZ  Subdivision.doc</t>
  </si>
  <si>
    <t>C:\Users\franc\OneDrive\Documentos\MALENTIN KARIME\VTA. PROPIEDAD\JUAN PORTILLA ALBURQUENQUE A Empresa Individual  LOTE 8.doc</t>
  </si>
  <si>
    <t>C:\Users\franc\OneDrive\Documentos\MALENTIN KARIME\VTA. PROPIEDAD\JUAN PONCE A JANBIER PONCE Aut conyuge.doc</t>
  </si>
  <si>
    <t>C:\Users\franc\OneDrive\Documentos\MALENTIN KARIME\VTA. PROPIEDAD\JUAN DE DIOS A MARIANA PLAZA.doc</t>
  </si>
  <si>
    <t>C:\Users\franc\OneDrive\Documentos\MALENTIN KARIME\VTA. PROPIEDAD\JUAN CORTES BUGUEÑO A ELBA BUGUEÑO RIVERA Derechos.doc</t>
  </si>
  <si>
    <t>C:\Users\franc\OneDrive\Documentos\MALENTIN KARIME\VTA. PROPIEDAD\JUAN COLLAO ARAYA A Sandra Collao Proh.Legal.doc</t>
  </si>
  <si>
    <t>C:\Users\franc\OneDrive\Documentos\MALENTIN KARIME\VTA. PROPIEDAD\JUAN COLLAO ARAYA A Janette Collao Proh.Legal.doc</t>
  </si>
  <si>
    <t>C:\Users\franc\OneDrive\Documentos\MALENTIN KARIME\VTA. PROPIEDAD\JUAN CASTILLO CARVAJAL A MIRIAM MONARDEZ GOMEZh.Legal.doc</t>
  </si>
  <si>
    <t>C:\Users\franc\OneDrive\Documentos\MALENTIN KARIME\VTA. PROPIEDAD\JUAN CASTILLO CARVAJAL A MIGUEL MALUENDA NARANJOProh.Legal.doc</t>
  </si>
  <si>
    <t>C:\Users\franc\OneDrive\Documentos\MALENTIN KARIME\VTA. PROPIEDAD\JUAN AHUMADA VARGAS Y OTROS A MARIETTA URQUIETA Minuta C. Araya.doc</t>
  </si>
  <si>
    <t>C:\Users\franc\OneDrive\Documentos\MALENTIN KARIME\VTA. PROPIEDAD\JOSE SEGOVIA NARANJO A SANDRA SEGOVIA vta con usufructo.doc</t>
  </si>
  <si>
    <t>C:\Users\franc\OneDrive\Documentos\MALENTIN KARIME\VTA. PROPIEDAD\JOSE GODOY GODOY A LUIS GODOY OTROvta con usufructo.doc</t>
  </si>
  <si>
    <t>C:\Users\franc\OneDrive\Documentos\MALENTIN KARIME\VTA. PROPIEDAD\JOSE CONTRERAS GALLARDO A Pamela Pizarro (COMUNIDAD AGR PUNITAQUI).doc</t>
  </si>
  <si>
    <t>C:\Users\franc\OneDrive\Documentos\MALENTIN KARIME\VTA. PROPIEDAD\JOSE CARVAJAL ULLOA Comprador.doc</t>
  </si>
  <si>
    <t>C:\Users\franc\OneDrive\Documentos\MALENTIN KARIME\VTA. PROPIEDAD\JOSE CAIMANQUE CASTILLO.doc</t>
  </si>
  <si>
    <t>C:\Users\franc\OneDrive\Documentos\MALENTIN KARIME\VTA. PROPIEDAD\JORGE MORALES A CARLOS VEGA cvta usufructo.doc</t>
  </si>
  <si>
    <t>C:\Users\franc\OneDrive\Documentos\MALENTIN KARIME\VTA. PROPIEDAD\JOAQUIN ARAYA VERGARA A ANDRES ARAYA ROJA  Cony autoriza.doc</t>
  </si>
  <si>
    <t>C:\Users\franc\OneDrive\Documentos\MALENTIN KARIME\VTA. PROPIEDAD\JESUS VENEGAS OLIVARES A  BERTA CORTES solteros.doc</t>
  </si>
  <si>
    <t>C:\Users\franc\OneDrive\Documentos\MALENTIN KARIME\VTA. PROPIEDAD\JACQUELINE PALTA VARAS A WILFREDO RIVERA conyuge Administrador.doc</t>
  </si>
  <si>
    <t>C:\Users\franc\OneDrive\Documentos\MALENTIN KARIME\VTA. PROPIEDAD\JACOB MUNDACA GUERRERO A GLENDA ALVAREZ autoriza cónyuge.doc</t>
  </si>
  <si>
    <t>C:\Users\franc\OneDrive\Documentos\MALENTIN KARIME\VTA. PROPIEDAD\JACINTO SEGOVIA MILLA Soltero.doc</t>
  </si>
  <si>
    <t>C:\Users\franc\OneDrive\Documentos\MALENTIN KARIME\VTA. PROPIEDAD\IVAN ROBLES CARVAJAL Bienes Nac.doc</t>
  </si>
  <si>
    <t>C:\Users\franc\OneDrive\Documentos\MALENTIN KARIME\VTA. PROPIEDAD\IVAN BOLADOS ARAYA Minuta C. Ardiles.doc</t>
  </si>
  <si>
    <t>C:\Users\franc\OneDrive\Documentos\MALENTIN KARIME\VTA. PROPIEDAD\ISMAEL CARRASCO GUERRA.doc</t>
  </si>
  <si>
    <t>C:\Users\franc\OneDrive\Documentos\MALENTIN KARIME\VTA. PROPIEDAD\ISABEL VALDIVIA VEGA A Carlos Guzmán cvta usufructo.doc</t>
  </si>
  <si>
    <t>C:\Users\franc\OneDrive\Documentos\MALENTIN KARIME\VTA. PROPIEDAD\IRIS TAPIA CUELLO A LORENA ARAYA solteros.doc</t>
  </si>
  <si>
    <t>C:\Users\franc\OneDrive\Documentos\MALENTIN KARIME\VTA. PROPIEDAD\Inventario Luis Jofre Vega.doc</t>
  </si>
  <si>
    <t>C:\Users\franc\OneDrive\Documentos\MALENTIN KARIME\VTA. PROPIEDAD\INSTRUCCIONES ARSEN GRIGORIAN.doc</t>
  </si>
  <si>
    <t>C:\Users\franc\OneDrive\Documentos\MALENTIN KARIME\VTA. PROPIEDAD\INSTRUCCIONES ARANCIBIA FLORES.doc</t>
  </si>
  <si>
    <t>C:\Users\franc\OneDrive\Documentos\MALENTIN KARIME\VTA. PROPIEDAD\HUMBERTO SALINAS A ANA CODOCEO solteros.doc</t>
  </si>
  <si>
    <t>C:\Users\franc\OneDrive\Documentos\MALENTIN KARIME\VTA. PROPIEDAD\HUMBERTO CUELLO A Jimena Berrios 150.doc</t>
  </si>
  <si>
    <t>C:\Users\franc\OneDrive\Documentos\MALENTIN KARIME\VTA. PROPIEDAD\HUGO YAÑEZ A REGINALDO AGUILERA.doc</t>
  </si>
  <si>
    <t>C:\Users\franc\OneDrive\Documentos\MALENTIN KARIME\VTA. PROPIEDAD\HORACIO DEL ROSARIO LOPEZ.doc</t>
  </si>
  <si>
    <t>C:\Users\franc\OneDrive\Documentos\MALENTIN KARIME\VTA. PROPIEDAD\HORACIO DEL ROSARIO LOPEZ II Promesa.doc</t>
  </si>
  <si>
    <t>C:\Users\franc\OneDrive\Documentos\MALENTIN KARIME\VTA. PROPIEDAD\HORACIO DEL ROSARIO LOPEZ A NELSON CASTILLO vta..doc</t>
  </si>
  <si>
    <t>C:\Users\franc\OneDrive\Documentos\MALENTIN KARIME\VTA. PROPIEDAD\HORACIO DEL ROSARIO LOPEZ A Juan Santelicaes vta..doc</t>
  </si>
  <si>
    <t>C:\Users\franc\OneDrive\Documentos\MALENTIN KARIME\VTA. PROPIEDAD\HERMOGENES GUERRERO JOFRE Y OTROS autoriza cónyuge.doc</t>
  </si>
  <si>
    <t>C:\Users\franc\OneDrive\Documentos\MALENTIN KARIME\VTA. PROPIEDAD\GUSTAVO CORTEZ ROJAS A ERICA LAYANA.doc</t>
  </si>
  <si>
    <t>C:\Users\franc\OneDrive\Documentos\MALENTIN KARIME\VTA. PROPIEDAD\GUILLERMO CORTES HUERTA A ELSA CORTES PIZARRO.doc</t>
  </si>
  <si>
    <t>C:\Users\franc\OneDrive\Documentos\MALENTIN KARIME\VTA. PROPIEDAD\GUILLE CODOCEO A ORIEL ARAYA Minuta JOSE GOMILA.doc</t>
  </si>
  <si>
    <t>C:\Users\franc\OneDrive\Documentos\MALENTIN KARIME\VTA. PROPIEDAD\GUILERMO ROJAS DELGADO A LUIS BRUNADerechos.doc</t>
  </si>
  <si>
    <t>C:\Users\franc\OneDrive\Documentos\MALENTIN KARIME\VTA. PROPIEDAD\GRIGORIAN ARSEN A FRANCISCO PEREZ.doc</t>
  </si>
  <si>
    <t>C:\Users\franc\OneDrive\Documentos\MALENTIN KARIME\VTA. PROPIEDAD\GONZALO CORTES A Gonzalo Antonio Cortes 100 Derechos.doc</t>
  </si>
  <si>
    <t>C:\Users\franc\OneDrive\Documentos\MALENTIN KARIME\VTA. PROPIEDAD\GLEN GLONZALEZ A Kely Marambio.doc</t>
  </si>
  <si>
    <t>C:\Users\franc\OneDrive\Documentos\MALENTIN KARIME\VTA. PROPIEDAD\GLADYS NAVARRO A LUIS NAVARRO.doc</t>
  </si>
  <si>
    <t>C:\Users\franc\OneDrive\Documentos\MALENTIN KARIME\VTA. PROPIEDAD\GLADYS LOPEZ A CONSUELO PARRA cvta usufructo.doc</t>
  </si>
  <si>
    <t>C:\Users\franc\OneDrive\Documentos\MALENTIN KARIME\VTA. PROPIEDAD\GABRIELA ALVARADO ARAYA 100 Derechos.doc</t>
  </si>
  <si>
    <t>C:\Users\franc\OneDrive\Documentos\MALENTIN KARIME\VTA. PROPIEDAD\GABRIEL BRAVO CORTES A Rodrigo Zarate y otros Cony autoriza.doc</t>
  </si>
  <si>
    <t>C:\Users\franc\OneDrive\Documentos\MALENTIN KARIME\VTA. PROPIEDAD\GABRIEL BRAVO CORTES A GONZAO BRAVOCony autoriza.doc</t>
  </si>
  <si>
    <t>C:\Users\franc\OneDrive\Documentos\MALENTIN KARIME\VTA. PROPIEDAD\FRANCISCO GONZALEZ A MARIA CARVAJAL Minuta María Ines.doc</t>
  </si>
  <si>
    <t>C:\Users\franc\OneDrive\Documentos\MALENTIN KARIME\VTA. PROPIEDAD\FRANCISCO FARIAS A LORENA ARAYA.doc</t>
  </si>
  <si>
    <t>C:\Users\franc\OneDrive\Documentos\MALENTIN KARIME\VTA. PROPIEDAD\FLORA RAMIREZ Subdivision.doc</t>
  </si>
  <si>
    <t>C:\Users\franc\OneDrive\Documentos\MALENTIN KARIME\VTA. PROPIEDAD\ESCRITURA COMPRAVENTA WALTER JOFRE Y OTRA A CARLOS ARAYA MORALES.doc</t>
  </si>
  <si>
    <t>C:\Users\franc\OneDrive\Documentos\MALENTIN KARIME\VTA. PROPIEDAD\ERASMO BERRIOS ALFARO.doc</t>
  </si>
  <si>
    <t>C:\Users\franc\OneDrive\Documentos\MALENTIN KARIME\VTA. PROPIEDAD\EMA TORO CARVAJAL (COMUNIDAD AGR PUNITAQUI).doc</t>
  </si>
  <si>
    <t>C:\Users\franc\OneDrive\Documentos\MALENTIN KARIME\VTA. PROPIEDAD\ELENA RIVERA ROJAS A NANCY MERCADO Conyuge Administrador.doc</t>
  </si>
  <si>
    <t>C:\Users\franc\OneDrive\Documentos\MALENTIN KARIME\VTA. PROPIEDAD\ELENA RIVERA ROJAS A NANCY MERCADO Conyuge Administrador   Final.doc</t>
  </si>
  <si>
    <t>C:\Users\franc\OneDrive\Documentos\MALENTIN KARIME\VTA. PROPIEDAD\EDUARDO RIVERA GALLARDO solteros.doc</t>
  </si>
  <si>
    <t>C:\Users\franc\OneDrive\Documentos\MALENTIN KARIME\VTA. PROPIEDAD\EDUARDO JULIO GALLARDO A Patricia JulioCony autoriza.doc</t>
  </si>
  <si>
    <t>C:\Users\franc\OneDrive\Documentos\MALENTIN KARIME\VTA. PROPIEDAD\EDUARDO DEL CARMEN AGUILERA RIVERA.doc</t>
  </si>
  <si>
    <t>C:\Users\franc\OneDrive\Documentos\MALENTIN KARIME\VTA. PROPIEDAD\EDUARDO AROS JOFRE Subd Minuta Orlando Gallardo.doc</t>
  </si>
  <si>
    <t>C:\Users\franc\OneDrive\Documentos\MALENTIN KARIME\VTA. PROPIEDAD\EDUARDO ARAYA SANTANDER cvta usufructo.doc</t>
  </si>
  <si>
    <t>C:\Users\franc\OneDrive\Documentos\MALENTIN KARIME\VTA. PROPIEDAD\DUALDO CONTRERAS A Eduardo Contreras.doc</t>
  </si>
  <si>
    <t>C:\Users\franc\OneDrive\Documentos\MALENTIN KARIME\VTA. PROPIEDAD\DOMINGO YAÑEZ A FABIAN YAÑEZ.doc</t>
  </si>
  <si>
    <t>C:\Users\franc\OneDrive\Documentos\MALENTIN KARIME\VTA. PROPIEDAD\DOLLY TABILO A NANCY MERCADO.doc</t>
  </si>
  <si>
    <t>C:\Users\franc\OneDrive\Documentos\MALENTIN KARIME\VTA. PROPIEDAD\DOLLY TABILO A NANCY MERCADO borrador.doc</t>
  </si>
  <si>
    <t>C:\Users\franc\OneDrive\Documentos\MALENTIN KARIME\VTA. PROPIEDAD\CRISTINA VILLALOBOS ROJAS A Daniela Astorga solteros.doc</t>
  </si>
  <si>
    <t>C:\Users\franc\OneDrive\Documentos\MALENTIN KARIME\VTA. PROPIEDAD\CRISTIAN GALLARDO A MARISOL MEDINACony autoriza.doc</t>
  </si>
  <si>
    <t>C:\Users\franc\OneDrive\Documentos\MALENTIN KARIME\VTA. PROPIEDAD\CRISTIAN CACERES CARO A MASSIEL ARANCIBIA Y OTRA Minuta.doc</t>
  </si>
  <si>
    <t>C:\Users\franc\OneDrive\Documentos\MALENTIN KARIME\VTA. PROPIEDAD\CRISTIAN ARAYA A LUCINDA ROJAS.doc</t>
  </si>
  <si>
    <t>C:\Users\franc\OneDrive\Documentos\MALENTIN KARIME\VTA. PROPIEDAD\COMERCIAL GIBSON LIMITADA.doc</t>
  </si>
  <si>
    <t>C:\Users\franc\OneDrive\Documentos\MALENTIN KARIME\VTA. PROPIEDAD\COMERCIAL E INVERSIONES AMELIA MIRANDA.doc</t>
  </si>
  <si>
    <t>C:\Users\franc\OneDrive\Documentos\MALENTIN KARIME\VTA. PROPIEDAD\CERTIFICO promesa.doc</t>
  </si>
  <si>
    <t>C:\Users\franc\OneDrive\Documentos\MALENTIN KARIME\VTA. PROPIEDAD\CECILIA ANDRADE MONARDES Compradora.doc</t>
  </si>
  <si>
    <t>C:\Users\franc\OneDrive\Documentos\MALENTIN KARIME\VTA. PROPIEDAD\CARMEN MIRANDA MIRANDA Solteras.doc</t>
  </si>
  <si>
    <t>C:\Users\franc\OneDrive\Documentos\MALENTIN KARIME\VTA. PROPIEDAD\CARMEN JORQUERA BUGUEÑO A Waldo Ledezma cony administrador tierra y agua.doc</t>
  </si>
  <si>
    <t>C:\Users\franc\OneDrive\Documentos\MALENTIN KARIME\VTA. PROPIEDAD\CARLOS TAPIA GARCIA A CARLOS LETELIER Cony autoriza.doc</t>
  </si>
  <si>
    <t>C:\Users\franc\OneDrive\Documentos\MALENTIN KARIME\VTA. PROPIEDAD\CARLOS MARAMBIO A BERNARDITA MARAMBIO Derechos.doc</t>
  </si>
  <si>
    <t>C:\Users\franc\OneDrive\Documentos\MALENTIN KARIME\VTA. PROPIEDAD\CARLOS CARVAJAL RODRIGUEZ PC 18 C.doc</t>
  </si>
  <si>
    <t>C:\Users\franc\OneDrive\Documentos\MALENTIN KARIME\VTA. PROPIEDAD\CARLOS CARVAJAL RODRIGUEZ p.p. 18 A 5.doc</t>
  </si>
  <si>
    <t>C:\Users\franc\OneDrive\Documentos\MALENTIN KARIME\VTA. PROPIEDAD\CARLOS CARVAJAL RODRIGUEZ Nueva Foresta B.doc</t>
  </si>
  <si>
    <t>C:\Users\franc\OneDrive\Documentos\MALENTIN KARIME\VTA. PROPIEDAD\CARLOS CARVAJAL RODRIGUEZ lote f.doc</t>
  </si>
  <si>
    <t>C:\Users\franc\OneDrive\Documentos\MALENTIN KARIME\VTA. PROPIEDAD\CARLOS CARVAJAL RODRIGUEZ lOTE 18 F.doc</t>
  </si>
  <si>
    <t>C:\Users\franc\OneDrive\Documentos\MALENTIN KARIME\VTA. PROPIEDAD\CARLOS CARVAJAL RODRIGUEZ A ZAIDA MUNDACA.doc</t>
  </si>
  <si>
    <t>C:\Users\franc\OneDrive\Documentos\MALENTIN KARIME\VTA. PROPIEDAD\CARLOS CARVAJAL RODRIGUEZ A VIRJINIA JINEZ 42.doc</t>
  </si>
  <si>
    <t>C:\Users\franc\OneDrive\Documentos\MALENTIN KARIME\VTA. PROPIEDAD\CARLOS CARVAJAL RODRIGUEZ A SERGIO SALINAS  33.doc</t>
  </si>
  <si>
    <t>C:\Users\franc\OneDrive\Documentos\MALENTIN KARIME\VTA. PROPIEDAD\CARLOS CARVAJAL RODRIGUEZ A SERGIO LEON  31.doc</t>
  </si>
  <si>
    <t>C:\Users\franc\OneDrive\Documentos\MALENTIN KARIME\VTA. PROPIEDAD\CARLOS CARVAJAL RODRIGUEZ A SARA LANAS VEGA 43.doc</t>
  </si>
  <si>
    <t>C:\Users\franc\OneDrive\Documentos\MALENTIN KARIME\VTA. PROPIEDAD\CARLOS CARVAJAL RODRIGUEZ A ROGELIO PIZARRO Y OTRA.doc</t>
  </si>
  <si>
    <t>C:\Users\franc\OneDrive\Documentos\MALENTIN KARIME\VTA. PROPIEDAD\CARLOS CARVAJAL RODRIGUEZ A ROBERTO PIÑONES 41.doc</t>
  </si>
  <si>
    <t>C:\Users\franc\OneDrive\Documentos\MALENTIN KARIME\VTA. PROPIEDAD\CARLOS CARVAJAL RODRIGUEZ A PATRICIO DIAZ GALLEGUILLOS.doc</t>
  </si>
  <si>
    <t>C:\Users\franc\OneDrive\Documentos\MALENTIN KARIME\VTA. PROPIEDAD\CARLOS CARVAJAL RODRIGUEZ A OSVALDO GERALDO 26.doc</t>
  </si>
  <si>
    <t>C:\Users\franc\OneDrive\Documentos\MALENTIN KARIME\VTA. PROPIEDAD\CARLOS CARVAJAL RODRIGUEZ A mauricio gutierrez pp 18 4.doc</t>
  </si>
  <si>
    <t>C:\Users\franc\OneDrive\Documentos\MALENTIN KARIME\VTA. PROPIEDAD\CARLOS CARVAJAL RODRIGUEZ A MARILUZ GARCIA pp 18-19.doc</t>
  </si>
  <si>
    <t>C:\Users\franc\OneDrive\Documentos\MALENTIN KARIME\VTA. PROPIEDAD\CARLOS CARVAJAL RODRIGUEZ A MARIANO ALUCEMA GARCIA.doc</t>
  </si>
  <si>
    <t>C:\Users\franc\OneDrive\Documentos\MALENTIN KARIME\VTA. PROPIEDAD\CARLOS CARVAJAL RODRIGUEZ A MARIANELA SOLIS 30.doc</t>
  </si>
  <si>
    <t>C:\Users\franc\OneDrive\Documentos\MALENTIN KARIME\VTA. PROPIEDAD\CARLOS CARVAJAL RODRIGUEZ A MARIA ACEITUNO POZO.doc</t>
  </si>
  <si>
    <t>C:\Users\franc\OneDrive\Documentos\MALENTIN KARIME\VTA. PROPIEDAD\CARLOS CARVAJAL RODRIGUEZ A Luis Veliz Salgado 18 B Nueva modelo.doc</t>
  </si>
  <si>
    <t>C:\Users\franc\OneDrive\Documentos\MALENTIN KARIME\VTA. PROPIEDAD\CARLOS CARVAJAL RODRIGUEZ A LORENA RAMIREZ.doc</t>
  </si>
  <si>
    <t>C:\Users\franc\OneDrive\Documentos\MALENTIN KARIME\VTA. PROPIEDAD\CARLOS CARVAJAL RODRIGUEZ A JULIO ROJAS Y OTRO.doc</t>
  </si>
  <si>
    <t>C:\Users\franc\OneDrive\Documentos\MALENTIN KARIME\VTA. PROPIEDAD\CARLOS CARVAJAL RODRIGUEZ A JUAN ANTONIO ACUÑA.doc</t>
  </si>
  <si>
    <t>C:\Users\franc\OneDrive\Documentos\MALENTIN KARIME\VTA. PROPIEDAD\CARLOS CARVAJAL RODRIGUEZ A JOSE PEREZ DIAZ 20.doc</t>
  </si>
  <si>
    <t>C:\Users\franc\OneDrive\Documentos\MALENTIN KARIME\VTA. PROPIEDAD\CARLOS CARVAJAL RODRIGUEZ A JAIME PEREZ 34.doc</t>
  </si>
  <si>
    <t>C:\Users\franc\OneDrive\Documentos\MALENTIN KARIME\VTA. PROPIEDAD\CARLOS CARVAJAL RODRIGUEZ A HERMAN VARAS 29.doc</t>
  </si>
  <si>
    <t>C:\Users\franc\OneDrive\Documentos\MALENTIN KARIME\VTA. PROPIEDAD\CARLOS CARVAJAL RODRIGUEZ A GUSTAVO GONZALEZ 23.doc</t>
  </si>
  <si>
    <t>C:\Users\franc\OneDrive\Documentos\MALENTIN KARIME\VTA. PROPIEDAD\CARLOS CARVAJAL RODRIGUEZ A GABRIEL MANRIQUEZ 25 Y OTRA.doc</t>
  </si>
  <si>
    <t>C:\Users\franc\OneDrive\Documentos\MALENTIN KARIME\VTA. PROPIEDAD\CARLOS CARVAJAL RODRIGUEZ A FREDDY SAAVEDRA CASTILLO Y otros 20.doc</t>
  </si>
  <si>
    <t>C:\Users\franc\OneDrive\Documentos\MALENTIN KARIME\VTA. PROPIEDAD\CARLOS CARVAJAL RODRIGUEZ a ELDA CARRASCO D 2.doc</t>
  </si>
  <si>
    <t>C:\Users\franc\OneDrive\Documentos\MALENTIN KARIME\VTA. PROPIEDAD\CARLOS CARVAJAL RODRIGUEZ A EDUARDO LUTZ VALENZUELA pp 15.doc</t>
  </si>
  <si>
    <t>C:\Users\franc\OneDrive\Documentos\MALENTIN KARIME\VTA. PROPIEDAD\CARLOS CARVAJAL RODRIGUEZ A Eduardo Cortes 18 A 24.doc</t>
  </si>
  <si>
    <t>C:\Users\franc\OneDrive\Documentos\MALENTIN KARIME\VTA. PROPIEDAD\CARLOS CARVAJAL RODRIGUEZ a DANIEL PAUVIF Y OTRO L18F.doc</t>
  </si>
  <si>
    <t>C:\Users\franc\OneDrive\Documentos\MALENTIN KARIME\VTA. PROPIEDAD\CARLOS CARVAJAL RODRIGUEZ A CRISTIAN  ALVARADO 39.doc</t>
  </si>
  <si>
    <t>C:\Users\franc\OneDrive\Documentos\MALENTIN KARIME\VTA. PROPIEDAD\CARLOS CARVAJAL RODRIGUEZ A CLEOPATRA MENESES  38.doc</t>
  </si>
  <si>
    <t>C:\Users\franc\OneDrive\Documentos\MALENTIN KARIME\VTA. PROPIEDAD\CARLOS CARVAJAL RODRIGUEZ A CARMEN VIVAR CONCHA 32.doc</t>
  </si>
  <si>
    <t>C:\Users\franc\OneDrive\Documentos\MALENTIN KARIME\VTA. PROPIEDAD\CARLOS CARVAJAL RODRIGUEZ A CARMEN ARAYA PINTO 36,37.doc</t>
  </si>
  <si>
    <t>C:\Users\franc\OneDrive\Documentos\MALENTIN KARIME\VTA. PROPIEDAD\CARLOS CARVAJAL RODRIGUEZ A BRYAN SARMIENTO.doc</t>
  </si>
  <si>
    <t>C:\Users\franc\OneDrive\Documentos\MALENTIN KARIME\VTA. PROPIEDAD\CARLOS CARVAJAL RODRIGUEZ A ALVERTA SILVA.doc</t>
  </si>
  <si>
    <t>C:\Users\franc\OneDrive\Documentos\MALENTIN KARIME\VTA. PROPIEDAD\CARLOS CARVAJAL RODRIGUEZ A ALVERTA SILVA 47.doc</t>
  </si>
  <si>
    <t>C:\Users\franc\OneDrive\Documentos\MALENTIN KARIME\VTA. PROPIEDAD\CARLOS CARVAJAL RODRIGUEZ A ALFREDO SANTANDER 27 Y 28.doc</t>
  </si>
  <si>
    <t>C:\Users\franc\OneDrive\Documentos\MALENTIN KARIME\VTA. PROPIEDAD\CARLOS CARVAJAL RODRIGUEZ A Alex Lopez Millalonco Nueva Foresta B.doc</t>
  </si>
  <si>
    <t>C:\Users\franc\OneDrive\Documentos\MALENTIN KARIME\VTA. PROPIEDAD\CARLOS CARVAJAL RODRIGUEZ A  CLAUDIA NARANJO 18 C.doc</t>
  </si>
  <si>
    <t>C:\Users\franc\OneDrive\Documentos\MALENTIN KARIME\VTA. PROPIEDAD\CARLOS CARVAJAL RODRIGUEZ 18 B Nueva modelo.doc</t>
  </si>
  <si>
    <t>C:\Users\franc\OneDrive\Documentos\MALENTIN KARIME\varios de colegas\SUCESION CASTILLO IBACACHE judicial especial.doc</t>
  </si>
  <si>
    <t>C:\Users\franc\OneDrive\Documentos\MALENTIN KARIME\varios de colegas\Regl_Coprop_edificio.doc</t>
  </si>
  <si>
    <t>C:\Users\franc\OneDrive\Documentos\MALENTIN KARIME\varios de colegas\PROMESA E HIPOTECA JUNIO 14.doc</t>
  </si>
  <si>
    <t>C:\Users\franc\OneDrive\Documentos\MALENTIN KARIME\varios de colegas\PROMESA DE COMPRAVENTA MELLADO A NORTEANDIONO LOTE 0, 5 HAS 17.06.14-3.doc</t>
  </si>
  <si>
    <t>C:\Users\franc\OneDrive\Documentos\MALENTIN KARIME\varios de colegas\MANDATO JUDICIAL NUEVO.doc</t>
  </si>
  <si>
    <t>C:\Users\franc\OneDrive\Documentos\MALENTIN KARIME\varios de colegas\JUAN DURAND CAFFARENA A CECILIA CASTILLO TORREs.doc</t>
  </si>
  <si>
    <t>C:\Users\franc\OneDrive\Documentos\MALENTIN KARIME\varios de colegas\EXTRACTO SOC. AGROIND. Y TRANSP. VALLE DE TULAHUEN LTDA.doc</t>
  </si>
  <si>
    <t>C:\Users\franc\OneDrive\Documentos\MALENTIN KARIME\varios de colegas\Escritura pública de complementación Jorge Araya García a Banco de Chile.doc</t>
  </si>
  <si>
    <t>C:\Users\franc\OneDrive\Documentos\MALENTIN KARIME\varios de colegas\ESCRITURA CAROLNA ACUu00D1A.doc</t>
  </si>
  <si>
    <t>C:\Users\franc\OneDrive\Documentos\MALENTIN KARIME\varios de colegas\ESCRITURA CAROLINA ACUu00D1A.doc</t>
  </si>
  <si>
    <t>C:\Users\franc\OneDrive\Documentos\MALENTIN KARIME\varios de colegas\EP 260814 Mto Especial Promesas CV Lote 2 Ovalle Pacal a Gonzalo Zamorano Not Raby Rep 10868.pdf</t>
  </si>
  <si>
    <t>C:\Users\franc\OneDrive\Documentos\MALENTIN KARIME\varios de colegas\ELNOTA~1.DOC</t>
  </si>
  <si>
    <t>C:\Users\franc\OneDrive\Documentos\MALENTIN KARIME\varios de colegas\DEYSI CORTES.doc</t>
  </si>
  <si>
    <t>C:\Users\franc\OneDrive\Documentos\MALENTIN KARIME\varios de colegas\Compraventa Imprenta.doc</t>
  </si>
  <si>
    <t>C:\Users\franc\OneDrive\Documentos\MALENTIN KARIME\varios de colegas\CARLOS CARVAJAL RODRIGUEZ A Luis Veliz SalgadoLOTE 12 Nueva modelo.doc</t>
  </si>
  <si>
    <t>C:\Users\franc\OneDrive\Documentos\MALENTIN KARIME\varios de colegas\CARLOS CARVAJAL RODRIGUEZ A Luis Veliz Salgado 18 B Nueva modelo.doc</t>
  </si>
  <si>
    <t>C:\Users\franc\OneDrive\Documentos\MALENTIN KARIME\varios de colegas\CARLOS CARVAJAL RODRIGUEZ 18 B Nueva modelo.doc</t>
  </si>
  <si>
    <t>C:\Users\franc\OneDrive\Documentos\MALENTIN KARIME\varios de colegas\CARLOS CARVAJAL RODRIGUEZ 18 A 5-6MODELO CON CLAUSULA ESPECIAL abogado.doc</t>
  </si>
  <si>
    <t>C:\Users\franc\OneDrive\Documentos\MALENTIN KARIME\varios de colegas\AGRICOLA ROJAS  Sp A   09.05.14.doc</t>
  </si>
  <si>
    <t>C:\Users\franc\OneDrive\Documentos\MALENTIN KARIME\varios de colegas\ACTA REUNION DIRECTORIO 2015-1.doc</t>
  </si>
  <si>
    <t>C:\Users\franc\OneDrive\Documentos\MALENTIN KARIME\varios\TOMAS ELGUETA A Laura Elgueta.doc</t>
  </si>
  <si>
    <t>C:\Users\franc\OneDrive\Documentos\MALENTIN KARIME\varios\TITO BUGUEÑO.doc</t>
  </si>
  <si>
    <t>C:\Users\franc\OneDrive\Documentos\MALENTIN KARIME\varios\texto saneamiento.doc</t>
  </si>
  <si>
    <t>C:\Users\franc\OneDrive\Documentos\MALENTIN KARIME\varios\SOCIEDAD AGRICOLA LOS NOGALES Y MAL PASO Contrato uva.doc</t>
  </si>
  <si>
    <t>C:\Users\franc\OneDrive\Documentos\MALENTIN KARIME\varios\Sobre.doc</t>
  </si>
  <si>
    <t>C:\Users\franc\OneDrive\Documentos\MALENTIN KARIME\varios\Sobre PARTICULAR.doc</t>
  </si>
  <si>
    <t>C:\Users\franc\OneDrive\Documentos\MALENTIN KARIME\varios\Sobre CORPBANCA.doc</t>
  </si>
  <si>
    <t>C:\Users\franc\OneDrive\Documentos\MALENTIN KARIME\varios\Sobre COOPEUCH.doc</t>
  </si>
  <si>
    <t>C:\Users\franc\OneDrive\Documentos\MALENTIN KARIME\varios\SOBRE chico.doc</t>
  </si>
  <si>
    <t>C:\Users\franc\OneDrive\Documentos\MALENTIN KARIME\varios\Sobre BANCO.doc</t>
  </si>
  <si>
    <t>C:\Users\franc\OneDrive\Documentos\MALENTIN KARIME\varios\SIN EFECTO.doc</t>
  </si>
  <si>
    <t>C:\Users\franc\OneDrive\Documentos\MALENTIN KARIME\varios\SIN EFECTO retiro de firma.doc</t>
  </si>
  <si>
    <t>C:\Users\franc\OneDrive\Documentos\MALENTIN KARIME\varios\SIN EFECTO horiz 2.doc</t>
  </si>
  <si>
    <t>C:\Users\franc\OneDrive\Documentos\MALENTIN KARIME\varios\SIN EFECTO horiz 1.doc</t>
  </si>
  <si>
    <t>C:\Users\franc\OneDrive\Documentos\MALENTIN KARIME\varios\ROBERTO VEGA.doc</t>
  </si>
  <si>
    <t>C:\Users\franc\OneDrive\Documentos\MALENTIN KARIME\varios\retiro testamento.doc</t>
  </si>
  <si>
    <t>C:\Users\franc\OneDrive\Documentos\MALENTIN KARIME\varios\RAUL GALLEGUILLOS. ACDO DIVORCIO. OVALLE. ABRIL 2013.doc</t>
  </si>
  <si>
    <t>C:\Users\franc\OneDrive\Documentos\MALENTIN KARIME\varios\protocolizacion.doc</t>
  </si>
  <si>
    <t>C:\Users\franc\OneDrive\Documentos\MALENTIN KARIME\varios\PODER Serviu.doc</t>
  </si>
  <si>
    <t>C:\Users\franc\OneDrive\Documentos\MALENTIN KARIME\varios\PARENTESCO UNO.doc</t>
  </si>
  <si>
    <t>C:\Users\franc\OneDrive\Documentos\MALENTIN KARIME\varios\OFICIO SII.doc</t>
  </si>
  <si>
    <t>C:\Users\franc\OneDrive\Documentos\MALENTIN KARIME\varios\notificacion.doc</t>
  </si>
  <si>
    <t>C:\Users\franc\OneDrive\Documentos\MALENTIN KARIME\varios\notificacion FACTOTOAL.doc</t>
  </si>
  <si>
    <t>C:\Users\franc\OneDrive\Documentos\MALENTIN KARIME\varios\NOTA MARGEN Nueva.doc</t>
  </si>
  <si>
    <t>C:\Users\franc\OneDrive\Documentos\MALENTIN KARIME\varios\nota al margen.doc</t>
  </si>
  <si>
    <t>C:\Users\franc\OneDrive\Documentos\MALENTIN KARIME\varios\nota al margen segunda carilla.doc</t>
  </si>
  <si>
    <t>C:\Users\franc\OneDrive\Documentos\MALENTIN KARIME\varios\nota al margen primera carilla.doc</t>
  </si>
  <si>
    <t>C:\Users\franc\OneDrive\Documentos\MALENTIN KARIME\varios\nota al margen matriz1.doc</t>
  </si>
  <si>
    <t>C:\Users\franc\OneDrive\Documentos\MALENTIN KARIME\varios\nota al margen matriz.doc</t>
  </si>
  <si>
    <t>C:\Users\franc\OneDrive\Documentos\MALENTIN KARIME\varios\nota al margen matriz protocolizado.doc</t>
  </si>
  <si>
    <t>C:\Users\franc\OneDrive\Documentos\MALENTIN KARIME\varios\nota al margen matriz 22.doc</t>
  </si>
  <si>
    <t>C:\Users\franc\OneDrive\Documentos\MALENTIN KARIME\varios\nota al margen ERRROR.doc</t>
  </si>
  <si>
    <t>C:\Users\franc\OneDrive\Documentos\MALENTIN KARIME\varios\nota al margen ERROR BIMESTRE.doc</t>
  </si>
  <si>
    <t>C:\Users\franc\OneDrive\Documentos\MALENTIN KARIME\varios\nota al margen de rect.doc</t>
  </si>
  <si>
    <t>C:\Users\franc\OneDrive\Documentos\MALENTIN KARIME\varios\nota al margen de rat.doc</t>
  </si>
  <si>
    <t>C:\Users\franc\OneDrive\Documentos\MALENTIN KARIME\varios\nota al margen de rat 2.doc</t>
  </si>
  <si>
    <t>C:\Users\franc\OneDrive\Documentos\MALENTIN KARIME\varios\Nota al margen complementación antigua.doc</t>
  </si>
  <si>
    <t>C:\Users\franc\OneDrive\Documentos\MALENTIN KARIME\varios\nota al margen benedicto.doc</t>
  </si>
  <si>
    <t>C:\Users\franc\OneDrive\Documentos\MALENTIN KARIME\varios\nota al margen 3.doc</t>
  </si>
  <si>
    <t>C:\Users\franc\OneDrive\Documentos\MALENTIN KARIME\varios\nota a ruego.doc</t>
  </si>
  <si>
    <t>C:\Users\franc\OneDrive\Documentos\MALENTIN KARIME\varios\MINUTA Roberto Muñoz Rojas y otro.doc</t>
  </si>
  <si>
    <t>C:\Users\franc\OneDrive\Documentos\MALENTIN KARIME\varios\minuta al conservador VIRGINIA AGUILERA.doc</t>
  </si>
  <si>
    <t>C:\Users\franc\OneDrive\Documentos\MALENTIN KARIME\varios\minuta al conservador RAUL JORQUERA Y OTROS.doc</t>
  </si>
  <si>
    <t>C:\Users\franc\OneDrive\Documentos\MALENTIN KARIME\varios\minuta al conservador NORA VEGA.doc</t>
  </si>
  <si>
    <t>C:\Users\franc\OneDrive\Documentos\MALENTIN KARIME\varios\minuta al conservador INVERSIONES URBANA RIO LIMARI.doc</t>
  </si>
  <si>
    <t>C:\Users\franc\OneDrive\Documentos\MALENTIN KARIME\varios\minuta al conservador error.doc</t>
  </si>
  <si>
    <t>C:\Users\franc\OneDrive\Documentos\MALENTIN KARIME\varios\minuta al conservador ELIANA GONZALEZ.doc</t>
  </si>
  <si>
    <t>C:\Users\franc\OneDrive\Documentos\MALENTIN KARIME\varios\minuta al conservador ALBERTO STIEPOVICH.doc</t>
  </si>
  <si>
    <t>C:\Users\franc\OneDrive\Documentos\MALENTIN KARIME\varios\minuta al conservador AGRICOLA MAL PASO DEL LIMAR.doc</t>
  </si>
  <si>
    <t>C:\Users\franc\OneDrive\Documentos\MALENTIN KARIME\varios\minuta al conservador  DOBLE M.doc</t>
  </si>
  <si>
    <t>C:\Users\franc\OneDrive\Documentos\MALENTIN KARIME\varios\margen der e izq.doc</t>
  </si>
  <si>
    <t>C:\Users\franc\OneDrive\Documentos\MALENTIN KARIME\varios\MANDATO SII GILDA CANIHUANTE.doc</t>
  </si>
  <si>
    <t>C:\Users\franc\OneDrive\Documentos\MALENTIN KARIME\varios\mandato ARRIENDO CASA Juan Carlos Vega.doc</t>
  </si>
  <si>
    <t>C:\Users\franc\OneDrive\Documentos\MALENTIN KARIME\varios\Mandato 1.doc</t>
  </si>
  <si>
    <t>C:\Users\franc\OneDrive\Documentos\MALENTIN KARIME\varios\LUCILA BUGUEÑO Y Freddy Tapia ACUERDO ALIMENTOS.doc</t>
  </si>
  <si>
    <t>C:\Users\franc\OneDrive\Documentos\MALENTIN KARIME\varios\JEAN PONCE DE LEON.doc</t>
  </si>
  <si>
    <t>C:\Users\franc\OneDrive\Documentos\MALENTIN KARIME\varios\INSTRUCCIÓN pagare.doc</t>
  </si>
  <si>
    <t>C:\Users\franc\OneDrive\Documentos\MALENTIN KARIME\varios\Estado civil Serrano.doc</t>
  </si>
  <si>
    <t>C:\Users\franc\OneDrive\Documentos\MALENTIN KARIME\varios\EMMA ROJAS Minuta plano.doc</t>
  </si>
  <si>
    <t>C:\Users\franc\OneDrive\Documentos\MALENTIN KARIME\varios\DOCUMENTOS NECESARIOS PARA UNA VENTA.doc</t>
  </si>
  <si>
    <t>C:\Users\franc\OneDrive\Documentos\MALENTIN KARIME\varios\DOCUMENTOS NECESARIOS PARA UNA Cesion.doc</t>
  </si>
  <si>
    <t>C:\Users\franc\OneDrive\Documentos\MALENTIN KARIME\varios\doc adjuntos vengtas.doc</t>
  </si>
  <si>
    <t>C:\Users\franc\OneDrive\Documentos\MALENTIN KARIME\varios\DESAFECTACION DE BIEN FAMILIAR definitivo.doc</t>
  </si>
  <si>
    <t>C:\Users\franc\OneDrive\Documentos\MALENTIN KARIME\varios\DECLARACION Ariel.doc</t>
  </si>
  <si>
    <t>C:\Users\franc\OneDrive\Documentos\MALENTIN KARIME\varios\Copia de PROTOCOLIZADOS.xls</t>
  </si>
  <si>
    <t>C:\Users\franc\OneDrive\Documentos\MALENTIN KARIME\varios\Contrato de Suministro con Garantía Cinabrio julio 2012.doc</t>
  </si>
  <si>
    <t>C:\Users\franc\OneDrive\Documentos\MALENTIN KARIME\varios\Constancia.doc</t>
  </si>
  <si>
    <t>C:\Users\franc\OneDrive\Documentos\MALENTIN KARIME\varios\clausula SOLTERIA.doc</t>
  </si>
  <si>
    <t>C:\Users\franc\OneDrive\Documentos\MALENTIN KARIME\varios\clausula MANDATO.doc</t>
  </si>
  <si>
    <t>C:\Users\franc\OneDrive\Documentos\MALENTIN KARIME\varios\CIERRE3º BIMESTRE 2011.doc</t>
  </si>
  <si>
    <t>C:\Users\franc\OneDrive\Documentos\MALENTIN KARIME\varios\CIERRE BIMESTRE 6 2013.doc</t>
  </si>
  <si>
    <t>C:\Users\franc\OneDrive\Documentos\MALENTIN KARIME\varios\CIERRE BIMESTRE 5  2012.doc</t>
  </si>
  <si>
    <t>C:\Users\franc\OneDrive\Documentos\MALENTIN KARIME\varios\CIERRE BIMESTRE 4  2012.doc</t>
  </si>
  <si>
    <t>C:\Users\franc\OneDrive\Documentos\MALENTIN KARIME\varios\CIERRE BIMESTRE 2012.doc</t>
  </si>
  <si>
    <t>C:\Users\franc\OneDrive\Documentos\MALENTIN KARIME\varios\CIERRE BIMESTRE 2011.doc</t>
  </si>
  <si>
    <t>C:\Users\franc\OneDrive\Documentos\MALENTIN KARIME\varios\CIERRE 6°   BIMESTRE 2015.doc</t>
  </si>
  <si>
    <t>C:\Users\franc\OneDrive\Documentos\MALENTIN KARIME\varios\CIERRE 5º BIMESTRE 2013.doc</t>
  </si>
  <si>
    <t>C:\Users\franc\OneDrive\Documentos\MALENTIN KARIME\varios\CIERRE 5°   BIMESTRE 2015.doc</t>
  </si>
  <si>
    <t>C:\Users\franc\OneDrive\Documentos\MALENTIN KARIME\varios\CIERRE 5°   BIMESTRE 2014.doc</t>
  </si>
  <si>
    <t>C:\Users\franc\OneDrive\Documentos\MALENTIN KARIME\varios\CIERRE 4º BIMESTRE 2015.doc</t>
  </si>
  <si>
    <t>C:\Users\franc\OneDrive\Documentos\MALENTIN KARIME\varios\CIERRE 4º BIMESTRE 2014.doc</t>
  </si>
  <si>
    <t>C:\Users\franc\OneDrive\Documentos\MALENTIN KARIME\varios\CIERRE 4º BIMESTRE 2013.doc</t>
  </si>
  <si>
    <t>C:\Users\franc\OneDrive\Documentos\MALENTIN KARIME\varios\CIERRE 3º BIMESTRE 2015.doc</t>
  </si>
  <si>
    <t>C:\Users\franc\OneDrive\Documentos\MALENTIN KARIME\varios\CIERRE 3º BIMESTRE 2015 copia.doc</t>
  </si>
  <si>
    <t>C:\Users\franc\OneDrive\Documentos\MALENTIN KARIME\varios\CIERRE 3º BIMESTRE 2013.doc</t>
  </si>
  <si>
    <t>C:\Users\franc\OneDrive\Documentos\MALENTIN KARIME\varios\CIERRE 2º BIMESTRE 2015.doc</t>
  </si>
  <si>
    <t>C:\Users\franc\OneDrive\Documentos\MALENTIN KARIME\varios\CIERRE 2º BIMESTRE 2013.doc</t>
  </si>
  <si>
    <t>C:\Users\franc\OneDrive\Documentos\MALENTIN KARIME\varios\CIERRE 2º BIMESTRE 2011.doc</t>
  </si>
  <si>
    <t>C:\Users\franc\OneDrive\Documentos\MALENTIN KARIME\varios\CIERRE 1º BIMESTRE 2015.doc</t>
  </si>
  <si>
    <t>C:\Users\franc\OneDrive\Documentos\MALENTIN KARIME\varios\CIERRE 1º BIMESTRE 2011.doc</t>
  </si>
  <si>
    <t>C:\Users\franc\OneDrive\Documentos\MALENTIN KARIME\varios\CIERRE 1º 2013.doc</t>
  </si>
  <si>
    <t>C:\Users\franc\OneDrive\Documentos\MALENTIN KARIME\varios\CIERRE 1°   BIMESTRE 2017.doc</t>
  </si>
  <si>
    <t>C:\Users\franc\OneDrive\Documentos\MALENTIN KARIME\varios\CIERRE  6°   BIMESTRE 2014.doc</t>
  </si>
  <si>
    <t>C:\Users\franc\OneDrive\Documentos\MALENTIN KARIME\varios\CERTIF MATRIMONIO SIIOnline.doc</t>
  </si>
  <si>
    <t>C:\Users\franc\OneDrive\Documentos\MALENTIN KARIME\varios\CERTIF MATRIMONIO SIIOnline ISMAEL ARAYA.doc</t>
  </si>
  <si>
    <t>C:\Users\franc\OneDrive\Documentos\MALENTIN KARIME\varios\certif matrimonio registro.doc</t>
  </si>
  <si>
    <t>C:\Users\franc\OneDrive\Documentos\MALENTIN KARIME\varios\CERTFICADO Suplencia.doc</t>
  </si>
  <si>
    <t>C:\Users\franc\OneDrive\Documentos\MALENTIN KARIME\varios\CERTFICADO Corpbanca.doc</t>
  </si>
  <si>
    <t>C:\Users\franc\OneDrive\Documentos\MALENTIN KARIME\varios\CERT Divorcio.doc</t>
  </si>
  <si>
    <t>C:\Users\franc\OneDrive\Documentos\MALENTIN KARIME\varios\CARTA visto bueno2.doc</t>
  </si>
  <si>
    <t>C:\Users\franc\OneDrive\Documentos\MALENTIN KARIME\varios\CARTA visto bueno.doc</t>
  </si>
  <si>
    <t>C:\Users\franc\OneDrive\Documentos\MALENTIN KARIME\varios\CARTA visto bueno TRIBUNAL.doc</t>
  </si>
  <si>
    <t>C:\Users\franc\OneDrive\Documentos\MALENTIN KARIME\varios\CARTA visto bueno tesoreria.doc</t>
  </si>
  <si>
    <t>C:\Users\franc\OneDrive\Documentos\MALENTIN KARIME\varios\CARTA visto bueno corpt.doc</t>
  </si>
  <si>
    <t>C:\Users\franc\OneDrive\Documentos\MALENTIN KARIME\varios\CARTA visto bueno BCI.doc</t>
  </si>
  <si>
    <t>C:\Users\franc\OneDrive\Documentos\MALENTIN KARIME\varios\CARTA SERVIU.doc</t>
  </si>
  <si>
    <t>C:\Users\franc\OneDrive\Documentos\MALENTIN KARIME\varios\CARTA Serviu pesonal.doc</t>
  </si>
  <si>
    <t>C:\Users\franc\OneDrive\Documentos\MALENTIN KARIME\varios\CARTA REPERTORIO.doc</t>
  </si>
  <si>
    <t>C:\Users\franc\OneDrive\Documentos\MALENTIN KARIME\varios\CARTA PRENDA.doc</t>
  </si>
  <si>
    <t>C:\Users\franc\OneDrive\Documentos\MALENTIN KARIME\varios\CARTA PRENDA corpbanca.doc</t>
  </si>
  <si>
    <t>C:\Users\franc\OneDrive\Documentos\MALENTIN KARIME\varios\CARTA PODER SII JULIO MONTERO.doc</t>
  </si>
  <si>
    <t>C:\Users\franc\OneDrive\Documentos\MALENTIN KARIME\varios\CARTA LEASING.doc</t>
  </si>
  <si>
    <t>C:\Users\franc\OneDrive\Documentos\MALENTIN KARIME\varios\CARTA DGA.doc</t>
  </si>
  <si>
    <t>C:\Users\franc\OneDrive\Documentos\MALENTIN KARIME\varios\CARTA Coopeuch.doc</t>
  </si>
  <si>
    <t>C:\Users\franc\OneDrive\Documentos\MALENTIN KARIME\varios\CARTA conservador.doc</t>
  </si>
  <si>
    <t>C:\Users\franc\OneDrive\Documentos\MALENTIN KARIME\varios\CARTA BANCOESTADO.doc</t>
  </si>
  <si>
    <t>C:\Users\franc\OneDrive\Documentos\MALENTIN KARIME\varios\CARTA BANCHILE.doc</t>
  </si>
  <si>
    <t>C:\Users\franc\OneDrive\Documentos\MALENTIN KARIME\varios\CARTA ALZAMIENTO.doc</t>
  </si>
  <si>
    <t>C:\Users\franc\OneDrive\Documentos\MALENTIN KARIME\varios\CARTA ALZAMIENTO remate.doc</t>
  </si>
  <si>
    <t>C:\Users\franc\OneDrive\Documentos\MALENTIN KARIME\varios\CARTA ALZAMIENTO María Aguilera Castillo.doc</t>
  </si>
  <si>
    <t>C:\Users\franc\OneDrive\Documentos\MALENTIN KARIME\varios\CARTA ALZAMIENTO Ivan Milla.doc</t>
  </si>
  <si>
    <t>C:\Users\franc\OneDrive\Documentos\MALENTIN KARIME\varios\CARTA ALZAMIENTO Armando Carvajal.doc</t>
  </si>
  <si>
    <t>C:\Users\franc\OneDrive\Documentos\MALENTIN KARIME\varios\CARTA ALZAMIENTO 3.doc</t>
  </si>
  <si>
    <t>C:\Users\franc\OneDrive\Documentos\MALENTIN KARIME\varios\CARTA ALZAMIENTO 2.doc</t>
  </si>
  <si>
    <t>C:\Users\franc\OneDrive\Documentos\MALENTIN KARIME\varios\C.VENTA PATENTE.doc</t>
  </si>
  <si>
    <t>C:\Users\franc\OneDrive\Documentos\MALENTIN KARIME\varios\Autorizo la firma en Letras Cambio.doc</t>
  </si>
  <si>
    <t>C:\Users\franc\OneDrive\Documentos\MALENTIN KARIME\varios\Autorizo la firma DE PAGARE.doc</t>
  </si>
  <si>
    <t>C:\Users\franc\OneDrive\Documentos\MALENTIN KARIME\varios\Autorizo la firma DE PAGARE estampillas.doc</t>
  </si>
  <si>
    <t>C:\Users\franc\OneDrive\Documentos\MALENTIN KARIME\varios\Autorizo la firma de doña Carmen Luisa Videla Tello.doc</t>
  </si>
  <si>
    <t>C:\Users\franc\OneDrive\Documentos\MALENTIN KARIME\varios\Autorizo la firma de don MARIO EDUARDO BARRIOS BARRAZA.doc</t>
  </si>
  <si>
    <t>C:\Users\franc\OneDrive\Documentos\MALENTIN KARIME\varios\Autorizo la firma de don MARIO ALEJANDRO BARRIOS ROJAS.doc</t>
  </si>
  <si>
    <t>C:\Users\franc\OneDrive\Documentos\MALENTIN KARIME\varios\Autorizo la firma de don JUAN CLAUDIO LAGUNAS FLORES.doc</t>
  </si>
  <si>
    <t>C:\Users\franc\OneDrive\Documentos\MALENTIN KARIME\varios\Autorizo la firma de don CAMAL ANTONIO MUSALEM TAPIA.doc</t>
  </si>
  <si>
    <t>C:\Users\franc\OneDrive\Documentos\MALENTIN KARIME\varios\Autorizo la firma de  doña MONICA CARMEN TEDROS AGUILERA.doc</t>
  </si>
  <si>
    <t>C:\Users\franc\OneDrive\Documentos\MALENTIN KARIME\varios\Autorizo la firma de  doña MONICA CARMEN TEDROS AGUILERA por H G Y B.doc</t>
  </si>
  <si>
    <t>C:\Users\franc\OneDrive\Documentos\MALENTIN KARIME\varios\AUTORIZACION.doc</t>
  </si>
  <si>
    <t>C:\Users\franc\OneDrive\Documentos\MALENTIN KARIME\varios\AUTORIZACION ESCRITRUAS horizontal.doc</t>
  </si>
  <si>
    <t>C:\Users\franc\OneDrive\Documentos\MALENTIN KARIME\varios\AUTORIZACION ESCRITRUAS horizontal 2.doc</t>
  </si>
  <si>
    <t>C:\Users\franc\OneDrive\Documentos\MALENTIN KARIME\varios\AUTORIZACION ESCRITRUAS CON VIGENCIA.doc</t>
  </si>
  <si>
    <t>C:\Users\franc\OneDrive\Documentos\MALENTIN KARIME\varios\AUTORIZACION ESCRITRUAS CON VIGENCIA horizontal.doc</t>
  </si>
  <si>
    <t>C:\Users\franc\OneDrive\Documentos\MALENTIN KARIME\varios\ASGREGA IMPUESTO F-24.doc</t>
  </si>
  <si>
    <t>C:\Users\franc\OneDrive\Documentos\MALENTIN KARIME\varios\ASGREGA IMPUESTO F-23.doc</t>
  </si>
  <si>
    <t>C:\Users\franc\OneDrive\Documentos\MALENTIN KARIME\varios\APERTURA BIMESTRE.doc</t>
  </si>
  <si>
    <t>C:\Users\franc\OneDrive\Documentos\MALENTIN KARIME\varios\ANTONIO GALAZ A MIRZA ARAYA.doc</t>
  </si>
  <si>
    <t>C:\Users\franc\OneDrive\Documentos\MALENTIN KARIME\varios\AGREGA IMPUESTO.doc</t>
  </si>
  <si>
    <t>C:\Users\franc\OneDrive\Documentos\MALENTIN KARIME\varios\AGREGA IMPUESTO y F30.doc</t>
  </si>
  <si>
    <t>C:\Users\franc\OneDrive\Documentos\MALENTIN KARIME\varios\AGREGA IMPUESTO MUTUOBANCO SANTANDERdoc.doc</t>
  </si>
  <si>
    <t>C:\Users\franc\OneDrive\Documentos\MALENTIN KARIME\varios\AGREGA IMPUESTO F24.doc</t>
  </si>
  <si>
    <t>C:\Users\franc\OneDrive\Documentos\MALENTIN KARIME\varios\AGREGA IMPUESTO F24 y declaracion iva.doc</t>
  </si>
  <si>
    <t>C:\Users\franc\OneDrive\Documentos\MALENTIN KARIME\varios\Agrega impuesto f 24 copiado.doc</t>
  </si>
  <si>
    <t>C:\Users\franc\OneDrive\Documentos\MALENTIN KARIME\varios\ACUERDO-POCHOLAS.doc</t>
  </si>
  <si>
    <t>C:\Users\franc\OneDrive\Documentos\MALENTIN KARIME\varios\ACUERDO-ABETOS karime.doc</t>
  </si>
  <si>
    <t>C:\Users\franc\OneDrive\Documentos\MALENTIN KARIME\varios\ACTA VISITA 6º BIMESTRE 2011.doc</t>
  </si>
  <si>
    <t>C:\Users\franc\OneDrive\Documentos\MALENTIN KARIME\varios\ACTA VISITA 2º BIMESTRE 2012.doc</t>
  </si>
  <si>
    <t>C:\Users\franc\OneDrive\Documentos\MALENTIN KARIME\varios\ACTA VISITA 1º BIMESTRE 2012.doc</t>
  </si>
  <si>
    <t>C:\Users\franc\OneDrive\Documentos\MALENTIN KARIME\varios\ACTA  DE ENTREGA.doc</t>
  </si>
  <si>
    <t>C:\Users\franc\OneDrive\Documentos\MALENTIN KARIME\v\CONSERVADOR JAlfaro.doc</t>
  </si>
  <si>
    <t>C:\Users\franc\OneDrive\Documentos\MALENTIN KARIME\v\CONSERVADOR CFlores.doc</t>
  </si>
  <si>
    <t>C:\Users\franc\OneDrive\Documentos\MALENTIN KARIME\v\CARLOS FLORES A HIDROTEC Spa. ULTIMA VERSION.doc</t>
  </si>
  <si>
    <t>C:\Users\franc\OneDrive\Documentos\MALENTIN KARIME\v\CARLOS FLORES A HIDROTEC Spa. FINAL final final ULTIMO.doc</t>
  </si>
  <si>
    <t>C:\Users\franc\OneDrive\Documentos\MALENTIN KARIME\v\150319_Contrato de Arrendamiento_Quebrada Seca_Draft13_FB.doc</t>
  </si>
  <si>
    <t>C:\Users\franc\OneDrive\Documentos\MALENTIN KARIME\v\150318_Contrato arriendo Talquilla_para firma_FB-1.doc</t>
  </si>
  <si>
    <t>C:\Users\franc\OneDrive\Documentos\MALENTIN KARIME\USUFRUCTO\YENNY PEREIRA A AGUSTINA ALBANES Minuta.doc</t>
  </si>
  <si>
    <t>C:\Users\franc\OneDrive\Documentos\MALENTIN KARIME\USUFRUCTO\usufructo.doc</t>
  </si>
  <si>
    <t>C:\Users\franc\OneDrive\Documentos\MALENTIN KARIME\USUFRUCTO\TOMAS ELGUETA A LAURA ELGUETA Renuncia.doc</t>
  </si>
  <si>
    <t>C:\Users\franc\OneDrive\Documentos\MALENTIN KARIME\USUFRUCTO\SILVIA ARAYA CORTES A Herman Araya Cortes Renun D Uso.doc</t>
  </si>
  <si>
    <t>C:\Users\franc\OneDrive\Documentos\MALENTIN KARIME\USUFRUCTO\RAMONA ROJAS PASTEN A ISRAEL VALDIVIA.doc</t>
  </si>
  <si>
    <t>C:\Users\franc\OneDrive\Documentos\MALENTIN KARIME\USUFRUCTO\PEDRO CORTES ROBLES.doc</t>
  </si>
  <si>
    <t>C:\Users\franc\OneDrive\Documentos\MALENTIN KARIME\USUFRUCTO\LUZ OLIVARES Renuncia.doc</t>
  </si>
  <si>
    <t>C:\Users\franc\OneDrive\Documentos\MALENTIN KARIME\USUFRUCTO\JUANA LOPEZ ARAYA Resciliacion y renuncia.doc</t>
  </si>
  <si>
    <t>C:\Users\franc\OneDrive\Documentos\MALENTIN KARIME\USUFRUCTO\JAVIER CORTES AVILES.doc</t>
  </si>
  <si>
    <t>C:\Users\franc\OneDrive\Documentos\MALENTIN KARIME\USUFRUCTO\IVAN CASTILLO Resciliacion y renuncia.doc</t>
  </si>
  <si>
    <t>C:\Users\franc\OneDrive\Documentos\MALENTIN KARIME\USUFRUCTO\HUGO GUILLERMO ARAYA LARRAIN.doc</t>
  </si>
  <si>
    <t>C:\Users\franc\OneDrive\Documentos\MALENTIN KARIME\USUFRUCTO\HECTOR ESPINOSA Y ALBERTO ESPINOSA.doc</t>
  </si>
  <si>
    <t>C:\Users\franc\OneDrive\Documentos\MALENTIN KARIME\USUFRUCTO\ERNESTO CORTES CORTES Usufructo.doc</t>
  </si>
  <si>
    <t>C:\Users\franc\OneDrive\Documentos\MALENTIN KARIME\USUFRUCTO\EDUARDO ZEPEDA PEREZ Usufructo.doc</t>
  </si>
  <si>
    <t>C:\Users\franc\OneDrive\Documentos\MALENTIN KARIME\USUFRUCTO\EDUARDO ZEPEDA A CLARA BARRAZA Minuta.doc</t>
  </si>
  <si>
    <t>C:\Users\franc\OneDrive\Documentos\MALENTIN KARIME\USUFRUCTO\CRISTIAN LAZO A PATRICIA PIZARRO Minuta.doc</t>
  </si>
  <si>
    <t>C:\Users\franc\OneDrive\Documentos\MALENTIN KARIME\USUFRUCTO\CLAUDIO CORTES AVILES.doc</t>
  </si>
  <si>
    <t>C:\Users\franc\OneDrive\Documentos\MALENTIN KARIME\USUFRUCTO\ANA MARIA CERVA CORTES Renunc. Usufructo.doc</t>
  </si>
  <si>
    <t>C:\Users\franc\OneDrive\Documentos\MALENTIN KARIME\TRANSACCION\modelo transaccion.doc</t>
  </si>
  <si>
    <t>C:\Users\franc\OneDrive\Documentos\MALENTIN KARIME\TRANSACCION\LUIS RIVERA A PEDRO GALLARDO.doc</t>
  </si>
  <si>
    <t>C:\Users\franc\OneDrive\Documentos\MALENTIN KARIME\TRANSACCION\HECTOR CASTILLO A PEDRO GALLARDO.doc</t>
  </si>
  <si>
    <t>C:\Users\franc\OneDrive\Documentos\MALENTIN KARIME\TRANSACCION\DIKLODINA GONZALEZ A juan centellas trasaccion.doc</t>
  </si>
  <si>
    <t>C:\Users\franc\OneDrive\Documentos\MALENTIN KARIME\TRANSACCION\CLAUDIO TELLO Y VERONICA GONZALEZ cuidado personal.doc</t>
  </si>
  <si>
    <t>C:\Users\franc\OneDrive\Documentos\MALENTIN KARIME\TRANSACCION\CLAUDIA BURROWS ORTIZ y Patricio Pinto Villar.doc</t>
  </si>
  <si>
    <t>C:\Users\franc\OneDrive\Documentos\MALENTIN KARIME\TRANSACCION\CEGECAP.doc</t>
  </si>
  <si>
    <t>C:\Users\franc\OneDrive\Documentos\MALENTIN KARIME\TESTAMENTO\INFORME Testamentos\Formulario para Testamentos[2].doc</t>
  </si>
  <si>
    <t>C:\Users\franc\OneDrive\Documentos\MALENTIN KARIME\TESTAMENTO\INFORME Testamentos\Formulario para Testamentos[1].doc</t>
  </si>
  <si>
    <t>C:\Users\franc\OneDrive\Documentos\MALENTIN KARIME\TESTAMENTO\INFORME Testamentos\Formulario para Testamentos con testadores.doc</t>
  </si>
  <si>
    <t>C:\Users\franc\OneDrive\Documentos\MALENTIN KARIME\TESTAMENTO\INFORME Testamentos\Formulario para Testamentos con testadores mayo14.doc</t>
  </si>
  <si>
    <t>C:\Users\franc\OneDrive\Documentos\MALENTIN KARIME\TESTAMENTO\INFORME Testamentos\Formulario para Testamentos con testadores MAYO.doc</t>
  </si>
  <si>
    <t>C:\Users\franc\OneDrive\Documentos\MALENTIN KARIME\TESTAMENTO\INFORME Testamentos\Formulario para Testamentos con testadores MARZO15.doc</t>
  </si>
  <si>
    <t>C:\Users\franc\OneDrive\Documentos\MALENTIN KARIME\TESTAMENTO\INFORME Testamentos\Formulario para Testamentos con testadores JUNIO15.doc</t>
  </si>
  <si>
    <t>C:\Users\franc\OneDrive\Documentos\MALENTIN KARIME\TESTAMENTO\INFORME Testamentos\Formulario para Testamentos con testadores Junio14.doc</t>
  </si>
  <si>
    <t>C:\Users\franc\OneDrive\Documentos\MALENTIN KARIME\TESTAMENTO\INFORME Testamentos\Formulario para Testamentos con testadores JULIO15.doc</t>
  </si>
  <si>
    <t>C:\Users\franc\OneDrive\Documentos\MALENTIN KARIME\TESTAMENTO\INFORME Testamentos\Formulario para Testamentos con testadores FEBRERO.doc</t>
  </si>
  <si>
    <t>C:\Users\franc\OneDrive\Documentos\MALENTIN KARIME\TESTAMENTO\INFORME Testamentos\Formulario para Testamentos con testadores FEBRERO 15.doc</t>
  </si>
  <si>
    <t>C:\Users\franc\OneDrive\Documentos\MALENTIN KARIME\TESTAMENTO\INFORME Testamentos\Formulario para Testamentos con testadores AGOSTO15.doc</t>
  </si>
  <si>
    <t>C:\Users\franc\OneDrive\Documentos\MALENTIN KARIME\TESTAMENTO\2017\testamento.doc</t>
  </si>
  <si>
    <t>C:\Users\franc\OneDrive\Documentos\MALENTIN KARIME\TESTAMENTO\2017\MARY RIVERA CASTRO.doc</t>
  </si>
  <si>
    <t>C:\Users\franc\OneDrive\Documentos\MALENTIN KARIME\TESTAMENTO\2017\MARIA FIGARI Revoca.doc</t>
  </si>
  <si>
    <t>C:\Users\franc\OneDrive\Documentos\MALENTIN KARIME\TESTAMENTO\2017\GENARA CASTRO CONTRERAS.doc</t>
  </si>
  <si>
    <t>C:\Users\franc\OneDrive\Documentos\MALENTIN KARIME\TESTAMENTO\2017\ADAN DEL ROSARIO GUERRERO TOLEDO 2017.doc</t>
  </si>
  <si>
    <t>C:\Users\franc\OneDrive\Documentos\MALENTIN KARIME\TESTAMENTO\TESTAMENTO  armando alvarado.doc</t>
  </si>
  <si>
    <t>C:\Users\franc\OneDrive\Documentos\MALENTIN KARIME\TESTAMENTO\SERGIO CARVAJAL GUERRA.doc</t>
  </si>
  <si>
    <t>C:\Users\franc\OneDrive\Documentos\MALENTIN KARIME\TESTAMENTO\SALVADOR ALUCEMA.doc</t>
  </si>
  <si>
    <t>C:\Users\franc\OneDrive\Documentos\MALENTIN KARIME\TESTAMENTO\ROSARIO ARAYA ARAYA.doc</t>
  </si>
  <si>
    <t>C:\Users\franc\OneDrive\Documentos\MALENTIN KARIME\TESTAMENTO\ROJELIO DELGADO DELGADO.doc</t>
  </si>
  <si>
    <t>C:\Users\franc\OneDrive\Documentos\MALENTIN KARIME\TESTAMENTO\MARTHA OLIVIA CASTILLO ROJAS.doc</t>
  </si>
  <si>
    <t>C:\Users\franc\OneDrive\Documentos\MALENTIN KARIME\TESTAMENTO\MARTHA OLIVIA CASTILLO ROJAS 2016.doc</t>
  </si>
  <si>
    <t>C:\Users\franc\OneDrive\Documentos\MALENTIN KARIME\TESTAMENTO\MARTHA ALICIA CASTILLO ROJAS.doc</t>
  </si>
  <si>
    <t>C:\Users\franc\OneDrive\Documentos\MALENTIN KARIME\TESTAMENTO\MARIA RAMIREZ RAMIREZ Minuta.doc</t>
  </si>
  <si>
    <t>C:\Users\franc\OneDrive\Documentos\MALENTIN KARIME\TESTAMENTO\MARIA ALVARADO CARVAJAL.doc</t>
  </si>
  <si>
    <t>C:\Users\franc\OneDrive\Documentos\MALENTIN KARIME\TESTAMENTO\HECTOR GARCIA Minuta.doc</t>
  </si>
  <si>
    <t>C:\Users\franc\OneDrive\Documentos\MALENTIN KARIME\TESTAMENTO\FREDDY PINTO RAMOS.doc</t>
  </si>
  <si>
    <t>C:\Users\franc\OneDrive\Documentos\MALENTIN KARIME\TESTAMENTO\FELIPE CORTES TESTAMENTO ABIERTO.doc</t>
  </si>
  <si>
    <t>C:\Users\franc\OneDrive\Documentos\MALENTIN KARIME\TESTAMENTO\ELSA BUGUEÑO EGAÑA Ratifica.doc</t>
  </si>
  <si>
    <t>C:\Users\franc\OneDrive\Documentos\MALENTIN KARIME\TESTAMENTO\EDIT CARMONA ALZAMORA.doc</t>
  </si>
  <si>
    <t>C:\Users\franc\OneDrive\Documentos\MALENTIN KARIME\TESTAMENTO\CARMEN VILLALON CASTEX Testamento abierto.doc</t>
  </si>
  <si>
    <t>C:\Users\franc\OneDrive\Documentos\MALENTIN KARIME\TELEFONICA\JUAN VILLARROEL LOPEZ.doc</t>
  </si>
  <si>
    <t>C:\Users\franc\OneDrive\Documentos\MALENTIN KARIME\TELEFONICA\JUAN VILLARROEL LOPEZ nueva.doc</t>
  </si>
  <si>
    <t>C:\Users\franc\OneDrive\Documentos\MALENTIN KARIME\TELEFONICA\CONSTITUCION DE LA SOCIEDAD Scaneado.doc</t>
  </si>
  <si>
    <t>C:\Users\franc\OneDrive\Documentos\MALENTIN KARIME\TELEFONICA\COMUNIDAD AGRICOLA HUANA.doc</t>
  </si>
  <si>
    <t>C:\Users\franc\OneDrive\Documentos\MALENTIN KARIME\TELEFONICA\COMUNIDAD AGRICOLA HUANA abogado.doc</t>
  </si>
  <si>
    <t>C:\Users\franc\OneDrive\Documentos\MALENTIN KARIME\TANIA PEÑAILILLO\D USO SUBDIV\MIRTA ARACENA A CAROLINA   (NUEVA SUB) LOTE 1 - A J Y K.doc</t>
  </si>
  <si>
    <t>C:\Users\franc\OneDrive\Documentos\MALENTIN KARIME\TANIA PEÑAILILLO\TERESA ARAYA A TANYA PEÑA Minuta}.doc</t>
  </si>
  <si>
    <t>C:\Users\franc\OneDrive\Documentos\MALENTIN KARIME\TANIA PEÑAILILLO\Roman Contreras a Nilda Ledezma.doc</t>
  </si>
  <si>
    <t>C:\Users\franc\OneDrive\Documentos\MALENTIN KARIME\SOCIEDADES\2021\Minera San Pablo SpA.doc</t>
  </si>
  <si>
    <t>C:\Users\franc\OneDrive\Documentos\MALENTIN KARIME\SOCIEDADES\2021\MINERA ALTAIR SpA.doc</t>
  </si>
  <si>
    <t>C:\Users\franc\OneDrive\Documentos\MALENTIN KARIME\SOCIEDADES\2021\LOMAS DE BATUCO SpA.doc</t>
  </si>
  <si>
    <t>C:\Users\franc\OneDrive\Documentos\MALENTIN KARIME\SOCIEDADES\2021\LOMAS DE BATUCO SpA extracto.doc</t>
  </si>
  <si>
    <t>C:\Users\franc\OneDrive\Documentos\MALENTIN KARIME\SOCIEDADES\2021\Extracto 2 A'Quiles ltda. listo final.docx</t>
  </si>
  <si>
    <t>C:\Users\franc\OneDrive\Documentos\MALENTIN KARIME\SOCIEDADES\2018\sociedad agricola los alamos.doc</t>
  </si>
  <si>
    <t>C:\Users\franc\OneDrive\Documentos\MALENTIN KARIME\SOCIEDADES\2018\INMOBILIARIA E INVERSIONES AOPA Saneamiento.doc</t>
  </si>
  <si>
    <t>C:\Users\franc\OneDrive\Documentos\MALENTIN KARIME\SOCIEDADES\2018\INMOBILIARIA E INVERSIONES AOPA Saneam Extracto.doc</t>
  </si>
  <si>
    <t>C:\Users\franc\OneDrive\Documentos\MALENTIN KARIME\SOCIEDADES\2018\Extracto Servilux SpA.doc</t>
  </si>
  <si>
    <t>C:\Users\franc\OneDrive\Documentos\MALENTIN KARIME\SOCIEDADES\2018\Extracto Agricola Los Alamos Fusion.doc</t>
  </si>
  <si>
    <t>C:\Users\franc\OneDrive\Documentos\MALENTIN KARIME\SOCIEDADES\2018\Comercializadora y exportadora Diaguitas Nuts Ltda. EXTRACTO.doc</t>
  </si>
  <si>
    <t>C:\Users\franc\OneDrive\Documentos\MALENTIN KARIME\SOCIEDADES\2018\COMERCIALIZADORA Y EXPORT. DIAGUITAS NUTS LTDA..doc</t>
  </si>
  <si>
    <t>C:\Users\franc\OneDrive\Documentos\MALENTIN KARIME\SOCIEDADES\2017\TRANSPORTES LIZARDI ACUÑA LTDA..doc</t>
  </si>
  <si>
    <t>C:\Users\franc\OneDrive\Documentos\MALENTIN KARIME\SOCIEDADES\2017\SOCIEDAD TUQUI LTDA - CARLOS  TELLO.doc</t>
  </si>
  <si>
    <t>C:\Users\franc\OneDrive\Documentos\MALENTIN KARIME\SOCIEDADES\2017\SANEAMIENTO DE MODIFICACION DE SOCIEDAD AROS Y ASOCIADOS LIMITADA (1).doc</t>
  </si>
  <si>
    <t>C:\Users\franc\OneDrive\Documentos\MALENTIN KARIME\SOCIEDADES\2017\EXTRACTO MODIFICACION E.I.R.L. ifman huerta (5).doc</t>
  </si>
  <si>
    <t>C:\Users\franc\OneDrive\Documentos\MALENTIN KARIME\SOCIEDADES\2017\Extracto EXPLORACION Y CONSTRUCCION MINERA ECM.doc</t>
  </si>
  <si>
    <t>C:\Users\franc\OneDrive\Documentos\MALENTIN KARIME\SOCIEDADES\2017\EXPLORACION Y CONSTRUCCION MINERA.DOC</t>
  </si>
  <si>
    <t>C:\Users\franc\OneDrive\Documentos\MALENTIN KARIME\SOCIEDADES\2017\COMERCIAL IFMAN HUERTA E.I.R.L. Cesion y Modificacion.doc</t>
  </si>
  <si>
    <t>C:\Users\franc\OneDrive\Documentos\MALENTIN KARIME\SOCIEDADES\2017\AGRICOLA SANTA CATALINA SpA.doc</t>
  </si>
  <si>
    <t>C:\Users\franc\OneDrive\Documentos\MALENTIN KARIME\SOCIEDADES\2017\AGRICOLA SANTA CATALINA SpA EXTRACTO.doc</t>
  </si>
  <si>
    <t>C:\Users\franc\OneDrive\Documentos\MALENTIN KARIME\SOCIEDADES\2016\TOIGSA SpA.doc</t>
  </si>
  <si>
    <t>C:\Users\franc\OneDrive\Documentos\MALENTIN KARIME\SOCIEDADES\2016\JHONY y MICHAEL Soc..doc</t>
  </si>
  <si>
    <t>C:\Users\franc\OneDrive\Documentos\MALENTIN KARIME\SOCIEDADES\2016\EXTRACTO TOIGSA SpA.doc</t>
  </si>
  <si>
    <t>C:\Users\franc\OneDrive\Documentos\MALENTIN KARIME\SOCIEDADES\2016\Extracto Lizardi.doc</t>
  </si>
  <si>
    <t>C:\Users\franc\OneDrive\Documentos\MALENTIN KARIME\SOCIEDADES\2016\AGRICOLA EL  ARROYO LIMITADA Saneamiento.doc</t>
  </si>
  <si>
    <t>C:\Users\franc\OneDrive\Documentos\MALENTIN KARIME\SOCIEDADES\2015\VIÑEDOS EL DORADO LTDA..doc</t>
  </si>
  <si>
    <t>C:\Users\franc\OneDrive\Documentos\MALENTIN KARIME\SOCIEDADES\2015\VIÑEDOS  EL DORADO LIMITADA Extracto.doc</t>
  </si>
  <si>
    <t>C:\Users\franc\OneDrive\Documentos\MALENTIN KARIME\SOCIEDADES\2015\TRANSPORTE ARENAS Y Arenas.doc</t>
  </si>
  <si>
    <t>C:\Users\franc\OneDrive\Documentos\MALENTIN KARIME\SOCIEDADES\2015\TRANSPORTE ARAYA Y ROJAS LIMITADA Saneamiento.doc</t>
  </si>
  <si>
    <t>C:\Users\franc\OneDrive\Documentos\MALENTIN KARIME\SOCIEDADES\2015\SpA ANTU WENTU.doc</t>
  </si>
  <si>
    <t>C:\Users\franc\OneDrive\Documentos\MALENTIN KARIME\SOCIEDADES\2015\ROBERTO.doc</t>
  </si>
  <si>
    <t>C:\Users\franc\OneDrive\Documentos\MALENTIN KARIME\SOCIEDADES\2015\JAIME PROHENS SOMMELLA Y CIA. Modificacion Colectiva.doc</t>
  </si>
  <si>
    <t>C:\Users\franc\OneDrive\Documentos\MALENTIN KARIME\SOCIEDADES\2015\INVERS. ACEITUNO Y ALEGRE (FINAL).doc</t>
  </si>
  <si>
    <t>C:\Users\franc\OneDrive\Documentos\MALENTIN KARIME\SOCIEDADES\2015\ING &amp; MAI INVERSIONES victor grandon.doc</t>
  </si>
  <si>
    <t>C:\Users\franc\OneDrive\Documentos\MALENTIN KARIME\SOCIEDADES\2015\IG &amp; MAI LTDA..doc</t>
  </si>
  <si>
    <t>C:\Users\franc\OneDrive\Documentos\MALENTIN KARIME\SOCIEDADES\2015\EXTRACTO SANEAMIENTO ARAYRO.doc</t>
  </si>
  <si>
    <t>C:\Users\franc\OneDrive\Documentos\MALENTIN KARIME\SOCIEDADES\2015\Extracto DRA. EDITH VALENZUELA.docx</t>
  </si>
  <si>
    <t>C:\Users\franc\OneDrive\Documentos\MALENTIN KARIME\SOCIEDADES\2015\Extracto ARENAS ARENAS.doc</t>
  </si>
  <si>
    <t>C:\Users\franc\OneDrive\Documentos\MALENTIN KARIME\SOCIEDADES\2015\EXTRACTO ACEITUNO Y ALEGRE LTDA..doc</t>
  </si>
  <si>
    <t>C:\Users\franc\OneDrive\Documentos\MALENTIN KARIME\SOCIEDADES\2015\CONSTRUCTORA DON ALONSO Extracto.doc</t>
  </si>
  <si>
    <t>C:\Users\franc\OneDrive\Documentos\MALENTIN KARIME\SOCIEDADES\2015\CONSTRUCTORA DON ALONSO Extracto correjido.doc</t>
  </si>
  <si>
    <t>C:\Users\franc\OneDrive\Documentos\MALENTIN KARIME\SOCIEDADES\2015\CONSTRUCTORA DON ALONSO compl.doc</t>
  </si>
  <si>
    <t>C:\Users\franc\OneDrive\Documentos\MALENTIN KARIME\SOCIEDADES\2015\ANTU WENTU SpA.doc</t>
  </si>
  <si>
    <t>C:\Users\franc\OneDrive\Documentos\MALENTIN KARIME\SOCIEDADES\2015\ALTERNATIVE H&amp;I LTDA..doc</t>
  </si>
  <si>
    <t>C:\Users\franc\OneDrive\Documentos\MALENTIN KARIME\SOCIEDADES\2014\TRANSPORTES DM Dabed colec civil.doc</t>
  </si>
  <si>
    <t>C:\Users\franc\OneDrive\Documentos\MALENTIN KARIME\SOCIEDADES\2014\TRANSFORMACION Constructora Mundaca a EIRL.doc</t>
  </si>
  <si>
    <t>C:\Users\franc\OneDrive\Documentos\MALENTIN KARIME\SOCIEDADES\2014\TRANSFORMACION Constructora Mundaca a EIRL NUEVA.doc</t>
  </si>
  <si>
    <t>C:\Users\franc\OneDrive\Documentos\MALENTIN KARIME\SOCIEDADES\2014\SPA RAUL NAVARRO.doc</t>
  </si>
  <si>
    <t>C:\Users\franc\OneDrive\Documentos\MALENTIN KARIME\SOCIEDADES\2014\SOCIEDAD AGRICOLA EL MIRADOR ORIENTE.doc</t>
  </si>
  <si>
    <t>C:\Users\franc\OneDrive\Documentos\MALENTIN KARIME\SOCIEDADES\2014\S.P.A. Constructora Mundaca (1).doc</t>
  </si>
  <si>
    <t>C:\Users\franc\OneDrive\Documentos\MALENTIN KARIME\SOCIEDADES\2014\EXTRACTO Transfomacion Mundaca Ltda..doc</t>
  </si>
  <si>
    <t>C:\Users\franc\OneDrive\Documentos\MALENTIN KARIME\SOCIEDADES\2014\EXTRACTO Transfomacion Mundaca Ltda. NUEVO.doc</t>
  </si>
  <si>
    <t>C:\Users\franc\OneDrive\Documentos\MALENTIN KARIME\SOCIEDADES\2014\EXTRACTO Spa Constructora Mundaca.doc</t>
  </si>
  <si>
    <t>C:\Users\franc\OneDrive\Documentos\MALENTIN KARIME\SOCIEDADES\2014\EXTRACTO SOC. AGROIND. Y TRANSP. VALLE DE TULAHUEN LTDA.doc</t>
  </si>
  <si>
    <t>C:\Users\franc\OneDrive\Documentos\MALENTIN KARIME\SOCIEDADES\2014\Extracto Riego Norte.doc</t>
  </si>
  <si>
    <t>C:\Users\franc\OneDrive\Documentos\MALENTIN KARIME\SOCIEDADES\2014\Extracto Constitucion Colectiva Comercial Transportes Dabed.doc</t>
  </si>
  <si>
    <t>C:\Users\franc\OneDrive\Documentos\MALENTIN KARIME\SOCIEDADES\2014\EDISON ARGANDOÑA Extracto.doc</t>
  </si>
  <si>
    <t>C:\Users\franc\OneDrive\Documentos\MALENTIN KARIME\SOCIEDADES\2014\CERRO CAMPANARIO Mod Capital.doc</t>
  </si>
  <si>
    <t>C:\Users\franc\OneDrive\Documentos\MALENTIN KARIME\SOCIEDADES\WILSON IRRIBARRA Y OTRO (Instrumento Privado).doc</t>
  </si>
  <si>
    <t>C:\Users\franc\OneDrive\Documentos\MALENTIN KARIME\SOCIEDADES\UMBRALES LTDA..doc</t>
  </si>
  <si>
    <t>C:\Users\franc\OneDrive\Documentos\MALENTIN KARIME\SOCIEDADES\TRAUMADENT Saneamiento.doc</t>
  </si>
  <si>
    <t>C:\Users\franc\OneDrive\Documentos\MALENTIN KARIME\SOCIEDADES\TRANSPORTES ARAYA Y ROJAS C.Ardiles.doc</t>
  </si>
  <si>
    <t>C:\Users\franc\OneDrive\Documentos\MALENTIN KARIME\SOCIEDADES\TRANSPORTES AROS LTDA..doc</t>
  </si>
  <si>
    <t>C:\Users\franc\OneDrive\Documentos\MALENTIN KARIME\SOCIEDADES\SPA Agricola Rojas.doc</t>
  </si>
  <si>
    <t>C:\Users\franc\OneDrive\Documentos\MALENTIN KARIME\SOCIEDADES\SOCIEDAD EDUC MATICES  Extracto.doc</t>
  </si>
  <si>
    <t>C:\Users\franc\OneDrive\Documentos\MALENTIN KARIME\SOCIEDADES\SOCIEDAD EDUC MATICES  Extracto DE ADOLFO LAY.doc</t>
  </si>
  <si>
    <t>C:\Users\franc\OneDrive\Documentos\MALENTIN KARIME\SOCIEDADES\SOCIEDAD AWA Y CIA..doc</t>
  </si>
  <si>
    <t>C:\Users\franc\OneDrive\Documentos\MALENTIN KARIME\SOCIEDADES\SOCIEDAD AWA Y CIA. Extracto.doc</t>
  </si>
  <si>
    <t>C:\Users\franc\OneDrive\Documentos\MALENTIN KARIME\SOCIEDADES\SOCIEDAD AGRICOLA OLE LTDA..doc</t>
  </si>
  <si>
    <t>C:\Users\franc\OneDrive\Documentos\MALENTIN KARIME\SOCIEDADES\SOC EDUCACIONAL MATICES LTDA, Modific Adolfo Lay.doc</t>
  </si>
  <si>
    <t>C:\Users\franc\OneDrive\Documentos\MALENTIN KARIME\SOCIEDADES\SOC DE TRANSPORTES E INV JUAN PARRA LTDA.Extracto.doc</t>
  </si>
  <si>
    <t>C:\Users\franc\OneDrive\Documentos\MALENTIN KARIME\SOCIEDADES\SICOVAL LTDA Hernán Perez.doc</t>
  </si>
  <si>
    <t>C:\Users\franc\OneDrive\Documentos\MALENTIN KARIME\SOCIEDADES\Saneamiento.doc</t>
  </si>
  <si>
    <t>C:\Users\franc\OneDrive\Documentos\MALENTIN KARIME\SOCIEDADES\SALUD INTEGRAL Extracto.doc</t>
  </si>
  <si>
    <t>C:\Users\franc\OneDrive\Documentos\MALENTIN KARIME\SOCIEDADES\SALUD INTEGRALLIMITADA.doc</t>
  </si>
  <si>
    <t>C:\Users\franc\OneDrive\Documentos\MALENTIN KARIME\SOCIEDADES\RIO GRANDE  Extracto.doc</t>
  </si>
  <si>
    <t>C:\Users\franc\OneDrive\Documentos\MALENTIN KARIME\SOCIEDADES\RICARDO PIZARRO Y OTROS (Instrumento Privado).doc</t>
  </si>
  <si>
    <t>C:\Users\franc\OneDrive\Documentos\MALENTIN KARIME\SOCIEDADES\PARRA CARVAJAL LTDA Saneamiento.doc</t>
  </si>
  <si>
    <t>C:\Users\franc\OneDrive\Documentos\MALENTIN KARIME\SOCIEDADES\PAMELA COFRE E ISAURO AGUILERA.doc</t>
  </si>
  <si>
    <t>C:\Users\franc\OneDrive\Documentos\MALENTIN KARIME\SOCIEDADES\OSCAR JOFRE Saneamiento.doc</t>
  </si>
  <si>
    <t>C:\Users\franc\OneDrive\Documentos\MALENTIN KARIME\SOCIEDADES\NANCY JULIO.doc</t>
  </si>
  <si>
    <t>C:\Users\franc\OneDrive\Documentos\MALENTIN KARIME\SOCIEDADES\OSCAR JOFRE Extracto.doc</t>
  </si>
  <si>
    <t>C:\Users\franc\OneDrive\Documentos\MALENTIN KARIME\SOCIEDADES\MINERA JUAN ALONSO SCM.doc</t>
  </si>
  <si>
    <t>C:\Users\franc\OneDrive\Documentos\MALENTIN KARIME\SOCIEDADES\MINERA ANA KAMILA SCM.doc</t>
  </si>
  <si>
    <t>C:\Users\franc\OneDrive\Documentos\MALENTIN KARIME\SOCIEDADES\MINERA ANA KAMILA SCM para extracto.doc</t>
  </si>
  <si>
    <t>C:\Users\franc\OneDrive\Documentos\MALENTIN KARIME\SOCIEDADES\MINERA ANA KAMILA SCM Extracto.doc</t>
  </si>
  <si>
    <t>C:\Users\franc\OneDrive\Documentos\MALENTIN KARIME\SOCIEDADES\LAS PIRCAS Dic. 2013.doc</t>
  </si>
  <si>
    <t>C:\Users\franc\OneDrive\Documentos\MALENTIN KARIME\SOCIEDADES\JAIME CAMPOSANO Extracto.doc</t>
  </si>
  <si>
    <t>C:\Users\franc\OneDrive\Documentos\MALENTIN KARIME\SOCIEDADES\INVERSIONES PARRA LTDA Extracto.doc</t>
  </si>
  <si>
    <t>C:\Users\franc\OneDrive\Documentos\MALENTIN KARIME\SOCIEDADES\INSTRUCCIONES.doc</t>
  </si>
  <si>
    <t>C:\Users\franc\OneDrive\Documentos\MALENTIN KARIME\SOCIEDADES\Inmobiliaria El Sauce Ltda.doc</t>
  </si>
  <si>
    <t>C:\Users\franc\OneDrive\Documentos\MALENTIN KARIME\SOCIEDADES\HERMANOS PEÑARANCIBIA LIMITADA Escritura.doc</t>
  </si>
  <si>
    <t>C:\Users\franc\OneDrive\Documentos\MALENTIN KARIME\SOCIEDADES\HERMANOS PEÑARANCIBIA LIMITADA Minuta de  Tania.doc</t>
  </si>
  <si>
    <t>C:\Users\franc\OneDrive\Documentos\MALENTIN KARIME\SOCIEDADES\GUILLERMO GUERRERO E.I.R.L. Modific..doc</t>
  </si>
  <si>
    <t>C:\Users\franc\OneDrive\Documentos\MALENTIN KARIME\SOCIEDADES\GUILLERMO GUERRERO E.I.R.L. Extracto.doc</t>
  </si>
  <si>
    <t>C:\Users\franc\OneDrive\Documentos\MALENTIN KARIME\SOCIEDADES\Extracto TRAUMADENT.doc</t>
  </si>
  <si>
    <t>C:\Users\franc\OneDrive\Documentos\MALENTIN KARIME\SOCIEDADES\Extracto Umbrales.doc</t>
  </si>
  <si>
    <t>C:\Users\franc\OneDrive\Documentos\MALENTIN KARIME\SOCIEDADES\Extracto TRANSPORTES RIO CLARO Recti.doc</t>
  </si>
  <si>
    <t>C:\Users\franc\OneDrive\Documentos\MALENTIN KARIME\SOCIEDADES\Extracto TRANSPORTES RIO CLARO Recti VERSION DOS.doc</t>
  </si>
  <si>
    <t>C:\Users\franc\OneDrive\Documentos\MALENTIN KARIME\SOCIEDADES\Extracto Sociedad Dra. Romina Villalobos.doc</t>
  </si>
  <si>
    <t>C:\Users\franc\OneDrive\Documentos\MALENTIN KARIME\SOCIEDADES\Extracto Soc Agricola San Francisco Ltda(1).doc</t>
  </si>
  <si>
    <t>C:\Users\franc\OneDrive\Documentos\MALENTIN KARIME\SOCIEDADES\Extracto SICOVAL.doc</t>
  </si>
  <si>
    <t>C:\Users\franc\OneDrive\Documentos\MALENTIN KARIME\SOCIEDADES\extracto San Fabian LTDA.doc</t>
  </si>
  <si>
    <t>C:\Users\franc\OneDrive\Documentos\MALENTIN KARIME\SOCIEDADES\EXTRACTO Nancy Julio EIRL.doc</t>
  </si>
  <si>
    <t>C:\Users\franc\OneDrive\Documentos\MALENTIN KARIME\SOCIEDADES\extracto INMOBILIARIA JUAN PORTILLA.doc</t>
  </si>
  <si>
    <t>C:\Users\franc\OneDrive\Documentos\MALENTIN KARIME\SOCIEDADES\EXTRACTO ESCRITURA DE SOCIEDAD DE RESPONSABILIDAD LIMITADA humeres porcile.doc</t>
  </si>
  <si>
    <t>C:\Users\franc\OneDrive\Documentos\MALENTIN KARIME\SOCIEDADES\Extracto ALTERNATIVE.doc</t>
  </si>
  <si>
    <t>C:\Users\franc\OneDrive\Documentos\MALENTIN KARIME\SOCIEDADES\Extracto ADOCAT.doc</t>
  </si>
  <si>
    <t>C:\Users\franc\OneDrive\Documentos\MALENTIN KARIME\SOCIEDADES\EXTRACTO  Inmob Los Sauces  Ltda.doc</t>
  </si>
  <si>
    <t>C:\Users\franc\OneDrive\Documentos\MALENTIN KARIME\SOCIEDADES\Escritura_Sicoval ltda.doc</t>
  </si>
  <si>
    <t>C:\Users\franc\OneDrive\Documentos\MALENTIN KARIME\SOCIEDADES\CONSTRUCCIONES SIERRA Y TORRES.doc</t>
  </si>
  <si>
    <t>C:\Users\franc\OneDrive\Documentos\MALENTIN KARIME\SOCIEDADES\CONSTRUCCIONES SIERRA Y TORRES Extracto.doc</t>
  </si>
  <si>
    <t>C:\Users\franc\OneDrive\Documentos\MALENTIN KARIME\SOCIEDADES\CONFERR Extracto.doc</t>
  </si>
  <si>
    <t>C:\Users\franc\OneDrive\Documentos\MALENTIN KARIME\SOCIEDADES\CONFERR  Modificaicion.doc</t>
  </si>
  <si>
    <t>C:\Users\franc\OneDrive\Documentos\MALENTIN KARIME\SOCIEDADES\COMERCIALIZADORA SAN FABIAN.doc</t>
  </si>
  <si>
    <t>C:\Users\franc\OneDrive\Documentos\MALENTIN KARIME\SOCIEDADES\COMERCIALIZADORA SAN FABIAN LTDA.doc</t>
  </si>
  <si>
    <t>C:\Users\franc\OneDrive\Documentos\MALENTIN KARIME\SOCIEDADES\COMERCIAL DOS MIL UNO.doc</t>
  </si>
  <si>
    <t>C:\Users\franc\OneDrive\Documentos\MALENTIN KARIME\SOCIEDADES\COLEGIO SALI HOCHSCHILD LTDA.doc</t>
  </si>
  <si>
    <t>C:\Users\franc\OneDrive\Documentos\MALENTIN KARIME\SOCIEDADES\COFMED PRESTACIONS MEDICAS Extracto.doc</t>
  </si>
  <si>
    <t>C:\Users\franc\OneDrive\Documentos\MALENTIN KARIME\SOCIEDADES\CENTRO DE CAPACITACION RIO GRANDE LTDA. Rectificacion.doc</t>
  </si>
  <si>
    <t>C:\Users\franc\OneDrive\Documentos\MALENTIN KARIME\SOCIEDADES\CATRUMI LTDA..doc</t>
  </si>
  <si>
    <t>C:\Users\franc\OneDrive\Documentos\MALENTIN KARIME\SOCIEDADES\Buenaventura ltda.-1.doc</t>
  </si>
  <si>
    <t>C:\Users\franc\OneDrive\Documentos\MALENTIN KARIME\SOCIEDADES\ASESORIAS E INVERSIONES CERRO BLANCO.doc</t>
  </si>
  <si>
    <t>C:\Users\franc\OneDrive\Documentos\MALENTIN KARIME\SOCIEDADES\ASESORIAS E INVERSIONES CERRO BLANCO 2.doc</t>
  </si>
  <si>
    <t>C:\Users\franc\OneDrive\Documentos\MALENTIN KARIME\SOCIEDADES\ARBUG LTDA..doc</t>
  </si>
  <si>
    <t>C:\Users\franc\OneDrive\Documentos\MALENTIN KARIME\SOCIEDADES\ALPACAS URANIA SpA.doc</t>
  </si>
  <si>
    <t>C:\Users\franc\OneDrive\Documentos\MALENTIN KARIME\SOCIEDADES\ALPACAS URANIA SpA Extracto.doc</t>
  </si>
  <si>
    <t>C:\Users\franc\OneDrive\Documentos\MALENTIN KARIME\SOCIEDADES\AGRICOLA SAN MARCOS Modificaicion.doc</t>
  </si>
  <si>
    <t>C:\Users\franc\OneDrive\Documentos\MALENTIN KARIME\SOCIEDADES\AGROCOMERCIAL LA TORRE  LTDA. Modificaicion.doc</t>
  </si>
  <si>
    <t>C:\Users\franc\OneDrive\Documentos\MALENTIN KARIME\SOCIEDADES\AGRICOLA SAN FRANCISCO Modific DIC.doc</t>
  </si>
  <si>
    <t>C:\Users\franc\OneDrive\Documentos\MALENTIN KARIME\SOCIEDADES\AGRICOLA SAN MARCOS Extracto.doc</t>
  </si>
  <si>
    <t>C:\Users\franc\OneDrive\Documentos\MALENTIN KARIME\SOCIEDADES\AGRICOLA Adocat.doc</t>
  </si>
  <si>
    <t>C:\Users\franc\OneDrive\Documentos\MALENTIN KARIME\SOCIEDADES\AGRICOLA Adocat Escritura.doc</t>
  </si>
  <si>
    <t>C:\Users\franc\OneDrive\Documentos\MALENTIN KARIME\SERVIU\PROHIBICION DERECHO USO CDAD\PATRICIA MALUENDA JOPIA Particular.doc</t>
  </si>
  <si>
    <t>C:\Users\franc\OneDrive\Documentos\MALENTIN KARIME\SOCIEDADES\ADOCAT.doc</t>
  </si>
  <si>
    <t>C:\Users\franc\OneDrive\Documentos\MALENTIN KARIME\SERVIU\PROHIBICION DERECHO USO CDAD\MARIA ZEPEDA MUÑOZ Particular.doc</t>
  </si>
  <si>
    <t>C:\Users\franc\OneDrive\Documentos\MALENTIN KARIME\SERVIU\PROHIBICION DERECHO USO CDAD\ANA GUILLERMINA CASTRO CASTRO Particular.doc</t>
  </si>
  <si>
    <t>C:\Users\franc\OneDrive\Documentos\MALENTIN KARIME\SERVIU\PROHIBICION DERECHO USO CDAD\CANDIA LOPEZPROHICION DERECHO USO COMUNIDAD.doc</t>
  </si>
  <si>
    <t>C:\Users\franc\OneDrive\Documentos\MALENTIN KARIME\SERVIU\2021\ROSALIA IRIARTE IRIARTE DS 1.doc</t>
  </si>
  <si>
    <t>C:\Users\franc\OneDrive\Documentos\MALENTIN KARIME\SERVIU\2021\MIRTA MIRANDA PALMA DS 49.doc</t>
  </si>
  <si>
    <t>C:\Users\franc\OneDrive\Documentos\MALENTIN KARIME\SERVIU\2021\JUANA CARVAJAL CORTES DS 49.doc</t>
  </si>
  <si>
    <t>C:\Users\franc\OneDrive\Documentos\MALENTIN KARIME\SERVIU\2021\LUISA MIRANDA PALMA DS 49.doc</t>
  </si>
  <si>
    <t>C:\Users\franc\OneDrive\Documentos\MALENTIN KARIME\SERVIU\2021\ELIZABETH VILLEGAS CAMPUSANO con resciliacion.-.doc</t>
  </si>
  <si>
    <t>C:\Users\franc\OneDrive\Documentos\MALENTIN KARIME\SERVIU\2021\JUAN BARRAZA VICENCIO 2021.doc</t>
  </si>
  <si>
    <t>C:\Users\franc\OneDrive\Documentos\MALENTIN KARIME\SERVIU\2021\BERNARDO CHAVEZ ARAYA DS 1.doc</t>
  </si>
  <si>
    <t>C:\Users\franc\OneDrive\Documentos\MALENTIN KARIME\SERVIU\2016\UBERLINDA ROJAS AGUILERA Mabel.doc</t>
  </si>
  <si>
    <t>C:\Users\franc\OneDrive\Documentos\MALENTIN KARIME\SERVIU\2016\Teresa Rivera Particular.doc</t>
  </si>
  <si>
    <t>C:\Users\franc\OneDrive\Documentos\MALENTIN KARIME\SERVIU\2016\SUCESION ERMO CORTES DS 1.doc</t>
  </si>
  <si>
    <t>C:\Users\franc\OneDrive\Documentos\MALENTIN KARIME\SERVIU\2016\SUCESION CUEVAS PASTEN DS 1.doc</t>
  </si>
  <si>
    <t>C:\Users\franc\OneDrive\Documentos\MALENTIN KARIME\SERVIU\2016\RUTH DOMINGUEZ OVANDO.doc</t>
  </si>
  <si>
    <t>C:\Users\franc\OneDrive\Documentos\MALENTIN KARIME\SERVIU\2016\RUTH DOMINGUEZ OVANDO declaracion y mandato.doc</t>
  </si>
  <si>
    <t>C:\Users\franc\OneDrive\Documentos\MALENTIN KARIME\SERVIU\2016\RICARDO LAYANA ADONES Particular.doc</t>
  </si>
  <si>
    <t>C:\Users\franc\OneDrive\Documentos\MALENTIN KARIME\SERVIU\2016\PROHIBICION FINAL ds 49MariaCisterna2017.doc</t>
  </si>
  <si>
    <t>C:\Users\franc\OneDrive\Documentos\MALENTIN KARIME\SERVIU\2016\PROHIBICION DERECHO USO POR ESCRITURA.doc</t>
  </si>
  <si>
    <t>C:\Users\franc\OneDrive\Documentos\MALENTIN KARIME\SERVIU\2016\Prohibicion Derecho Comunero.doc</t>
  </si>
  <si>
    <t>C:\Users\franc\OneDrive\Documentos\MALENTIN KARIME\SERVIU\2016\PROHIBICION CONYUGES.doc</t>
  </si>
  <si>
    <t>C:\Users\franc\OneDrive\Documentos\MALENTIN KARIME\SERVIU\2016\PAMENIA ARGANDOÑA DS 1.doc</t>
  </si>
  <si>
    <t>C:\Users\franc\OneDrive\Documentos\MALENTIN KARIME\SERVIU\2016\ORLANDO PIZARRO FLORES 2017.doc</t>
  </si>
  <si>
    <t>C:\Users\franc\OneDrive\Documentos\MALENTIN KARIME\SERVIU\2016\MAURICIO PIÑONES GARCIA BNac.doc</t>
  </si>
  <si>
    <t>C:\Users\franc\OneDrive\Documentos\MALENTIN KARIME\SERVIU\2016\MARITZA RIVERA GARCIA.doc</t>
  </si>
  <si>
    <t>C:\Users\franc\OneDrive\Documentos\MALENTIN KARIME\SERVIU\2016\MARIA VALDES MUÑOZ  andrea.doc</t>
  </si>
  <si>
    <t>C:\Users\franc\OneDrive\Documentos\MALENTIN KARIME\SERVIU\2016\MARIA CISTERNAS PALTA Prohibicion serviu prot.doc</t>
  </si>
  <si>
    <t>C:\Users\franc\OneDrive\Documentos\MALENTIN KARIME\SERVIU\2016\MARCELA LOPEZ  BORQUEZ nuevo form.doc</t>
  </si>
  <si>
    <t>C:\Users\franc\OneDrive\Documentos\MALENTIN KARIME\SERVIU\2016\LUPERFINA MILLA DS 1.doc</t>
  </si>
  <si>
    <t>C:\Users\franc\OneDrive\Documentos\MALENTIN KARIME\SERVIU\2016\JOSE LUIS VEGA LOPEZ.doc</t>
  </si>
  <si>
    <t>C:\Users\franc\OneDrive\Documentos\MALENTIN KARIME\SERVIU\2016\JAIME PIZARRO PAZ DS 1.doc</t>
  </si>
  <si>
    <t>C:\Users\franc\OneDrive\Documentos\MALENTIN KARIME\SERVIU\2016\INOCENCIO VENEGAS CORTES.doc</t>
  </si>
  <si>
    <t>C:\Users\franc\OneDrive\Documentos\MALENTIN KARIME\SERVIU\2016\HECTOR JORQUERA ECHEVERRIA DS1.doc</t>
  </si>
  <si>
    <t>C:\Users\franc\OneDrive\Documentos\MALENTIN KARIME\SERVIU\2016\GLADYS JARA ECHEVERRIA DS 1.doc</t>
  </si>
  <si>
    <t>C:\Users\franc\OneDrive\Documentos\MALENTIN KARIME\SERVIU\2016\Gabriel Uribe Particular.doc</t>
  </si>
  <si>
    <t>C:\Users\franc\OneDrive\Documentos\MALENTIN KARIME\SERVIU\2016\FRANCISCA CARVAJAL CONTRERAS.doc</t>
  </si>
  <si>
    <t>C:\Users\franc\OneDrive\Documentos\MALENTIN KARIME\SERVIU\2016\FANNY CARMONA FLORES DS 1.doc</t>
  </si>
  <si>
    <t>C:\Users\franc\OneDrive\Documentos\MALENTIN KARIME\SERVIU\2016\FABRIXIJO FARIAS CARVAJAL Declaracion y mandato ahorro.doc</t>
  </si>
  <si>
    <t>C:\Users\franc\OneDrive\Documentos\MALENTIN KARIME\SERVIU\2016\FABRIXIJO FARIAS CARVAJAL Derecho Uso Nuevo Final 2015.doc</t>
  </si>
  <si>
    <t>C:\Users\franc\OneDrive\Documentos\MALENTIN KARIME\SERVIU\2016\EGIDIA LOPEZ ROBLES 2018.doc</t>
  </si>
  <si>
    <t>C:\Users\franc\OneDrive\Documentos\MALENTIN KARIME\SERVIU\2016\DANIEL OLIVARES CASTRO Particular.doc</t>
  </si>
  <si>
    <t>C:\Users\franc\OneDrive\Documentos\MALENTIN KARIME\SERVIU\2016\CARMEN LOYOLA PALACIOS DS 1.doc</t>
  </si>
  <si>
    <t>C:\Users\franc\OneDrive\Documentos\MALENTIN KARIME\SERVIU\2016\ANGEL GONZALEZ GALVEZ.doc</t>
  </si>
  <si>
    <t>C:\Users\franc\OneDrive\Documentos\MALENTIN KARIME\SERVIU\2015\YOLANDA RODRIGUEZ Prohibicion Derecho Comunero.doc</t>
  </si>
  <si>
    <t>C:\Users\franc\OneDrive\Documentos\MALENTIN KARIME\SERVIU\2015\YESSICA CASTILLO BARRAZA.doc</t>
  </si>
  <si>
    <t>C:\Users\franc\OneDrive\Documentos\MALENTIN KARIME\SERVIU\2015\XIMENA MARAMBIO ANTIQUERA.doc</t>
  </si>
  <si>
    <t>C:\Users\franc\OneDrive\Documentos\MALENTIN KARIME\SERVIU\2015\VICENTE DIAZ VILLALOBOS conyuge.doc</t>
  </si>
  <si>
    <t>C:\Users\franc\OneDrive\Documentos\MALENTIN KARIME\SERVIU\2015\VIVIANA ROJAS RODRIGUEZ.doc</t>
  </si>
  <si>
    <t>C:\Users\franc\OneDrive\Documentos\MALENTIN KARIME\SERVIU\2015\SUSANA CONTRERAS.doc</t>
  </si>
  <si>
    <t>C:\Users\franc\OneDrive\Documentos\MALENTIN KARIME\SERVIU\2015\SYLVIA CRISTIAN OLIVARES lote subdiv.doc</t>
  </si>
  <si>
    <t>C:\Users\franc\OneDrive\Documentos\MALENTIN KARIME\SERVIU\2015\SANDRO OLIVARES ARAYA DS 49.doc</t>
  </si>
  <si>
    <t>C:\Users\franc\OneDrive\Documentos\MALENTIN KARIME\SERVIU\2015\SUSANA ADONES ARAYA.doc</t>
  </si>
  <si>
    <t>C:\Users\franc\OneDrive\Documentos\MALENTIN KARIME\SERVIU\2015\ROSA VALDIVIA ARAYA.doc</t>
  </si>
  <si>
    <t>C:\Users\franc\OneDrive\Documentos\MALENTIN KARIME\SERVIU\2015\ROSA VEGA VEGA.doc</t>
  </si>
  <si>
    <t>C:\Users\franc\OneDrive\Documentos\MALENTIN KARIME\SERVIU\2015\ROELIO BARRAZA.doc</t>
  </si>
  <si>
    <t>C:\Users\franc\OneDrive\Documentos\MALENTIN KARIME\SERVIU\2015\RODRIGO ZEPEDA CODOCEO.doc</t>
  </si>
  <si>
    <t>C:\Users\franc\OneDrive\Documentos\MALENTIN KARIME\SERVIU\2015\prohibicion serviu.doc</t>
  </si>
  <si>
    <t>C:\Users\franc\OneDrive\Documentos\MALENTIN KARIME\SERVIU\2015\RAMON RODRIGUEZ.doc</t>
  </si>
  <si>
    <t>C:\Users\franc\OneDrive\Documentos\MALENTIN KARIME\SERVIU\2015\PAMELA IBACACHE.doc</t>
  </si>
  <si>
    <t>C:\Users\franc\OneDrive\Documentos\MALENTIN KARIME\SERVIU\2015\NORMA OYARCE RIVERA.doc</t>
  </si>
  <si>
    <t>C:\Users\franc\OneDrive\Documentos\MALENTIN KARIME\SERVIU\2015\NICOLAS SALAS ARAYA.doc</t>
  </si>
  <si>
    <t>C:\Users\franc\OneDrive\Documentos\MALENTIN KARIME\SERVIU\2015\NOE FLORES VELASQUEZ.doc</t>
  </si>
  <si>
    <t>C:\Users\franc\OneDrive\Documentos\MALENTIN KARIME\SERVIU\2015\NANCY CASTILLO ORTIZ conyuge.doc</t>
  </si>
  <si>
    <t>C:\Users\franc\OneDrive\Documentos\MALENTIN KARIME\SERVIU\2015\NELSON PEÑA ALFARO.doc</t>
  </si>
  <si>
    <t>C:\Users\franc\OneDrive\Documentos\MALENTIN KARIME\SERVIU\2015\MELDA BAEZA CONTRERAS.doc</t>
  </si>
  <si>
    <t>C:\Users\franc\OneDrive\Documentos\MALENTIN KARIME\SERVIU\2015\MONICA ALVARADO GUZMAN DS49.doc</t>
  </si>
  <si>
    <t>C:\Users\franc\OneDrive\Documentos\MALENTIN KARIME\SERVIU\2015\MONICA ARANEDA ZEPEDA.doc</t>
  </si>
  <si>
    <t>C:\Users\franc\OneDrive\Documentos\MALENTIN KARIME\SERVIU\2015\MARIO SILVA ALVARADO DS49.doc</t>
  </si>
  <si>
    <t>C:\Users\franc\OneDrive\Documentos\MALENTIN KARIME\SERVIU\2015\MARINA CORTES BARRAZA.doc</t>
  </si>
  <si>
    <t>C:\Users\franc\OneDrive\Documentos\MALENTIN KARIME\SERVIU\2015\MARIA ROJAS SALAS ds 49.doc</t>
  </si>
  <si>
    <t>C:\Users\franc\OneDrive\Documentos\MALENTIN KARIME\SERVIU\2015\MARICELA BAEZA CASTRO.doc</t>
  </si>
  <si>
    <t>C:\Users\franc\OneDrive\Documentos\MALENTIN KARIME\SERVIU\2015\MARIA CORTES VALDIVIA conyuge.doc</t>
  </si>
  <si>
    <t>C:\Users\franc\OneDrive\Documentos\MALENTIN KARIME\SERVIU\2015\MARIA LOPEZ GONZALEZ.doc</t>
  </si>
  <si>
    <t>C:\Users\franc\OneDrive\Documentos\MALENTIN KARIME\SERVIU\2015\MARIA CODOCEO LEON.doc</t>
  </si>
  <si>
    <t>C:\Users\franc\OneDrive\Documentos\MALENTIN KARIME\SERVIU\2015\MARIA ANDRADE ULLOA.doc</t>
  </si>
  <si>
    <t>C:\Users\franc\OneDrive\Documentos\MALENTIN KARIME\SERVIU\2015\MARGARITA ROBLES.doc</t>
  </si>
  <si>
    <t>C:\Users\franc\OneDrive\Documentos\MALENTIN KARIME\SERVIU\2015\MAFALDA CARMEN DIAZ conyuge.doc</t>
  </si>
  <si>
    <t>C:\Users\franc\OneDrive\Documentos\MALENTIN KARIME\SERVIU\2015\LUPERFINO ZAPATA LARA.doc</t>
  </si>
  <si>
    <t>C:\Users\franc\OneDrive\Documentos\MALENTIN KARIME\SERVIU\2015\LUCY BUGUEÑO.doc</t>
  </si>
  <si>
    <t>C:\Users\franc\OneDrive\Documentos\MALENTIN KARIME\SERVIU\2015\LUIS CARVAJAL CARVAJAL.doc</t>
  </si>
  <si>
    <t>C:\Users\franc\OneDrive\Documentos\MALENTIN KARIME\SERVIU\2015\LEONILDA PAEZ FABRES varios.doc</t>
  </si>
  <si>
    <t>C:\Users\franc\OneDrive\Documentos\MALENTIN KARIME\SERVIU\2015\LEONILDA PAEZ FABRES prohibicionvarios.doc</t>
  </si>
  <si>
    <t>C:\Users\franc\OneDrive\Documentos\MALENTIN KARIME\SERVIU\2015\JUANA TORREJON TORREJON.doc</t>
  </si>
  <si>
    <t>C:\Users\franc\OneDrive\Documentos\MALENTIN KARIME\SERVIU\2015\JUANA ROBLES ROBLES.doc</t>
  </si>
  <si>
    <t>C:\Users\franc\OneDrive\Documentos\MALENTIN KARIME\SERVIU\2015\JUANA PIÑONES.doc</t>
  </si>
  <si>
    <t>C:\Users\franc\OneDrive\Documentos\MALENTIN KARIME\SERVIU\2015\JUANA CORTES MUÑOZ.doc</t>
  </si>
  <si>
    <t>C:\Users\franc\OneDrive\Documentos\MALENTIN KARIME\SERVIU\2015\JIMMY LARA JULIO.doc</t>
  </si>
  <si>
    <t>C:\Users\franc\OneDrive\Documentos\MALENTIN KARIME\SERVIU\2015\JOSEFINA MARAMBIO.doc</t>
  </si>
  <si>
    <t>C:\Users\franc\OneDrive\Documentos\MALENTIN KARIME\SERVIU\2015\HILDA CARVAJAL ORDENES.doc</t>
  </si>
  <si>
    <t>C:\Users\franc\OneDrive\Documentos\MALENTIN KARIME\SERVIU\2015\JACINTO CASTRO ROJAS.doc</t>
  </si>
  <si>
    <t>C:\Users\franc\OneDrive\Documentos\MALENTIN KARIME\SERVIU\2015\HECTOR IBACACHE.doc</t>
  </si>
  <si>
    <t>C:\Users\franc\OneDrive\Documentos\MALENTIN KARIME\SERVIU\2015\FRANCISCO GALLARDO CONTRERAS.doc</t>
  </si>
  <si>
    <t>C:\Users\franc\OneDrive\Documentos\MALENTIN KARIME\SERVIU\2015\ESIQUIEL CORTES GARCIA.doc</t>
  </si>
  <si>
    <t>C:\Users\franc\OneDrive\Documentos\MALENTIN KARIME\SERVIU\2015\FABIOLA ROJAS RODRIGUEZ.doc</t>
  </si>
  <si>
    <t>C:\Users\franc\OneDrive\Documentos\MALENTIN KARIME\SERVIU\2015\ERMO CORTES MARDONES.doc</t>
  </si>
  <si>
    <t>C:\Users\franc\OneDrive\Documentos\MALENTIN KARIME\SERVIU\2015\EMILIANA AVENDAÑO conyuge.doc</t>
  </si>
  <si>
    <t>C:\Users\franc\OneDrive\Documentos\MALENTIN KARIME\SERVIU\2015\EDILIA LOPEZ DIAZ.doc</t>
  </si>
  <si>
    <t>C:\Users\franc\OneDrive\Documentos\MALENTIN KARIME\SERVIU\2015\EDELMIRA LANAS ROJAS.doc</t>
  </si>
  <si>
    <t>C:\Users\franc\OneDrive\Documentos\MALENTIN KARIME\SERVIU\2015\DANISSA POZO GARCIA.doc</t>
  </si>
  <si>
    <t>C:\Users\franc\OneDrive\Documentos\MALENTIN KARIME\SERVIU\2015\CRISTINA PIZARRO PIZARRO.doc</t>
  </si>
  <si>
    <t>C:\Users\franc\OneDrive\Documentos\MALENTIN KARIME\SERVIU\2015\CELINDA MUÑOZ VELIZ.doc</t>
  </si>
  <si>
    <t>C:\Users\franc\OneDrive\Documentos\MALENTIN KARIME\SERVIU\2015\CECLIA PAVEZ ARDILESconyuge.doc</t>
  </si>
  <si>
    <t>C:\Users\franc\OneDrive\Documentos\MALENTIN KARIME\SERVIU\2015\CECILIA ANDRADE MONARDEZ.doc</t>
  </si>
  <si>
    <t>C:\Users\franc\OneDrive\Documentos\MALENTIN KARIME\SERVIU\2015\BERNARDO CONTRERAS AGUIRRE DS 49.doc</t>
  </si>
  <si>
    <t>C:\Users\franc\OneDrive\Documentos\MALENTIN KARIME\SERVIU\2015\BLAS OLIVARES VALVERDE DS49.doc</t>
  </si>
  <si>
    <t>C:\Users\franc\OneDrive\Documentos\MALENTIN KARIME\SERVIU\2015\ANSELMO GALLEGUILLOS.doc</t>
  </si>
  <si>
    <t>C:\Users\franc\OneDrive\Documentos\MALENTIN KARIME\SERVIU\2015\ANA RIVERA.doc</t>
  </si>
  <si>
    <t>C:\Users\franc\OneDrive\Documentos\MALENTIN KARIME\SERVIU\2015\ANA ESPINOLA ORTIZ.doc</t>
  </si>
  <si>
    <t>C:\Users\franc\OneDrive\Documentos\MALENTIN KARIME\SERVIU\2015\ANA CASTILLO JARA DS 1.doc</t>
  </si>
  <si>
    <t>C:\Users\franc\OneDrive\Documentos\MALENTIN KARIME\SERVIU\2015\AMERICA VALVERDE OLIVARES.doc</t>
  </si>
  <si>
    <t>C:\Users\franc\OneDrive\Documentos\MALENTIN KARIME\SERVIU\2015\ALICIA CISTERNAS CISTERNAS.doc</t>
  </si>
  <si>
    <t>C:\Users\franc\OneDrive\Documentos\MALENTIN KARIME\SERVIU\2014\YARMINE SOLANGE JAIME DIAZ.doc</t>
  </si>
  <si>
    <t>C:\Users\franc\OneDrive\Documentos\MALENTIN KARIME\SERVIU\2014\TERESA ALFARO ALFARO.doc</t>
  </si>
  <si>
    <t>C:\Users\franc\OneDrive\Documentos\MALENTIN KARIME\SERVIU\2014\SONIA RIVERA ROJAS.doc</t>
  </si>
  <si>
    <t>C:\Users\franc\OneDrive\Documentos\MALENTIN KARIME\SERVIU\2014\ROSA CONTADOR CARVAJAL Comp serviu.doc</t>
  </si>
  <si>
    <t>C:\Users\franc\OneDrive\Documentos\MALENTIN KARIME\SERVIU\2014\RICARDO CORTES GARCIA.doc</t>
  </si>
  <si>
    <t>C:\Users\franc\OneDrive\Documentos\MALENTIN KARIME\SERVIU\2014\RODRIGO PINEDA BUGUEÑO 1 lote del total.doc</t>
  </si>
  <si>
    <t>C:\Users\franc\OneDrive\Documentos\MALENTIN KARIME\SERVIU\2014\ROMINA VEGA VEGA.doc</t>
  </si>
  <si>
    <t>C:\Users\franc\OneDrive\Documentos\MALENTIN KARIME\SERVIU\2014\PASCUAL TAPIA ARAYA.doc</t>
  </si>
  <si>
    <t>C:\Users\franc\OneDrive\Documentos\MALENTIN KARIME\SERVIU\2014\PEDRO ALDUNATE.doc</t>
  </si>
  <si>
    <t>C:\Users\franc\OneDrive\Documentos\MALENTIN KARIME\SERVIU\2014\NOLVIA MERCEDES MUÑOZ ASTUDILLO.doc</t>
  </si>
  <si>
    <t>C:\Users\franc\OneDrive\Documentos\MALENTIN KARIME\SERVIU\2014\PAOLA MILLA ALFARO.doc</t>
  </si>
  <si>
    <t>C:\Users\franc\OneDrive\Documentos\MALENTIN KARIME\SERVIU\2014\MONICA MADRID MONARDEZ.doc</t>
  </si>
  <si>
    <t>C:\Users\franc\OneDrive\Documentos\MALENTIN KARIME\SERVIU\2014\MARIA PALLERO ALDUNATE.doc</t>
  </si>
  <si>
    <t>C:\Users\franc\OneDrive\Documentos\MALENTIN KARIME\SERVIU\2014\MARIA TORRES RAMOS.doc</t>
  </si>
  <si>
    <t>C:\Users\franc\OneDrive\Documentos\MALENTIN KARIME\SERVIU\2014\MARIA LUISA ROJAS ALUCEMA.doc</t>
  </si>
  <si>
    <t>C:\Users\franc\OneDrive\Documentos\MALENTIN KARIME\SERVIU\2014\MARIA OLIVIA PIZARRO.doc</t>
  </si>
  <si>
    <t>C:\Users\franc\OneDrive\Documentos\MALENTIN KARIME\SERVIU\2014\MARIA ARAYA ELORZA.doc</t>
  </si>
  <si>
    <t>C:\Users\franc\OneDrive\Documentos\MALENTIN KARIME\SERVIU\2014\MARCELA KARINA VALDIVIA ARAYA.doc</t>
  </si>
  <si>
    <t>C:\Users\franc\OneDrive\Documentos\MALENTIN KARIME\SERVIU\2014\JUAN ARAYA ALVAREZ.doc</t>
  </si>
  <si>
    <t>C:\Users\franc\OneDrive\Documentos\MALENTIN KARIME\SERVIU\2014\KARIME TAPIA Prohibicion serviu.doc</t>
  </si>
  <si>
    <t>C:\Users\franc\OneDrive\Documentos\MALENTIN KARIME\SERVIU\2014\LEONILDA PAEZ FABRES conyuge.doc</t>
  </si>
  <si>
    <t>C:\Users\franc\OneDrive\Documentos\MALENTIN KARIME\SERVIU\2014\JOSELYN MARTINEZ SILVA lote subdiv.doc</t>
  </si>
  <si>
    <t>C:\Users\franc\OneDrive\Documentos\MALENTIN KARIME\SERVIU\2014\JOSE CASANOVA ESTAY.doc</t>
  </si>
  <si>
    <t>C:\Users\franc\OneDrive\Documentos\MALENTIN KARIME\SERVIU\2014\JILBERTO MONARDEZ.doc</t>
  </si>
  <si>
    <t>C:\Users\franc\OneDrive\Documentos\MALENTIN KARIME\SERVIU\2014\JOHANA MUNDACA.doc</t>
  </si>
  <si>
    <t>C:\Users\franc\OneDrive\Documentos\MALENTIN KARIME\SERVIU\2014\HUGO ANTIQUERA ANTIQUERA.doc</t>
  </si>
  <si>
    <t>C:\Users\franc\OneDrive\Documentos\MALENTIN KARIME\SERVIU\2014\IRIS OLIVARES RODRIGUEZ.doc</t>
  </si>
  <si>
    <t>C:\Users\franc\OneDrive\Documentos\MALENTIN KARIME\SERVIU\2014\HORACIO LOPEZ.doc</t>
  </si>
  <si>
    <t>C:\Users\franc\OneDrive\Documentos\MALENTIN KARIME\SERVIU\2014\HORACIO DEL ROSARIO LOPEZ.doc</t>
  </si>
  <si>
    <t>C:\Users\franc\OneDrive\Documentos\MALENTIN KARIME\SERVIU\2014\GUSTAVO VALDIVIA ARAYA.doc</t>
  </si>
  <si>
    <t>C:\Users\franc\OneDrive\Documentos\MALENTIN KARIME\SERVIU\2014\GUSTAVO PIZARRO CORTES.doc</t>
  </si>
  <si>
    <t>C:\Users\franc\OneDrive\Documentos\MALENTIN KARIME\SERVIU\2014\GIOCONDA ALCAYA DIAZ.doc</t>
  </si>
  <si>
    <t>C:\Users\franc\OneDrive\Documentos\MALENTIN KARIME\SERVIU\2014\FELIX VARELA ROBLES.doc</t>
  </si>
  <si>
    <t>C:\Users\franc\OneDrive\Documentos\MALENTIN KARIME\SERVIU\2014\GABRIELA VIVIANA ROBLES ROBLES.doc</t>
  </si>
  <si>
    <t>C:\Users\franc\OneDrive\Documentos\MALENTIN KARIME\SERVIU\2014\DANISA ARAYA BARRAZAprohibicion D.Uso.doc</t>
  </si>
  <si>
    <t>C:\Users\franc\OneDrive\Documentos\MALENTIN KARIME\SERVIU\2014\EDUARDO BOLADOS ARAYA.doc</t>
  </si>
  <si>
    <t>C:\Users\franc\OneDrive\Documentos\MALENTIN KARIME\SERVIU\2014\COMITE VILLA LA PORTADA.doc</t>
  </si>
  <si>
    <t>C:\Users\franc\OneDrive\Documentos\MALENTIN KARIME\SERVIU\2014\CARLOS VENEGAS ALVAREZ.doc</t>
  </si>
  <si>
    <t>C:\Users\franc\OneDrive\Documentos\MALENTIN KARIME\SERVIU\2014\CARMEN VALDIVA ROJAS.doc</t>
  </si>
  <si>
    <t>C:\Users\franc\OneDrive\Documentos\MALENTIN KARIME\SERVIU\2014\CARLOS COLLAO COLLAO.doc</t>
  </si>
  <si>
    <t>C:\Users\franc\OneDrive\Documentos\MALENTIN KARIME\SERVIU\2014\BEATRIZ VALVERDE OLIVARES Ivar.doc</t>
  </si>
  <si>
    <t>C:\Users\franc\OneDrive\Documentos\MALENTIN KARIME\SERVIU\2014\ALEJANDRO OSSANDON SEGOVIA 20015.doc</t>
  </si>
  <si>
    <t>C:\Users\franc\OneDrive\Documentos\MALENTIN KARIME\SERVIU\YORDAN MORGADO.doc</t>
  </si>
  <si>
    <t>C:\Users\franc\OneDrive\Documentos\MALENTIN KARIME\SERVIU\WILFREDO CARMONA ALZAMORA.doc</t>
  </si>
  <si>
    <t>C:\Users\franc\OneDrive\Documentos\MALENTIN KARIME\SERVIU\XIMENA VELASQUEZ AROS.doc</t>
  </si>
  <si>
    <t>C:\Users\franc\OneDrive\Documentos\MALENTIN KARIME\SERVIU\PROHIBICION Derecho Uso Nuevo Final 2015.doc</t>
  </si>
  <si>
    <t>C:\Users\franc\OneDrive\Documentos\MALENTIN KARIME\SERVIU\PROHIBICION modelo.doc</t>
  </si>
  <si>
    <t>C:\Users\franc\OneDrive\Documentos\MALENTIN KARIME\SERVIU\prohibicion D.Uso.doc</t>
  </si>
  <si>
    <t>C:\Users\franc\OneDrive\Documentos\MALENTIN KARIME\SERVIU\prohibicion D.Uso GLADYS VICENCIO 2015.doc</t>
  </si>
  <si>
    <t>C:\Users\franc\OneDrive\Documentos\MALENTIN KARIME\SERVIU\prohibicion D.Uso MODELO 2015.doc</t>
  </si>
  <si>
    <t>C:\Users\franc\OneDrive\Documentos\MALENTIN KARIME\SERVIU\prohibicion D.Uso CDAD PUNITAQUI.doc</t>
  </si>
  <si>
    <t>C:\Users\franc\OneDrive\Documentos\MALENTIN KARIME\SERVIU\prohibicion D.Uso CDAD CANELILLA.doc</t>
  </si>
  <si>
    <t>C:\Users\franc\OneDrive\Documentos\MALENTIN KARIME\SERVIU\OLIVIA OLIVARES RIVERA.doc</t>
  </si>
  <si>
    <t>C:\Users\franc\OneDrive\Documentos\MALENTIN KARIME\SERVIU\prohibicion D.Uso ALEJANDRA PASTEN 2015.doc</t>
  </si>
  <si>
    <t>C:\Users\franc\OneDrive\Documentos\MALENTIN KARIME\SERVIU\OLIVIA OLIVARES RIVERA Complem.doc</t>
  </si>
  <si>
    <t>C:\Users\franc\OneDrive\Documentos\MALENTIN KARIME\SERVIU\NILDA ESTHER ARAYA ARAYA.doc</t>
  </si>
  <si>
    <t>C:\Users\franc\OneDrive\Documentos\MALENTIN KARIME\SERVIU\MARTINA ARAYA ARAYA Suplente.doc</t>
  </si>
  <si>
    <t>C:\Users\franc\OneDrive\Documentos\MALENTIN KARIME\SERVIU\MANDATO  serviu mabel.doc</t>
  </si>
  <si>
    <t>C:\Users\franc\OneDrive\Documentos\MALENTIN KARIME\SERVIU\MANDATO  serviu mabel a ruego.doc</t>
  </si>
  <si>
    <t>C:\Users\franc\OneDrive\Documentos\MALENTIN KARIME\SERVIU\HILDA DEL ROSARIO ARAYA.doc</t>
  </si>
  <si>
    <t>C:\Users\franc\OneDrive\Documentos\MALENTIN KARIME\SERVIU\FANNY CORTES A RICARDO CORTES (SUBSIDIO).doc</t>
  </si>
  <si>
    <t>C:\Users\franc\OneDrive\Documentos\MALENTIN KARIME\SERVIU\FRANCISCO CAMPOS ALVARADO.doc</t>
  </si>
  <si>
    <t>C:\Users\franc\OneDrive\Documentos\MALENTIN KARIME\SERVIU\DELMIRA BARRAZA.doc</t>
  </si>
  <si>
    <t>C:\Users\franc\OneDrive\Documentos\MALENTIN KARIME\SERVIU\DELMIRA BARRAZA final.doc</t>
  </si>
  <si>
    <t>C:\Users\franc\OneDrive\Documentos\MALENTIN KARIME\SERVIU\DELMIRA BARRAZA  Aclara.doc</t>
  </si>
  <si>
    <t>C:\Users\franc\OneDrive\Documentos\MALENTIN KARIME\SERVIU\DECLARACION NO PARENTESCO.doc</t>
  </si>
  <si>
    <t>C:\Users\franc\OneDrive\Documentos\MALENTIN KARIME\SERVIU\DECLARACION NO PARENTESCO.doc ANA CASTRO CASTRO.doc</t>
  </si>
  <si>
    <t>C:\Users\franc\OneDrive\Documentos\MALENTIN KARIME\SERVIU\DECLARACION NO PARENTESCO Y OTROS Ana Brunilda Pizarro Castro.doc</t>
  </si>
  <si>
    <t>C:\Users\franc\OneDrive\Documentos\MALENTIN KARIME\SERVIU\DECLARACION NO PARENTESCO Ruben Navea.doc</t>
  </si>
  <si>
    <t>C:\Users\franc\OneDrive\Documentos\MALENTIN KARIME\SERVIU\DECLARACION NO PARENTESCO karime.doc</t>
  </si>
  <si>
    <t>C:\Users\franc\OneDrive\Documentos\MALENTIN KARIME\SERVIU\DECLARACION NO PARENTESCO A RUEGO.doc</t>
  </si>
  <si>
    <t>C:\Users\franc\OneDrive\Documentos\MALENTIN KARIME\SERVIU\DECLARACION karime.doc</t>
  </si>
  <si>
    <t>C:\Users\franc\OneDrive\Documentos\MALENTIN KARIME\SERVIU\DECLARACION JURADAavala.docx</t>
  </si>
  <si>
    <t>C:\Users\franc\OneDrive\Documentos\MALENTIN KARIME\SERVIU\DECLARACION JURADA Claudina Julio.docx</t>
  </si>
  <si>
    <t>C:\Users\franc\OneDrive\Documentos\MALENTIN KARIME\SERVIU\ANGELICA COLAMAR.doc</t>
  </si>
  <si>
    <t>C:\Users\franc\OneDrive\Documentos\MALENTIN KARIME\SERVIU\ACTA DE RECEPCION DE ENTREGA.doc</t>
  </si>
  <si>
    <t>C:\Users\franc\OneDrive\Documentos\MALENTIN KARIME\SERVIU\ANA ARAYA PIZARRO Declara y Mandato.doc</t>
  </si>
  <si>
    <t>C:\Users\franc\OneDrive\Documentos\MALENTIN KARIME\SERVIU\ACTA DE RECEPCION DE ENTREGA Ximena Marambio.doc</t>
  </si>
  <si>
    <t>C:\Users\franc\OneDrive\Documentos\MALENTIN KARIME\SERVIU\ACTA DE RECEPCION DE ENTREGA sin subsidio.doc</t>
  </si>
  <si>
    <t>C:\Users\franc\OneDrive\Documentos\MALENTIN KARIME\SERVIDUMBRES\WILSON VELIZ A TELEFONICA MOVILES.doc</t>
  </si>
  <si>
    <t>C:\Users\franc\OneDrive\Documentos\MALENTIN KARIME\SERVIDUMBRES\modelo Yenny.doc</t>
  </si>
  <si>
    <t>C:\Users\franc\OneDrive\Documentos\MALENTIN KARIME\SERVIDUMBRES\JULIO CAIMANQUE A TELEFONICA MOVILES.doc</t>
  </si>
  <si>
    <t>C:\Users\franc\OneDrive\Documentos\MALENTIN KARIME\SERVIDUMBRES\JOSE MIGUEL MUNIZAGA.doc</t>
  </si>
  <si>
    <t>C:\Users\franc\OneDrive\Documentos\MALENTIN KARIME\SEPULTURA\RUBEN ESQUIVEL SEPULVEDA A MARIA CRISTINA CUELLO DIAZ  (Parque Ovalle).doc</t>
  </si>
  <si>
    <t>C:\Users\franc\OneDrive\Documentos\MALENTIN KARIME\SEPULTURA\DARWIN RIVERA A Florencia Rojo  (Parque Ovalle).doc</t>
  </si>
  <si>
    <t>C:\Users\franc\OneDrive\Documentos\MALENTIN KARIME\SEP BIENES\SERGIO PAINEVILO A ANA ALVAREZ Minuta.doc</t>
  </si>
  <si>
    <t>C:\Users\franc\OneDrive\Documentos\MALENTIN KARIME\SEPULTURA\CARLOS ROJAS  NUÑEZ A Patricia Rivera  (Parque Ovalle).doc</t>
  </si>
  <si>
    <t>C:\Users\franc\OneDrive\Documentos\MALENTIN KARIME\SEP BIENES\SERGIO PAINEVILO A ANA ALVAREZ Minuta nuevadoc.doc</t>
  </si>
  <si>
    <t>C:\Users\franc\OneDrive\Documentos\MALENTIN KARIME\SEP BIENES\RAFAEL ROJAS Y DANIELA SANDOVAL 2018 Minuta.doc</t>
  </si>
  <si>
    <t>C:\Users\franc\OneDrive\Documentos\MALENTIN KARIME\SEP BIENES\modelo.doc</t>
  </si>
  <si>
    <t>C:\Users\franc\OneDrive\Documentos\MALENTIN KARIME\SEP BIENES\MAURICIO MALDONADO SEP BIENES Minuta.doc</t>
  </si>
  <si>
    <t>C:\Users\franc\OneDrive\Documentos\MALENTIN KARIME\SEP BIENES\MAGALY ANTIQUERA A RODRIGO LEYTON.doc</t>
  </si>
  <si>
    <t>C:\Users\franc\OneDrive\Documentos\MALENTIN KARIME\SEP BIENES\MARIO MORGADO Y MARIA CERDA Minuta.doc</t>
  </si>
  <si>
    <t>C:\Users\franc\OneDrive\Documentos\MALENTIN KARIME\SEP BIENES\JUAN CAMPUSANO Y ADRIANA ANDRADE.doc</t>
  </si>
  <si>
    <t>C:\Users\franc\OneDrive\Documentos\MALENTIN KARIME\SEP BIENES\JOSE VALDIVIA VILCHES A MARIA PIZARRO.doc</t>
  </si>
  <si>
    <t>C:\Users\franc\OneDrive\Documentos\MALENTIN KARIME\SEP BIENES\JOSE RAMIREZ Y SANDRA SORIA Adolfo.doc</t>
  </si>
  <si>
    <t>C:\Users\franc\OneDrive\Documentos\MALENTIN KARIME\SEP BIENES\JORGE PASTENA A Karen Araya.doc</t>
  </si>
  <si>
    <t>C:\Users\franc\OneDrive\Documentos\MALENTIN KARIME\SEP BIENES\JORGE HIDALGO Y SONALI CORTES Minuta.doc</t>
  </si>
  <si>
    <t>C:\Users\franc\OneDrive\Documentos\MALENTIN KARIME\SEP BIENES\FABIOLA FARIAS Y DAVID CASTRO.doc</t>
  </si>
  <si>
    <t>C:\Users\franc\OneDrive\Documentos\MALENTIN KARIME\SEP BIENES\CLAUDIO NUÑEZ A Maritza Vergara.doc</t>
  </si>
  <si>
    <t>C:\Users\franc\OneDrive\Documentos\MALENTIN KARIME\SEP BIENES\EMEDITA MIRANDA A Guido Rodriguez.doc</t>
  </si>
  <si>
    <t>C:\Users\franc\OneDrive\Documentos\MALENTIN KARIME\SEP BIENES\ANGELICA CORDOVA A Christian Tabilo minuta.doc</t>
  </si>
  <si>
    <t>C:\Users\franc\OneDrive\Documentos\MALENTIN KARIME\SEP BIENES\ADOLFO CASTILLO Y MARIANET SAEZ Minuta.doc</t>
  </si>
  <si>
    <t>C:\Users\franc\OneDrive\Documentos\MALENTIN KARIME\Rosa\YENNI\ALFONSO ARTIGUES POR SOC. ANGOSTURA.- FIANZA SOLIDARIA.doc</t>
  </si>
  <si>
    <t>C:\Users\franc\OneDrive\Documentos\MALENTIN KARIME\Rosa\YENNI\Separación de bienes.doc</t>
  </si>
  <si>
    <t>C:\Users\franc\OneDrive\Documentos\MALENTIN KARIME\Rosa\VARIOS\VARIOS ROSA ELENA\CONTRATO INDEFINIDO.doc</t>
  </si>
  <si>
    <t>C:\Users\franc\OneDrive\Documentos\MALENTIN KARIME\Rosa\VARIOS\SE AGREGA DOCUMENTO\SE PROTOCOLIZA DOCUMENTO DESPUES DE FIRMA.doc</t>
  </si>
  <si>
    <t>C:\Users\franc\OneDrive\Documentos\MALENTIN KARIME\Rosa\VARIOS\VARIOS ROSA ELENA\CONTRATO DE TRABAJO Nº2 ROSA PEREZ VALDERRAMA.doc</t>
  </si>
  <si>
    <t>C:\Users\franc\OneDrive\Documentos\MALENTIN KARIME\Rosa\VARIOS\SE AGREGA DOCUMENTO\liquidación de sueldo.doc</t>
  </si>
  <si>
    <t>C:\Users\franc\OneDrive\Documentos\MALENTIN KARIME\Rosa\VARIOS\SE AGREGA DOCUMENTO\certificado matrimonio Farid Jacob.doc</t>
  </si>
  <si>
    <t>C:\Users\franc\OneDrive\Documentos\MALENTIN KARIME\Rosa\VARIOS\SE AGREGA DOCUMENTO\LEY 20.130.doc</t>
  </si>
  <si>
    <t>C:\Users\franc\OneDrive\Documentos\MALENTIN KARIME\Rosa\VARIOS\SE AGREGA DOCUMENTO\AGREGA rol de avaluol.doc</t>
  </si>
  <si>
    <t>C:\Users\franc\OneDrive\Documentos\MALENTIN KARIME\Rosa\VARIOS\SE AGREGA DOCUMENTO\AGREGA pago contribuciones.doc</t>
  </si>
  <si>
    <t>C:\Users\franc\OneDrive\Documentos\MALENTIN KARIME\Rosa\VARIOS\SE AGREGA DOCUMENTO\AGREGA IMPUESTO.doc</t>
  </si>
  <si>
    <t>C:\Users\franc\OneDrive\Documentos\MALENTIN KARIME\Rosa\VARIOS\SE AGREGA DOCUMENTO\AGREGA CERTIFICADO matrimonioROBERTO VEGA ALCAYAGA.doc</t>
  </si>
  <si>
    <t>C:\Users\franc\OneDrive\Documentos\MALENTIN KARIME\Rosa\VARIOS\SE AGREGA DOCUMENTO\AGREGA IMPUESTO MUTUO.doc</t>
  </si>
  <si>
    <t>C:\Users\franc\OneDrive\Documentos\MALENTIN KARIME\Rosa\VARIOS\PLANILLAS\PLANILLA PUBLICACIONES.doc</t>
  </si>
  <si>
    <t>C:\Users\franc\OneDrive\Documentos\MALENTIN KARIME\Rosa\VARIOS\SE AGREGA DOCUMENTO\AGREGA CERTIFICADO matrimonio normal.doc</t>
  </si>
  <si>
    <t>C:\Users\franc\OneDrive\Documentos\MALENTIN KARIME\Rosa\VARIOS\PLANILLAS\ANOTACION DE PUBLICACIONES.doc</t>
  </si>
  <si>
    <t>C:\Users\franc\OneDrive\Documentos\MALENTIN KARIME\Rosa\VARIOS\PLANILLAS\ANOTACION DE DOMINIO VIGENTE, PRENDA Y PROHBICION.doc</t>
  </si>
  <si>
    <t>C:\Users\franc\OneDrive\Documentos\MALENTIN KARIME\Rosa\VARIOS\NOTA AL MARGEN\notas al margen revocacion mandato judicial  ACTUAL.doc</t>
  </si>
  <si>
    <t>C:\Users\franc\OneDrive\Documentos\MALENTIN KARIME\Rosa\VARIOS\NOTA AL MARGEN\notas al margen Resciliación  ACTUAL.doc</t>
  </si>
  <si>
    <t>C:\Users\franc\OneDrive\Documentos\MALENTIN KARIME\Rosa\VARIOS\NOTA AL MARGEN\notas al margen Resciliación ANTERIOR.doc</t>
  </si>
  <si>
    <t>C:\Users\franc\OneDrive\Documentos\MALENTIN KARIME\Rosa\VARIOS\NOTA AL MARGEN\notas al margen Rectificación ANTERIOR.doc</t>
  </si>
  <si>
    <t>C:\Users\franc\OneDrive\Documentos\MALENTIN KARIME\Rosa\VARIOS\NOTA AL MARGEN\notas al margen Rectificación ACTUAL.doc</t>
  </si>
  <si>
    <t>C:\Users\franc\OneDrive\Documentos\MALENTIN KARIME\Rosa\VARIOS\NOTA AL MARGEN\notas al margen Complementación ANTERIOR.doc</t>
  </si>
  <si>
    <t>C:\Users\franc\OneDrive\Documentos\MALENTIN KARIME\Rosa\VARIOS\NOTA AL MARGEN\nota al margen 2.doc</t>
  </si>
  <si>
    <t>C:\Users\franc\OneDrive\Documentos\MALENTIN KARIME\Rosa\VARIOS\NOTA AL MARGEN\notas al margen  rectifica ANTERIOR.doc</t>
  </si>
  <si>
    <t>C:\Users\franc\OneDrive\Documentos\MALENTIN KARIME\Rosa\VARIOS\NOTA AL MARGEN\nota al margen 1 ACTUAL.doc</t>
  </si>
  <si>
    <t>C:\Users\franc\OneDrive\Documentos\MALENTIN KARIME\Rosa\VARIOS\MODELOS SOBRES\SOBRE.doc</t>
  </si>
  <si>
    <t>C:\Users\franc\OneDrive\Documentos\MALENTIN KARIME\Rosa\VARIOS\MODELOS SOBRES\SOBRE VARIOS.doc</t>
  </si>
  <si>
    <t>C:\Users\franc\OneDrive\Documentos\MALENTIN KARIME\Rosa\VARIOS\MODELOS SOBRES\SOBRE 3.doc</t>
  </si>
  <si>
    <t>C:\Users\franc\OneDrive\Documentos\MALENTIN KARIME\Rosa\VARIOS\MODELOS SOBRES\SOBRE FACTORONE.doc</t>
  </si>
  <si>
    <t>C:\Users\franc\OneDrive\Documentos\MALENTIN KARIME\Rosa\VARIOS\MODELOS SOBRES\SOBRE 2.doc</t>
  </si>
  <si>
    <t>C:\Users\franc\OneDrive\Documentos\MALENTIN KARIME\Rosa\VARIOS\MODELOS SOBRES\SOBRE 1.doc</t>
  </si>
  <si>
    <t>C:\Users\franc\OneDrive\Documentos\MALENTIN KARIME\Rosa\VARIOS\DON LUIS-BANCO\MODIFICACION RAUL CORTES.doc</t>
  </si>
  <si>
    <t>C:\Users\franc\OneDrive\Documentos\MALENTIN KARIME\Rosa\VARIOS\DON LUIS-BANCO\MARCELA CORTES A RAUL CORTES.doc</t>
  </si>
  <si>
    <t>C:\Users\franc\OneDrive\Documentos\MALENTIN KARIME\Rosa\VARIOS\DON LUIS-BANCO\MARCELA C. A RAUL CORTES.doc</t>
  </si>
  <si>
    <t>C:\Users\franc\OneDrive\Documentos\MALENTIN KARIME\Rosa\VARIOS\Don Luis\SII Online.doc</t>
  </si>
  <si>
    <t>C:\Users\franc\OneDrive\Documentos\MALENTIN KARIME\Rosa\VARIOS\Don Luis\DOCUMENTO PARA REMATE.doc</t>
  </si>
  <si>
    <t>C:\Users\franc\OneDrive\Documentos\MALENTIN KARIME\Rosa\VARIOS\Don Luis\DOCUMENTOS VARIOS DON LUIS.doc</t>
  </si>
  <si>
    <t>C:\Users\franc\OneDrive\Documentos\MALENTIN KARIME\Rosa\VARIOS\DECRETOS NOTARIOS SUPLENTES\decreto SANTIAGO CABRERA.doc</t>
  </si>
  <si>
    <t>C:\Users\franc\OneDrive\Documentos\MALENTIN KARIME\Rosa\VARIOS\DECRETOS NOTARIOS SUPLENTES\decreto SERGIO CORTES BELTRAN.doc</t>
  </si>
  <si>
    <t>C:\Users\franc\OneDrive\Documentos\MALENTIN KARIME\Rosa\VARIOS\DECRETOS NOTARIOS SUPLENTES\decreto MARIA INES NUÑEZ.doc</t>
  </si>
  <si>
    <t>C:\Users\franc\OneDrive\Documentos\MALENTIN KARIME\Rosa\VARIOS\DECRETOS NOTARIOS SUPLENTES\decreto ROBERTO CAMPUSANO.doc</t>
  </si>
  <si>
    <t>C:\Users\franc\OneDrive\Documentos\MALENTIN KARIME\Rosa\VARIOS\DECRETOS NOTARIOS SUPLENTES\decreto FRANCISCO SAAVEDRA.doc</t>
  </si>
  <si>
    <t>C:\Users\franc\OneDrive\Documentos\MALENTIN KARIME\Rosa\VARIOS\DECRETOS NOTARIOS SUPLENTES\decreto MANLIO METTIFOGO.doc</t>
  </si>
  <si>
    <t>C:\Users\franc\OneDrive\Documentos\MALENTIN KARIME\Rosa\VARIOS\DECRETOS NOTARIOS SUPLENTES\decreto CLAUDIO ARAYA CASTILLO.doc</t>
  </si>
  <si>
    <t>C:\Users\franc\OneDrive\Documentos\MALENTIN KARIME\Rosa\VARIOS\DECRETOS NOTARIOS SUPLENTES\decreto CATALINA NOELIA MULET DIAZ.doc</t>
  </si>
  <si>
    <t>C:\Users\franc\OneDrive\Documentos\MALENTIN KARIME\Rosa\VARIOS\CARTA A MAGISTRADOS\VALERIA MULET.doc</t>
  </si>
  <si>
    <t>C:\Users\franc\OneDrive\Documentos\MALENTIN KARIME\Rosa\VARIOS\DECRETOS NOTARIOS SUPLENTES\decreto ADOLFO LAY.doc</t>
  </si>
  <si>
    <t>C:\Users\franc\OneDrive\Documentos\MALENTIN KARIME\Rosa\VARIOS\CARTA A MAGISTRADOS\FRACISCO BRAVO RAMIREZ.doc</t>
  </si>
  <si>
    <t>C:\Users\franc\OneDrive\Documentos\MALENTIN KARIME\Rosa\VARIOS\CARTA A MAGISTRADOS\ANA NARANJO BISCHOF.doc</t>
  </si>
  <si>
    <t>C:\Users\franc\OneDrive\Documentos\MALENTIN KARIME\Rosa\VARIOS\AUTORIZACIONES\AUTORIZACION ESCRITURAS CON VIGENCIA.doc</t>
  </si>
  <si>
    <t>C:\Users\franc\OneDrive\Documentos\MALENTIN KARIME\Rosa\VARIOS\AUTORIZACIONES\Autorizo la firma para Letras.doc</t>
  </si>
  <si>
    <t>C:\Users\franc\OneDrive\Documentos\MALENTIN KARIME\Rosa\VARIOS\AUTORIZACIONES\AUTORIZACION ESCRITURAS CON VIGENCIA horizontal.doc</t>
  </si>
  <si>
    <t>C:\Users\franc\OneDrive\Documentos\MALENTIN KARIME\Rosa\VARIOS\AUTORIZACIONES\AUTORIZACION DIARIO OFICIAL.doc</t>
  </si>
  <si>
    <t>C:\Users\franc\OneDrive\Documentos\MALENTIN KARIME\Rosa\VARIOS\AUTORIZACIONES\AUTORIZACION DOCUMENTO PROTOCOLIZADO.doc</t>
  </si>
  <si>
    <t>C:\Users\franc\OneDrive\Documentos\MALENTIN KARIME\Rosa\VARIOS\AUTORIZACIONES\AUTORIZA LIBRO PARA COPIAS.doc</t>
  </si>
  <si>
    <t>C:\Users\franc\OneDrive\Documentos\MALENTIN KARIME\Rosa\VARIOS\AUTORIZACIONES\AUTORIZACION DE FIRMAS.doc</t>
  </si>
  <si>
    <t>C:\Users\franc\OneDrive\Documentos\MALENTIN KARIME\Rosa\VARIOS\AUTORIZACIONES\AUTORIZA LIBRO PARA COPIAS.- HORIZONTAL.doc</t>
  </si>
  <si>
    <t>C:\Users\franc\OneDrive\Documentos\MALENTIN KARIME\Rosa\VARIOS\VEN ESPIRITU SANTO.doc</t>
  </si>
  <si>
    <t>C:\Users\franc\OneDrive\Documentos\MALENTIN KARIME\Rosa\VARIOS\AUTORIZACIONES\AUTORIZA LIBRO PARA COPIAS actas.doc</t>
  </si>
  <si>
    <t>C:\Users\franc\OneDrive\Documentos\MALENTIN KARIME\Rosa\VARIOS\SOBRE VICTOR HUGO CORPBANCA.doc</t>
  </si>
  <si>
    <t>C:\Users\franc\OneDrive\Documentos\MALENTIN KARIME\Rosa\VARIOS\TIMBRE DE  PRIVILEGIO POBREZA.doc</t>
  </si>
  <si>
    <t>C:\Users\franc\OneDrive\Documentos\MALENTIN KARIME\Rosa\VARIOS\PERSONERIA BANCO SANTANDER[1].doc</t>
  </si>
  <si>
    <t>C:\Users\franc\OneDrive\Documentos\MALENTIN KARIME\Rosa\VARIOS\PERSONERIAS BANCO DE CHILE.doc</t>
  </si>
  <si>
    <t>C:\Users\franc\OneDrive\Documentos\MALENTIN KARIME\Rosa\VARIOS\PAGARE.doc</t>
  </si>
  <si>
    <t>C:\Users\franc\OneDrive\Documentos\MALENTIN KARIME\Rosa\VARIOS\NOMBRE LIBRO DE REPERTORIO.doc</t>
  </si>
  <si>
    <t>C:\Users\franc\OneDrive\Documentos\MALENTIN KARIME\Rosa\VARIOS\MODELO NOTARIO.doc</t>
  </si>
  <si>
    <t>C:\Users\franc\OneDrive\Documentos\MALENTIN KARIME\Rosa\VARIOS\LISTA MATERIALES.doc</t>
  </si>
  <si>
    <t>C:\Users\franc\OneDrive\Documentos\MALENTIN KARIME\Rosa\VARIOS\MINA LA YACO 1 AL 19 vender.doc</t>
  </si>
  <si>
    <t>C:\Users\franc\OneDrive\Documentos\MALENTIN KARIME\Rosa\VARIOS\INSERTO DOCUMENTOS.doc</t>
  </si>
  <si>
    <t>C:\Users\franc\OneDrive\Documentos\MALENTIN KARIME\Rosa\VARIOS\LEYENDA PARA AUTORIZAR DOC. PROTOCOLIZADO.doc</t>
  </si>
  <si>
    <t>C:\Users\franc\OneDrive\Documentos\MALENTIN KARIME\Rosa\VARIOS\FORMULARIO  24 SCOTIABANK-.doc</t>
  </si>
  <si>
    <t>C:\Users\franc\OneDrive\Documentos\MALENTIN KARIME\Rosa\VARIOS\hoja en blanco con membrete.doc</t>
  </si>
  <si>
    <t>C:\Users\franc\OneDrive\Documentos\MALENTIN KARIME\Rosa\VARIOS\FORMULARIO  24 SCOTIABANK- BULO pendiente.doc</t>
  </si>
  <si>
    <t>C:\Users\franc\OneDrive\Documentos\MALENTIN KARIME\Rosa\VARIOS\FORMULARIO  24 PARTICULARES.doc</t>
  </si>
  <si>
    <t>C:\Users\franc\OneDrive\Documentos\MALENTIN KARIME\Rosa\VARIOS\FORMULARIO  24 CORPBANCA.doc</t>
  </si>
  <si>
    <t>C:\Users\franc\OneDrive\Documentos\MALENTIN KARIME\Rosa\VARIOS\Firma a ruego.doc</t>
  </si>
  <si>
    <t>C:\Users\franc\OneDrive\Documentos\MALENTIN KARIME\Rosa\VARIOS\Firma a ruego problema sólo  para firmar.doc</t>
  </si>
  <si>
    <t>C:\Users\franc\OneDrive\Documentos\MALENTIN KARIME\Rosa\VARIOS\ejemplo  EXTRACTO E.I.R.L.doc</t>
  </si>
  <si>
    <t>C:\Users\franc\OneDrive\Documentos\MALENTIN KARIME\Rosa\VARIOS\extracto marcelo corral soc - modific soc agosto.doc</t>
  </si>
  <si>
    <t>C:\Users\franc\OneDrive\Documentos\MALENTIN KARIME\Rosa\VARIOS\DOCUMENTO DON ROBERTO VEGA.doc</t>
  </si>
  <si>
    <t>C:\Users\franc\OneDrive\Documentos\MALENTIN KARIME\Rosa\VARIOS\DOCUMENTOS NECESARIOS PARA UNA VENTA.doc</t>
  </si>
  <si>
    <t>C:\Users\franc\OneDrive\Documentos\MALENTIN KARIME\Rosa\VARIOS\DATOS EMPRESAS.doc</t>
  </si>
  <si>
    <t>C:\Users\franc\OneDrive\Documentos\MALENTIN KARIME\Rosa\VARIOS\Doc. entrega de llaves Don Luis.doc</t>
  </si>
  <si>
    <t>C:\Users\franc\OneDrive\Documentos\MALENTIN KARIME\Rosa\VARIOS\ctt[1]. David Troncoso Saavedra.doc</t>
  </si>
  <si>
    <t>C:\Users\franc\OneDrive\Documentos\MALENTIN KARIME\Rosa\VARIOS\Copia de PROTOCOLIZADOS.xls</t>
  </si>
  <si>
    <t>C:\Users\franc\OneDrive\Documentos\MALENTIN KARIME\Rosa\VARIOS\CLAUSULA se guarda para sí un terreno.doc</t>
  </si>
  <si>
    <t>C:\Users\franc\OneDrive\Documentos\MALENTIN KARIME\Rosa\VARIOS\CARTA.doc</t>
  </si>
  <si>
    <t>C:\Users\franc\OneDrive\Documentos\MALENTIN KARIME\Rosa\VARIOS\Cierre y Apertura Libro Repertorio.doc</t>
  </si>
  <si>
    <t>C:\Users\franc\OneDrive\Documentos\MALENTIN KARIME\Rosa\VARIOS\CARTA Nº2 C. BIENES RAICES.doc</t>
  </si>
  <si>
    <t>C:\Users\franc\OneDrive\Documentos\MALENTIN KARIME\Rosa\VARIOS\CARTA TESORERO REGIONAL.doc</t>
  </si>
  <si>
    <t>C:\Users\franc\OneDrive\Documentos\MALENTIN KARIME\Rosa\VARIOS\CARTA NOTIFICACION BCO. CORPBANCA.doc</t>
  </si>
  <si>
    <t>C:\Users\franc\OneDrive\Documentos\MALENTIN KARIME\Rosa\VARIOS\CARTA JUZGADO-REPERTORIO.doc</t>
  </si>
  <si>
    <t>C:\Users\franc\OneDrive\Documentos\MALENTIN KARIME\Rosa\VARIOS\CARTA INSTRUCCIONES MAYO 2011.doc</t>
  </si>
  <si>
    <t>C:\Users\franc\OneDrive\Documentos\MALENTIN KARIME\Rosa\VARIOS\CARTA ENVIOS VARIOS.doc</t>
  </si>
  <si>
    <t>C:\Users\franc\OneDrive\Documentos\MALENTIN KARIME\Rosa\VARIOS\CARTA GASTOS.doc</t>
  </si>
  <si>
    <t>C:\Users\franc\OneDrive\Documentos\MALENTIN KARIME\Rosa\VARIOS\CARTA bco. CORPBANCA.doc</t>
  </si>
  <si>
    <t>C:\Users\franc\OneDrive\Documentos\MALENTIN KARIME\Rosa\VARIOS\CARTA ALZAMIENTO[1].doc</t>
  </si>
  <si>
    <t>C:\Users\franc\OneDrive\Documentos\MALENTIN KARIME\Rosa\VARIOS\CARTA AL C.B.R. PROT. PLANO.doc</t>
  </si>
  <si>
    <t>C:\Users\franc\OneDrive\Documentos\MALENTIN KARIME\Rosa\VARIOS\AGRICOLA AGUSTIN ARAYA roberto.doc</t>
  </si>
  <si>
    <t>C:\Users\franc\OneDrive\Documentos\MALENTIN KARIME\Rosa\VARIOS\Autoriza firma de LOBOS - RENTERIA Y OTROS CONTRATO MUNICIPALIDAD.doc</t>
  </si>
  <si>
    <t>C:\Users\franc\OneDrive\Documentos\MALENTIN KARIME\Rosa\VARIOS\borrador sociedad.doc</t>
  </si>
  <si>
    <t>C:\Users\franc\OneDrive\Documentos\MALENTIN KARIME\Rosa\VARIOS\ACTA DE CONSTATACION DE HECHOS.doc</t>
  </si>
  <si>
    <t>C:\Users\franc\OneDrive\Documentos\MALENTIN KARIME\Rosa\VARIOS\agrega dcto. parte integrante de 1 escritura.doc</t>
  </si>
  <si>
    <t>C:\Users\franc\OneDrive\Documentos\MALENTIN KARIME\Rosa\UNI-AGRI\UNI-AGRI OCTUBRE 2010\fotos cuartel1.doc</t>
  </si>
  <si>
    <t>C:\Users\franc\OneDrive\Documentos\MALENTIN KARIME\Rosa\UNI-AGRI\UNI-AGRI OCTUBRE 2010\fotos cuartel2.doc</t>
  </si>
  <si>
    <t>C:\Users\franc\OneDrive\Documentos\MALENTIN KARIME\Rosa\UNI-AGRI\UNI-AGRI OCTUBRE 2010\ACTA UNI AGRI NUEVA AURORA.doc</t>
  </si>
  <si>
    <t>C:\Users\franc\OneDrive\Documentos\MALENTIN KARIME\Rosa\UNI-AGRI\UNI-AGRI OCTUBRE 2010\fotos cuarte ISLA.doc</t>
  </si>
  <si>
    <t>C:\Users\franc\OneDrive\Documentos\MALENTIN KARIME\Rosa\UNI-AGRI\UNI-AGRI MARZO 2010\UNI-AGRI LA COIPA\fotos cuartel 5 la coipa.doc</t>
  </si>
  <si>
    <t>C:\Users\franc\OneDrive\Documentos\MALENTIN KARIME\Rosa\UNI-AGRI\UNI-AGRI MARZO 2010\UNI-AGRI LA COIPA\fotos cuartel 6 la coipa.doc</t>
  </si>
  <si>
    <t>C:\Users\franc\OneDrive\Documentos\MALENTIN KARIME\Rosa\UNI-AGRI\UNI-AGRI MARZO 2010\UNI-AGRI LA COIPA\ACTA UNI AGRI LA COIPA.doc</t>
  </si>
  <si>
    <t>C:\Users\franc\OneDrive\Documentos\MALENTIN KARIME\Rosa\UNI-AGRI\UNI-AGRI MARZO 2010\UNI-AGRI LA COIPA\fotos cuartel 17 la coipa.doc</t>
  </si>
  <si>
    <t>C:\Users\franc\OneDrive\Documentos\MALENTIN KARIME\Rosa\UNI-AGRI\UNI-AGRI MARZO 2010\UNI-AGRI CHAÑARAL ALTO\fotos cuartel 9Chañaral ALTO.doc</t>
  </si>
  <si>
    <t>C:\Users\franc\OneDrive\Documentos\MALENTIN KARIME\Rosa\UNI-AGRI\UNI-AGRI MARZO 2010\UNI-AGRI CHAÑARAL ALTO\fotos cuartel 8 Chañaral ALTO.doc</t>
  </si>
  <si>
    <t>C:\Users\franc\OneDrive\Documentos\MALENTIN KARIME\Rosa\UNI-AGRI\UNI-AGRI MARZO 2010\UNI-AGRI CHAÑARAL ALTO\fotos cuartel 6 Chañaral ALTO.doc</t>
  </si>
  <si>
    <t>C:\Users\franc\OneDrive\Documentos\MALENTIN KARIME\Rosa\UNI-AGRI\UNI-AGRI MARZO 2010\UNI-AGRI CHAÑARAL ALTO\fotos cuartel 10 Chañaral ALTO.doc</t>
  </si>
  <si>
    <t>C:\Users\franc\OneDrive\Documentos\MALENTIN KARIME\Rosa\UNI-AGRI\UNI-AGRI MARZO 2010\UNI-AGRI CHAÑARAL ALTO\fotos cuartel 5 Chañaral ALTO.doc</t>
  </si>
  <si>
    <t>C:\Users\franc\OneDrive\Documentos\MALENTIN KARIME\Rosa\UNI-AGRI\UNI-AGRI MARZO 2010\UNI-AGRI CHAÑARAL ALTO\ACTA UNI AGRI LA CHAÑARAL ALTO.doc</t>
  </si>
  <si>
    <t>C:\Users\franc\OneDrive\Documentos\MALENTIN KARIME\Rosa\UNI-AGRI\UNI-AGRI MARZO 2010\UNI-AGRI CHACARILLAS\fotos cuartel 7000 la chacarilla.doc</t>
  </si>
  <si>
    <t>C:\Users\franc\OneDrive\Documentos\MALENTIN KARIME\Rosa\UNI-AGRI\UNI-AGRI MARZO 2010\UNI-AGRI CHACARILLAS\fotos cuartel 2 la chacarilla.doc</t>
  </si>
  <si>
    <t>C:\Users\franc\OneDrive\Documentos\MALENTIN KARIME\Rosa\UNI-AGRI\UNI-AGRI JUNIO 2010 II\FUNDO NUEVA AURORA\fotos cuartel3.doc</t>
  </si>
  <si>
    <t>C:\Users\franc\OneDrive\Documentos\MALENTIN KARIME\Rosa\UNI-AGRI\UNI-AGRI MARZO 2010\UNI-AGRI CHACARILLAS\ACTA UNI AGRI CHACARILLAS.doc</t>
  </si>
  <si>
    <t>C:\Users\franc\OneDrive\Documentos\MALENTIN KARIME\Rosa\UNI-AGRI\UNI-AGRI JUNIO 2010 II\FUNDO NUEVA AURORA\fotos cuartel 4.doc</t>
  </si>
  <si>
    <t>C:\Users\franc\OneDrive\Documentos\MALENTIN KARIME\Rosa\UNI-AGRI\UNI-AGRI JUNIO 2010 II\FUNDO NUEVA AURORA\fotos cuartel 5.doc</t>
  </si>
  <si>
    <t>C:\Users\franc\OneDrive\Documentos\MALENTIN KARIME\Rosa\UNI-AGRI\UNI-AGRI JUNIO 2010 II\FUNDO NUEVA AURORA\ACTA UNI AGRI NUEVA AURORA.doc</t>
  </si>
  <si>
    <t>C:\Users\franc\OneDrive\Documentos\MALENTIN KARIME\Rosa\UNI-AGRI\UNI-AGRI JUNIO 2010 II\FUNDO CAMARICO\fotos cuartel 3.doc</t>
  </si>
  <si>
    <t>C:\Users\franc\OneDrive\Documentos\MALENTIN KARIME\Rosa\UNI-AGRI\UNI-AGRI JUNIO 2010 II\FUNDO CAMARICO\fotos cuartel 4.doc</t>
  </si>
  <si>
    <t>C:\Users\franc\OneDrive\Documentos\MALENTIN KARIME\Rosa\UNI-AGRI\UNI-AGRI JUNIO 2010 II\FUNDO CAMARICO\ACTA UNI AGRI CAMARICO.doc</t>
  </si>
  <si>
    <t>C:\Users\franc\OneDrive\Documentos\MALENTIN KARIME\Rosa\UNI-AGRI\UNI-AGRI JUNIO 2010 II\FUNDO CAMARICO\fotos cuartel 2.doc</t>
  </si>
  <si>
    <t>C:\Users\franc\OneDrive\Documentos\MALENTIN KARIME\Rosa\UNI-AGRI\UNI-AGRI JUNIO 2010\FUNDO SANTA ROSA\fotos cuartel 16.doc</t>
  </si>
  <si>
    <t>C:\Users\franc\OneDrive\Documentos\MALENTIN KARIME\Rosa\UNI-AGRI\UNI-AGRI JUNIO 2010\FUNDO SANTA ROSA\ACTA UNI AGRI FUNDO SANTA ROSA.doc</t>
  </si>
  <si>
    <t>C:\Users\franc\OneDrive\Documentos\MALENTIN KARIME\Rosa\UNI-AGRI\UNI-AGRI JUNIO 2010\FUNDO SANTA ROSA\fotos cuartel 15.doc</t>
  </si>
  <si>
    <t>C:\Users\franc\OneDrive\Documentos\MALENTIN KARIME\Rosa\UNI-AGRI\UNI-AGRI JUNIO 2010\FUNDO LAS REPRESAS\fotos cuartel Nº3  las represas.doc</t>
  </si>
  <si>
    <t>C:\Users\franc\OneDrive\Documentos\MALENTIN KARIME\Rosa\UNI-AGRI\UNI-AGRI JUNIO 2010\FUNDO LAS REPRESAS\fotos granados variedad Mollar.doc</t>
  </si>
  <si>
    <t>C:\Users\franc\OneDrive\Documentos\MALENTIN KARIME\Rosa\UNI-AGRI\UNI-AGRI JUNIO 2010\FUNDO LAS REPRESAS\fotos cuartel cacho las represas.doc</t>
  </si>
  <si>
    <t>C:\Users\franc\OneDrive\Documentos\MALENTIN KARIME\Rosa\UNI-AGRI\UNI-AGRI JUNIO 2010\FUNDO LAS REPRESAS\ACTA UNI AGRI LAS REPRESAS.doc</t>
  </si>
  <si>
    <t>C:\Users\franc\OneDrive\Documentos\MALENTIN KARIME\Rosa\UNI-AGRI\UNI-AGRI JUNIO 2010\FUNDO LAS REPRESAS\fotos cuartel   Piedra las represas.doc</t>
  </si>
  <si>
    <t>C:\Users\franc\OneDrive\Documentos\MALENTIN KARIME\Rosa\UNI-AGRI\UNI-AGRI JUNIO 2010\FUNDO HUANILLA\fotos cuartel4.doc</t>
  </si>
  <si>
    <t>C:\Users\franc\OneDrive\Documentos\MALENTIN KARIME\Rosa\UNI-AGRI\UNI-AGRI JUNIO 2010\FUNDO HUANILLA\fotos cuartel 9.doc</t>
  </si>
  <si>
    <t>C:\Users\franc\OneDrive\Documentos\MALENTIN KARIME\Rosa\UNI-AGRI\UNI-AGRI JUNIO 2010\FUNDO HUANILLA\fotos cuartel 7.doc</t>
  </si>
  <si>
    <t>C:\Users\franc\OneDrive\Documentos\MALENTIN KARIME\Rosa\UNI-AGRI\UNI-AGRI JUNIO 2010\FUNDO HUANILLA\fotos cuartel 8.doc</t>
  </si>
  <si>
    <t>C:\Users\franc\OneDrive\Documentos\MALENTIN KARIME\Rosa\UNI-AGRI\UNI-AGRI JUNIO 2010\FUNDO HUANILLA\fotos cuartel 6.doc</t>
  </si>
  <si>
    <t>C:\Users\franc\OneDrive\Documentos\MALENTIN KARIME\Rosa\UNI-AGRI\UNI-AGRI JUNIO 2010\FUNDO HUANILLA\fotos cuartel 3.doc</t>
  </si>
  <si>
    <t>C:\Users\franc\OneDrive\Documentos\MALENTIN KARIME\Rosa\UNI-AGRI\UNI-AGRI JUNIO 2010\FUNDO HUANILLA\fotos cuartel 5.doc</t>
  </si>
  <si>
    <t>C:\Users\franc\OneDrive\Documentos\MALENTIN KARIME\Rosa\UNI-AGRI\UNI-AGRI JUNIO 2010\FUNDO HUANILLA\fotos cuartel 2.doc</t>
  </si>
  <si>
    <t>C:\Users\franc\OneDrive\Documentos\MALENTIN KARIME\Rosa\UNI-AGRI\UNI-AGRI JUNIO 2010\FUNDO HUANILLA\ACTA PREDIO HUANILLA.doc</t>
  </si>
  <si>
    <t>C:\Users\franc\OneDrive\Documentos\MALENTIN KARIME\Rosa\UNI-AGRI\UNI-AGRI AGOSTO 2010\fotos cuartel 4.doc</t>
  </si>
  <si>
    <t>C:\Users\franc\OneDrive\Documentos\MALENTIN KARIME\Rosa\UNI-AGRI\UNI-AGRI AGOSTO 2010\fotos cuartel 3.doc</t>
  </si>
  <si>
    <t>C:\Users\franc\OneDrive\Documentos\MALENTIN KARIME\Rosa\UNI-AGRI\UNI-AGRI AGOSTO 2010\fotos cuartel 2.doc</t>
  </si>
  <si>
    <t>C:\Users\franc\OneDrive\Documentos\MALENTIN KARIME\Rosa\UNI-AGRI\UNI-AGRI AGOSTO 2010\fotos cuartel 1.doc</t>
  </si>
  <si>
    <t>C:\Users\franc\OneDrive\Documentos\MALENTIN KARIME\Rosa\UNI-AGRI\UNI-AGRI AGOSTO 2010\ACTA FUNDO LAS REPRESAS.doc</t>
  </si>
  <si>
    <t>C:\Users\franc\OneDrive\Documentos\MALENTIN KARIME\Rosa\UNI-AGRI\MELOGRANO S.AI FEBRERO 2011\PALTOS HASS 2006.doc</t>
  </si>
  <si>
    <t>C:\Users\franc\OneDrive\Documentos\MALENTIN KARIME\Rosa\UNI-AGRI\MELOGRANO S.AI FEBRERO 2011\PALTOS HASS 2004.doc</t>
  </si>
  <si>
    <t>C:\Users\franc\OneDrive\Documentos\MALENTIN KARIME\Rosa\UNI-AGRI\MELOGRANO S.AI FEBRERO 2011\ACTA UNI AGRIMELOGRNO S.A..doc</t>
  </si>
  <si>
    <t>C:\Users\franc\OneDrive\Documentos\MALENTIN KARIME\Rosa\SOCIEDADES\EXTRACTOS\EXTRACTO- SPA.doc</t>
  </si>
  <si>
    <t>C:\Users\franc\OneDrive\Documentos\MALENTIN KARIME\Rosa\TESTAMENTOS\MANUELA GUZMAN.doc</t>
  </si>
  <si>
    <t>C:\Users\franc\OneDrive\Documentos\MALENTIN KARIME\Rosa\SOCIEDADES\EXTRACTOS\Extracto Sotaqui para la firma.doc</t>
  </si>
  <si>
    <t>C:\Users\franc\OneDrive\Documentos\MALENTIN KARIME\Rosa\SOCIEDADES\EXTRACTOS\extracto soc. capacitacion rio grande ltda..doc</t>
  </si>
  <si>
    <t>C:\Users\franc\OneDrive\Documentos\MALENTIN KARIME\Rosa\SOCIEDADES\EXTRACTOS\EXTRACTO MODIFICACION SOCIEDAD SERV. PROF..doc</t>
  </si>
  <si>
    <t>C:\Users\franc\OneDrive\Documentos\MALENTIN KARIME\Rosa\SOCIEDADES\EXTRACTOS\extracto Lomas del Desierto.doc</t>
  </si>
  <si>
    <t>C:\Users\franc\OneDrive\Documentos\MALENTIN KARIME\Rosa\SOCIEDADES\EXTRACTOS\extracto de escritura de cecilia vergara.doc</t>
  </si>
  <si>
    <t>C:\Users\franc\OneDrive\Documentos\MALENTIN KARIME\Rosa\SOCIEDADES\EXTRACTOS\extracto Alvaro Maya EIRl.doc</t>
  </si>
  <si>
    <t>C:\Users\franc\OneDrive\Documentos\MALENTIN KARIME\Rosa\SOCIEDADES\CONSTITUCION DE SOCIEDAD\MINUTA.doc</t>
  </si>
  <si>
    <t>C:\Users\franc\OneDrive\Documentos\MALENTIN KARIME\Rosa\SOCIEDADES\CONSTITUCION DE SOCIEDAD\EXTRACTO Nº 2, A.M.B. LTDA..doc</t>
  </si>
  <si>
    <t>C:\Users\franc\OneDrive\Documentos\MALENTIN KARIME\Rosa\SOCIEDADES\CONSTITUCION DE SOCIEDAD\CONSTITUCION DE SOCIEDAD.doc</t>
  </si>
  <si>
    <t>C:\Users\franc\OneDrive\Documentos\MALENTIN KARIME\Rosa\SOCIEDADES\borradores\SOCIEDAD SOTAQUI[1].doc</t>
  </si>
  <si>
    <t>C:\Users\franc\OneDrive\Documentos\MALENTIN KARIME\Rosa\SOCIEDADES\borradores\soc. de capacitacion rio grande limitada.doc</t>
  </si>
  <si>
    <t>C:\Users\franc\OneDrive\Documentos\MALENTIN KARIME\Rosa\SOCIEDADES\borradores\MOFICACION EIRL CECILIA VERGARA.doc</t>
  </si>
  <si>
    <t>C:\Users\franc\OneDrive\Documentos\MALENTIN KARIME\Rosa\SOCIEDADES\borradores\IMPLEMENTOS DE DEPORTES DEL LI. BORRADOR corregida.doc</t>
  </si>
  <si>
    <t>C:\Users\franc\OneDrive\Documentos\MALENTIN KARIME\Rosa\SOCIEDADES\borradores\ALVARO MAYA EIRL.doc</t>
  </si>
  <si>
    <t>C:\Users\franc\OneDrive\Documentos\MALENTIN KARIME\Rosa\SOCIEDADES\borradores\cecilia vergara  eirl-1 roberto vega.doc</t>
  </si>
  <si>
    <t>C:\Users\franc\OneDrive\Documentos\MALENTIN KARIME\Rosa\SOCIEDADES\SOCIEDAD AGRICOLA SOTAQUI.doc</t>
  </si>
  <si>
    <t>C:\Users\franc\OneDrive\Documentos\MALENTIN KARIME\Rosa\SOCIEDADES\socidad por acciones.doc</t>
  </si>
  <si>
    <t>C:\Users\franc\OneDrive\Documentos\MALENTIN KARIME\Rosa\SOCIEDADES\SOC. CAPACITACION RIO GRANDE LIMITADA.doc</t>
  </si>
  <si>
    <t>C:\Users\franc\OneDrive\Documentos\MALENTIN KARIME\Rosa\SOCIEDADES\MODIFICACION CECILIA VERGARA E.I.R.L.doc</t>
  </si>
  <si>
    <t>C:\Users\franc\OneDrive\Documentos\MALENTIN KARIME\Rosa\SOCIEDADES\SANTA ELENA ACLARATORIA.doc</t>
  </si>
  <si>
    <t>C:\Users\franc\OneDrive\Documentos\MALENTIN KARIME\Rosa\SOCIEDADES\MOD. SOC. MINERA LOMAS DEL DESIERTO LTDA..doc</t>
  </si>
  <si>
    <t>C:\Users\franc\OneDrive\Documentos\MALENTIN KARIME\Rosa\SOCIEDADES\MOD. SOC. SERVICIOS PROFES..doc</t>
  </si>
  <si>
    <t>C:\Users\franc\OneDrive\Documentos\MALENTIN KARIME\Rosa\SOCIEDADES\IMPLEMENTOS DE DEPORTES DEL LIMARI S.p.A.doc</t>
  </si>
  <si>
    <t>C:\Users\franc\OneDrive\Documentos\MALENTIN KARIME\Rosa\SOCIEDADES\EXTRACTO Santa Elena.doc</t>
  </si>
  <si>
    <t>C:\Users\franc\OneDrive\Documentos\MALENTIN KARIME\Rosa\SOCIEDADES\COMERCIAL VIVAR Y YAÑEZ.doc</t>
  </si>
  <si>
    <t>C:\Users\franc\OneDrive\Documentos\MALENTIN KARIME\Rosa\SOCIEDADES\CECILIA VERGARA SALAS ya firmada anterior%.doc</t>
  </si>
  <si>
    <t>C:\Users\franc\OneDrive\Documentos\MALENTIN KARIME\Rosa\SOCIEDADES\ALVARO MAYA E.I.R.L..doc</t>
  </si>
  <si>
    <t>C:\Users\franc\OneDrive\Documentos\MALENTIN KARIME\Rosa\SOCIEDADES\ACLARATORIA SANTA ELENA.doc</t>
  </si>
  <si>
    <t>C:\Users\franc\OneDrive\Documentos\MALENTIN KARIME\Rosa\SOCIEDADES\AGROCOMERCIAL ACME S.R. LTDA..doc</t>
  </si>
  <si>
    <t>C:\Users\franc\OneDrive\Documentos\MALENTIN KARIME\Rosa\SEPARACION DE BIENES\SEPARACION DE BIENES.doc</t>
  </si>
  <si>
    <t>C:\Users\franc\OneDrive\Documentos\MALENTIN KARIME\Rosa\REVOCACION TOTAL  MANDATOS\ROSA VILLALOBOS.doc</t>
  </si>
  <si>
    <t>C:\Users\franc\OneDrive\Documentos\MALENTIN KARIME\Rosa\SALIDA MENORES DEL PAIS\AUTORIZACION SALIDA MENORES DEL PAIS.doc</t>
  </si>
  <si>
    <t>C:\Users\franc\OneDrive\Documentos\MALENTIN KARIME\Rosa\REVOCACION TOTAL  MANDATOS\REVOCACION OCTUBRE 2010.doc</t>
  </si>
  <si>
    <t>C:\Users\franc\OneDrive\Documentos\MALENTIN KARIME\Rosa\REVOCACION TOTAL  MANDATOS\ROSA CORTES TABILO.doc</t>
  </si>
  <si>
    <t>C:\Users\franc\OneDrive\Documentos\MALENTIN KARIME\Rosa\REVOCACION TOTAL  MANDATOS\MARTA CANALES DE PERRIN testamento.doc</t>
  </si>
  <si>
    <t>C:\Users\franc\OneDrive\Documentos\MALENTIN KARIME\Rosa\REVOCACION TOTAL  MANDATOS\revocacion de testamento.doc</t>
  </si>
  <si>
    <t>C:\Users\franc\OneDrive\Documentos\MALENTIN KARIME\Rosa\RESCILIACION\VIRGINIA GUERRERO PICARTE A BENJAMIN GUERRERO PICARTE.doc</t>
  </si>
  <si>
    <t>C:\Users\franc\OneDrive\Documentos\MALENTIN KARIME\Rosa\REVOCACION TOTAL  MANDATOS\ANDREA MORENO SANTANDER.doc</t>
  </si>
  <si>
    <t>C:\Users\franc\OneDrive\Documentos\MALENTIN KARIME\Rosa\RESCILIACION\ROMELIO HONORES ARAYA A MANTENCION Y CONST....doc</t>
  </si>
  <si>
    <t>C:\Users\franc\OneDrive\Documentos\MALENTIN KARIME\Rosa\RESCILIACION\ALFONSO CARVAJAL A LIDIA CARVAJAL.doc</t>
  </si>
  <si>
    <t>C:\Users\franc\OneDrive\Documentos\MALENTIN KARIME\Rosa\RESCILIACION\INGRID GUERRERO A  BENJAMIN GUERRERO PICARTE.doc</t>
  </si>
  <si>
    <t>C:\Users\franc\OneDrive\Documentos\MALENTIN KARIME\Rosa\REPUDIO\FELIX ARAYA ADONES.doc</t>
  </si>
  <si>
    <t>C:\Users\franc\OneDrive\Documentos\MALENTIN KARIME\Rosa\RESCILIACION\ADELMO CORTES Y OTRA A ALEJANDRA CORTES.doc</t>
  </si>
  <si>
    <t>C:\Users\franc\OneDrive\Documentos\MALENTIN KARIME\Rosa\REDUCCION E. PUBLICA\SOCIEDAD INMOB. AYLLU S.A..doc</t>
  </si>
  <si>
    <t>C:\Users\franc\OneDrive\Documentos\MALENTIN KARIME\Rosa\REDUCCION E. PUBLICA\RIO MOSTAZAL Nº 2.doc</t>
  </si>
  <si>
    <t>C:\Users\franc\OneDrive\Documentos\MALENTIN KARIME\Rosa\REDUCCION E. PUBLICA\SOC. EDUCACIONAL STA. MARIA 9 MAYO 2011.doc</t>
  </si>
  <si>
    <t>C:\Users\franc\OneDrive\Documentos\MALENTIN KARIME\Rosa\REDUCCION E. PUBLICA\RIO MOSTAZAL Nº 1.doc</t>
  </si>
  <si>
    <t>C:\Users\franc\OneDrive\Documentos\MALENTIN KARIME\Rosa\REDUCCION E. PUBLICA\REDUCCION ESMEL.doc</t>
  </si>
  <si>
    <t>C:\Users\franc\OneDrive\Documentos\MALENTIN KARIME\Rosa\REDUCCION E. PUBLICA\REDUCCION MARCELA PARDO Y MAURICIO TELLO.doc</t>
  </si>
  <si>
    <t>C:\Users\franc\OneDrive\Documentos\MALENTIN KARIME\Rosa\REDUCCION E. PUBLICA\PUNTO Nº 6, CANAL POTRERILLOS DEL RIO GRANDE.doc</t>
  </si>
  <si>
    <t>C:\Users\franc\OneDrive\Documentos\MALENTIN KARIME\Rosa\REDUCCION E. PUBLICA\PERMISO DE EDIFICACION don Pablo Doble M.doc</t>
  </si>
  <si>
    <t>C:\Users\franc\OneDrive\Documentos\MALENTIN KARIME\Rosa\REDUCCION E. PUBLICA\PERMISO DE EDIFICACION.doc</t>
  </si>
  <si>
    <t>C:\Users\franc\OneDrive\Documentos\MALENTIN KARIME\Rosa\REDUCCION E. PUBLICA\CYNTIA OGALDE LEON.doc</t>
  </si>
  <si>
    <t>C:\Users\franc\OneDrive\Documentos\MALENTIN KARIME\Rosa\REDUCCION E. PUBLICA\JUNTA CANAL CAMARICO.doc</t>
  </si>
  <si>
    <t>C:\Users\franc\OneDrive\Documentos\MALENTIN KARIME\Rosa\REDUCCION E. PUBLICA\CREACION GRUPO O. RESCATE URBANO GORU BOMBEROS OVALLE.doc</t>
  </si>
  <si>
    <t>C:\Users\franc\OneDrive\Documentos\MALENTIN KARIME\Rosa\REDUCCION E. PUBLICA\CYNTIA OGALDE LEON MODIFICADA POR EL JUZGADO.doc</t>
  </si>
  <si>
    <t>C:\Users\franc\OneDrive\Documentos\MALENTIN KARIME\Rosa\REDUCCION E. PUBLICA\CONST. DE DIREC. CUERPO BOMBEROS OVALLE.doc</t>
  </si>
  <si>
    <t>C:\Users\franc\OneDrive\Documentos\MALENTIN KARIME\Rosa\REDUCCION E. PUBLICA\CONTRATO DE ARRENDAMIENTO.doc</t>
  </si>
  <si>
    <t>C:\Users\franc\OneDrive\Documentos\MALENTIN KARIME\Rosa\REDUCCION E. PUBLICA\CONST. DE DIREC. CUERPO BOMBEROS OVALLE ENERO 2011.doc</t>
  </si>
  <si>
    <t>C:\Users\franc\OneDrive\Documentos\MALENTIN KARIME\Rosa\REDUCCION E. PUBLICA\COM. AGUAS COMP. Nº 6 Sotaqui.doc</t>
  </si>
  <si>
    <t>C:\Users\franc\OneDrive\Documentos\MALENTIN KARIME\Rosa\REDUCCION E. PUBLICA\CAMARICO Junta Gral Ord[1]. 2009.doc</t>
  </si>
  <si>
    <t>C:\Users\franc\OneDrive\Documentos\MALENTIN KARIME\Rosa\REDUCCION E. PUBLICA\CANAL DE CAMARICO.doc</t>
  </si>
  <si>
    <t>C:\Users\franc\OneDrive\Documentos\MALENTIN KARIME\Rosa\REDUCCION E. PUBLICA\ASISTENCIA ASAMBLEA 260710[1][1].doc</t>
  </si>
  <si>
    <t>C:\Users\franc\OneDrive\Documentos\MALENTIN KARIME\Rosa\REDUCCION E. PUBLICA\ACTA NUMERO 27 COM. AGUAS COMPUERTA 6.doc</t>
  </si>
  <si>
    <t>C:\Users\franc\OneDrive\Documentos\MALENTIN KARIME\Rosa\REDUCCION E. PUBLICA\Acta junta ordinaria 2010 notaria.doc</t>
  </si>
  <si>
    <t>C:\Users\franc\OneDrive\Documentos\MALENTIN KARIME\Rosa\REDUCCION E. PUBLICA\ACTA DE CONSTITUCION AÑO 2011 bomberos ovalle.doc</t>
  </si>
  <si>
    <t>C:\Users\franc\OneDrive\Documentos\MALENTIN KARIME\Rosa\REDUCCION E. PUBLICA\ACCIONISTASSOC. EDUCACIONAL STA. MARIA 27 ABRIL 2011.doc</t>
  </si>
  <si>
    <t>C:\Users\franc\OneDrive\Documentos\MALENTIN KARIME\Rosa\REDUCCION E. PUBLICA\ACTA CANAL CAMARICO.doc</t>
  </si>
  <si>
    <t>C:\Users\franc\OneDrive\Documentos\MALENTIN KARIME\Rosa\RECTIFICACION\SERGIO GALLEGUILLOS Escritura Rectificatoria.doc</t>
  </si>
  <si>
    <t>C:\Users\franc\OneDrive\Documentos\MALENTIN KARIME\Rosa\RECTIFICACION\RECTIF. SERGIO GALLEGUILLOS.doc</t>
  </si>
  <si>
    <t>C:\Users\franc\OneDrive\Documentos\MALENTIN KARIME\Rosa\RECTIFICACION\RECTIFICACION COMPRAVENTA.doc</t>
  </si>
  <si>
    <t>C:\Users\franc\OneDrive\Documentos\MALENTIN KARIME\Rosa\RECTIFICACION\RECTIF. ALBERTO HERNAN OGALE.- FEBRERO 2011 YENY.doc</t>
  </si>
  <si>
    <t>C:\Users\franc\OneDrive\Documentos\MALENTIN KARIME\Rosa\RECTIFICACION\MIRIAM CISTERNAS A PABLO RAMIREZ.doc</t>
  </si>
  <si>
    <t>C:\Users\franc\OneDrive\Documentos\MALENTIN KARIME\Rosa\RECTIFICACION\MARCELO ANGEL ARAYA.doc</t>
  </si>
  <si>
    <t>C:\Users\franc\OneDrive\Documentos\MALENTIN KARIME\Rosa\RECTIFICACION\MANDATO GENERAL. RUT. SERGIO GALLARDO ZEPEDA.doc</t>
  </si>
  <si>
    <t>C:\Users\franc\OneDrive\Documentos\MALENTIN KARIME\Rosa\RECTIFICACION\ESCRITURA COMPLEMENTARIA CESAR ALUCEMA.doc</t>
  </si>
  <si>
    <t>C:\Users\franc\OneDrive\Documentos\MALENTIN KARIME\Rosa\RECTIFICACION\COMPRAVENTA GLORIA VILLEGAS A AGRIC. DALBOSCO LTDA.doc</t>
  </si>
  <si>
    <t>C:\Users\franc\OneDrive\Documentos\MALENTIN KARIME\Rosa\RECTIFICACION\ESCRITURA COMPLEMENTARIA CESAR ALUCEMA-mayo 2011.doc</t>
  </si>
  <si>
    <t>C:\Users\franc\OneDrive\Documentos\MALENTIN KARIME\Rosa\RECTIFICACION\complementaria sergio galleguillos.doc</t>
  </si>
  <si>
    <t>C:\Users\franc\OneDrive\Documentos\MALENTIN KARIME\Rosa\RECTIFICACION\ALZAMIENTO MUNICIPALIDAD MARZO 2011.doc</t>
  </si>
  <si>
    <t>C:\Users\franc\OneDrive\Documentos\MALENTIN KARIME\Rosa\RECTIFICACION\CARLOS JIMNEZ a PASCUALA ALFARO.doc</t>
  </si>
  <si>
    <t>C:\Users\franc\OneDrive\Documentos\MALENTIN KARIME\Rosa\RECONOCIMIENTO DE DEUDA\AGUILERA BUSTAMANTE. MUTUO EN DINERO.doc</t>
  </si>
  <si>
    <t>C:\Users\franc\OneDrive\Documentos\MALENTIN KARIME\Rosa\RECONOCIMIENTO DE DEUDA\RECONOCIMIENTO DE DEUDA AGUILERA BUSTAMANTE.doc</t>
  </si>
  <si>
    <t>C:\Users\franc\OneDrive\Documentos\MALENTIN KARIME\Rosa\PROTOCOLIZACIONES\DECLARACION MAGISTRADOS\LORETO FIGUEROA TOLOSA.doc</t>
  </si>
  <si>
    <t>C:\Users\franc\OneDrive\Documentos\MALENTIN KARIME\Rosa\PROTOCOLIZACIONES\DECLARACION MAGISTRADOS\VIVIANA GUBELIN MEZA.doc</t>
  </si>
  <si>
    <t>C:\Users\franc\OneDrive\Documentos\MALENTIN KARIME\Rosa\PROTOCOLIZACIONES\COMITE VILLA ESPERANZA\REPT. 1.509.-.doc</t>
  </si>
  <si>
    <t>C:\Users\franc\OneDrive\Documentos\MALENTIN KARIME\Rosa\PROTOCOLIZACIONES\COMITE VILLA ESPERANZA\REPT. 1.494.-.doc</t>
  </si>
  <si>
    <t>C:\Users\franc\OneDrive\Documentos\MALENTIN KARIME\Rosa\PROTOCOLIZACIONES\COMITE VILLA ESPERANZA\REPT. 1.492.-.doc</t>
  </si>
  <si>
    <t>C:\Users\franc\OneDrive\Documentos\MALENTIN KARIME\Rosa\PROTOCOLIZACIONES\COMITE VILLA ESPERANZA\REPT. 1.493.-.doc</t>
  </si>
  <si>
    <t>C:\Users\franc\OneDrive\Documentos\MALENTIN KARIME\Rosa\PROTOCOLIZACIONES\COMITE VILLA ESPERANZA\REPT. 1.490.-.doc</t>
  </si>
  <si>
    <t>C:\Users\franc\OneDrive\Documentos\MALENTIN KARIME\Rosa\PROTOCOLIZACIONES\COMITE VILLA ESPERANZA\REPT. 1.491.-.doc</t>
  </si>
  <si>
    <t>C:\Users\franc\OneDrive\Documentos\MALENTIN KARIME\Rosa\PROTOCOLIZACIONES\COMITE VILLA ESPERANZA\REPT. 1.488.-.doc</t>
  </si>
  <si>
    <t>C:\Users\franc\OneDrive\Documentos\MALENTIN KARIME\Rosa\PROTOCOLIZACIONES\COMITE VILLA ESPERANZA\REPT. 1.489.-.doc</t>
  </si>
  <si>
    <t>C:\Users\franc\OneDrive\Documentos\MALENTIN KARIME\Rosa\PROTOCOLIZACIONES\COMITE VILLA ESPERANZA\REPT. 1.487.-.doc</t>
  </si>
  <si>
    <t>C:\Users\franc\OneDrive\Documentos\MALENTIN KARIME\Rosa\PROTOCOLIZACIONES\COMITE VILLA ESPERANZA\REPT. 1.484.-.doc</t>
  </si>
  <si>
    <t>C:\Users\franc\OneDrive\Documentos\MALENTIN KARIME\Rosa\PROTOCOLIZACIONES\COMITE VILLA ESPERANZA\REPT. 1.483.-.doc</t>
  </si>
  <si>
    <t>C:\Users\franc\OneDrive\Documentos\MALENTIN KARIME\Rosa\PROTOCOLIZACIONES\COMITE VILLA ESPERANZA\REPT. 1.482.-.doc</t>
  </si>
  <si>
    <t>C:\Users\franc\OneDrive\Documentos\MALENTIN KARIME\Rosa\PROTOCOLIZACIONES\COMITE VILLA ESPERANZA\REPT. 1.481.-.doc</t>
  </si>
  <si>
    <t>C:\Users\franc\OneDrive\Documentos\MALENTIN KARIME\Rosa\PROTOCOLIZACIONES\COMITE VILLA ESPERANZA\REPT. 1.480.-.doc</t>
  </si>
  <si>
    <t>C:\Users\franc\OneDrive\Documentos\MALENTIN KARIME\Rosa\PROTOCOLIZACIONES\COMITE VILLA ESPERANZA\REPT. 1.478.-.doc</t>
  </si>
  <si>
    <t>C:\Users\franc\OneDrive\Documentos\MALENTIN KARIME\Rosa\PROTOCOLIZACIONES\COMITE VILLA ESPERANZA\REPT. 1.479.-.doc</t>
  </si>
  <si>
    <t>C:\Users\franc\OneDrive\Documentos\MALENTIN KARIME\Rosa\PROTOCOLIZACIONES\COMITE VILLA ESPERANZA\REPT. 1.475.-.doc</t>
  </si>
  <si>
    <t>C:\Users\franc\OneDrive\Documentos\MALENTIN KARIME\Rosa\PROTOCOLIZACIONES\COMITE VILLA ESPERANZA\REPT. 1.476.-.doc</t>
  </si>
  <si>
    <t>C:\Users\franc\OneDrive\Documentos\MALENTIN KARIME\Rosa\PROTOCOLIZACIONES\COMITE VILLA ESPERANZA\REPT. 1.455.-.doc</t>
  </si>
  <si>
    <t>C:\Users\franc\OneDrive\Documentos\MALENTIN KARIME\Rosa\PROTOCOLIZACIONES\COMITE VILLA ESPERANZA\REPT. 1.456.-.doc</t>
  </si>
  <si>
    <t>C:\Users\franc\OneDrive\Documentos\MALENTIN KARIME\Rosa\PROTOCOLIZACIONES\COMITE VILLA ESPERANZA\REPT. 1.453.-.doc</t>
  </si>
  <si>
    <t>C:\Users\franc\OneDrive\Documentos\MALENTIN KARIME\Rosa\PROTOCOLIZACIONES\COMITE VILLA ESPERANZA\REPT. 1.454.doc</t>
  </si>
  <si>
    <t>C:\Users\franc\OneDrive\Documentos\MALENTIN KARIME\Rosa\PROTOCOLIZACIONES\COMITE VILLA ESPERANZA\REPT. 1.452.-.doc</t>
  </si>
  <si>
    <t>C:\Users\franc\OneDrive\Documentos\MALENTIN KARIME\Rosa\PROTOCOLIZACIONES\COMITE VILLA ESPERANZA\REPT. 1.451.-.doc</t>
  </si>
  <si>
    <t>C:\Users\franc\OneDrive\Documentos\MALENTIN KARIME\Rosa\PROTOCOLIZACIONES\COMITE VILLA ESPERANZA\REPT. 1.448.-.doc</t>
  </si>
  <si>
    <t>C:\Users\franc\OneDrive\Documentos\MALENTIN KARIME\Rosa\PROTOCOLIZACIONES\COMITE VILLA ESPERANZA\REPT. 1.450.-.doc</t>
  </si>
  <si>
    <t>C:\Users\franc\OneDrive\Documentos\MALENTIN KARIME\Rosa\PROTOCOLIZACIONES\COMITE VILLA ESPERANZA\REPT. 1.447.-.doc</t>
  </si>
  <si>
    <t>C:\Users\franc\OneDrive\Documentos\MALENTIN KARIME\Rosa\PROTOCOLIZACIONES\COMITE VILLA ESPERANZA\REPT. 1.446.-.doc</t>
  </si>
  <si>
    <t>C:\Users\franc\OneDrive\Documentos\MALENTIN KARIME\Rosa\PROTOCOLIZACIONES\COMITE VILLA ESPERANZA\REPT. 1.445.-.doc</t>
  </si>
  <si>
    <t>C:\Users\franc\OneDrive\Documentos\MALENTIN KARIME\Rosa\PROTOCOLIZACIONES\COMITE VILLA ESPERANZA\REPT. 1.425.doc</t>
  </si>
  <si>
    <t>C:\Users\franc\OneDrive\Documentos\MALENTIN KARIME\Rosa\PROTOCOLIZACIONES\COMITE VILLA ESPERANZA\REPT. 1.444.-.doc</t>
  </si>
  <si>
    <t>C:\Users\franc\OneDrive\Documentos\MALENTIN KARIME\Rosa\PROTOCOLIZACIONES\COMITE VILLA ESPERANZA\COMITE PRO CASA VILLA ESPERANZA simple.doc</t>
  </si>
  <si>
    <t>C:\Users\franc\OneDrive\Documentos\MALENTIN KARIME\Rosa\PROTOCOLIZACIONES\COMITE VILLA ESPERANZA\COMITE PRO CASA VILLA ESPERANZA varios.doc</t>
  </si>
  <si>
    <t>C:\Users\franc\OneDrive\Documentos\MALENTIN KARIME\Rosa\PROTOCOLIZACIONES\TAXIS COLECTIVOS LINEA 18 Nº3.doc</t>
  </si>
  <si>
    <t>C:\Users\franc\OneDrive\Documentos\MALENTIN KARIME\Rosa\PROTOCOLIZACIONES\TAXIS COLECTIVOS LINEA 18 Nº2.doc</t>
  </si>
  <si>
    <t>C:\Users\franc\OneDrive\Documentos\MALENTIN KARIME\Rosa\PROTOCOLIZACIONES\TAXIS COLECTIVOS LINEA 18 Nº1.doc</t>
  </si>
  <si>
    <t>C:\Users\franc\OneDrive\Documentos\MALENTIN KARIME\Rosa\PROTOCOLIZACIONES\SOCIEDAD AGRICOLA CARACHILLA Y TAMELCURA LTDA..doc</t>
  </si>
  <si>
    <t>C:\Users\franc\OneDrive\Documentos\MALENTIN KARIME\Rosa\PROTOCOLIZACIONES\SOCIEDAD DE VERANEO PACIFICO LTDA..doc</t>
  </si>
  <si>
    <t>C:\Users\franc\OneDrive\Documentos\MALENTIN KARIME\Rosa\PROTOCOLIZACIONES\SOC. AGRICOLA E INDUSTRIAL AJIAL DE QUILES.doc</t>
  </si>
  <si>
    <t>C:\Users\franc\OneDrive\Documentos\MALENTIN KARIME\Rosa\PROTOCOLIZACIONES\SOC. AGRICOLA E INDUSTRIAL AJIAL DE QUILES 2.doc</t>
  </si>
  <si>
    <t>C:\Users\franc\OneDrive\Documentos\MALENTIN KARIME\Rosa\PROTOCOLIZACIONES\SINDICATO  PROF. DE GARZONES.doc</t>
  </si>
  <si>
    <t>C:\Users\franc\OneDrive\Documentos\MALENTIN KARIME\Rosa\PROTOCOLIZACIONES\RECTIFICACION INVENTARIO PEDRO NOLASCO V..doc</t>
  </si>
  <si>
    <t>C:\Users\franc\OneDrive\Documentos\MALENTIN KARIME\Rosa\PROTOCOLIZACIONES\PROTOCOLIZACION COMITE VILLA ESPERANZA.doc</t>
  </si>
  <si>
    <t>C:\Users\franc\OneDrive\Documentos\MALENTIN KARIME\Rosa\PROTOCOLIZACIONES\PROTOCOLIZACION SUBSIDIO.doc</t>
  </si>
  <si>
    <t>C:\Users\franc\OneDrive\Documentos\MALENTIN KARIME\Rosa\PROTOCOLIZACIONES\PRENDA AGRA. INDAP A OSCAR BUGUEÑO BUGUEÑO.doc</t>
  </si>
  <si>
    <t>C:\Users\franc\OneDrive\Documentos\MALENTIN KARIME\Rosa\PROTOCOLIZACIONES\PRENDA AGRA. INDAP A ANDRES DIAZ CORTES.doc</t>
  </si>
  <si>
    <t>C:\Users\franc\OneDrive\Documentos\MALENTIN KARIME\Rosa\PROTOCOLIZACIONES\PODER ESPECIAL.doc</t>
  </si>
  <si>
    <t>C:\Users\franc\OneDrive\Documentos\MALENTIN KARIME\Rosa\PROTOCOLIZACIONES\PRENDA AGRA. DOLE CHILE A AG. LLANO NEGRO-teresita.doc</t>
  </si>
  <si>
    <t>C:\Users\franc\OneDrive\Documentos\MALENTIN KARIME\Rosa\PROTOCOLIZACIONES\MOD. CONTRATO REPOSICION ESCUELA LUCIA NUNEZ LA TORRE OVALLE.doc</t>
  </si>
  <si>
    <t>C:\Users\franc\OneDrive\Documentos\MALENTIN KARIME\Rosa\PROTOCOLIZACIONES\NICOLAS GARCIA GARCIA.doc</t>
  </si>
  <si>
    <t>C:\Users\franc\OneDrive\Documentos\MALENTIN KARIME\Rosa\PROTOCOLIZACIONES\MEJORAMIENTO AGUA POTABLE COLLIGUAY, LLIMPO, MANQUEHUEA Y MEDIA LUNA.doc</t>
  </si>
  <si>
    <t>C:\Users\franc\OneDrive\Documentos\MALENTIN KARIME\Rosa\PROTOCOLIZACIONES\MANDATO MARIA MALEBRAN.doc</t>
  </si>
  <si>
    <t>C:\Users\franc\OneDrive\Documentos\MALENTIN KARIME\Rosa\PROTOCOLIZACIONES\MANDATO CARMEN SANTELICES MARTINEZ.doc</t>
  </si>
  <si>
    <t>C:\Users\franc\OneDrive\Documentos\MALENTIN KARIME\Rosa\PROTOCOLIZACIONES\JUNTA DE VIGILANCIA RIO RAPEL Y AFLUENTES ACTA 274.doc</t>
  </si>
  <si>
    <t>C:\Users\franc\OneDrive\Documentos\MALENTIN KARIME\Rosa\PROTOCOLIZACIONES\JUNTA DE VIGILANCIA RIO RAPEL Y AFLUENTES ACTA 265.doc</t>
  </si>
  <si>
    <t>C:\Users\franc\OneDrive\Documentos\MALENTIN KARIME\Rosa\PROTOCOLIZACIONES\JUNTA DE VECINOS VILLA EL LIBERTADOR.doc</t>
  </si>
  <si>
    <t>C:\Users\franc\OneDrive\Documentos\MALENTIN KARIME\Rosa\PROTOCOLIZACIONES\JUAN MIRANDA MIRANDA.doc</t>
  </si>
  <si>
    <t>C:\Users\franc\OneDrive\Documentos\MALENTIN KARIME\Rosa\PROTOCOLIZACIONES\JUNTA DE VECINOS PUNILLA.doc</t>
  </si>
  <si>
    <t>C:\Users\franc\OneDrive\Documentos\MALENTIN KARIME\Rosa\PROTOCOLIZACIONES\JORGE CASANGA CASANGA.doc</t>
  </si>
  <si>
    <t>C:\Users\franc\OneDrive\Documentos\MALENTIN KARIME\Rosa\PROTOCOLIZACIONES\inventario MARIA BUGUEÑO.doc</t>
  </si>
  <si>
    <t>C:\Users\franc\OneDrive\Documentos\MALENTIN KARIME\Rosa\PROTOCOLIZACIONES\INVENTARIO PAULINA IRIARTE ANDRADES.doc</t>
  </si>
  <si>
    <t>C:\Users\franc\OneDrive\Documentos\MALENTIN KARIME\Rosa\PROTOCOLIZACIONES\INVENTARIO LILIANA GONZALEZ WENTZELL.doc</t>
  </si>
  <si>
    <t>C:\Users\franc\OneDrive\Documentos\MALENTIN KARIME\Rosa\PROTOCOLIZACIONES\INVENTARIO HILDA MARTINEZ GALLARDO.doc</t>
  </si>
  <si>
    <t>C:\Users\franc\OneDrive\Documentos\MALENTIN KARIME\Rosa\PROTOCOLIZACIONES\inventario JUAN ARAYA ARAYA.doc</t>
  </si>
  <si>
    <t>C:\Users\franc\OneDrive\Documentos\MALENTIN KARIME\Rosa\PROTOCOLIZACIONES\HUGO VARELA VARELA (ALZA. Y CANCE. HIPOT.).doc</t>
  </si>
  <si>
    <t>C:\Users\franc\OneDrive\Documentos\MALENTIN KARIME\Rosa\PROTOCOLIZACIONES\INVENTARIO DANIEL CORTES CASTILLO.doc</t>
  </si>
  <si>
    <t>C:\Users\franc\OneDrive\Documentos\MALENTIN KARIME\Rosa\PROTOCOLIZACIONES\FOTOCOPIA SIMPLE ACTA COMITE AGUA POTAB. SAMO BAJO.doc</t>
  </si>
  <si>
    <t>C:\Users\franc\OneDrive\Documentos\MALENTIN KARIME\Rosa\PROTOCOLIZACIONES\ESATATUTOS COM. AGRICOLA Y GANAD. INGA PICHASCA.doc</t>
  </si>
  <si>
    <t>C:\Users\franc\OneDrive\Documentos\MALENTIN KARIME\Rosa\PROTOCOLIZACIONES\EMPRESARIOS TRANSPORTE LOC. COLECTIVA ETRALCO S.A..doc</t>
  </si>
  <si>
    <t>C:\Users\franc\OneDrive\Documentos\MALENTIN KARIME\Rosa\PROTOCOLIZACIONES\EMILIO MUÑOZ ALZA. Y CANCEL. HIPOTECA.doc</t>
  </si>
  <si>
    <t>C:\Users\franc\OneDrive\Documentos\MALENTIN KARIME\Rosa\PROTOCOLIZACIONES\EMBALSE PALOMA AMABLE BARRAZA.doc</t>
  </si>
  <si>
    <t>C:\Users\franc\OneDrive\Documentos\MALENTIN KARIME\Rosa\PROTOCOLIZACIONES\DOCUMENTOS VARIOS AGRICOLA E INMOBILIARIA  MARCELO CORRAL LTDA..doc</t>
  </si>
  <si>
    <t>C:\Users\franc\OneDrive\Documentos\MALENTIN KARIME\Rosa\PROTOCOLIZACIONES\DOCUMENTOS VARIOS AGRICOLA LOS LEONES S.A.doc</t>
  </si>
  <si>
    <t>C:\Users\franc\OneDrive\Documentos\MALENTIN KARIME\Rosa\PROTOCOLIZACIONES\DECLARACION JURADA LUIS VALDES.doc</t>
  </si>
  <si>
    <t>C:\Users\franc\OneDrive\Documentos\MALENTIN KARIME\Rosa\PROTOCOLIZACIONES\CONTRATO PROPUESTA PUBLICA.doc</t>
  </si>
  <si>
    <t>C:\Users\franc\OneDrive\Documentos\MALENTIN KARIME\Rosa\PROTOCOLIZACIONES\CONTRATO DE EJECUCION JUAN CORTES MERCADO.doc</t>
  </si>
  <si>
    <t>C:\Users\franc\OneDrive\Documentos\MALENTIN KARIME\Rosa\PROTOCOLIZACIONES\CONTRATO AGENCIA CATALEJO S.A..doc</t>
  </si>
  <si>
    <t>C:\Users\franc\OneDrive\Documentos\MALENTIN KARIME\Rosa\PROTOCOLIZACIONES\CONTRATO DE EJECUCION JUAN CORTES MERCADO 2.doc</t>
  </si>
  <si>
    <t>C:\Users\franc\OneDrive\Documentos\MALENTIN KARIME\Rosa\PROTOCOLIZACIONES\COMUNIDAD EL ESPINAL DE SAN PEDRO.doc</t>
  </si>
  <si>
    <t>C:\Users\franc\OneDrive\Documentos\MALENTIN KARIME\Rosa\PROTOCOLIZACIONES\COMUNIDADA REGANTE EL RINCON.doc</t>
  </si>
  <si>
    <t>C:\Users\franc\OneDrive\Documentos\MALENTIN KARIME\Rosa\PROTOCOLIZACIONES\COMUNIDAD CHILECITO ACTA FS. 89.doc</t>
  </si>
  <si>
    <t>C:\Users\franc\OneDrive\Documentos\MALENTIN KARIME\Rosa\PROTOCOLIZACIONES\COMUNIDAD CHILECITO ACTA FS.91.doc</t>
  </si>
  <si>
    <t>C:\Users\franc\OneDrive\Documentos\MALENTIN KARIME\Rosa\PROTOCOLIZACIONES\COMUNIDAD CHILECITO ACTA FOS. 87.doc</t>
  </si>
  <si>
    <t>C:\Users\franc\OneDrive\Documentos\MALENTIN KARIME\Rosa\PROTOCOLIZACIONES\COMUNIDAD ALCONES SR. JUAN CARLOS2.doc</t>
  </si>
  <si>
    <t>C:\Users\franc\OneDrive\Documentos\MALENTIN KARIME\Rosa\PROTOCOLIZACIONES\COMUNIDAD ALCONES SR. JUAN CARLOS.doc</t>
  </si>
  <si>
    <t>C:\Users\franc\OneDrive\Documentos\MALENTIN KARIME\Rosa\PROTOCOLIZACIONES\COMUNIDAD ALCONES SR. JUAN CARLOS 15-03-2009.doc</t>
  </si>
  <si>
    <t>C:\Users\franc\OneDrive\Documentos\MALENTIN KARIME\Rosa\PROTOCOLIZACIONES\COMUNIDAD ALCONES SR. JUAN CARLOS marzo 2011.doc</t>
  </si>
  <si>
    <t>C:\Users\franc\OneDrive\Documentos\MALENTIN KARIME\Rosa\PROTOCOLIZACIONES\COMUNIDAD AGRICOLA LOS TRIGOS.doc</t>
  </si>
  <si>
    <t>C:\Users\franc\OneDrive\Documentos\MALENTIN KARIME\Rosa\PROTOCOLIZACIONES\comunidad agrícola TOME ALTO.doc</t>
  </si>
  <si>
    <t>C:\Users\franc\OneDrive\Documentos\MALENTIN KARIME\Rosa\PROTOCOLIZACIONES\COMUNIDAD AGRICOLA LITIPAMPA Combarbalá.doc</t>
  </si>
  <si>
    <t>C:\Users\franc\OneDrive\Documentos\MALENTIN KARIME\Rosa\PROTOCOLIZACIONES\COMUNIDAD AGRICOLA LA RINCONADA DE PUNITAQUI.doc</t>
  </si>
  <si>
    <t>C:\Users\franc\OneDrive\Documentos\MALENTIN KARIME\Rosa\PROTOCOLIZACIONES\COMUNIDAD AGRICOLA INGA PICHASCA sept. 2010.doc</t>
  </si>
  <si>
    <t>C:\Users\franc\OneDrive\Documentos\MALENTIN KARIME\Rosa\PROTOCOLIZACIONES\COMUNIDAD AGRICOLA INGA PICHASCA.doc</t>
  </si>
  <si>
    <t>C:\Users\franc\OneDrive\Documentos\MALENTIN KARIME\Rosa\PROTOCOLIZACIONES\COMUNIDAD AGRICOLA BLAS Y BULRREME.doc</t>
  </si>
  <si>
    <t>C:\Users\franc\OneDrive\Documentos\MALENTIN KARIME\Rosa\PROTOCOLIZACIONES\COMUNIDAD AGRIC EL ALTAR.doc</t>
  </si>
  <si>
    <t>C:\Users\franc\OneDrive\Documentos\MALENTIN KARIME\Rosa\PROTOCOLIZACIONES\COMUNIDAD AGRIC EL DURAZNO.doc</t>
  </si>
  <si>
    <t>C:\Users\franc\OneDrive\Documentos\MALENTIN KARIME\Rosa\PROTOCOLIZACIONES\COMUNIDAD AGRIC EL ALTAR 30-11-2008.doc</t>
  </si>
  <si>
    <t>C:\Users\franc\OneDrive\Documentos\MALENTIN KARIME\Rosa\PROTOCOLIZACIONES\COMUNIDAD AGRIC EL ALTAR 30-11-2008-2010.doc</t>
  </si>
  <si>
    <t>C:\Users\franc\OneDrive\Documentos\MALENTIN KARIME\Rosa\PROTOCOLIZACIONES\COMPRAVENTA ACCIONES DON VALENTINO S.A..doc</t>
  </si>
  <si>
    <t>C:\Users\franc\OneDrive\Documentos\MALENTIN KARIME\Rosa\PROTOCOLIZACIONES\COMPRAVENTA MINERA 1.doc</t>
  </si>
  <si>
    <t>C:\Users\franc\OneDrive\Documentos\MALENTIN KARIME\Rosa\PROTOCOLIZACIONES\COMITE REGANTES LOS COLORADOS PUNITAQUI.doc</t>
  </si>
  <si>
    <t>C:\Users\franc\OneDrive\Documentos\MALENTIN KARIME\Rosa\PROTOCOLIZACIONES\COMITE PRO CASASUEÑO PROPIO MAYO 2011.doc</t>
  </si>
  <si>
    <t>C:\Users\franc\OneDrive\Documentos\MALENTIN KARIME\Rosa\PROTOCOLIZACIONES\COMITE PRO CASA VILLA FLOR DEL NORTE.doc</t>
  </si>
  <si>
    <t>C:\Users\franc\OneDrive\Documentos\MALENTIN KARIME\Rosa\PROTOCOLIZACIONES\COMITE PRO CASA SUEÑO PROPIO.doc</t>
  </si>
  <si>
    <t>C:\Users\franc\OneDrive\Documentos\MALENTIN KARIME\Rosa\PROTOCOLIZACIONES\COMITE PRO CASA villa Esperanza  sept.2010.doc</t>
  </si>
  <si>
    <t>C:\Users\franc\OneDrive\Documentos\MALENTIN KARIME\Rosa\PROTOCOLIZACIONES\COMITE PRO CASA SUEÑO PROPIO Enero 2011.doc</t>
  </si>
  <si>
    <t>C:\Users\franc\OneDrive\Documentos\MALENTIN KARIME\Rosa\PROTOCOLIZACIONES\COMITE PRO CASA SUEÑO PROPIO sept. 2010.doc</t>
  </si>
  <si>
    <t>C:\Users\franc\OneDrive\Documentos\MALENTIN KARIME\Rosa\PROTOCOLIZACIONES\COMITE PRO CASA CHANARAL DE CAREN.doc</t>
  </si>
  <si>
    <t>C:\Users\franc\OneDrive\Documentos\MALENTIN KARIME\Rosa\PROTOCOLIZACIONES\COMITE PRO CASA JUAN PABLO I.doc</t>
  </si>
  <si>
    <t>C:\Users\franc\OneDrive\Documentos\MALENTIN KARIME\Rosa\PROTOCOLIZACIONES\COMITE AGUA POTABLE RURAL NUEVA ESPERANZA.doc</t>
  </si>
  <si>
    <t>C:\Users\franc\OneDrive\Documentos\MALENTIN KARIME\Rosa\PROTOCOLIZACIONES\COMITE AGUA POTABLE SAN MARCOS.doc</t>
  </si>
  <si>
    <t>C:\Users\franc\OneDrive\Documentos\MALENTIN KARIME\Rosa\PROTOCOLIZACIONES\COMITE AGUA POTABLE RURAL MEDIA LUNA COMBARBALA.doc</t>
  </si>
  <si>
    <t>C:\Users\franc\OneDrive\Documentos\MALENTIN KARIME\Rosa\PROTOCOLIZACIONES\COMITE AGUA POTABLE RURAL NUEVA ESPERANZA 31 enero 2011.doc</t>
  </si>
  <si>
    <t>C:\Users\franc\OneDrive\Documentos\MALENTIN KARIME\Rosa\PROTOCOLIZACIONES\COMITE AGUA POTABLE LA PORTADA SOTAQUI.doc</t>
  </si>
  <si>
    <t>C:\Users\franc\OneDrive\Documentos\MALENTIN KARIME\Rosa\PROTOCOLIZACIONES\COMITE AGUA POTABLE EL GUINDO.doc</t>
  </si>
  <si>
    <t>C:\Users\franc\OneDrive\Documentos\MALENTIN KARIME\Rosa\PROTOCOLIZACIONES\COMITE ADELANTO VICTOR DOMINGO SILVA.doc</t>
  </si>
  <si>
    <t>C:\Users\franc\OneDrive\Documentos\MALENTIN KARIME\Rosa\PROTOCOLIZACIONES\COM. FERNDO. ALVAREZ LOS CANELOS.doc</t>
  </si>
  <si>
    <t>C:\Users\franc\OneDrive\Documentos\MALENTIN KARIME\Rosa\PROTOCOLIZACIONES\COM. AGUA POTABLE. CAREN.doc</t>
  </si>
  <si>
    <t>C:\Users\franc\OneDrive\Documentos\MALENTIN KARIME\Rosa\PROTOCOLIZACIONES\COM. FERNDO. ALVAREZ LOS CANELOS 2.doc</t>
  </si>
  <si>
    <t>C:\Users\franc\OneDrive\Documentos\MALENTIN KARIME\Rosa\PROTOCOLIZACIONES\COM. AGRIC. LOS MAITENES DE SAMO ALTO.doc</t>
  </si>
  <si>
    <t>C:\Users\franc\OneDrive\Documentos\MALENTIN KARIME\Rosa\PROTOCOLIZACIONES\COLEGIO DE PROFESORES A.G..doc</t>
  </si>
  <si>
    <t>C:\Users\franc\OneDrive\Documentos\MALENTIN KARIME\Rosa\PROTOCOLIZACIONES\CLUB LIMARI PESCA Y TIRO AL VUELO eleccion directorio.doc</t>
  </si>
  <si>
    <t>C:\Users\franc\OneDrive\Documentos\MALENTIN KARIME\Rosa\PROTOCOLIZACIONES\CLUB LIMARI PESCA Y TIRO AL VUELO.doc</t>
  </si>
  <si>
    <t>C:\Users\franc\OneDrive\Documentos\MALENTIN KARIME\Rosa\PROTOCOLIZACIONES\CLUB DEPORTIVO F.C..doc</t>
  </si>
  <si>
    <t>C:\Users\franc\OneDrive\Documentos\MALENTIN KARIME\Rosa\PROTOCOLIZACIONES\CLUB ADULTO MAYOR  31-07-2010.doc</t>
  </si>
  <si>
    <t>C:\Users\franc\OneDrive\Documentos\MALENTIN KARIME\Rosa\PROTOCOLIZACIONES\CLUB ADULTO MAYOR  27-05-2011.doc</t>
  </si>
  <si>
    <t>C:\Users\franc\OneDrive\Documentos\MALENTIN KARIME\Rosa\PROTOCOLIZACIONES\CERTIFICADO.doc</t>
  </si>
  <si>
    <t>C:\Users\franc\OneDrive\Documentos\MALENTIN KARIME\Rosa\PROTOCOLIZACIONES\CANAL PERALITO.doc</t>
  </si>
  <si>
    <t>C:\Users\franc\OneDrive\Documentos\MALENTIN KARIME\Rosa\PROTOCOLIZACIONES\CARTA INFORMATIVA SOCOS.doc</t>
  </si>
  <si>
    <t>C:\Users\franc\OneDrive\Documentos\MALENTIN KARIME\Rosa\PROTOCOLIZACIONES\BOMBEROS 2º COMPAÑIA OVALLE.doc</t>
  </si>
  <si>
    <t>C:\Users\franc\OneDrive\Documentos\MALENTIN KARIME\Rosa\PROTOCOLIZACIONES\BOMBEROS 4º COMPAÑIA OVALLE.doc</t>
  </si>
  <si>
    <t>C:\Users\franc\OneDrive\Documentos\MALENTIN KARIME\Rosa\PROTOCOLIZACIONES\BOMBEROS 7º COMPAÑIA OVALLE.doc</t>
  </si>
  <si>
    <t>C:\Users\franc\OneDrive\Documentos\MALENTIN KARIME\Rosa\PROTOCOLIZACIONES\BOMBEROS 1º COMPAÑIA OVALLE.doc</t>
  </si>
  <si>
    <t>C:\Users\franc\OneDrive\Documentos\MALENTIN KARIME\Rosa\PROTOCOLIZACIONES\BOMBEROS 2º COMPAÑIA OVALLE ENRO 2011.doc</t>
  </si>
  <si>
    <t>C:\Users\franc\OneDrive\Documentos\MALENTIN KARIME\Rosa\PROTOCOLIZACIONES\BASILIO AGUIRRE ROJAS 2.doc</t>
  </si>
  <si>
    <t>C:\Users\franc\OneDrive\Documentos\MALENTIN KARIME\Rosa\PROTOCOLIZACIONES\BASILIO AGUIRRE ROJAS.doc</t>
  </si>
  <si>
    <t>C:\Users\franc\OneDrive\Documentos\MALENTIN KARIME\Rosa\PROTOCOLIZACIONES\AUTORIZACION NOTARIAL.doc</t>
  </si>
  <si>
    <t>C:\Users\franc\OneDrive\Documentos\MALENTIN KARIME\Rosa\PROTOCOLIZACIONES\AVISO TERMINO CONTRATO ARRENDAMIENTO SOCOS.doc</t>
  </si>
  <si>
    <t>C:\Users\franc\OneDrive\Documentos\MALENTIN KARIME\Rosa\PROTOCOLIZACIONES\AUTORIZACION ERNESTINA ARAYA BARRAZA.doc</t>
  </si>
  <si>
    <t>C:\Users\franc\OneDrive\Documentos\MALENTIN KARIME\Rosa\PROTOCOLIZACIONES\AUTORIZA LIBRO PARA COPIAS.doc</t>
  </si>
  <si>
    <t>C:\Users\franc\OneDrive\Documentos\MALENTIN KARIME\Rosa\PROTOCOLIZACIONES\AUTORIZA LIBRO PARA COPIAS.- HORIZONTAL.doc</t>
  </si>
  <si>
    <t>C:\Users\franc\OneDrive\Documentos\MALENTIN KARIME\Rosa\PROTOCOLIZACIONES\ASOCIACION DE CANALISTAS DEL CANAL CAMARICO.doc</t>
  </si>
  <si>
    <t>C:\Users\franc\OneDrive\Documentos\MALENTIN KARIME\Rosa\PROTOCOLIZACIONES\ASOCIACION DE RAYUELA OVALLE.doc</t>
  </si>
  <si>
    <t>C:\Users\franc\OneDrive\Documentos\MALENTIN KARIME\Rosa\PROTOCOLIZACIONES\ASOCIACION DE CANALISTAS DEL CANAL CAAMARICO 2.doc</t>
  </si>
  <si>
    <t>C:\Users\franc\OneDrive\Documentos\MALENTIN KARIME\Rosa\PROTOCOLIZACIONES\ASOC. GREMIAL MINERA PUNITAQUI.doc</t>
  </si>
  <si>
    <t>C:\Users\franc\OneDrive\Documentos\MALENTIN KARIME\Rosa\PROTOCOLIZACIONES\ASOC. GREMIAL MINERA DE OVALLE 2.doc</t>
  </si>
  <si>
    <t>C:\Users\franc\OneDrive\Documentos\MALENTIN KARIME\Rosa\PROTOCOLIZACIONES\ASOC. GREMIAL MINERA PUNITAQUI 2.doc</t>
  </si>
  <si>
    <t>C:\Users\franc\OneDrive\Documentos\MALENTIN KARIME\Rosa\PROTOCOLIZACIONES\ASOC. GREMIAL MINERA DE OVALLE 1.doc</t>
  </si>
  <si>
    <t>C:\Users\franc\OneDrive\Documentos\MALENTIN KARIME\Rosa\PROTOCOLIZACIONES\AGUA POTABLE V. SECA .HUAMPULLA YACONI BASILIO AGUIRRE.doc</t>
  </si>
  <si>
    <t>C:\Users\franc\OneDrive\Documentos\MALENTIN KARIME\Rosa\PROTOCOLIZACIONES\(ALZA. Y CANCE. HIPOT.) SAMUEL PEREZ MONTENEGRO.doc</t>
  </si>
  <si>
    <t>C:\Users\franc\OneDrive\Documentos\MALENTIN KARIME\Rosa\PROTOCOLIZACIONES\ACTA CONSTITUTIVA ASOC.  GREMIAL TRANSP. DUTRAPOL.doc</t>
  </si>
  <si>
    <t>C:\Users\franc\OneDrive\Documentos\MALENTIN KARIME\Rosa\PROTOCOLIZACIONES\(ALZA. Y CANCE. HIPOT.) RAUL BARRAZA CARVAJAL.doc</t>
  </si>
  <si>
    <t>C:\Users\franc\OneDrive\Documentos\MALENTIN KARIME\Rosa\PROTOCOLIZACION NOTARIO SUPLENTE\PROTO. NOMB. NOTARIO SANTIAGO CABRERA CIFUENTES.doc</t>
  </si>
  <si>
    <t>C:\Users\franc\OneDrive\Documentos\MALENTIN KARIME\Rosa\PROTOCOLIZACION NOTARIO SUPLENTE\PROTO. NOMB. NOTARIO SERGIO ROMAN CORTES BELTRAN.doc</t>
  </si>
  <si>
    <t>C:\Users\franc\OneDrive\Documentos\MALENTIN KARIME\Rosa\PROTOCOLIZACION NOTARIO SUPLENTE\PROTO. NOMB. NOTARIO ROBERTO VEGA CAMPUSANO.doc</t>
  </si>
  <si>
    <t>C:\Users\franc\OneDrive\Documentos\MALENTIN KARIME\Rosa\PROTOCOLIZACION NOTARIO SUPLENTE\PROTO. NOMB. NOTARIO MARIA NUÑEZ HERRERA.doc</t>
  </si>
  <si>
    <t>C:\Users\franc\OneDrive\Documentos\MALENTIN KARIME\Rosa\PROTOCOLIZACION NOTARIO SUPLENTE\PROTO. NOMB. NOTARIO CLAUDIO ARAYA CASTILLO.doc</t>
  </si>
  <si>
    <t>C:\Users\franc\OneDrive\Documentos\MALENTIN KARIME\Rosa\PROTOCOLIZACION NOTARIO SUPLENTE\PROTO. NOMB. NOTARIO ADOLFO LAY MONTALBAN.doc</t>
  </si>
  <si>
    <t>C:\Users\franc\OneDrive\Documentos\MALENTIN KARIME\Rosa\PROTOCOLIZACION NOTARIO SUPLENTE\PROTO. NOMB. NOTARIO CATALINA MULET.doc</t>
  </si>
  <si>
    <t>C:\Users\franc\OneDrive\Documentos\MALENTIN KARIME\Rosa\PROMESAS COMPRAVENTA\VEHICULO\VICTOR HIDALGO A ABEL OLIVARES.doc</t>
  </si>
  <si>
    <t>C:\Users\franc\OneDrive\Documentos\MALENTIN KARIME\Rosa\PROMESAS COMPRAVENTA\VEHICULO\ROSA LOPEZ A LUIS CONTRERAS.doc</t>
  </si>
  <si>
    <t>C:\Users\franc\OneDrive\Documentos\MALENTIN KARIME\Rosa\PROMESAS COMPRAVENTA\VEHICULO\RODRIGO ADAROS A GERARDO FARIAS ADAROS.doc</t>
  </si>
  <si>
    <t>C:\Users\franc\OneDrive\Documentos\MALENTIN KARIME\Rosa\PROMESAS COMPRAVENTA\VEHICULO\NANCY TOLEDO A VICTOR ALFARO Y OTRO.doc</t>
  </si>
  <si>
    <t>C:\Users\franc\OneDrive\Documentos\MALENTIN KARIME\Rosa\PROMESAS COMPRAVENTA\VEHICULO\PAGARE A PLAZO.doc</t>
  </si>
  <si>
    <t>C:\Users\franc\OneDrive\Documentos\MALENTIN KARIME\Rosa\PROMESAS COMPRAVENTA\VEHICULO\LUIS FIERRO A ROBINSON RADALJ.doc</t>
  </si>
  <si>
    <t>C:\Users\franc\OneDrive\Documentos\MALENTIN KARIME\Rosa\PROMESAS COMPRAVENTA\VEHICULO\MODELO PROMESA VEHICULO.doc</t>
  </si>
  <si>
    <t>C:\Users\franc\OneDrive\Documentos\MALENTIN KARIME\Rosa\PROMESAS COMPRAVENTA\VEHICULO\FRANCISCA CONTRERAS  A LUIS HONORES.doc</t>
  </si>
  <si>
    <t>C:\Users\franc\OneDrive\Documentos\MALENTIN KARIME\Rosa\PROMESAS COMPRAVENTA\VEHICULO\JULIO CORTES A JOSE PIZARRO.doc</t>
  </si>
  <si>
    <t>C:\Users\franc\OneDrive\Documentos\MALENTIN KARIME\Rosa\PROMESAS COMPRAVENTA\VEHICULO\DUALDO CONTRERAS A MARCOS CORTES.doc</t>
  </si>
  <si>
    <t>C:\Users\franc\OneDrive\Documentos\MALENTIN KARIME\Rosa\PROMESAS COMPRAVENTA\VEHICULO\FABIOLA SEGOVIA A CRISTOBAL RODRIGUEZ.doc</t>
  </si>
  <si>
    <t>C:\Users\franc\OneDrive\Documentos\MALENTIN KARIME\Rosa\PROMESAS COMPRAVENTA\VEHICULO\BERTA LAYANA A BENILDE ROCCO.doc</t>
  </si>
  <si>
    <t>C:\Users\franc\OneDrive\Documentos\MALENTIN KARIME\Rosa\PROMESAS COMPRAVENTA\VEHICULO\ALEX SOLIS A OSCIEL FLORES.doc</t>
  </si>
  <si>
    <t>C:\Users\franc\OneDrive\Documentos\MALENTIN KARIME\Rosa\PROMESAS COMPRAVENTA\BIEN RAIZ\PATRICIO ARAYA A EDITH HERRERA LOPEZ.doc</t>
  </si>
  <si>
    <t>C:\Users\franc\OneDrive\Documentos\MALENTIN KARIME\Rosa\PROMESAS COMPRAVENTA\MINA\ARMANDO RODRIGUEZ A ENTRE LOMA UNO DE OVALLE MINA.doc</t>
  </si>
  <si>
    <t>C:\Users\franc\OneDrive\Documentos\MALENTIN KARIME\Rosa\PROMESAS COMPRAVENTA\BIEN RAIZ\MELLADO MALUENDA  A LOS AROMOS LTDA..doc</t>
  </si>
  <si>
    <t>C:\Users\franc\OneDrive\Documentos\MALENTIN KARIME\Rosa\PROMESAS COMPRAVENTA\BIEN RAIZ\MELLADO MALUENDA  A NORTEANDINA.doc</t>
  </si>
  <si>
    <t>C:\Users\franc\OneDrive\Documentos\MALENTIN KARIME\Rosa\PROMESAS COMPRAVENTA\BIEN RAIZ\GABRIELA ALVARADO A MARCELA ALV. Y OTROS.doc</t>
  </si>
  <si>
    <t>C:\Users\franc\OneDrive\Documentos\MALENTIN KARIME\Rosa\PROMESAS COMPRAVENTA\BIEN RAIZ\LUIS TATAN A GERAL TATAN.doc</t>
  </si>
  <si>
    <t>C:\Users\franc\OneDrive\Documentos\MALENTIN KARIME\Rosa\PROMESAS COMPRAVENTA\MODELO PROMESA.doc</t>
  </si>
  <si>
    <t>C:\Users\franc\OneDrive\Documentos\MALENTIN KARIME\Rosa\PROHIBICION SERVIU\PROHIBICIONES\PEDRO VILLEGAS HUERTA.doc</t>
  </si>
  <si>
    <t>C:\Users\franc\OneDrive\Documentos\MALENTIN KARIME\Rosa\PROHIBICION SERVIU\PROHIBICIONES\HERNAN HONORES EPUL.doc</t>
  </si>
  <si>
    <t>C:\Users\franc\OneDrive\Documentos\MALENTIN KARIME\Rosa\PROHIBICION SERVIU\PROHIBICIONES\CESAR CONTRERAS TAPIA.doc</t>
  </si>
  <si>
    <t>C:\Users\franc\OneDrive\Documentos\MALENTIN KARIME\Rosa\PROHIBICION SERVIU\PROHIBICIONES\FELIPE RAMOS GONZALEZ.doc</t>
  </si>
  <si>
    <t>C:\Users\franc\OneDrive\Documentos\MALENTIN KARIME\Rosa\PROHIBICION SERVIU\PROHIBICIONES\BERTA LAGUNAS CABEZAS.doc</t>
  </si>
  <si>
    <t>C:\Users\franc\OneDrive\Documentos\MALENTIN KARIME\Rosa\PROHIBICION SERVIU\DECLARACION NO PARENTESCO\DECLARACION JURADA.doc</t>
  </si>
  <si>
    <t>C:\Users\franc\OneDrive\Documentos\MALENTIN KARIME\Rosa\PRENDAS PARTICULARES\Prenda Sin Desplazamiento Humberto Aguirre S A v3-2.doc</t>
  </si>
  <si>
    <t>C:\Users\franc\OneDrive\Documentos\MALENTIN KARIME\Rosa\PRENDAS PARTICULARES\Pr 20190 Digna Castillo a Inv. Dalmacia ppu XD 7189-1.doc</t>
  </si>
  <si>
    <t>C:\Users\franc\OneDrive\Documentos\MALENTIN KARIME\Rosa\PRENDAS PARTICULARES\HUMBERTO AGUIRRE PRENDA.doc</t>
  </si>
  <si>
    <t>C:\Users\franc\OneDrive\Documentos\MALENTIN KARIME\Rosa\POR MINUTA\HILDERARD.doc</t>
  </si>
  <si>
    <t>C:\Users\franc\OneDrive\Documentos\MALENTIN KARIME\Rosa\PRENDAS PARTICULARES\Humberto Aguirre prenda mayo 2011 borrador.doc</t>
  </si>
  <si>
    <t>C:\Users\franc\OneDrive\Documentos\MALENTIN KARIME\Rosa\PENDIENTES ROSA\ISAAC RAMIREZ a SILVIA RAMIREZ autoriza cónyuge.doc</t>
  </si>
  <si>
    <t>C:\Users\franc\OneDrive\Documentos\MALENTIN KARIME\Rosa\PENDIENTES ROSA\VILMA VILLALOBOS Y OTROS A HUGO ORELLANA.doc</t>
  </si>
  <si>
    <t>C:\Users\franc\OneDrive\Documentos\MALENTIN KARIME\Rosa\PENDIENTES ROSA\ESTERMAN ARDILES A ALFREDO VILLAGRAN M. JUDICIAL.doc</t>
  </si>
  <si>
    <t>C:\Users\franc\OneDrive\Documentos\MALENTIN KARIME\Rosa\PARTICIONES Y SUBDIVISIONES\particion y subdivisión PATRICIA ALFARO.doc</t>
  </si>
  <si>
    <t>C:\Users\franc\OneDrive\Documentos\MALENTIN KARIME\Rosa\MUTUOS\WILLIAM ABUSLEME A CONSTR. GEMA LTDA.borrador 09 de junio.doc</t>
  </si>
  <si>
    <t>C:\Users\franc\OneDrive\Documentos\MALENTIN KARIME\Rosa\PACTO DE INDIVISION\PACTO INDIVISION SUCESION LUIS DIAZ VELIZ.doc</t>
  </si>
  <si>
    <t>C:\Users\franc\OneDrive\Documentos\MALENTIN KARIME\Rosa\MINUTAS POR CORREO\SERVICIOS PROFESIONALES.doc</t>
  </si>
  <si>
    <t>C:\Users\franc\OneDrive\Documentos\MALENTIN KARIME\Rosa\MUTUOS\WILLIAM ABUSLEME A CONSTR. GEMA LTDA..doc</t>
  </si>
  <si>
    <t>C:\Users\franc\OneDrive\Documentos\MALENTIN KARIME\Rosa\MINUTAS POR CORREO\RIO MOSTAZAL 1.doc</t>
  </si>
  <si>
    <t>C:\Users\franc\OneDrive\Documentos\MALENTIN KARIME\Rosa\MINUTAS POR CORREO\RIO MOSTAZAL 2.doc</t>
  </si>
  <si>
    <t>C:\Users\franc\OneDrive\Documentos\MALENTIN KARIME\Rosa\MINUTAS POR CORREO\SANEAMIENTO SAN ISIDRO.- NOVIEMBRE.doc</t>
  </si>
  <si>
    <t>C:\Users\franc\OneDrive\Documentos\MALENTIN KARIME\Rosa\MINUTAS POR CORREO\RECONOCIMIENTO DE DEUDA (2) (2)[1].doc</t>
  </si>
  <si>
    <t>C:\Users\franc\OneDrive\Documentos\MALENTIN KARIME\Rosa\MINUTAS POR CORREO\RECONOCIMIENTO DE DEUDA (2)[1].doc</t>
  </si>
  <si>
    <t>C:\Users\franc\OneDrive\Documentos\MALENTIN KARIME\Rosa\MINUTAS POR CORREO\PROMESA.%20Mellado%20a%20Agr%C3%ADcola%20Norteandino%20v.%204[1].doc</t>
  </si>
  <si>
    <t>C:\Users\franc\OneDrive\Documentos\MALENTIN KARIME\Rosa\MINUTAS POR CORREO\PROMESA._Mellado_a_Los_Aromos_v._4[1].doc</t>
  </si>
  <si>
    <t>C:\Users\franc\OneDrive\Documentos\MALENTIN KARIME\Rosa\MINUTAS POR CORREO\PODER SIMPLE[1].doc</t>
  </si>
  <si>
    <t>C:\Users\franc\OneDrive\Documentos\MALENTIN KARIME\Rosa\MINUTAS POR CORREO\PODER NOTARIAL.doc</t>
  </si>
  <si>
    <t>C:\Users\franc\OneDrive\Documentos\MALENTIN KARIME\Rosa\MINUTAS POR CORREO\poder hermanos pinto a carmen pinto - febrero 2010[1].doc</t>
  </si>
  <si>
    <t>C:\Users\franc\OneDrive\Documentos\MALENTIN KARIME\Rosa\MINUTAS POR CORREO\Nora Vega Ramos [1]. febrero.doc</t>
  </si>
  <si>
    <t>C:\Users\franc\OneDrive\Documentos\MALENTIN KARIME\Rosa\MINUTAS POR CORREO\minuta del sifon (2)[1].doc</t>
  </si>
  <si>
    <t>C:\Users\franc\OneDrive\Documentos\MALENTIN KARIME\Rosa\MINUTAS POR CORREO\Mandato_dilema[1].doc</t>
  </si>
  <si>
    <t>C:\Users\franc\OneDrive\Documentos\MALENTIN KARIME\Rosa\MINUTAS POR CORREO\mandato judicial.doc</t>
  </si>
  <si>
    <t>C:\Users\franc\OneDrive\Documentos\MALENTIN KARIME\Rosa\MINUTAS POR CORREO\MANDATO.doc</t>
  </si>
  <si>
    <t>C:\Users\franc\OneDrive\Documentos\MALENTIN KARIME\Rosa\MINUTAS POR CORREO\mandato judicial y especial correo.doc</t>
  </si>
  <si>
    <t>C:\Users\franc\OneDrive\Documentos\MALENTIN KARIME\Rosa\MINUTAS POR CORREO\MANDATO ESPECIAL CRISTIN UNO ANDACOLLO Y OTRAS.doc</t>
  </si>
  <si>
    <t>C:\Users\franc\OneDrive\Documentos\MALENTIN KARIME\Rosa\MINUTAS POR CORREO\MANDATO JUDICIAL pamela hernandez.doc</t>
  </si>
  <si>
    <t>C:\Users\franc\OneDrive\Documentos\MALENTIN KARIME\Rosa\MINUTAS POR CORREO\Hipoteca Comercia 3º Grado Scotiabank Juan Lopez Pizarro, abril.doc</t>
  </si>
  <si>
    <t>C:\Users\franc\OneDrive\Documentos\MALENTIN KARIME\Rosa\MINUTAS POR CORREO\IRIS ROJAS.doc</t>
  </si>
  <si>
    <t>C:\Users\franc\OneDrive\Documentos\MALENTIN KARIME\Rosa\MINUTAS POR CORREO\Escritura de Aclaración.doc.doc</t>
  </si>
  <si>
    <t>C:\Users\franc\OneDrive\Documentos\MALENTIN KARIME\Rosa\MINUTAS POR CORREO\Declaracion y Poder Sitio Ruta Los Vilos La Serena 7[1].doc</t>
  </si>
  <si>
    <t>C:\Users\franc\OneDrive\Documentos\MALENTIN KARIME\Rosa\MINUTAS POR CORREO\COMPRAVENTA.doc</t>
  </si>
  <si>
    <t>C:\Users\franc\OneDrive\Documentos\MALENTIN KARIME\Rosa\MINUTAS POR CORREO\compraventa alejandro santander.doc</t>
  </si>
  <si>
    <t>C:\Users\franc\OneDrive\Documentos\MALENTIN KARIME\Rosa\MINUTAS POR CORREO\COMPRAVENTA FIAT[1] modificado.doc</t>
  </si>
  <si>
    <t>C:\Users\franc\OneDrive\Documentos\MALENTIN KARIME\Rosa\MINUTAS POR CORREO\ADJUDICACION.doc</t>
  </si>
  <si>
    <t>C:\Users\franc\OneDrive\Documentos\MALENTIN KARIME\Rosa\MINUTAS POR CORREO\BORRADOR MANDATO JUDICIAL.doc</t>
  </si>
  <si>
    <t>C:\Users\franc\OneDrive\Documentos\MALENTIN KARIME\Rosa\MINUTAS POR CORREO\ACTA RESCATE URBANO 05 04 2010[1].doc</t>
  </si>
  <si>
    <t>C:\Users\franc\OneDrive\Documentos\MALENTIN KARIME\Rosa\MINUTAS POR CORREO\ACTAS ESMEL[1].doc</t>
  </si>
  <si>
    <t>C:\Users\franc\OneDrive\Documentos\MALENTIN KARIME\Rosa\MINUTAS POR CORREO\acuerdo de divorcio.doc</t>
  </si>
  <si>
    <t>C:\Users\franc\OneDrive\Documentos\MALENTIN KARIME\Rosa\MANDATOS\PARA VENDER\brorradores\MANDATO MONICA BOLADOS A[1]..doc</t>
  </si>
  <si>
    <t>C:\Users\franc\OneDrive\Documentos\MALENTIN KARIME\Rosa\MINUTAS POR CORREO\ACTA BOMBEROS.doc</t>
  </si>
  <si>
    <t>C:\Users\franc\OneDrive\Documentos\MALENTIN KARIME\Rosa\MANDATOS\PARA VENDER\TERESA BOLVARAN BUGUEÑO A ROSA DIAZ ORTIZ.doc</t>
  </si>
  <si>
    <t>C:\Users\franc\OneDrive\Documentos\MALENTIN KARIME\Rosa\MANDATOS\PARA VENDER\brorradores\MANDATO ESPECIAL PARA VENDER UNA PROPIEDAD SRA WILMA MACCHIAVELLO.-.doc</t>
  </si>
  <si>
    <t>C:\Users\franc\OneDrive\Documentos\MALENTIN KARIME\Rosa\MANDATOS\PARA VENDER\MONICA BOLADOS Y ESPOSO.doc</t>
  </si>
  <si>
    <t>C:\Users\franc\OneDrive\Documentos\MALENTIN KARIME\Rosa\MANDATOS\PARA VENDER\OMAR GODOY Y OTRO A CLAUDIA.doc</t>
  </si>
  <si>
    <t>C:\Users\franc\OneDrive\Documentos\MALENTIN KARIME\Rosa\MANDATOS\PARA VENDER\melania ortega ortega a arturo rojas.doc</t>
  </si>
  <si>
    <t>C:\Users\franc\OneDrive\Documentos\MALENTIN KARIME\Rosa\MANDATOS\PARA VENDER\MAURICIO GONZALEZ (autoriza esposa)  MARIA DURAN.doc</t>
  </si>
  <si>
    <t>C:\Users\franc\OneDrive\Documentos\MALENTIN KARIME\Rosa\MANDATOS\PARA VENDER\MARIA BARRAZA C A PASCUALA BARRAZA G. 1.doc</t>
  </si>
  <si>
    <t>C:\Users\franc\OneDrive\Documentos\MALENTIN KARIME\Rosa\MANDATOS\PARA VENDER\ISNELDA CORTES A MARIO CORTES.doc</t>
  </si>
  <si>
    <t>C:\Users\franc\OneDrive\Documentos\MALENTIN KARIME\Rosa\MANDATOS\PARA VENDER\JENARA JUAREZ Y OTRA.doc</t>
  </si>
  <si>
    <t>C:\Users\franc\OneDrive\Documentos\MALENTIN KARIME\Rosa\MANDATOS\PARA VENDER\HECTOR BARRAZA A PASCUALA BARRAZA G. 1.doc</t>
  </si>
  <si>
    <t>C:\Users\franc\OneDrive\Documentos\MALENTIN KARIME\Rosa\MANDATOS\PARA VENDER\ISABEL VARGAS a CLORINDA PEÑA comparece cónyuge.doc</t>
  </si>
  <si>
    <t>C:\Users\franc\OneDrive\Documentos\MALENTIN KARIME\Rosa\MANDATOS\PARA VENDER\ENRIQUE PEREZ A ROSA ESPINOZA.doc</t>
  </si>
  <si>
    <t>C:\Users\franc\OneDrive\Documentos\MALENTIN KARIME\Rosa\MANDATOS\PARA VENDER\FAMILIA TORRES RECABARREN.doc</t>
  </si>
  <si>
    <t>C:\Users\franc\OneDrive\Documentos\MALENTIN KARIME\Rosa\MANDATOS\PARA VENDER\DANIELLA MACHAVELLO para vender por minuta.doc</t>
  </si>
  <si>
    <t>C:\Users\franc\OneDrive\Documentos\MALENTIN KARIME\Rosa\MANDATOS\MINUTAS X CORREO\Poder Bancario AGROIND. STA. ADRIANA LTDA- MINUTA BORRADOR.doc</t>
  </si>
  <si>
    <t>C:\Users\franc\OneDrive\Documentos\MALENTIN KARIME\Rosa\MANDATOS\MANDATO PROVIDA\MIRTA ROJAS GALLARDO.doc</t>
  </si>
  <si>
    <t>C:\Users\franc\OneDrive\Documentos\MALENTIN KARIME\Rosa\MANDATOS\MANDATO PROVIDA\PABLA ROJAS Y OTROS A EDUARDO GUZMAN.doc</t>
  </si>
  <si>
    <t>C:\Users\franc\OneDrive\Documentos\MALENTIN KARIME\Rosa\MANDATOS\MANDATO PROVIDA\JUAN DIAZ R. Y OTS a ISMAEL DIAZ Provida.doc</t>
  </si>
  <si>
    <t>C:\Users\franc\OneDrive\Documentos\MALENTIN KARIME\Rosa\MANDATOS\JUDICIAL\VERONICA VARGAS LOPEZ\JAZMINA SOTO S[1]. a VERONICA VARGAS.doc</t>
  </si>
  <si>
    <t>C:\Users\franc\OneDrive\Documentos\MALENTIN KARIME\Rosa\MANDATOS\JUDICIAL\WASHINGTON ALTAMIRANO\ZAQUI ALAMO YANINE.doc</t>
  </si>
  <si>
    <t>C:\Users\franc\OneDrive\Documentos\MALENTIN KARIME\Rosa\MANDATOS\JUDICIAL\YAMILE GUSMAN NADGAR\IRIS ROJAS HERRERA.doc</t>
  </si>
  <si>
    <t>C:\Users\franc\OneDrive\Documentos\MALENTIN KARIME\Rosa\MANDATOS\JUDICIAL\VALERIA PLACENCIO LAMAS\MANDATO CARMIGLIA PLACENCIO[1].doc</t>
  </si>
  <si>
    <t>C:\Users\franc\OneDrive\Documentos\MALENTIN KARIME\Rosa\MANDATOS\JUDICIAL\VALERIA PLACENCIO LAMAS\SERGIO GARMIGLIA YAÑEZ.doc</t>
  </si>
  <si>
    <t>C:\Users\franc\OneDrive\Documentos\MALENTIN KARIME\Rosa\MANDATOS\JUDICIAL\SEBASTIAN PEREZ VICENCIO MINUTA\MONICA ROJAS A SEBASTIAN  PEREZ V..doc</t>
  </si>
  <si>
    <t>C:\Users\franc\OneDrive\Documentos\MALENTIN KARIME\Rosa\MANDATOS\JUDICIAL\SANTIAGO NETLE ROJO\RAMIRO BARCELO CONTRERAS.doc</t>
  </si>
  <si>
    <t>C:\Users\franc\OneDrive\Documentos\MALENTIN KARIME\Rosa\MANDATOS\JUDICIAL\SANTIAGO NETLE ROJO\MARIA LOPEZ VARAS.doc</t>
  </si>
  <si>
    <t>C:\Users\franc\OneDrive\Documentos\MALENTIN KARIME\Rosa\MANDATOS\JUDICIAL\SANTIAGO NETLE ROJO\MARIA LOPEZ VARAS JUNIO 2011.doc</t>
  </si>
  <si>
    <t>C:\Users\franc\OneDrive\Documentos\MALENTIN KARIME\Rosa\MANDATOS\JUDICIAL\RODRIGO CAMPOS OLIVA\MANUEL MOLINA LOPEZ.doc</t>
  </si>
  <si>
    <t>C:\Users\franc\OneDrive\Documentos\MALENTIN KARIME\Rosa\MANDATOS\JUDICIAL\ROBERTO VEGA CAMPUSANO\SYLVIA ROJAS CORTES.doc</t>
  </si>
  <si>
    <t>C:\Users\franc\OneDrive\Documentos\MALENTIN KARIME\Rosa\MANDATOS\JUDICIAL\ROBERTO VEGA CAMPUSANO\LEONEL JIMENEZ FLORES.doc</t>
  </si>
  <si>
    <t>C:\Users\franc\OneDrive\Documentos\MALENTIN KARIME\Rosa\MANDATOS\JUDICIAL\ROBERTO VEGA CAMPUSANO\JOSE FLORES ARAYA.doc</t>
  </si>
  <si>
    <t>C:\Users\franc\OneDrive\Documentos\MALENTIN KARIME\Rosa\MANDATOS\JUDICIAL\ROBERTO FUENZALIDA VILLAGRAN CURICO\VARIOS MANDANTES MINUTA.doc</t>
  </si>
  <si>
    <t>C:\Users\franc\OneDrive\Documentos\MALENTIN KARIME\Rosa\MANDATOS\JUDICIAL\RENE ALLENDE SENTIS\RENE CANDIA VENEGAS\RISO SCHAFF.doc</t>
  </si>
  <si>
    <t>C:\Users\franc\OneDrive\Documentos\MALENTIN KARIME\Rosa\MANDATOS\JUDICIAL\RENE ALLENDE SENTIS\RAMIRO BARCELO LOPEZ.doc</t>
  </si>
  <si>
    <t>C:\Users\franc\OneDrive\Documentos\MALENTIN KARIME\Rosa\MANDATOS\JUDICIAL\RENE ALLENDE SENTIS\MARIA CASTRO MUÑOZ.doc</t>
  </si>
  <si>
    <t>C:\Users\franc\OneDrive\Documentos\MALENTIN KARIME\Rosa\MANDATOS\JUDICIAL\RENE ALLENDE SENTIS\LUIS PROHENS VILLALON.doc</t>
  </si>
  <si>
    <t>C:\Users\franc\OneDrive\Documentos\MALENTIN KARIME\Rosa\MANDATOS\JUDICIAL\RAUL SALAMANCA\JULIO POLANCO GALARCE.doc</t>
  </si>
  <si>
    <t>C:\Users\franc\OneDrive\Documentos\MALENTIN KARIME\Rosa\MANDATOS\JUDICIAL\RAUL SALAMANCA\POR SOCIEDAD.doc</t>
  </si>
  <si>
    <t>C:\Users\franc\OneDrive\Documentos\MALENTIN KARIME\Rosa\MANDATOS\JUDICIAL\PEDRO GUTIERREZ\TRANSP. Y COLECTIVOS BOZO Y SANDOVAL LTDA..doc</t>
  </si>
  <si>
    <t>C:\Users\franc\OneDrive\Documentos\MALENTIN KARIME\Rosa\MANDATOS\JUDICIAL\PATRICIA ALFARO ULLOA\RUBEN CONTRERAS.doc</t>
  </si>
  <si>
    <t>C:\Users\franc\OneDrive\Documentos\MALENTIN KARIME\Rosa\MANDATOS\JUDICIAL\PAMELA GALLARDO\MARCELA GUTIERREZ.doc</t>
  </si>
  <si>
    <t>C:\Users\franc\OneDrive\Documentos\MALENTIN KARIME\Rosa\MANDATOS\JUDICIAL\PABLO CAMPILLAY DIAZ\RAUL LIZARDI.doc</t>
  </si>
  <si>
    <t>C:\Users\franc\OneDrive\Documentos\MALENTIN KARIME\Rosa\MANDATOS\JUDICIAL\PABLO CAMPILLAY DIAZ\RAUL LIZARDI LUCO.doc</t>
  </si>
  <si>
    <t>C:\Users\franc\OneDrive\Documentos\MALENTIN KARIME\Rosa\MANDATOS\JUDICIAL\OSCAR JACOB  FILIPPI\FRANCISCO ARAYA GALLARDO.doc</t>
  </si>
  <si>
    <t>C:\Users\franc\OneDrive\Documentos\MALENTIN KARIME\Rosa\MANDATOS\JUDICIAL\OSCAR AGUAYO\PAMELA HERNANDEZ.doc</t>
  </si>
  <si>
    <t>C:\Users\franc\OneDrive\Documentos\MALENTIN KARIME\Rosa\MANDATOS\JUDICIAL\MUNICIPALIDAD DE OVALLE- SRA. MARTA LOBOS\MUNICIPALIDAD DE OVALLE.doc</t>
  </si>
  <si>
    <t>C:\Users\franc\OneDrive\Documentos\MALENTIN KARIME\Rosa\MANDATOS\JUDICIAL\MUNICIPALIDAD DE OVALLE- SRA. MARTA LOBOS\MANUEL CORTES Y SERGIO CORTES.doc</t>
  </si>
  <si>
    <t>C:\Users\franc\OneDrive\Documentos\MALENTIN KARIME\Rosa\MANDATOS\JUDICIAL\MIGUEL SANHEZA QUEZADA\JOSE FLORES ARAYA.doc</t>
  </si>
  <si>
    <t>C:\Users\franc\OneDrive\Documentos\MALENTIN KARIME\Rosa\MANDATOS\JUDICIAL\MIGUEL SANHEZA QUEZADA\LADY VILLALOBOS BARRAZA.doc</t>
  </si>
  <si>
    <t>C:\Users\franc\OneDrive\Documentos\MALENTIN KARIME\Rosa\MANDATOS\JUDICIAL\MAURICIO DIAZ CATALDO\ANA CORTES MARAMBIO.doc</t>
  </si>
  <si>
    <t>C:\Users\franc\OneDrive\Documentos\MALENTIN KARIME\Rosa\MANDATOS\JUDICIAL\MARIO YAÑEZ VERGARA\AGRIC. ALFALFARES A MARIO YAÑEZ VERGARA.doc</t>
  </si>
  <si>
    <t>C:\Users\franc\OneDrive\Documentos\MALENTIN KARIME\Rosa\MANDATOS\JUDICIAL\MARIO CARVALLO Y OTRO\Mandato Leodan a CVillarroel y Mario Carvallo-1.doc</t>
  </si>
  <si>
    <t>C:\Users\franc\OneDrive\Documentos\MALENTIN KARIME\Rosa\MANDATOS\JUDICIAL\MARIO CARVALLO Y OTRO\LEODAN ALFARO.doc</t>
  </si>
  <si>
    <t>C:\Users\franc\OneDrive\Documentos\MALENTIN KARIME\Rosa\MANDATOS\JUDICIAL\MARIA DIAZ\mANDATO jUDICIAL cERRO CAMPANARIO-1.doc</t>
  </si>
  <si>
    <t>C:\Users\franc\OneDrive\Documentos\MALENTIN KARIME\Rosa\MANDATOS\JUDICIAL\MARIO BARRIOS\MARIA AVILES RIVERA.doc</t>
  </si>
  <si>
    <t>C:\Users\franc\OneDrive\Documentos\MALENTIN KARIME\Rosa\MANDATOS\JUDICIAL\MARCO CACERES MENDEZ\NORMAN JIMENEZ.doc</t>
  </si>
  <si>
    <t>C:\Users\franc\OneDrive\Documentos\MALENTIN KARIME\Rosa\MANDATOS\JUDICIAL\MARCO JURIN\SANTIAGO DAVILA ANDAUR.doc</t>
  </si>
  <si>
    <t>C:\Users\franc\OneDrive\Documentos\MALENTIN KARIME\Rosa\MANDATOS\JUDICIAL\LUIS TABILO VALDIVIESO\COMPAÑIA MINERA DEMETRIO TELLO.doc</t>
  </si>
  <si>
    <t>C:\Users\franc\OneDrive\Documentos\MALENTIN KARIME\Rosa\MANDATOS\JUDICIAL\LUIS PIZARRO\PODER_ESPECIAL_AIDA PUENTE CORDOVA.doc</t>
  </si>
  <si>
    <t>C:\Users\franc\OneDrive\Documentos\MALENTIN KARIME\Rosa\MANDATOS\JUDICIAL\LUIS REVECO JARPA\JUAN ROJAS CISTERNAS.doc</t>
  </si>
  <si>
    <t>C:\Users\franc\OneDrive\Documentos\MALENTIN KARIME\Rosa\MANDATOS\JUDICIAL\LUIS PIZARRO\MANDATO ESPECIAL Y JUDICIAL GALLARDO-2.doc</t>
  </si>
  <si>
    <t>C:\Users\franc\OneDrive\Documentos\MALENTIN KARIME\Rosa\MANDATOS\JUDICIAL\LUIS PIZARRO\AIDA PUENTE CORDOVA.doc</t>
  </si>
  <si>
    <t>C:\Users\franc\OneDrive\Documentos\MALENTIN KARIME\Rosa\MANDATOS\JUDICIAL\LUIS PIZARRO\AIDA PUENTE CORDOVA 06 mayo 2011.doc</t>
  </si>
  <si>
    <t>C:\Users\franc\OneDrive\Documentos\MALENTIN KARIME\Rosa\MANDATOS\JUDICIAL\JULIO POLANCO DABED\ROSARIO ALBANEZ CAMPUSANO.doc</t>
  </si>
  <si>
    <t>C:\Users\franc\OneDrive\Documentos\MALENTIN KARIME\Rosa\MANDATOS\JUDICIAL\LUCIANO SARMIENTO JARA\INVERSIONES E INMOBILIARIA INVEGON LTDA 2.doc</t>
  </si>
  <si>
    <t>C:\Users\franc\OneDrive\Documentos\MALENTIN KARIME\Rosa\MANDATOS\JUDICIAL\LUCIANO SARMIENTO JARA\ROSA RIVERA RIVERA.doc</t>
  </si>
  <si>
    <t>C:\Users\franc\OneDrive\Documentos\MALENTIN KARIME\Rosa\MANDATOS\JUDICIAL\JULIO POLANCO DABED\CARLOS ARTAL HUERTA.doc</t>
  </si>
  <si>
    <t>C:\Users\franc\OneDrive\Documentos\MALENTIN KARIME\Rosa\MANDATOS\JUDICIAL\JULIO POLANCO DABED\JUAN RIVERA CORTES.doc</t>
  </si>
  <si>
    <t>C:\Users\franc\OneDrive\Documentos\MALENTIN KARIME\Rosa\MANDATOS\JUDICIAL\JUAN PABLO CORRAL\PATRICIA PAEZ PAEZ sin percibir.doc</t>
  </si>
  <si>
    <t>C:\Users\franc\OneDrive\Documentos\MALENTIN KARIME\Rosa\MANDATOS\JUDICIAL\JUAN PABLO CORRAL\RAUL MARAMBIO TORRES.doc</t>
  </si>
  <si>
    <t>C:\Users\franc\OneDrive\Documentos\MALENTIN KARIME\Rosa\MANDATOS\JUDICIAL\JUAN PABLO CORRAL\NORMA HERNANDEZ sin percibir.doc</t>
  </si>
  <si>
    <t>C:\Users\franc\OneDrive\Documentos\MALENTIN KARIME\Rosa\MANDATOS\JUDICIAL\JUAN PABLO CORRAL\LORENA VARAS ARAYA.doc</t>
  </si>
  <si>
    <t>C:\Users\franc\OneDrive\Documentos\MALENTIN KARIME\Rosa\MANDATOS\JUDICIAL\JUAN PABLO CORRAL\LUCIA VALDIVIA DELGADO.doc</t>
  </si>
  <si>
    <t>C:\Users\franc\OneDrive\Documentos\MALENTIN KARIME\Rosa\MANDATOS\JUDICIAL\JUAN PABLO CORRAL\FRANCISCO DIAZ COLLAO y otro.doc</t>
  </si>
  <si>
    <t>C:\Users\franc\OneDrive\Documentos\MALENTIN KARIME\Rosa\MANDATOS\JUDICIAL\JUAN PABLO CORRAL\HERNAN RAMOS OLATE.doc</t>
  </si>
  <si>
    <t>C:\Users\franc\OneDrive\Documentos\MALENTIN KARIME\Rosa\MANDATOS\JUDICIAL\JUAN PABLO CORRAL\FERNANDO PROHENS BOU.doc</t>
  </si>
  <si>
    <t>C:\Users\franc\OneDrive\Documentos\MALENTIN KARIME\Rosa\MANDATOS\JUDICIAL\JUAN MORAGA MENA\SERGIO COLLAO ROJAS.doc</t>
  </si>
  <si>
    <t>C:\Users\franc\OneDrive\Documentos\MALENTIN KARIME\Rosa\MANDATOS\JUDICIAL\JUAN MORAGA MENA\SERGIO COLLAO ROJAS A FELIX SOTO.doc</t>
  </si>
  <si>
    <t>C:\Users\franc\OneDrive\Documentos\MALENTIN KARIME\Rosa\MANDATOS\JUDICIAL\JOSE VALLEJOS BASUALTO\ROLANDO TABILO GARCIA.doc</t>
  </si>
  <si>
    <t>C:\Users\franc\OneDrive\Documentos\MALENTIN KARIME\Rosa\MANDATOS\JUDICIAL\JUAN AVALOS LUNA\PATRICIA SANHUEZA VELASQUEZ.doc</t>
  </si>
  <si>
    <t>C:\Users\franc\OneDrive\Documentos\MALENTIN KARIME\Rosa\MANDATOS\JUDICIAL\JORGE ALVARADO  RAMIREZ\VICENTE CORTES ARREDONDO.doc</t>
  </si>
  <si>
    <t>C:\Users\franc\OneDrive\Documentos\MALENTIN KARIME\Rosa\MANDATOS\JUDICIAL\JORGE ALVARADO  RAMIREZ\ROSARIO ALBANEZ CAMPUSANO.doc</t>
  </si>
  <si>
    <t>C:\Users\franc\OneDrive\Documentos\MALENTIN KARIME\Rosa\MANDATOS\JUDICIAL\JORGE ALVARADO  RAMIREZ\ROSA CAMPUSANO DIAZ.doc</t>
  </si>
  <si>
    <t>C:\Users\franc\OneDrive\Documentos\MALENTIN KARIME\Rosa\MANDATOS\JUDICIAL\JORGE ALVARADO  RAMIREZ\ROBERTO MORGADO.doc</t>
  </si>
  <si>
    <t>C:\Users\franc\OneDrive\Documentos\MALENTIN KARIME\Rosa\MANDATOS\JUDICIAL\JORGE ALVARADO  RAMIREZ\ROBINSON RUBINA Y JESSICA TOLEDO.doc</t>
  </si>
  <si>
    <t>C:\Users\franc\OneDrive\Documentos\MALENTIN KARIME\Rosa\MANDATOS\JUDICIAL\JORGE ALVARADO  RAMIREZ\ROBERTO MNORGADO.doc</t>
  </si>
  <si>
    <t>C:\Users\franc\OneDrive\Documentos\MALENTIN KARIME\Rosa\MANDATOS\JUDICIAL\JORGE ALVARADO  RAMIREZ\roberto del rosario castillo castillo.doc</t>
  </si>
  <si>
    <t>C:\Users\franc\OneDrive\Documentos\MALENTIN KARIME\Rosa\MANDATOS\JUDICIAL\JORGE ALVARADO  RAMIREZ\ROBERTO DIAZ ASTUDILLO.doc</t>
  </si>
  <si>
    <t>C:\Users\franc\OneDrive\Documentos\MALENTIN KARIME\Rosa\MANDATOS\JUDICIAL\JORGE ALVARADO  RAMIREZ\RISO SCHAF.doc</t>
  </si>
  <si>
    <t>C:\Users\franc\OneDrive\Documentos\MALENTIN KARIME\Rosa\MANDATOS\JUDICIAL\JORGE ALVARADO  RAMIREZ\LUCIA TORRES ASTORGA.doc</t>
  </si>
  <si>
    <t>C:\Users\franc\OneDrive\Documentos\MALENTIN KARIME\Rosa\MANDATOS\JUDICIAL\JORGE ALVARADO  RAMIREZ\MARIA MICHEA TELLO.doc</t>
  </si>
  <si>
    <t>C:\Users\franc\OneDrive\Documentos\MALENTIN KARIME\Rosa\MANDATOS\JUDICIAL\JORGE ALVARADO  RAMIREZ\MARIA VERGARA AVILA.doc</t>
  </si>
  <si>
    <t>C:\Users\franc\OneDrive\Documentos\MALENTIN KARIME\Rosa\MANDATOS\JUDICIAL\JORGE ALVARADO  RAMIREZ\JULIO CONTRERAS.doc</t>
  </si>
  <si>
    <t>C:\Users\franc\OneDrive\Documentos\MALENTIN KARIME\Rosa\MANDATOS\JUDICIAL\JORGE ALVARADO  RAMIREZ\JULIO GUTIERREZ FLORES.doc</t>
  </si>
  <si>
    <t>C:\Users\franc\OneDrive\Documentos\MALENTIN KARIME\Rosa\MANDATOS\JUDICIAL\JORGE ALVARADO  RAMIREZ\JOSE TOLEDO.doc</t>
  </si>
  <si>
    <t>C:\Users\franc\OneDrive\Documentos\MALENTIN KARIME\Rosa\MANDATOS\JUDICIAL\JORGE ALVARADO  RAMIREZ\JUAN CASTILLO RAMOS.doc</t>
  </si>
  <si>
    <t>C:\Users\franc\OneDrive\Documentos\MALENTIN KARIME\Rosa\MANDATOS\JUDICIAL\JORGE ALVARADO  RAMIREZ\JORGE MIRANDA ALFARO.doc</t>
  </si>
  <si>
    <t>C:\Users\franc\OneDrive\Documentos\MALENTIN KARIME\Rosa\MANDATOS\JUDICIAL\JORGE ALVARADO  RAMIREZ\JOSE RAMOS ARAYA.doc</t>
  </si>
  <si>
    <t>C:\Users\franc\OneDrive\Documentos\MALENTIN KARIME\Rosa\MANDATOS\JUDICIAL\JORGE ALVARADO  RAMIREZ\JAVIER DIAZ OLIVARES.doc</t>
  </si>
  <si>
    <t>C:\Users\franc\OneDrive\Documentos\MALENTIN KARIME\Rosa\MANDATOS\JUDICIAL\JORGE ALVARADO  RAMIREZ\GLORIA BRAVO HERNANDEZ.doc</t>
  </si>
  <si>
    <t>C:\Users\franc\OneDrive\Documentos\MALENTIN KARIME\Rosa\MANDATOS\JUDICIAL\JORGE ALVARADO  RAMIREZ\INGRID DOMINGUEZ DIAZ.doc</t>
  </si>
  <si>
    <t>C:\Users\franc\OneDrive\Documentos\MALENTIN KARIME\Rosa\MANDATOS\JUDICIAL\JORGE ALVARADO  RAMIREZ\GABRIEL TORRES ALARCON.doc</t>
  </si>
  <si>
    <t>C:\Users\franc\OneDrive\Documentos\MALENTIN KARIME\Rosa\MANDATOS\JUDICIAL\JORGE ALVARADO  RAMIREZ\FRANCISCO HERBNANDEZ MUÑOZ.doc</t>
  </si>
  <si>
    <t>C:\Users\franc\OneDrive\Documentos\MALENTIN KARIME\Rosa\MANDATOS\JUDICIAL\JORGE ALVARADO  RAMIREZ\EDITH CORTES CERDA.doc</t>
  </si>
  <si>
    <t>C:\Users\franc\OneDrive\Documentos\MALENTIN KARIME\Rosa\MANDATOS\JUDICIAL\JORGE ALVARADO  RAMIREZ\ELBA OLIVARES FLORES.doc</t>
  </si>
  <si>
    <t>C:\Users\franc\OneDrive\Documentos\MALENTIN KARIME\Rosa\MANDATOS\JUDICIAL\JORGE ALVARADO  RAMIREZ\CLOTILDE ALVARADO.doc</t>
  </si>
  <si>
    <t>C:\Users\franc\OneDrive\Documentos\MALENTIN KARIME\Rosa\MANDATOS\JUDICIAL\JORGE ALVARADO  RAMIREZ\ARNOLDO CHACANA CUELLO.doc</t>
  </si>
  <si>
    <t>C:\Users\franc\OneDrive\Documentos\MALENTIN KARIME\Rosa\MANDATOS\JUDICIAL\JORGE ALVARADO  RAMIREZ\ANIBAL ARAYA.doc</t>
  </si>
  <si>
    <t>C:\Users\franc\OneDrive\Documentos\MALENTIN KARIME\Rosa\MANDATOS\JUDICIAL\JORGE ALLENDE SENTIS\JORGE ALLENDE SENTIS.doc</t>
  </si>
  <si>
    <t>C:\Users\franc\OneDrive\Documentos\MALENTIN KARIME\Rosa\MANDATOS\JUDICIAL\JORGE ALVARADO  RAMIREZ\ALFONSO PASTEN.doc</t>
  </si>
  <si>
    <t>C:\Users\franc\OneDrive\Documentos\MALENTIN KARIME\Rosa\MANDATOS\JUDICIAL\JHON CELIS IBARRA\MARIA TORRES SEGOVIA.doc</t>
  </si>
  <si>
    <t>C:\Users\franc\OneDrive\Documentos\MALENTIN KARIME\Rosa\MANDATOS\JUDICIAL\JAZMINA OCARANZA ROJAS\EDUARDO PALTA VILLALOBOS.doc</t>
  </si>
  <si>
    <t>C:\Users\franc\OneDrive\Documentos\MALENTIN KARIME\Rosa\MANDATOS\JUDICIAL\JACQUELINE PIZARRO GONZALEZ\MARCELO GUTHRIE ALVAREZ.doc</t>
  </si>
  <si>
    <t>C:\Users\franc\OneDrive\Documentos\MALENTIN KARIME\Rosa\MANDATOS\JUDICIAL\JAIME MARAMBIO\OLGA CORTES ALBANEZ-MINUTA.doc</t>
  </si>
  <si>
    <t>C:\Users\franc\OneDrive\Documentos\MALENTIN KARIME\Rosa\MANDATOS\JUDICIAL\GABRIEL RODRIGUEZ\PATRICIO PINO CALDERON.doc</t>
  </si>
  <si>
    <t>C:\Users\franc\OneDrive\Documentos\MALENTIN KARIME\Rosa\MANDATOS\JUDICIAL\JACQUELINE PIZARRO GONZALEZ\LUIS ROJAS GONZALEZ.doc</t>
  </si>
  <si>
    <t>C:\Users\franc\OneDrive\Documentos\MALENTIN KARIME\Rosa\MANDATOS\JUDICIAL\GABRIEL RODRIGUEZ\LUIS CEPEDA CORTES.doc</t>
  </si>
  <si>
    <t>C:\Users\franc\OneDrive\Documentos\MALENTIN KARIME\Rosa\MANDATOS\JUDICIAL\FUNCIONARIOS MUNICIPALES\formato mandato\MANDATO FUNCIONARIOS MUNICIPALES.doc</t>
  </si>
  <si>
    <t>C:\Users\franc\OneDrive\Documentos\MALENTIN KARIME\Rosa\MANDATOS\JUDICIAL\FUNCIONARIOS MUNICIPALES\SUSANA RAMIREZ TAPIA Y otra.doc</t>
  </si>
  <si>
    <t>C:\Users\franc\OneDrive\Documentos\MALENTIN KARIME\Rosa\MANDATOS\JUDICIAL\FUNCIONARIOS MUNICIPALES\SUSANA RAMIREZ TAPIA Y otraCOPIA.doc</t>
  </si>
  <si>
    <t>C:\Users\franc\OneDrive\Documentos\MALENTIN KARIME\Rosa\MANDATOS\JUDICIAL\FUNCIONARIOS MUNICIPALES\formato mandato\MANDATO FUNCIONARIOS MUNICIAPALES varios.doc</t>
  </si>
  <si>
    <t>C:\Users\franc\OneDrive\Documentos\MALENTIN KARIME\Rosa\MANDATOS\JUDICIAL\FUNCIONARIOS MUNICIPALES\SANTIAGO ALBANEZ ARACENA y otros.doc</t>
  </si>
  <si>
    <t>C:\Users\franc\OneDrive\Documentos\MALENTIN KARIME\Rosa\MANDATOS\JUDICIAL\FUNCIONARIOS MUNICIPALES\SERGIO HERNANDEZ y otros.doc</t>
  </si>
  <si>
    <t>C:\Users\franc\OneDrive\Documentos\MALENTIN KARIME\Rosa\MANDATOS\JUDICIAL\FUNCIONARIOS MUNICIPALES\MARIA ASTORGA y otros.doc</t>
  </si>
  <si>
    <t>C:\Users\franc\OneDrive\Documentos\MALENTIN KARIME\Rosa\MANDATOS\JUDICIAL\FUNCIONARIOS MUNICIPALES\MARCELA BARRAZA y otros.doc</t>
  </si>
  <si>
    <t>C:\Users\franc\OneDrive\Documentos\MALENTIN KARIME\Rosa\MANDATOS\JUDICIAL\FUNCIONARIOS MUNICIPALES\MABEL MIANDA y otros.doc</t>
  </si>
  <si>
    <t>C:\Users\franc\OneDrive\Documentos\MALENTIN KARIME\Rosa\MANDATOS\JUDICIAL\FUNCIONARIOS MUNICIPALES\JUAN CORTES  y otros.doc</t>
  </si>
  <si>
    <t>C:\Users\franc\OneDrive\Documentos\MALENTIN KARIME\Rosa\MANDATOS\JUDICIAL\FUNCIONARIOS MUNICIPALES\HOMERO CORTES ALFARO y otros.doc</t>
  </si>
  <si>
    <t>C:\Users\franc\OneDrive\Documentos\MALENTIN KARIME\Rosa\MANDATOS\JUDICIAL\FUNCIONARIOS MUNICIPALES\GALO LUNA ALVARADO Y otro.doc</t>
  </si>
  <si>
    <t>C:\Users\franc\OneDrive\Documentos\MALENTIN KARIME\Rosa\MANDATOS\JUDICIAL\FUNCIONARIOS MUNICIPALES\FERNANDO MAZUELA y otros.doc</t>
  </si>
  <si>
    <t>C:\Users\franc\OneDrive\Documentos\MALENTIN KARIME\Rosa\MANDATOS\JUDICIAL\FUNCIONARIOS MUNICIPALES\CLAUDIO RENTERIA y otros.doc</t>
  </si>
  <si>
    <t>C:\Users\franc\OneDrive\Documentos\MALENTIN KARIME\Rosa\MANDATOS\JUDICIAL\FUNCIONARIOS MUNICIPALES\EMA JARAMILLO  y otros.doc</t>
  </si>
  <si>
    <t>C:\Users\franc\OneDrive\Documentos\MALENTIN KARIME\Rosa\MANDATOS\JUDICIAL\FUNCIONARIOS MUNICIPALES\BORIS CARMONA y otros.doc</t>
  </si>
  <si>
    <t>C:\Users\franc\OneDrive\Documentos\MALENTIN KARIME\Rosa\MANDATOS\JUDICIAL\FRANKLIN GALLARDO NAVEA\JOSE FLORES ARAYA.doc</t>
  </si>
  <si>
    <t>C:\Users\franc\OneDrive\Documentos\MALENTIN KARIME\Rosa\MANDATOS\JUDICIAL\FRANKLIN GALLARDO NAVEA\JOSE  ARAYA oyarce.doc</t>
  </si>
  <si>
    <t>C:\Users\franc\OneDrive\Documentos\MALENTIN KARIME\Rosa\MANDATOS\JUDICIAL\FLOR GOMEZ LOPEZ\MARIA HENRIQUEZ.doc</t>
  </si>
  <si>
    <t>C:\Users\franc\OneDrive\Documentos\MALENTIN KARIME\Rosa\MANDATOS\JUDICIAL\FLOR GOMEZ LOPEZ\María R. Henríquez J.[1] contrato prestacion de servicios.doc</t>
  </si>
  <si>
    <t>C:\Users\franc\OneDrive\Documentos\MALENTIN KARIME\Rosa\MANDATOS\JUDICIAL\FLOR GOMEZ LOPEZ\Maaría R. Henríquez J.[1].doc</t>
  </si>
  <si>
    <t>C:\Users\franc\OneDrive\Documentos\MALENTIN KARIME\Rosa\MANDATOS\JUDICIAL\FELIPE ALAMO\LUIS Y VICTOR TABILO.doc</t>
  </si>
  <si>
    <t>C:\Users\franc\OneDrive\Documentos\MALENTIN KARIME\Rosa\MANDATOS\JUDICIAL\FELIPE ALAMO\MANUEL FLORENTINO MUÑOZ RAMIREZ.doc</t>
  </si>
  <si>
    <t>C:\Users\franc\OneDrive\Documentos\MALENTIN KARIME\Rosa\MANDATOS\JUDICIAL\FABRIZZIO CALDERON\ALQUMIDES TAPIA X MINUTA.doc</t>
  </si>
  <si>
    <t>C:\Users\franc\OneDrive\Documentos\MALENTIN KARIME\Rosa\MANDATOS\JUDICIAL\FELIPE ALAMO\ALDO CAMPOS PACHECO.doc</t>
  </si>
  <si>
    <t>C:\Users\franc\OneDrive\Documentos\MALENTIN KARIME\Rosa\MANDATOS\JUDICIAL\EUGENIO RIVAS\IGNACIO RAMIREZ GALLARDO.doc</t>
  </si>
  <si>
    <t>C:\Users\franc\OneDrive\Documentos\MALENTIN KARIME\Rosa\MANDATOS\JUDICIAL\EUGENIO RIVAS\gabriel oyarce.doc</t>
  </si>
  <si>
    <t>C:\Users\franc\OneDrive\Documentos\MALENTIN KARIME\Rosa\MANDATOS\JUDICIAL\EUGENIO RIVAS\ARNOLDO TELLO.doc</t>
  </si>
  <si>
    <t>C:\Users\franc\OneDrive\Documentos\MALENTIN KARIME\Rosa\MANDATOS\JUDICIAL\EFRAIN VILLALOBOS\DANILO OJEDA SOTO.doc</t>
  </si>
  <si>
    <t>C:\Users\franc\OneDrive\Documentos\MALENTIN KARIME\Rosa\MANDATOS\JUDICIAL\EDUARDO BERRIOS VALENZUELA\MANDATO JUD porras.doc</t>
  </si>
  <si>
    <t>C:\Users\franc\OneDrive\Documentos\MALENTIN KARIME\Rosa\MANDATOS\JUDICIAL\EDUARDO BERRIOS VALENZUELA\JULIO PORRAS A EDUARDO BERRIOS X SOCIEDAD.doc</t>
  </si>
  <si>
    <t>C:\Users\franc\OneDrive\Documentos\MALENTIN KARIME\Rosa\MANDATOS\JUDICIAL\Don Italo\oposición 2.doc</t>
  </si>
  <si>
    <t>C:\Users\franc\OneDrive\Documentos\MALENTIN KARIME\Rosa\MANDATOS\JUDICIAL\Don Italo\2 OPOSICION.doc</t>
  </si>
  <si>
    <t>C:\Users\franc\OneDrive\Documentos\MALENTIN KARIME\Rosa\MANDATOS\JUDICIAL\Don Italo\Mandato judicial querella por robo[1].doc</t>
  </si>
  <si>
    <t>C:\Users\franc\OneDrive\Documentos\MALENTIN KARIME\Rosa\MANDATOS\JUDICIAL\Don Italo\1querella por robo.doc</t>
  </si>
  <si>
    <t>C:\Users\franc\OneDrive\Documentos\MALENTIN KARIME\Rosa\MANDATOS\JUDICIAL\DANIEL SALFATE\zulema acuña.doc</t>
  </si>
  <si>
    <t>C:\Users\franc\OneDrive\Documentos\MALENTIN KARIME\Rosa\MANDATOS\JUDICIAL\DANIEL SALFATE\SILVIO ARAYA CAMPUSANO.doc</t>
  </si>
  <si>
    <t>C:\Users\franc\OneDrive\Documentos\MALENTIN KARIME\Rosa\MANDATOS\JUDICIAL\DANIEL SALFATE\EVELYN SORIA.doc</t>
  </si>
  <si>
    <t>C:\Users\franc\OneDrive\Documentos\MALENTIN KARIME\Rosa\MANDATOS\JUDICIAL\CRISTIAN ZEPEDA\JUAN CORTES ARANCIBIA en representación..doc</t>
  </si>
  <si>
    <t>C:\Users\franc\OneDrive\Documentos\MALENTIN KARIME\Rosa\MANDATOS\JUDICIAL\CLAUDIO MARCHANT CONTRERAS\ALEJANDRO VILLANUEVA.doc</t>
  </si>
  <si>
    <t>C:\Users\franc\OneDrive\Documentos\MALENTIN KARIME\Rosa\MANDATOS\JUDICIAL\CLAUDIO ARDILES ARAYA\PEDRO ROJAS BUGUEÑO.doc</t>
  </si>
  <si>
    <t>C:\Users\franc\OneDrive\Documentos\MALENTIN KARIME\Rosa\MANDATOS\JUDICIAL\CLAUDIO ARDILES ARAYA\MAVIS ALVAREZ CAMPO.doc</t>
  </si>
  <si>
    <t>C:\Users\franc\OneDrive\Documentos\MALENTIN KARIME\Rosa\MANDATOS\JUDICIAL\CLAUDIO ARDILES ARAYA\MANUEL SANTIAGO SANTIAGO.doc</t>
  </si>
  <si>
    <t>C:\Users\franc\OneDrive\Documentos\MALENTIN KARIME\Rosa\MANDATOS\JUDICIAL\CLAUDIO ARDILES ARAYA\HILDEEGARD CUBILLOS MUNSKI.doc</t>
  </si>
  <si>
    <t>C:\Users\franc\OneDrive\Documentos\MALENTIN KARIME\Rosa\MANDATOS\JUDICIAL\CLAUDIO ARDILES ARAYA\FREDDY SAAVEDRA CASTILLO.doc</t>
  </si>
  <si>
    <t>C:\Users\franc\OneDrive\Documentos\MALENTIN KARIME\Rosa\MANDATOS\JUDICIAL\CLAUDIO ARDILES ARAYA\ANERCIO ROBLES LOPEZ.doc</t>
  </si>
  <si>
    <t>C:\Users\franc\OneDrive\Documentos\MALENTIN KARIME\Rosa\MANDATOS\JUDICIAL\CLAUDIO ARAYA CASTILLO\SANDRA JOFRE MATURANA.doc</t>
  </si>
  <si>
    <t>C:\Users\franc\OneDrive\Documentos\MALENTIN KARIME\Rosa\MANDATOS\JUDICIAL\CLAUDIO ARAYA CASTILLO\RAUL CORTES Y JUAN CORTES.doc</t>
  </si>
  <si>
    <t>C:\Users\franc\OneDrive\Documentos\MALENTIN KARIME\Rosa\MANDATOS\JUDICIAL\CLAUDIO ARAYA CASTILLO\RIVERA MONTAJES.doc</t>
  </si>
  <si>
    <t>C:\Users\franc\OneDrive\Documentos\MALENTIN KARIME\Rosa\MANDATOS\JUDICIAL\CLAUDIO ARAYA CASTILLO\MANUEL ILLLANES CASTILLO.doc</t>
  </si>
  <si>
    <t>C:\Users\franc\OneDrive\Documentos\MALENTIN KARIME\Rosa\MANDATOS\JUDICIAL\CLAUDIO ARAYA CASTILLO\PEDRO CORTES CASTILLO.doc</t>
  </si>
  <si>
    <t>C:\Users\franc\OneDrive\Documentos\MALENTIN KARIME\Rosa\MANDATOS\JUDICIAL\CLAUDIO ARAYA CASTILLO\FRANCISCO JIMENEZ.doc</t>
  </si>
  <si>
    <t>C:\Users\franc\OneDrive\Documentos\MALENTIN KARIME\Rosa\MANDATOS\JUDICIAL\CLAUDIO ARAYA CASTILLO\ELIZABETH MICHEA.doc</t>
  </si>
  <si>
    <t>C:\Users\franc\OneDrive\Documentos\MALENTIN KARIME\Rosa\MANDATOS\JUDICIAL\CLAUDIO ARAYA CASTILLO\DORKA ROJAS MOYANO.doc</t>
  </si>
  <si>
    <t>C:\Users\franc\OneDrive\Documentos\MALENTIN KARIME\Rosa\MANDATOS\JUDICIAL\CATALINA MULET DIAZ\MANDATO JUDICIAL ARMANDO SALAMANCA. MINUTA.doc</t>
  </si>
  <si>
    <t>C:\Users\franc\OneDrive\Documentos\MALENTIN KARIME\Rosa\MANDATOS\JUDICIAL\CLAUDIO ARAYA CASTILLO\ALDO CAMPOS PACHECO.doc</t>
  </si>
  <si>
    <t>C:\Users\franc\OneDrive\Documentos\MALENTIN KARIME\Rosa\MANDATOS\JUDICIAL\CATALINA MULET DIAZ\ARMANDO SALAMANCA.doc</t>
  </si>
  <si>
    <t>C:\Users\franc\OneDrive\Documentos\MALENTIN KARIME\Rosa\MANDATOS\JUDICIAL\CAROLINA HERNANDEZ YEOMAS\JULIO ALFARO CASTILLO.doc</t>
  </si>
  <si>
    <t>C:\Users\franc\OneDrive\Documentos\MALENTIN KARIME\Rosa\MANDATOS\JUDICIAL\CAROLINA ADAOS VALENZUELA\SERGIO HONORES LAGOS.doc</t>
  </si>
  <si>
    <t>C:\Users\franc\OneDrive\Documentos\MALENTIN KARIME\Rosa\MANDATOS\JUDICIAL\ALFREDO VILLAGRAN TAPIA\ANTONIO CASTRO ORDENES.doc</t>
  </si>
  <si>
    <t>C:\Users\franc\OneDrive\Documentos\MALENTIN KARIME\Rosa\MANDATOS\JUDICIAL\ALFREDO VILLAGRAN TAPIA\ESTERMAN ARDILES TAPIA.doc</t>
  </si>
  <si>
    <t>C:\Users\franc\OneDrive\Documentos\MALENTIN KARIME\Rosa\MANDATOS\JUDICIAL\ADOLFO LAY\POR SOCIEDAD.doc</t>
  </si>
  <si>
    <t>C:\Users\franc\OneDrive\Documentos\MALENTIN KARIME\Rosa\MANDATOS\JUDICIAL\ADOLFO LAY\VALLE DE TULAHUEN a A. LAY.doc</t>
  </si>
  <si>
    <t>C:\Users\franc\OneDrive\Documentos\MALENTIN KARIME\Rosa\MANDATOS\JUDICIAL\ADOLFO LAY\HERNAN TELLO ANDRADE.doc</t>
  </si>
  <si>
    <t>C:\Users\franc\OneDrive\Documentos\MALENTIN KARIME\Rosa\MANDATOS\JUDICIAL\ADOLFO LAY\JUAN VILLARROEL Y CIA LTDA.doc</t>
  </si>
  <si>
    <t>C:\Users\franc\OneDrive\Documentos\MALENTIN KARIME\Rosa\MANDATOS\JUDICIAL\MINUTA MANDATO JUDICIAL.doc</t>
  </si>
  <si>
    <t>C:\Users\franc\OneDrive\Documentos\MALENTIN KARIME\Rosa\MANDATOS\JUDICIAL\TATIANA 26 enero 2011.doc</t>
  </si>
  <si>
    <t>C:\Users\franc\OneDrive\Documentos\MALENTIN KARIME\Rosa\MANDATOS\JUDICIAL\MANDATO JUDICIAL LUIS CEPEDA CORTES.doc</t>
  </si>
  <si>
    <t>C:\Users\franc\OneDrive\Documentos\MALENTIN KARIME\Rosa\MANDATOS\JUDICIAL\mandato extranjero.doc</t>
  </si>
  <si>
    <t>C:\Users\franc\OneDrive\Documentos\MALENTIN KARIME\Rosa\MANDATOS\JUDICIAL\Mandato Judicial especial 4 personas CURICO MINUTA.doc</t>
  </si>
  <si>
    <t>C:\Users\franc\OneDrive\Documentos\MALENTIN KARIME\Rosa\MANDATOS\JUDICIAL\JULIO PACHECO.doc</t>
  </si>
  <si>
    <t>C:\Users\franc\OneDrive\Documentos\MALENTIN KARIME\Rosa\MANDATOS\JUDICIAL\JPR-Mandato Judicial Victor Moya a JPR (Solicitud de sentencia Victor I).doc</t>
  </si>
  <si>
    <t>C:\Users\franc\OneDrive\Documentos\MALENTIN KARIME\Rosa\MANDATOS\JUDICIAL\Borrador_Poder_Tatiana_Aguilera[1].doc</t>
  </si>
  <si>
    <t>C:\Users\franc\OneDrive\Documentos\MALENTIN KARIME\Rosa\MANDATOS\JAIME PROHENS SOMMELLA\CERRO CAMPANARIO A MARIA DIAZ.doc</t>
  </si>
  <si>
    <t>C:\Users\franc\OneDrive\Documentos\MALENTIN KARIME\Rosa\MANDATOS\JAIME PROHENS SOMMELLA\CERRO CAMPANARIO A MARIA DIAZ copia para correo.doc</t>
  </si>
  <si>
    <t>C:\Users\franc\OneDrive\Documentos\MALENTIN KARIME\Rosa\MANDATOS\JAIME PROHENS SOMMELLA\CERRO CAMPANARIO A MARIA DIAZ con modificación.doc</t>
  </si>
  <si>
    <t>C:\Users\franc\OneDrive\Documentos\MALENTIN KARIME\Rosa\MANDATOS\JAIME PROHENS SOMMELLA\CERRO CAMPANARIO A MARIA DIAZ con cambios.doc</t>
  </si>
  <si>
    <t>C:\Users\franc\OneDrive\Documentos\MALENTIN KARIME\Rosa\MANDATOS\GENERAL\RICADO FIGUERROA A JORGE FIGUEROA TELLO minuta.doc</t>
  </si>
  <si>
    <t>C:\Users\franc\OneDrive\Documentos\MALENTIN KARIME\Rosa\MANDATOS\JAIME PROHENS SOMMELLA\AGROINDUSTRIAL STA. ADRIANA LTDA..doc</t>
  </si>
  <si>
    <t>C:\Users\franc\OneDrive\Documentos\MALENTIN KARIME\Rosa\MANDATOS\GENERAL\modelo mandato.doc</t>
  </si>
  <si>
    <t>C:\Users\franc\OneDrive\Documentos\MALENTIN KARIME\Rosa\MANDATOS\GENERAL\LUIS POZO A LUCIA POZO.doc</t>
  </si>
  <si>
    <t>C:\Users\franc\OneDrive\Documentos\MALENTIN KARIME\Rosa\MANDATOS\GENERAL\JUAN HIDALGO CORTES A IVY VALLEJAOS BRAVO.doc</t>
  </si>
  <si>
    <t>C:\Users\franc\OneDrive\Documentos\MALENTIN KARIME\Rosa\MANDATOS\GENERAL\JUAN NORTES 2 DE MARZO 2011 MINUTA.doc</t>
  </si>
  <si>
    <t>C:\Users\franc\OneDrive\Documentos\MALENTIN KARIME\Rosa\MANDATOS\GENERAL\ANA GUERRERO A MARIO GUERRERO.doc</t>
  </si>
  <si>
    <t>C:\Users\franc\OneDrive\Documentos\MALENTIN KARIME\Rosa\MANDATOS\GENERAL\CARLOS OLIVARES ALANIZ MINUTA CALAMA.doc</t>
  </si>
  <si>
    <t>C:\Users\franc\OneDrive\Documentos\MALENTIN KARIME\Rosa\MANDATOS\ESPECIAL\MANDATOS DON JAIME PROHENS\Minuta por correo 2.doc</t>
  </si>
  <si>
    <t>C:\Users\franc\OneDrive\Documentos\MALENTIN KARIME\Rosa\MANDATOS\GENERAL\ana guerrero a mario fernandez 2.doc</t>
  </si>
  <si>
    <t>C:\Users\franc\OneDrive\Documentos\MALENTIN KARIME\Rosa\MANDATOS\ESPECIAL\MANDATOS DON JAIME PROHENS\2 OPOSICION.doc</t>
  </si>
  <si>
    <t>C:\Users\franc\OneDrive\Documentos\MALENTIN KARIME\Rosa\MANDATOS\ESPECIAL\MANDATOS DON JAIME PROHENS\Minuta por correo 1.doc</t>
  </si>
  <si>
    <t>C:\Users\franc\OneDrive\Documentos\MALENTIN KARIME\Rosa\MANDATOS\ESPECIAL\RUBEN IGLESIAS A GABRIEL AYARZUN CAMPOS.doc</t>
  </si>
  <si>
    <t>C:\Users\franc\OneDrive\Documentos\MALENTIN KARIME\Rosa\MANDATOS\ESPECIAL\MANDATOS DON JAIME PROHENS\1querella por robo.doc</t>
  </si>
  <si>
    <t>C:\Users\franc\OneDrive\Documentos\MALENTIN KARIME\Rosa\MANDATOS\ESPECIAL\PODER SIMPLE[1].doc</t>
  </si>
  <si>
    <t>C:\Users\franc\OneDrive\Documentos\MALENTIN KARIME\Rosa\MANDATOS\ESPECIAL\PODER ESPECIAL negociacion.doc</t>
  </si>
  <si>
    <t>C:\Users\franc\OneDrive\Documentos\MALENTIN KARIME\Rosa\MANDATOS\ESPECIAL\norma castillo a dilemacastillo.doc</t>
  </si>
  <si>
    <t>C:\Users\franc\OneDrive\Documentos\MALENTIN KARIME\Rosa\MANDATOS\ESPECIAL\NEREO CONTRERAS.doc</t>
  </si>
  <si>
    <t>C:\Users\franc\OneDrive\Documentos\MALENTIN KARIME\Rosa\MANDATOS\ESPECIAL\modelo mandato especial administración.doc</t>
  </si>
  <si>
    <t>C:\Users\franc\OneDrive\Documentos\MALENTIN KARIME\Rosa\MANDATOS\ESPECIAL\marcela moraga.doc</t>
  </si>
  <si>
    <t>C:\Users\franc\OneDrive\Documentos\MALENTIN KARIME\Rosa\MANDATOS\ESPECIAL\MIGUEL TAPIA LAGUNAS A BENITO TOLEDO.doc</t>
  </si>
  <si>
    <t>C:\Users\franc\OneDrive\Documentos\MALENTIN KARIME\Rosa\MANDATOS\ESPECIAL\MARCELA ANJEL MARABOLI.doc</t>
  </si>
  <si>
    <t>C:\Users\franc\OneDrive\Documentos\MALENTIN KARIME\Rosa\MANDATOS\ESPECIAL\MANDATO_ESPECIAL_COMPRA_PIZARRO_SEGOVIA.doc</t>
  </si>
  <si>
    <t>C:\Users\franc\OneDrive\Documentos\MALENTIN KARIME\Rosa\MANDATOS\ESPECIAL\MANDATO_AMALIO_GONZALEZ_24.01.2011.doc</t>
  </si>
  <si>
    <t>C:\Users\franc\OneDrive\Documentos\MALENTIN KARIME\Rosa\MANDATOS\ESPECIAL\MANDATO ESPECIAL KAREN BALCAZAR.doc</t>
  </si>
  <si>
    <t>C:\Users\franc\OneDrive\Documentos\MALENTIN KARIME\Rosa\MANDATOS\ESPECIAL\LUIS TELLO MUÑOZ A EUGENIA PIZARRO C..doc</t>
  </si>
  <si>
    <t>C:\Users\franc\OneDrive\Documentos\MALENTIN KARIME\Rosa\MANDATOS\ESPECIAL\LUBRICANTES ARTIGUEZ A PEDRO BARRIOS Y RODOLFO ARENAS.doc</t>
  </si>
  <si>
    <t>C:\Users\franc\OneDrive\Documentos\MALENTIN KARIME\Rosa\MANDATOS\ESPECIAL\HILDA ROBLEDO A EDUARDO VERGARA ROBLEDO.doc</t>
  </si>
  <si>
    <t>C:\Users\franc\OneDrive\Documentos\MALENTIN KARIME\Rosa\MANDATOS\ESPECIAL\HORACIO ZEBALLOS Y OTRO A ALICIA ZEBALLOS.doc</t>
  </si>
  <si>
    <t>C:\Users\franc\OneDrive\Documentos\MALENTIN KARIME\Rosa\MANDATOS\ESPECIAL\HERMAN CARVAJAL A ANGELO CARVAJAL CARVAJAL.doc</t>
  </si>
  <si>
    <t>C:\Users\franc\OneDrive\Documentos\MALENTIN KARIME\Rosa\MANDATOS\ESPECIAL\HERMAN CARVAJAL A ANGELO CARVAJAL.doc</t>
  </si>
  <si>
    <t>C:\Users\franc\OneDrive\Documentos\MALENTIN KARIME\Rosa\MANDATOS\ESPECIAL\GUILE CODOCEO Y LUIS HUMBERTO negociacion.doc</t>
  </si>
  <si>
    <t>C:\Users\franc\OneDrive\Documentos\MALENTIN KARIME\Rosa\MANDATOS\ESPECIAL\GUSTAVO PIZARRO A JANET DIAZ.doc</t>
  </si>
  <si>
    <t>C:\Users\franc\OneDrive\Documentos\MALENTIN KARIME\Rosa\MANDATOS\ESPECIAL\FRANCISCO CAMPILLAY - ANGELA TORRES.doc</t>
  </si>
  <si>
    <t>C:\Users\franc\OneDrive\Documentos\MALENTIN KARIME\Rosa\MANDATOS\ESPECIAL\CRISTIAN CORTES TELLO a persona natural.doc</t>
  </si>
  <si>
    <t>C:\Users\franc\OneDrive\Documentos\MALENTIN KARIME\Rosa\MANDATOS\ESPECIAL\FELIX GALLARDO A IRIS ESPINOZA CARRILLO.doc</t>
  </si>
  <si>
    <t>C:\Users\franc\OneDrive\Documentos\MALENTIN KARIME\Rosa\MANDATOS\ESPECIAL\COMERCIAL ARTIGUEZ A PEDRO BARRIOS.doc</t>
  </si>
  <si>
    <t>C:\Users\franc\OneDrive\Documentos\MALENTIN KARIME\Rosa\MANDATOS\ESPECIAL\BLANCA LEON A JERONIMO FIGUEROA.doc</t>
  </si>
  <si>
    <t>C:\Users\franc\OneDrive\Documentos\MALENTIN KARIME\Rosa\MANDATOS\ESPECIAL\amalio.doc</t>
  </si>
  <si>
    <t>C:\Users\franc\OneDrive\Documentos\MALENTIN KARIME\Rosa\MANDATOS\ESPECIAL\ALAMIRO LOPEZ  Y OTROS A ROXANA LOPEZ (X MINUTA).doc</t>
  </si>
  <si>
    <t>C:\Users\franc\OneDrive\Documentos\MALENTIN KARIME\Rosa\MANDATOS\BANCO DE CHILE\cta. corriente\BERTA PIZARRO A PABLO ALVARADO.doc</t>
  </si>
  <si>
    <t>C:\Users\franc\OneDrive\Documentos\MALENTIN KARIME\Rosa\MANDATOS\BANCO DE CHILE\LUIS PARRA a BERNARDITA JAÑA.doc</t>
  </si>
  <si>
    <t>C:\Users\franc\OneDrive\Documentos\MALENTIN KARIME\Rosa\MANDATOS\BANCO DE CHILE\JUAN CORTES A HILDA MUÑOZ Y OTRA.doc</t>
  </si>
  <si>
    <t>C:\Users\franc\OneDrive\Documentos\MALENTIN KARIME\Rosa\MANDATOS\BANCO DE CHILE\JOSE ZUÑIGA A ALAMIRO ZUÑIGA.doc</t>
  </si>
  <si>
    <t>C:\Users\franc\OneDrive\Documentos\MALENTIN KARIME\Rosa\MANDATOS\BANCO DE CHILE\HUGO HECKERSDORF A ROSA ARAYA.doc</t>
  </si>
  <si>
    <t>C:\Users\franc\OneDrive\Documentos\MALENTIN KARIME\Rosa\MANDATOS\BANCARIOS POR MINUTAS\ANTONIO CONTRERAS A DELFO CONTRERAS.doc</t>
  </si>
  <si>
    <t>C:\Users\franc\OneDrive\Documentos\MALENTIN KARIME\Rosa\MANDATOS\BANCO DE CHILE\ejemplo banco chile.doc</t>
  </si>
  <si>
    <t>C:\Users\franc\OneDrive\Documentos\MALENTIN KARIME\Rosa\MANDATOS\BANCARIO\MARIO CASTILLO BARRAZA A ELSA VIDAL ROJAS.doc</t>
  </si>
  <si>
    <t>C:\Users\franc\OneDrive\Documentos\MALENTIN KARIME\Rosa\MANDATOS\BANCARIO\PODER BANCARIO ejemplo.doc</t>
  </si>
  <si>
    <t>C:\Users\franc\OneDrive\Documentos\MALENTIN KARIME\Rosa\MANDATOS\BANCARIO\MARIO CASTILLO A ELSA VIDAL ROJAS.doc</t>
  </si>
  <si>
    <t>C:\Users\franc\OneDrive\Documentos\MALENTIN KARIME\Rosa\MANDATOS\BANCARIO\EDITH PIZARRO A FRANCO AROS.doc</t>
  </si>
  <si>
    <t>C:\Users\franc\OneDrive\Documentos\MALENTIN KARIME\Rosa\MANDATOS\BANCARIO\DORIS LARENAS A PAULA DE CASACUBERTA.doc</t>
  </si>
  <si>
    <t>C:\Users\franc\OneDrive\Documentos\MALENTIN KARIME\Rosa\MANDATOS\BANCARIO\DANIEL VEGA ARQUEROS A DANIEL VEGA.doc</t>
  </si>
  <si>
    <t>C:\Users\franc\OneDrive\Documentos\MALENTIN KARIME\Rosa\MANDATOS\BANCARIO\ACTUAR EN  CTA.CORRIENTE.doc</t>
  </si>
  <si>
    <t>C:\Users\franc\OneDrive\Documentos\MALENTIN KARIME\Rosa\MANDATOS\ADMINISTRACION\NARCISO CERDA A SANDRA CERDA SALINAS.doc</t>
  </si>
  <si>
    <t>C:\Users\franc\OneDrive\Documentos\MALENTIN KARIME\Rosa\MANDATOS\MANDATO URGENTE.doc</t>
  </si>
  <si>
    <t>C:\Users\franc\OneDrive\Documentos\MALENTIN KARIME\Rosa\MANDATOS\NATIVIDAD CORTE A GIMENA VEGA CORTES.doc</t>
  </si>
  <si>
    <t>C:\Users\franc\OneDrive\Documentos\MALENTIN KARIME\Rosa\MANDATOS\mandato rodrigo.doc</t>
  </si>
  <si>
    <t>C:\Users\franc\OneDrive\Documentos\MALENTIN KARIME\Rosa\MANDATOS\manDATO GENERAL RODRIGO.doc</t>
  </si>
  <si>
    <t>C:\Users\franc\OneDrive\Documentos\MALENTIN KARIME\Rosa\LOGROS\OSCAR CORTES.doc</t>
  </si>
  <si>
    <t>C:\Users\franc\OneDrive\Documentos\MALENTIN KARIME\Rosa\LOGROS\JAVIER TABILO.doc</t>
  </si>
  <si>
    <t>C:\Users\franc\OneDrive\Documentos\MALENTIN KARIME\Rosa\LOGROS\Contrato Factoring (LIMITADA) OSCAR CORTES CARVAJAL[1].doc</t>
  </si>
  <si>
    <t>C:\Users\franc\OneDrive\Documentos\MALENTIN KARIME\Rosa\JULIO POLANCO\JULIO POLANCO  ROBERTO DABED.doc</t>
  </si>
  <si>
    <t>C:\Users\franc\OneDrive\Documentos\MALENTIN KARIME\Rosa\JULIO POLANCO\foja en blanco.doc</t>
  </si>
  <si>
    <t>C:\Users\franc\OneDrive\Documentos\MALENTIN KARIME\Rosa\JULIO POLANCO\certificado dominio vigente.pdf</t>
  </si>
  <si>
    <t>C:\Users\franc\OneDrive\Documentos\MALENTIN KARIME\Rosa\JULIO POLANCO\Compraventa y mandato.doc</t>
  </si>
  <si>
    <t>C:\Users\franc\OneDrive\Documentos\MALENTIN KARIME\Rosa\JULIO POLANCO\certificado afectación a utilidad pública.pdf</t>
  </si>
  <si>
    <t>C:\Users\franc\OneDrive\Documentos\MALENTIN KARIME\Rosa\INFORME VENTA DE AGUAS\SOBRE DIRECCION DE AGUAS.doc</t>
  </si>
  <si>
    <t>C:\Users\franc\OneDrive\Documentos\MALENTIN KARIME\Rosa\INFORME VENTA DE AGUAS\OFICIO 02.doc</t>
  </si>
  <si>
    <t>C:\Users\franc\OneDrive\Documentos\MALENTIN KARIME\Rosa\INFORME VENTA DE AGUAS\PLANILLA DIRECCION GENERAL DE AGUAS ENERO.doc</t>
  </si>
  <si>
    <t>C:\Users\franc\OneDrive\Documentos\MALENTIN KARIME\Rosa\FACTORONE\SOBRE FACTORONE.doc</t>
  </si>
  <si>
    <t>C:\Users\franc\OneDrive\Documentos\MALENTIN KARIME\Rosa\FACTORONE\SOBRE.doc</t>
  </si>
  <si>
    <t>C:\Users\franc\OneDrive\Documentos\MALENTIN KARIME\Rosa\FACTORONE\Notificación JUAN AROS LOPEZ.doc</t>
  </si>
  <si>
    <t>C:\Users\franc\OneDrive\Documentos\MALENTIN KARIME\Rosa\FACTORONE\SOBRE FACTORONE 2.doc</t>
  </si>
  <si>
    <t>C:\Users\franc\OneDrive\Documentos\MALENTIN KARIME\Rosa\FACTORONE\notificacion Logros.doc</t>
  </si>
  <si>
    <t>C:\Users\franc\OneDrive\Documentos\MALENTIN KARIME\Rosa\FACTORONE\NOTIFICACION FERNANDO ESTAY.doc</t>
  </si>
  <si>
    <t>C:\Users\franc\OneDrive\Documentos\MALENTIN KARIME\Rosa\FACTORONE\NOTIFICACION JAIME UGARTE Y SCOTT S.A..doc</t>
  </si>
  <si>
    <t>C:\Users\franc\OneDrive\Documentos\MALENTIN KARIME\Rosa\FACTORONE\notificacion Factorone.doc</t>
  </si>
  <si>
    <t>C:\Users\franc\OneDrive\Documentos\MALENTIN KARIME\Rosa\FACTORLINE\FACTORLINE SOC. ARKON LIMITADA.doc</t>
  </si>
  <si>
    <t>C:\Users\franc\OneDrive\Documentos\MALENTIN KARIME\Rosa\FACTORONE\carta notificacion hernán morales.doc</t>
  </si>
  <si>
    <t>C:\Users\franc\OneDrive\Documentos\MALENTIN KARIME\Rosa\FACTORLINE\8[1]. FAC. Pna.Nat con aval..doc</t>
  </si>
  <si>
    <t>C:\Users\franc\OneDrive\Documentos\MALENTIN KARIME\Rosa\EXTRACTOS\EXTRACTO. soc. Agrícola Los Alamos Ltda..doc</t>
  </si>
  <si>
    <t>C:\Users\franc\OneDrive\Documentos\MALENTIN KARIME\Rosa\escrituras ROBERTO VEGA\MANDATO PARA COMPRAR.doc</t>
  </si>
  <si>
    <t>C:\Users\franc\OneDrive\Documentos\MALENTIN KARIME\Rosa\escrituras ROBERTO VEGA\mandato para comprar..doc</t>
  </si>
  <si>
    <t>C:\Users\franc\OneDrive\Documentos\MALENTIN KARIME\Rosa\escrituras ROBERTO VEGA\CESION DERECHOS DE HERENCIA MURILLOS.doc</t>
  </si>
  <si>
    <t>C:\Users\franc\OneDrive\Documentos\MALENTIN KARIME\Rosa\escrituras ROBERTO VEGA\CESION DERECHOS DE HERENCIA.doc</t>
  </si>
  <si>
    <t>C:\Users\franc\OneDrive\Documentos\MALENTIN KARIME\Rosa\ESCRITURAS 13 DE ENERO 2010 ROSA\JUNTA DE VECINOS AGUA DEL AJIAL DE LAS RAMADAS PUNITAQUI.doc</t>
  </si>
  <si>
    <t>C:\Users\franc\OneDrive\Documentos\MALENTIN KARIME\Rosa\ESCRITURAS 13 DE ENERO 2010 ROSA\JULIA YAÑEZ- MANDATO.doc</t>
  </si>
  <si>
    <t>C:\Users\franc\OneDrive\Documentos\MALENTIN KARIME\Rosa\ESCRITURAS 13 DE ENERO 2010 ROSA\COOPEUCH.doc</t>
  </si>
  <si>
    <t>C:\Users\franc\OneDrive\Documentos\MALENTIN KARIME\Rosa\ESCRITURAS 13 DE ENERO 2010 ROSA\JULIA YAÑEZ Y OTRA- MANDATO.doc</t>
  </si>
  <si>
    <t>C:\Users\franc\OneDrive\Documentos\MALENTIN KARIME\Rosa\ESCRITURAS 13 DE ENERO 2010 ROSA\comercial industrial e invers. talhuen s.a..doc</t>
  </si>
  <si>
    <t>C:\Users\franc\OneDrive\Documentos\MALENTIN KARIME\Rosa\ESCRITURAS 13 DE ENERO 2010 ROSA\BOMBER0S 8 COMPAÑIA CERRILLOS DE TAMAYA.doc</t>
  </si>
  <si>
    <t>C:\Users\franc\OneDrive\Documentos\MALENTIN KARIME\Rosa\ESCRITURA MINERA\ESCRITURA MINERA\BORRADORES\NUTRAM PRORROGA PAGO CUOTAS SALVACION marzo 2011[1].doc</t>
  </si>
  <si>
    <t>C:\Users\franc\OneDrive\Documentos\MALENTIN KARIME\Rosa\ESCRITURAS 13 DE ENERO 2010 ROSA\ANGELA PEREZ JOFRE - MANDATO.doc</t>
  </si>
  <si>
    <t>C:\Users\franc\OneDrive\Documentos\MALENTIN KARIME\Rosa\ESCRITURA MINERA\ESCRITURA MINERA\BORRADORES\NUTRAM PRORROGA PAGO CUOTAS LOS CHAÑARES.doc</t>
  </si>
  <si>
    <t>C:\Users\franc\OneDrive\Documentos\MALENTIN KARIME\Rosa\ESCRITURA MINERA\ESCRITURA MINERA\BORRADORES\COMPRAVENTA pertenencias albuquerque ovalle2feb10[2].doc</t>
  </si>
  <si>
    <t>C:\Users\franc\OneDrive\Documentos\MALENTIN KARIME\Rosa\ESCRITURA MINERA\ESCRITURA MINERA\BORRADORES\CONTRATO DE ARRENDAMIENTO MINERO OFERTA DE VENTA.doc</t>
  </si>
  <si>
    <t>C:\Users\franc\OneDrive\Documentos\MALENTIN KARIME\Rosa\ESCRITURA MINERA\ESCRITURA MINERA\BORRADORES\arriendoconopciondecompra1]2.doc</t>
  </si>
  <si>
    <t>C:\Users\franc\OneDrive\Documentos\MALENTIN KARIME\Rosa\ESCRITURA MINERA\ESCRITURA MINERA\BORRADORES\COMPRAVENTA pertenencias albuquerque montepatria2feb10[1].doc</t>
  </si>
  <si>
    <t>C:\Users\franc\OneDrive\Documentos\MALENTIN KARIME\Rosa\ESCRITURA MINERA\ESCRITURA MINERA\MODIF. COMPRAVENTA INV. NUTRAM SALVACION.doc</t>
  </si>
  <si>
    <t>C:\Users\franc\OneDrive\Documentos\MALENTIN KARIME\Rosa\ESCRITURA MINERA\ESCRITURA MINERA\MODIFI. COMPRAVENTA INV. NUTRAM LOS CHAÑARES.doc</t>
  </si>
  <si>
    <t>C:\Users\franc\OneDrive\Documentos\MALENTIN KARIME\Rosa\ESCRITURA MINERA\ESCRITURA MINERA\CONTRATO CON OPCION DE COMPRA.doc</t>
  </si>
  <si>
    <t>C:\Users\franc\OneDrive\Documentos\MALENTIN KARIME\Rosa\ESCRITURA MINERA\ESCRITURA MINERA\Copia de COMPRAVENTA MINERA OVALLE.doc</t>
  </si>
  <si>
    <t>C:\Users\franc\OneDrive\Documentos\MALENTIN KARIME\Rosa\ESCRITURA MINERA\Copia de COMPRAVENTA MINERA OVALLE.doc</t>
  </si>
  <si>
    <t>C:\Users\franc\OneDrive\Documentos\MALENTIN KARIME\Rosa\ESCRITURA MINERA\ESCRITURA MINERA\COMPRAVENTA MINERA 1 MON. PATRIA.doc</t>
  </si>
  <si>
    <t>C:\Users\franc\OneDrive\Documentos\MALENTIN KARIME\Rosa\ESCRITURA MINERA\CONTRATO HERNAN VIDELA A OSVALDO CONDORI.doc</t>
  </si>
  <si>
    <t>C:\Users\franc\OneDrive\Documentos\MALENTIN KARIME\Rosa\ESCRITURA MINERA\CONTRATO DE ARRENDAMIENTO MINERO OFERTA DE VENTA.doc</t>
  </si>
  <si>
    <t>C:\Users\franc\OneDrive\Documentos\MALENTIN KARIME\Rosa\ESCRITURA MINERA\CONTRATO CON OPCION DE COMPRA.doc</t>
  </si>
  <si>
    <t>C:\Users\franc\OneDrive\Documentos\MALENTIN KARIME\Rosa\ESCRITURA MINERA\Contrato Arrendamiento Hernan Araya nueva.doc</t>
  </si>
  <si>
    <t>C:\Users\franc\OneDrive\Documentos\MALENTIN KARIME\Rosa\ESCRITURA MINERA\COMPRAVENTA pertenencias albuquerque ovalle2feb10[2].doc</t>
  </si>
  <si>
    <t>C:\Users\franc\OneDrive\Documentos\MALENTIN KARIME\Rosa\ESCRITURA MINERA\COMPRAVENTA ROBERTO VEGA ALCAYAGA.doc</t>
  </si>
  <si>
    <t>C:\Users\franc\OneDrive\Documentos\MALENTIN KARIME\Rosa\ESCRITURA MINERA\COMPRAVENTA MINERA 1 MON. PATRIA.doc</t>
  </si>
  <si>
    <t>C:\Users\franc\OneDrive\Documentos\MALENTIN KARIME\Rosa\ESCRITURA MINERA\COMPRAVENTA pertenencias albuquerque montepatria2feb10[1].doc</t>
  </si>
  <si>
    <t>C:\Users\franc\OneDrive\Documentos\MALENTIN KARIME\Rosa\ESCRITURA MINERA\COMPRAVENTA FRANCISCO ALUCEMA MINA.doc</t>
  </si>
  <si>
    <t>C:\Users\franc\OneDrive\Documentos\MALENTIN KARIME\Rosa\ESCRITURA MINERA\arriendoconopciondecompra1]2.doc</t>
  </si>
  <si>
    <t>C:\Users\franc\OneDrive\Documentos\MALENTIN KARIME\Rosa\DOCUMENTOS PRIVADOS\poder_especial[1].doc</t>
  </si>
  <si>
    <t>C:\Users\franc\OneDrive\Documentos\MALENTIN KARIME\Rosa\DOCUMENTOS PRIVADOS\PODER SIMPLE[1].doc</t>
  </si>
  <si>
    <t>C:\Users\franc\OneDrive\Documentos\MALENTIN KARIME\Rosa\DOCUMENTOS PRIVADOS\MANDATO ESPECIAL.doc</t>
  </si>
  <si>
    <t>C:\Users\franc\OneDrive\Documentos\MALENTIN KARIME\Rosa\DOCUMENTOS PRIVADOS\contrato sita genara.doc</t>
  </si>
  <si>
    <t>C:\Users\franc\OneDrive\Documentos\MALENTIN KARIME\Rosa\DOCUMENTOS PRIVADOS\Contrato SERVICIO MARCELO CARVAJAL A Victor Cortés.doc</t>
  </si>
  <si>
    <t>C:\Users\franc\OneDrive\Documentos\MALENTIN KARIME\Rosa\DOCUMENTOS PRIVADOS\Contrato arrendamiento independencia rolando].doc</t>
  </si>
  <si>
    <t>C:\Users\franc\OneDrive\Documentos\MALENTIN KARIME\Rosa\DOCUMENTOS PRIVADOS\Contrato SERVICIO MARCELO CARVAJAL A herman Cortés.doc</t>
  </si>
  <si>
    <t>C:\Users\franc\OneDrive\Documentos\MALENTIN KARIME\Rosa\DOCUMENTOS PRIVADOS\Contrato arrendamiento independencia rolando 2[3].doc</t>
  </si>
  <si>
    <t>C:\Users\franc\OneDrive\Documentos\MALENTIN KARIME\Rosa\DOCUMENTOS PRIVADOS\Contrato arrendamiento independencia rolando[2].doc</t>
  </si>
  <si>
    <t>C:\Users\franc\OneDrive\Documentos\MALENTIN KARIME\Rosa\DOCUMENTOS PRIVADOS\CONTRATO AGRICOLA.doc</t>
  </si>
  <si>
    <t>C:\Users\franc\OneDrive\Documentos\MALENTIN KARIME\Rosa\DOCUMENTOS PRIVADOS\COBRO DOCUMENTOS BANCO.doc</t>
  </si>
  <si>
    <t>C:\Users\franc\OneDrive\Documentos\MALENTIN KARIME\Rosa\DOCUMENTOS PRIVADOS\CONTRATO AGRICOLA (1).doc</t>
  </si>
  <si>
    <t>C:\Users\franc\OneDrive\Documentos\MALENTIN KARIME\Rosa\DOCUMENTOS PRIVADOS\carta poder amplio.doc</t>
  </si>
  <si>
    <t>C:\Users\franc\OneDrive\Documentos\MALENTIN KARIME\Rosa\DOCUMENTOS PRIVADOS\COBRO DOCUMENTOS BANCO (1).doc</t>
  </si>
  <si>
    <t>C:\Users\franc\OneDrive\Documentos\MALENTIN KARIME\Rosa\DOCUMENTOS PRIVADOS\carta poder amplio (1).doc</t>
  </si>
  <si>
    <t>C:\Users\franc\OneDrive\Documentos\MALENTIN KARIME\Rosa\DOC. DON CARLOS BUGUEÑO\Poder hermanos Pinto Villar.doc</t>
  </si>
  <si>
    <t>C:\Users\franc\OneDrive\Documentos\MALENTIN KARIME\Rosa\DOC. DON CARLOS BUGUEÑO\Poder hermanos Pinto Villar (1).doc</t>
  </si>
  <si>
    <t>C:\Users\franc\OneDrive\Documentos\MALENTIN KARIME\Rosa\DERECHO REAL DE USO\VIDAL ARDILES A GEOVANNE MARTINEZ.doc</t>
  </si>
  <si>
    <t>C:\Users\franc\OneDrive\Documentos\MALENTIN KARIME\Rosa\DERECHO REAL DE USO\RAMON CORTES A MARCIA CORTES.doc</t>
  </si>
  <si>
    <t>C:\Users\franc\OneDrive\Documentos\MALENTIN KARIME\Rosa\DERECHO REAL DE USO\LUIS ESCOBAR Y ESPOSA A CAROLINA ESCOBAR.doc</t>
  </si>
  <si>
    <t>C:\Users\franc\OneDrive\Documentos\MALENTIN KARIME\Rosa\DERECHO REAL DE USO\FELIZA  ROJAS El Espinal de San Pedro comunidad.doc</t>
  </si>
  <si>
    <t>C:\Users\franc\OneDrive\Documentos\MALENTIN KARIME\Rosa\DERECHO REAL DE USO\LORENZO CEBALLOS A RODNY CEBALLOS.doc</t>
  </si>
  <si>
    <t>C:\Users\franc\OneDrive\Documentos\MALENTIN KARIME\Rosa\DERECHO REAL DE USO\EJEMPLO DERECHO REAL DE USO.doc</t>
  </si>
  <si>
    <t>C:\Users\franc\OneDrive\Documentos\MALENTIN KARIME\Rosa\DABED\MINUTAS X CORREO\REVOCACION 2 FUAD[1].doc</t>
  </si>
  <si>
    <t>C:\Users\franc\OneDrive\Documentos\MALENTIN KARIME\Rosa\DABED\MINUTAS X CORREO\RECTIFICACIONES ROBERTO DABED A VINKA MARTINIC.doc</t>
  </si>
  <si>
    <t>C:\Users\franc\OneDrive\Documentos\MALENTIN KARIME\Rosa\DABED\MINUTAS X CORREO\RECTIFICA RECTIFICACION.doc</t>
  </si>
  <si>
    <t>C:\Users\franc\OneDrive\Documentos\MALENTIN KARIME\Rosa\DABED\MINUTAS X CORREO\Reconocimiento de deuda nancy mercado correc2].doc</t>
  </si>
  <si>
    <t>C:\Users\franc\OneDrive\Documentos\MALENTIN KARIME\Rosa\DABED\MINUTAS X CORREO\Reconocimiento de deuda nancy mercado[1].doc</t>
  </si>
  <si>
    <t>C:\Users\franc\OneDrive\Documentos\MALENTIN KARIME\Rosa\DABED\MINUTAS X CORREO\MANDTAO JUDICIAL FABRIZZIO[1].doc</t>
  </si>
  <si>
    <t>C:\Users\franc\OneDrive\Documentos\MALENTIN KARIME\Rosa\DABED\MINUTAS X CORREO\MUTUO A LA VISTA ENERO 2011[1].doc</t>
  </si>
  <si>
    <t>C:\Users\franc\OneDrive\Documentos\MALENTIN KARIME\Rosa\DABED\MINUTAS X CORREO\mandato_MEJORAMIENTO MARCOS MACUADA-1[1].doc</t>
  </si>
  <si>
    <t>C:\Users\franc\OneDrive\Documentos\MALENTIN KARIME\Rosa\DABED\MINUTAS X CORREO\mandato Roberto Dabed a Vinka M.doc</t>
  </si>
  <si>
    <t>C:\Users\franc\OneDrive\Documentos\MALENTIN KARIME\Rosa\DABED\MINUTAS X CORREO\Mandato Rosedama.doc</t>
  </si>
  <si>
    <t>C:\Users\franc\OneDrive\Documentos\MALENTIN KARIME\Rosa\DABED\MINUTAS X CORREO\Mandato Judicial Cristian Viñales.doc</t>
  </si>
  <si>
    <t>C:\Users\franc\OneDrive\Documentos\MALENTIN KARIME\Rosa\DABED\MINUTAS X CORREO\mandato judicial maria olivares.doc</t>
  </si>
  <si>
    <t>C:\Users\franc\OneDrive\Documentos\MALENTIN KARIME\Rosa\DABED\MINUTAS X CORREO\hipoetca guillave01-09-2009.doc</t>
  </si>
  <si>
    <t>C:\Users\franc\OneDrive\Documentos\MALENTIN KARIME\Rosa\DABED\MINUTAS X CORREO\mandato general don Oscar a Guillermo.doc</t>
  </si>
  <si>
    <t>C:\Users\franc\OneDrive\Documentos\MALENTIN KARIME\Rosa\DABED\MINUTAS X CORREO\CONTRATO DE DIFUSION PUBLICITARIA[1].doc</t>
  </si>
  <si>
    <t>C:\Users\franc\OneDrive\Documentos\MALENTIN KARIME\Rosa\DABED\MINUTAS X CORREO\CONTRATO ARTURO  BUGUEÑO 2011.doc</t>
  </si>
  <si>
    <t>C:\Users\franc\OneDrive\Documentos\MALENTIN KARIME\Rosa\DABED\MINUTAS X CORREO\compraventa  Blanca Acha (Tecar)[1].doc</t>
  </si>
  <si>
    <t>C:\Users\franc\OneDrive\Documentos\MALENTIN KARIME\Rosa\DABED\MINUTAS X CORREO\compraventa_gliberto_perry[1].doc</t>
  </si>
  <si>
    <t>C:\Users\franc\OneDrive\Documentos\MALENTIN KARIME\Rosa\DABED\MANDATOS JUDICIALES\SELIM DABED Y OTRAS SOCIEDADES  A ARTURO PINCHEIRA corregido.doc</t>
  </si>
  <si>
    <t>C:\Users\franc\OneDrive\Documentos\MALENTIN KARIME\Rosa\DABED\MINUTAS X CORREO\alzamiento teatinos final.doc</t>
  </si>
  <si>
    <t>C:\Users\franc\OneDrive\Documentos\MALENTIN KARIME\Rosa\DABED\MANDATOS JUDICIALES\SELIM DABED A ARTURO PINCHEIRA.doc</t>
  </si>
  <si>
    <t>C:\Users\franc\OneDrive\Documentos\MALENTIN KARIME\Rosa\DABED\MANDATOS JUDICIALES\SELIM DABED A FABRICIO CALDERON.doc</t>
  </si>
  <si>
    <t>C:\Users\franc\OneDrive\Documentos\MALENTIN KARIME\Rosa\DABED\MANDATOS JUDICIALES\PINCHEIRA A OTRO ABOGADO.doc</t>
  </si>
  <si>
    <t>C:\Users\franc\OneDrive\Documentos\MALENTIN KARIME\Rosa\DABED\MANDATOS JUDICIALES\SELIM DABED A  CRISTIAN VISÑILES.doc</t>
  </si>
  <si>
    <t>C:\Users\franc\OneDrive\Documentos\MALENTIN KARIME\Rosa\DABED\MANDATOS JUDICIALES\MARIO A ABOGADO.doc</t>
  </si>
  <si>
    <t>C:\Users\franc\OneDrive\Documentos\MALENTIN KARIME\Rosa\DABED\MANDATOS JUDICIALES\MARIO DIAZ.doc</t>
  </si>
  <si>
    <t>C:\Users\franc\OneDrive\Documentos\MALENTIN KARIME\Rosa\DABED\MANDATOS JUDICIALES\MARIA OLIVARES A CLAUDIO ARDILES.doc</t>
  </si>
  <si>
    <t>C:\Users\franc\OneDrive\Documentos\MALENTIN KARIME\Rosa\DABED\MANDATOS JUDICIALES\Mandato Judicial ARTURO PINCHIERIA A Cristian Viñales-1.doc</t>
  </si>
  <si>
    <t>C:\Users\franc\OneDrive\Documentos\MALENTIN KARIME\Rosa\DABED\Soc. Const. guilllave 1.doc</t>
  </si>
  <si>
    <t>C:\Users\franc\OneDrive\Documentos\MALENTIN KARIME\Rosa\DABED\Soc. Cons. guilllave 2.doc</t>
  </si>
  <si>
    <t>C:\Users\franc\OneDrive\Documentos\MALENTIN KARIME\Rosa\DABED\Soc. Const. guilllave 1 (1).doc</t>
  </si>
  <si>
    <t>C:\Users\franc\OneDrive\Documentos\MALENTIN KARIME\Rosa\DABED\SELIM DABED A ROSEDAMA.doc</t>
  </si>
  <si>
    <t>C:\Users\franc\OneDrive\Documentos\MALENTIN KARIME\Rosa\DABED\Soc. Cons. guilllave 2 (1).doc</t>
  </si>
  <si>
    <t>C:\Users\franc\OneDrive\Documentos\MALENTIN KARIME\Rosa\DABED\SELIM DABED A ROSEDAMA (1).doc</t>
  </si>
  <si>
    <t>C:\Users\franc\OneDrive\Documentos\MALENTIN KARIME\Rosa\DABED\ROSEDAMA A VINKA (1).doc</t>
  </si>
  <si>
    <t>C:\Users\franc\OneDrive\Documentos\MALENTIN KARIME\Rosa\DABED\ROSEDAMA A VINKA.doc</t>
  </si>
  <si>
    <t>C:\Users\franc\OneDrive\Documentos\MALENTIN KARIME\Rosa\DABED\ROBERTO DABED A VINKA.doc</t>
  </si>
  <si>
    <t>C:\Users\franc\OneDrive\Documentos\MALENTIN KARIME\Rosa\DABED\ROBERTO DABED A AGRICOLA LLANO NEGRO 2.doc</t>
  </si>
  <si>
    <t>C:\Users\franc\OneDrive\Documentos\MALENTIN KARIME\Rosa\DABED\ROBERTO DABED A AGRICOLA LLANO NEGRO.doc</t>
  </si>
  <si>
    <t>C:\Users\franc\OneDrive\Documentos\MALENTIN KARIME\Rosa\DABED\RECTIFICACION JUNIO 2011 ROBERTO DABED A VINKA.doc</t>
  </si>
  <si>
    <t>C:\Users\franc\OneDrive\Documentos\MALENTIN KARIME\Rosa\DABED\REVOCACION MANDATO.doc</t>
  </si>
  <si>
    <t>C:\Users\franc\OneDrive\Documentos\MALENTIN KARIME\Rosa\DABED\RECONOCIMIENTO DE DEUDA.doc</t>
  </si>
  <si>
    <t>C:\Users\franc\OneDrive\Documentos\MALENTIN KARIME\Rosa\DABED\MUTUO SELIM DABED A SOC. ASECON.doc</t>
  </si>
  <si>
    <t>C:\Users\franc\OneDrive\Documentos\MALENTIN KARIME\Rosa\DABED\RECONOCIMIENTO DE DEUDA nancy Mercado.doc</t>
  </si>
  <si>
    <t>C:\Users\franc\OneDrive\Documentos\MALENTIN KARIME\Rosa\DABED\MANDATO OLGA TORO A SELIM DABED.doc</t>
  </si>
  <si>
    <t>C:\Users\franc\OneDrive\Documentos\MALENTIN KARIME\Rosa\DABED\MUTUO SELIM DABED A SOC. ASECON corregido.doc</t>
  </si>
  <si>
    <t>C:\Users\franc\OneDrive\Documentos\MALENTIN KARIME\Rosa\DABED\MANDATO LA LUNA DABED.doc</t>
  </si>
  <si>
    <t>C:\Users\franc\OneDrive\Documentos\MALENTIN KARIME\Rosa\DABED\mandato genera OSCAR GUILLERMO BLANCA ACHA l.doc</t>
  </si>
  <si>
    <t>C:\Users\franc\OneDrive\Documentos\MALENTIN KARIME\Rosa\DABED\Instrucciones_DEFINITIVA COMPRAVENTA ENERO 2011.doc</t>
  </si>
  <si>
    <t>C:\Users\franc\OneDrive\Documentos\MALENTIN KARIME\Rosa\DABED\MANDATO AMANECER DABED.doc</t>
  </si>
  <si>
    <t>C:\Users\franc\OneDrive\Documentos\MALENTIN KARIME\Rosa\DABED\EL SIFON 2.doc</t>
  </si>
  <si>
    <t>C:\Users\franc\OneDrive\Documentos\MALENTIN KARIME\Rosa\DABED\INMOBILIARIA  ROSEDAMA A VINKA.doc</t>
  </si>
  <si>
    <t>C:\Users\franc\OneDrive\Documentos\MALENTIN KARIME\Rosa\DABED\contrato ANA MARTINIC A ARTURO BUGUEÑO.doc</t>
  </si>
  <si>
    <t>C:\Users\franc\OneDrive\Documentos\MALENTIN KARIME\Rosa\DABED\COMPRAVENTA GILBERTO ALCAYAGA A ROSEDAMA.doc</t>
  </si>
  <si>
    <t>C:\Users\franc\OneDrive\Documentos\MALENTIN KARIME\Rosa\DABED\COMPRAVENTA Blanca Acha.doc</t>
  </si>
  <si>
    <t>C:\Users\franc\OneDrive\Documentos\MALENTIN KARIME\Rosa\DABED\ALZAMIENTO.doc</t>
  </si>
  <si>
    <t>C:\Users\franc\OneDrive\Documentos\MALENTIN KARIME\Rosa\DABED\compraventa alejandro dabed.doc</t>
  </si>
  <si>
    <t>C:\Users\franc\OneDrive\Documentos\MALENTIN KARIME\Rosa\CORPORACION ASISTENCIA JUDICIAL\REDUCCIONES A ESCRI. PUBLICA\AÑO 2011\YANET HIDALGO.doc</t>
  </si>
  <si>
    <t>C:\Users\franc\OneDrive\Documentos\MALENTIN KARIME\Rosa\CORPORACION ASISTENCIA JUDICIAL\REDUCCIONES A ESCRI. PUBLICA\AÑO 2011\Reducción a escritura pública jose Orellana modificada mayo 2011.doc</t>
  </si>
  <si>
    <t>C:\Users\franc\OneDrive\Documentos\MALENTIN KARIME\Rosa\CORPORACION ASISTENCIA JUDICIAL\REDUCCIONES A ESCRI. PUBLICA\AÑO 2011\LUIS PIZARRO A MARIA VEGA.doc</t>
  </si>
  <si>
    <t>C:\Users\franc\OneDrive\Documentos\MALENTIN KARIME\Rosa\CORPORACION ASISTENCIA JUDICIAL\REDUCCIONES A ESCRI. PUBLICA\AÑO 2011\reduccion HERNAN CASTILLO MAYO 2011.doc</t>
  </si>
  <si>
    <t>C:\Users\franc\OneDrive\Documentos\MALENTIN KARIME\Rosa\CORPORACION ASISTENCIA JUDICIAL\REDUCCIONES A ESCRI. PUBLICA\AÑO 2011\LUIS BARRAZA A MARTA BUGUEÑO.doc</t>
  </si>
  <si>
    <t>C:\Users\franc\OneDrive\Documentos\MALENTIN KARIME\Rosa\CORPORACION ASISTENCIA JUDICIAL\REDUCCIONES A ESCRI. PUBLICA\AÑO 2011\LUIS CASTRO A NELLY ARAYA.doc</t>
  </si>
  <si>
    <t>C:\Users\franc\OneDrive\Documentos\MALENTIN KARIME\Rosa\CORPORACION ASISTENCIA JUDICIAL\REDUCCIONES A ESCRI. PUBLICA\AÑO 2011\JOSE ORELLANA.doc</t>
  </si>
  <si>
    <t>C:\Users\franc\OneDrive\Documentos\MALENTIN KARIME\Rosa\CORPORACION ASISTENCIA JUDICIAL\REDUCCIONES A ESCRI. PUBLICA\AÑO 2011\LALY TABILO CONTRERAS.doc</t>
  </si>
  <si>
    <t>C:\Users\franc\OneDrive\Documentos\MALENTIN KARIME\Rosa\CORPORACION ASISTENCIA JUDICIAL\REDUCCIONES A ESCRI. PUBLICA\AÑO 2011\IDOLIA VIDELA.doc</t>
  </si>
  <si>
    <t>C:\Users\franc\OneDrive\Documentos\MALENTIN KARIME\Rosa\CORPORACION ASISTENCIA JUDICIAL\REDUCCIONES A ESCRI. PUBLICA\AÑO 2011\HERNAN JOPIA.doc</t>
  </si>
  <si>
    <t>C:\Users\franc\OneDrive\Documentos\MALENTIN KARIME\Rosa\CORPORACION ASISTENCIA JUDICIAL\REDUCCIONES A ESCRI. PUBLICA\AÑO 2011\HERNAN CASTILLO A MARIA PEREIRA.doc</t>
  </si>
  <si>
    <t>C:\Users\franc\OneDrive\Documentos\MALENTIN KARIME\Rosa\CORPORACION ASISTENCIA JUDICIAL\REDUCCIONES A ESCRI. PUBLICA\AÑO 2011\HENRI VALENZUELA A JULIA MUÑOZ.doc</t>
  </si>
  <si>
    <t>C:\Users\franc\OneDrive\Documentos\MALENTIN KARIME\Rosa\CORPORACION ASISTENCIA JUDICIAL\REDUCCIONES A ESCRI. PUBLICA\AÑO 2010\VERONICA MORGADO T. A RAFAEL  CASTAÑEDA.doc</t>
  </si>
  <si>
    <t>C:\Users\franc\OneDrive\Documentos\MALENTIN KARIME\Rosa\CORPORACION ASISTENCIA JUDICIAL\REDUCCIONES A ESCRI. PUBLICA\AÑO 2011\EDILIA CORTES ARAYA A  SEBASTIAN ARAYA VILLALOBOS.doc</t>
  </si>
  <si>
    <t>C:\Users\franc\OneDrive\Documentos\MALENTIN KARIME\Rosa\CORPORACION ASISTENCIA JUDICIAL\REDUCCIONES A ESCRI. PUBLICA\AÑO 2010\REDUCC- MARCELA RIVERA.doc</t>
  </si>
  <si>
    <t>C:\Users\franc\OneDrive\Documentos\MALENTIN KARIME\Rosa\CORPORACION ASISTENCIA JUDICIAL\REDUCCIONES A ESCRI. PUBLICA\AÑO 2010\REDUCCION JORGE ARAYA - NELLY ARAYA O..doc</t>
  </si>
  <si>
    <t>C:\Users\franc\OneDrive\Documentos\MALENTIN KARIME\Rosa\CORPORACION ASISTENCIA JUDICIAL\REDUCCIONES A ESCRI. PUBLICA\AÑO 2010\PATRICIA  MUÑOZ Y CAMILO IRARRAZABAL.doc</t>
  </si>
  <si>
    <t>C:\Users\franc\OneDrive\Documentos\MALENTIN KARIME\Rosa\CORPORACION ASISTENCIA JUDICIAL\REDUCCIONES A ESCRI. PUBLICA\AÑO 2010\PEDRO GONZALEZ REDUCCION.doc</t>
  </si>
  <si>
    <t>C:\Users\franc\OneDrive\Documentos\MALENTIN KARIME\Rosa\CORPORACION ASISTENCIA JUDICIAL\REDUCCIONES A ESCRI. PUBLICA\AÑO 2010\OLIVIA ALFARO - ERASMO BERRIOS.doc</t>
  </si>
  <si>
    <t>C:\Users\franc\OneDrive\Documentos\MALENTIN KARIME\Rosa\CORPORACION ASISTENCIA JUDICIAL\REDUCCIONES A ESCRI. PUBLICA\AÑO 2010\MARTA GALLARDO R..doc</t>
  </si>
  <si>
    <t>C:\Users\franc\OneDrive\Documentos\MALENTIN KARIME\Rosa\CORPORACION ASISTENCIA JUDICIAL\REDUCCIONES A ESCRI. PUBLICA\AÑO 2010\LUCILA MIRANDA - JUAN OLIVARES.doc</t>
  </si>
  <si>
    <t>C:\Users\franc\OneDrive\Documentos\MALENTIN KARIME\Rosa\CORPORACION ASISTENCIA JUDICIAL\REDUCCIONES A ESCRI. PUBLICA\AÑO 2010\MarisoL del Transito Araya Castro.doc</t>
  </si>
  <si>
    <t>C:\Users\franc\OneDrive\Documentos\MALENTIN KARIME\Rosa\CORPORACION ASISTENCIA JUDICIAL\REDUCCIONES A ESCRI. PUBLICA\AÑO 2010\JAVIER DEL ROSARIO  PAYEROS.doc</t>
  </si>
  <si>
    <t>C:\Users\franc\OneDrive\Documentos\MALENTIN KARIME\Rosa\CORPORACION ASISTENCIA JUDICIAL\REDUCCIONES A ESCRI. PUBLICA\AÑO 2010\JHOANA CORTES L. A GUILLERMO ARANCIBIA C..doc</t>
  </si>
  <si>
    <t>C:\Users\franc\OneDrive\Documentos\MALENTIN KARIME\Rosa\CORPORACION ASISTENCIA JUDICIAL\REDUCCIONES A ESCRI. PUBLICA\AÑO 2010\IRIS VEGA CARVAJAL.doc</t>
  </si>
  <si>
    <t>C:\Users\franc\OneDrive\Documentos\MALENTIN KARIME\Rosa\CORPORACION ASISTENCIA JUDICIAL\REDUCCIONES A ESCRI. PUBLICA\AÑO 2010\JANET RIVERA CORTES.doc</t>
  </si>
  <si>
    <t>C:\Users\franc\OneDrive\Documentos\MALENTIN KARIME\Rosa\CORPORACION ASISTENCIA JUDICIAL\REDUCCIONES A ESCRI. PUBLICA\AÑO 2010\CELINDA IRRARAZABAL -CARLOS ROJAS C..doc</t>
  </si>
  <si>
    <t>C:\Users\franc\OneDrive\Documentos\MALENTIN KARIME\Rosa\CORPORACION ASISTENCIA JUDICIAL\REDUCCIONES A ESCRI. PUBLICA\AÑO 2010\EDITH GOMEZ PASTEN - RENE RAMIREZ.doc</t>
  </si>
  <si>
    <t>C:\Users\franc\OneDrive\Documentos\MALENTIN KARIME\Rosa\CORPORACION ASISTENCIA JUDICIAL\REDUCCIONES A ESCRI. PUBLICA\AÑO 2010\HECTOR ARANCIBIA- SILVIA ESPINA R..doc</t>
  </si>
  <si>
    <t>C:\Users\franc\OneDrive\Documentos\MALENTIN KARIME\Rosa\CORPORACION ASISTENCIA JUDICIAL\PROTOCOLIZACIONES\INVENTARIO MARIA CARVAJAL.doc</t>
  </si>
  <si>
    <t>C:\Users\franc\OneDrive\Documentos\MALENTIN KARIME\Rosa\CORPORACION ASISTENCIA JUDICIAL\REDUCCIONES A ESCRI. PUBLICA\AÑO 2010\ADJUDICACION FRESIA ALBANEZ.doc</t>
  </si>
  <si>
    <t>C:\Users\franc\OneDrive\Documentos\MALENTIN KARIME\Rosa\CORPORACION ASISTENCIA JUDICIAL\PROTOCOLIZACIONES\INVENTARIO HECTOR ROJAS ROJAS.doc</t>
  </si>
  <si>
    <t>C:\Users\franc\OneDrive\Documentos\MALENTIN KARIME\Rosa\CORPORACION ASISTENCIA JUDICIAL\MODIFICACIONES\Modificación reducción escritura pública Laly Tabilo-1.doc</t>
  </si>
  <si>
    <t>C:\Users\franc\OneDrive\Documentos\MALENTIN KARIME\Rosa\CORPORACION ASISTENCIA JUDICIAL\MODIFICACIONES\MODIFICACION  LALAY TABILO CONTRERAS.doc</t>
  </si>
  <si>
    <t>C:\Users\franc\OneDrive\Documentos\MALENTIN KARIME\Rosa\CORPORACION ASISTENCIA JUDICIAL\MINUTAS POR CORREO\_MARTA_GALLARDO1].doc</t>
  </si>
  <si>
    <t>C:\Users\franc\OneDrive\Documentos\MALENTIN KARIME\Rosa\CORPORACION ASISTENCIA JUDICIAL\MINUTAS POR CORREO\Reducción Verónica Morgado a Rafael Castañeda.doc</t>
  </si>
  <si>
    <t>C:\Users\franc\OneDrive\Documentos\MALENTIN KARIME\Rosa\CORPORACION ASISTENCIA JUDICIAL\MINUTAS POR CORREO\Sandro Araya Araya.doc</t>
  </si>
  <si>
    <t>C:\Users\franc\OneDrive\Documentos\MALENTIN KARIME\Rosa\CORPORACION ASISTENCIA JUDICIAL\MINUTAS POR CORREO\Reducción René Ramírez - Edith Gómez.doc</t>
  </si>
  <si>
    <t>C:\Users\franc\OneDrive\Documentos\MALENTIN KARIME\Rosa\CORPORACION ASISTENCIA JUDICIAL\MINUTAS POR CORREO\Reducción a escritura pública LUIS BARRAZA.doc</t>
  </si>
  <si>
    <t>C:\Users\franc\OneDrive\Documentos\MALENTIN KARIME\Rosa\CORPORACION ASISTENCIA JUDICIAL\MINUTAS POR CORREO\Reducción a Escritura Pública HENRY VALENZUELA.doc</t>
  </si>
  <si>
    <t>C:\Users\franc\OneDrive\Documentos\MALENTIN KARIME\Rosa\CORPORACION ASISTENCIA JUDICIAL\MINUTAS POR CORREO\REDUCCION_ESCRITURA_PUBLICA_ rectifiada.doc</t>
  </si>
  <si>
    <t>C:\Users\franc\OneDrive\Documentos\MALENTIN KARIME\Rosa\CORPORACION ASISTENCIA JUDICIAL\MINUTAS POR CORREO\reduccion[1]. HECTOR ARANCIBIA.doc</t>
  </si>
  <si>
    <t>C:\Users\franc\OneDrive\Documentos\MALENTIN KARIME\Rosa\CORPORACION ASISTENCIA JUDICIAL\MINUTAS POR CORREO\REDUCCION ESCRITURA PUBLICA_iris_ana_naranjo[1].doc</t>
  </si>
  <si>
    <t>C:\Users\franc\OneDrive\Documentos\MALENTIN KARIME\Rosa\CORPORACION ASISTENCIA JUDICIAL\MINUTAS POR CORREO\REDUCCION ESCRITURA PUBLICA_celinda_valeria mulet[1].doc</t>
  </si>
  <si>
    <t>C:\Users\franc\OneDrive\Documentos\MALENTIN KARIME\Rosa\CORPORACION ASISTENCIA JUDICIAL\MINUTAS POR CORREO\REDUCCION ESCRITURA PUBLICA_Fresia_Albanez_Rojas_Francisco_Bravo[1][1].doc</t>
  </si>
  <si>
    <t>C:\Users\franc\OneDrive\Documentos\MALENTIN KARIME\Rosa\CORPORACION ASISTENCIA JUDICIAL\MINUTAS POR CORREO\REDUCCION ESCRITURA PEDRO GONZALEZ[1].doc</t>
  </si>
  <si>
    <t>C:\Users\franc\OneDrive\Documentos\MALENTIN KARIME\Rosa\CORPORACION ASISTENCIA JUDICIAL\MINUTAS POR CORREO\reduccion escritura publica de OLIVIA ALFARO[1].doc</t>
  </si>
  <si>
    <t>C:\Users\franc\OneDrive\Documentos\MALENTIN KARIME\Rosa\CORPORACION ASISTENCIA JUDICIAL\MINUTAS POR CORREO\REDUCCION ESCRITURA JHOANA CORTES[1].doc</t>
  </si>
  <si>
    <t>C:\Users\franc\OneDrive\Documentos\MALENTIN KARIME\Rosa\CORPORACION ASISTENCIA JUDICIAL\MINUTAS POR CORREO\REDUCCION ESCRITURA NELLY ARAYA[1].doc</t>
  </si>
  <si>
    <t>C:\Users\franc\OneDrive\Documentos\MALENTIN KARIME\Rosa\CORPORACION ASISTENCIA JUDICIAL\MINUTAS POR CORREO\reduccion de escritura publica de payeros[1].doc</t>
  </si>
  <si>
    <t>C:\Users\franc\OneDrive\Documentos\MALENTIN KARIME\Rosa\CORPORACION ASISTENCIA JUDICIAL\MINUTAS POR CORREO\reduccion de escritura publicaLUCILA MIRANDA.doc</t>
  </si>
  <si>
    <t>C:\Users\franc\OneDrive\Documentos\MALENTIN KARIME\Rosa\CORPORACION ASISTENCIA JUDICIAL\MINUTAS POR CORREO\REDUCCION A ESCRITURA PUBLICA  LUIS PIZARRO.doc</t>
  </si>
  <si>
    <t>C:\Users\franc\OneDrive\Documentos\MALENTIN KARIME\Rosa\CORPORACION ASISTENCIA JUDICIAL\MINUTAS POR CORREO\REDUCCION A ESCRITURA PUBLICA SEBASTIAN ARAYA.doc</t>
  </si>
  <si>
    <t>C:\Users\franc\OneDrive\Documentos\MALENTIN KARIME\Rosa\CORPORACION ASISTENCIA JUDICIAL\MINUTAS POR CORREO\MANDATO MARIA ISABEL CORTES[1].doc</t>
  </si>
  <si>
    <t>C:\Users\franc\OneDrive\Documentos\MALENTIN KARIME\Rosa\CORPORACION ASISTENCIA JUDICIAL\MINUTAS POR CORREO\Nelson Vega.doc</t>
  </si>
  <si>
    <t>C:\Users\franc\OneDrive\Documentos\MALENTIN KARIME\Rosa\CORPORACION ASISTENCIA JUDICIAL\MINUTAS POR CORREO\MANDATO JUDICIAL, Rosa Rojas Tapia[1].doc</t>
  </si>
  <si>
    <t>C:\Users\franc\OneDrive\Documentos\MALENTIN KARIME\Rosa\CORPORACION ASISTENCIA JUDICIAL\MINUTAS POR CORREO\MANDATO JUDICIAL, Jonathan Vargas Lopez[1].doc</t>
  </si>
  <si>
    <t>C:\Users\franc\OneDrive\Documentos\MALENTIN KARIME\Rosa\CORPORACION ASISTENCIA JUDICIAL\MINUTAS POR CORREO\MANDATO JUDICIAL Oscar Vargas  CAJ ARICA[1].doc</t>
  </si>
  <si>
    <t>C:\Users\franc\OneDrive\Documentos\MALENTIN KARIME\Rosa\CORPORACION ASISTENCIA JUDICIAL\MINUTAS POR CORREO\mandato judicial odl serena Ulises Rojas[1].doc</t>
  </si>
  <si>
    <t>C:\Users\franc\OneDrive\Documentos\MALENTIN KARIME\Rosa\CORPORACION ASISTENCIA JUDICIAL\MINUTAS POR CORREO\MANDATO JUDICIAL JOSE CORTES ADASME.doc</t>
  </si>
  <si>
    <t>C:\Users\franc\OneDrive\Documentos\MALENTIN KARIME\Rosa\CORPORACION ASISTENCIA JUDICIAL\MINUTAS POR CORREO\mandato judicial odl serena Alberto Angel[1].doc</t>
  </si>
  <si>
    <t>C:\Users\franc\OneDrive\Documentos\MALENTIN KARIME\Rosa\CORPORACION ASISTENCIA JUDICIAL\MINUTAS POR CORREO\MANDATO JUDICIAL FRANCISCO CORTES ARAYA[1].doc</t>
  </si>
  <si>
    <t>C:\Users\franc\OneDrive\Documentos\MALENTIN KARIME\Rosa\CORPORACION ASISTENCIA JUDICIAL\MINUTAS POR CORREO\mandato jenny irarrazabal[1].cabrera-Alto Hospicio.doc</t>
  </si>
  <si>
    <t>C:\Users\franc\OneDrive\Documentos\MALENTIN KARIME\Rosa\CORPORACION ASISTENCIA JUDICIAL\MINUTAS POR CORREO\MANDATO GERMAN SOLAR.doc</t>
  </si>
  <si>
    <t>C:\Users\franc\OneDrive\Documentos\MALENTIN KARIME\Rosa\CORPORACION ASISTENCIA JUDICIAL\MINUTAS POR CORREO\MANDATO ESPECIAL EMILIA CASTILLO TAPIA.doc</t>
  </si>
  <si>
    <t>C:\Users\franc\OneDrive\Documentos\MALENTIN KARIME\Rosa\CORPORACION ASISTENCIA JUDICIAL\MINUTAS POR CORREO\MANDATO ESPECIAL DIVORCIO, YESENIA MEDINA-1.doc</t>
  </si>
  <si>
    <t>C:\Users\franc\OneDrive\Documentos\MALENTIN KARIME\Rosa\CORPORACION ASISTENCIA JUDICIAL\MINUTAS POR CORREO\mandato don amadiel araya[1].doc</t>
  </si>
  <si>
    <t>C:\Users\franc\OneDrive\Documentos\MALENTIN KARIME\Rosa\CORPORACION ASISTENCIA JUDICIAL\MINUTAS POR CORREO\mandato daniel carvajal.doc</t>
  </si>
  <si>
    <t>C:\Users\franc\OneDrive\Documentos\MALENTIN KARIME\Rosa\CORPORACION ASISTENCIA JUDICIAL\MINUTAS POR CORREO\LEONOR BUGUEÑO A CARLOS....doc</t>
  </si>
  <si>
    <t>C:\Users\franc\OneDrive\Documentos\MALENTIN KARIME\Rosa\CORPORACION ASISTENCIA JUDICIAL\MINUTAS POR CORREO\JAVIER DEL ROSARIO  PAYEROS.doc</t>
  </si>
  <si>
    <t>C:\Users\franc\OneDrive\Documentos\MALENTIN KARIME\Rosa\CORPORACION ASISTENCIA JUDICIAL\MINUTAS POR CORREO\JESSSICA GONZALEZ ZEPEDA.doc</t>
  </si>
  <si>
    <t>C:\Users\franc\OneDrive\Documentos\MALENTIN KARIME\Rosa\CORPORACION ASISTENCIA JUDICIAL\MINUTAS POR CORREO\JANET RIVERA.doc</t>
  </si>
  <si>
    <t>C:\Users\franc\OneDrive\Documentos\MALENTIN KARIME\Rosa\CORPORACION ASISTENCIA JUDICIAL\MINUTAS POR CORREO\HUGO CASTILLO.doc</t>
  </si>
  <si>
    <t>C:\Users\franc\OneDrive\Documentos\MALENTIN KARIME\Rosa\CORPORACION ASISTENCIA JUDICIAL\MINUTAS POR CORREO\DANIEL MAGNA RODRIGUEZ.doc</t>
  </si>
  <si>
    <t>C:\Users\franc\OneDrive\Documentos\MALENTIN KARIME\Rosa\CORPORACION ASISTENCIA JUDICIAL\MINUTAS POR CORREO\Completación y Aclaración America Arqueros.corregida-1.doc</t>
  </si>
  <si>
    <t>C:\Users\franc\OneDrive\Documentos\MALENTIN KARIME\Rosa\CORPORACION ASISTENCIA JUDICIAL\MINUTAS POR CORREO\BORRADOR.doc</t>
  </si>
  <si>
    <t>C:\Users\franc\OneDrive\Documentos\MALENTIN KARIME\Rosa\CORPORACION ASISTENCIA JUDICIAL\MANDATOS JUDICIALES\Mandato grupo 2\ULISES ROJAS PEREIRA.doc</t>
  </si>
  <si>
    <t>C:\Users\franc\OneDrive\Documentos\MALENTIN KARIME\Rosa\CORPORACION ASISTENCIA JUDICIAL\MANDATOS JUDICIALES\Mandato grupo 2\MAT_8872098_6739535.pdf</t>
  </si>
  <si>
    <t>C:\Users\franc\OneDrive\Documentos\MALENTIN KARIME\Rosa\CORPORACION ASISTENCIA JUDICIAL\MANDATOS JUDICIALES\Mandato grupo 2\MARIA CORTES.doc</t>
  </si>
  <si>
    <t>C:\Users\franc\OneDrive\Documentos\MALENTIN KARIME\Rosa\CORPORACION ASISTENCIA JUDICIAL\MANDATOS JUDICIALES\Mandato grupo 2\LUIS CASTILLO.doc</t>
  </si>
  <si>
    <t>C:\Users\franc\OneDrive\Documentos\MALENTIN KARIME\Rosa\CORPORACION ASISTENCIA JUDICIAL\MANDATOS JUDICIALES\Mandato grupo 2\JONATHAN VARGAS.doc</t>
  </si>
  <si>
    <t>C:\Users\franc\OneDrive\Documentos\MALENTIN KARIME\Rosa\CORPORACION ASISTENCIA JUDICIAL\MANDATOS JUDICIALES\Mandato grupo 2\HUGO CASTILLO SOLAR.doc</t>
  </si>
  <si>
    <t>C:\Users\franc\OneDrive\Documentos\MALENTIN KARIME\Rosa\CORPORACION ASISTENCIA JUDICIAL\MANDATOS JUDICIALES\Mandato grupo 2\GERMAN SOLAR.doc</t>
  </si>
  <si>
    <t>C:\Users\franc\OneDrive\Documentos\MALENTIN KARIME\Rosa\CORPORACION ASISTENCIA JUDICIAL\MANDATOS JUDICIALES\Mandato grupo 2\DANIEL CARVAJAL.doc</t>
  </si>
  <si>
    <t>C:\Users\franc\OneDrive\Documentos\MALENTIN KARIME\Rosa\CORPORACION ASISTENCIA JUDICIAL\MANDATOS JUDICIALES\Mandato grupo 2\ALBERTO ANGEL.doc</t>
  </si>
  <si>
    <t>C:\Users\franc\OneDrive\Documentos\MALENTIN KARIME\Rosa\CORPORACION ASISTENCIA JUDICIAL\MANDATOS JUDICIALES\SANDRO ARAYA.doc</t>
  </si>
  <si>
    <t>C:\Users\franc\OneDrive\Documentos\MALENTIN KARIME\Rosa\CORPORACION ASISTENCIA JUDICIAL\MANDATOS JUDICIALES\ROSA ROJAS TAPIA.doc</t>
  </si>
  <si>
    <t>C:\Users\franc\OneDrive\Documentos\MALENTIN KARIME\Rosa\CORPORACION ASISTENCIA JUDICIAL\MANDATOS JUDICIALES\OSCAR VARGAS.doc</t>
  </si>
  <si>
    <t>C:\Users\franc\OneDrive\Documentos\MALENTIN KARIME\Rosa\CORPORACION ASISTENCIA JUDICIAL\MANDATOS JUDICIALES\OLGA TRILLAR Y OTRO.doc</t>
  </si>
  <si>
    <t>C:\Users\franc\OneDrive\Documentos\MALENTIN KARIME\Rosa\CORPORACION ASISTENCIA JUDICIAL\MANDATOS JUDICIALES\NELSON VEGA ALVAREZ.doc</t>
  </si>
  <si>
    <t>C:\Users\franc\OneDrive\Documentos\MALENTIN KARIME\Rosa\CORPORACION ASISTENCIA JUDICIAL\MANDATOS JUDICIALES\MAXIMO CORTES.doc</t>
  </si>
  <si>
    <t>C:\Users\franc\OneDrive\Documentos\MALENTIN KARIME\Rosa\CORPORACION ASISTENCIA JUDICIAL\MANDATOS JUDICIALES\LIDIA RAMIREZ.doc</t>
  </si>
  <si>
    <t>C:\Users\franc\OneDrive\Documentos\MALENTIN KARIME\Rosa\CORPORACION ASISTENCIA JUDICIAL\MANDATOS JUDICIALES\JOSE GUERRERO.doc</t>
  </si>
  <si>
    <t>C:\Users\franc\OneDrive\Documentos\MALENTIN KARIME\Rosa\CORPORACION ASISTENCIA JUDICIAL\MANDATOS JUDICIALES\LEONOR BUGUEÑO.doc</t>
  </si>
  <si>
    <t>C:\Users\franc\OneDrive\Documentos\MALENTIN KARIME\Rosa\CORPORACION ASISTENCIA JUDICIAL\MANDATOS JUDICIALES\JOSE CORTES-CECILIA MORALES.doc</t>
  </si>
  <si>
    <t>C:\Users\franc\OneDrive\Documentos\MALENTIN KARIME\Rosa\CORPORACION ASISTENCIA JUDICIAL\MANDATOS JUDICIALES\JORGE MARIN ROJAS.doc</t>
  </si>
  <si>
    <t>C:\Users\franc\OneDrive\Documentos\MALENTIN KARIME\Rosa\CORPORACION ASISTENCIA JUDICIAL\MANDATOS JUDICIALES\JESSICA GONZALEZ.doc</t>
  </si>
  <si>
    <t>C:\Users\franc\OneDrive\Documentos\MALENTIN KARIME\Rosa\CORPORACION ASISTENCIA JUDICIAL\MANDATOS JUDICIALES\jesenia sin previlegio.doc</t>
  </si>
  <si>
    <t>C:\Users\franc\OneDrive\Documentos\MALENTIN KARIME\Rosa\CORPORACION ASISTENCIA JUDICIAL\MANDATOS JUDICIALES\FRANCISCO CORTES AVALOS.doc</t>
  </si>
  <si>
    <t>C:\Users\franc\OneDrive\Documentos\MALENTIN KARIME\Rosa\CORPORACION ASISTENCIA JUDICIAL\MANDATOS JUDICIALES\JENNY IRARRAZABAL MUÑOZ.doc</t>
  </si>
  <si>
    <t>C:\Users\franc\OneDrive\Documentos\MALENTIN KARIME\Rosa\CORPORACION ASISTENCIA JUDICIAL\MANDATOS JUDICIALES\FRANCISCO CORTES ARAYA.doc</t>
  </si>
  <si>
    <t>C:\Users\franc\OneDrive\Documentos\MALENTIN KARIME\Rosa\CORPORACION ASISTENCIA JUDICIAL\MANDATOS JUDICIALES\FRANCISCO AVALOS.doc</t>
  </si>
  <si>
    <t>C:\Users\franc\OneDrive\Documentos\MALENTIN KARIME\Rosa\CORPORACION ASISTENCIA JUDICIAL\MANDATOS JUDICIALES\EMILIA CASTILLO TAPIA.doc</t>
  </si>
  <si>
    <t>C:\Users\franc\OneDrive\Documentos\MALENTIN KARIME\Rosa\CORPORACION ASISTENCIA JUDICIAL\MANDATOS JUDICIALES\CLAUDIO IRARRAZABAL.doc</t>
  </si>
  <si>
    <t>C:\Users\franc\OneDrive\Documentos\MALENTIN KARIME\Rosa\CORPORACION ASISTENCIA JUDICIAL\MANDATOS JUDICIALES\CLAUDIA DUBO BUGUEÑO.doc</t>
  </si>
  <si>
    <t>C:\Users\franc\OneDrive\Documentos\MALENTIN KARIME\Rosa\CORPORACION ASISTENCIA JUDICIAL\MANDATOS JUDICIALES\carlos velasquez miranda.doc</t>
  </si>
  <si>
    <t>C:\Users\franc\OneDrive\Documentos\MALENTIN KARIME\Rosa\CORPORACION ASISTENCIA JUDICIAL\MANDATOS JUDICIALES\AMADIEL ARAYA ARAYA.doc</t>
  </si>
  <si>
    <t>C:\Users\franc\OneDrive\Documentos\MALENTIN KARIME\Rosa\CORPORACION ASISTENCIA JUDICIAL\LIQUIDACION SOCIEDAD CONYUGAL\AMERICA ARQUEROS LORCA.doc</t>
  </si>
  <si>
    <t>C:\Users\franc\OneDrive\Documentos\MALENTIN KARIME\Rosa\CORPORACION ASISTENCIA JUDICIAL\COMPLEMENTACION\COMPLEMENTACION AMERICA ARQUEROS.doc</t>
  </si>
  <si>
    <t>C:\Users\franc\OneDrive\Documentos\MALENTIN KARIME\Rosa\CORPORACION ASISTENCIA JUDICIAL\ACLARACIONES\ACLARACION AGUSTIN CORTES- MARIA LEIVA.doc</t>
  </si>
  <si>
    <t>C:\Users\franc\OneDrive\Documentos\MALENTIN KARIME\Rosa\CORPORACION ASISTENCIA JUDICIAL\ACLARACIONES\ACLARACION NANCY LABARCA.doc</t>
  </si>
  <si>
    <t>C:\Users\franc\OneDrive\Documentos\MALENTIN KARIME\Rosa\CONTRATOS DE USUFRUCTO\CONTRATO HUATULAME.doc</t>
  </si>
  <si>
    <t>C:\Users\franc\OneDrive\Documentos\MALENTIN KARIME\Rosa\CONTRATOS DE USUFRUCTO\Cº HUATULAME REV (1).doc</t>
  </si>
  <si>
    <t>C:\Users\franc\OneDrive\Documentos\MALENTIN KARIME\Rosa\CONTRATOS DE USUFRUCTO\CONTRATO DE USUFRUCTO SAMUEL ROJO punitaqui final.doc</t>
  </si>
  <si>
    <t>C:\Users\franc\OneDrive\Documentos\MALENTIN KARIME\Rosa\CONTRATOS DE USUFRUCTO\CONTRATO DE USUFRUCTO SAMUEL ROJO monte patria final.doc</t>
  </si>
  <si>
    <t>C:\Users\franc\OneDrive\Documentos\MALENTIN KARIME\Rosa\COMPRAVENTA VEHICULO\COMPRAVENTA DE VEHICULO.doc</t>
  </si>
  <si>
    <t>C:\Users\franc\OneDrive\Documentos\MALENTIN KARIME\Rosa\COMPRAVENTA DERECHOS TIERRA Y AGUAS\RAMON PALTA A Leonides corte.doc</t>
  </si>
  <si>
    <t>C:\Users\franc\OneDrive\Documentos\MALENTIN KARIME\Rosa\COMPRAVENTA DERECHOS TIERRA Y AGUAS\Copia de MODELO CV. DRCHOS. Tierra y aguas.doc</t>
  </si>
  <si>
    <t>C:\Users\franc\OneDrive\Documentos\MALENTIN KARIME\Rosa\COMPRAVENTA DERECHOS TIERRA Y AGUAS\ALFONSO CARVAJAL - LIDIA CARVAJAL.doc</t>
  </si>
  <si>
    <t>C:\Users\franc\OneDrive\Documentos\MALENTIN KARIME\Rosa\COMPRAVENTA DERECHOS DE AGUA\compraventa  VEGA JULIO- VEGA VELAZQUEZ.doc</t>
  </si>
  <si>
    <t>C:\Users\franc\OneDrive\Documentos\MALENTIN KARIME\Rosa\COMPRAVENTA DERECHOS DE AGUA\COMPRAVENTA JULIO    ROBERTO VEGA.doc</t>
  </si>
  <si>
    <t>C:\Users\franc\OneDrive\Documentos\MALENTIN KARIME\Rosa\COMPRAVENTA DERECHOS\RAFAEL LOPEZ a nieto menor de edad.doc</t>
  </si>
  <si>
    <t>C:\Users\franc\OneDrive\Documentos\MALENTIN KARIME\Rosa\COMPRAVENTA CON USUFRUCTO\norma a celia.doc</t>
  </si>
  <si>
    <t>C:\Users\franc\OneDrive\Documentos\MALENTIN KARIME\Rosa\COMPRAVENTA DERECHOS\GABRIELA ALVARADO A ISABEL ALVARADO.doc</t>
  </si>
  <si>
    <t>C:\Users\franc\OneDrive\Documentos\MALENTIN KARIME\Rosa\COMPRAVENTA CON USUFRUCTO\JUANA RODRIGUEZ - ESPOSO A  MANUEL ALUCEMA.doc</t>
  </si>
  <si>
    <t>C:\Users\franc\OneDrive\Documentos\MALENTIN KARIME\Rosa\COMPRAVENTA CON USUFRUCTO\EDMUNDO ARAYA Y CONYUGE A GILBERTO TABILOCON USUFRUCTO.doc</t>
  </si>
  <si>
    <t>C:\Users\franc\OneDrive\Documentos\MALENTIN KARIME\Rosa\COMPRAVENTA BIEN RAIZ\ARISMENIA ROJAS\ARISMENIA ROJAS p.p. MARCELO LEDEZMA.doc</t>
  </si>
  <si>
    <t>C:\Users\franc\OneDrive\Documentos\MALENTIN KARIME\Rosa\COMPRAVENTA BIEN RAIZ\ARISMENIA ROJAS\CARTA ALZAMIENTO.doc</t>
  </si>
  <si>
    <t>C:\Users\franc\OneDrive\Documentos\MALENTIN KARIME\Rosa\COMPRAVENTA BIEN RAIZ\ARISMENIA ROJAS\ARISMENIA DEL C. ROJAS p.c.v. Cert. Medico.doc</t>
  </si>
  <si>
    <t>C:\Users\franc\OneDrive\Documentos\MALENTIN KARIME\Rosa\COMPRAVENTA BIEN RAIZ\ARISMENIA ROJAS\ARISMENIA DEL CARMEN ROJAS +.doc</t>
  </si>
  <si>
    <t>C:\Users\franc\OneDrive\Documentos\MALENTIN KARIME\Rosa\COMPRAVENTA BIEN RAIZ\WALDO ANTONIO RAMIREZ GONZALEZ.doc</t>
  </si>
  <si>
    <t>C:\Users\franc\OneDrive\Documentos\MALENTIN KARIME\Rosa\COMPRAVENTA BIEN RAIZ\WALDO RAMIREZ GONZALEZ.doc</t>
  </si>
  <si>
    <t>C:\Users\franc\OneDrive\Documentos\MALENTIN KARIME\Rosa\COMPRAVENTA BIEN RAIZ\TOMAS JOPIA RODRIGUEZ A MARIO TORO Y OTRO.doc</t>
  </si>
  <si>
    <t>C:\Users\franc\OneDrive\Documentos\MALENTIN KARIME\Rosa\COMPRAVENTA BIEN RAIZ\TRANSITO CASTILLO A PAULINO YAÑEZ aut. cónyuge.doc</t>
  </si>
  <si>
    <t>C:\Users\franc\OneDrive\Documentos\MALENTIN KARIME\Rosa\COMPRAVENTA BIEN RAIZ\RICARDO ACUÑA A YANINA TAPIA PROHIBICION LEGAL-AUTORIZACION CONYUGAL.doc</t>
  </si>
  <si>
    <t>C:\Users\franc\OneDrive\Documentos\MALENTIN KARIME\Rosa\COMPRAVENTA BIEN RAIZ\SERGIO CASTILLO A NAHIR BUGUEÑO.doc</t>
  </si>
  <si>
    <t>C:\Users\franc\OneDrive\Documentos\MALENTIN KARIME\Rosa\COMPRAVENTA BIEN RAIZ\PAGARE ANA CASTILLO CABEZAS.doc</t>
  </si>
  <si>
    <t>C:\Users\franc\OneDrive\Documentos\MALENTIN KARIME\Rosa\COMPRAVENTA BIEN RAIZ\PASCUALA ALFARO (CON CONYUGE) A NOELFA CASTILLO.doc</t>
  </si>
  <si>
    <t>C:\Users\franc\OneDrive\Documentos\MALENTIN KARIME\Rosa\COMPRAVENTA BIEN RAIZ\OLIVIA ALZAMORA A NESTINA TAPIA p.p. y art. 150.doc</t>
  </si>
  <si>
    <t>C:\Users\franc\OneDrive\Documentos\MALENTIN KARIME\Rosa\COMPRAVENTA BIEN RAIZ\NORA MANQUE A WILLIAM GOMEZ.doc</t>
  </si>
  <si>
    <t>C:\Users\franc\OneDrive\Documentos\MALENTIN KARIME\Rosa\COMPRAVENTA BIEN RAIZ\NORMA ALQUINTA A CELIA CARVAJAL.doc</t>
  </si>
  <si>
    <t>C:\Users\franc\OneDrive\Documentos\MALENTIN KARIME\Rosa\COMPRAVENTA BIEN RAIZ\NITZI ROJAS A SOC. AGRICOLA LAS PINTADAS LTDA..doc</t>
  </si>
  <si>
    <t>C:\Users\franc\OneDrive\Documentos\MALENTIN KARIME\Rosa\COMPRAVENTA BIEN RAIZ\MARITZA ADAROS A MARITZA GUTIERREZ.doc</t>
  </si>
  <si>
    <t>C:\Users\franc\OneDrive\Documentos\MALENTIN KARIME\Rosa\COMPRAVENTA BIEN RAIZ\MIGUEL LAGUNAS A CLUB ADULTO MAYOR 3 EDAD.doc</t>
  </si>
  <si>
    <t>C:\Users\franc\OneDrive\Documentos\MALENTIN KARIME\Rosa\COMPRAVENTA BIEN RAIZ\MARITZA ADAROS A MARITZA GUTIERREZ MINUTA.doc</t>
  </si>
  <si>
    <t>C:\Users\franc\OneDrive\Documentos\MALENTIN KARIME\Rosa\COMPRAVENTA BIEN RAIZ\MARIA INES RODRIGUEZ CON HIJO.- VILLA SAN LUIS.- ABRIL 2011.doc</t>
  </si>
  <si>
    <t>C:\Users\franc\OneDrive\Documentos\MALENTIN KARIME\Rosa\COMPRAVENTA BIEN RAIZ\MARIA FARFAN A DANITSA DIAZ PALACIOS.doc</t>
  </si>
  <si>
    <t>C:\Users\franc\OneDrive\Documentos\MALENTIN KARIME\Rosa\COMPRAVENTA BIEN RAIZ\LUZMIRA MORALES A MIRTA ASTUDILLO.doc</t>
  </si>
  <si>
    <t>C:\Users\franc\OneDrive\Documentos\MALENTIN KARIME\Rosa\COMPRAVENTA BIEN RAIZ\JUAN ARAYA FLORES A MARGARITA RODRIGUEZ.doc</t>
  </si>
  <si>
    <t>C:\Users\franc\OneDrive\Documentos\MALENTIN KARIME\Rosa\COMPRAVENTA BIEN RAIZ\LAUREANO RAMOS A GLADYS VELASQUEZ.doc</t>
  </si>
  <si>
    <t>C:\Users\franc\OneDrive\Documentos\MALENTIN KARIME\Rosa\COMPRAVENTA BIEN RAIZ\JENARA JINEL P.P. Y OTROS A GUILLERMO RODRIGUEZ.doc</t>
  </si>
  <si>
    <t>C:\Users\franc\OneDrive\Documentos\MALENTIN KARIME\Rosa\COMPRAVENTA BIEN RAIZ\INSTRUCCIONES Manuel Rojas Bernal.doc</t>
  </si>
  <si>
    <t>C:\Users\franc\OneDrive\Documentos\MALENTIN KARIME\Rosa\COMPRAVENTA BIEN RAIZ\GABRIEL ROJAS A NORA ROJAS ROJAS.doc</t>
  </si>
  <si>
    <t>C:\Users\franc\OneDrive\Documentos\MALENTIN KARIME\Rosa\COMPRAVENTA BIEN RAIZ\HUMBERTO GAHONA a HUMBERTO GAHONA MARN.doc</t>
  </si>
  <si>
    <t>C:\Users\franc\OneDrive\Documentos\MALENTIN KARIME\Rosa\COMPRAVENTA BIEN RAIZ\INSTRUCCIONES BELLSHAM.doc</t>
  </si>
  <si>
    <t>C:\Users\franc\OneDrive\Documentos\MALENTIN KARIME\Rosa\COMPRAVENTA BIEN RAIZ\FARID JACOB A CRISTIAN LOYOLA.doc</t>
  </si>
  <si>
    <t>C:\Users\franc\OneDrive\Documentos\MALENTIN KARIME\Rosa\COMPRAVENTA BIEN RAIZ\ESCRITURA PÚBLICA Aida Díaz.doc</t>
  </si>
  <si>
    <t>C:\Users\franc\OneDrive\Documentos\MALENTIN KARIME\Rosa\COMPRAVENTA BIEN RAIZ\EGLANTINA OLIVARES a MYRIAM ARAYA.doc</t>
  </si>
  <si>
    <t>C:\Users\franc\OneDrive\Documentos\MALENTIN KARIME\Rosa\COMPRAVENTA BIEN RAIZ\ELIANA MONARDES A WALDO (CONYUGE) FINAL.doc</t>
  </si>
  <si>
    <t>C:\Users\franc\OneDrive\Documentos\MALENTIN KARIME\Rosa\COMPRAVENTA BIEN RAIZ\DOMINGA RODRIGUEZ p.p. A RUBEN ARAYA Y OTRO-Proh. legal.doc</t>
  </si>
  <si>
    <t>C:\Users\franc\OneDrive\Documentos\MALENTIN KARIME\Rosa\COMPRAVENTA BIEN RAIZ\EGLANTINA OLIVARES A A MYRIAM ARAYA.doc</t>
  </si>
  <si>
    <t>C:\Users\franc\OneDrive\Documentos\MALENTIN KARIME\Rosa\COMPRAVENTA BIEN RAIZ\DELFINA MUÑOZ VARGAS A GUSTAVO CORTES TAPIA.doc</t>
  </si>
  <si>
    <t>C:\Users\franc\OneDrive\Documentos\MALENTIN KARIME\Rosa\COMPRAVENTA BIEN RAIZ\DANISA.doc</t>
  </si>
  <si>
    <t>C:\Users\franc\OneDrive\Documentos\MALENTIN KARIME\Rosa\COMPRAVENTA BIEN RAIZ\compraventa_Danisa sierra.doc</t>
  </si>
  <si>
    <t>C:\Users\franc\OneDrive\Documentos\MALENTIN KARIME\Rosa\COMPRAVENTA BIEN RAIZ\Compraventa Pinino.- ABRIL 2011.doc</t>
  </si>
  <si>
    <t>C:\Users\franc\OneDrive\Documentos\MALENTIN KARIME\Rosa\COMPRAVENTA BIEN RAIZ\COMPRAVENTA POR MINUTA MANUEL BERNAL.doc</t>
  </si>
  <si>
    <t>C:\Users\franc\OneDrive\Documentos\MALENTIN KARIME\Rosa\COMPRAVENTA BIEN RAIZ\COMPRAPARA EGLANTINA OLIVARES.doc</t>
  </si>
  <si>
    <t>C:\Users\franc\OneDrive\Documentos\MALENTIN KARIME\Rosa\COMPRAVENTA BIEN RAIZ\COMPRAVENTA COMPRADORA ARTICULO 150.doc</t>
  </si>
  <si>
    <t>C:\Users\franc\OneDrive\Documentos\MALENTIN KARIME\Rosa\COMPRAVENTA BIEN RAIZ\CLÁUSULA 100% EN VENTA.doc</t>
  </si>
  <si>
    <t>C:\Users\franc\OneDrive\Documentos\MALENTIN KARIME\Rosa\COMPRAVENTA BIEN RAIZ\CARTA ALZAMIENTO carlos jimenez y otra.doc</t>
  </si>
  <si>
    <t>C:\Users\franc\OneDrive\Documentos\MALENTIN KARIME\Rosa\COMPRAVENTA BIEN RAIZ\CLARA GODOY  Y OTROS A PERUANOS p.p..doc</t>
  </si>
  <si>
    <t>C:\Users\franc\OneDrive\Documentos\MALENTIN KARIME\Rosa\COMPRAVENTA BIEN RAIZ\CARMEN SANTELICES Y OTROS A NATIVIDAD CORTES.doc</t>
  </si>
  <si>
    <t>C:\Users\franc\OneDrive\Documentos\MALENTIN KARIME\Rosa\COMPRAVENTA BIEN RAIZ\CARMEN CASTAÑEDA A RODRIGO TAPIA.doc</t>
  </si>
  <si>
    <t>C:\Users\franc\OneDrive\Documentos\MALENTIN KARIME\Rosa\COMPRAVENTA BIEN RAIZ\CARLOS MORGADO- HERNAN RIVERA.doc</t>
  </si>
  <si>
    <t>C:\Users\franc\OneDrive\Documentos\MALENTIN KARIME\Rosa\COMPRAVENTA BIEN RAIZ\CARLOS STIEBERTZ A JENANET GANZO-Proh. legal.doc</t>
  </si>
  <si>
    <t>C:\Users\franc\OneDrive\Documentos\MALENTIN KARIME\Rosa\COMPRAVENTA BIEN RAIZ\AUTONCONTRATA DOÑA IVY.doc</t>
  </si>
  <si>
    <t>C:\Users\franc\OneDrive\Documentos\MALENTIN KARIME\Rosa\COMPRAVENTA BIEN RAIZ\CARLOS JIMENEZ VALDIVIA Y otra a PASCUALA ALFARO DIAZ.doc</t>
  </si>
  <si>
    <t>C:\Users\franc\OneDrive\Documentos\MALENTIN KARIME\Rosa\COMPRAVENTA BIEN RAIZ\ANA CASTILLO CABEZAS a ISOLINA CASTILLO CASTILLO.doc</t>
  </si>
  <si>
    <t>C:\Users\franc\OneDrive\Documentos\MALENTIN KARIME\Rosa\COMPRAVENTA BIEN RAIZ\ANA CASTILLO CABEZAS A Isolina Castillo Promesa.doc</t>
  </si>
  <si>
    <t>C:\Users\franc\OneDrive\Documentos\MALENTIN KARIME\Rosa\COMPLEMENTACION\JOELIO CORTES TORRES A DIAMANTINA OLIVARES.doc</t>
  </si>
  <si>
    <t>C:\Users\franc\OneDrive\Documentos\MALENTIN KARIME\Rosa\COMPRAVENTA BIEN RAIZ\AMALIA VILLAGRAN A RICARDO MOLLO LEYTON.doc</t>
  </si>
  <si>
    <t>C:\Users\franc\OneDrive\Documentos\MALENTIN KARIME\Rosa\COMPLEMENTACION\esrmeraldo valdivia a soc. agricola 2.doc</t>
  </si>
  <si>
    <t>C:\Users\franc\OneDrive\Documentos\MALENTIN KARIME\Rosa\COMPLEMENTACION\HERNAN HONORES EPUL.doc</t>
  </si>
  <si>
    <t>C:\Users\franc\OneDrive\Documentos\MALENTIN KARIME\Rosa\COMPLEMENTACION\escritura complementacion_usufructo Roberto Dabed.doc</t>
  </si>
  <si>
    <t>C:\Users\franc\OneDrive\Documentos\MALENTIN KARIME\Rosa\COMPLEMENTACION\ESMERALDO VALDIVIA A SOC. AGRICOLA VALDIVIA LTDA..doc</t>
  </si>
  <si>
    <t>C:\Users\franc\OneDrive\Documentos\MALENTIN KARIME\Rosa\CLAUDIO CASTILLO\EXTRACTO CONSULTORA Y CAPACITACION.doc</t>
  </si>
  <si>
    <t>C:\Users\franc\OneDrive\Documentos\MALENTIN KARIME\Rosa\CLAUDIO CASTILLO\Soc Civil Agric Mitimae Ltda. Pc 52 y st 14 y 30 acc ER.doc</t>
  </si>
  <si>
    <t>C:\Users\franc\OneDrive\Documentos\MALENTIN KARIME\Rosa\CLAUDIO CASTILLO\Constituc cumpa.doc</t>
  </si>
  <si>
    <t>C:\Users\franc\OneDrive\Documentos\MALENTIN KARIME\Rosa\CLAUDIO CASTILLO\CONSULTORA Y CAPAC. L&amp;L LTDA..doc</t>
  </si>
  <si>
    <t>C:\Users\franc\OneDrive\Documentos\MALENTIN KARIME\Rosa\CLAUDIO CASTILLO\COMPRAVENTA TITO CUÑADO.doc</t>
  </si>
  <si>
    <t>C:\Users\franc\OneDrive\Documentos\MALENTIN KARIME\Rosa\CLAUDIO CASTILLO\claudio castillo.doc</t>
  </si>
  <si>
    <t>C:\Users\franc\OneDrive\Documentos\MALENTIN KARIME\Rosa\CIBERGESTION\CESION DERECHOS POR MINUTA\cesion derechos.doc</t>
  </si>
  <si>
    <t>C:\Users\franc\OneDrive\Documentos\MALENTIN KARIME\Rosa\CIBERGESTION\T R A N S A C C I O N.doc</t>
  </si>
  <si>
    <t>C:\Users\franc\OneDrive\Documentos\MALENTIN KARIME\Rosa\CIBERGESTION\CESION DERECHOS POR MINUTA\CESION DE OPCION DE COMPRA TRANSPORTES JAR SOCIEDAD ANÓNIMA.doc</t>
  </si>
  <si>
    <t>C:\Users\franc\OneDrive\Documentos\MALENTIN KARIME\Rosa\CESION DERECHOS HEREDITARIOS\SILVIA RODRIGUEZ  A TERESA CASTILLO FEBRERO 2010.doc</t>
  </si>
  <si>
    <t>C:\Users\franc\OneDrive\Documentos\MALENTIN KARIME\Rosa\CESION DERECHOS HEREDITARIOS\SILVIA PIZARRO A BRIJIDA CISTERNAS.doc</t>
  </si>
  <si>
    <t>C:\Users\franc\OneDrive\Documentos\MALENTIN KARIME\Rosa\CESION DERECHOS HEREDITARIOS\RICARDO MOLLO A ORIELE MOLLO.doc</t>
  </si>
  <si>
    <t>C:\Users\franc\OneDrive\Documentos\MALENTIN KARIME\Rosa\CESION DERECHOS HEREDITARIOS\MARISOL PARRA Y OTROS A PEDRO PARRA M..doc</t>
  </si>
  <si>
    <t>C:\Users\franc\OneDrive\Documentos\MALENTIN KARIME\Rosa\CESION DERECHOS HEREDITARIOS\OSCAR NAVARRO.-.doc</t>
  </si>
  <si>
    <t>C:\Users\franc\OneDrive\Documentos\MALENTIN KARIME\Rosa\CESION DERECHOS HEREDITARIOS\CORREO 2 02 2011.doc</t>
  </si>
  <si>
    <t>C:\Users\franc\OneDrive\Documentos\MALENTIN KARIME\Rosa\CESION DERECHOS HEREDITARIOS\MANUEL PEREZ  A MANUEL PEREZ.doc</t>
  </si>
  <si>
    <t>C:\Users\franc\OneDrive\Documentos\MALENTIN KARIME\Rosa\CESION DERECHOS HEREDITARIOS\CLAUDIO ALFARO  y otros a DOMINGA CASTRO.doc</t>
  </si>
  <si>
    <t>C:\Users\franc\OneDrive\Documentos\MALENTIN KARIME\Rosa\CESION DERECHOS COMUNITARIOS\LUIS CORTES A AMANDA ROJAS.doc</t>
  </si>
  <si>
    <t>C:\Users\franc\OneDrive\Documentos\MALENTIN KARIME\Rosa\CESION DERECHOS HEREDITARIOS\Cesión Carvajal Galleguillos (dominik).doc</t>
  </si>
  <si>
    <t>C:\Users\franc\OneDrive\Documentos\MALENTIN KARIME\Rosa\CESION DERECHOS COMUNITARIOS\ADRIANA MUNDACA A ADRIANA MUNDACA RIVERA.doc</t>
  </si>
  <si>
    <t>C:\Users\franc\OneDrive\Documentos\MALENTIN KARIME\Rosa\CANCELACION SALDO PRECIO\Ejemplo 1.doc</t>
  </si>
  <si>
    <t>C:\Users\franc\OneDrive\Documentos\MALENTIN KARIME\Rosa\CANCELACION SALDO PRECIO\Ejemplo 2.doc</t>
  </si>
  <si>
    <t>C:\Users\franc\OneDrive\Documentos\MALENTIN KARIME\Rosa\CANCELACION PARCIAL SALDO PRECIO\GUILLERMO FERNANDEZ A SILVIA FERNANDEZ.doc</t>
  </si>
  <si>
    <t>C:\Users\franc\OneDrive\Documentos\MALENTIN KARIME\Rosa\CANCELACION PARCIAL SALDO PRECIO\GUILLERMO FERNANDEZ Y HERMANA A SILVIA FERNANDEZ.doc</t>
  </si>
  <si>
    <t>C:\Users\franc\OneDrive\Documentos\MALENTIN KARIME\Rosa\BANCO ESTADO DE CHILE\ALZAMIENTOS\URBANA DEL CARMEN ALVAREZ ALVAREZ.doc</t>
  </si>
  <si>
    <t>C:\Users\franc\OneDrive\Documentos\MALENTIN KARIME\Rosa\BANCO ESTADO DE CHILE\ALZAMIENTOS\RAUL VEGA GALLARDO.doc</t>
  </si>
  <si>
    <t>C:\Users\franc\OneDrive\Documentos\MALENTIN KARIME\Rosa\BANCO ESTADO DE CHILE\ALZAMIENTOS\RAMON OLIVARES BILBAO.doc</t>
  </si>
  <si>
    <t>C:\Users\franc\OneDrive\Documentos\MALENTIN KARIME\Rosa\BANCO ESTADO DE CHILE\ALZAMIENTOS\RAMON BARRAZA GALLEGUILLOS.doc</t>
  </si>
  <si>
    <t>C:\Users\franc\OneDrive\Documentos\MALENTIN KARIME\Rosa\BANCO ESTADO DE CHILE\ALZAMIENTOS\OSIEL PERFECTO ORTIZ GALLEGUILLOS.doc</t>
  </si>
  <si>
    <t>C:\Users\franc\OneDrive\Documentos\MALENTIN KARIME\Rosa\BANCO ESTADO DE CHILE\ALZAMIENTOS\MONICA CORTES GATICA.doc</t>
  </si>
  <si>
    <t>C:\Users\franc\OneDrive\Documentos\MALENTIN KARIME\Rosa\BANCO ESTADO DE CHILE\ALZAMIENTOS\NORMAN BUGUEÑO PICARTE.doc</t>
  </si>
  <si>
    <t>C:\Users\franc\OneDrive\Documentos\MALENTIN KARIME\Rosa\BANCO ESTADO DE CHILE\ALZAMIENTOS\MARIA LORENA MANDUJANO FLORES.doc</t>
  </si>
  <si>
    <t>C:\Users\franc\OneDrive\Documentos\MALENTIN KARIME\Rosa\BANCO ESTADO DE CHILE\ALZAMIENTOS\MAUDI BARRAZA PERALTA.doc</t>
  </si>
  <si>
    <t>C:\Users\franc\OneDrive\Documentos\MALENTIN KARIME\Rosa\BANCO ESTADO DE CHILE\ALZAMIENTOS\MARCO CONTADOR ORTIZ.doc</t>
  </si>
  <si>
    <t>C:\Users\franc\OneDrive\Documentos\MALENTIN KARIME\Rosa\BANCO ESTADO DE CHILE\ALZAMIENTOS\LUIS BARAHONA ARAYA Agosto.doc</t>
  </si>
  <si>
    <t>C:\Users\franc\OneDrive\Documentos\MALENTIN KARIME\Rosa\BANCO ESTADO DE CHILE\ALZAMIENTOS\LUIS CORTES GONZALEZ.doc</t>
  </si>
  <si>
    <t>C:\Users\franc\OneDrive\Documentos\MALENTIN KARIME\Rosa\BANCO ESTADO DE CHILE\ALZAMIENTOS\LUIS ALEJANDRO ORTIZ JARA.doc</t>
  </si>
  <si>
    <t>C:\Users\franc\OneDrive\Documentos\MALENTIN KARIME\Rosa\BANCO ESTADO DE CHILE\ALZAMIENTOS\LORENA CARVAJAL DIAZ.doc</t>
  </si>
  <si>
    <t>C:\Users\franc\OneDrive\Documentos\MALENTIN KARIME\Rosa\BANCO ESTADO DE CHILE\ALZAMIENTOS\JUAN ORREGO TAPIA.doc</t>
  </si>
  <si>
    <t>C:\Users\franc\OneDrive\Documentos\MALENTIN KARIME\Rosa\BANCO ESTADO DE CHILE\ALZAMIENTOS\FRANKIE VEGA RAMOS- MAYO 2011.doc</t>
  </si>
  <si>
    <t>C:\Users\franc\OneDrive\Documentos\MALENTIN KARIME\Rosa\BANCO ESTADO DE CHILE\ALZAMIENTOS\HILDA CORTES TABILO.doc</t>
  </si>
  <si>
    <t>C:\Users\franc\OneDrive\Documentos\MALENTIN KARIME\Rosa\BANCO ESTADO DE CHILE\ALZAMIENTOS\FRANFLIN OMAR OLLARZU PALACIOS.doc</t>
  </si>
  <si>
    <t>C:\Users\franc\OneDrive\Documentos\MALENTIN KARIME\Rosa\BANCO ESTADO DE CHILE\ALZAMIENTOS\ELENA DELGADO ADONIS.doc</t>
  </si>
  <si>
    <t>C:\Users\franc\OneDrive\Documentos\MALENTIN KARIME\Rosa\BANCO ESTADO DE CHILE\ALZAMIENTOS\FLOR MONARDEZ ARAYA.doc</t>
  </si>
  <si>
    <t>C:\Users\franc\OneDrive\Documentos\MALENTIN KARIME\Rosa\BANCO ESTADO DE CHILE\ALZAMIENTOS\ALICIA GALLEGUILLOS CORTES.doc</t>
  </si>
  <si>
    <t>C:\Users\franc\OneDrive\Documentos\MALENTIN KARIME\Rosa\BANCO CORPBANCA\MUTUO\MARCELO CORTES.doc</t>
  </si>
  <si>
    <t>C:\Users\franc\OneDrive\Documentos\MALENTIN KARIME\Rosa\BANCO CORPBANCA\MUTUO\Ana López a Minicozzi.doc</t>
  </si>
  <si>
    <t>C:\Users\franc\OneDrive\Documentos\MALENTIN KARIME\Rosa\BANCO CORPBANCA\MUTUO\Ana Lopez a GIOVANNI MINICOZZI.doc</t>
  </si>
  <si>
    <t>C:\Users\franc\OneDrive\Documentos\MALENTIN KARIME\Rosa\BANCO CORPBANCA\MANDATOS\mandato a corpbanca don raimundo.DOC</t>
  </si>
  <si>
    <t>C:\Users\franc\OneDrive\Documentos\MALENTIN KARIME\Rosa\BANCO CORPBANCA\MANDATOS\RAIMUNDO MANDATO.doc</t>
  </si>
  <si>
    <t>C:\Users\franc\OneDrive\Documentos\MALENTIN KARIME\Rosa\BANCO CORPBANCA\CONTRATOS DE ARRENDAMIENTOS\2006487 Guayacan Limitada.- MARZO 2.doc</t>
  </si>
  <si>
    <t>C:\Users\franc\OneDrive\Documentos\MALENTIN KARIME\Rosa\BANCO CORPBANCA\CONTRATOS DE ARRENDAMIENTOS\Febrero Transportes Guayacan Limitada.doc</t>
  </si>
  <si>
    <t>C:\Users\franc\OneDrive\Documentos\MALENTIN KARIME\Rosa\BANCO CORPBANCA\CESION DERECHOS\CESION DERECHOS ARKON.doc</t>
  </si>
  <si>
    <t>C:\Users\franc\OneDrive\Documentos\MALENTIN KARIME\Rosa\BANCO CORPBANCA\ALZAMIENTO CORPBANCA\BORRADORES\Rubén Casanova Rojas.doc</t>
  </si>
  <si>
    <t>C:\Users\franc\OneDrive\Documentos\MALENTIN KARIME\Rosa\BANCO CORPBANCA\ALZAMIENTO CORPBANCA\BORRADORES\Soc Agric y Forestal Talinay Ltda- Saldo Lt 1-A + 12-A.doc</t>
  </si>
  <si>
    <t>C:\Users\franc\OneDrive\Documentos\MALENTIN KARIME\Rosa\BANCO CORPBANCA\ALZAMIENTO CORPBANCA\BORRADORES\Comb Serv de Transp y Cargo S.A. (Cotracar).doc</t>
  </si>
  <si>
    <t>C:\Users\franc\OneDrive\Documentos\MALENTIN KARIME\Rosa\BANCO CORPBANCA\ALZAMIENTO CORPBANCA\SOCIEDAD AGRICOLA TALINAY.doc</t>
  </si>
  <si>
    <t>C:\Users\franc\OneDrive\Documentos\MALENTIN KARIME\Rosa\BANCO CORPBANCA\ALZAMIENTO CORPBANCA\SENEL TORO.doc</t>
  </si>
  <si>
    <t>C:\Users\franc\OneDrive\Documentos\MALENTIN KARIME\Rosa\BANCO CORPBANCA\ALZAMIENTO CORPBANCA\Senel Toro Iriarte[1].doc</t>
  </si>
  <si>
    <t>C:\Users\franc\OneDrive\Documentos\MALENTIN KARIME\Rosa\BANCO CORPBANCA\ALZAMIENTO CORPBANCA\Samuel Bozo Lorca y otra.doc</t>
  </si>
  <si>
    <t>C:\Users\franc\OneDrive\Documentos\MALENTIN KARIME\Rosa\BANCO CORPBANCA\ALZAMIENTO CORPBANCA\samuel bozo l. y otra.doc</t>
  </si>
  <si>
    <t>C:\Users\franc\OneDrive\Documentos\MALENTIN KARIME\Rosa\BANCO CORPBANCA\ALZAMIENTO CORPBANCA\RUBEN CASANOVA.doc</t>
  </si>
  <si>
    <t>C:\Users\franc\OneDrive\Documentos\MALENTIN KARIME\Rosa\BANCO CORPBANCA\ALZAMIENTO CORPBANCA\RODRIGO TELLO ANDRADE.doc</t>
  </si>
  <si>
    <t>C:\Users\franc\OneDrive\Documentos\MALENTIN KARIME\Rosa\BANCO CORPBANCA\ALZAMIENTO CORPBANCA\RAUL JOFRE CANIVILO.doc</t>
  </si>
  <si>
    <t>C:\Users\franc\OneDrive\Documentos\MALENTIN KARIME\Rosa\BANCO CORPBANCA\ALZAMIENTO CORPBANCA\PATRICIO ALVAREZ B..doc</t>
  </si>
  <si>
    <t>C:\Users\franc\OneDrive\Documentos\MALENTIN KARIME\Rosa\BANCO CORPBANCA\ALZAMIENTO CORPBANCA\MUTUO.doc</t>
  </si>
  <si>
    <t>C:\Users\franc\OneDrive\Documentos\MALENTIN KARIME\Rosa\BANCO CORPBANCA\ALZAMIENTO CORPBANCA\MANDATO.doc</t>
  </si>
  <si>
    <t>C:\Users\franc\OneDrive\Documentos\MALENTIN KARIME\Rosa\BANCO CORPBANCA\ALZAMIENTO CORPBANCA\MITIMAE.doc</t>
  </si>
  <si>
    <t>C:\Users\franc\OneDrive\Documentos\MALENTIN KARIME\Rosa\BANCO CORPBANCA\ALZAMIENTO CORPBANCA\FIDEL ALAYAN.doc</t>
  </si>
  <si>
    <t>C:\Users\franc\OneDrive\Documentos\MALENTIN KARIME\Rosa\BANCO CORPBANCA\ALZAMIENTO CORPBANCA\COMBUSTIBLE SERV. TRANSP. Y CARGO.doc</t>
  </si>
  <si>
    <t>C:\Users\franc\OneDrive\Documentos\MALENTIN KARIME\Rosa\BANCO CORPBANCA\ALZAMIENTO CORPBANCA\encabezado notario.doc</t>
  </si>
  <si>
    <t>C:\Users\franc\OneDrive\Documentos\MALENTIN KARIME\Rosa\BANCO CORPBANCA\ALZAMIENTO CORPBANCA\ALZAMIENTO Fidel.doc</t>
  </si>
  <si>
    <t>C:\Users\franc\OneDrive\Documentos\MALENTIN KARIME\Rosa\BANCO CORPBANCA\Patricio Alvarez Barrios[1].doc</t>
  </si>
  <si>
    <t>C:\Users\franc\OneDrive\Documentos\MALENTIN KARIME\Rosa\BANCO  SCOTIABANK\PRENDAS\borradores\SOC. TRANSPORTES VICAL Y CIA. LTDA..doc</t>
  </si>
  <si>
    <t>C:\Users\franc\OneDrive\Documentos\MALENTIN KARIME\Rosa\BANCO  SCOTIABANK\PRENDAS\borradores\Salvador Castillo Honores - mayo.doc</t>
  </si>
  <si>
    <t>C:\Users\franc\OneDrive\Documentos\MALENTIN KARIME\Rosa\BANCO  SCOTIABANK\PRENDAS\borradores\Salvador Castillo Honores - feb[1].doc</t>
  </si>
  <si>
    <t>C:\Users\franc\OneDrive\Documentos\MALENTIN KARIME\Rosa\BANCO  SCOTIABANK\PRENDAS\borradores\Eduardo Zepeda Robles - abril.doc</t>
  </si>
  <si>
    <t>C:\Users\franc\OneDrive\Documentos\MALENTIN KARIME\Rosa\BANCO  SCOTIABANK\PRENDAS\borradores\Juan Eduardo Robles Zepeda -.doc</t>
  </si>
  <si>
    <t>C:\Users\franc\OneDrive\Documentos\MALENTIN KARIME\Rosa\BANCO  SCOTIABANK\PRENDAS\SOCIEDAD TRANSPOR. VICAL Y CIA. LTDA..doc</t>
  </si>
  <si>
    <t>C:\Users\franc\OneDrive\Documentos\MALENTIN KARIME\Rosa\BANCO  SCOTIABANK\PRENDAS\SALVADOR F. CASTILLO HONORES MARZO 2011.doc</t>
  </si>
  <si>
    <t>C:\Users\franc\OneDrive\Documentos\MALENTIN KARIME\Rosa\BANCO  SCOTIABANK\PRENDAS\JUAN ROBLES ZEPEDA.doc</t>
  </si>
  <si>
    <t>C:\Users\franc\OneDrive\Documentos\MALENTIN KARIME\Rosa\BANCO  SCOTIABANK\PRENDAS\SALVADOR CASTILLO MAYO 2011.doc</t>
  </si>
  <si>
    <t>C:\Users\franc\OneDrive\Documentos\MALENTIN KARIME\Rosa\BANCO  SCOTIABANK\MUTUOS\WILFREDO ALFARO A MARIA ALFARO.doc</t>
  </si>
  <si>
    <t>C:\Users\franc\OneDrive\Documentos\MALENTIN KARIME\Rosa\BANCO  SCOTIABANK\PRENDAS\EDUARDO ZEPEDA.doc</t>
  </si>
  <si>
    <t>C:\Users\franc\OneDrive\Documentos\MALENTIN KARIME\Rosa\BANCO  SCOTIABANK\MUTUOS\MARIO BULO - SCOTIABANK.doc</t>
  </si>
  <si>
    <t>C:\Users\franc\OneDrive\Documentos\MALENTIN KARIME\Rosa\BANCO  SCOTIABANK\MUTUOS\JOSE AELINO A SCOTIABANK.doc</t>
  </si>
  <si>
    <t>C:\Users\franc\OneDrive\Documentos\MALENTIN KARIME\Rosa\BANCO  SCOTIABANK\MUTUOS\027 -Cvta y Mutuo  Wilfredo Alfaro a MARIA ARAYA MAYA. mayo.doc</t>
  </si>
  <si>
    <t>C:\Users\franc\OneDrive\Documentos\MALENTIN KARIME\Rosa\BANCO  SCOTIABANK\HIPOTECAS\JUAN LOPEZ PIZARRO.doc</t>
  </si>
  <si>
    <t>C:\Users\franc\OneDrive\Documentos\MALENTIN KARIME\Rosa\BANCO  SCOTIABANK\MANDATO ILLAPIN MAYO 2011\mandato.doc</t>
  </si>
  <si>
    <t>C:\Users\franc\OneDrive\Documentos\MALENTIN KARIME\Rosa\BANCO  SCOTIABANK\HIPOTECAS\EDUARDO ZEPEDA.doc</t>
  </si>
  <si>
    <t>C:\Users\franc\OneDrive\Documentos\MALENTIN KARIME\Rosa\BANCO  SCOTIABANK\HIPOTECAS\CONDE Y DIAZ LIMITADA.doc</t>
  </si>
  <si>
    <t>C:\Users\franc\OneDrive\Documentos\MALENTIN KARIME\Rosa\BANCO  SCOTIABANK\HIPOTECAS\COMERCIAL MIRADOR.doc</t>
  </si>
  <si>
    <t>C:\Users\franc\OneDrive\Documentos\MALENTIN KARIME\Rosa\BANCO  SCOTIABANK\COMPRAVENTAS\BORRADORES\Mutuo  Mario Frias Bulo. marzo.doc</t>
  </si>
  <si>
    <t>C:\Users\franc\OneDrive\Documentos\MALENTIN KARIME\Rosa\BANCO  SCOTIABANK\COMPRAVENTAS\BORRADORES\CARMEN MICCONO A JORGE QUIROZ.doc</t>
  </si>
  <si>
    <t>C:\Users\franc\OneDrive\Documentos\MALENTIN KARIME\Rosa\BANCO  SCOTIABANK\COMPRAVENTAS\BORRADORES\DOBLE M FEBRERO 2011.doc</t>
  </si>
  <si>
    <t>C:\Users\franc\OneDrive\Documentos\MALENTIN KARIME\Rosa\BANCO  SCOTIABANK\COMPRAVENTAS\DOBLE M - BERNARDO GONZALEZ CORTES.doc</t>
  </si>
  <si>
    <t>C:\Users\franc\OneDrive\Documentos\MALENTIN KARIME\Rosa\BANCO  SCOTIABANK\COMPRAVENTAS\NELIDA ZUMARAN-EDILIO CORTES.doc</t>
  </si>
  <si>
    <t>C:\Users\franc\OneDrive\Documentos\MALENTIN KARIME\Rosa\BANCO  SCOTIABANK\COMPRAVENTAS\carta de resguardo bernardo gonzalez cortes.doc</t>
  </si>
  <si>
    <t>C:\Users\franc\OneDrive\Documentos\MALENTIN KARIME\Rosa\BANCO  SCOTIABANK\COMPRAVENTAS\CARMEN MICONO Y OTROS - JORGE QUIROZ.doc</t>
  </si>
  <si>
    <t>C:\Users\franc\OneDrive\Documentos\MALENTIN KARIME\Rosa\BANCO  SCOTIABANK\AMPLIA. Y MODIFIC. SCOTIABANK CHILE\AMPLIACION TOMAS CORTES FUENTES.doc</t>
  </si>
  <si>
    <t>C:\Users\franc\OneDrive\Documentos\MALENTIN KARIME\Rosa\BANCO  SCOTIABANK\AMPLIA. Y MODIFIC. SCOTIABANK CHILE\TOMAS CORTES FUENTES.doc</t>
  </si>
  <si>
    <t>C:\Users\franc\OneDrive\Documentos\MALENTIN KARIME\Rosa\BANCO  SCOTIABANK\ALZAMIENTOS\BORRADORES\Sonia_Madrid_Mondaca._enero[1].doc</t>
  </si>
  <si>
    <t>C:\Users\franc\OneDrive\Documentos\MALENTIN KARIME\Rosa\BANCO  SCOTIABANK\ALZAMIENTOS\BORRADORES\Raquel Loyola Rojas - 1.doc</t>
  </si>
  <si>
    <t>C:\Users\franc\OneDrive\Documentos\MALENTIN KARIME\Rosa\BANCO  SCOTIABANK\ALZAMIENTOS\BORRADORES\Raquel del T. Loyola Rojas - 2.doc</t>
  </si>
  <si>
    <t>C:\Users\franc\OneDrive\Documentos\MALENTIN KARIME\Rosa\BANCO  SCOTIABANK\ALZAMIENTOS\BORRADORES\Juana Rojas Araya. marzo.doc</t>
  </si>
  <si>
    <t>C:\Users\franc\OneDrive\Documentos\MALENTIN KARIME\Rosa\BANCO  SCOTIABANK\ALZAMIENTOS\BORRADORES\Juana Rojas Araya. marzo-1.doc</t>
  </si>
  <si>
    <t>C:\Users\franc\OneDrive\Documentos\MALENTIN KARIME\Rosa\BANCO  SCOTIABANK\ALZAMIENTOS\BORRADORES\Benjamin Rivera Castillo[1]. enero.doc</t>
  </si>
  <si>
    <t>C:\Users\franc\OneDrive\Documentos\MALENTIN KARIME\Rosa\BANCO  SCOTIABANK\ALZAMIENTOS\BORRADORES\Carlos Rojas Araya. marzo.doc</t>
  </si>
  <si>
    <t>C:\Users\franc\OneDrive\Documentos\MALENTIN KARIME\Rosa\BANCO  SCOTIABANK\ALZAMIENTOS\RENATO GUERRA  MIRANDA.doc</t>
  </si>
  <si>
    <t>C:\Users\franc\OneDrive\Documentos\MALENTIN KARIME\Rosa\BANCO  SCOTIABANK\ALZAMIENTOS\BORRADORES\Augusto Cortes Tapia[1]. marzo.doc</t>
  </si>
  <si>
    <t>C:\Users\franc\OneDrive\Documentos\MALENTIN KARIME\Rosa\BANCO  SCOTIABANK\ALZAMIENTOS\Renato  Guerra Miranda  t y a - mayo.doc</t>
  </si>
  <si>
    <t>C:\Users\franc\OneDrive\Documentos\MALENTIN KARIME\Rosa\BANCO  SCOTIABANK\ALZAMIENTOS\RAQUEL LOYOLA ROJAS.doc</t>
  </si>
  <si>
    <t>C:\Users\franc\OneDrive\Documentos\MALENTIN KARIME\Rosa\BANCO  SCOTIABANK\ALZAMIENTOS\RAQUEL LOYOLA ROJAS 2.doc</t>
  </si>
  <si>
    <t>C:\Users\franc\OneDrive\Documentos\MALENTIN KARIME\Rosa\BANCO  SCOTIABANK\ALZAMIENTOS\NORA VEGA.doc</t>
  </si>
  <si>
    <t>C:\Users\franc\OneDrive\Documentos\MALENTIN KARIME\Rosa\BANCO  SCOTIABANK\ALZAMIENTOS\MARIA.doc</t>
  </si>
  <si>
    <t>C:\Users\franc\OneDrive\Documentos\MALENTIN KARIME\Rosa\BANCO  SCOTIABANK\ALZAMIENTOS\Maria Plaza y Rosana Santibañez Zanforlín - mayo ALZAMIENTO.doc</t>
  </si>
  <si>
    <t>C:\Users\franc\OneDrive\Documentos\MALENTIN KARIME\Rosa\BANCO  SCOTIABANK\ALZAMIENTOS\JOSE AVELINO CONTRERAS PINILLA.doc</t>
  </si>
  <si>
    <t>C:\Users\franc\OneDrive\Documentos\MALENTIN KARIME\Rosa\BANCO  SCOTIABANK\ALZAMIENTOS\encabezado notario.doc</t>
  </si>
  <si>
    <t>C:\Users\franc\OneDrive\Documentos\MALENTIN KARIME\Rosa\BANCO  SCOTIABANK\ALZAMIENTOS\carlos Rojas.doc</t>
  </si>
  <si>
    <t>C:\Users\franc\OneDrive\Documentos\MALENTIN KARIME\Rosa\BANCO  SCOTIABANK\ALZAMIENTOS\BENJAMIN CORTES.doc</t>
  </si>
  <si>
    <t>C:\Users\franc\OneDrive\Documentos\MALENTIN KARIME\Rosa\BANCO  SCOTIABANK\ALZAMIENTOS\ALZAMIENTO HIPOTECA SONIA MADRID MONDACA.doc</t>
  </si>
  <si>
    <t>C:\Users\franc\OneDrive\Documentos\MALENTIN KARIME\Rosa\BANCO  SCOTIABANK\ALZAMIENTOS\ALZAMIENTO PRENDA BENJAMIN RIVERA.doc</t>
  </si>
  <si>
    <t>C:\Users\franc\OneDrive\Documentos\MALENTIN KARIME\Rosa\BANCO  SCOTIABANK\ALZAMIENTOS\ALZAMIENTO  PRENDA JUANA ROJAS.doc</t>
  </si>
  <si>
    <t>C:\Users\franc\OneDrive\Documentos\MALENTIN KARIME\Rosa\BANCO  SCOTIABANK\ALZAMIENTOS\ALZAMIENTO HIPOTECA JUANA ROJAS.doc</t>
  </si>
  <si>
    <t>C:\Users\franc\OneDrive\Documentos\MALENTIN KARIME\Rosa\BANCO  SCOTIABANK\ALZAMIENTOS\Alvaro González Marambio - mayo.doc</t>
  </si>
  <si>
    <t>C:\Users\franc\OneDrive\Documentos\MALENTIN KARIME\Rosa\BANCO  SCOTIABANK\ALZAMIENTOS\ALVARO GONZALEZ.doc</t>
  </si>
  <si>
    <t>C:\Users\franc\OneDrive\Documentos\MALENTIN KARIME\Rosa\BANCO  SCOTIABANK\MANDATO ILLAPIN.doc</t>
  </si>
  <si>
    <t>C:\Users\franc\OneDrive\Documentos\MALENTIN KARIME\Rosa\ASICOM\SEPTIEMBRE\PROTOCOLIZACIONES\CRISTIAN INOSTROZA ARAYA.doc</t>
  </si>
  <si>
    <t>C:\Users\franc\OneDrive\Documentos\MALENTIN KARIME\Rosa\ASICOM\RECTIFICACION ASICOM\VIOLETA GONZALEZ ROJAS\VIOLETA GONZALEZ ROJAS.doc</t>
  </si>
  <si>
    <t>C:\Users\franc\OneDrive\Documentos\MALENTIN KARIME\Rosa\ASICOM\RECTIFICACION ASICOM\VIOLETA GONZALEZ ROJAS\GONZALEZ_ROJAS_VIOLETA_ELENA[1].doc</t>
  </si>
  <si>
    <t>C:\Users\franc\OneDrive\Documentos\MALENTIN KARIME\Rosa\ASICOM\RECTIFICACION ASICOM\PAULA DUBO CORTES\PAULA DUBO CORTES.doc</t>
  </si>
  <si>
    <t>C:\Users\franc\OneDrive\Documentos\MALENTIN KARIME\Rosa\ASICOM\RECTIFICACION ASICOM\PAULA DUBO CORTES\DUBO_CORTES_PAULA_PATRICIA[1].doc</t>
  </si>
  <si>
    <t>C:\Users\franc\OneDrive\Documentos\MALENTIN KARIME\Rosa\ASICOM\RECTIFICACION ASICOM\MARIA NOVOA PALACIOS\MARIA NOVOA PALACIOS.doc</t>
  </si>
  <si>
    <t>C:\Users\franc\OneDrive\Documentos\MALENTIN KARIME\Rosa\ASICOM\RECTIFICACION ASICOM\MARIA NOVOA PALACIOS\NOVOA_PALACIOS_MARIA_GEMITA[1].doc</t>
  </si>
  <si>
    <t>C:\Users\franc\OneDrive\Documentos\MALENTIN KARIME\Rosa\ASICOM\RECTIFICACION ASICOM\CLADIA TAPIA MOROSO\CLAUDIA TAPIA MOROSO.doc</t>
  </si>
  <si>
    <t>C:\Users\franc\OneDrive\Documentos\MALENTIN KARIME\Rosa\ASICOM\RECTIFICACION ASICOM\CLADIA TAPIA MOROSO\TAPIA_MOROSO_CLAUDIA_RAQUEL[1].doc</t>
  </si>
  <si>
    <t>C:\Users\franc\OneDrive\Documentos\MALENTIN KARIME\Rosa\ASICOM\OCTUBRE\PROTOCOLIZACIONES\MIGUEL ROJAS CASTRO.doc</t>
  </si>
  <si>
    <t>C:\Users\franc\OneDrive\Documentos\MALENTIN KARIME\Rosa\ASICOM\OCTUBRE\PROTOCOLIZACIONES\MIGUEL RIVERA CORTES.doc</t>
  </si>
  <si>
    <t>C:\Users\franc\OneDrive\Documentos\MALENTIN KARIME\Rosa\ASICOM\OCTUBRE\PROTOCOLIZACIONES\CARMEN MONDACA CONTRERAS.doc</t>
  </si>
  <si>
    <t>C:\Users\franc\OneDrive\Documentos\MALENTIN KARIME\Rosa\ASICOM\MAYO\PROTOCOLIZACION MAYO\MONICA CORTES POR CLAUDIO T..doc</t>
  </si>
  <si>
    <t>C:\Users\franc\OneDrive\Documentos\MALENTIN KARIME\Rosa\ASICOM\MAYO\PROTOCOLIZACION MAYO\CHRISTIAN RIVERA CASTILLO.doc</t>
  </si>
  <si>
    <t>C:\Users\franc\OneDrive\Documentos\MALENTIN KARIME\Rosa\ASICOM\MARZO\PROTOCOLIZACION MARZO\SANDRA TELLO BUGUEÑO.doc</t>
  </si>
  <si>
    <t>C:\Users\franc\OneDrive\Documentos\MALENTIN KARIME\Rosa\ASICOM\MARZO\PROTOCOLIZACION MARZO\ROBERTO CASTILLO MARTIN.doc</t>
  </si>
  <si>
    <t>C:\Users\franc\OneDrive\Documentos\MALENTIN KARIME\Rosa\ASICOM\MARZO\PROTOCOLIZACION MARZO\ALONSO IBACACHE GARCIA.doc</t>
  </si>
  <si>
    <t>C:\Users\franc\OneDrive\Documentos\MALENTIN KARIME\Rosa\ASICOM\MARZO\PROTOCOLIZACION MARZO\ADRIANA RIVADENEIRA GALLARDO.doc</t>
  </si>
  <si>
    <t>C:\Users\franc\OneDrive\Documentos\MALENTIN KARIME\Rosa\ASICOM\JUNIO\PROTOCOLIZACIONES\ROXANA VALDIVIA ADAROS.doc</t>
  </si>
  <si>
    <t>C:\Users\franc\OneDrive\Documentos\MALENTIN KARIME\Rosa\ASICOM\JUNIO\PROTOCOLIZACIONES\PEDRO LOPEZ LOPEZ.doc</t>
  </si>
  <si>
    <t>C:\Users\franc\OneDrive\Documentos\MALENTIN KARIME\Rosa\ASICOM\JUNIO\PROTOCOLIZACIONES\FABIOLA PEREZ TORREJON.doc</t>
  </si>
  <si>
    <t>C:\Users\franc\OneDrive\Documentos\MALENTIN KARIME\Rosa\ASICOM\FEBRERO\PROTOCOLIZACION FEBRERO\VIOLETA GONZALEZ ROJAS.doc</t>
  </si>
  <si>
    <t>C:\Users\franc\OneDrive\Documentos\MALENTIN KARIME\Rosa\ASICOM\FEBRERO\PROTOCOLIZACION FEBRERO\PAULA DUBO CORTES.doc</t>
  </si>
  <si>
    <t>C:\Users\franc\OneDrive\Documentos\MALENTIN KARIME\Rosa\ASICOM\FEBRERO\PROTOCOLIZACION FEBRERO\PRISCILLA A. VALDIVIA GONZALEZ.doc</t>
  </si>
  <si>
    <t>C:\Users\franc\OneDrive\Documentos\MALENTIN KARIME\Rosa\ASICOM\FEBRERO\PROTOCOLIZACION FEBRERO\MARIA CACERES VILLEGAS.doc</t>
  </si>
  <si>
    <t>C:\Users\franc\OneDrive\Documentos\MALENTIN KARIME\Rosa\ASICOM\FEBRERO\PROTOCOLIZACION FEBRERO\LUISA LOURDES CORTES VALENZUELA.doc</t>
  </si>
  <si>
    <t>C:\Users\franc\OneDrive\Documentos\MALENTIN KARIME\Rosa\ASICOM\FEBRERO\PROTOCOLIZACION FEBRERO\CRISTIAN CARREÑO MUÑOZ.doc</t>
  </si>
  <si>
    <t>C:\Users\franc\OneDrive\Documentos\MALENTIN KARIME\Rosa\ASICOM\FEBRERO\PROTOCOLIZACION FEBRERO\CLAUDIA  RAQUEL TAPIA MOROSO.doc</t>
  </si>
  <si>
    <t>C:\Users\franc\OneDrive\Documentos\MALENTIN KARIME\Rosa\ASICOM\ENERO\PROTOCOLIZACION ENERO\PABLO TAUCARE MONDACA.doc</t>
  </si>
  <si>
    <t>C:\Users\franc\OneDrive\Documentos\MALENTIN KARIME\Rosa\ASICOM\ENERO\PROTOCOLIZACION ENERO\SANDRA JUICA CONTRERAS.doc</t>
  </si>
  <si>
    <t>C:\Users\franc\OneDrive\Documentos\MALENTIN KARIME\Rosa\ASICOM\ENERO\PROTOCOLIZACION ENERO\NANCY MARAMBIO OLIVARES.doc</t>
  </si>
  <si>
    <t>C:\Users\franc\OneDrive\Documentos\MALENTIN KARIME\Rosa\ASICOM\ENERO\PROTOCOLIZACION ENERO\MERY LILIANTT SANTANA DIAZ.doc</t>
  </si>
  <si>
    <t>C:\Users\franc\OneDrive\Documentos\MALENTIN KARIME\Rosa\ASICOM\ENERO\PROTOCOLIZACION ENERO\MARIA NOVOA PALACIOS.doc</t>
  </si>
  <si>
    <t>C:\Users\franc\OneDrive\Documentos\MALENTIN KARIME\Rosa\ASICOM\ENERO\PROTOCOLIZACION ENERO\MARGARITA SALAS ROJO.doc</t>
  </si>
  <si>
    <t>C:\Users\franc\OneDrive\Documentos\MALENTIN KARIME\Rosa\ASICOM\ENERO\PROTOCOLIZACION ENERO\JUAN DIAZ HERRERA.doc</t>
  </si>
  <si>
    <t>C:\Users\franc\OneDrive\Documentos\MALENTIN KARIME\Rosa\ASICOM\ENERO\PROTOCOLIZACION ENERO\INES SIERRALTA ARAYA.doc</t>
  </si>
  <si>
    <t>C:\Users\franc\OneDrive\Documentos\MALENTIN KARIME\Rosa\ASICOM\ENERO\PROTOCOLIZACION ENERO\CINDY CERDA MUÑOZ.doc</t>
  </si>
  <si>
    <t>C:\Users\franc\OneDrive\Documentos\MALENTIN KARIME\Rosa\ASICOM\DICIEMBRE\mario guerra cortes.doc</t>
  </si>
  <si>
    <t>C:\Users\franc\OneDrive\Documentos\MALENTIN KARIME\Rosa\ASICOM\CERTIFICACIONES\CERTIFICACION NOTARIO TITU..doc</t>
  </si>
  <si>
    <t>C:\Users\franc\OneDrive\Documentos\MALENTIN KARIME\Rosa\ASICOM\CARATULA SOBRE\SOBRE ASICOM.doc</t>
  </si>
  <si>
    <t>C:\Users\franc\OneDrive\Documentos\MALENTIN KARIME\Rosa\ASICOM\CERTIFICACIONES\CERTIFICACION NOTARIO SUPLENTE.doc</t>
  </si>
  <si>
    <t>C:\Users\franc\OneDrive\Documentos\MALENTIN KARIME\Rosa\ASICOM\CARATULA SOBRE\CARTA ENVIO SOBRE ASICOM.doc</t>
  </si>
  <si>
    <t>C:\Users\franc\OneDrive\Documentos\MALENTIN KARIME\Rosa\ASICOM\AGOSTO\PROTOCOLIZACIONES\GLORIA HERRERA JARA.doc</t>
  </si>
  <si>
    <t>C:\Users\franc\OneDrive\Documentos\MALENTIN KARIME\Rosa\ASICOM\AGOSTO\PROTOCOLIZACIONES\DANIEL VEGA.doc</t>
  </si>
  <si>
    <t>C:\Users\franc\OneDrive\Documentos\MALENTIN KARIME\Rosa\ASICOM\AGOSTO\PROTOCOLIZACIONES\CESAR SOLIS TAPIA.doc</t>
  </si>
  <si>
    <t>C:\Users\franc\OneDrive\Documentos\MALENTIN KARIME\Rosa\ASICOM\ABRIL\PROTOCOLIZACION ABRIL\ROSA RIVERA VIDELA.doc</t>
  </si>
  <si>
    <t>C:\Users\franc\OneDrive\Documentos\MALENTIN KARIME\Rosa\ASICOM\ABRIL\PROTOCOLIZACION ABRIL\SUSANA ALVAREZ MADRID.doc</t>
  </si>
  <si>
    <t>C:\Users\franc\OneDrive\Documentos\MALENTIN KARIME\Rosa\ASICOM\ABRIL\PROTOCOLIZACION ABRIL\PATRICIA OYANADEL CORVALAN.doc</t>
  </si>
  <si>
    <t>C:\Users\franc\OneDrive\Documentos\MALENTIN KARIME\Rosa\ASICOM\ABRIL\PROTOCOLIZACION ABRIL\MARILUZ BOLBARAN ANGEL.doc</t>
  </si>
  <si>
    <t>C:\Users\franc\OneDrive\Documentos\MALENTIN KARIME\Rosa\ASICOM\ABRIL\PROTOCOLIZACION ABRIL\GABRIELA ACUÑA LARA.doc</t>
  </si>
  <si>
    <t>C:\Users\franc\OneDrive\Documentos\MALENTIN KARIME\Rosa\ALZAMIENTOS PARTICULARES\ALZAMIENTO PRENDA MARCO ADAOS POZO.doc</t>
  </si>
  <si>
    <t>C:\Users\franc\OneDrive\Documentos\MALENTIN KARIME\Rosa\ADJUDICACION EN REMATE\ADJUDICACION EN REMATE 3 JUZGADO.doc</t>
  </si>
  <si>
    <t>C:\Users\franc\OneDrive\Documentos\MALENTIN KARIME\Rosa\SOCIEDAD CONSTRUCTORA QUILLAVE LTDA..doc</t>
  </si>
  <si>
    <t>C:\Users\franc\OneDrive\Documentos\MALENTIN KARIME\Rosa\mandato judicial  dsnilo ojeda.doc</t>
  </si>
  <si>
    <t>C:\Users\franc\OneDrive\Documentos\MALENTIN KARIME\Rosa\finiquito.doc</t>
  </si>
  <si>
    <t>C:\Users\franc\OneDrive\Documentos\MALENTIN KARIME\Rosa\encabezado notario 1.doc</t>
  </si>
  <si>
    <t>C:\Users\franc\OneDrive\Documentos\MALENTIN KARIME\ROBIN VALENZUELA ABOGADO\SERVICIOS I ASEO Sociedad.doc</t>
  </si>
  <si>
    <t>C:\Users\franc\OneDrive\Documentos\MALENTIN KARIME\ROBIN VALENZUELA ABOGADO\ROSA PIZARRO Andres Aguilera.doc</t>
  </si>
  <si>
    <t>C:\Users\franc\OneDrive\Documentos\MALENTIN KARIME\ROBIN VALENZUELA ABOGADO\FRANCISCO MAYO A Cristian Mayo Rectifcatoria resciliacionm.doc</t>
  </si>
  <si>
    <t>C:\Users\franc\OneDrive\Documentos\MALENTIN KARIME\ROBIN VALENZUELA ABOGADO\FRANCISCO MAYO A Cristian Mayo Rectifcatoria resciliacion final.doc</t>
  </si>
  <si>
    <t>C:\Users\franc\OneDrive\Documentos\MALENTIN KARIME\ROBERTO VEGA\SUCESION MIRANDA PEREZ.doc</t>
  </si>
  <si>
    <t>C:\Users\franc\OneDrive\Documentos\MALENTIN KARIME\ROBIN VALENZUELA ABOGADO\CARLOS LOBOS Andres Aguilera.doc</t>
  </si>
  <si>
    <t>C:\Users\franc\OneDrive\Documentos\MALENTIN KARIME\ROBERTO VEGA\ROBERTO Y CESAR VEGA A SERGIO CORTES.doc</t>
  </si>
  <si>
    <t>C:\Users\franc\OneDrive\Documentos\MALENTIN KARIME\ROBERTO VEGA\ROBERTO VEGA CAMPUSANO.doc</t>
  </si>
  <si>
    <t>C:\Users\franc\OneDrive\Documentos\MALENTIN KARIME\ROBERTO VEGA\ROBERTO VEGA CAMPUSANO  2 rectif.doc</t>
  </si>
  <si>
    <t>C:\Users\franc\OneDrive\Documentos\MALENTIN KARIME\ROBERTO VEGA\JUNTA VIGILANCIA RIO PALOMO Y AFLUENTES.doc</t>
  </si>
  <si>
    <t>C:\Users\franc\OneDrive\Documentos\MALENTIN KARIME\ROBERTO VEGA\CESION DERECHOS ALFALFARES DEFINITIVA RVC-1.doc</t>
  </si>
  <si>
    <t>C:\Users\franc\OneDrive\Documentos\MALENTIN KARIME\ROBERTO VEGA\EDITH YAÑEZ A CLAUDIA VIVAR.doc</t>
  </si>
  <si>
    <t>C:\Users\franc\OneDrive\Documentos\MALENTIN KARIME\ROBERTO VEGA\ANA MIRANDA A ROBERTO VEGA EIRL.doc</t>
  </si>
  <si>
    <t>C:\Users\franc\OneDrive\Documentos\MALENTIN KARIME\ROBERTO VEGA\ARMANDO ARAYA ARACENA A Roberto Vega Compraventa.doc</t>
  </si>
  <si>
    <t>C:\Users\franc\OneDrive\Documentos\MALENTIN KARIME\ROBERTO VEGA\ALFALFARES Y ROBERTO VEGA Arrendamiento Modif.doc</t>
  </si>
  <si>
    <t>C:\Users\franc\OneDrive\Documentos\MALENTIN KARIME\ROBERTO VEGA\AGRICOLA ALFALFARES Y FRUTICOLA COPIAPO dotacion.doc</t>
  </si>
  <si>
    <t>C:\Users\franc\OneDrive\Documentos\MALENTIN KARIME\ROBERTO VEGA\AGRICOLA ALFALFARES Rectifica ComplementaII.doc</t>
  </si>
  <si>
    <t>C:\Users\franc\OneDrive\Documentos\MALENTIN KARIME\ROBERTO VEGA\AGRICOLA ALFALFARES Complementa.doc</t>
  </si>
  <si>
    <t>C:\Users\franc\OneDrive\Documentos\MALENTIN KARIME\ROBERTO VEGA\adjudicacion 1.doc</t>
  </si>
  <si>
    <t>C:\Users\franc\OneDrive\Documentos\MALENTIN KARIME\RIO COPIAPO\PAGARE.doc</t>
  </si>
  <si>
    <t>C:\Users\franc\OneDrive\Documentos\MALENTIN KARIME\RIO COPIAPO\ALBERTO ALEGRIA ARAYA Prorroga y modificación Alegría.doc</t>
  </si>
  <si>
    <t>C:\Users\franc\OneDrive\Documentos\MALENTIN KARIME\REVOCA\2017\MERCEDES ROBLES RIVERA 2018.doc</t>
  </si>
  <si>
    <t>C:\Users\franc\OneDrive\Documentos\MALENTIN KARIME\REVOCA\2017\PATRICIA VALLEJOS ANDREU 2018 MJudicial.doc</t>
  </si>
  <si>
    <t>C:\Users\franc\OneDrive\Documentos\MALENTIN KARIME\REVOCA\2017\MANUEL SEGURA CORTES.doc</t>
  </si>
  <si>
    <t>C:\Users\franc\OneDrive\Documentos\MALENTIN KARIME\REVOCA\2017\MARITZA CORTES PARRAGUES.doc</t>
  </si>
  <si>
    <t>C:\Users\franc\OneDrive\Documentos\MALENTIN KARIME\REVOCA\2017\JUBILA CACERES.doc</t>
  </si>
  <si>
    <t>C:\Users\franc\OneDrive\Documentos\MALENTIN KARIME\REVOCA\2017\LUCILA HERRERA CORDOVA.doc</t>
  </si>
  <si>
    <t>C:\Users\franc\OneDrive\Documentos\MALENTIN KARIME\REVOCA\2017\IRIS MORENO CARES.doc</t>
  </si>
  <si>
    <t>C:\Users\franc\OneDrive\Documentos\MALENTIN KARIME\REVOCA\2017\ERIKA SAAVEDRA Junio 2017.doc</t>
  </si>
  <si>
    <t>C:\Users\franc\OneDrive\Documentos\MALENTIN KARIME\REVOCA\2017\DANIELLA MACCHIAVELLO Vender.doc</t>
  </si>
  <si>
    <t>C:\Users\franc\OneDrive\Documentos\MALENTIN KARIME\REVOCA\2017\COMUNIDAD LOS MAITENES A M RODRIGUEZ.doc</t>
  </si>
  <si>
    <t>C:\Users\franc\OneDrive\Documentos\MALENTIN KARIME\REVOCA\2017\COMSAT Rodrigo Jara 2018 revoca.doc</t>
  </si>
  <si>
    <t>C:\Users\franc\OneDrive\Documentos\MALENTIN KARIME\REVOCA\2016\VERGARA CAMPAÑA Negociacionr.doc</t>
  </si>
  <si>
    <t>C:\Users\franc\OneDrive\Documentos\MALENTIN KARIME\REVOCA\2017\ARTURO GARCIA ALBURQUENQUE.doc</t>
  </si>
  <si>
    <t>C:\Users\franc\OneDrive\Documentos\MALENTIN KARIME\REVOCA\2016\SOCIEDAD AGRICOLA MIALQUI.doc</t>
  </si>
  <si>
    <t>C:\Users\franc\OneDrive\Documentos\MALENTIN KARIME\REVOCA\2015\SARA SANDOVAL CUERVAS.doc</t>
  </si>
  <si>
    <t>C:\Users\franc\OneDrive\Documentos\MALENTIN KARIME\REVOCA\2016\LUIS MUÑOZ VENEGAS Vender.doc</t>
  </si>
  <si>
    <t>C:\Users\franc\OneDrive\Documentos\MALENTIN KARIME\REVOCA\VICTOR TAPIA ROJAS M Judicial.doc</t>
  </si>
  <si>
    <t>C:\Users\franc\OneDrive\Documentos\MALENTIN KARIME\REVOCA\2015\HECTOR TABILO Mjudicial.doc</t>
  </si>
  <si>
    <t>C:\Users\franc\OneDrive\Documentos\MALENTIN KARIME\REVOCA\SALVADOR CODOCEOM.Especial.doc</t>
  </si>
  <si>
    <t>C:\Users\franc\OneDrive\Documentos\MALENTIN KARIME\REVOCA\OSVALDO AGUILERA ARAYA.doc</t>
  </si>
  <si>
    <t>C:\Users\franc\OneDrive\Documentos\MALENTIN KARIME\REVOCA\ROCIO RAMIREZ YAGNAM.doc</t>
  </si>
  <si>
    <t>C:\Users\franc\OneDrive\Documentos\MALENTIN KARIME\REVOCA\OSCAR SOTO MALDONADO.doc</t>
  </si>
  <si>
    <t>C:\Users\franc\OneDrive\Documentos\MALENTIN KARIME\REVOCA\MAURICIO PEDREROS PERRY M General.doc</t>
  </si>
  <si>
    <t>C:\Users\franc\OneDrive\Documentos\MALENTIN KARIME\REVOCA\MARIA JULIETA BARRIOS Revoca.doc</t>
  </si>
  <si>
    <t>C:\Users\franc\OneDrive\Documentos\MALENTIN KARIME\REVOCA\MARJORIE CORTES ROJAS m.Especial.doc</t>
  </si>
  <si>
    <t>C:\Users\franc\OneDrive\Documentos\MALENTIN KARIME\REVOCA\MARGARITA VELIZ LEMUS.doc</t>
  </si>
  <si>
    <t>C:\Users\franc\OneDrive\Documentos\MALENTIN KARIME\REVOCA\MARGARITA VELIZ LEMUS 222.doc</t>
  </si>
  <si>
    <t>C:\Users\franc\OneDrive\Documentos\MALENTIN KARIME\REVOCA\MANUEL EDO SEGURA CORTES Revoca.doc</t>
  </si>
  <si>
    <t>C:\Users\franc\OneDrive\Documentos\MALENTIN KARIME\REVOCA\LUIS GUILLERMO TORREJON TORREJO M.Judicial.doc</t>
  </si>
  <si>
    <t>C:\Users\franc\OneDrive\Documentos\MALENTIN KARIME\REVOCA\LUIS GUILLERMO TORREJON TORREJO M.Judicial 2009.doc</t>
  </si>
  <si>
    <t>C:\Users\franc\OneDrive\Documentos\MALENTIN KARIME\REVOCA\LUIS DIAZ JOFRE M.Especial.doc</t>
  </si>
  <si>
    <t>C:\Users\franc\OneDrive\Documentos\MALENTIN KARIME\REVOCA\LAZO PEREZ Vender.doc</t>
  </si>
  <si>
    <t>C:\Users\franc\OneDrive\Documentos\MALENTIN KARIME\REVOCA\JUAN DURAND M.Judicial Empresa.doc</t>
  </si>
  <si>
    <t>C:\Users\franc\OneDrive\Documentos\MALENTIN KARIME\REVOCA\JUAN DURAND M.Judicial.doc</t>
  </si>
  <si>
    <t>C:\Users\franc\OneDrive\Documentos\MALENTIN KARIME\REVOCA\LAZO PEREZ Vender 2.doc</t>
  </si>
  <si>
    <t>C:\Users\franc\OneDrive\Documentos\MALENTIN KARIME\REVOCA\JUAN ADAOS JERALDO A Claudio Conejeros 2015.doc</t>
  </si>
  <si>
    <t>C:\Users\franc\OneDrive\Documentos\MALENTIN KARIME\REVOCA\GICELA ZEPEDA Revoca.doc</t>
  </si>
  <si>
    <t>C:\Users\franc\OneDrive\Documentos\MALENTIN KARIME\REVOCA\GLADYS LAZO.doc</t>
  </si>
  <si>
    <t>C:\Users\franc\OneDrive\Documentos\MALENTIN KARIME\REVOCA\FRESIA ARAYA SULANTAY Especial.doc</t>
  </si>
  <si>
    <t>C:\Users\franc\OneDrive\Documentos\MALENTIN KARIME\REVOCA\DELIA DIAZ GARATE revocacion.doc</t>
  </si>
  <si>
    <t>C:\Users\franc\OneDrive\Documentos\MALENTIN KARIME\REVOCA\FELIPE POBLETE.doc</t>
  </si>
  <si>
    <t>C:\Users\franc\OneDrive\Documentos\MALENTIN KARIME\REVOCA\ALFONSO ARTIGUES.doc</t>
  </si>
  <si>
    <t>C:\Users\franc\OneDrive\Documentos\MALENTIN KARIME\REVOCA\comunidad SALALA revoca.doc</t>
  </si>
  <si>
    <t>C:\Users\franc\OneDrive\Documentos\MALENTIN KARIME\REVOCA\AIDA DEL CARMEN LABARCA.doc</t>
  </si>
  <si>
    <t>C:\Users\franc\OneDrive\Documentos\MALENTIN KARIME\RESCILIACION\WALDEMAR CARVAJAL Y ROMELIO ROBLES.doc</t>
  </si>
  <si>
    <t>C:\Users\franc\OneDrive\Documentos\MALENTIN KARIME\RESCILIACION\VIVIANA ARAYA LOTE A-4.doc</t>
  </si>
  <si>
    <t>C:\Users\franc\OneDrive\Documentos\MALENTIN KARIME\RESCILIACION\VIVIANA ARAYA LOTE 6.doc</t>
  </si>
  <si>
    <t>C:\Users\franc\OneDrive\Documentos\MALENTIN KARIME\RESCILIACION\VIVIANA ARAYA LOTE 8.doc</t>
  </si>
  <si>
    <t>C:\Users\franc\OneDrive\Documentos\MALENTIN KARIME\RESCILIACION\SLM LA FORTUNA  A HECTOR LOPEZ Y OTROS.doc</t>
  </si>
  <si>
    <t>C:\Users\franc\OneDrive\Documentos\MALENTIN KARIME\RESCILIACION\S.L.M.LA FORTUNA Y Ramon Nuñez mineria.doc</t>
  </si>
  <si>
    <t>C:\Users\franc\OneDrive\Documentos\MALENTIN KARIME\RESCILIACION\NICOLAS AGUIRRE A MINERA LA UNION.doc</t>
  </si>
  <si>
    <t>C:\Users\franc\OneDrive\Documentos\MALENTIN KARIME\RESCILIACION\MOISES VEGA Y SILVANA VEGA 2017.doc</t>
  </si>
  <si>
    <t>C:\Users\franc\OneDrive\Documentos\MALENTIN KARIME\RESCILIACION\MARIA PIZARRO A Juan Pizarro  S Salfate.doc</t>
  </si>
  <si>
    <t>C:\Users\franc\OneDrive\Documentos\MALENTIN KARIME\RESCILIACION\MARTA GAMBOA CASANGA.doc</t>
  </si>
  <si>
    <t>C:\Users\franc\OneDrive\Documentos\MALENTIN KARIME\RESCILIACION\JUANA CARVAJAL CORTES resc prohib.doc</t>
  </si>
  <si>
    <t>C:\Users\franc\OneDrive\Documentos\MALENTIN KARIME\RESCILIACION\JUAN SANTELICES A Salvador Maya.doc</t>
  </si>
  <si>
    <t>C:\Users\franc\OneDrive\Documentos\MALENTIN KARIME\RESCILIACION\JUAN SANTELICES A Eduardo Castillo.doc</t>
  </si>
  <si>
    <t>C:\Users\franc\OneDrive\Documentos\MALENTIN KARIME\RESCILIACION\JUAN SANTELICES A HECTOR ELGUEDA.doc</t>
  </si>
  <si>
    <t>C:\Users\franc\OneDrive\Documentos\MALENTIN KARIME\RESCILIACION\JOSE MUNIZAGA servidumbre.doc</t>
  </si>
  <si>
    <t>C:\Users\franc\OneDrive\Documentos\MALENTIN KARIME\RESCILIACION\GABRIEL VELIZ PIZARRO CVTA.doc</t>
  </si>
  <si>
    <t>C:\Users\franc\OneDrive\Documentos\MALENTIN KARIME\RESCILIACION\FREDDY ZAMORA Y PROGRESO  S.A. 23 10.doc</t>
  </si>
  <si>
    <t>C:\Users\franc\OneDrive\Documentos\MALENTIN KARIME\RESCILIACION\FREDDY ZAMORA Y PROGRESO  S.A. 13 02.doc</t>
  </si>
  <si>
    <t>C:\Users\franc\OneDrive\Documentos\MALENTIN KARIME\RESCILIACION\ESTER ARAYA Y Leyla Lopez Resc.doc</t>
  </si>
  <si>
    <t>C:\Users\franc\OneDrive\Documentos\MALENTIN KARIME\RESCILIACION\ERNESTINA CASTILLO Y PIA ARIAS venta.doc</t>
  </si>
  <si>
    <t>C:\Users\franc\OneDrive\Documentos\MALENTIN KARIME\RESCILIACION\comunidad LAS DAMAS.doc</t>
  </si>
  <si>
    <t>C:\Users\franc\OneDrive\Documentos\MALENTIN KARIME\RESCILIACION\Clemente Fuentealba a NANCY MERCADO.doc</t>
  </si>
  <si>
    <t>C:\Users\franc\OneDrive\Documentos\MALENTIN KARIME\RESCILIACION\COMUNIDAD AGRICOLA LA COIPA A Uberlinda Labarca.doc</t>
  </si>
  <si>
    <t>C:\Users\franc\OneDrive\Documentos\MALENTIN KARIME\RESCILIACION\CARLOS CARVAJAL RODRIGUEZ lote 12.doc</t>
  </si>
  <si>
    <t>C:\Users\franc\OneDrive\Documentos\MALENTIN KARIME\RESCILIACION\CARLOS CARVAJAL RODRIGUEZ.doc</t>
  </si>
  <si>
    <t>C:\Users\franc\OneDrive\Documentos\MALENTIN KARIME\RESCILIACION\ANGELO TATAN.doc</t>
  </si>
  <si>
    <t>C:\Users\franc\OneDrive\Documentos\MALENTIN KARIME\RESCILIACION\ARMANDO RODRIGUEZ G A Minera Lomas Altas MINUTA.doc</t>
  </si>
  <si>
    <t>C:\Users\franc\OneDrive\Documentos\MALENTIN KARIME\REPUDIO\RICARDO HERNANDEZ.doc</t>
  </si>
  <si>
    <t>C:\Users\franc\OneDrive\Documentos\MALENTIN KARIME\RESCILIACION\ALFONSO MONTENEGRO  Y JOSE MUNIZAGA.doc</t>
  </si>
  <si>
    <t>C:\Users\franc\OneDrive\Documentos\MALENTIN KARIME\REPUDIO\JAVIERA CATRILAF 2017.doc</t>
  </si>
  <si>
    <t>C:\Users\franc\OneDrive\Documentos\MALENTIN KARIME\REPUDIO\KATHERINE ARDILES.doc</t>
  </si>
  <si>
    <t>C:\Users\franc\OneDrive\Documentos\MALENTIN KARIME\REPUDIO\FELIX ARAYA ADONES.doc</t>
  </si>
  <si>
    <t>C:\Users\franc\OneDrive\Documentos\MALENTIN KARIME\REPUDIO\EDWARD PORTILLA GUERRERO.doc</t>
  </si>
  <si>
    <t>C:\Users\franc\OneDrive\Documentos\MALENTIN KARIME\REPUDIO\DIEGO PASTEN.doc</t>
  </si>
  <si>
    <t>C:\Users\franc\OneDrive\Documentos\MALENTIN KARIME\REPUDIO\DAFNE OLIVARES 2017.doc</t>
  </si>
  <si>
    <t>C:\Users\franc\OneDrive\Documentos\MALENTIN KARIME\REPUDIO\CLAUDIA ARAYA DIAZ 2017.doc</t>
  </si>
  <si>
    <t>C:\Users\franc\OneDrive\Documentos\MALENTIN KARIME\REPUDIO\ALAN OLGUIN.doc</t>
  </si>
  <si>
    <t>C:\Users\franc\OneDrive\Documentos\MALENTIN KARIME\RENUNCIA GANANCIAL\NIRMA OLIVARES VALENCIA.doc</t>
  </si>
  <si>
    <t>C:\Users\franc\OneDrive\Documentos\MALENTIN KARIME\RENUNCIA GANANCIAL\IRIS GONZALEZ VALENZUELA Minuta.doc</t>
  </si>
  <si>
    <t>C:\Users\franc\OneDrive\Documentos\MALENTIN KARIME\RENUNCIA GANANCIAL\AILSA VILLEGAS EGAÑA.doc</t>
  </si>
  <si>
    <t>C:\Users\franc\OneDrive\Documentos\MALENTIN KARIME\REMATE\RECTIFICACION\2017\TERESA CASTRO rect.doc</t>
  </si>
  <si>
    <t>C:\Users\franc\OneDrive\Documentos\MALENTIN KARIME\REMATE\RECTIFICACION\2017\LUCY CASTILLO TELLO 2017 derecho uso.doc</t>
  </si>
  <si>
    <t>C:\Users\franc\OneDrive\Documentos\MALENTIN KARIME\REMATE\RECTIFICACION\2017\GONZALO SEPULVEDA 2018.doc</t>
  </si>
  <si>
    <t>C:\Users\franc\OneDrive\Documentos\MALENTIN KARIME\REMATE\RECTIFICACION\2017\JORGE ALLENDE.doc</t>
  </si>
  <si>
    <t>C:\Users\franc\OneDrive\Documentos\MALENTIN KARIME\REMATE\RECTIFICACION\2017\GABRIEL RODRIGUEZ nube de gloria.doc</t>
  </si>
  <si>
    <t>C:\Users\franc\OneDrive\Documentos\MALENTIN KARIME\REMATE\RECTIFICACION\2017\BRENDA GUZMAN VASQUEZ Apellido.doc</t>
  </si>
  <si>
    <t>C:\Users\franc\OneDrive\Documentos\MALENTIN KARIME\REMATE\RECTIFICACION\2016\YESSICA CASTILLO.doc</t>
  </si>
  <si>
    <t>C:\Users\franc\OneDrive\Documentos\MALENTIN KARIME\REMATE\RECTIFICACION\2016\SUSANA DIAZ ASTUDILLO rectificacion 2016.doc</t>
  </si>
  <si>
    <t>C:\Users\franc\OneDrive\Documentos\MALENTIN KARIME\REMATE\RECTIFICACION\2016\LUISA ARAYA A Luis Gahona.doc</t>
  </si>
  <si>
    <t>C:\Users\franc\OneDrive\Documentos\MALENTIN KARIME\REMATE\RECTIFICACION\2016\CLAUDIO ARDILES.doc</t>
  </si>
  <si>
    <t>C:\Users\franc\OneDrive\Documentos\MALENTIN KARIME\REMATE\RECTIFICACION\SUSANA DIAZ ASTUDILLO rectificacion 2016.doc</t>
  </si>
  <si>
    <t>C:\Users\franc\OneDrive\Documentos\MALENTIN KARIME\REMATE\RECTIFICACION\ROSALIA QUISPE  Rut.doc</t>
  </si>
  <si>
    <t>C:\Users\franc\OneDrive\Documentos\MALENTIN KARIME\REMATE\RECTIFICACION\SERGIO SALFATE ARAYA.doc</t>
  </si>
  <si>
    <t>C:\Users\franc\OneDrive\Documentos\MALENTIN KARIME\REMATE\RECTIFICACION\RIO CLARO Minuta.doc</t>
  </si>
  <si>
    <t>C:\Users\franc\OneDrive\Documentos\MALENTIN KARIME\REMATE\RECTIFICACION\RICARDO ARAYA Rect.doc</t>
  </si>
  <si>
    <t>C:\Users\franc\OneDrive\Documentos\MALENTIN KARIME\REMATE\RECTIFICACION\RIO CLARO Minuta Extracto.doc</t>
  </si>
  <si>
    <t>C:\Users\franc\OneDrive\Documentos\MALENTIN KARIME\REMATE\RECTIFICACION\NIVALDO VEAS CORTES Deslindes.doc</t>
  </si>
  <si>
    <t>C:\Users\franc\OneDrive\Documentos\MALENTIN KARIME\REMATE\RECTIFICACION\RECTIFICA.doc</t>
  </si>
  <si>
    <t>C:\Users\franc\OneDrive\Documentos\MALENTIN KARIME\REMATE\RECTIFICACION\RICARDO ARAYA Rect 2.doc</t>
  </si>
  <si>
    <t>C:\Users\franc\OneDrive\Documentos\MALENTIN KARIME\REMATE\RECTIFICACION\MELDA BAEZA estado civil.doc</t>
  </si>
  <si>
    <t>C:\Users\franc\OneDrive\Documentos\MALENTIN KARIME\REMATE\RECTIFICACION\NATANIEL ARANCIBIA ZAPATA.doc</t>
  </si>
  <si>
    <t>C:\Users\franc\OneDrive\Documentos\MALENTIN KARIME\REMATE\RECTIFICACION\MARITZA RETAMAL.doc</t>
  </si>
  <si>
    <t>C:\Users\franc\OneDrive\Documentos\MALENTIN KARIME\REMATE\RECTIFICACION\MARIA ARAYA BRAVO A Ernesto Angel.doc</t>
  </si>
  <si>
    <t>C:\Users\franc\OneDrive\Documentos\MALENTIN KARIME\REMATE\RECTIFICACION\MARIA ARAYA ELORZA Serviu.doc</t>
  </si>
  <si>
    <t>C:\Users\franc\OneDrive\Documentos\MALENTIN KARIME\REMATE\RECTIFICACION\MARIO ALFARO GUTIERREZ.doc</t>
  </si>
  <si>
    <t>C:\Users\franc\OneDrive\Documentos\MALENTIN KARIME\REMATE\RECTIFICACION\MALVINA CORTES ASTUDILLO Rectif.doc</t>
  </si>
  <si>
    <t>C:\Users\franc\OneDrive\Documentos\MALENTIN KARIME\REMATE\RECTIFICACION\LEONARDO ROJAS A. Desafectación.doc</t>
  </si>
  <si>
    <t>C:\Users\franc\OneDrive\Documentos\MALENTIN KARIME\REMATE\RECTIFICACION\MALVINA CORTES ASTUDILLO Rectif sola.doc</t>
  </si>
  <si>
    <t>C:\Users\franc\OneDrive\Documentos\MALENTIN KARIME\REMATE\RECTIFICACION\JORGE DIAZ RUBINA.doc</t>
  </si>
  <si>
    <t>C:\Users\franc\OneDrive\Documentos\MALENTIN KARIME\REMATE\RECTIFICACION\las NIETAS.doc</t>
  </si>
  <si>
    <t>C:\Users\franc\OneDrive\Documentos\MALENTIN KARIME\REMATE\RECTIFICACION\JIMMY LARA JULIO Rectificacion.doc</t>
  </si>
  <si>
    <t>C:\Users\franc\OneDrive\Documentos\MALENTIN KARIME\REMATE\RECTIFICACION\HUGO SANTANDER.doc</t>
  </si>
  <si>
    <t>C:\Users\franc\OneDrive\Documentos\MALENTIN KARIME\REMATE\RECTIFICACION\IVANJA ROSA DIAZ RUBINA.doc</t>
  </si>
  <si>
    <t>C:\Users\franc\OneDrive\Documentos\MALENTIN KARIME\REMATE\RECTIFICACION\GUIDO IBACACHE ROJAS.doc</t>
  </si>
  <si>
    <t>C:\Users\franc\OneDrive\Documentos\MALENTIN KARIME\REMATE\RECTIFICACION\FELIX SAEZ Rect.doc</t>
  </si>
  <si>
    <t>C:\Users\franc\OneDrive\Documentos\MALENTIN KARIME\REMATE\RECTIFICACION\CRISTIAN CLAVERIA Y Juan Godoy Sole Farr.doc</t>
  </si>
  <si>
    <t>C:\Users\franc\OneDrive\Documentos\MALENTIN KARIME\REMATE\RECTIFICACION\ELENA RIVERA ROJAS A NANCY MERCADO Conyuge Administrador.doc</t>
  </si>
  <si>
    <t>C:\Users\franc\OneDrive\Documentos\MALENTIN KARIME\REMATE\RECTIFICACION\carlos adaos.doc</t>
  </si>
  <si>
    <t>C:\Users\franc\OneDrive\Documentos\MALENTIN KARIME\REMATE\RECTIFICACION\ASIMYA A ANA VALDERRAMAÇ.doc</t>
  </si>
  <si>
    <t>C:\Users\franc\OneDrive\Documentos\MALENTIN KARIME\REMATE\RECTIFICACION\AGRICOLA LAS NIETAS Rectif.doc</t>
  </si>
  <si>
    <t>C:\Users\franc\OneDrive\Documentos\MALENTIN KARIME\REMATE\RECTIFICACION\AGRICOLA ALFALFARES Y E.I.R.L.doc</t>
  </si>
  <si>
    <t>C:\Users\franc\OneDrive\Documentos\MALENTIN KARIME\REMATE\2021\JUAN CARLOS INZUNZA SOTO remate.doc</t>
  </si>
  <si>
    <t>C:\Users\franc\OneDrive\Documentos\MALENTIN KARIME\REMATE\YANETT TABILO TABILO  Cristian Vega.doc</t>
  </si>
  <si>
    <t>C:\Users\franc\OneDrive\Documentos\MALENTIN KARIME\REMATE\YANETT TABILO TABILO  Cristian Vega NOT TITULAR.doc</t>
  </si>
  <si>
    <t>C:\Users\franc\OneDrive\Documentos\MALENTIN KARIME\REMATE\SAMUEL VILLARROEL LOPEZ Minuta Patty Alfaro.doc</t>
  </si>
  <si>
    <t>C:\Users\franc\OneDrive\Documentos\MALENTIN KARIME\REMATE\SAMUEL VILLARROEL LOPEZ  2017  Primer Juzgado.doc</t>
  </si>
  <si>
    <t>C:\Users\franc\OneDrive\Documentos\MALENTIN KARIME\REMATE\PATRICIA IÑIGUEZ CERDA remate la serena.doc</t>
  </si>
  <si>
    <t>C:\Users\franc\OneDrive\Documentos\MALENTIN KARIME\REMATE\PATRICIA IÑIGUEZ CERDA CORRECCIONESremate la serena.doc</t>
  </si>
  <si>
    <t>C:\Users\franc\OneDrive\Documentos\MALENTIN KARIME\REMATE\ORIEL LEON GALLARDO P Alfaro.doc</t>
  </si>
  <si>
    <t>C:\Users\franc\OneDrive\Documentos\MALENTIN KARIME\REMATE\CARLOS ASTUDILLO Y FLORENCIO ARAYA RVega.doc</t>
  </si>
  <si>
    <t>C:\Users\franc\OneDrive\Documentos\MALENTIN KARIME\REDUCCIONES\CANAL TAMELCURA\JUNTA 31 Mayo final.doc</t>
  </si>
  <si>
    <t>C:\Users\franc\OneDrive\Documentos\MALENTIN KARIME\REDUCCIONES\CANAL TAMELCURA\COMUNIDAD DE AGUAS CANAL TAMELCURA JUNTA 31 Mayo.doc</t>
  </si>
  <si>
    <t>C:\Users\franc\OneDrive\Documentos\MALENTIN KARIME\REDUCCIONES\CANAL TAMELCURA\COMUNIDAD DE AGUAS CANAL TAMELCURA Sesion 31 Mayo.doc</t>
  </si>
  <si>
    <t>C:\Users\franc\OneDrive\Documentos\MALENTIN KARIME\REDUCCIONES\CANAL TAMELCURA\COMUNIDAD DE AGUAS CANAL TAMELCURA JUNTA 31 Mayo final.doc</t>
  </si>
  <si>
    <t>C:\Users\franc\OneDrive\Documentos\MALENTIN KARIME\REDUCCIONES\2021\PERMISO DE EDIFICACION 672 ROSALIA IRIARTE.doc</t>
  </si>
  <si>
    <t>C:\Users\franc\OneDrive\Documentos\MALENTIN KARIME\REDUCCIONES\2021\PERMISO DE EDIFICACION 356 JUAN BARRAZA VICENCIO.doc</t>
  </si>
  <si>
    <t>C:\Users\franc\OneDrive\Documentos\MALENTIN KARIME\REDUCCIONES\2021\PERMISO DE EDIFICACION 2  IIGLADYS BORQUEZ.doc</t>
  </si>
  <si>
    <t>C:\Users\franc\OneDrive\Documentos\MALENTIN KARIME\REDUCCIONES\2018\PERMISO DE EDIFICACION Monte Patria.doc</t>
  </si>
  <si>
    <t>C:\Users\franc\OneDrive\Documentos\MALENTIN KARIME\REDUCCIONES\2021\DANIEL BAHAMONDES Y ANA ARAYA sentencia divorcio.doc</t>
  </si>
  <si>
    <t>C:\Users\franc\OneDrive\Documentos\MALENTIN KARIME\REDUCCIONES\2018\DECO ARTE CASTILLO SPA.doc</t>
  </si>
  <si>
    <t>C:\Users\franc\OneDrive\Documentos\MALENTIN KARIME\REDUCCIONES\2018\PERMISO DE EDIFICACION 548 SERVIU.doc</t>
  </si>
  <si>
    <t>C:\Users\franc\OneDrive\Documentos\MALENTIN KARIME\REDUCCIONES\2018\COMUNIDAD DE AGUAS CANAL BARRAZA BAJO.doc</t>
  </si>
  <si>
    <t>C:\Users\franc\OneDrive\Documentos\MALENTIN KARIME\REDUCCIONES\2018\COMUNIDAD CANAL MONTE PATRIA.doc</t>
  </si>
  <si>
    <t>C:\Users\franc\OneDrive\Documentos\MALENTIN KARIME\REDUCCIONES\2018\CLUB DE LEONES DE OVALLE.doc</t>
  </si>
  <si>
    <t>C:\Users\franc\OneDrive\Documentos\MALENTIN KARIME\REDUCCIONES\2018\CANAL ISLONES.doc</t>
  </si>
  <si>
    <t>C:\Users\franc\OneDrive\Documentos\MALENTIN KARIME\REDUCCIONES\2018\CANAL ISLA DE VEGA jorge allende.doc</t>
  </si>
  <si>
    <t>C:\Users\franc\OneDrive\Documentos\MALENTIN KARIME\REDUCCIONES\2018\CANAL ISLA DE VEGA jorge allende cambio de magistrado.doc</t>
  </si>
  <si>
    <t>C:\Users\franc\OneDrive\Documentos\MALENTIN KARIME\REDUCCIONES\2018\ACTA PROTOCOLIZACION 2018-2019 HOGAR (1).docx</t>
  </si>
  <si>
    <t>C:\Users\franc\OneDrive\Documentos\MALENTIN KARIME\REDUCCIONES\2017\COMUNIDAD SALALA.doc</t>
  </si>
  <si>
    <t>C:\Users\franc\OneDrive\Documentos\MALENTIN KARIME\REDUCCIONES\2017\Doble MACTA REUNION DIRECTORIO 2017.doc</t>
  </si>
  <si>
    <t>C:\Users\franc\OneDrive\Documentos\MALENTIN KARIME\REDUCCIONES\2017\COMUNIDAD SALALA 01 JULIO.doc</t>
  </si>
  <si>
    <t>C:\Users\franc\OneDrive\Documentos\MALENTIN KARIME\REDUCCIONES\2017\COMUNIDAD CANAL EL BUITRE 7 de Noviermbre de 2017.doc</t>
  </si>
  <si>
    <t>C:\Users\franc\OneDrive\Documentos\MALENTIN KARIME\REDUCCIONES\2017\CLUB DE LEONES DE OVALLE.doc</t>
  </si>
  <si>
    <t>C:\Users\franc\OneDrive\Documentos\MALENTIN KARIME\REDUCCIONES\2017\AMABLE ROJAS Y CARLOS ARAYA Indap.doc</t>
  </si>
  <si>
    <t>C:\Users\franc\OneDrive\Documentos\MALENTIN KARIME\REDUCCIONES\2017\AGROMILENIO 28 NOV 2017.doc</t>
  </si>
  <si>
    <t>C:\Users\franc\OneDrive\Documentos\MALENTIN KARIME\REDUCCIONES\2017\AGROMILENIO 18 NOV 2017.doc</t>
  </si>
  <si>
    <t>C:\Users\franc\OneDrive\Documentos\MALENTIN KARIME\REDUCCIONES\2016\SOC. VERANEO BRISA MARINA 12 DICIEMBRE.doc</t>
  </si>
  <si>
    <t>C:\Users\franc\OneDrive\Documentos\MALENTIN KARIME\REDUCCIONES\2016\SOC. EXPORT RIO RAPEL 09 Dic.doc</t>
  </si>
  <si>
    <t>C:\Users\franc\OneDrive\Documentos\MALENTIN KARIME\REDUCCIONES\2016\SOC. EXPORT RIO RAPEL 10 FEBRERO.doc</t>
  </si>
  <si>
    <t>C:\Users\franc\OneDrive\Documentos\MALENTIN KARIME\REDUCCIONES\2016\SOC. EXPORT RIO RAPEL 09 Dic OFICINA.doc</t>
  </si>
  <si>
    <t>C:\Users\franc\OneDrive\Documentos\MALENTIN KARIME\REDUCCIONES\2016\SOC. EXPORT RIO RAPEL 08 ENERO.doc</t>
  </si>
  <si>
    <t>C:\Users\franc\OneDrive\Documentos\MALENTIN KARIME\REDUCCIONES\2016\RESOLUCION Nº 5064 DGA.doc</t>
  </si>
  <si>
    <t>C:\Users\franc\OneDrive\Documentos\MALENTIN KARIME\REDUCCIONES\2016\INMOBILIARIA LOS ANDES 3  CON EXRACTO.doc</t>
  </si>
  <si>
    <t>C:\Users\franc\OneDrive\Documentos\MALENTIN KARIME\REDUCCIONES\2016\INMOBILIARIA LOS ANDES 3  CON EXRACTO Adolfo Lay.doc</t>
  </si>
  <si>
    <t>C:\Users\franc\OneDrive\Documentos\MALENTIN KARIME\REDUCCIONES\2016\INMOBILIARIA LOS ANDES 2.doc</t>
  </si>
  <si>
    <t>C:\Users\franc\OneDrive\Documentos\MALENTIN KARIME\REDUCCIONES\2016\CLUB DE LEONES Conservador.doc</t>
  </si>
  <si>
    <t>C:\Users\franc\OneDrive\Documentos\MALENTIN KARIME\REDUCCIONES\2016\CLUB DE LEONES.doc</t>
  </si>
  <si>
    <t>C:\Users\franc\OneDrive\Documentos\MALENTIN KARIME\REDUCCIONES\2016\CLUB AEREO DE OVALLE FS 101.doc</t>
  </si>
  <si>
    <t>C:\Users\franc\OneDrive\Documentos\MALENTIN KARIME\REDUCCIONES\2016\ACTA LOS ANDES 15 FEBR 2016.doc</t>
  </si>
  <si>
    <t>C:\Users\franc\OneDrive\Documentos\MALENTIN KARIME\REDUCCIONES\2016\ACTA DE JUNTA EXTRAORDINARIA ANTE NOTARIO 15 febrero.doc</t>
  </si>
  <si>
    <t>C:\Users\franc\OneDrive\Documentos\MALENTIN KARIME\REDUCCIONES\2015\RESOLUCION Nº 1218 DGA.doc</t>
  </si>
  <si>
    <t>C:\Users\franc\OneDrive\Documentos\MALENTIN KARIME\REDUCCIONES\2015\RESOLUCION Nº 1217 DGA.doc</t>
  </si>
  <si>
    <t>C:\Users\franc\OneDrive\Documentos\MALENTIN KARIME\REDUCCIONES\2015\REGLAMENTO EL ATARDECER.doc</t>
  </si>
  <si>
    <t>C:\Users\franc\OneDrive\Documentos\MALENTIN KARIME\REDUCCIONES\2015\PERMISO DE EDIFICACION 241 GLADYS RIVERAdoc.doc</t>
  </si>
  <si>
    <t>C:\Users\franc\OneDrive\Documentos\MALENTIN KARIME\REDUCCIONES\2015\O.N.G. DESARROLLO ETNICO.doc</t>
  </si>
  <si>
    <t>C:\Users\franc\OneDrive\Documentos\MALENTIN KARIME\REDUCCIONES\2015\LOS ARRAYANES S.A..doc</t>
  </si>
  <si>
    <t>C:\Users\franc\OneDrive\Documentos\MALENTIN KARIME\REDUCCIONES\2015\INMOBILIARIA LOS ANDRES.doc</t>
  </si>
  <si>
    <t>C:\Users\franc\OneDrive\Documentos\MALENTIN KARIME\REDUCCIONES\2015\INMOBILIARIA DOBLE M.doc</t>
  </si>
  <si>
    <t>C:\Users\franc\OneDrive\Documentos\MALENTIN KARIME\REDUCCIONES\2015\INMOBILIARIA DOBLE M 20 Septbre.doc</t>
  </si>
  <si>
    <t>C:\Users\franc\OneDrive\Documentos\MALENTIN KARIME\REDUCCIONES\2015\INMOBILIARIA BOZO A SOSTENEDORA SANTA TERESA.doc</t>
  </si>
  <si>
    <t>C:\Users\franc\OneDrive\Documentos\MALENTIN KARIME\REDUCCIONES\2015\CERRO CAMPANARIO Spa.docx</t>
  </si>
  <si>
    <t>C:\Users\franc\OneDrive\Documentos\MALENTIN KARIME\REDUCCIONES\2015\cerro campanario spa.doc</t>
  </si>
  <si>
    <t>C:\Users\franc\OneDrive\Documentos\MALENTIN KARIME\REDUCCIONES\2015\CANAL ARENALITO ACTA 15 DE MAYO 2015.doc</t>
  </si>
  <si>
    <t>C:\Users\franc\OneDrive\Documentos\MALENTIN KARIME\REDUCCIONES\2015\ARRENDAMIENTO.doc</t>
  </si>
  <si>
    <t>C:\Users\franc\OneDrive\Documentos\MALENTIN KARIME\REDUCCIONES\2015\AGROCOMERCIAL AGROMILENIO 28 NOV.doc</t>
  </si>
  <si>
    <t>C:\Users\franc\OneDrive\Documentos\MALENTIN KARIME\REDUCCIONES\2015\AGROCOMERCIAL AGROMILENIO 21 NOV.doc</t>
  </si>
  <si>
    <t>C:\Users\franc\OneDrive\Documentos\MALENTIN KARIME\REDUCCIONES\SOPPUEX 24 abril 12.doc</t>
  </si>
  <si>
    <t>C:\Users\franc\OneDrive\Documentos\MALENTIN KARIME\REDUCCIONES\SOPPUEX.doc</t>
  </si>
  <si>
    <t>C:\Users\franc\OneDrive\Documentos\MALENTIN KARIME\REDUCCIONES\RECOLETA DOS 2.doc</t>
  </si>
  <si>
    <t>C:\Users\franc\OneDrive\Documentos\MALENTIN KARIME\REDUCCIONES\LAS TOTORAS S.A. Dos 2.doc</t>
  </si>
  <si>
    <t>C:\Users\franc\OneDrive\Documentos\MALENTIN KARIME\REDUCCIONES\PERMISO DE EDIFICACION 233.doc</t>
  </si>
  <si>
    <t>C:\Users\franc\OneDrive\Documentos\MALENTIN KARIME\REDUCCIONES\LAS TOTORAS S.A. 1.doc</t>
  </si>
  <si>
    <t>C:\Users\franc\OneDrive\Documentos\MALENTIN KARIME\REDUCCIONES\Jta.Gral.2011.doc</t>
  </si>
  <si>
    <t>C:\Users\franc\OneDrive\Documentos\MALENTIN KARIME\REDUCCIONES\JUNTA GENERAL S.A. Comercial Amagdis.doc</t>
  </si>
  <si>
    <t>C:\Users\franc\OneDrive\Documentos\MALENTIN KARIME\REDUCCIONES\INMOBILIARAIA NORTE VERDE  Sesion de directorio.doc</t>
  </si>
  <si>
    <t>C:\Users\franc\OneDrive\Documentos\MALENTIN KARIME\REDUCCIONES\INMOBILIARAIA NORTE VERDE  Segunda Junta Extr.doc</t>
  </si>
  <si>
    <t>C:\Users\franc\OneDrive\Documentos\MALENTIN KARIME\REDUCCIONES\DOBLE M.doc</t>
  </si>
  <si>
    <t>C:\Users\franc\OneDrive\Documentos\MALENTIN KARIME\REDUCCIONES\DOBLE M Abril.doc</t>
  </si>
  <si>
    <t>C:\Users\franc\OneDrive\Documentos\MALENTIN KARIME\REDUCCIONES\COMUNIDAD DE AGUAS CANAL TAMELCURA.doc</t>
  </si>
  <si>
    <t>C:\Users\franc\OneDrive\Documentos\MALENTIN KARIME\REDUCCIONES\contador FRUTOS.doc</t>
  </si>
  <si>
    <t>C:\Users\franc\OneDrive\Documentos\MALENTIN KARIME\REDUCCIONES\COMUNIDAD DE AGUAS CANAL TAMELCURA Sesion de Directorio.doc</t>
  </si>
  <si>
    <t>C:\Users\franc\OneDrive\Documentos\MALENTIN KARIME\REDUCCIONES\COMERCIAL AMAGDIS  sesion direc.doc</t>
  </si>
  <si>
    <t>C:\Users\franc\OneDrive\Documentos\MALENTIN KARIME\REDUCCIONES\COMERCIAL AMAGDIS  junta gral.doc</t>
  </si>
  <si>
    <t>C:\Users\franc\OneDrive\Documentos\MALENTIN KARIME\REDUCCIONES\CLUB AEREO DE OVALLE 2.doc</t>
  </si>
  <si>
    <t>C:\Users\franc\OneDrive\Documentos\MALENTIN KARIME\REDUCCIONES\CLUB AEREO DE OVALLE 1.doc</t>
  </si>
  <si>
    <t>C:\Users\franc\OneDrive\Documentos\MALENTIN KARIME\REDUCCIONES\canal PALQUI MAURAT SEMITA.doc</t>
  </si>
  <si>
    <t>C:\Users\franc\OneDrive\Documentos\MALENTIN KARIME\REDUCCIONES\CANAL PALQUI MAURAT SEMITA Reunión de Directorio.doc</t>
  </si>
  <si>
    <t>C:\Users\franc\OneDrive\Documentos\MALENTIN KARIME\REDUCCIONES\canal PALQUI MAURAT SEMITA Declaracion.doc</t>
  </si>
  <si>
    <t>C:\Users\franc\OneDrive\Documentos\MALENTIN KARIME\REDUCCIONES\APR HUATULAME DGA 1386.doc</t>
  </si>
  <si>
    <t>C:\Users\franc\OneDrive\Documentos\MALENTIN KARIME\REDUCCIONES\AGROCOMERCIAL AGROMILENIO 05 NOV.doc</t>
  </si>
  <si>
    <t>C:\Users\franc\OneDrive\Documentos\MALENTIN KARIME\REDUCCIONES\AGROCOMERCIAL AGROMILENIO 19NOV-.doc</t>
  </si>
  <si>
    <t>C:\Users\franc\OneDrive\Documentos\MALENTIN KARIME\REDUCCIONES\ALPACAS URANIA SPA Directorio.doc</t>
  </si>
  <si>
    <t>C:\Users\franc\OneDrive\Documentos\MALENTIN KARIME\REDUCCIONES\AGRICOLA San Erasmo.doc</t>
  </si>
  <si>
    <t>C:\Users\franc\OneDrive\Documentos\MALENTIN KARIME\REDUCCIONES\AGRICOLA San Erasmo ii.doc</t>
  </si>
  <si>
    <t>C:\Users\franc\OneDrive\Documentos\MALENTIN KARIME\REDUCCIONES\AGRICOLA San Erasmo III.doc</t>
  </si>
  <si>
    <t>C:\Users\franc\OneDrive\Documentos\MALENTIN KARIME\REDUCCIONES\AGRICOLA MALLORCA.doc</t>
  </si>
  <si>
    <t>C:\Users\franc\OneDrive\Documentos\MALENTIN KARIME\REDUCCIONES\AGRICOLA CHAÑARAL BAJO NORTE 19-11-12.doc</t>
  </si>
  <si>
    <t>C:\Users\franc\OneDrive\Documentos\MALENTIN KARIME\REDUCCIONES\AGRICOLA MALLORCA 19-11-12.doc</t>
  </si>
  <si>
    <t>C:\Users\franc\OneDrive\Documentos\MALENTIN KARIME\REDUCCIONES\ACTA_1Â°_SESION_EXTRAORDINARIA_DIRECTORIO_correcciones (1)(1).doc</t>
  </si>
  <si>
    <t>C:\Users\franc\OneDrive\Documentos\MALENTIN KARIME\REDUCCIONES\ACTA DE doble m s.a..doc</t>
  </si>
  <si>
    <t>C:\Users\franc\OneDrive\Documentos\MALENTIN KARIME\RECTIFICACION\MARITZA IRRARAZABAL Corre lote  Y 2 Ñ.doc</t>
  </si>
  <si>
    <t>C:\Users\franc\OneDrive\Documentos\MALENTIN KARIME\RECTIFICACION\PATRICIO CONTRERAS URQUIETA.- ELIMINA PROHIBION DEL SERVIU EN LEY 19.807.doc</t>
  </si>
  <si>
    <t>C:\Users\franc\OneDrive\Documentos\MALENTIN KARIME\RECTIFICACION\MARITZA IRRARAZABAL Corre lote  Y 2 N.doc</t>
  </si>
  <si>
    <t>C:\Users\franc\OneDrive\Documentos\MALENTIN KARIME\RECTIFICACION\MARITZA IRRARAZABAL Corre lote  Y 2 K.doc</t>
  </si>
  <si>
    <t>C:\Users\franc\OneDrive\Documentos\MALENTIN KARIME\RECTIFICACION\LORENZA CONTRERAS URQUIETA.- ELIMINA PROHIBION DEL SERVIU EN LEY 19.807.doc</t>
  </si>
  <si>
    <t>C:\Users\franc\OneDrive\Documentos\MALENTIN KARIME\RECTIFICACION\JHON HUNTER FLORES.doc</t>
  </si>
  <si>
    <t>C:\Users\franc\OneDrive\Documentos\MALENTIN KARIME\RECTIFICACION\HECTOR VELOZO Y MANUEL AGUILAR Complementa.doc</t>
  </si>
  <si>
    <t>C:\Users\franc\OneDrive\Documentos\MALENTIN KARIME\RECTIFICACION\GLENDA TAPIA error inscripción.doc</t>
  </si>
  <si>
    <t>C:\Users\franc\OneDrive\Documentos\MALENTIN KARIME\RECTIFICACION\ANDREA HERREROS CORDOVA minuta.doc</t>
  </si>
  <si>
    <t>C:\Users\franc\OneDrive\Documentos\MALENTIN KARIME\RECONOC DEUDA\2016\F 24 inversiones.doc</t>
  </si>
  <si>
    <t>C:\Users\franc\OneDrive\Documentos\MALENTIN KARIME\RECONOC DEUDA\2015\INVERSIONES ZEPEDA HERMANOS.doc</t>
  </si>
  <si>
    <t>C:\Users\franc\OneDrive\Documentos\MALENTIN KARIME\RECONOC DEUDA\2015\INVERSIONES MARIA CARMONA.doc</t>
  </si>
  <si>
    <t>C:\Users\franc\OneDrive\Documentos\MALENTIN KARIME\RECONOC DEUDA\2015\INVERSIONES MARIA CARMONA A Inmob Fundacion.doc</t>
  </si>
  <si>
    <t>C:\Users\franc\OneDrive\Documentos\MALENTIN KARIME\RECONOC DEUDA\NUEVA GENERACION A INV. ZEPEDA.doc</t>
  </si>
  <si>
    <t>C:\Users\franc\OneDrive\Documentos\MALENTIN KARIME\RECONOC DEUDA\2015\INMOBILIARIA VALLE TUQUI LTDA..doc</t>
  </si>
  <si>
    <t>C:\Users\franc\OneDrive\Documentos\MALENTIN KARIME\RECONOC DEUDA\NUEVA GENERACION A INV. Fortaleza.doc</t>
  </si>
  <si>
    <t>C:\Users\franc\OneDrive\Documentos\MALENTIN KARIME\RECONOC DEUDA\LUIS PROHENS BOU Y HARS.doc</t>
  </si>
  <si>
    <t>C:\Users\franc\OneDrive\Documentos\MALENTIN KARIME\RECONOC DEUDA\LAGUNAS Y SASTRE A NUTRICION VEGETAL.doc</t>
  </si>
  <si>
    <t>C:\Users\franc\OneDrive\Documentos\MALENTIN KARIME\RECONOC DEUDA\INMOBILIARIA RENACER final.doc</t>
  </si>
  <si>
    <t>C:\Users\franc\OneDrive\Documentos\MALENTIN KARIME\RECONOC DEUDA\INMOBILIARIA RENACER.doc</t>
  </si>
  <si>
    <t>C:\Users\franc\OneDrive\Documentos\MALENTIN KARIME\RECONOC DEUDA\F 24 inversiones NUEVA GENERACION II.doc</t>
  </si>
  <si>
    <t>C:\Users\franc\OneDrive\Documentos\MALENTIN KARIME\RECONOC DEUDA\F 24 inversiones NUEVA GENERACION I.doc</t>
  </si>
  <si>
    <t>C:\Users\franc\OneDrive\Documentos\MALENTIN KARIME\RECONOC DEUDA\F 24 2017.doc</t>
  </si>
  <si>
    <t>C:\Users\franc\OneDrive\Documentos\MALENTIN KARIME\RECONOC DEUDA\F 24 inversiones fortaleza.doc</t>
  </si>
  <si>
    <t>C:\Users\franc\OneDrive\Documentos\MALENTIN KARIME\RATIFICACION\MARGARITA CAMPOS.doc</t>
  </si>
  <si>
    <t>C:\Users\franc\OneDrive\Documentos\MALENTIN KARIME\RECONOC DEUDA\AGRICOLA RECOLETA DOS A Frutícola Río Copiapó.doc</t>
  </si>
  <si>
    <t>C:\Users\franc\OneDrive\Documentos\MALENTIN KARIME\RECONOC DEUDA\DIAMANA CARVAJAL A CARLO SILVA reconc e hipoteca.doc</t>
  </si>
  <si>
    <t>C:\Users\franc\OneDrive\Documentos\MALENTIN KARIME\RATIFICACION\LUIS VARAS HIDALGO Y OTRA.doc</t>
  </si>
  <si>
    <t>C:\Users\franc\OneDrive\Documentos\MALENTIN KARIME\RATIFICACION\LUIS VARAS HIDALGO Y OTRA III.doc</t>
  </si>
  <si>
    <t>C:\Users\franc\OneDrive\Documentos\MALENTIN KARIME\RATIFICACION\LUIS VARAS HIDALGO Y OTRA II.doc</t>
  </si>
  <si>
    <t>C:\Users\franc\OneDrive\Documentos\MALENTIN KARIME\RATIFICACION\LA COIPA Y Ruben Casanova.doc</t>
  </si>
  <si>
    <t>C:\Users\franc\OneDrive\Documentos\MALENTIN KARIME\RATIFICACION\LA COIPA Y Maritza Guerrero.doc</t>
  </si>
  <si>
    <t>C:\Users\franc\OneDrive\Documentos\MALENTIN KARIME\RATIFICACION\LA COIPA Y Jorge Mena.doc</t>
  </si>
  <si>
    <t>C:\Users\franc\OneDrive\Documentos\MALENTIN KARIME\RATIFICACION\LA COIPA Y Jenny Boyd.doc</t>
  </si>
  <si>
    <t>C:\Users\franc\OneDrive\Documentos\MALENTIN KARIME\RATIFICACION\LA COIPA Y Henry Guerrero.doc</t>
  </si>
  <si>
    <t>C:\Users\franc\OneDrive\Documentos\MALENTIN KARIME\RATIFICACION\LA COIPA Y Cecilia Lópezdoc.doc</t>
  </si>
  <si>
    <t>C:\Users\franc\OneDrive\Documentos\MALENTIN KARIME\RATIFICACION\LA COIPA Y Arnoldo Aguirre.doc</t>
  </si>
  <si>
    <t>C:\Users\franc\OneDrive\Documentos\MALENTIN KARIME\RATIFICACION\IVAN ESPINOZA ratificacion.doc</t>
  </si>
  <si>
    <t>C:\Users\franc\OneDrive\Documentos\MALENTIN KARIME\RATIFICACION\GLADYS ZAMBRA CASTELLANOS.doc</t>
  </si>
  <si>
    <t>C:\Users\franc\OneDrive\Documentos\MALENTIN KARIME\RATIFICACION\GLADYS ZAMBRA CASTELLANOS Aguas.doc</t>
  </si>
  <si>
    <t>C:\Users\franc\OneDrive\Documentos\MALENTIN KARIME\RATIFICACION\CAROLINA CHELEN BARRAZA 2017 abogado.doc</t>
  </si>
  <si>
    <t>C:\Users\franc\OneDrive\Documentos\MALENTIN KARIME\RATIFICACION\AURORA PIZARRO PALACIOS.doc</t>
  </si>
  <si>
    <t>C:\Users\franc\OneDrive\Documentos\MALENTIN KARIME\PROTOCOLIZACION\VEHICULOS\PABLO TOLEDO TORRES Alzamiento Dabed.doc</t>
  </si>
  <si>
    <t>C:\Users\franc\OneDrive\Documentos\MALENTIN KARIME\PROTOCOLIZACION\VEHICULOS\YAMIL CONTRERAS Alzamiento Dabed.doc</t>
  </si>
  <si>
    <t>C:\Users\franc\OneDrive\Documentos\MALENTIN KARIME\PROTOCOLIZACION\VEHICULOS\MARIA AGUIRRE LARACovalsa Prenda.doc</t>
  </si>
  <si>
    <t>C:\Users\franc\OneDrive\Documentos\MALENTIN KARIME\PROTOCOLIZACION\VEHICULOS\NANCY CISTERNAS MUÑOZ 2018.doc</t>
  </si>
  <si>
    <t>C:\Users\franc\OneDrive\Documentos\MALENTIN KARIME\PROTOCOLIZACION\VEHICULOS\karime.doc</t>
  </si>
  <si>
    <t>C:\Users\franc\OneDrive\Documentos\MALENTIN KARIME\PROTOCOLIZACION\VEHICULOS\HECTOR VEGA Y Alfalfares Prenda.doc</t>
  </si>
  <si>
    <t>C:\Users\franc\OneDrive\Documentos\MALENTIN KARIME\PROTOCOLIZACION\VEHICULOS\EVELYN BONILLA Covalsa Prenda.doc</t>
  </si>
  <si>
    <t>C:\Users\franc\OneDrive\Documentos\MALENTIN KARIME\PROTOCOLIZACION\VEHICULOS\ERIK TOLEDO Alzamiento Dabed.doc</t>
  </si>
  <si>
    <t>C:\Users\franc\OneDrive\Documentos\MALENTIN KARIME\PROTOCOLIZACION\VEHICULOS\ENRIQUE ROMERO CHAVEZ Covalsa Prenda.doc</t>
  </si>
  <si>
    <t>C:\Users\franc\OneDrive\Documentos\MALENTIN KARIME\PROTOCOLIZACION\VEHICULOS\CRISTIAN CORTES LAFERTE dabed.doc</t>
  </si>
  <si>
    <t>C:\Users\franc\OneDrive\Documentos\MALENTIN KARIME\PROTOCOLIZACION\VEHICULOS\Autorizo la firma de don ROBERTO ESTEBAN DABED MARTINIC.doc</t>
  </si>
  <si>
    <t>C:\Users\franc\OneDrive\Documentos\MALENTIN KARIME\PROTOCOLIZACION\VEHICULOS\ANA ESPINOZA PLAZA.doc</t>
  </si>
  <si>
    <t>C:\Users\franc\OneDrive\Documentos\MALENTIN KARIME\PROTOCOLIZACION\VEHICULOS\ANA ESPINOSA PLAZA.doc</t>
  </si>
  <si>
    <t>C:\Users\franc\OneDrive\Documentos\MALENTIN KARIME\PROTOCOLIZACION\COMPRAVENTAS\LUISA GODOY FERNANDEZ.doc</t>
  </si>
  <si>
    <t>C:\Users\franc\OneDrive\Documentos\MALENTIN KARIME\PROTOCOLIZACION\VEHICULOS\Alz. Musalem.doc</t>
  </si>
  <si>
    <t>C:\Users\franc\OneDrive\Documentos\MALENTIN KARIME\PROTOCOLIZACION\2021\VICENTE CASTILLO Plano.doc</t>
  </si>
  <si>
    <t>C:\Users\franc\OneDrive\Documentos\MALENTIN KARIME\PROTOCOLIZACION\2021\SEBASTIAN DIAZ CORTES.doc</t>
  </si>
  <si>
    <t>C:\Users\franc\OneDrive\Documentos\MALENTIN KARIME\PROTOCOLIZACION\2021\OSCAR GUTIERREZ RIVAS.doc</t>
  </si>
  <si>
    <t>C:\Users\franc\OneDrive\Documentos\MALENTIN KARIME\PROTOCOLIZACION\2021\NELSON ACEITUNO 107.doc</t>
  </si>
  <si>
    <t>C:\Users\franc\OneDrive\Documentos\MALENTIN KARIME\PROTOCOLIZACION\2021\MONICA TEDROS AGUILERA.doc</t>
  </si>
  <si>
    <t>C:\Users\franc\OneDrive\Documentos\MALENTIN KARIME\PROTOCOLIZACION\2021\MARCO SANDOVAL.doc</t>
  </si>
  <si>
    <t>C:\Users\franc\OneDrive\Documentos\MALENTIN KARIME\PROTOCOLIZACION\2021\MARCELINO ARAYA SALAS PROT PLANO.doc</t>
  </si>
  <si>
    <t>C:\Users\franc\OneDrive\Documentos\MALENTIN KARIME\PROTOCOLIZACION\2021\INGRID MARIN CAMPUSANOPlano.doc</t>
  </si>
  <si>
    <t>C:\Users\franc\OneDrive\Documentos\MALENTIN KARIME\PROTOCOLIZACION\2021\FELISA MOYA CASTILLO poder extr.doc</t>
  </si>
  <si>
    <t>C:\Users\franc\OneDrive\Documentos\MALENTIN KARIME\PROTOCOLIZACION\2021\COMUNIDAD EL PERAL OJO DE AGUA.doc</t>
  </si>
  <si>
    <t>C:\Users\franc\OneDrive\Documentos\MALENTIN KARIME\PROTOCOLIZACION\2021\COMUNIDAD AGRICOLA LOS MAITENES DE SERON fs 07.doc</t>
  </si>
  <si>
    <t>C:\Users\franc\OneDrive\Documentos\MALENTIN KARIME\PROTOCOLIZACION\2021\COMUNIDAD AGRICOLA LOS MAITENES DE SERON fs 05.doc</t>
  </si>
  <si>
    <t>C:\Users\franc\OneDrive\Documentos\MALENTIN KARIME\PROTOCOLIZACION\2021\COMUNIDAD AGRICOLA ALCONES fs 30.doc</t>
  </si>
  <si>
    <t>C:\Users\franc\OneDrive\Documentos\MALENTIN KARIME\PROTOCOLIZACION\2021\COMUNIDAD AGRICOLA ALCONES fs 44.doc</t>
  </si>
  <si>
    <t>C:\Users\franc\OneDrive\Documentos\MALENTIN KARIME\PROTOCOLIZACION\2021\COMUNIDAD AGRICOLA BUENOS AIRES DE PUNILLA fs 57 V.doc</t>
  </si>
  <si>
    <t>C:\Users\franc\OneDrive\Documentos\MALENTIN KARIME\PROTOCOLIZACION\2021\ARNALDO RIVERA Plano.doc</t>
  </si>
  <si>
    <t>C:\Users\franc\OneDrive\Documentos\MALENTIN KARIME\PROTOCOLIZACION\2021\ARNALDO RIVERA Lt 15Plano.doc</t>
  </si>
  <si>
    <t>C:\Users\franc\OneDrive\Documentos\MALENTIN KARIME\PROTOCOLIZACION\2019\HERMINDA PIÑONEZconcesion.doc</t>
  </si>
  <si>
    <t>C:\Users\franc\OneDrive\Documentos\MALENTIN KARIME\PROTOCOLIZACION\2019\COMUNIDAD BUENOS AIRES DE PUNILLA.doc</t>
  </si>
  <si>
    <t>C:\Users\franc\OneDrive\Documentos\MALENTIN KARIME\PROTOCOLIZACION\2019\Autorizo  solamente la firma CONTRATO.docx</t>
  </si>
  <si>
    <t>C:\Users\franc\OneDrive\Documentos\MALENTIN KARIME\PROTOCOLIZACION\2018\SIDALIA FERREIRA inventario.doc</t>
  </si>
  <si>
    <t>C:\Users\franc\OneDrive\Documentos\MALENTIN KARIME\PROTOCOLIZACION\2019\ADA BARRAZA ROJASconcesion.doc</t>
  </si>
  <si>
    <t>C:\Users\franc\OneDrive\Documentos\MALENTIN KARIME\PROTOCOLIZACION\2018\RODRIGO ORDOÑEZ DRIC.doc</t>
  </si>
  <si>
    <t>C:\Users\franc\OneDrive\Documentos\MALENTIN KARIME\PROTOCOLIZACION\2018\SEBASTIAN MAZRY.doc</t>
  </si>
  <si>
    <t>C:\Users\franc\OneDrive\Documentos\MALENTIN KARIME\PROTOCOLIZACION\2018\RODRIGO ORDOÑEZ DRIC 01122017.doc</t>
  </si>
  <si>
    <t>C:\Users\franc\OneDrive\Documentos\MALENTIN KARIME\PROTOCOLIZACION\2018\ROBERTO VEGA 954.doc</t>
  </si>
  <si>
    <t>C:\Users\franc\OneDrive\Documentos\MALENTIN KARIME\PROTOCOLIZACION\2018\ROBERTO VEGA 1106.doc</t>
  </si>
  <si>
    <t>C:\Users\franc\OneDrive\Documentos\MALENTIN KARIME\PROTOCOLIZACION\2018\ROBERTO VEGA 1143.doc</t>
  </si>
  <si>
    <t>C:\Users\franc\OneDrive\Documentos\MALENTIN KARIME\PROTOCOLIZACION\2018\ROBERTO VEGA 1979.doc</t>
  </si>
  <si>
    <t>C:\Users\franc\OneDrive\Documentos\MALENTIN KARIME\PROTOCOLIZACION\2018\ROBERTO VEGA 08.doc</t>
  </si>
  <si>
    <t>C:\Users\franc\OneDrive\Documentos\MALENTIN KARIME\PROTOCOLIZACION\2018\RICARDO MOLINA GOMEZ Contrato obra.doc</t>
  </si>
  <si>
    <t>C:\Users\franc\OneDrive\Documentos\MALENTIN KARIME\PROTOCOLIZACION\2018\REGANTES.doc</t>
  </si>
  <si>
    <t>C:\Users\franc\OneDrive\Documentos\MALENTIN KARIME\PROTOCOLIZACION\2018\PRIETO Y MICHEA CONSTRUCCIONES.doc</t>
  </si>
  <si>
    <t>C:\Users\franc\OneDrive\Documentos\MALENTIN KARIME\PROTOCOLIZACION\2018\RAQUEL ZAMBRA CASTELLANOS Indap.doc</t>
  </si>
  <si>
    <t>C:\Users\franc\OneDrive\Documentos\MALENTIN KARIME\PROTOCOLIZACION\2018\PRIETO Y MICHEA CONSTRUCCIONES mod 94.doc</t>
  </si>
  <si>
    <t>C:\Users\franc\OneDrive\Documentos\MALENTIN KARIME\PROTOCOLIZACION\2018\PRIETO Y MICHEA CONSTRUCCIONES mod 97.doc</t>
  </si>
  <si>
    <t>C:\Users\franc\OneDrive\Documentos\MALENTIN KARIME\PROTOCOLIZACION\2018\PRIETO Y MICHEA CONSTRUCCIONES MOD 102.doc</t>
  </si>
  <si>
    <t>C:\Users\franc\OneDrive\Documentos\MALENTIN KARIME\PROTOCOLIZACION\2018\PRIETO Y MICHEA CONSTRUCCIONES MOD 102 y anexos.doc</t>
  </si>
  <si>
    <t>C:\Users\franc\OneDrive\Documentos\MALENTIN KARIME\PROTOCOLIZACION\2018\OLGA PIZARRO E.I.R.L 60 mod.doc</t>
  </si>
  <si>
    <t>C:\Users\franc\OneDrive\Documentos\MALENTIN KARIME\PROTOCOLIZACION\2018\OLGA PIZARRO E.I.R.L 38.doc</t>
  </si>
  <si>
    <t>C:\Users\franc\OneDrive\Documentos\MALENTIN KARIME\PROTOCOLIZACION\2018\NORMA GENTINA DAZA inventario.doc</t>
  </si>
  <si>
    <t>C:\Users\franc\OneDrive\Documentos\MALENTIN KARIME\PROTOCOLIZACION\2018\NOELIA ARAYA plano.doc</t>
  </si>
  <si>
    <t>C:\Users\franc\OneDrive\Documentos\MALENTIN KARIME\PROTOCOLIZACION\2018\NELSON ACEITUNO 85.doc</t>
  </si>
  <si>
    <t>C:\Users\franc\OneDrive\Documentos\MALENTIN KARIME\PROTOCOLIZACION\2018\NELSON ACEITUNO 65.doc</t>
  </si>
  <si>
    <t>C:\Users\franc\OneDrive\Documentos\MALENTIN KARIME\PROTOCOLIZACION\2018\NELSON ACEITUNO 41.doc</t>
  </si>
  <si>
    <t>C:\Users\franc\OneDrive\Documentos\MALENTIN KARIME\PROTOCOLIZACION\2018\NATALIA MALDONADO RODRIGUEZ poder extr.doc</t>
  </si>
  <si>
    <t>C:\Users\franc\OneDrive\Documentos\MALENTIN KARIME\PROTOCOLIZACION\2018\MARIA MORALES GARRIDO.doc</t>
  </si>
  <si>
    <t>C:\Users\franc\OneDrive\Documentos\MALENTIN KARIME\PROTOCOLIZACION\2018\MAURICIO CASTILLO ROJAS.doc</t>
  </si>
  <si>
    <t>C:\Users\franc\OneDrive\Documentos\MALENTIN KARIME\PROTOCOLIZACION\2018\MARIA CASTILLO FLORES concesion}.doc</t>
  </si>
  <si>
    <t>C:\Users\franc\OneDrive\Documentos\MALENTIN KARIME\PROTOCOLIZACION\2018\LUIS SALFATE SALFATES.doc</t>
  </si>
  <si>
    <t>C:\Users\franc\OneDrive\Documentos\MALENTIN KARIME\PROTOCOLIZACION\2018\MAGDA CASTILLO concesion.doc</t>
  </si>
  <si>
    <t>C:\Users\franc\OneDrive\Documentos\MALENTIN KARIME\PROTOCOLIZACION\2018\LUIS ADAROS CORTES 2018.doc</t>
  </si>
  <si>
    <t>C:\Users\franc\OneDrive\Documentos\MALENTIN KARIME\PROTOCOLIZACION\2018\JUNTA DE VIGILANCIA  RIO GRANDE Y LIMARI fs157.doc</t>
  </si>
  <si>
    <t>C:\Users\franc\OneDrive\Documentos\MALENTIN KARIME\PROTOCOLIZACION\2018\JUNTA DE VIGILANCIA  RIO GRANDE Y LIMARI fs148.doc</t>
  </si>
  <si>
    <t>C:\Users\franc\OneDrive\Documentos\MALENTIN KARIME\PROTOCOLIZACION\2018\JOSE ADAROS CORTES indap.doc</t>
  </si>
  <si>
    <t>C:\Users\franc\OneDrive\Documentos\MALENTIN KARIME\PROTOCOLIZACION\2018\JACINTO LABARCA 2019.doc</t>
  </si>
  <si>
    <t>C:\Users\franc\OneDrive\Documentos\MALENTIN KARIME\PROTOCOLIZACION\2018\JONATHAN ARAYA LAZO concesion.doc</t>
  </si>
  <si>
    <t>C:\Users\franc\OneDrive\Documentos\MALENTIN KARIME\PROTOCOLIZACION\2018\IRMA CARVAJAL ESPINOZA Corporacion.doc</t>
  </si>
  <si>
    <t>C:\Users\franc\OneDrive\Documentos\MALENTIN KARIME\PROTOCOLIZACION\2018\HERNAN PEREZ DUARTE.doc</t>
  </si>
  <si>
    <t>C:\Users\franc\OneDrive\Documentos\MALENTIN KARIME\PROTOCOLIZACION\2018\HERMAN ARAYA ARAYA.doc</t>
  </si>
  <si>
    <t>C:\Users\franc\OneDrive\Documentos\MALENTIN KARIME\PROTOCOLIZACION\2018\FRANCISCA CARVAJAL OLIVARES.doc</t>
  </si>
  <si>
    <t>C:\Users\franc\OneDrive\Documentos\MALENTIN KARIME\PROTOCOLIZACION\2018\EDUARDO LOPEZ GARCIA Concesion.doc</t>
  </si>
  <si>
    <t>C:\Users\franc\OneDrive\Documentos\MALENTIN KARIME\PROTOCOLIZACION\2018\EDUARDO LOPEZ GARCIA 113 Modi.doc</t>
  </si>
  <si>
    <t>C:\Users\franc\OneDrive\Documentos\MALENTIN KARIME\PROTOCOLIZACION\2018\EDUARDO LOPEZ 113.doc</t>
  </si>
  <si>
    <t>C:\Users\franc\OneDrive\Documentos\MALENTIN KARIME\PROTOCOLIZACION\2018\EDUARDO LOPEZ 113 modif.doc</t>
  </si>
  <si>
    <t>C:\Users\franc\OneDrive\Documentos\MALENTIN KARIME\PROTOCOLIZACION\2018\EDUARDO LOPEZ 113 modif ago.doc</t>
  </si>
  <si>
    <t>C:\Users\franc\OneDrive\Documentos\MALENTIN KARIME\PROTOCOLIZACION\2018\EDUARDO LOPEZ 1115.doc</t>
  </si>
  <si>
    <t>C:\Users\franc\OneDrive\Documentos\MALENTIN KARIME\PROTOCOLIZACION\2018\EDUARDO LOPEZ 1115 modif.doc</t>
  </si>
  <si>
    <t>C:\Users\franc\OneDrive\Documentos\MALENTIN KARIME\PROTOCOLIZACION\2018\EDUARDO LOPEZ 1115 modif 2.doc</t>
  </si>
  <si>
    <t>C:\Users\franc\OneDrive\Documentos\MALENTIN KARIME\PROTOCOLIZACION\2018\EDUARDO LOPEZ  63 modif.doc</t>
  </si>
  <si>
    <t>C:\Users\franc\OneDrive\Documentos\MALENTIN KARIME\PROTOCOLIZACION\2018\EDMUNDO LEMUS MICHEA concesion.doc</t>
  </si>
  <si>
    <t>C:\Users\franc\OneDrive\Documentos\MALENTIN KARIME\PROTOCOLIZACION\2018\DANIELA OCAYO OCAYO.doc</t>
  </si>
  <si>
    <t>C:\Users\franc\OneDrive\Documentos\MALENTIN KARIME\PROTOCOLIZACION\2018\CUERPO DE BOMBEROS 1 CIA.doc</t>
  </si>
  <si>
    <t>C:\Users\franc\OneDrive\Documentos\MALENTIN KARIME\PROTOCOLIZACION\2018\CUERPO DE BOMBEROS 5 CIA.doc</t>
  </si>
  <si>
    <t>C:\Users\franc\OneDrive\Documentos\MALENTIN KARIME\PROTOCOLIZACION\2018\CORPORACION EDUACIONAL R &amp; R 12.doc</t>
  </si>
  <si>
    <t>C:\Users\franc\OneDrive\Documentos\MALENTIN KARIME\PROTOCOLIZACION\2018\CORPORACION EDUACIONAL R &amp; R.doc</t>
  </si>
  <si>
    <t>C:\Users\franc\OneDrive\Documentos\MALENTIN KARIME\PROTOCOLIZACION\2018\CONSTRUCTORA FMV.doc</t>
  </si>
  <si>
    <t>C:\Users\franc\OneDrive\Documentos\MALENTIN KARIME\PROTOCOLIZACION\2018\CONSTRUCTORA FMV anexos.doc</t>
  </si>
  <si>
    <t>C:\Users\franc\OneDrive\Documentos\MALENTIN KARIME\PROTOCOLIZACION\2018\CONSTRUCTORA E INMOBILIARIA Don Alonso.doc</t>
  </si>
  <si>
    <t>C:\Users\franc\OneDrive\Documentos\MALENTIN KARIME\PROTOCOLIZACION\2018\CONDOMINIO LOTE ALTOS DE TUQUI.doc</t>
  </si>
  <si>
    <t>C:\Users\franc\OneDrive\Documentos\MALENTIN KARIME\PROTOCOLIZACION\2018\COMUNIDAD QUEBRADA DE COLLIGUAYCITO.doc</t>
  </si>
  <si>
    <t>C:\Users\franc\OneDrive\Documentos\MALENTIN KARIME\PROTOCOLIZACION\2018\CONDOMINIO HACIENDA ALTO LA CHIMBA.doc</t>
  </si>
  <si>
    <t>C:\Users\franc\OneDrive\Documentos\MALENTIN KARIME\PROTOCOLIZACION\2018\COMUNIDAD MAQUI-LOS PALQUI.doc</t>
  </si>
  <si>
    <t>C:\Users\franc\OneDrive\Documentos\MALENTIN KARIME\PROTOCOLIZACION\2018\COMUNIDAD LOS ANGELES DE RAPEL.doc</t>
  </si>
  <si>
    <t>C:\Users\franc\OneDrive\Documentos\MALENTIN KARIME\PROTOCOLIZACION\2018\COMUNIDAD LA ORTIGA.doc</t>
  </si>
  <si>
    <t>C:\Users\franc\OneDrive\Documentos\MALENTIN KARIME\PROTOCOLIZACION\2018\COMUNIDAD LA CEBADA.doc</t>
  </si>
  <si>
    <t>C:\Users\franc\OneDrive\Documentos\MALENTIN KARIME\PROTOCOLIZACION\2018\COMUNIDAD LA CEBADA asistencia.doc</t>
  </si>
  <si>
    <t>C:\Users\franc\OneDrive\Documentos\MALENTIN KARIME\PROTOCOLIZACION\2018\COMUNIDAD FERNANDO ALVAREZ Fs. 12 v.doc</t>
  </si>
  <si>
    <t>C:\Users\franc\OneDrive\Documentos\MALENTIN KARIME\PROTOCOLIZACION\2018\COMUNIDAD FERNANDEZ ALVAREZ.doc</t>
  </si>
  <si>
    <t>C:\Users\franc\OneDrive\Documentos\MALENTIN KARIME\PROTOCOLIZACION\2018\COMUNIDAD EL ESPINAL.doc</t>
  </si>
  <si>
    <t>C:\Users\franc\OneDrive\Documentos\MALENTIN KARIME\PROTOCOLIZACION\2018\COMUNIDAD EL COIPO O COYUNCAVI.doc</t>
  </si>
  <si>
    <t>C:\Users\franc\OneDrive\Documentos\MALENTIN KARIME\PROTOCOLIZACION\2018\COMUNIDAD EL DIVISADERO.doc</t>
  </si>
  <si>
    <t>C:\Users\franc\OneDrive\Documentos\MALENTIN KARIME\PROTOCOLIZACION\2018\COMUNIDAD DE AGUAS CHAÑARAL DE CAREN 2.doc</t>
  </si>
  <si>
    <t>C:\Users\franc\OneDrive\Documentos\MALENTIN KARIME\PROTOCOLIZACION\2018\COMUNIDAD DE AGUAS CHAÑARAL DE CAREN.doc</t>
  </si>
  <si>
    <t>C:\Users\franc\OneDrive\Documentos\MALENTIN KARIME\PROTOCOLIZACION\2018\COMUNIDAD DAIN Y CORTADERILLA.doc</t>
  </si>
  <si>
    <t>C:\Users\franc\OneDrive\Documentos\MALENTIN KARIME\PROTOCOLIZACION\2018\COMUNIDAD DE AGUAS CANAL BARRAZA BAJO.doc</t>
  </si>
  <si>
    <t>C:\Users\franc\OneDrive\Documentos\MALENTIN KARIME\PROTOCOLIZACION\2018\COMUNIADAD LA CISTERNA 58 vta.doc</t>
  </si>
  <si>
    <t>C:\Users\franc\OneDrive\Documentos\MALENTIN KARIME\PROTOCOLIZACION\2018\COMUNIADAD LA CISTERNA 58.doc</t>
  </si>
  <si>
    <t>C:\Users\franc\OneDrive\Documentos\MALENTIN KARIME\PROTOCOLIZACION\2018\COMUNIADAD AGRICOLA LOS ANGELES. SR. MANUEL RAMOS.doc</t>
  </si>
  <si>
    <t>C:\Users\franc\OneDrive\Documentos\MALENTIN KARIME\PROTOCOLIZACION\2018\COMITE PRO CASA LUCERITO DE LA ESPERANZA.doc</t>
  </si>
  <si>
    <t>C:\Users\franc\OneDrive\Documentos\MALENTIN KARIME\PROTOCOLIZACION\2018\CLUB DEPORTIVO Arco Iris.doc</t>
  </si>
  <si>
    <t>C:\Users\franc\OneDrive\Documentos\MALENTIN KARIME\PROTOCOLIZACION\2018\COMITE PRO CASA JUAN PABLO II.doc</t>
  </si>
  <si>
    <t>C:\Users\franc\OneDrive\Documentos\MALENTIN KARIME\PROTOCOLIZACION\2018\CHIRINO SANTA MARIA ROJAS 74.doc</t>
  </si>
  <si>
    <t>C:\Users\franc\OneDrive\Documentos\MALENTIN KARIME\PROTOCOLIZACION\2018\CLAUDIO DELGADO.doc</t>
  </si>
  <si>
    <t>C:\Users\franc\OneDrive\Documentos\MALENTIN KARIME\PROTOCOLIZACION\2018\CLUB DE LEONES DE OVALLE Directiva.doc</t>
  </si>
  <si>
    <t>C:\Users\franc\OneDrive\Documentos\MALENTIN KARIME\PROTOCOLIZACION\2018\CHIRINO SANTA MARIA ROJAS 74 MOD Sep.doc</t>
  </si>
  <si>
    <t>C:\Users\franc\OneDrive\Documentos\MALENTIN KARIME\PROTOCOLIZACION\2018\CHIRINO SANTA MARIA ROJAS 74 MODIF.doc</t>
  </si>
  <si>
    <t>C:\Users\franc\OneDrive\Documentos\MALENTIN KARIME\PROTOCOLIZACION\2018\CHIRINO SANTA MARIA ROJAS 59 MODIF.doc</t>
  </si>
  <si>
    <t>C:\Users\franc\OneDrive\Documentos\MALENTIN KARIME\PROTOCOLIZACION\2018\CHIRINO SANTA MARIA ROJAS 69 MODIF.doc</t>
  </si>
  <si>
    <t>C:\Users\franc\OneDrive\Documentos\MALENTIN KARIME\PROTOCOLIZACION\2018\CERRO BLANCO.doc</t>
  </si>
  <si>
    <t>C:\Users\franc\OneDrive\Documentos\MALENTIN KARIME\PROTOCOLIZACION\2018\CERRO BLANCO fs 33.doc</t>
  </si>
  <si>
    <t>C:\Users\franc\OneDrive\Documentos\MALENTIN KARIME\PROTOCOLIZACION\2018\CANAL SASSO BAJO.doc</t>
  </si>
  <si>
    <t>C:\Users\franc\OneDrive\Documentos\MALENTIN KARIME\PROTOCOLIZACION\2018\CAROLINA BOU PAEZ Mandato extr.doc</t>
  </si>
  <si>
    <t>C:\Users\franc\OneDrive\Documentos\MALENTIN KARIME\PROTOCOLIZACION\2018\BOMBEROS 2 CIA..doc</t>
  </si>
  <si>
    <t>C:\Users\franc\OneDrive\Documentos\MALENTIN KARIME\PROTOCOLIZACION\2018\ASOCIACION DE PEQUEÑOS MINEROS.doc</t>
  </si>
  <si>
    <t>C:\Users\franc\OneDrive\Documentos\MALENTIN KARIME\PROTOCOLIZACION\2018\ASOCIACION MICROBUSES RURALES.doc</t>
  </si>
  <si>
    <t>C:\Users\franc\OneDrive\Documentos\MALENTIN KARIME\PROTOCOLIZACION\2018\ASOCIACION ATCO.doc</t>
  </si>
  <si>
    <t>C:\Users\franc\OneDrive\Documentos\MALENTIN KARIME\PROTOCOLIZACION\2018\ADOLFO LAY inventario.doc</t>
  </si>
  <si>
    <t>C:\Users\franc\OneDrive\Documentos\MALENTIN KARIME\PROTOCOLIZACION\2018\AGENCIA EN CHILE.doc</t>
  </si>
  <si>
    <t>C:\Users\franc\OneDrive\Documentos\MALENTIN KARIME\PROTOCOLIZACION\2018\ADELAIDA BARRAZA CARVAJAL 2 Indap.doc</t>
  </si>
  <si>
    <t>C:\Users\franc\OneDrive\Documentos\MALENTIN KARIME\PROTOCOLIZACION\2018\ADELAIDA BARRAZA CARVAJAL Indap.doc</t>
  </si>
  <si>
    <t>C:\Users\franc\OneDrive\Documentos\MALENTIN KARIME\PROTOCOLIZACION\2017\VIVIANA CANIBILO ARAYA.doc</t>
  </si>
  <si>
    <t>C:\Users\franc\OneDrive\Documentos\MALENTIN KARIME\PROTOCOLIZACION\2017\ZOILA CAIMANQUE MARAMBIO Plano.doc</t>
  </si>
  <si>
    <t>C:\Users\franc\OneDrive\Documentos\MALENTIN KARIME\PROTOCOLIZACION\2017\VICTOR BARRIOS AROS drogas 2017.doc</t>
  </si>
  <si>
    <t>C:\Users\franc\OneDrive\Documentos\MALENTIN KARIME\PROTOCOLIZACION\2017\UNION COMUNAL ADULTOS.doc</t>
  </si>
  <si>
    <t>C:\Users\franc\OneDrive\Documentos\MALENTIN KARIME\PROTOCOLIZACION\2017\SOC. MUTUALISTA FERMIN VIVACETA.doc</t>
  </si>
  <si>
    <t>C:\Users\franc\OneDrive\Documentos\MALENTIN KARIME\PROTOCOLIZACION\2017\SERVICIOS DE INGENIERIA  Propuesta  45.doc</t>
  </si>
  <si>
    <t>C:\Users\franc\OneDrive\Documentos\MALENTIN KARIME\PROTOCOLIZACION\2017\SERVICIOS DE INGENIERIA  Propuesta  14.doc</t>
  </si>
  <si>
    <t>C:\Users\franc\OneDrive\Documentos\MALENTIN KARIME\PROTOCOLIZACION\2017\SERVICIOS DE INGENIERIA  Propuesta  15.doc</t>
  </si>
  <si>
    <t>C:\Users\franc\OneDrive\Documentos\MALENTIN KARIME\PROTOCOLIZACION\2017\SERGIO AYCA VARGAS drogas 2017.doc</t>
  </si>
  <si>
    <t>C:\Users\franc\OneDrive\Documentos\MALENTIN KARIME\PROTOCOLIZACION\2017\RODRIGO VENEGAS ZAVALA MOD 2017.doc</t>
  </si>
  <si>
    <t>C:\Users\franc\OneDrive\Documentos\MALENTIN KARIME\PROTOCOLIZACION\2017\RODRIGO VENEGAS ZAVALA modif 29.doc</t>
  </si>
  <si>
    <t>C:\Users\franc\OneDrive\Documentos\MALENTIN KARIME\PROTOCOLIZACION\2017\RODRIGO VENEGAS ZAVALA 29.doc</t>
  </si>
  <si>
    <t>C:\Users\franc\OneDrive\Documentos\MALENTIN KARIME\PROTOCOLIZACION\2017\RODRIGO VENEGAS ZAVALA 2017.doc</t>
  </si>
  <si>
    <t>C:\Users\franc\OneDrive\Documentos\MALENTIN KARIME\PROTOCOLIZACION\2017\ROBERTO VEGA Plano.doc</t>
  </si>
  <si>
    <t>C:\Users\franc\OneDrive\Documentos\MALENTIN KARIME\PROTOCOLIZACION\2017\ROBERTO VEGA DOH RES 3627.doc</t>
  </si>
  <si>
    <t>C:\Users\franc\OneDrive\Documentos\MALENTIN KARIME\PROTOCOLIZACION\2017\ROBERTO VEGA DOH RES 937.doc</t>
  </si>
  <si>
    <t>C:\Users\franc\OneDrive\Documentos\MALENTIN KARIME\PROTOCOLIZACION\2017\ROBERTO VEGA DOH RES 3080 nueva.doc</t>
  </si>
  <si>
    <t>C:\Users\franc\OneDrive\Documentos\MALENTIN KARIME\PROTOCOLIZACION\2017\ROBERTO VEGA DOH RES 2940.doc</t>
  </si>
  <si>
    <t>C:\Users\franc\OneDrive\Documentos\MALENTIN KARIME\PROTOCOLIZACION\2017\ROBERTO VEGA DOH RES 2767.doc</t>
  </si>
  <si>
    <t>C:\Users\franc\OneDrive\Documentos\MALENTIN KARIME\PROTOCOLIZACION\2017\ROBERTO VEGA DOH RES 2655.doc</t>
  </si>
  <si>
    <t>C:\Users\franc\OneDrive\Documentos\MALENTIN KARIME\PROTOCOLIZACION\2017\ROBERTO VEGA DOH RES 26.doc</t>
  </si>
  <si>
    <t>C:\Users\franc\OneDrive\Documentos\MALENTIN KARIME\PROTOCOLIZACION\2017\ROBERTO VEGA DOH RES 26 nueva.doc</t>
  </si>
  <si>
    <t>C:\Users\franc\OneDrive\Documentos\MALENTIN KARIME\PROTOCOLIZACION\2017\ROBERTO VEGA DOH RES 1085.doc</t>
  </si>
  <si>
    <t>C:\Users\franc\OneDrive\Documentos\MALENTIN KARIME\PROTOCOLIZACION\2017\ROBERTO VEGA DOH RES 1166.doc</t>
  </si>
  <si>
    <t>C:\Users\franc\OneDrive\Documentos\MALENTIN KARIME\PROTOCOLIZACION\2017\ROBERTO VEGA DOH RES 1016.doc</t>
  </si>
  <si>
    <t>C:\Users\franc\OneDrive\Documentos\MALENTIN KARIME\PROTOCOLIZACION\2017\RIVERA Arrendamiento.doc</t>
  </si>
  <si>
    <t>C:\Users\franc\OneDrive\Documentos\MALENTIN KARIME\PROTOCOLIZACION\2017\PATRICIA LARA AVALOS contrato.doc</t>
  </si>
  <si>
    <t>C:\Users\franc\OneDrive\Documentos\MALENTIN KARIME\PROTOCOLIZACION\2017\PATRICIA ALFARO inventario.doc</t>
  </si>
  <si>
    <t>C:\Users\franc\OneDrive\Documentos\MALENTIN KARIME\PROTOCOLIZACION\2017\PATRICIA ALFARO  carlos navea inventario.doc</t>
  </si>
  <si>
    <t>C:\Users\franc\OneDrive\Documentos\MALENTIN KARIME\PROTOCOLIZACION\2017\PASCUAL MUÑOZ Plano.doc</t>
  </si>
  <si>
    <t>C:\Users\franc\OneDrive\Documentos\MALENTIN KARIME\PROTOCOLIZACION\2017\PABLINO ROJAS ARAYA L 11.doc</t>
  </si>
  <si>
    <t>C:\Users\franc\OneDrive\Documentos\MALENTIN KARIME\PROTOCOLIZACION\2017\PAOLA AGUILERA drogas 2017.doc</t>
  </si>
  <si>
    <t>C:\Users\franc\OneDrive\Documentos\MALENTIN KARIME\PROTOCOLIZACION\2017\OLGA PIZARRO E.I.R.L 68.doc</t>
  </si>
  <si>
    <t>C:\Users\franc\OneDrive\Documentos\MALENTIN KARIME\PROTOCOLIZACION\2017\OLGA TORO 137 MODIFI.doc</t>
  </si>
  <si>
    <t>C:\Users\franc\OneDrive\Documentos\MALENTIN KARIME\PROTOCOLIZACION\2017\OLGA PIZARRO E.I.R.L 53.doc</t>
  </si>
  <si>
    <t>C:\Users\franc\OneDrive\Documentos\MALENTIN KARIME\PROTOCOLIZACION\2017\OLGA PIZARRO E.I.R.L 60.doc</t>
  </si>
  <si>
    <t>C:\Users\franc\OneDrive\Documentos\MALENTIN KARIME\PROTOCOLIZACION\2017\OLGA PIZARRO E.I.R.L 137.doc</t>
  </si>
  <si>
    <t>C:\Users\franc\OneDrive\Documentos\MALENTIN KARIME\PROTOCOLIZACION\2017\OLGA PIZARRO E.I.R.L 134.doc</t>
  </si>
  <si>
    <t>C:\Users\franc\OneDrive\Documentos\MALENTIN KARIME\PROTOCOLIZACION\2017\NELSON ACEITUNO Contrato.doc</t>
  </si>
  <si>
    <t>C:\Users\franc\OneDrive\Documentos\MALENTIN KARIME\PROTOCOLIZACION\2017\NIDIA BARRAZA CASTILLO PROT Serviu.doc</t>
  </si>
  <si>
    <t>C:\Users\franc\OneDrive\Documentos\MALENTIN KARIME\PROTOCOLIZACION\2017\NELSON ACEITUNO Contrato Modificacion 08.doc</t>
  </si>
  <si>
    <t>C:\Users\franc\OneDrive\Documentos\MALENTIN KARIME\PROTOCOLIZACION\2017\NELSON ACEITUNO Contrato Modificacion 132.doc</t>
  </si>
  <si>
    <t>C:\Users\franc\OneDrive\Documentos\MALENTIN KARIME\PROTOCOLIZACION\2017\MARIO PIZARRO plano.doc</t>
  </si>
  <si>
    <t>C:\Users\franc\OneDrive\Documentos\MALENTIN KARIME\PROTOCOLIZACION\2017\NELSON ACEITUNO  propuesta 102 mod.doc</t>
  </si>
  <si>
    <t>C:\Users\franc\OneDrive\Documentos\MALENTIN KARIME\PROTOCOLIZACION\2017\NELSON ACEITUNO Contrato 08.doc</t>
  </si>
  <si>
    <t>C:\Users\franc\OneDrive\Documentos\MALENTIN KARIME\PROTOCOLIZACION\2017\LA CISTERNA FS11.doc</t>
  </si>
  <si>
    <t>C:\Users\franc\OneDrive\Documentos\MALENTIN KARIME\PROTOCOLIZACION\2017\LUICIA ROJAS MARQUEZcontrato.doc</t>
  </si>
  <si>
    <t>C:\Users\franc\OneDrive\Documentos\MALENTIN KARIME\PROTOCOLIZACION\2017\LUIS TORRES CASTILLO Indap.doc</t>
  </si>
  <si>
    <t>C:\Users\franc\OneDrive\Documentos\MALENTIN KARIME\PROTOCOLIZACION\2017\KAREN VALDES ORDENES inventario.doc</t>
  </si>
  <si>
    <t>C:\Users\franc\OneDrive\Documentos\MALENTIN KARIME\PROTOCOLIZACION\2017\junta de vecinos las revuetlas.doc</t>
  </si>
  <si>
    <t>C:\Users\franc\OneDrive\Documentos\MALENTIN KARIME\PROTOCOLIZACION\2017\JUAN PLAZA SANTANA 24.doc</t>
  </si>
  <si>
    <t>C:\Users\franc\OneDrive\Documentos\MALENTIN KARIME\PROTOCOLIZACION\2017\JUNTA DE VECINOS el peral ojo de agua.doc</t>
  </si>
  <si>
    <t>C:\Users\franc\OneDrive\Documentos\MALENTIN KARIME\PROTOCOLIZACION\2017\JOSE MARILAF PABLAZA contrato.doc</t>
  </si>
  <si>
    <t>C:\Users\franc\OneDrive\Documentos\MALENTIN KARIME\PROTOCOLIZACION\2017\JUAN PLAZA SANTANA 100.doc</t>
  </si>
  <si>
    <t>C:\Users\franc\OneDrive\Documentos\MALENTIN KARIME\PROTOCOLIZACION\2017\JESSICA ROJAS ANGEL Y ELIAS GOMEZ ProTCvtadoc.doc</t>
  </si>
  <si>
    <t>C:\Users\franc\OneDrive\Documentos\MALENTIN KARIME\PROTOCOLIZACION\2017\JACOB JAQUE Contrato.doc</t>
  </si>
  <si>
    <t>C:\Users\franc\OneDrive\Documentos\MALENTIN KARIME\PROTOCOLIZACION\2017\INGENIERIA Y SERVICIOS ZARTH modif contrato.doc</t>
  </si>
  <si>
    <t>C:\Users\franc\OneDrive\Documentos\MALENTIN KARIME\PROTOCOLIZACION\2017\H.G. Y B SERVICIOS ASOCIADOS.doc</t>
  </si>
  <si>
    <t>C:\Users\franc\OneDrive\Documentos\MALENTIN KARIME\PROTOCOLIZACION\2017\GONZALO IRIARTE ROJAS Indap.doc</t>
  </si>
  <si>
    <t>C:\Users\franc\OneDrive\Documentos\MALENTIN KARIME\PROTOCOLIZACION\2017\H.G. Y B SERVICIOS ASOCIADOS convenio.doc</t>
  </si>
  <si>
    <t>C:\Users\franc\OneDrive\Documentos\MALENTIN KARIME\PROTOCOLIZACION\2017\Francisco Carvajal.doc</t>
  </si>
  <si>
    <t>C:\Users\franc\OneDrive\Documentos\MALENTIN KARIME\PROTOCOLIZACION\2017\GIORGIO RATTO Contrato.doc</t>
  </si>
  <si>
    <t>C:\Users\franc\OneDrive\Documentos\MALENTIN KARIME\PROTOCOLIZACION\2017\FERNANDO PRIETO CANALES propuesta 94.doc</t>
  </si>
  <si>
    <t>C:\Users\franc\OneDrive\Documentos\MALENTIN KARIME\PROTOCOLIZACION\2017\FERNANDO PRIETO CANALES propuesta.doc</t>
  </si>
  <si>
    <t>C:\Users\franc\OneDrive\Documentos\MALENTIN KARIME\PROTOCOLIZACION\2017\FERNANDO PRIETO CANALES MOD 2017.doc</t>
  </si>
  <si>
    <t>C:\Users\franc\OneDrive\Documentos\MALENTIN KARIME\PROTOCOLIZACION\2017\FERNANDO PRIETO CANALES propuesta 102 mod.doc</t>
  </si>
  <si>
    <t>C:\Users\franc\OneDrive\Documentos\MALENTIN KARIME\PROTOCOLIZACION\2017\FERNANDO PRIETO CANALES  mod 102.doc</t>
  </si>
  <si>
    <t>C:\Users\franc\OneDrive\Documentos\MALENTIN KARIME\PROTOCOLIZACION\2017\ELECOOP 03 Agosto.doc</t>
  </si>
  <si>
    <t>C:\Users\franc\OneDrive\Documentos\MALENTIN KARIME\PROTOCOLIZACION\2017\EDUARDO LOPEZ 46contrato.doc</t>
  </si>
  <si>
    <t>C:\Users\franc\OneDrive\Documentos\MALENTIN KARIME\PROTOCOLIZACION\2017\EDUARDO LOPEZ 46contrato 130.doc</t>
  </si>
  <si>
    <t>C:\Users\franc\OneDrive\Documentos\MALENTIN KARIME\PROTOCOLIZACION\2017\EDUARDO LOPEZ 46 MODIF 46.doc</t>
  </si>
  <si>
    <t>C:\Users\franc\OneDrive\Documentos\MALENTIN KARIME\PROTOCOLIZACION\2017\EDUARDO LOPEZ 46 MODIF 46 iii.doc</t>
  </si>
  <si>
    <t>C:\Users\franc\OneDrive\Documentos\MALENTIN KARIME\PROTOCOLIZACION\2017\EDO. VARAS LEDEZMA.doc</t>
  </si>
  <si>
    <t>C:\Users\franc\OneDrive\Documentos\MALENTIN KARIME\PROTOCOLIZACION\2017\EDUARDO ERNESTO LOPEZ GARCIA firma.doc</t>
  </si>
  <si>
    <t>C:\Users\franc\OneDrive\Documentos\MALENTIN KARIME\PROTOCOLIZACION\2017\DIEGO CORTES DIAZ  prot 682017.doc</t>
  </si>
  <si>
    <t>C:\Users\franc\OneDrive\Documentos\MALENTIN KARIME\PROTOCOLIZACION\2017\DIEGO CORTES DIAZ 2017.doc</t>
  </si>
  <si>
    <t>C:\Users\franc\OneDrive\Documentos\MALENTIN KARIME\PROTOCOLIZACION\2017\DANIELA PEÑAILILLO inventario.doc</t>
  </si>
  <si>
    <t>C:\Users\franc\OneDrive\Documentos\MALENTIN KARIME\PROTOCOLIZACION\2017\CUERPO DE BOMBEROS 8 CIA.doc</t>
  </si>
  <si>
    <t>C:\Users\franc\OneDrive\Documentos\MALENTIN KARIME\PROTOCOLIZACION\2017\CUERPO DE BOMBEROS 7 CIA.doc</t>
  </si>
  <si>
    <t>C:\Users\franc\OneDrive\Documentos\MALENTIN KARIME\PROTOCOLIZACION\2017\CORPORACION SOCIAL Y DEPORTIVA DE OVALLE.doc</t>
  </si>
  <si>
    <t>C:\Users\franc\OneDrive\Documentos\MALENTIN KARIME\PROTOCOLIZACION\2017\CUERPO DE BOMBEROS 5 CIA.doc</t>
  </si>
  <si>
    <t>C:\Users\franc\OneDrive\Documentos\MALENTIN KARIME\PROTOCOLIZACION\2017\CORPORACION CULTURAL MUNICIPAL DE OVALLE.doc</t>
  </si>
  <si>
    <t>C:\Users\franc\OneDrive\Documentos\MALENTIN KARIME\PROTOCOLIZACION\2017\CONSTRUCTORA CORTES &amp; OLIVARES.doc</t>
  </si>
  <si>
    <t>C:\Users\franc\OneDrive\Documentos\MALENTIN KARIME\PROTOCOLIZACION\2017\CONSTRUCTORA CORTES &amp; OLIVARES 41.doc</t>
  </si>
  <si>
    <t>C:\Users\franc\OneDrive\Documentos\MALENTIN KARIME\PROTOCOLIZACION\2017\CONSTRUCTORA CORTES &amp; OLIVARES 93.doc</t>
  </si>
  <si>
    <t>C:\Users\franc\OneDrive\Documentos\MALENTIN KARIME\PROTOCOLIZACION\2017\CONSTRUCCIONES FMV S.A..doc</t>
  </si>
  <si>
    <t>C:\Users\franc\OneDrive\Documentos\MALENTIN KARIME\PROTOCOLIZACION\2017\CONGREGACION SAN JUAN B.doc</t>
  </si>
  <si>
    <t>C:\Users\franc\OneDrive\Documentos\MALENTIN KARIME\PROTOCOLIZACION\2017\CONDOMINIO OVALLE I Y II.doc</t>
  </si>
  <si>
    <t>C:\Users\franc\OneDrive\Documentos\MALENTIN KARIME\PROTOCOLIZACION\2017\COMUNIDAD PUNITAQUI Acta 4 junio.doc</t>
  </si>
  <si>
    <t>C:\Users\franc\OneDrive\Documentos\MALENTIN KARIME\PROTOCOLIZACION\2017\CONDOMINIO ALTOS DE TUQUI.doc</t>
  </si>
  <si>
    <t>C:\Users\franc\OneDrive\Documentos\MALENTIN KARIME\PROTOCOLIZACION\2017\COMUNIDAD PUNITAQUI Acta 11 junio.doc</t>
  </si>
  <si>
    <t>C:\Users\franc\OneDrive\Documentos\MALENTIN KARIME\PROTOCOLIZACION\2017\comunidad ORURO Maritza Opazo.doc</t>
  </si>
  <si>
    <t>C:\Users\franc\OneDrive\Documentos\MALENTIN KARIME\PROTOCOLIZACION\2017\COMUNIDAD MAITENES DE SERON.doc</t>
  </si>
  <si>
    <t>C:\Users\franc\OneDrive\Documentos\MALENTIN KARIME\PROTOCOLIZACION\2017\COMUNIDAD LA RINCONADA DE PUNITAQUI.doc</t>
  </si>
  <si>
    <t>C:\Users\franc\OneDrive\Documentos\MALENTIN KARIME\PROTOCOLIZACION\2017\COMUNIDAD MAITENES DE SAMO ALTO.doc</t>
  </si>
  <si>
    <t>C:\Users\franc\OneDrive\Documentos\MALENTIN KARIME\PROTOCOLIZACION\2017\COMUNIDAD JUNTA EDIFICIO DIAGUITAS FS. 29.doc</t>
  </si>
  <si>
    <t>C:\Users\franc\OneDrive\Documentos\MALENTIN KARIME\PROTOCOLIZACION\2017\COMUNIDAD DE AGUAS POBLACION MIALQUI.doc</t>
  </si>
  <si>
    <t>C:\Users\franc\OneDrive\Documentos\MALENTIN KARIME\PROTOCOLIZACION\2017\COMUNIDAD DE AGUAS CANAL TOMILLA SAN LUIS.doc</t>
  </si>
  <si>
    <t>C:\Users\franc\OneDrive\Documentos\MALENTIN KARIME\PROTOCOLIZACION\2017\COMUNIDAD DE AGUAS CANAL TOMESITO ALTO.doc</t>
  </si>
  <si>
    <t>C:\Users\franc\OneDrive\Documentos\MALENTIN KARIME\PROTOCOLIZACION\2017\COMUNIDAD DE AGUAS CANAL QDA GRANDE ALTA Y BAJA.doc</t>
  </si>
  <si>
    <t>C:\Users\franc\OneDrive\Documentos\MALENTIN KARIME\PROTOCOLIZACION\2017\COMUNIDAD DE AGUAS CANAL INFIERNILLO DE TULAHUEN.doc</t>
  </si>
  <si>
    <t>C:\Users\franc\OneDrive\Documentos\MALENTIN KARIME\PROTOCOLIZACION\2017\COMUNIDAD DE AGUAS CANAL EL COIPO.doc</t>
  </si>
  <si>
    <t>C:\Users\franc\OneDrive\Documentos\MALENTIN KARIME\PROTOCOLIZACION\2017\COMUNIDAD AGRICOLA LOS TOMES DE CANELA.doc</t>
  </si>
  <si>
    <t>C:\Users\franc\OneDrive\Documentos\MALENTIN KARIME\PROTOCOLIZACION\2017\COMUNIDAD AGRICOLA Punitaqui.doc</t>
  </si>
  <si>
    <t>C:\Users\franc\OneDrive\Documentos\MALENTIN KARIME\PROTOCOLIZACION\2017\COMUNIDAD AGRICOLA LOS MAITENES SAMO ALTO.doc</t>
  </si>
  <si>
    <t>C:\Users\franc\OneDrive\Documentos\MALENTIN KARIME\PROTOCOLIZACION\2017\COMUNIDA AGRICOLA LA CEBADA.doc</t>
  </si>
  <si>
    <t>C:\Users\franc\OneDrive\Documentos\MALENTIN KARIME\PROTOCOLIZACION\2017\COMUNIDAD AGRICOLA Higueritas Unidas.doc</t>
  </si>
  <si>
    <t>C:\Users\franc\OneDrive\Documentos\MALENTIN KARIME\PROTOCOLIZACION\2017\COMUNIDA AGRICOLA BARRAZA.doc</t>
  </si>
  <si>
    <t>C:\Users\franc\OneDrive\Documentos\MALENTIN KARIME\PROTOCOLIZACION\2017\COMUNIDA AGRICOLA CARCAMO.doc</t>
  </si>
  <si>
    <t>C:\Users\franc\OneDrive\Documentos\MALENTIN KARIME\PROTOCOLIZACION\2017\COMUNIDA AGRICOLA EL PERAL OJO DE AGUA.doc</t>
  </si>
  <si>
    <t>C:\Users\franc\OneDrive\Documentos\MALENTIN KARIME\PROTOCOLIZACION\2017\COMUNIADAD LA CISTERNA.doc</t>
  </si>
  <si>
    <t>C:\Users\franc\OneDrive\Documentos\MALENTIN KARIME\PROTOCOLIZACION\2017\COMUNIADAD LA CISTERNA 57v.doc</t>
  </si>
  <si>
    <t>C:\Users\franc\OneDrive\Documentos\MALENTIN KARIME\PROTOCOLIZACION\2017\COMUNIADAD LA CISTERNA 49v.doc</t>
  </si>
  <si>
    <t>C:\Users\franc\OneDrive\Documentos\MALENTIN KARIME\PROTOCOLIZACION\2017\COMUNIADAD LA CISTERNA 55v.doc</t>
  </si>
  <si>
    <t>C:\Users\franc\OneDrive\Documentos\MALENTIN KARIME\PROTOCOLIZACION\2017\COMUNIADAD LA CISTERNA 11.doc</t>
  </si>
  <si>
    <t>C:\Users\franc\OneDrive\Documentos\MALENTIN KARIME\PROTOCOLIZACION\2017\Compraventa de derechos Hugo Castillo y otros a Claudia Castillo.doc</t>
  </si>
  <si>
    <t>C:\Users\franc\OneDrive\Documentos\MALENTIN KARIME\PROTOCOLIZACION\2017\COMITE PRO CASA NUEVA ESPERANZA.doc</t>
  </si>
  <si>
    <t>C:\Users\franc\OneDrive\Documentos\MALENTIN KARIME\PROTOCOLIZACION\2017\COMITE PRO CASA VILLA LA PORTADA.doc</t>
  </si>
  <si>
    <t>C:\Users\franc\OneDrive\Documentos\MALENTIN KARIME\PROTOCOLIZACION\2017\COMITE APR LAGUNILLAS.doc</t>
  </si>
  <si>
    <t>C:\Users\franc\OneDrive\Documentos\MALENTIN KARIME\PROTOCOLIZACION\2017\COMITE APR LA UNION.doc</t>
  </si>
  <si>
    <t>C:\Users\franc\OneDrive\Documentos\MALENTIN KARIME\PROTOCOLIZACION\2017\COMITE APR LA UNION 32 v.doc</t>
  </si>
  <si>
    <t>C:\Users\franc\OneDrive\Documentos\MALENTIN KARIME\PROTOCOLIZACION\2017\COMITE APR HIGUERITAS UNIDAS.doc</t>
  </si>
  <si>
    <t>C:\Users\franc\OneDrive\Documentos\MALENTIN KARIME\PROTOCOLIZACION\2017\COMITE APR HIGUERITAS UNIDAS estatutos.doc</t>
  </si>
  <si>
    <t>C:\Users\franc\OneDrive\Documentos\MALENTIN KARIME\PROTOCOLIZACION\2017\CIRCULO DE FERROVIARIOS JUBILADOS.doc</t>
  </si>
  <si>
    <t>C:\Users\franc\OneDrive\Documentos\MALENTIN KARIME\PROTOCOLIZACION\2017\CLAUDIO PIZARRO DIAZ contrato.doc</t>
  </si>
  <si>
    <t>C:\Users\franc\OneDrive\Documentos\MALENTIN KARIME\PROTOCOLIZACION\2017\CHIRINO SANTA MARIA ROJAS.doc</t>
  </si>
  <si>
    <t>C:\Users\franc\OneDrive\Documentos\MALENTIN KARIME\PROTOCOLIZACION\2017\CHIRINO SANTA MARIA ROJAS 74.doc</t>
  </si>
  <si>
    <t>C:\Users\franc\OneDrive\Documentos\MALENTIN KARIME\PROTOCOLIZACION\2017\CHIRINO SANTA MARIA ROJAS 59.doc</t>
  </si>
  <si>
    <t>C:\Users\franc\OneDrive\Documentos\MALENTIN KARIME\PROTOCOLIZACION\2017\CHIRINO SANTA MARIA ROJAS 69.doc</t>
  </si>
  <si>
    <t>C:\Users\franc\OneDrive\Documentos\MALENTIN KARIME\PROTOCOLIZACION\2017\CENTRO CULTURAL Y MUSICAL EL PALQUI.doc</t>
  </si>
  <si>
    <t>C:\Users\franc\OneDrive\Documentos\MALENTIN KARIME\PROTOCOLIZACION\2017\CARLOS GUILLEN VERDEJO contrato.doc</t>
  </si>
  <si>
    <t>C:\Users\franc\OneDrive\Documentos\MALENTIN KARIME\PROTOCOLIZACION\2017\CARMEN CORTES INFANTE drogas 2017.doc</t>
  </si>
  <si>
    <t>C:\Users\franc\OneDrive\Documentos\MALENTIN KARIME\PROTOCOLIZACION\2017\CARABINEROS.doc</t>
  </si>
  <si>
    <t>C:\Users\franc\OneDrive\Documentos\MALENTIN KARIME\PROTOCOLIZACION\2017\CARLOS ARDILES ARDILES contrato.doc</t>
  </si>
  <si>
    <t>C:\Users\franc\OneDrive\Documentos\MALENTIN KARIME\PROTOCOLIZACION\2017\BERNARDO QUEZADA VARASS linea 6.doc</t>
  </si>
  <si>
    <t>C:\Users\franc\OneDrive\Documentos\MALENTIN KARIME\PROTOCOLIZACION\2017\BOMBEROS 6 Compañia.doc</t>
  </si>
  <si>
    <t>C:\Users\franc\OneDrive\Documentos\MALENTIN KARIME\PROTOCOLIZACION\2017\BERNARDO QUEZADA VARASS linea 6 El Mirador.doc</t>
  </si>
  <si>
    <t>C:\Users\franc\OneDrive\Documentos\MALENTIN KARIME\PROTOCOLIZACION\2017\BERNARDO QUEZADA VARASS linea 6 Sotaqui.doc</t>
  </si>
  <si>
    <t>C:\Users\franc\OneDrive\Documentos\MALENTIN KARIME\PROTOCOLIZACION\2017\BERNARDO QUEZADA VARASS linea 6 Atenas.doc</t>
  </si>
  <si>
    <t>C:\Users\franc\OneDrive\Documentos\MALENTIN KARIME\PROTOCOLIZACION\2017\BERNARDO QUEZADA VARASS linea 1.doc</t>
  </si>
  <si>
    <t>C:\Users\franc\OneDrive\Documentos\MALENTIN KARIME\PROTOCOLIZACION\2017\autorizacion junta vigilancia.doc</t>
  </si>
  <si>
    <t>C:\Users\franc\OneDrive\Documentos\MALENTIN KARIME\PROTOCOLIZACION\2017\autorizacion.doc</t>
  </si>
  <si>
    <t>C:\Users\franc\OneDrive\Documentos\MALENTIN KARIME\PROTOCOLIZACION\2017\autorizacion asistencia.doc</t>
  </si>
  <si>
    <t>C:\Users\franc\OneDrive\Documentos\MALENTIN KARIME\PROTOCOLIZACION\2017\ASOC. GREMIAL MAYORISTAS OVALLE.doc</t>
  </si>
  <si>
    <t>C:\Users\franc\OneDrive\Documentos\MALENTIN KARIME\PROTOCOLIZACION\2017\ASOC. GREMIAL MAYORISTAS OVALLE 07 ago.doc</t>
  </si>
  <si>
    <t>C:\Users\franc\OneDrive\Documentos\MALENTIN KARIME\PROTOCOLIZACION\2017\ARNALDO RIVERA LAZO contrato.doc</t>
  </si>
  <si>
    <t>C:\Users\franc\OneDrive\Documentos\MALENTIN KARIME\PROTOCOLIZACION\2017\ANA ESPINOZA PLAZA Particular.doc</t>
  </si>
  <si>
    <t>C:\Users\franc\OneDrive\Documentos\MALENTIN KARIME\PROTOCOLIZACION\2017\ANTOLIN ARACENA linea 4.doc</t>
  </si>
  <si>
    <t>C:\Users\franc\OneDrive\Documentos\MALENTIN KARIME\PROTOCOLIZACION\2016\ROBERTO VEGA (Resuelvo 4025 DOH).doc</t>
  </si>
  <si>
    <t>C:\Users\franc\OneDrive\Documentos\MALENTIN KARIME\PROTOCOLIZACION\2016\SUSANA MARGARITA ARAYA Indap.doc</t>
  </si>
  <si>
    <t>C:\Users\franc\OneDrive\Documentos\MALENTIN KARIME\PROTOCOLIZACION\2016\ROBERTO VEGA (Resuelvo 3993 DOH).doc</t>
  </si>
  <si>
    <t>C:\Users\franc\OneDrive\Documentos\MALENTIN KARIME\PROTOCOLIZACION\2016\ROBERTO VEGA (Resuelvo 4020 DOH).doc</t>
  </si>
  <si>
    <t>C:\Users\franc\OneDrive\Documentos\MALENTIN KARIME\PROTOCOLIZACION\2016\ROBERTO VEGA (Resuelvo 3288 DOH).doc</t>
  </si>
  <si>
    <t>C:\Users\franc\OneDrive\Documentos\MALENTIN KARIME\PROTOCOLIZACION\2016\ROBERTO VEGA (Resuelvo 3304 DOH).doc</t>
  </si>
  <si>
    <t>C:\Users\franc\OneDrive\Documentos\MALENTIN KARIME\PROTOCOLIZACION\2016\REGANTES Asociacion canalistas punitaqui.doc</t>
  </si>
  <si>
    <t>C:\Users\franc\OneDrive\Documentos\MALENTIN KARIME\PROTOCOLIZACION\2016\PRIMERA COMPAÑIA BOMBEROS.doc</t>
  </si>
  <si>
    <t>C:\Users\franc\OneDrive\Documentos\MALENTIN KARIME\PROTOCOLIZACION\2016\plano ERNESTO MARIN TAPIA.doc</t>
  </si>
  <si>
    <t>C:\Users\franc\OneDrive\Documentos\MALENTIN KARIME\PROTOCOLIZACION\2016\PLACIDO CORTES Mandato.doc</t>
  </si>
  <si>
    <t>C:\Users\franc\OneDrive\Documentos\MALENTIN KARIME\PROTOCOLIZACION\2016\MARIA VARELA PINTO Propuesta.doc</t>
  </si>
  <si>
    <t>C:\Users\franc\OneDrive\Documentos\MALENTIN KARIME\PROTOCOLIZACION\2016\NELSON ROBLES ARAYA Indap.doc</t>
  </si>
  <si>
    <t>C:\Users\franc\OneDrive\Documentos\MALENTIN KARIME\PROTOCOLIZACION\2016\LUIS GALLARDO Inventario.doc</t>
  </si>
  <si>
    <t>C:\Users\franc\OneDrive\Documentos\MALENTIN KARIME\PROTOCOLIZACION\2016\MARIA ANGELICA CARMONA PIZARRO.doc</t>
  </si>
  <si>
    <t>C:\Users\franc\OneDrive\Documentos\MALENTIN KARIME\PROTOCOLIZACION\2016\FRANCISCO PROHENS S.doc</t>
  </si>
  <si>
    <t>C:\Users\franc\OneDrive\Documentos\MALENTIN KARIME\PROTOCOLIZACION\2016\JUAN JAIME PROHENS S.doc</t>
  </si>
  <si>
    <t>C:\Users\franc\OneDrive\Documentos\MALENTIN KARIME\PROTOCOLIZACION\2016\ELECOOP.doc</t>
  </si>
  <si>
    <t>C:\Users\franc\OneDrive\Documentos\MALENTIN KARIME\PROTOCOLIZACION\2016\ELECOOP 30 junio.doc</t>
  </si>
  <si>
    <t>C:\Users\franc\OneDrive\Documentos\MALENTIN KARIME\PROTOCOLIZACION\2016\EDUARDO LOPEZ contrato directo Escuela Guardia Marina.doc</t>
  </si>
  <si>
    <t>C:\Users\franc\OneDrive\Documentos\MALENTIN KARIME\PROTOCOLIZACION\2016\EDUARDO LOPEZ contrato directo Liceo Politecnico.doc</t>
  </si>
  <si>
    <t>C:\Users\franc\OneDrive\Documentos\MALENTIN KARIME\PROTOCOLIZACION\2016\EDUARDO LOPEZ  PROP 99.doc</t>
  </si>
  <si>
    <t>C:\Users\franc\OneDrive\Documentos\MALENTIN KARIME\PROTOCOLIZACION\2016\EDUARDO LOPEZ  PROP 93.doc</t>
  </si>
  <si>
    <t>C:\Users\franc\OneDrive\Documentos\MALENTIN KARIME\PROTOCOLIZACION\2016\EDUARDO LOPEZ  PROP 78 Modifica.doc</t>
  </si>
  <si>
    <t>C:\Users\franc\OneDrive\Documentos\MALENTIN KARIME\PROTOCOLIZACION\2016\EDUARDO LOPEZ  PROP 78.doc</t>
  </si>
  <si>
    <t>C:\Users\franc\OneDrive\Documentos\MALENTIN KARIME\PROTOCOLIZACION\2016\EDUARDO LOPEZ  PROP 103.doc</t>
  </si>
  <si>
    <t>C:\Users\franc\OneDrive\Documentos\MALENTIN KARIME\PROTOCOLIZACION\2016\EDUARDO LOPEZ  PROP 104.doc</t>
  </si>
  <si>
    <t>C:\Users\franc\OneDrive\Documentos\MALENTIN KARIME\PROTOCOLIZACION\2016\EDUARDO LOPEZ  PROP 46.doc</t>
  </si>
  <si>
    <t>C:\Users\franc\OneDrive\Documentos\MALENTIN KARIME\PROTOCOLIZACION\2016\CRISTIAN MOYA TAPIA}  Propuesta.doc</t>
  </si>
  <si>
    <t>C:\Users\franc\OneDrive\Documentos\MALENTIN KARIME\PROTOCOLIZACION\2016\EDO. VARAS LEDEZMA.doc</t>
  </si>
  <si>
    <t>C:\Users\franc\OneDrive\Documentos\MALENTIN KARIME\PROTOCOLIZACION\2016\CONDOMINIO DEL ATARDECER fs 3.doc</t>
  </si>
  <si>
    <t>C:\Users\franc\OneDrive\Documentos\MALENTIN KARIME\PROTOCOLIZACION\2016\CONDOMINIO DEL ATARDECER fs 5.doc</t>
  </si>
  <si>
    <t>C:\Users\franc\OneDrive\Documentos\MALENTIN KARIME\PROTOCOLIZACION\2016\COMUNIDAD PUNITAQUI.doc</t>
  </si>
  <si>
    <t>C:\Users\franc\OneDrive\Documentos\MALENTIN KARIME\PROTOCOLIZACION\2016\comunidad ORURO.doc</t>
  </si>
  <si>
    <t>C:\Users\franc\OneDrive\Documentos\MALENTIN KARIME\PROTOCOLIZACION\2016\comunidad LA COIPA.doc</t>
  </si>
  <si>
    <t>C:\Users\franc\OneDrive\Documentos\MALENTIN KARIME\PROTOCOLIZACION\2016\COMUNIDAD BUENOS AIRES DE PUNILLA.doc</t>
  </si>
  <si>
    <t>C:\Users\franc\OneDrive\Documentos\MALENTIN KARIME\PROTOCOLIZACION\2016\COMUNIDAD DRENAJE CACHIYUYO.doc</t>
  </si>
  <si>
    <t>C:\Users\franc\OneDrive\Documentos\MALENTIN KARIME\PROTOCOLIZACION\2016\COMUNIDAD ALGARROBOS DE HORNILLOS.doc</t>
  </si>
  <si>
    <t>C:\Users\franc\OneDrive\Documentos\MALENTIN KARIME\PROTOCOLIZACION\2016\COMUNIDAD AGRICOLA LOS TAPIA.doc</t>
  </si>
  <si>
    <t>C:\Users\franc\OneDrive\Documentos\MALENTIN KARIME\PROTOCOLIZACION\2016\COMUNIDAD AGRICOLA LAS DAMAS.doc</t>
  </si>
  <si>
    <t>C:\Users\franc\OneDrive\Documentos\MALENTIN KARIME\PROTOCOLIZACION\2016\COMITE PRO CASA CERRO AMARILLO.doc</t>
  </si>
  <si>
    <t>C:\Users\franc\OneDrive\Documentos\MALENTIN KARIME\PROTOCOLIZACION\2016\COMUNIDAD AGRICOLA CERRO BLANCO.doc</t>
  </si>
  <si>
    <t>C:\Users\franc\OneDrive\Documentos\MALENTIN KARIME\PROTOCOLIZACION\2016\CIRO BERRIOS  Propuesta.doc</t>
  </si>
  <si>
    <t>C:\Users\franc\OneDrive\Documentos\MALENTIN KARIME\PROTOCOLIZACION\2016\BOMBEROS SEGUNDA CIA. FS9 v.doc</t>
  </si>
  <si>
    <t>C:\Users\franc\OneDrive\Documentos\MALENTIN KARIME\PROTOCOLIZACION\2016\BOMBEROS 6 Compañia.doc</t>
  </si>
  <si>
    <t>C:\Users\franc\OneDrive\Documentos\MALENTIN KARIME\PROTOCOLIZACION\2016\Anibal Serrano Drogas.doc</t>
  </si>
  <si>
    <t>C:\Users\franc\OneDrive\Documentos\MALENTIN KARIME\PROTOCOLIZACION\2016\ASOCIACION PEQUEÑOS MINERO EL HUACHO.doc</t>
  </si>
  <si>
    <t>C:\Users\franc\OneDrive\Documentos\MALENTIN KARIME\PROTOCOLIZACION\2016\ANA PIZARRO Inventario.doc</t>
  </si>
  <si>
    <t>C:\Users\franc\OneDrive\Documentos\MALENTIN KARIME\PROTOCOLIZACION\2016\ANA GUERRERO MONDACA.doc</t>
  </si>
  <si>
    <t>C:\Users\franc\OneDrive\Documentos\MALENTIN KARIME\PROTOCOLIZACION\2016\ANA ARAYA ROJO Drogas.doc</t>
  </si>
  <si>
    <t>C:\Users\franc\OneDrive\Documentos\MALENTIN KARIME\PROTOCOLIZACION\2015\YOBANA SEGOVIA.doc</t>
  </si>
  <si>
    <t>C:\Users\franc\OneDrive\Documentos\MALENTIN KARIME\PROTOCOLIZACION\2015\VALESKA TORRES Inventario.doc</t>
  </si>
  <si>
    <t>C:\Users\franc\OneDrive\Documentos\MALENTIN KARIME\PROTOCOLIZACION\2015\TRANSPORTES Y SERVICIOS SIBERIA.doc</t>
  </si>
  <si>
    <t>C:\Users\franc\OneDrive\Documentos\MALENTIN KARIME\PROTOCOLIZACION\2015\TRANSPORTES E ING BERRIOS  Propuesta.doc</t>
  </si>
  <si>
    <t>C:\Users\franc\OneDrive\Documentos\MALENTIN KARIME\PROTOCOLIZACION\2015\SUSANA FLORES  Propuesta FERIA.doc</t>
  </si>
  <si>
    <t>C:\Users\franc\OneDrive\Documentos\MALENTIN KARIME\PROTOCOLIZACION\2015\TASUI Convenio.doc</t>
  </si>
  <si>
    <t>C:\Users\franc\OneDrive\Documentos\MALENTIN KARIME\PROTOCOLIZACION\2015\SERVICIOS DE INGENIERIA  Propuesta  modif AGOSTO.doc</t>
  </si>
  <si>
    <t>C:\Users\franc\OneDrive\Documentos\MALENTIN KARIME\PROTOCOLIZACION\2015\SERVICIOS DE INGENIERIA  Propuesta  modif 34.doc</t>
  </si>
  <si>
    <t>C:\Users\franc\OneDrive\Documentos\MALENTIN KARIME\PROTOCOLIZACION\2015\SERVICIOS DE INGENIERIA  Propuesta  modif 33 de nov.doc</t>
  </si>
  <si>
    <t>C:\Users\franc\OneDrive\Documentos\MALENTIN KARIME\PROTOCOLIZACION\2015\SERVICIOS DE INGENIERIA  Propuesta  modif 33.doc</t>
  </si>
  <si>
    <t>C:\Users\franc\OneDrive\Documentos\MALENTIN KARIME\PROTOCOLIZACION\2015\SERVICIOS DE INGENIERIA  Propuesta  modif 22.doc</t>
  </si>
  <si>
    <t>C:\Users\franc\OneDrive\Documentos\MALENTIN KARIME\PROTOCOLIZACION\2015\SERVICIOS DE INGENIERIA  Propuesta  modif 18.doc</t>
  </si>
  <si>
    <t>C:\Users\franc\OneDrive\Documentos\MALENTIN KARIME\PROTOCOLIZACION\2015\SERVICIOS DE INGENIERIA  Propuesta  23modif AGOSTO.doc</t>
  </si>
  <si>
    <t>C:\Users\franc\OneDrive\Documentos\MALENTIN KARIME\PROTOCOLIZACION\2015\SERVICIOS DE INGENIERIA  Propuesta  23modif AGOSTO2.doc</t>
  </si>
  <si>
    <t>C:\Users\franc\OneDrive\Documentos\MALENTIN KARIME\PROTOCOLIZACION\2015\SERVICIO TASUI  modif 02 III.doc</t>
  </si>
  <si>
    <t>C:\Users\franc\OneDrive\Documentos\MALENTIN KARIME\PROTOCOLIZACION\2015\SERVICIO TASUI  modif 02.doc</t>
  </si>
  <si>
    <t>C:\Users\franc\OneDrive\Documentos\MALENTIN KARIME\PROTOCOLIZACION\2015\ROSA PINTO ARAYA  Propuesta FERIA.doc</t>
  </si>
  <si>
    <t>C:\Users\franc\OneDrive\Documentos\MALENTIN KARIME\PROTOCOLIZACION\2015\RODRIGO DIAZ VILLALOBOS.doc</t>
  </si>
  <si>
    <t>C:\Users\franc\OneDrive\Documentos\MALENTIN KARIME\PROTOCOLIZACION\2015\RODRIGO DIAZ VILLALOBOS 14.doc</t>
  </si>
  <si>
    <t>C:\Users\franc\OneDrive\Documentos\MALENTIN KARIME\PROTOCOLIZACION\2015\RODRIGO DIAZ  Propuesta.doc</t>
  </si>
  <si>
    <t>C:\Users\franc\OneDrive\Documentos\MALENTIN KARIME\PROTOCOLIZACION\2015\ROBERTO VEGA PROP 63 Propuesta.doc</t>
  </si>
  <si>
    <t>C:\Users\franc\OneDrive\Documentos\MALENTIN KARIME\PROTOCOLIZACION\2015\ROBERTO VEGA (Resuelvo8196 DOH).doc</t>
  </si>
  <si>
    <t>C:\Users\franc\OneDrive\Documentos\MALENTIN KARIME\PROTOCOLIZACION\2015\ROBERTO VEGA anexo.doc</t>
  </si>
  <si>
    <t>C:\Users\franc\OneDrive\Documentos\MALENTIN KARIME\PROTOCOLIZACION\2015\ROBERTO VEGA (Resuelvo 3981 DOH).doc</t>
  </si>
  <si>
    <t>C:\Users\franc\OneDrive\Documentos\MALENTIN KARIME\PROTOCOLIZACION\2015\ROBERTO VEGA (Resuelvo 3984 DOH).doc</t>
  </si>
  <si>
    <t>C:\Users\franc\OneDrive\Documentos\MALENTIN KARIME\PROTOCOLIZACION\2015\ROBERTO VEGA (Resuelvo 2951 DOH).doc</t>
  </si>
  <si>
    <t>C:\Users\franc\OneDrive\Documentos\MALENTIN KARIME\PROTOCOLIZACION\2015\ROBERTO VEGA (Resuelvo 1784 DOH).doc</t>
  </si>
  <si>
    <t>C:\Users\franc\OneDrive\Documentos\MALENTIN KARIME\PROTOCOLIZACION\2015\ROBERTO VEGA (Resuelvo 1785 DOH).doc</t>
  </si>
  <si>
    <t>C:\Users\franc\OneDrive\Documentos\MALENTIN KARIME\PROTOCOLIZACION\2015\ROBERTO VEGA (Resuelvo 1718 DOH).doc</t>
  </si>
  <si>
    <t>C:\Users\franc\OneDrive\Documentos\MALENTIN KARIME\PROTOCOLIZACION\2015\ROBERTO VEGA (Resuelvo 1719 DOH).doc</t>
  </si>
  <si>
    <t>C:\Users\franc\OneDrive\Documentos\MALENTIN KARIME\PROTOCOLIZACION\2015\PROTEC CHILE LTDA. Propuesta.doc</t>
  </si>
  <si>
    <t>C:\Users\franc\OneDrive\Documentos\MALENTIN KARIME\PROTOCOLIZACION\2015\ROBERTO VEGA (Resuelvo 1300 DOH).doc</t>
  </si>
  <si>
    <t>C:\Users\franc\OneDrive\Documentos\MALENTIN KARIME\PROTOCOLIZACION\2015\PROTEC CHILE LTDA. Propuesta ANTONIO ARANCIBIA.doc</t>
  </si>
  <si>
    <t>C:\Users\franc\OneDrive\Documentos\MALENTIN KARIME\PROTOCOLIZACION\2015\PRAXIS CONSULTORES.doc</t>
  </si>
  <si>
    <t>C:\Users\franc\OneDrive\Documentos\MALENTIN KARIME\PROTOCOLIZACION\2015\PATRICIA ALFARO.doc</t>
  </si>
  <si>
    <t>C:\Users\franc\OneDrive\Documentos\MALENTIN KARIME\PROTOCOLIZACION\2015\PAISAJISMO CORDILLERA S.A. Propuesta.doc</t>
  </si>
  <si>
    <t>C:\Users\franc\OneDrive\Documentos\MALENTIN KARIME\PROTOCOLIZACION\2015\OLGA PIZARRO E.I.R.L ID 2711.doc</t>
  </si>
  <si>
    <t>C:\Users\franc\OneDrive\Documentos\MALENTIN KARIME\PROTOCOLIZACION\2015\OLGA TORO firma.doc</t>
  </si>
  <si>
    <t>C:\Users\franc\OneDrive\Documentos\MALENTIN KARIME\PROTOCOLIZACION\2015\OLGA PIZARRO E.I.R.L ID 2709LE15.doc</t>
  </si>
  <si>
    <t>C:\Users\franc\OneDrive\Documentos\MALENTIN KARIME\PROTOCOLIZACION\2015\OLGA PIZARRO E.I.R.L ID 2709.doc</t>
  </si>
  <si>
    <t>C:\Users\franc\OneDrive\Documentos\MALENTIN KARIME\PROTOCOLIZACION\2015\OGUER CAMPUSANO PINTO.doc</t>
  </si>
  <si>
    <t>C:\Users\franc\OneDrive\Documentos\MALENTIN KARIME\PROTOCOLIZACION\2015\NELSON VILLAVICENCIO.doc</t>
  </si>
  <si>
    <t>C:\Users\franc\OneDrive\Documentos\MALENTIN KARIME\PROTOCOLIZACION\2015\NILDA CARVAJAL TAPIA  Propuesta.doc</t>
  </si>
  <si>
    <t>C:\Users\franc\OneDrive\Documentos\MALENTIN KARIME\PROTOCOLIZACION\2015\MOISES ZEPEDA TABILO Indap.doc</t>
  </si>
  <si>
    <t>C:\Users\franc\OneDrive\Documentos\MALENTIN KARIME\PROTOCOLIZACION\2015\MONICA OLIVARES CONTRERAS Propuesta FERIA.doc</t>
  </si>
  <si>
    <t>C:\Users\franc\OneDrive\Documentos\MALENTIN KARIME\PROTOCOLIZACION\2015\MICHELLE  LATORRE Drogas.doc</t>
  </si>
  <si>
    <t>C:\Users\franc\OneDrive\Documentos\MALENTIN KARIME\PROTOCOLIZACION\2015\MARIA ZEPEDA PROVIS.doc</t>
  </si>
  <si>
    <t>C:\Users\franc\OneDrive\Documentos\MALENTIN KARIME\PROTOCOLIZACION\2015\MARIA CORTES CASTRO} Drogas.doc</t>
  </si>
  <si>
    <t>C:\Users\franc\OneDrive\Documentos\MALENTIN KARIME\PROTOCOLIZACION\2015\MARIA CARMONA PIZARRO.doc</t>
  </si>
  <si>
    <t>C:\Users\franc\OneDrive\Documentos\MALENTIN KARIME\PROTOCOLIZACION\2015\MARIA ARGANDOÑA  Propuesta FERIA.doc</t>
  </si>
  <si>
    <t>C:\Users\franc\OneDrive\Documentos\MALENTIN KARIME\PROTOCOLIZACION\2015\MARCIA OYANADEL Poder ext.doc</t>
  </si>
  <si>
    <t>C:\Users\franc\OneDrive\Documentos\MALENTIN KARIME\PROTOCOLIZACION\2015\LUIS LOPEZ ALVARADO.doc</t>
  </si>
  <si>
    <t>C:\Users\franc\OneDrive\Documentos\MALENTIN KARIME\PROTOCOLIZACION\2015\MARCELA DUBO ORDENES Alz.doc</t>
  </si>
  <si>
    <t>C:\Users\franc\OneDrive\Documentos\MALENTIN KARIME\PROTOCOLIZACION\2015\LUIS LOPEZ ALVARADO fs. 1.794.doc</t>
  </si>
  <si>
    <t>C:\Users\franc\OneDrive\Documentos\MALENTIN KARIME\PROTOCOLIZACION\2015\LUIS LOPEZ ALVARADO fs. 1.793.doc</t>
  </si>
  <si>
    <t>C:\Users\franc\OneDrive\Documentos\MALENTIN KARIME\PROTOCOLIZACION\2015\LUIS LOPEZ ALVARADO fs. 1.786v.doc</t>
  </si>
  <si>
    <t>C:\Users\franc\OneDrive\Documentos\MALENTIN KARIME\PROTOCOLIZACION\2015\LUIS FLORS ARAYAIndap.doc</t>
  </si>
  <si>
    <t>C:\Users\franc\OneDrive\Documentos\MALENTIN KARIME\PROTOCOLIZACION\2015\LABORATORIO VALPARAISO.doc</t>
  </si>
  <si>
    <t>C:\Users\franc\OneDrive\Documentos\MALENTIN KARIME\PROTOCOLIZACION\2015\LUIS AREYUNA contrato directo.doc</t>
  </si>
  <si>
    <t>C:\Users\franc\OneDrive\Documentos\MALENTIN KARIME\PROTOCOLIZACION\2015\JUNTA RIO COGOTI Y SUS AFLUENTES.doc</t>
  </si>
  <si>
    <t>C:\Users\franc\OneDrive\Documentos\MALENTIN KARIME\PROTOCOLIZACION\2015\KAREN VALDES ORDENES Inventario.doc</t>
  </si>
  <si>
    <t>C:\Users\franc\OneDrive\Documentos\MALENTIN KARIME\PROTOCOLIZACION\2015\JUNTA DE VECINOS LOS COPIHUES.doc</t>
  </si>
  <si>
    <t>C:\Users\franc\OneDrive\Documentos\MALENTIN KARIME\PROTOCOLIZACION\2015\JUNTA DE VECINOS PARRAL DE QUILES.doc</t>
  </si>
  <si>
    <t>C:\Users\franc\OneDrive\Documentos\MALENTIN KARIME\PROTOCOLIZACION\2015\JORGE GALINDO SOTOIndap.doc</t>
  </si>
  <si>
    <t>C:\Users\franc\OneDrive\Documentos\MALENTIN KARIME\PROTOCOLIZACION\2015\JOSE HUERTA VIORKLUMDS Poder ext.doc</t>
  </si>
  <si>
    <t>C:\Users\franc\OneDrive\Documentos\MALENTIN KARIME\PROTOCOLIZACION\2015\IVAN DELGADO CORTES Indap.doc</t>
  </si>
  <si>
    <t>C:\Users\franc\OneDrive\Documentos\MALENTIN KARIME\PROTOCOLIZACION\2015\JAVIER ORTIZ Propuesta.doc</t>
  </si>
  <si>
    <t>C:\Users\franc\OneDrive\Documentos\MALENTIN KARIME\PROTOCOLIZACION\2015\INMOB NORTE VERDE A Juan Araya Promesa.doc</t>
  </si>
  <si>
    <t>C:\Users\franc\OneDrive\Documentos\MALENTIN KARIME\PROTOCOLIZACION\2015\HUMBERTO SILVAIndap.doc</t>
  </si>
  <si>
    <t>C:\Users\franc\OneDrive\Documentos\MALENTIN KARIME\PROTOCOLIZACION\2015\INGENIERIA Y ARQUITECTURA DESARROLLO Propuesta.doc</t>
  </si>
  <si>
    <t>C:\Users\franc\OneDrive\Documentos\MALENTIN KARIME\PROTOCOLIZACION\2015\GABRIEL DIAZ BARRERA Indap.doc</t>
  </si>
  <si>
    <t>C:\Users\franc\OneDrive\Documentos\MALENTIN KARIME\PROTOCOLIZACION\2015\H.G. Y B SERVICIOS ASOCIADOS.doc</t>
  </si>
  <si>
    <t>C:\Users\franc\OneDrive\Documentos\MALENTIN KARIME\PROTOCOLIZACION\2015\HILDA ALFARO.doc</t>
  </si>
  <si>
    <t>C:\Users\franc\OneDrive\Documentos\MALENTIN KARIME\PROTOCOLIZACION\2015\FRANCISCO ASTUDILLO VEGA Poder ext.doc</t>
  </si>
  <si>
    <t>C:\Users\franc\OneDrive\Documentos\MALENTIN KARIME\PROTOCOLIZACION\2015\FRANCISCO VICENCIO contrato arrenda.doc</t>
  </si>
  <si>
    <t>C:\Users\franc\OneDrive\Documentos\MALENTIN KARIME\PROTOCOLIZACION\2015\EUGENIO JIMENEZ LARRAIN.doc</t>
  </si>
  <si>
    <t>C:\Users\franc\OneDrive\Documentos\MALENTIN KARIME\PROTOCOLIZACION\2015\FRANCISCO ACUÑA.doc</t>
  </si>
  <si>
    <t>C:\Users\franc\OneDrive\Documentos\MALENTIN KARIME\PROTOCOLIZACION\2015\EUFROSINA LOPEZ Inventario.doc</t>
  </si>
  <si>
    <t>C:\Users\franc\OneDrive\Documentos\MALENTIN KARIME\PROTOCOLIZACION\2015\ESCUELA DE FUTBOL Huamalata.doc</t>
  </si>
  <si>
    <t>C:\Users\franc\OneDrive\Documentos\MALENTIN KARIME\PROTOCOLIZACION\2015\ERIKA CARVAJAL Propuesta FERIA.doc</t>
  </si>
  <si>
    <t>C:\Users\franc\OneDrive\Documentos\MALENTIN KARIME\PROTOCOLIZACION\2015\EDUARDO OLIVARESIndap.doc</t>
  </si>
  <si>
    <t>C:\Users\franc\OneDrive\Documentos\MALENTIN KARIME\PROTOCOLIZACION\2015\EDUARDO LOPEZ Propuesta.doc</t>
  </si>
  <si>
    <t>C:\Users\franc\OneDrive\Documentos\MALENTIN KARIME\PROTOCOLIZACION\2015\EDUARDO LOPEZ Propuesta 14 .doc</t>
  </si>
  <si>
    <t>C:\Users\franc\OneDrive\Documentos\MALENTIN KARIME\PROTOCOLIZACION\2015\EDUARDO LOPEZ Propuesta 101 .doc</t>
  </si>
  <si>
    <t>C:\Users\franc\OneDrive\Documentos\MALENTIN KARIME\PROTOCOLIZACION\2015\EDUARDO LOPEZ contrato directo PADRE JOSEF .doc</t>
  </si>
  <si>
    <t>C:\Users\franc\OneDrive\Documentos\MALENTIN KARIME\PROTOCOLIZACION\2015\EDUARDO LOPEZ contrato directo FRAY JORGE .doc</t>
  </si>
  <si>
    <t>C:\Users\franc\OneDrive\Documentos\MALENTIN KARIME\PROTOCOLIZACION\2015\EDUARDO LOPEZ contrato directo LICEO A. JOFRE .doc</t>
  </si>
  <si>
    <t>C:\Users\franc\OneDrive\Documentos\MALENTIN KARIME\PROTOCOLIZACION\2015\EDUARDO LOPEZ contrato directo del 01 11 .doc</t>
  </si>
  <si>
    <t>C:\Users\franc\OneDrive\Documentos\MALENTIN KARIME\PROTOCOLIZACION\2015\EDUARDO LOPEZ contrato directo .doc</t>
  </si>
  <si>
    <t>C:\Users\franc\OneDrive\Documentos\MALENTIN KARIME\PROTOCOLIZACION\2015\DOMINGA HENRIQUEZ Indap modelo.doc</t>
  </si>
  <si>
    <t>C:\Users\franc\OneDrive\Documentos\MALENTIN KARIME\PROTOCOLIZACION\2015\DOMINGA HENRIQUEZ Indap.doc</t>
  </si>
  <si>
    <t>C:\Users\franc\OneDrive\Documentos\MALENTIN KARIME\PROTOCOLIZACION\2015\DARIO LAFFERTE CUELLA Arindo.... Indap.doc</t>
  </si>
  <si>
    <t>C:\Users\franc\OneDrive\Documentos\MALENTIN KARIME\PROTOCOLIZACION\2015\CONSTRUCTORA RUBERT ARAYA E.I.R.L.42doc.doc</t>
  </si>
  <si>
    <t>C:\Users\franc\OneDrive\Documentos\MALENTIN KARIME\PROTOCOLIZACION\2015\CONSTRUCTORA RUBERT ARAYA E.I.R.L.41 Adoc.doc</t>
  </si>
  <si>
    <t>C:\Users\franc\OneDrive\Documentos\MALENTIN KARIME\PROTOCOLIZACION\2015\CONSTRUCTORA RUBERT ARAYA E.I.R.L.20.doc</t>
  </si>
  <si>
    <t>C:\Users\franc\OneDrive\Documentos\MALENTIN KARIME\PROTOCOLIZACION\2015\CONSTRUCTORA RUBERT ARAYA E.I.R.L.3.doc</t>
  </si>
  <si>
    <t>C:\Users\franc\OneDrive\Documentos\MALENTIN KARIME\PROTOCOLIZACION\2015\CONSTRUCTORA RUBERT ARAYA E.I.R.L..doc</t>
  </si>
  <si>
    <t>C:\Users\franc\OneDrive\Documentos\MALENTIN KARIME\PROTOCOLIZACION\2015\COMUNIDAD SALALA.doc</t>
  </si>
  <si>
    <t>C:\Users\franc\OneDrive\Documentos\MALENTIN KARIME\PROTOCOLIZACION\2015\COMUNIDAD SOCOS.doc</t>
  </si>
  <si>
    <t>C:\Users\franc\OneDrive\Documentos\MALENTIN KARIME\PROTOCOLIZACION\2015\COMUNIDAD RAPELCILLO}.doc</t>
  </si>
  <si>
    <t>C:\Users\franc\OneDrive\Documentos\MALENTIN KARIME\PROTOCOLIZACION\2015\COMUNIDAD SALALA 2.doc</t>
  </si>
  <si>
    <t>C:\Users\franc\OneDrive\Documentos\MALENTIN KARIME\PROTOCOLIZACION\2015\comunidad ORURO.doc</t>
  </si>
  <si>
    <t>C:\Users\franc\OneDrive\Documentos\MALENTIN KARIME\PROTOCOLIZACION\2015\comunidad ORURO ACTA.doc</t>
  </si>
  <si>
    <t>C:\Users\franc\OneDrive\Documentos\MALENTIN KARIME\PROTOCOLIZACION\2015\comunidad ORURO ACTA FS19.doc</t>
  </si>
  <si>
    <t>C:\Users\franc\OneDrive\Documentos\MALENTIN KARIME\PROTOCOLIZACION\2015\COMUNIDAD MAQUI.doc</t>
  </si>
  <si>
    <t>C:\Users\franc\OneDrive\Documentos\MALENTIN KARIME\PROTOCOLIZACION\2015\COMUNIDAD LOS MAITENES.doc</t>
  </si>
  <si>
    <t>C:\Users\franc\OneDrive\Documentos\MALENTIN KARIME\PROTOCOLIZACION\2015\COMUNIDAD LAS DAMAS  FS. 94 V.doc</t>
  </si>
  <si>
    <t>C:\Users\franc\OneDrive\Documentos\MALENTIN KARIME\PROTOCOLIZACION\2015\COMUNIDAD LA VERDIONA.doc</t>
  </si>
  <si>
    <t>C:\Users\franc\OneDrive\Documentos\MALENTIN KARIME\PROTOCOLIZACION\2015\COMUNIDAD LA COIPA N10.doc</t>
  </si>
  <si>
    <t>C:\Users\franc\OneDrive\Documentos\MALENTIN KARIME\PROTOCOLIZACION\2015\COMUNIDAD LA COIPA.doc</t>
  </si>
  <si>
    <t>C:\Users\franc\OneDrive\Documentos\MALENTIN KARIME\PROTOCOLIZACION\2015\COMUNIDAD JUNTA EDIFICIO DIAGUITAS.doc</t>
  </si>
  <si>
    <t>C:\Users\franc\OneDrive\Documentos\MALENTIN KARIME\PROTOCOLIZACION\2015\COMUNIDAD JUNTA EDIFICIO DIAGUITAS FS. 23.doc</t>
  </si>
  <si>
    <t>C:\Users\franc\OneDrive\Documentos\MALENTIN KARIME\PROTOCOLIZACION\2015\COMUNIDAD HIGUERITAS UNIDAS.doc</t>
  </si>
  <si>
    <t>C:\Users\franc\OneDrive\Documentos\MALENTIN KARIME\PROTOCOLIZACION\2015\COMUNIDAD ELPENON.doc</t>
  </si>
  <si>
    <t>C:\Users\franc\OneDrive\Documentos\MALENTIN KARIME\PROTOCOLIZACION\2015\COMUNIDAD EL POTRERO.doc</t>
  </si>
  <si>
    <t>C:\Users\franc\OneDrive\Documentos\MALENTIN KARIME\PROTOCOLIZACION\2015\COMUNIDAD EL POTRERO 48.doc</t>
  </si>
  <si>
    <t>C:\Users\franc\OneDrive\Documentos\MALENTIN KARIME\PROTOCOLIZACION\2015\COMUNIDAD EL DURAZNO.doc</t>
  </si>
  <si>
    <t>C:\Users\franc\OneDrive\Documentos\MALENTIN KARIME\PROTOCOLIZACION\2015\COMUNIDAD EL ALTAR.doc</t>
  </si>
  <si>
    <t>C:\Users\franc\OneDrive\Documentos\MALENTIN KARIME\PROTOCOLIZACION\2015\COMUNIDAD EL ALTAR 2.doc</t>
  </si>
  <si>
    <t>C:\Users\franc\OneDrive\Documentos\MALENTIN KARIME\PROTOCOLIZACION\2015\COMUNIDAD CARCAMO.doc</t>
  </si>
  <si>
    <t>C:\Users\franc\OneDrive\Documentos\MALENTIN KARIME\PROTOCOLIZACION\2015\COMUNIDAD BUENOS AIRES DE PUNILLA.doc</t>
  </si>
  <si>
    <t>C:\Users\franc\OneDrive\Documentos\MALENTIN KARIME\PROTOCOLIZACION\2015\COMUNIDAD AGRICOLA QUEBRADA LA ARENA.doc</t>
  </si>
  <si>
    <t>C:\Users\franc\OneDrive\Documentos\MALENTIN KARIME\PROTOCOLIZACION\2015\COMITE VIOLETA PARRA.doc</t>
  </si>
  <si>
    <t>C:\Users\franc\OneDrive\Documentos\MALENTIN KARIME\PROTOCOLIZACION\2015\COMUNDAD CANAL PERALES DEL RIO GRANDE.doc</t>
  </si>
  <si>
    <t>C:\Users\franc\OneDrive\Documentos\MALENTIN KARIME\PROTOCOLIZACION\2015\COMITE PRODUCTIVO COPAO.doc</t>
  </si>
  <si>
    <t>C:\Users\franc\OneDrive\Documentos\MALENTIN KARIME\PROTOCOLIZACION\2015\COMITE VIOLETA PARRA autorizacion.doc</t>
  </si>
  <si>
    <t>C:\Users\franc\OneDrive\Documentos\MALENTIN KARIME\PROTOCOLIZACION\2015\COMITE PRO CASA SOL DE LIMARI.doc</t>
  </si>
  <si>
    <t>C:\Users\franc\OneDrive\Documentos\MALENTIN KARIME\PROTOCOLIZACION\2015\COMITE CRIANCERO PROGRESO.doc</t>
  </si>
  <si>
    <t>C:\Users\franc\OneDrive\Documentos\MALENTIN KARIME\PROTOCOLIZACION\2015\COMITE AGUA POTABLE LA HIGUERA FS. 07.doc</t>
  </si>
  <si>
    <t>C:\Users\franc\OneDrive\Documentos\MALENTIN KARIME\PROTOCOLIZACION\2015\COMITE AGUA POTABLE LA HIGUERA FS. 20.doc</t>
  </si>
  <si>
    <t>C:\Users\franc\OneDrive\Documentos\MALENTIN KARIME\PROTOCOLIZACION\2015\COMERCIAL RAYO FENIX Mirza Astudillo.doc</t>
  </si>
  <si>
    <t>C:\Users\franc\OneDrive\Documentos\MALENTIN KARIME\PROTOCOLIZACION\2015\COMERCIAL AROS   Propuesta.doc</t>
  </si>
  <si>
    <t>C:\Users\franc\OneDrive\Documentos\MALENTIN KARIME\PROTOCOLIZACION\2015\CLUB DEPORTIVO SOL UNIDO.doc</t>
  </si>
  <si>
    <t>C:\Users\franc\OneDrive\Documentos\MALENTIN KARIME\PROTOCOLIZACION\2015\CLUB DEPORTIVO PROVINCIAL OVALLE.doc</t>
  </si>
  <si>
    <t>C:\Users\franc\OneDrive\Documentos\MALENTIN KARIME\PROTOCOLIZACION\2015\CLUB DEPORTIVO LOS LEICES.doc</t>
  </si>
  <si>
    <t>C:\Users\franc\OneDrive\Documentos\MALENTIN KARIME\PROTOCOLIZACION\2015\CLUB DE LEONES DE OVALLE 04 JULIO 15.doc</t>
  </si>
  <si>
    <t>C:\Users\franc\OneDrive\Documentos\MALENTIN KARIME\PROTOCOLIZACION\2015\CECILIA AGUIRRE Drogas.doc</t>
  </si>
  <si>
    <t>C:\Users\franc\OneDrive\Documentos\MALENTIN KARIME\PROTOCOLIZACION\2015\CAROLINA OLIVARES CORTES Propuesta FERIA.doc</t>
  </si>
  <si>
    <t>C:\Users\franc\OneDrive\Documentos\MALENTIN KARIME\PROTOCOLIZACION\2015\CARMEN CAMPUSANO ORREGO  Propuesta FERIA.doc</t>
  </si>
  <si>
    <t>C:\Users\franc\OneDrive\Documentos\MALENTIN KARIME\PROTOCOLIZACION\2015\CARABINEROS.doc</t>
  </si>
  <si>
    <t>C:\Users\franc\OneDrive\Documentos\MALENTIN KARIME\PROTOCOLIZACION\2015\CANAL PULPICA BAJO.doc</t>
  </si>
  <si>
    <t>C:\Users\franc\OneDrive\Documentos\MALENTIN KARIME\PROTOCOLIZACION\2015\CANAL CAMARICO Tranque Las Garzas.doc</t>
  </si>
  <si>
    <t>C:\Users\franc\OneDrive\Documentos\MALENTIN KARIME\PROTOCOLIZACION\2015\CANAL CAMARICO Tranque Talquilla.doc</t>
  </si>
  <si>
    <t>C:\Users\franc\OneDrive\Documentos\MALENTIN KARIME\PROTOCOLIZACION\2015\CANAL CAMARICO Ceres.doc</t>
  </si>
  <si>
    <t>C:\Users\franc\OneDrive\Documentos\MALENTIN KARIME\PROTOCOLIZACION\2015\CANAL CAMARICO Tranque Batuco.doc</t>
  </si>
  <si>
    <t>C:\Users\franc\OneDrive\Documentos\MALENTIN KARIME\PROTOCOLIZACION\2015\BOLIVIA TAPIA OLIVARESIndap.doc</t>
  </si>
  <si>
    <t>C:\Users\franc\OneDrive\Documentos\MALENTIN KARIME\PROTOCOLIZACION\2015\BOMBEROS Sexta CIA.doc</t>
  </si>
  <si>
    <t>C:\Users\franc\OneDrive\Documentos\MALENTIN KARIME\PROTOCOLIZACION\2015\Autorizo la firma MISAEL PIZARRO CASTILL.doc</t>
  </si>
  <si>
    <t>C:\Users\franc\OneDrive\Documentos\MALENTIN KARIME\PROTOCOLIZACION\2015\Autorizo la firma MONICA TREDROS.doc</t>
  </si>
  <si>
    <t>C:\Users\franc\OneDrive\Documentos\MALENTIN KARIME\PROTOCOLIZACION\2015\Autorizo la firma EDUARDO LOPEZ GARCIA.doc</t>
  </si>
  <si>
    <t>C:\Users\franc\OneDrive\Documentos\MALENTIN KARIME\PROTOCOLIZACION\2015\Autorizo la firma de LABORATORIO VALPARAISO.doc</t>
  </si>
  <si>
    <t>C:\Users\franc\OneDrive\Documentos\MALENTIN KARIME\PROTOCOLIZACION\2015\autorizacion.doc</t>
  </si>
  <si>
    <t>C:\Users\franc\OneDrive\Documentos\MALENTIN KARIME\PROTOCOLIZACION\2015\ASOCIACION GREMIAL FERIA MODELO.doc</t>
  </si>
  <si>
    <t>C:\Users\franc\OneDrive\Documentos\MALENTIN KARIME\PROTOCOLIZACION\2015\AUTORIZACION  horizontal 2.doc</t>
  </si>
  <si>
    <t>C:\Users\franc\OneDrive\Documentos\MALENTIN KARIME\PROTOCOLIZACION\2015\ALVARO CARVAJAL.doc</t>
  </si>
  <si>
    <t>C:\Users\franc\OneDrive\Documentos\MALENTIN KARIME\PROTOCOLIZACION\2015\ASOCIACION GREMIAL FERIA MODELO 2.doc</t>
  </si>
  <si>
    <t>C:\Users\franc\OneDrive\Documentos\MALENTIN KARIME\PROTOCOLIZACION\2015\ALEJANDRA  CASTILLO BARRAZA.doc</t>
  </si>
  <si>
    <t>C:\Users\franc\OneDrive\Documentos\MALENTIN KARIME\PROTOCOLIZACION\2015\ALVARO CARVAJAL 2.doc</t>
  </si>
  <si>
    <t>C:\Users\franc\OneDrive\Documentos\MALENTIN KARIME\PROTOCOLIZACION\2015\Alba Guerrero Drogas MARO.doc</t>
  </si>
  <si>
    <t>C:\Users\franc\OneDrive\Documentos\MALENTIN KARIME\PROTOCOLIZACION\2015\Alba Guerrero } Drogas.doc</t>
  </si>
  <si>
    <t>C:\Users\franc\OneDrive\Documentos\MALENTIN KARIME\PROTOCOLIZACION\2015\AHIMCO INGENIERIA.doc</t>
  </si>
  <si>
    <t>C:\Users\franc\OneDrive\Documentos\MALENTIN KARIME\PROTOCOLIZACION\2015\AGRUPACION DE DISCAPACIDAD.doc</t>
  </si>
  <si>
    <t>C:\Users\franc\OneDrive\Documentos\MALENTIN KARIME\PROTOCOLIZACION\2014\SERVICIOS DE INGENIERIA  Propuesta 18-2014.doc</t>
  </si>
  <si>
    <t>C:\Users\franc\OneDrive\Documentos\MALENTIN KARIME\PROTOCOLIZACION\2014\SERVICIOS DE INGENIERIA  Propuesta 22-2014.doc</t>
  </si>
  <si>
    <t>C:\Users\franc\OneDrive\Documentos\MALENTIN KARIME\PROTOCOLIZACION\2014\SERVICIOS DE INGENIERIA  Propuesta 23-2014.doc</t>
  </si>
  <si>
    <t>C:\Users\franc\OneDrive\Documentos\MALENTIN KARIME\PROTOCOLIZACION\2014\SERVICIOS DE INGENIERIA  Propuesta  modif 23.doc</t>
  </si>
  <si>
    <t>C:\Users\franc\OneDrive\Documentos\MALENTIN KARIME\PROTOCOLIZACION\2014\SERVICIO TASUI dic 14.doc</t>
  </si>
  <si>
    <t>C:\Users\franc\OneDrive\Documentos\MALENTIN KARIME\PROTOCOLIZACION\2014\SERVICIO TASUI.doc</t>
  </si>
  <si>
    <t>C:\Users\franc\OneDrive\Documentos\MALENTIN KARIME\PROTOCOLIZACION\2014\RUDELIO MONTENEGRO Indap.doc</t>
  </si>
  <si>
    <t>C:\Users\franc\OneDrive\Documentos\MALENTIN KARIME\PROTOCOLIZACION\2014\SERVICIO TASUI dic 14 anexo.doc</t>
  </si>
  <si>
    <t>C:\Users\franc\OneDrive\Documentos\MALENTIN KARIME\PROTOCOLIZACION\2014\ROBERTO VEGA Propuesta.doc</t>
  </si>
  <si>
    <t>C:\Users\franc\OneDrive\Documentos\MALENTIN KARIME\PROTOCOLIZACION\2014\RODRIGO JARA OVALLE.doc</t>
  </si>
  <si>
    <t>C:\Users\franc\OneDrive\Documentos\MALENTIN KARIME\PROTOCOLIZACION\2014\ROBERTO VEGA (Resuelvo 3182 DOH).doc</t>
  </si>
  <si>
    <t>C:\Users\franc\OneDrive\Documentos\MALENTIN KARIME\PROTOCOLIZACION\2014\ROBERTO VEGA (Resuelvo 3178 DOH).doc</t>
  </si>
  <si>
    <t>C:\Users\franc\OneDrive\Documentos\MALENTIN KARIME\PROTOCOLIZACION\2014\ROBERTO VEGA (Resuelvo 3180 DOH).doc</t>
  </si>
  <si>
    <t>C:\Users\franc\OneDrive\Documentos\MALENTIN KARIME\PROTOCOLIZACION\2014\ROBERTO VEGA (Resuelvo 3174 DOH).doc</t>
  </si>
  <si>
    <t>C:\Users\franc\OneDrive\Documentos\MALENTIN KARIME\PROTOCOLIZACION\2014\ROBERTO VEGA (Resuelvo 2934 DOH).doc</t>
  </si>
  <si>
    <t>C:\Users\franc\OneDrive\Documentos\MALENTIN KARIME\PROTOCOLIZACION\2014\PEDRO TORRES SANHUEZA´Popuesta50-2011.doc</t>
  </si>
  <si>
    <t>C:\Users\franc\OneDrive\Documentos\MALENTIN KARIME\PROTOCOLIZACION\2014\PEDRO TORRES SANHUEZA´Popuesta50-2011 fEBRERO.doc</t>
  </si>
  <si>
    <t>C:\Users\franc\OneDrive\Documentos\MALENTIN KARIME\PROTOCOLIZACION\2014\PATRICIA ALFARO Rectificacion Inventario.doc</t>
  </si>
  <si>
    <t>C:\Users\franc\OneDrive\Documentos\MALENTIN KARIME\PROTOCOLIZACION\2014\PATRICIO RIVERA Indap.doc</t>
  </si>
  <si>
    <t>C:\Users\franc\OneDrive\Documentos\MALENTIN KARIME\PROTOCOLIZACION\2014\PATRICIA ALFARO Inventario.doc</t>
  </si>
  <si>
    <t>C:\Users\franc\OneDrive\Documentos\MALENTIN KARIME\PROTOCOLIZACION\2014\PATRICIA ALFARO Inventario y rect.doc</t>
  </si>
  <si>
    <t>C:\Users\franc\OneDrive\Documentos\MALENTIN KARIME\PROTOCOLIZACION\2014\OSVALDO PACHECO PLAPropuesta.doc</t>
  </si>
  <si>
    <t>C:\Users\franc\OneDrive\Documentos\MALENTIN KARIME\PROTOCOLIZACION\2014\PAOLA ANDRADES ROJAS Poder.doc</t>
  </si>
  <si>
    <t>C:\Users\franc\OneDrive\Documentos\MALENTIN KARIME\PROTOCOLIZACION\2014\PATRICIA ALFARO con Lorenzo Moroso Inventario.doc</t>
  </si>
  <si>
    <t>C:\Users\franc\OneDrive\Documentos\MALENTIN KARIME\PROTOCOLIZACION\2014\ORLANDO FLORES ALVAREZ fs.130.doc</t>
  </si>
  <si>
    <t>C:\Users\franc\OneDrive\Documentos\MALENTIN KARIME\PROTOCOLIZACION\2014\ORLANDO FLORES ALVAREZ.doc</t>
  </si>
  <si>
    <t>C:\Users\franc\OneDrive\Documentos\MALENTIN KARIME\PROTOCOLIZACION\2014\OLGA PIZARRO E.I.R.L ID 2711.doc</t>
  </si>
  <si>
    <t>C:\Users\franc\OneDrive\Documentos\MALENTIN KARIME\PROTOCOLIZACION\2014\MICHELLE  LATORRE Drogas.doc</t>
  </si>
  <si>
    <t>C:\Users\franc\OneDrive\Documentos\MALENTIN KARIME\PROTOCOLIZACION\2014\MARIA VEGA BARRAZA prop. vehiculo.doc</t>
  </si>
  <si>
    <t>C:\Users\franc\OneDrive\Documentos\MALENTIN KARIME\PROTOCOLIZACION\2014\LUIS LOPEZ ALVARADO.doc</t>
  </si>
  <si>
    <t>C:\Users\franc\OneDrive\Documentos\MALENTIN KARIME\PROTOCOLIZACION\2014\JUAN VALENZUELA RODRIGUEZ.doc</t>
  </si>
  <si>
    <t>C:\Users\franc\OneDrive\Documentos\MALENTIN KARIME\PROTOCOLIZACION\2014\JOSE GARMENDIA.doc</t>
  </si>
  <si>
    <t>C:\Users\franc\OneDrive\Documentos\MALENTIN KARIME\PROTOCOLIZACION\2014\H.G. Y B SERVICIOS ASOCIADOS.doc</t>
  </si>
  <si>
    <t>C:\Users\franc\OneDrive\Documentos\MALENTIN KARIME\PROTOCOLIZACION\2014\JOHANA ELGUETA.doc</t>
  </si>
  <si>
    <t>C:\Users\franc\OneDrive\Documentos\MALENTIN KARIME\PROTOCOLIZACION\2014\GUIDO TABILO CARVJAL Indap.doc</t>
  </si>
  <si>
    <t>C:\Users\franc\OneDrive\Documentos\MALENTIN KARIME\PROTOCOLIZACION\2014\H.G. Y B SERVICIOS ASOCIADOS POR Mirza Astudillo.doc</t>
  </si>
  <si>
    <t>C:\Users\franc\OneDrive\Documentos\MALENTIN KARIME\PROTOCOLIZACION\2014\GABRIEL RODRIGUEZ Inventario Hugo Jofre.doc</t>
  </si>
  <si>
    <t>C:\Users\franc\OneDrive\Documentos\MALENTIN KARIME\PROTOCOLIZACION\2014\GABRIEL RODRIGUEZ Inventario Misael.doc</t>
  </si>
  <si>
    <t>C:\Users\franc\OneDrive\Documentos\MALENTIN KARIME\PROTOCOLIZACION\2014\FUNDACION CAMINANDO JUNTOS.doc</t>
  </si>
  <si>
    <t>C:\Users\franc\OneDrive\Documentos\MALENTIN KARIME\PROTOCOLIZACION\2014\DESARROLLO Y EDUCACION  Propuesta.doc</t>
  </si>
  <si>
    <t>C:\Users\franc\OneDrive\Documentos\MALENTIN KARIME\PROTOCOLIZACION\2014\CONSTRUCTORA SAN FERNANDO  Propuesta 04-2012.doc</t>
  </si>
  <si>
    <t>C:\Users\franc\OneDrive\Documentos\MALENTIN KARIME\PROTOCOLIZACION\2014\CONDOMINIO DEL ATARDECER.doc</t>
  </si>
  <si>
    <t>C:\Users\franc\OneDrive\Documentos\MALENTIN KARIME\PROTOCOLIZACION\2014\COMUNIDAD LAS DAMAS  FS. 84 V.doc</t>
  </si>
  <si>
    <t>C:\Users\franc\OneDrive\Documentos\MALENTIN KARIME\PROTOCOLIZACION\2014\COMUNIDAD DIVISADERO.doc</t>
  </si>
  <si>
    <t>C:\Users\franc\OneDrive\Documentos\MALENTIN KARIME\PROTOCOLIZACION\2014\COMITE UN SUEÑO DOS.doc</t>
  </si>
  <si>
    <t>C:\Users\franc\OneDrive\Documentos\MALENTIN KARIME\PROTOCOLIZACION\2014\COMUNIDAD AGRICOLA SALALA.doc</t>
  </si>
  <si>
    <t>C:\Users\franc\OneDrive\Documentos\MALENTIN KARIME\PROTOCOLIZACION\2014\COMITE PRO CASA SAN PEDRO OVALLE fs 93.doc</t>
  </si>
  <si>
    <t>C:\Users\franc\OneDrive\Documentos\MALENTIN KARIME\PROTOCOLIZACION\2014\COMITE PRO CASA SAN PEDRO OVALLE.doc</t>
  </si>
  <si>
    <t>C:\Users\franc\OneDrive\Documentos\MALENTIN KARIME\PROTOCOLIZACION\2014\COMITE APR QUEBRADA SANTANDER.doc</t>
  </si>
  <si>
    <t>C:\Users\franc\OneDrive\Documentos\MALENTIN KARIME\PROTOCOLIZACION\2014\CLUB DE LEONES DE OVALLE 28 JUNIO 14.doc</t>
  </si>
  <si>
    <t>C:\Users\franc\OneDrive\Documentos\MALENTIN KARIME\PROTOCOLIZACION\2014\COMERCIAL RAYO FENIX Mirza Astudillo.doc</t>
  </si>
  <si>
    <t>C:\Users\franc\OneDrive\Documentos\MALENTIN KARIME\PROTOCOLIZACION\2014\CLUB DE LEONES DE OVALLE 15 JULIO 13.doc</t>
  </si>
  <si>
    <t>C:\Users\franc\OneDrive\Documentos\MALENTIN KARIME\PROTOCOLIZACION\2014\CLUB CAZA Y PESCA.doc</t>
  </si>
  <si>
    <t>C:\Users\franc\OneDrive\Documentos\MALENTIN KARIME\PROTOCOLIZACION\2014\CEA CONSORCIO  Propuesta.doc</t>
  </si>
  <si>
    <t>C:\Users\franc\OneDrive\Documentos\MALENTIN KARIME\PROTOCOLIZACION\2014\CHRISTIAN TABILO Inventario.doc</t>
  </si>
  <si>
    <t>C:\Users\franc\OneDrive\Documentos\MALENTIN KARIME\PROTOCOLIZACION\2014\CLAUDIO JORDAN B Propuesta.doc</t>
  </si>
  <si>
    <t>C:\Users\franc\OneDrive\Documentos\MALENTIN KARIME\PROTOCOLIZACION\2014\CDAD AGRICOLA QDA LAS MOLLACAS.doc</t>
  </si>
  <si>
    <t>C:\Users\franc\OneDrive\Documentos\MALENTIN KARIME\PROTOCOLIZACION\2014\CDAD AGUA RIO GRANDE.doc</t>
  </si>
  <si>
    <t>C:\Users\franc\OneDrive\Documentos\MALENTIN KARIME\PROTOCOLIZACION\2014\CDAD AGRICOLA BUENOS AIRES DE PUNILLA.doc</t>
  </si>
  <si>
    <t>C:\Users\franc\OneDrive\Documentos\MALENTIN KARIME\PROTOCOLIZACION\2014\CDAD AGRICOLA LAS MINILLAS.doc</t>
  </si>
  <si>
    <t>C:\Users\franc\OneDrive\Documentos\MALENTIN KARIME\PROTOCOLIZACION\2014\Autorizo la firma de TASUI.doc</t>
  </si>
  <si>
    <t>C:\Users\franc\OneDrive\Documentos\MALENTIN KARIME\PROTOCOLIZACION\2014\CDAD AGRICOLA BUENOS AIRES DE PUNILLA 2.doc</t>
  </si>
  <si>
    <t>C:\Users\franc\OneDrive\Documentos\MALENTIN KARIME\PROTOCOLIZACION\2014\Autorizo la firma de doña BEATRIZ GONZALEZ.doc</t>
  </si>
  <si>
    <t>C:\Users\franc\OneDrive\Documentos\MALENTIN KARIME\PROTOCOLIZACION\2014\Autorizo la firma de don RUBEN ANTONIO SIERRA SIERRA.doc</t>
  </si>
  <si>
    <t>C:\Users\franc\OneDrive\Documentos\MALENTIN KARIME\PROTOCOLIZACION\2014\Autorizo la firma de don MISAEL PIZARRO.doc</t>
  </si>
  <si>
    <t>C:\Users\franc\OneDrive\Documentos\MALENTIN KARIME\PROTOCOLIZACION\2014\Autorizo la firma de don JOSE RAMON GARMENDIA MONASTERIO.doc</t>
  </si>
  <si>
    <t>C:\Users\franc\OneDrive\Documentos\MALENTIN KARIME\PROTOCOLIZACION\2014\ASOCIACION GREMIAL.doc</t>
  </si>
  <si>
    <t>C:\Users\franc\OneDrive\Documentos\MALENTIN KARIME\PROTOCOLIZACION\2014\autorizacion.doc</t>
  </si>
  <si>
    <t>C:\Users\franc\OneDrive\Documentos\MALENTIN KARIME\PROTOCOLIZACION\2014\ANGELICA ALVAREZ BONILLA  Poder.doc</t>
  </si>
  <si>
    <t>C:\Users\franc\OneDrive\Documentos\MALENTIN KARIME\PROTOCOLIZACION\2014\ANEXO TASUI.doc</t>
  </si>
  <si>
    <t>C:\Users\franc\OneDrive\Documentos\MALENTIN KARIME\PROTOCOLIZACION\2014\AMABLE DIAZ Indap.doc</t>
  </si>
  <si>
    <t>C:\Users\franc\OneDrive\Documentos\MALENTIN KARIME\PROTOCOLIZACION\2014\ANA PIZARRO ADONES Inventario.doc</t>
  </si>
  <si>
    <t>C:\Users\franc\OneDrive\Documentos\MALENTIN KARIME\PROTOCOLIZACION\2014\AMABLE DIAZ Indap 2.doc</t>
  </si>
  <si>
    <t>C:\Users\franc\OneDrive\Documentos\MALENTIN KARIME\PROTOCOLIZACION\2014\ALEJANDRO GALLARDO Indap.doc</t>
  </si>
  <si>
    <t>C:\Users\franc\OneDrive\Documentos\MALENTIN KARIME\PROTOCOLIZACION\2014\ALEJANDRA VERA  Drogas.doc</t>
  </si>
  <si>
    <t>C:\Users\franc\OneDrive\Documentos\MALENTIN KARIME\PROTOCOLIZACION\VICTOR MORALES VARGAS Propuesta.doc</t>
  </si>
  <si>
    <t>C:\Users\franc\OneDrive\Documentos\MALENTIN KARIME\PROTOCOLIZACION\2014\ADOLFO LAY Inventario y rect.doc</t>
  </si>
  <si>
    <t>C:\Users\franc\OneDrive\Documentos\MALENTIN KARIME\PROTOCOLIZACION\SOPPUEX.doc</t>
  </si>
  <si>
    <t>C:\Users\franc\OneDrive\Documentos\MALENTIN KARIME\PROTOCOLIZACION\SOCIEDAD INMOBILIARIA FORMA prop 36.doc</t>
  </si>
  <si>
    <t>C:\Users\franc\OneDrive\Documentos\MALENTIN KARIME\PROTOCOLIZACION\SOPPUEX 2.doc</t>
  </si>
  <si>
    <t>C:\Users\franc\OneDrive\Documentos\MALENTIN KARIME\PROTOCOLIZACION\SOCIEDAD INMOBILIARIA FORMA II.doc</t>
  </si>
  <si>
    <t>C:\Users\franc\OneDrive\Documentos\MALENTIN KARIME\PROTOCOLIZACION\SOCIEDAD INMOBILIARIA FORMA prop 16.doc</t>
  </si>
  <si>
    <t>C:\Users\franc\OneDrive\Documentos\MALENTIN KARIME\PROTOCOLIZACION\SERVICIOS TASUI S.A. Propuesta.doc</t>
  </si>
  <si>
    <t>C:\Users\franc\OneDrive\Documentos\MALENTIN KARIME\PROTOCOLIZACION\SOCIEDAD INMOBILIARIA FORMA I.doc</t>
  </si>
  <si>
    <t>C:\Users\franc\OneDrive\Documentos\MALENTIN KARIME\PROTOCOLIZACION\SERVICIOS DE BARRIDO Propuesta.doc</t>
  </si>
  <si>
    <t>C:\Users\franc\OneDrive\Documentos\MALENTIN KARIME\PROTOCOLIZACION\SERVICIOS INFORMATICOS LIMARI.doc</t>
  </si>
  <si>
    <t>C:\Users\franc\OneDrive\Documentos\MALENTIN KARIME\PROTOCOLIZACION\SERGIO SALFATE Inventario.doc</t>
  </si>
  <si>
    <t>C:\Users\franc\OneDrive\Documentos\MALENTIN KARIME\PROTOCOLIZACION\SERVICIOS DE BARRIDO Propuesta Modificacion.doc</t>
  </si>
  <si>
    <t>C:\Users\franc\OneDrive\Documentos\MALENTIN KARIME\PROTOCOLIZACION\ROMAN AROS Acta.doc</t>
  </si>
  <si>
    <t>C:\Users\franc\OneDrive\Documentos\MALENTIN KARIME\PROTOCOLIZACION\SENDA URBANA Propuesta.doc</t>
  </si>
  <si>
    <t>C:\Users\franc\OneDrive\Documentos\MALENTIN KARIME\PROTOCOLIZACION\ROBERTO VEGA (Resuelvo3166 DOH).doc</t>
  </si>
  <si>
    <t>C:\Users\franc\OneDrive\Documentos\MALENTIN KARIME\PROTOCOLIZACION\ROBERTO VEGA (Resuelvo1470 DOH).doc</t>
  </si>
  <si>
    <t>C:\Users\franc\OneDrive\Documentos\MALENTIN KARIME\PROTOCOLIZACION\ROBERTO VEGA (Resuelvo1818 DOH).doc</t>
  </si>
  <si>
    <t>C:\Users\franc\OneDrive\Documentos\MALENTIN KARIME\PROTOCOLIZACION\ROBERTO VEGA (Resuelvo 2707 DOH).doc</t>
  </si>
  <si>
    <t>C:\Users\franc\OneDrive\Documentos\MALENTIN KARIME\PROTOCOLIZACION\ROBERTO VEGA (Resuelvo 4201 DOH).doc</t>
  </si>
  <si>
    <t>C:\Users\franc\OneDrive\Documentos\MALENTIN KARIME\PROTOCOLIZACION\ROBERTO VEGA (CONVENIO AD REFERENDUM).doc</t>
  </si>
  <si>
    <t>C:\Users\franc\OneDrive\Documentos\MALENTIN KARIME\PROTOCOLIZACION\RICARDO GOMEZ A SUSANA MUÑOZ Jundep.doc</t>
  </si>
  <si>
    <t>C:\Users\franc\OneDrive\Documentos\MALENTIN KARIME\PROTOCOLIZACION\RAMON ESCOBAR MONDACA Poder ext.doc</t>
  </si>
  <si>
    <t>C:\Users\franc\OneDrive\Documentos\MALENTIN KARIME\PROTOCOLIZACION\PROTO. NOMB. NOTARIO PATRICIA ALFARO.doc</t>
  </si>
  <si>
    <t>C:\Users\franc\OneDrive\Documentos\MALENTIN KARIME\PROTOCOLIZACION\PROTO. NOMB. NOTARIO JOYCE RALLIN TAPIA.doc</t>
  </si>
  <si>
    <t>C:\Users\franc\OneDrive\Documentos\MALENTIN KARIME\PROTOCOLIZACION\PROTO. Claudio Araya.doc</t>
  </si>
  <si>
    <t>C:\Users\franc\OneDrive\Documentos\MALENTIN KARIME\PROTOCOLIZACION\PEDRO TORRES SANHUEZA ´Popuesta50-2011.doc</t>
  </si>
  <si>
    <t>C:\Users\franc\OneDrive\Documentos\MALENTIN KARIME\PROTOCOLIZACION\PEDRO TORRES SANHUEZA ´Popuesta II.doc</t>
  </si>
  <si>
    <t>C:\Users\franc\OneDrive\Documentos\MALENTIN KARIME\PROTOCOLIZACION\PEDRO TORRES SANHUEZA ´Popuesta.doc</t>
  </si>
  <si>
    <t>C:\Users\franc\OneDrive\Documentos\MALENTIN KARIME\PROTOCOLIZACION\PEDRO TORRES SANHUEZA 3ª Modif.doc</t>
  </si>
  <si>
    <t>C:\Users\franc\OneDrive\Documentos\MALENTIN KARIME\PROTOCOLIZACION\PEDRO TORRES SANHUEZA 50-2011.doc</t>
  </si>
  <si>
    <t>C:\Users\franc\OneDrive\Documentos\MALENTIN KARIME\PROTOCOLIZACION\PAOLA AGUILERA drogas 2017.doc</t>
  </si>
  <si>
    <t>C:\Users\franc\OneDrive\Documentos\MALENTIN KARIME\PROTOCOLIZACION\PATRICIA LARA CASTRO Contrato Directo.doc</t>
  </si>
  <si>
    <t>C:\Users\franc\OneDrive\Documentos\MALENTIN KARIME\PROTOCOLIZACION\OSCAR GODOY CUELLAR Inventario.doc</t>
  </si>
  <si>
    <t>C:\Users\franc\OneDrive\Documentos\MALENTIN KARIME\PROTOCOLIZACION\OSCAR GODOY CUELLAR Arriendo.doc</t>
  </si>
  <si>
    <t>C:\Users\franc\OneDrive\Documentos\MALENTIN KARIME\PROTOCOLIZACION\OLGA PIZARRO E.I.R.L.pp 11-2012.doc</t>
  </si>
  <si>
    <t>C:\Users\franc\OneDrive\Documentos\MALENTIN KARIME\PROTOCOLIZACION\OLGA PIZARRO E.I.R.L.Agos 13.doc</t>
  </si>
  <si>
    <t>C:\Users\franc\OneDrive\Documentos\MALENTIN KARIME\PROTOCOLIZACION\OLGA PIZARRO E.I.R.L..doc</t>
  </si>
  <si>
    <t>C:\Users\franc\OneDrive\Documentos\MALENTIN KARIME\PROTOCOLIZACION\MERCADAL Propuesta.doc</t>
  </si>
  <si>
    <t>C:\Users\franc\OneDrive\Documentos\MALENTIN KARIME\PROTOCOLIZACION\MARTIN ESCALA DIAZ Propuesta.doc</t>
  </si>
  <si>
    <t>C:\Users\franc\OneDrive\Documentos\MALENTIN KARIME\PROTOCOLIZACION\MERCADAL Propuesta 09 octubre.doc</t>
  </si>
  <si>
    <t>C:\Users\franc\OneDrive\Documentos\MALENTIN KARIME\PROTOCOLIZACION\MARTA ACUÑA CORTES  Propuesta.doc</t>
  </si>
  <si>
    <t>C:\Users\franc\OneDrive\Documentos\MALENTIN KARIME\PROTOCOLIZACION\MARTA MUÑOZ SAAVEDRA.doc</t>
  </si>
  <si>
    <t>C:\Users\franc\OneDrive\Documentos\MALENTIN KARIME\PROTOCOLIZACION\MARIA PEREZ.doc</t>
  </si>
  <si>
    <t>C:\Users\franc\OneDrive\Documentos\MALENTIN KARIME\PROTOCOLIZACION\MARIA HERNANDEZ LEYTON.doc</t>
  </si>
  <si>
    <t>C:\Users\franc\OneDrive\Documentos\MALENTIN KARIME\PROTOCOLIZACION\MARIA ALVAREZ HENRIQUE drogas.doc</t>
  </si>
  <si>
    <t>C:\Users\franc\OneDrive\Documentos\MALENTIN KARIME\PROTOCOLIZACION\LUIS SALAS ROJAS.doc</t>
  </si>
  <si>
    <t>C:\Users\franc\OneDrive\Documentos\MALENTIN KARIME\PROTOCOLIZACION\LUIS DELGADOVALDES.doc</t>
  </si>
  <si>
    <t>C:\Users\franc\OneDrive\Documentos\MALENTIN KARIME\PROTOCOLIZACION\KAREN ALFARO Dcl.Juez Suplente 323 bis.doc</t>
  </si>
  <si>
    <t>C:\Users\franc\OneDrive\Documentos\MALENTIN KARIME\PROTOCOLIZACION\KAREN ALFARO Drogas.doc</t>
  </si>
  <si>
    <t>C:\Users\franc\OneDrive\Documentos\MALENTIN KARIME\PROTOCOLIZACION\JUNTA VECINOS PARRAL DE QUILES.doc</t>
  </si>
  <si>
    <t>C:\Users\franc\OneDrive\Documentos\MALENTIN KARIME\PROTOCOLIZACION\JUNTA VIGILANCIA RIO MOSTAZAL.doc</t>
  </si>
  <si>
    <t>C:\Users\franc\OneDrive\Documentos\MALENTIN KARIME\PROTOCOLIZACION\JUNTA VECINOS PARRAL DE QUILES MPunitaqui.doc</t>
  </si>
  <si>
    <t>C:\Users\franc\OneDrive\Documentos\MALENTIN KARIME\PROTOCOLIZACION\JTA DE VECINOS VILLA MINERA.doc</t>
  </si>
  <si>
    <t>C:\Users\franc\OneDrive\Documentos\MALENTIN KARIME\PROTOCOLIZACION\JORGE ARAYA MUÑOZ Indap.doc</t>
  </si>
  <si>
    <t>C:\Users\franc\OneDrive\Documentos\MALENTIN KARIME\PROTOCOLIZACION\JORGE ARAYA MUÑOZ.doc</t>
  </si>
  <si>
    <t>C:\Users\franc\OneDrive\Documentos\MALENTIN KARIME\PROTOCOLIZACION\JEANNETTE MEDINA ARAYA  Propuesta.doc</t>
  </si>
  <si>
    <t>C:\Users\franc\OneDrive\Documentos\MALENTIN KARIME\PROTOCOLIZACION\JAIME RAMIREZ VALENZUELA (Resuelvo).doc</t>
  </si>
  <si>
    <t>C:\Users\franc\OneDrive\Documentos\MALENTIN KARIME\PROTOCOLIZACION\Inventario.doc</t>
  </si>
  <si>
    <t>C:\Users\franc\OneDrive\Documentos\MALENTIN KARIME\PROTOCOLIZACION\IVAN VARELA.doc</t>
  </si>
  <si>
    <t>C:\Users\franc\OneDrive\Documentos\MALENTIN KARIME\PROTOCOLIZACION\INGENIERIA Y CONSTRUCCIONES CAMARICO Resolución 1578.doc</t>
  </si>
  <si>
    <t>C:\Users\franc\OneDrive\Documentos\MALENTIN KARIME\PROTOCOLIZACION\Hoja Anexa de Actas.doc</t>
  </si>
  <si>
    <t>C:\Users\franc\OneDrive\Documentos\MALENTIN KARIME\PROTOCOLIZACION\HERMAN ROJAS ALUCEMA.doc</t>
  </si>
  <si>
    <t>C:\Users\franc\OneDrive\Documentos\MALENTIN KARIME\PROTOCOLIZACION\HERMAN BOLVARAN DIAZ PP.doc</t>
  </si>
  <si>
    <t>C:\Users\franc\OneDrive\Documentos\MALENTIN KARIME\PROTOCOLIZACION\HERBET ROHDE Magistrado Fiscal.doc</t>
  </si>
  <si>
    <t>C:\Users\franc\OneDrive\Documentos\MALENTIN KARIME\PROTOCOLIZACION\GABRIEL RODRIGUEZ Inventario.doc</t>
  </si>
  <si>
    <t>C:\Users\franc\OneDrive\Documentos\MALENTIN KARIME\PROTOCOLIZACION\GABRIEL PEÑA LEDEZMA.doc</t>
  </si>
  <si>
    <t>C:\Users\franc\OneDrive\Documentos\MALENTIN KARIME\PROTOCOLIZACION\FRANCISCO PIZARRO RESOLUCION.doc</t>
  </si>
  <si>
    <t>C:\Users\franc\OneDrive\Documentos\MALENTIN KARIME\PROTOCOLIZACION\FRANCISCO UGALDE.doc</t>
  </si>
  <si>
    <t>C:\Users\franc\OneDrive\Documentos\MALENTIN KARIME\PROTOCOLIZACION\FIRMAS.AUT MUNICIP.ALCALDESA RIO HURTADO.doc</t>
  </si>
  <si>
    <t>C:\Users\franc\OneDrive\Documentos\MALENTIN KARIME\PROTOCOLIZACION\FIRMAS.AUT MUNICIP.ALCALDESA.doc</t>
  </si>
  <si>
    <t>C:\Users\franc\OneDrive\Documentos\MALENTIN KARIME\PROTOCOLIZACION\FIRMA AUT. Juan Francisco Soto Alfaro.doc</t>
  </si>
  <si>
    <t>C:\Users\franc\OneDrive\Documentos\MALENTIN KARIME\PROTOCOLIZACION\FIRMA AUT. Roberto Vega.doc</t>
  </si>
  <si>
    <t>C:\Users\franc\OneDrive\Documentos\MALENTIN KARIME\PROTOCOLIZACION\FABIOLA GONZALEZ BRAVO Indap.doc</t>
  </si>
  <si>
    <t>C:\Users\franc\OneDrive\Documentos\MALENTIN KARIME\PROTOCOLIZACION\ENRIQUE ORTIZ RIVAS Propuesta.doc</t>
  </si>
  <si>
    <t>C:\Users\franc\OneDrive\Documentos\MALENTIN KARIME\PROTOCOLIZACION\EDITH PIZARRO GUERRERO.doc</t>
  </si>
  <si>
    <t>C:\Users\franc\OneDrive\Documentos\MALENTIN KARIME\PROTOCOLIZACION\EDUARDO VARAS  Propuesta Modifc  Vehiculo.doc</t>
  </si>
  <si>
    <t>C:\Users\franc\OneDrive\Documentos\MALENTIN KARIME\PROTOCOLIZACION\DEONILA ARAYA ALFARO Poder ext.doc</t>
  </si>
  <si>
    <t>C:\Users\franc\OneDrive\Documentos\MALENTIN KARIME\PROTOCOLIZACION\DRV INGENIERIA Propuesta.doc</t>
  </si>
  <si>
    <t>C:\Users\franc\OneDrive\Documentos\MALENTIN KARIME\PROTOCOLIZACION\DAVID BUGUEÑO Testamento.doc</t>
  </si>
  <si>
    <t>C:\Users\franc\OneDrive\Documentos\MALENTIN KARIME\PROTOCOLIZACION\CUERPO DE BOMBEROS Super.doc</t>
  </si>
  <si>
    <t>C:\Users\franc\OneDrive\Documentos\MALENTIN KARIME\PROTOCOLIZACION\CUERPO DE BOMBEROS 3.doc</t>
  </si>
  <si>
    <t>C:\Users\franc\OneDrive\Documentos\MALENTIN KARIME\PROTOCOLIZACION\cuarta compañia de bomberos.doc</t>
  </si>
  <si>
    <t>C:\Users\franc\OneDrive\Documentos\MALENTIN KARIME\PROTOCOLIZACION\CONSTRUCTORA SAN FERNANDO  Propuesta.doc</t>
  </si>
  <si>
    <t>C:\Users\franc\OneDrive\Documentos\MALENTIN KARIME\PROTOCOLIZACION\CONSTRUCTORA SAN MATEO  Modificacion 3-12.doc</t>
  </si>
  <si>
    <t>C:\Users\franc\OneDrive\Documentos\MALENTIN KARIME\PROTOCOLIZACION\CONSTRUCTORA SAN MATEO  Propuesta.doc</t>
  </si>
  <si>
    <t>C:\Users\franc\OneDrive\Documentos\MALENTIN KARIME\PROTOCOLIZACION\CONSTRUCTORA SAN FERNANDO  Propuesta NOVIE 12.doc</t>
  </si>
  <si>
    <t>C:\Users\franc\OneDrive\Documentos\MALENTIN KARIME\PROTOCOLIZACION\CONSTRUCTORA SAN FERNANDO  Propuesta ii.doc</t>
  </si>
  <si>
    <t>C:\Users\franc\OneDrive\Documentos\MALENTIN KARIME\PROTOCOLIZACION\CONSTRUCTORA SAN FERNANDO  Propuesta 042013.doc</t>
  </si>
  <si>
    <t>C:\Users\franc\OneDrive\Documentos\MALENTIN KARIME\PROTOCOLIZACION\CONSTRUCTORA SAN FERNANDO  Propuesta 042013 ii.doc</t>
  </si>
  <si>
    <t>C:\Users\franc\OneDrive\Documentos\MALENTIN KARIME\PROTOCOLIZACION\CONSTRUCTORA SAN FERNANDO  Propuesta 04-12.doc</t>
  </si>
  <si>
    <t>C:\Users\franc\OneDrive\Documentos\MALENTIN KARIME\PROTOCOLIZACION\COMUNIDAD LAS DAMAS Presidente.doc</t>
  </si>
  <si>
    <t>C:\Users\franc\OneDrive\Documentos\MALENTIN KARIME\PROTOCOLIZACION\COMUNIDAD EL OLIVO.doc</t>
  </si>
  <si>
    <t>C:\Users\franc\OneDrive\Documentos\MALENTIN KARIME\PROTOCOLIZACION\COMUNIDAD EL PERAL OJO DE AGUA.doc</t>
  </si>
  <si>
    <t>C:\Users\franc\OneDrive\Documentos\MALENTIN KARIME\PROTOCOLIZACION\COMUNIDAD EL BUITRE.doc</t>
  </si>
  <si>
    <t>C:\Users\franc\OneDrive\Documentos\MALENTIN KARIME\PROTOCOLIZACION\COMUNIDAD EL OLIVO 09 AGOSTO.doc</t>
  </si>
  <si>
    <t>C:\Users\franc\OneDrive\Documentos\MALENTIN KARIME\PROTOCOLIZACION\Comunidad CARRIZAL Y LAGUNA de Seron.doc</t>
  </si>
  <si>
    <t>C:\Users\franc\OneDrive\Documentos\MALENTIN KARIME\PROTOCOLIZACION\COMUNIDAD AGRICOLA EL ALTAR.doc</t>
  </si>
  <si>
    <t>C:\Users\franc\OneDrive\Documentos\MALENTIN KARIME\PROTOCOLIZACION\COMUNIDAD AGRICOLA EL TOME.doc</t>
  </si>
  <si>
    <t>C:\Users\franc\OneDrive\Documentos\MALENTIN KARIME\PROTOCOLIZACION\COMITE JUAN PABLO I Y VERONICA VEGA.doc</t>
  </si>
  <si>
    <t>C:\Users\franc\OneDrive\Documentos\MALENTIN KARIME\PROTOCOLIZACION\COMITE DE AGUA POTABLE RURAL LAS MOLLACAS.doc</t>
  </si>
  <si>
    <t>C:\Users\franc\OneDrive\Documentos\MALENTIN KARIME\PROTOCOLIZACION\COMITE AGUA POTABLE.doc</t>
  </si>
  <si>
    <t>C:\Users\franc\OneDrive\Documentos\MALENTIN KARIME\PROTOCOLIZACION\COMITE DE ADELANTO VILLA AGRICOLA.doc</t>
  </si>
  <si>
    <t>C:\Users\franc\OneDrive\Documentos\MALENTIN KARIME\PROTOCOLIZACION\COFMED PRESTACIONES.doc</t>
  </si>
  <si>
    <t>C:\Users\franc\OneDrive\Documentos\MALENTIN KARIME\PROTOCOLIZACION\COMITE AGUA POTABLE RURAL COMBARBALA.doc</t>
  </si>
  <si>
    <t>C:\Users\franc\OneDrive\Documentos\MALENTIN KARIME\PROTOCOLIZACION\CLUB OVALLE 2009-2010Mario Barrios.doc</t>
  </si>
  <si>
    <t>C:\Users\franc\OneDrive\Documentos\MALENTIN KARIME\PROTOCOLIZACION\CLUB OVALLE Mario Barrios.doc</t>
  </si>
  <si>
    <t>C:\Users\franc\OneDrive\Documentos\MALENTIN KARIME\PROTOCOLIZACION\CLUB DE RODEO 23 JUNIO.doc</t>
  </si>
  <si>
    <t>C:\Users\franc\OneDrive\Documentos\MALENTIN KARIME\PROTOCOLIZACION\CLUB DEPORTIVO PUNITAQUI MPunitaqui.doc</t>
  </si>
  <si>
    <t>C:\Users\franc\OneDrive\Documentos\MALENTIN KARIME\PROTOCOLIZACION\CLUB DE RODEO 1 DICIEMBRE.doc</t>
  </si>
  <si>
    <t>C:\Users\franc\OneDrive\Documentos\MALENTIN KARIME\PROTOCOLIZACION\CLUB DE RODEO 15 JULIO.doc</t>
  </si>
  <si>
    <t>C:\Users\franc\OneDrive\Documentos\MALENTIN KARIME\PROTOCOLIZACION\CLAUDIA ORTIZ LEIVA drogas.doc</t>
  </si>
  <si>
    <t>C:\Users\franc\OneDrive\Documentos\MALENTIN KARIME\PROTOCOLIZACION\CLUB DE LEONES DE OVALLE 15 JULIO 13.doc</t>
  </si>
  <si>
    <t>C:\Users\franc\OneDrive\Documentos\MALENTIN KARIME\PROTOCOLIZACION\CIRO BERRIOS ROMERO  Propuesta.doc</t>
  </si>
  <si>
    <t>C:\Users\franc\OneDrive\Documentos\MALENTIN KARIME\PROTOCOLIZACION\CIRO BERRIOS  Propuesta.doc</t>
  </si>
  <si>
    <t>C:\Users\franc\OneDrive\Documentos\MALENTIN KARIME\PROTOCOLIZACION\CERMELO ZEPEDA Inventario.doc</t>
  </si>
  <si>
    <t>C:\Users\franc\OneDrive\Documentos\MALENTIN KARIME\PROTOCOLIZACION\CDAD INGA PICHASCA fs. 47 v.doc</t>
  </si>
  <si>
    <t>C:\Users\franc\OneDrive\Documentos\MALENTIN KARIME\PROTOCOLIZACION\CDAD INGA PICHASCA.doc</t>
  </si>
  <si>
    <t>C:\Users\franc\OneDrive\Documentos\MALENTIN KARIME\PROTOCOLIZACION\CDAD EL POTRERO DE HUATULAME.doc</t>
  </si>
  <si>
    <t>C:\Users\franc\OneDrive\Documentos\MALENTIN KARIME\PROTOCOLIZACION\CDAD AGUAS CANAL PUNTILLA SAN JUAN.doc</t>
  </si>
  <si>
    <t>C:\Users\franc\OneDrive\Documentos\MALENTIN KARIME\PROTOCOLIZACION\CDAD AGUAS CANAL ROMERAL.doc</t>
  </si>
  <si>
    <t>C:\Users\franc\OneDrive\Documentos\MALENTIN KARIME\PROTOCOLIZACION\CDAD AGRICOLA EL POTRERO DE HUATULAME.doc</t>
  </si>
  <si>
    <t>C:\Users\franc\OneDrive\Documentos\MALENTIN KARIME\PROTOCOLIZACION\CDAD AGRICOLA LA RINCONADA.doc</t>
  </si>
  <si>
    <t>C:\Users\franc\OneDrive\Documentos\MALENTIN KARIME\PROTOCOLIZACION\CDAD AGRICOLA EL POTRERO DE HUATULAME fs.37.doc</t>
  </si>
  <si>
    <t>C:\Users\franc\OneDrive\Documentos\MALENTIN KARIME\PROTOCOLIZACION\CDAD AGRICOLA CARRIZAL Y LAGUNA DE SERON.doc</t>
  </si>
  <si>
    <t>C:\Users\franc\OneDrive\Documentos\MALENTIN KARIME\PROTOCOLIZACION\CDAD AGRICOLA EL POTRERO DE HUATULAME fs 26 vta..doc</t>
  </si>
  <si>
    <t>C:\Users\franc\OneDrive\Documentos\MALENTIN KARIME\PROTOCOLIZACION\CAROLINA ROJAS drogas.doc</t>
  </si>
  <si>
    <t>C:\Users\franc\OneDrive\Documentos\MALENTIN KARIME\PROTOCOLIZACION\CARLOS MANRIQUEZ Propuesta.doc</t>
  </si>
  <si>
    <t>C:\Users\franc\OneDrive\Documentos\MALENTIN KARIME\PROTOCOLIZACION\CANAL VECINDARI GRANDE LA CHIMBA.doc</t>
  </si>
  <si>
    <t>C:\Users\franc\OneDrive\Documentos\MALENTIN KARIME\PROTOCOLIZACION\CANTUARIAS Propuesta.doc</t>
  </si>
  <si>
    <t>C:\Users\franc\OneDrive\Documentos\MALENTIN KARIME\PROTOCOLIZACION\BONIFICIO IBACACHE Inventario.doc</t>
  </si>
  <si>
    <t>C:\Users\franc\OneDrive\Documentos\MALENTIN KARIME\PROTOCOLIZACION\CANAL CHAÑARAL DE CAREN.doc</t>
  </si>
  <si>
    <t>C:\Users\franc\OneDrive\Documentos\MALENTIN KARIME\PROTOCOLIZACION\Autorizo la firma de PROTEC.doc</t>
  </si>
  <si>
    <t>C:\Users\franc\OneDrive\Documentos\MALENTIN KARIME\PROTOCOLIZACION\BOMBEROS 2 CIA..doc</t>
  </si>
  <si>
    <t>C:\Users\franc\OneDrive\Documentos\MALENTIN KARIME\PROTOCOLIZACION\Autorizo la firma de don RUBEN ANTONIO SIERRA SIERRA.doc</t>
  </si>
  <si>
    <t>C:\Users\franc\OneDrive\Documentos\MALENTIN KARIME\PROTOCOLIZACION\Autorizo la firma de don RAUL CAMPAÑA PIZARRO Tasui.doc</t>
  </si>
  <si>
    <t>C:\Users\franc\OneDrive\Documentos\MALENTIN KARIME\PROTOCOLIZACION\Autorizo la firma de don ROBERTO ENRIQUE VEGA ALCAYAGA.doc</t>
  </si>
  <si>
    <t>C:\Users\franc\OneDrive\Documentos\MALENTIN KARIME\PROTOCOLIZACION\Autorizo la firma de don MAURICIO DI PEDE MARTIN.doc</t>
  </si>
  <si>
    <t>C:\Users\franc\OneDrive\Documentos\MALENTIN KARIME\PROTOCOLIZACION\Autorizo la firma de don MAURICIO DI PEDE MARTIN POLIDEPORTIVO.doc</t>
  </si>
  <si>
    <t>C:\Users\franc\OneDrive\Documentos\MALENTIN KARIME\PROTOCOLIZACION\Autorizo la firma de don DIEGO CORTES DIAZ.doc</t>
  </si>
  <si>
    <t>C:\Users\franc\OneDrive\Documentos\MALENTIN KARIME\PROTOCOLIZACION\Autorizo la firma de don EDUARDO LOPEZ.doc</t>
  </si>
  <si>
    <t>C:\Users\franc\OneDrive\Documentos\MALENTIN KARIME\PROTOCOLIZACION\Autorizo la firma de don ARTURO ENRIQUE FORNO RAMIREZ.doc</t>
  </si>
  <si>
    <t>C:\Users\franc\OneDrive\Documentos\MALENTIN KARIME\PROTOCOLIZACION\Autorizo la firma de don CIRO BERRIOS.doc</t>
  </si>
  <si>
    <t>C:\Users\franc\OneDrive\Documentos\MALENTIN KARIME\PROTOCOLIZACION\Autorizo la firma de concesion puesto.doc</t>
  </si>
  <si>
    <t>C:\Users\franc\OneDrive\Documentos\MALENTIN KARIME\PROTOCOLIZACION\Autorizo la firma de don ALVARO FELIPE  MERCANDAL GONZALEZ.doc</t>
  </si>
  <si>
    <t>C:\Users\franc\OneDrive\Documentos\MALENTIN KARIME\PROTOCOLIZACION\autorizacion legajo.doc</t>
  </si>
  <si>
    <t>C:\Users\franc\OneDrive\Documentos\MALENTIN KARIME\PROTOCOLIZACION\autorizacion.doc</t>
  </si>
  <si>
    <t>C:\Users\franc\OneDrive\Documentos\MALENTIN KARIME\PROTOCOLIZACION\autorizacion horizontal PROTO.doc</t>
  </si>
  <si>
    <t>C:\Users\franc\OneDrive\Documentos\MALENTIN KARIME\PROTOCOLIZACION\autorizacion horizontal.doc</t>
  </si>
  <si>
    <t>C:\Users\franc\OneDrive\Documentos\MALENTIN KARIME\PROTOCOLIZACION\autorizacion hojas sueltas.doc</t>
  </si>
  <si>
    <t>C:\Users\franc\OneDrive\Documentos\MALENTIN KARIME\PROTOCOLIZACION\autorizacion hojas sueltas protocolizado.doc</t>
  </si>
  <si>
    <t>C:\Users\franc\OneDrive\Documentos\MALENTIN KARIME\PROTOCOLIZACION\ASOCIACION NACIONAL PENSIONADOS.doc</t>
  </si>
  <si>
    <t>C:\Users\franc\OneDrive\Documentos\MALENTIN KARIME\PROTOCOLIZACION\ASOCIACION NACIONAL PENSIONADOS directiva.doc</t>
  </si>
  <si>
    <t>C:\Users\franc\OneDrive\Documentos\MALENTIN KARIME\PROTOCOLIZACION\ASOC. GREMIAL MINERA PUNITAQUI estatutos.doc</t>
  </si>
  <si>
    <t>C:\Users\franc\OneDrive\Documentos\MALENTIN KARIME\PROTOCOLIZACION\ASOC. GREMIAL MINERA PUNITAQUI.doc</t>
  </si>
  <si>
    <t>C:\Users\franc\OneDrive\Documentos\MALENTIN KARIME\PROTOCOLIZACION\APR VILLA SECA.doc</t>
  </si>
  <si>
    <t>C:\Users\franc\OneDrive\Documentos\MALENTIN KARIME\PROTOCOLIZACION\APR SAN MARCOS  Fs 54.doc</t>
  </si>
  <si>
    <t>C:\Users\franc\OneDrive\Documentos\MALENTIN KARIME\PROTOCOLIZACION\APR SAN MARCOS.doc</t>
  </si>
  <si>
    <t>C:\Users\franc\OneDrive\Documentos\MALENTIN KARIME\PROTOCOLIZACION\APR SAN MARCOS  Fs 51 vta..doc</t>
  </si>
  <si>
    <t>C:\Users\franc\OneDrive\Documentos\MALENTIN KARIME\PROTOCOLIZACION\APR SAN MARCOS  Fs 52.doc</t>
  </si>
  <si>
    <t>C:\Users\franc\OneDrive\Documentos\MALENTIN KARIME\PROTOCOLIZACION\APR SAN MARCOS  Fs 49.doc</t>
  </si>
  <si>
    <t>C:\Users\franc\OneDrive\Documentos\MALENTIN KARIME\PROTOCOLIZACION\APR SAN MARCOS  Fs 47+.doc</t>
  </si>
  <si>
    <t>C:\Users\franc\OneDrive\Documentos\MALENTIN KARIME\PROTOCOLIZACION\APR SAN MARCOS  Fs 44 vta..doc</t>
  </si>
  <si>
    <t>C:\Users\franc\OneDrive\Documentos\MALENTIN KARIME\PROTOCOLIZACION\APR SAN MARCOS  Fs 47 vta..doc</t>
  </si>
  <si>
    <t>C:\Users\franc\OneDrive\Documentos\MALENTIN KARIME\PROTOCOLIZACION\APR LA RINCONADA.doc</t>
  </si>
  <si>
    <t>C:\Users\franc\OneDrive\Documentos\MALENTIN KARIME\PROTOCOLIZACION\APR SAN MARCOS  Fs 1.doc</t>
  </si>
  <si>
    <t>C:\Users\franc\OneDrive\Documentos\MALENTIN KARIME\PROTOCOLIZACION\APR SAN MARCOS  Fs 43.doc</t>
  </si>
  <si>
    <t>C:\Users\franc\OneDrive\Documentos\MALENTIN KARIME\PROTOCOLIZACION\APR CERRILLOS DE TAMAYA.doc</t>
  </si>
  <si>
    <t>C:\Users\franc\OneDrive\Documentos\MALENTIN KARIME\PROTOCOLIZACION\APR HUATULAME.doc</t>
  </si>
  <si>
    <t>C:\Users\franc\OneDrive\Documentos\MALENTIN KARIME\PROTOCOLIZACION\ANA ELIZABETH Inventario.doc</t>
  </si>
  <si>
    <t>C:\Users\franc\OneDrive\Documentos\MALENTIN KARIME\PROTOCOLIZACION\AMELIA MIRANDA ROJAS.doc</t>
  </si>
  <si>
    <t>C:\Users\franc\OneDrive\Documentos\MALENTIN KARIME\PROTOCOLIZACION\ALEJANDRA QUIROGA  Propuesta.doc</t>
  </si>
  <si>
    <t>C:\Users\franc\OneDrive\Documentos\MALENTIN KARIME\PROTOCOLIZACION\4cv inversiones ltda..doc</t>
  </si>
  <si>
    <t>C:\Users\franc\OneDrive\Documentos\MALENTIN KARIME\PROTOCOLIZACION\ALBA GUERRERO Drogas.doc</t>
  </si>
  <si>
    <t>C:\Users\franc\OneDrive\Documentos\MALENTIN KARIME\PROMESAS\2021\SERGIO OSSANDON VALDIVIA Y MARIA CASANGA Minuta.doc</t>
  </si>
  <si>
    <t>C:\Users\franc\OneDrive\Documentos\MALENTIN KARIME\PROMESAS\2021\VIVIANA ARAYA A ELIAS CERDA Y OTRO A-5.doc</t>
  </si>
  <si>
    <t>C:\Users\franc\OneDrive\Documentos\MALENTIN KARIME\PROTOCOLIZACION\4cv inversiones ltda PROP 74-2011.doc</t>
  </si>
  <si>
    <t>C:\Users\franc\OneDrive\Documentos\MALENTIN KARIME\PROMESAS\2021\HECTOR VELOZO A ROSANI ARAYA LT A 15.doc</t>
  </si>
  <si>
    <t>C:\Users\franc\OneDrive\Documentos\MALENTIN KARIME\PROMESAS\2021\LEO DAN CASTILLO Minuta.doc</t>
  </si>
  <si>
    <t>C:\Users\franc\OneDrive\Documentos\MALENTIN KARIME\PROMESAS\2021\HECTOR VELOZO A DIANA ARAYA LT A 17.doc</t>
  </si>
  <si>
    <t>C:\Users\franc\OneDrive\Documentos\MALENTIN KARIME\PROMESAS\2021\HECTOR VELOZO A PAULA COLLAO  LT 7 A 7.doc</t>
  </si>
  <si>
    <t>C:\Users\franc\OneDrive\Documentos\MALENTIN KARIME\PROMESAS\2021\HECTOR VELOZO A CARMEN OLAVE.doc</t>
  </si>
  <si>
    <t>C:\Users\franc\OneDrive\Documentos\MALENTIN KARIME\PROMESAS\2021\CARLOS VELIZ ADONES A CLAUDIO HERNANDEZ maquina.doc</t>
  </si>
  <si>
    <t>C:\Users\franc\OneDrive\Documentos\MALENTIN KARIME\PROMESAS\2021\FERNANDO OLIVARES Y LEO DAN CASTILLO Minuta.doc</t>
  </si>
  <si>
    <t>C:\Users\franc\OneDrive\Documentos\MALENTIN KARIME\PROMESAS\2018\VIVIANA ARAYA A María Segovia Lote A-Uno.doc</t>
  </si>
  <si>
    <t>C:\Users\franc\OneDrive\Documentos\MALENTIN KARIME\PROMESAS\2018\YURI AVENDAÑO y Agricola San Alejandro Minuta.doc</t>
  </si>
  <si>
    <t>C:\Users\franc\OneDrive\Documentos\MALENTIN KARIME\PROMESAS\2018\VIVIANA ARAYA A María Canihuante A-7.doc</t>
  </si>
  <si>
    <t>C:\Users\franc\OneDrive\Documentos\MALENTIN KARIME\PROMESAS\2018\VIVIANA ARAYA A Maria Carvajal A-6.doc</t>
  </si>
  <si>
    <t>C:\Users\franc\OneDrive\Documentos\MALENTIN KARIME\PROMESAS\2018\VIVIANA ARAYA A Maria Carvajal A-5.doc</t>
  </si>
  <si>
    <t>C:\Users\franc\OneDrive\Documentos\MALENTIN KARIME\PROMESAS\2018\VIVIANA ARAYA A Maria Alvarez A-8.doc</t>
  </si>
  <si>
    <t>C:\Users\franc\OneDrive\Documentos\MALENTIN KARIME\PROMESAS\2018\VIVIANA ARAYA A Maria Carvajal A-4.doc</t>
  </si>
  <si>
    <t>C:\Users\franc\OneDrive\Documentos\MALENTIN KARIME\PROMESAS\2018\VIVIANA ARAYA A Janet Venegas A-4.doc</t>
  </si>
  <si>
    <t>C:\Users\franc\OneDrive\Documentos\MALENTIN KARIME\PROMESAS\2018\VIVIANA ARAYA A Jorge Peñaloza A-4.doc</t>
  </si>
  <si>
    <t>C:\Users\franc\OneDrive\Documentos\MALENTIN KARIME\PROMESAS\2018\RAMONA ROJAS CASTILLO A Lorenzo Flores Promesa.doc</t>
  </si>
  <si>
    <t>C:\Users\franc\OneDrive\Documentos\MALENTIN KARIME\PROMESAS\2018\PATRICIO LARA RAMIREZ A Tasaciones y Servicios Inmobiliarios Limitada con cambios.doc</t>
  </si>
  <si>
    <t>C:\Users\franc\OneDrive\Documentos\MALENTIN KARIME\PROMESAS\2018\PRISCILA URQUETA Y Lady Toro minuta.doc</t>
  </si>
  <si>
    <t>C:\Users\franc\OneDrive\Documentos\MALENTIN KARIME\PROMESAS\2018\MARCELA COLLA OLIVARES vehiculo.doc</t>
  </si>
  <si>
    <t>C:\Users\franc\OneDrive\Documentos\MALENTIN KARIME\PROMESAS\2018\LUZ ARAYA HIDALGO A Zoraida Macakachi.doc</t>
  </si>
  <si>
    <t>C:\Users\franc\OneDrive\Documentos\MALENTIN KARIME\PROMESAS\2018\CARLOS ROJAS SALINAS A CHRISTOPHER ROJAS mina.doc</t>
  </si>
  <si>
    <t>C:\Users\franc\OneDrive\Documentos\MALENTIN KARIME\PROMESAS\2018\Borrador PATRICIO LARA RAMIREZ.doc</t>
  </si>
  <si>
    <t>C:\Users\franc\OneDrive\Documentos\MALENTIN KARIME\PROMESAS\2018\BERTA JOFRE Y Wilfredo Jiménez Minuta.doc</t>
  </si>
  <si>
    <t>C:\Users\franc\OneDrive\Documentos\MALENTIN KARIME\PROMESAS\2018\AMERICA TAPIA A Angelo Tatán.doc</t>
  </si>
  <si>
    <t>C:\Users\franc\OneDrive\Documentos\MALENTIN KARIME\PROMESAS\2018\BERTA JOFRE Y Wilfredo Jiménez Minuta Patricia Alfaro II.doc</t>
  </si>
  <si>
    <t>C:\Users\franc\OneDrive\Documentos\MALENTIN KARIME\PROMESAS\2018\ALFONSO PASTEN HENRRIQUEZ a COMERCIALlllllll GIANZO Minuta.doc</t>
  </si>
  <si>
    <t>C:\Users\franc\OneDrive\Documentos\MALENTIN KARIME\PROMESAS\2018\ALEJANDRO CORTES Y Rosa Gonzalez minuta.doc</t>
  </si>
  <si>
    <t>C:\Users\franc\OneDrive\Documentos\MALENTIN KARIME\PROMESAS\2017\VICTOR GUTIERREZ A Ildefonso Mansilla vehiculo.doc</t>
  </si>
  <si>
    <t>C:\Users\franc\OneDrive\Documentos\MALENTIN KARIME\PROMESAS\2017\VIOLETA GUERRERO SALAS 2018.doc</t>
  </si>
  <si>
    <t>C:\Users\franc\OneDrive\Documentos\MALENTIN KARIME\PROMESAS\2017\VICTOR GRANDON promesa depto OValle.doc</t>
  </si>
  <si>
    <t>C:\Users\franc\OneDrive\Documentos\MALENTIN KARIME\PROMESAS\2017\SYLVIA HUMERES PEREZ.doc</t>
  </si>
  <si>
    <t>C:\Users\franc\OneDrive\Documentos\MALENTIN KARIME\PROMESAS\2017\RUBEN ARANGUIZ  A SERGIO SEGOVIA.doc</t>
  </si>
  <si>
    <t>C:\Users\franc\OneDrive\Documentos\MALENTIN KARIME\PROMESAS\2017\MARIO TORO TORO.doc</t>
  </si>
  <si>
    <t>C:\Users\franc\OneDrive\Documentos\MALENTIN KARIME\PROMESAS\2017\LUZ ARAYA HIDALGO Sitio 3.doc</t>
  </si>
  <si>
    <t>C:\Users\franc\OneDrive\Documentos\MALENTIN KARIME\PROMESAS\2017\KAREN LUTTGUES RODRIGUEZ.doc</t>
  </si>
  <si>
    <t>C:\Users\franc\OneDrive\Documentos\MALENTIN KARIME\PROMESAS\2017\INVERSIONES URBANAS A Wilson Alfaro.doc</t>
  </si>
  <si>
    <t>C:\Users\franc\OneDrive\Documentos\MALENTIN KARIME\PROMESAS\2017\INSTRUCCIONES MARIO TORO.doc</t>
  </si>
  <si>
    <t>C:\Users\franc\OneDrive\Documentos\MALENTIN KARIME\PROMESAS\2017\DIONISIO ALVAREZ Y Maria Casanga.doc</t>
  </si>
  <si>
    <t>C:\Users\franc\OneDrive\Documentos\MALENTIN KARIME\PROMESAS\2016\MARIA AGUILERA A MIGUEL OLIVARES mariajose.doc</t>
  </si>
  <si>
    <t>C:\Users\franc\OneDrive\Documentos\MALENTIN KARIME\PROMESAS\2016\WILSON ARAYA A JUANA CONTRERASpórroga.doc</t>
  </si>
  <si>
    <t>C:\Users\franc\OneDrive\Documentos\MALENTIN KARIME\PROMESAS\2016\LUIS TAIBA VERGARA A Victor Arayapórroga.doc</t>
  </si>
  <si>
    <t>C:\Users\franc\OneDrive\Documentos\MALENTIN KARIME\PROMESAS\2016\ESTER ARAYA A LEYLA LOPEZ.doc</t>
  </si>
  <si>
    <t>C:\Users\franc\OneDrive\Documentos\MALENTIN KARIME\PROMESAS\2015\VICTOR GRANDON y MACARENA OTAROLA promesa depto.doc</t>
  </si>
  <si>
    <t>C:\Users\franc\OneDrive\Documentos\MALENTIN KARIME\PROMESAS\2015\VICTOR GRANDON y MACARENA OTAROLA promesa depto.do.doc</t>
  </si>
  <si>
    <t>C:\Users\franc\OneDrive\Documentos\MALENTIN KARIME\PROMESAS\2015\RICARDO SELEME A Hugo Arias.doc</t>
  </si>
  <si>
    <t>C:\Users\franc\OneDrive\Documentos\MALENTIN KARIME\PROMESAS\2015\personeria NORTE VERDE.doc</t>
  </si>
  <si>
    <t>C:\Users\franc\OneDrive\Documentos\MALENTIN KARIME\PROMESAS\2015\personeria FUNDACION.doc</t>
  </si>
  <si>
    <t>C:\Users\franc\OneDrive\Documentos\MALENTIN KARIME\PROMESAS\2015\MARCOS ROJAS A Angelo Tatàn.doc</t>
  </si>
  <si>
    <t>C:\Users\franc\OneDrive\Documentos\MALENTIN KARIME\PROMESAS\2015\MIRTO CORTES ROBLES A Rosenda Segovia Robles.doc</t>
  </si>
  <si>
    <t>C:\Users\franc\OneDrive\Documentos\MALENTIN KARIME\PROMESAS\2015\Marcelo Salinas  a LETICIA ROJASvehiculo.doc</t>
  </si>
  <si>
    <t>C:\Users\franc\OneDrive\Documentos\MALENTIN KARIME\PROMESAS\2015\MARCOS MOYA A Juan Varas.doc</t>
  </si>
  <si>
    <t>C:\Users\franc\OneDrive\Documentos\MALENTIN KARIME\PROMESAS\2015\LUIS VEAS VEGA A Tatiana Castro.doc</t>
  </si>
  <si>
    <t>C:\Users\franc\OneDrive\Documentos\MALENTIN KARIME\PROMESAS\2015\LETICIA ROJAS ALVAREZ A Marcelo Salinas vehiculo.doc</t>
  </si>
  <si>
    <t>C:\Users\franc\OneDrive\Documentos\MALENTIN KARIME\PROMESAS\2015\INMOBILIARIA NORTE VERDE A María Zepeda Provis Porroga.doc</t>
  </si>
  <si>
    <t>C:\Users\franc\OneDrive\Documentos\MALENTIN KARIME\PROMESAS\2015\ERIC CASTILLO A RICARDO VALENZUELA.doc</t>
  </si>
  <si>
    <t>C:\Users\franc\OneDrive\Documentos\MALENTIN KARIME\PROMESAS\2015\FRANCIS OLIVER A Fabiola Muñoz.doc</t>
  </si>
  <si>
    <t>C:\Users\franc\OneDrive\Documentos\MALENTIN KARIME\PROMESAS\2015\ELISA MIRANDA TORRES A Jaime Gonzalez.doc</t>
  </si>
  <si>
    <t>C:\Users\franc\OneDrive\Documentos\MALENTIN KARIME\PROMESAS\2015\CLEMENTE FUENTEALBA Promesa.doc</t>
  </si>
  <si>
    <t>C:\Users\franc\OneDrive\Documentos\MALENTIN KARIME\PROMESAS\2015\EDUARDO MIRANDA A JUAN SIERRA.doc</t>
  </si>
  <si>
    <t>C:\Users\franc\OneDrive\Documentos\MALENTIN KARIME\PROMESAS\2015\CARLOS SIERRA A Bernardito Cortés.doc</t>
  </si>
  <si>
    <t>C:\Users\franc\OneDrive\Documentos\MALENTIN KARIME\PROMESAS\2015\Borrador victor grandon.doc</t>
  </si>
  <si>
    <t>C:\Users\franc\OneDrive\Documentos\MALENTIN KARIME\PROMESAS\2014\VIOLETA CAMPUSANO TELLO Pomesa.doc</t>
  </si>
  <si>
    <t>C:\Users\franc\OneDrive\Documentos\MALENTIN KARIME\PROMESAS\2014\VIOLETA CAMPUSANO TELLO Pomesa Lote 4.doc</t>
  </si>
  <si>
    <t>C:\Users\franc\OneDrive\Documentos\MALENTIN KARIME\PROMESAS\2014\RODRIGO CABRERA Promesa.doc</t>
  </si>
  <si>
    <t>C:\Users\franc\OneDrive\Documentos\MALENTIN KARIME\PROMESAS\2014\PEDRO  COLLAO saga.doc</t>
  </si>
  <si>
    <t>C:\Users\franc\OneDrive\Documentos\MALENTIN KARIME\PROMESAS\2014\RIGOBERTO  COLLAO saga.doc</t>
  </si>
  <si>
    <t>C:\Users\franc\OneDrive\Documentos\MALENTIN KARIME\PROMESAS\2014\MARIA LORETO ANGEL ARTAL.doc</t>
  </si>
  <si>
    <t>C:\Users\franc\OneDrive\Documentos\MALENTIN KARIME\PROMESAS\2014\OLGA CORTES ROJAS A LEANDRO GALLARDO Minuta.doc</t>
  </si>
  <si>
    <t>C:\Users\franc\OneDrive\Documentos\MALENTIN KARIME\PROMESAS\2014\LUISA BARRAZA CASTRO Derecho.doc</t>
  </si>
  <si>
    <t>C:\Users\franc\OneDrive\Documentos\MALENTIN KARIME\PROMESAS\2014\JUAN MAURICIO RAMÍREZ COLLAO saga.doc</t>
  </si>
  <si>
    <t>C:\Users\franc\OneDrive\Documentos\MALENTIN KARIME\PROMESAS\2014\LUIS ERNESTO COLLAO saga.doc</t>
  </si>
  <si>
    <t>C:\Users\franc\OneDrive\Documentos\MALENTIN KARIME\PROMESAS\2014\ISRAEL ARAYA TELLO A Sandro Lopez.doc</t>
  </si>
  <si>
    <t>C:\Users\franc\OneDrive\Documentos\MALENTIN KARIME\PROMESAS\2014\JANINE TORO pórroga.doc</t>
  </si>
  <si>
    <t>C:\Users\franc\OneDrive\Documentos\MALENTIN KARIME\PROMESAS\2014\EDMUNDO LOYOLA A EDUARDO DIAZ.doc</t>
  </si>
  <si>
    <t>C:\Users\franc\OneDrive\Documentos\MALENTIN KARIME\PROMESAS\2014\FERNANDO LOPEZ A DANILA BARRAZA.doc</t>
  </si>
  <si>
    <t>C:\Users\franc\OneDrive\Documentos\MALENTIN KARIME\PROMESAS\2014\CHRISTIAN COLLAO saga.doc</t>
  </si>
  <si>
    <t>C:\Users\franc\OneDrive\Documentos\MALENTIN KARIME\PROMESAS\2014\CHRISTIAN DIAZ GONZALEZ Pomesa.doc</t>
  </si>
  <si>
    <t>C:\Users\franc\OneDrive\Documentos\MALENTIN KARIME\PROMESAS\WILFREDO CONTRERAS SANTANDER.doc</t>
  </si>
  <si>
    <t>C:\Users\franc\OneDrive\Documentos\MALENTIN KARIME\PROMESAS\2014\AURORA LINDERMANN  A JANINIE TORO.doc</t>
  </si>
  <si>
    <t>C:\Users\franc\OneDrive\Documentos\MALENTIN KARIME\PROMESAS\WANDA UGUEÑO UGUEÑO A MARIA FLORES.doc</t>
  </si>
  <si>
    <t>C:\Users\franc\OneDrive\Documentos\MALENTIN KARIME\PROMESAS\VICTOR CORTES A PATRICIA ARANCIBIA.doc</t>
  </si>
  <si>
    <t>C:\Users\franc\OneDrive\Documentos\MALENTIN KARIME\PROMESAS\TELLCOR LIMITADA A Alejandro Cornejo Minuta.doc</t>
  </si>
  <si>
    <t>C:\Users\franc\OneDrive\Documentos\MALENTIN KARIME\PROMESAS\TELLCOR LIMITADA A CARLOS SCHULTZ.doc</t>
  </si>
  <si>
    <t>C:\Users\franc\OneDrive\Documentos\MALENTIN KARIME\PROMESAS\TELLCOR LIMITADA A Alejandro Cornejo Minuta  MODIFICACION.doc</t>
  </si>
  <si>
    <t>C:\Users\franc\OneDrive\Documentos\MALENTIN KARIME\PROMESAS\SYLVIA FLORES ALVAREZ Con agua.doc</t>
  </si>
  <si>
    <t>C:\Users\franc\OneDrive\Documentos\MALENTIN KARIME\PROMESAS\ROSA SANVENERO A NOLVIA ARAYA.doc</t>
  </si>
  <si>
    <t>C:\Users\franc\OneDrive\Documentos\MALENTIN KARIME\PROMESAS\ROSSANA ARAYA ALFARO A AMADIEL ALFARO Ariztía.doc</t>
  </si>
  <si>
    <t>C:\Users\franc\OneDrive\Documentos\MALENTIN KARIME\PROMESAS\ROSA SANVENERO A NOLVIA ARAYA pórroga.doc</t>
  </si>
  <si>
    <t>C:\Users\franc\OneDrive\Documentos\MALENTIN KARIME\PROMESAS\ROSA CORTES RUBINA A CINTIHA ROJAS RIVERA.doc</t>
  </si>
  <si>
    <t>C:\Users\franc\OneDrive\Documentos\MALENTIN KARIME\PROMESAS\promesa vehiculo.doc</t>
  </si>
  <si>
    <t>C:\Users\franc\OneDrive\Documentos\MALENTIN KARIME\PROMESAS\RAQUEL ZAMBRA CASTELLANOS.doc</t>
  </si>
  <si>
    <t>C:\Users\franc\OneDrive\Documentos\MALENTIN KARIME\PROMESAS\PROMESA C-V  AGUAS ZAMBRA A CA HUANA.doc</t>
  </si>
  <si>
    <t>C:\Users\franc\OneDrive\Documentos\MALENTIN KARIME\PROMESAS\PEDRO VEGA ROJAS A RAFAEL DIAZ.doc</t>
  </si>
  <si>
    <t>C:\Users\franc\OneDrive\Documentos\MALENTIN KARIME\PROMESAS\PAGARÉ Alegría Araya 06 12 2013.doc</t>
  </si>
  <si>
    <t>C:\Users\franc\OneDrive\Documentos\MALENTIN KARIME\PROMESAS\PALMENIA MAYA A LUPERFINA PLAZA Minuta Valeska.doc</t>
  </si>
  <si>
    <t>C:\Users\franc\OneDrive\Documentos\MALENTIN KARIME\PROMESAS\PEDRO PIÑONES ANTIQUERA A PEDRO VEGA.doc</t>
  </si>
  <si>
    <t>C:\Users\franc\OneDrive\Documentos\MALENTIN KARIME\PROMESAS\PAGARE A LA VISTA.doc</t>
  </si>
  <si>
    <t>C:\Users\franc\OneDrive\Documentos\MALENTIN KARIME\PROMESAS\PAGARE A PLAZO.doc</t>
  </si>
  <si>
    <t>C:\Users\franc\OneDrive\Documentos\MALENTIN KARIME\PROMESAS\MOISES MIRANDA TELLO.doc</t>
  </si>
  <si>
    <t>C:\Users\franc\OneDrive\Documentos\MALENTIN KARIME\PROMESAS\OLGA TORO.doc</t>
  </si>
  <si>
    <t>C:\Users\franc\OneDrive\Documentos\MALENTIN KARIME\PROMESAS\MARIA MUÑOZ A PILAR ALEJANDRA.doc</t>
  </si>
  <si>
    <t>C:\Users\franc\OneDrive\Documentos\MALENTIN KARIME\PROMESAS\modelo SUPLENCIA.doc</t>
  </si>
  <si>
    <t>C:\Users\franc\OneDrive\Documentos\MALENTIN KARIME\PROMESAS\MARIA ISABEL GONZALEZ A JOSE MORALES MUÑOZ.doc</t>
  </si>
  <si>
    <t>C:\Users\franc\OneDrive\Documentos\MALENTIN KARIME\PROMESAS\LUIS ERNESTO FLORES A SAUL INOSTROZA MENDEZ.doc</t>
  </si>
  <si>
    <t>C:\Users\franc\OneDrive\Documentos\MALENTIN KARIME\PROMESAS\LEONARDO FERRADA CORTES.doc</t>
  </si>
  <si>
    <t>C:\Users\franc\OneDrive\Documentos\MALENTIN KARIME\PROMESAS\JUAN SANTELICES LUCERO A SALVADOR MAYA Noviembre.doc</t>
  </si>
  <si>
    <t>C:\Users\franc\OneDrive\Documentos\MALENTIN KARIME\PROMESAS\JUAN SANTELICES Cancelacion.doc</t>
  </si>
  <si>
    <t>C:\Users\franc\OneDrive\Documentos\MALENTIN KARIME\PROMESAS\JUAN SANTELICES LUCERO A Eduardo Castillo Abril.doc</t>
  </si>
  <si>
    <t>C:\Users\franc\OneDrive\Documentos\MALENTIN KARIME\PROMESAS\JUAN CARVAJAL ECHEVERRÍA A MIRIAM MONARDEZ.doc</t>
  </si>
  <si>
    <t>C:\Users\franc\OneDrive\Documentos\MALENTIN KARIME\PROMESAS\ISABEL ROJAS CARVAJAL A MERY HORTUA.doc</t>
  </si>
  <si>
    <t>C:\Users\franc\OneDrive\Documentos\MALENTIN KARIME\PROMESAS\JUAN ALBAREZ A MARCOS DIAZ.doc</t>
  </si>
  <si>
    <t>C:\Users\franc\OneDrive\Documentos\MALENTIN KARIME\PROMESAS\IRIS ARACENA A GLADYS PEÑA Minuta Roberto Vega.doc</t>
  </si>
  <si>
    <t>C:\Users\franc\OneDrive\Documentos\MALENTIN KARIME\PROMESAS\HUGO VALDIVIA ARAYA A Contador Frutos Minuta.doc</t>
  </si>
  <si>
    <t>C:\Users\franc\OneDrive\Documentos\MALENTIN KARIME\PROMESAS\HORACIO DEL ROSARIO LOPEZ  A Juan Santelices.doc</t>
  </si>
  <si>
    <t>C:\Users\franc\OneDrive\Documentos\MALENTIN KARIME\PROMESAS\HORACIO DEL ROSARIO LOPEZ  A Juan Santelices II.doc</t>
  </si>
  <si>
    <t>C:\Users\franc\OneDrive\Documentos\MALENTIN KARIME\PROMESAS\HECTOR GODOY A Estefanía Contreras.doc</t>
  </si>
  <si>
    <t>C:\Users\franc\OneDrive\Documentos\MALENTIN KARIME\PROMESAS\HECTOR RICARDO LOPEZ A Eric Lecaros.doc</t>
  </si>
  <si>
    <t>C:\Users\franc\OneDrive\Documentos\MALENTIN KARIME\PROMESAS\HANNA MISLEH A DOLLY TABILO pórroga.doc</t>
  </si>
  <si>
    <t>C:\Users\franc\OneDrive\Documentos\MALENTIN KARIME\PROMESAS\FRUTICOLA RIO COPIAPO A SUCESION ALEGRIA Prorroga.doc</t>
  </si>
  <si>
    <t>C:\Users\franc\OneDrive\Documentos\MALENTIN KARIME\PROMESAS\FRUTICOLA RIO COPIAPO A ALBERTO ALEGRIA.doc</t>
  </si>
  <si>
    <t>C:\Users\franc\OneDrive\Documentos\MALENTIN KARIME\PROMESAS\FERNANDO AGUILERA A MARIA MONARDEZ.doc</t>
  </si>
  <si>
    <t>C:\Users\franc\OneDrive\Documentos\MALENTIN KARIME\PROMESAS\FELIX SORIA A Carlos Sarras.doc</t>
  </si>
  <si>
    <t>C:\Users\franc\OneDrive\Documentos\MALENTIN KARIME\PROMESAS\DORALIZA AGUILERA A Jose Valenzuela.doc</t>
  </si>
  <si>
    <t>C:\Users\franc\OneDrive\Documentos\MALENTIN KARIME\PROMESAS\EDMUNDO ORTIZ A FERMIN QUISPE Minuta MIsabel Maluenda.doc</t>
  </si>
  <si>
    <t>C:\Users\franc\OneDrive\Documentos\MALENTIN KARIME\PROMESAS\CAROLYN  GONGORA NAVARRETE A ALEJANDRA CASTAÑEDA Clemente Fuentealba.doc</t>
  </si>
  <si>
    <t>C:\Users\franc\OneDrive\Documentos\MALENTIN KARIME\PROMESAS\Clausula vehiculo.doc</t>
  </si>
  <si>
    <t>C:\Users\franc\OneDrive\Documentos\MALENTIN KARIME\PROMESAS\CARLOS CARVAJAL RODRIGUEZ a VIRGINIA JINEZ 42.doc</t>
  </si>
  <si>
    <t>C:\Users\franc\OneDrive\Documentos\MALENTIN KARIME\PROMESAS\CARLOS CARVAJAL RODRIGUEZ.doc</t>
  </si>
  <si>
    <t>C:\Users\franc\OneDrive\Documentos\MALENTIN KARIME\PROMESAS\CARLOS CARVAJAL RODRIGUEZ a SAIDA MUNDACA RIVERA 35.doc</t>
  </si>
  <si>
    <t>C:\Users\franc\OneDrive\Documentos\MALENTIN KARIME\PROMESAS\CARLOS CARVAJAL RODRIGUEZ a MARIA SALINAS 17.doc</t>
  </si>
  <si>
    <t>C:\Users\franc\OneDrive\Documentos\MALENTIN KARIME\PROMESAS\CARLOS CARVAJAL RODRIGUEZ A Luis Veliz Salgado 18 B Nueva modelo.doc</t>
  </si>
  <si>
    <t>C:\Users\franc\OneDrive\Documentos\MALENTIN KARIME\PROMESAS\CARLOS CARVAJAL RODRIGUEZ a MARIA SALINAS  Y OTRA 16.doc</t>
  </si>
  <si>
    <t>C:\Users\franc\OneDrive\Documentos\MALENTIN KARIME\PROMESAS\CARLOS CARVAJAL RODRIGUEZ A Iribando Cortés y Otros.doc</t>
  </si>
  <si>
    <t>C:\Users\franc\OneDrive\Documentos\MALENTIN KARIME\PROMESAS\CARLOS CARVAJAL RODRIGUEZ a LORENA RAMIREZ 18 d.doc</t>
  </si>
  <si>
    <t>C:\Users\franc\OneDrive\Documentos\MALENTIN KARIME\PROMESAS\CARLOS CARVAJAL RODRIGUEZ a DANIEL PAUVIF Y OTRO L18F.doc</t>
  </si>
  <si>
    <t>C:\Users\franc\OneDrive\Documentos\MALENTIN KARIME\PROMESAS\CARLOS CARVAJAL RODRIGUEZ a GUSTAVO GONZALEZ.doc</t>
  </si>
  <si>
    <t>C:\Users\franc\OneDrive\Documentos\MALENTIN KARIME\PROMESAS\CARLOS CARVAJAL RODRIGUEZ a Cleopatra Meneses.doc</t>
  </si>
  <si>
    <t>C:\Users\franc\OneDrive\Documentos\MALENTIN KARIME\PROMESAS\CARLOS CARVAJAL RODRIGUEZ a Carmen Araya Pinto.doc</t>
  </si>
  <si>
    <t>C:\Users\franc\OneDrive\Documentos\MALENTIN KARIME\PROMESAS\CARLOS CARVAJAL RODRIGUEZ 24.doc</t>
  </si>
  <si>
    <t>C:\Users\franc\OneDrive\Documentos\MALENTIN KARIME\PROMESAS\CARLOS CARVAJAL RODRIGUEZ a ALFREDO SANTANDER ARENAS 27 Y 28.doc</t>
  </si>
  <si>
    <t>C:\Users\franc\OneDrive\Documentos\MALENTIN KARIME\PROMESAS\CARLOS CARVAJAL RODRIGUEZ 18 B 5 y rescliacion.doc</t>
  </si>
  <si>
    <t>C:\Users\franc\OneDrive\Documentos\MALENTIN KARIME\PROMESAS\CARLOS CARVAJAL RODRIGUEZ 18 B 3.doc</t>
  </si>
  <si>
    <t>C:\Users\franc\OneDrive\Documentos\MALENTIN KARIME\PROMESAS\BERNARDO GUZMAN A GABRIEL ORELLANA.doc</t>
  </si>
  <si>
    <t>C:\Users\franc\OneDrive\Documentos\MALENTIN KARIME\PROMESAS\CARLOS CARVAJAL RODRIGUEZ 13.doc</t>
  </si>
  <si>
    <t>C:\Users\franc\OneDrive\Documentos\MALENTIN KARIME\PROMESAS\ALAMIRO ZUÑIGA PIZARRO.doc</t>
  </si>
  <si>
    <t>C:\Users\franc\OneDrive\Documentos\MALENTIN KARIME\PRENDAS\UVA\SERGIO RIVERA Y SOC AGRICOLA MAL PASO.doc</t>
  </si>
  <si>
    <t>C:\Users\franc\OneDrive\Documentos\MALENTIN KARIME\PRENDAS\2015\RENATO GUERRA Alzamiento.doc</t>
  </si>
  <si>
    <t>C:\Users\franc\OneDrive\Documentos\MALENTIN KARIME\PRENDAS\2015\MARIA LARRONDO JAIME Y Coopeval.doc</t>
  </si>
  <si>
    <t>C:\Users\franc\OneDrive\Documentos\MALENTIN KARIME\PRENDAS\SOCIEDAD DE TRANSPORTES ALZER Alzam.doc</t>
  </si>
  <si>
    <t>C:\Users\franc\OneDrive\Documentos\MALENTIN KARIME\PRENDAS\SOCIEDAD DE TRANSPORTES ALZER Alzam PRIVADO.doc</t>
  </si>
  <si>
    <t>C:\Users\franc\OneDrive\Documentos\MALENTIN KARIME\PRENDAS\SOCIEDAD DE TRANSPORTES ALZER Alzam PRIVADO 2.doc</t>
  </si>
  <si>
    <t>C:\Users\franc\OneDrive\Documentos\MALENTIN KARIME\PRENDAS\SOCIEDAD AGRICOLA LOS PRIMOS A copeval  (Carro y Remolque).doc</t>
  </si>
  <si>
    <t>C:\Users\franc\OneDrive\Documentos\MALENTIN KARIME\PRENDAS\pagare.doc</t>
  </si>
  <si>
    <t>C:\Users\franc\OneDrive\Documentos\MALENTIN KARIME\PRENDAS\INVERSIONES TALQUILLA A Del Monte Dic 14.doc</t>
  </si>
  <si>
    <t>C:\Users\franc\OneDrive\Documentos\MALENTIN KARIME\PRENDAS\MIRTA GALLARDO A SOUTHERN FRUIT Nov 12.doc</t>
  </si>
  <si>
    <t>C:\Users\franc\OneDrive\Documentos\MALENTIN KARIME\PRENDAS\INVERSIONES TALQUILLA A Del Monte Dic 14 NUEVA FINAL2 PARTE visto bueno.doc</t>
  </si>
  <si>
    <t>C:\Users\franc\OneDrive\Documentos\MALENTIN KARIME\PRENDAS\INVERSIONES TALQUILLA A Del Monte Dic 14 NUEVA FINAL2 PARTE.doc</t>
  </si>
  <si>
    <t>C:\Users\franc\OneDrive\Documentos\MALENTIN KARIME\PRENDAS\INVERSIONES TALQUILLA A Del Monte Dic 14 NUEVA FINAL visto bueno.doc</t>
  </si>
  <si>
    <t>C:\Users\franc\OneDrive\Documentos\MALENTIN KARIME\PRENDAS\INVERSIONES TALQUILLA A Del Monte Dic 14 NUEVA FINAL.doc</t>
  </si>
  <si>
    <t>C:\Users\franc\OneDrive\Documentos\MALENTIN KARIME\PRENDAS\humberto aguirre y soc. mal paso RECTI.doc</t>
  </si>
  <si>
    <t>C:\Users\franc\OneDrive\Documentos\MALENTIN KARIME\PRENDAS\humberto aguirre.doc</t>
  </si>
  <si>
    <t>C:\Users\franc\OneDrive\Documentos\MALENTIN KARIME\PRENDAS\HUMBERTO AGUIRRE SA A RIO BLANCO.doc</t>
  </si>
  <si>
    <t>C:\Users\franc\OneDrive\Documentos\MALENTIN KARIME\PRENDAS\HERMAN CARVAJAL A MARCELO ONETTO DIC 2011.doc</t>
  </si>
  <si>
    <t>C:\Users\franc\OneDrive\Documentos\MALENTIN KARIME\PRENDAS\FERANCISCO BOU VILLADA A SOUTHERN FRUIT Nov 12.doc</t>
  </si>
  <si>
    <t>C:\Users\franc\OneDrive\Documentos\MALENTIN KARIME\PRENDAS\FACTORONE Y Karem Cortes Prenda dic 14.doc</t>
  </si>
  <si>
    <t>C:\Users\franc\OneDrive\Documentos\MALENTIN KARIME\PRENDAS\DEL MONTE Y LA GREDA.doc</t>
  </si>
  <si>
    <t>C:\Users\franc\OneDrive\Documentos\MALENTIN KARIME\PRENDAS\COPEVAL y SOCIEDAD AGRICOLA  LOS PRIMOS A Agosto 14.doc</t>
  </si>
  <si>
    <t>C:\Users\franc\OneDrive\Documentos\MALENTIN KARIME\PRENDAS\COPEVAL A MANUEL DIAZ.doc</t>
  </si>
  <si>
    <t>C:\Users\franc\OneDrive\Documentos\MALENTIN KARIME\PRENDAS\COPEVAL y AGRICOLA SANTA ANDREA LIMITADA Agosto 14.doc</t>
  </si>
  <si>
    <t>C:\Users\franc\OneDrive\Documentos\MALENTIN KARIME\PRENDAS\CLEMENTE FUENTEALBA.doc</t>
  </si>
  <si>
    <t>C:\Users\franc\OneDrive\Documentos\MALENTIN KARIME\PRENDAS\CARTA DE INSTRUCCIONES.doc</t>
  </si>
  <si>
    <t>C:\Users\franc\OneDrive\Documentos\MALENTIN KARIME\PRENDAS\CARTA DE INSTRUCCIONES ii.doc</t>
  </si>
  <si>
    <t>C:\Users\franc\OneDrive\Documentos\MALENTIN KARIME\pendientes\PERFECTO OLIVARES TAPIA Y OTROS Sucesion.doc</t>
  </si>
  <si>
    <t>C:\Users\franc\OneDrive\Documentos\MALENTIN KARIME\pendientes\PATRICIA ALFARO rect mandato.doc</t>
  </si>
  <si>
    <t>C:\Users\franc\OneDrive\Documentos\MALENTIN KARIME\pendientes\NOLFA AROS PIÑONES y Mauricio ALfaro Cancelacion.doc</t>
  </si>
  <si>
    <t>C:\Users\franc\OneDrive\Documentos\MALENTIN KARIME\pendientes\COMPRAVENTA PEDRO CORTES A LEONARDO CORTES.doc</t>
  </si>
  <si>
    <t>C:\Users\franc\OneDrive\Documentos\MALENTIN KARIME\pendientes\CESION DERECHOS HEREDITARIOS_bella   Albanez a Olga Cortes.doc</t>
  </si>
  <si>
    <t>C:\Users\franc\OneDrive\Documentos\MALENTIN KARIME\pendientes\CESION DE DERECHOS HEREDITARIO Willson Pereira.doc</t>
  </si>
  <si>
    <t>C:\Users\franc\OneDrive\Documentos\MALENTIN KARIME\pendientes\ANIVIEN  MANUFACTURA.doc</t>
  </si>
  <si>
    <t>C:\Users\franc\OneDrive\Documentos\MALENTIN KARIME\pendientes\CARMEN JORQUERA BUGUEÑO A Waldo Ledezma cony administrador tierra y agua.doc</t>
  </si>
  <si>
    <t>C:\Users\franc\OneDrive\Documentos\MALENTIN KARIME\pendientes\ANGELICA ARAYA ARANCIBIA reducción CAJ.doc</t>
  </si>
  <si>
    <t>C:\Users\franc\OneDrive\Documentos\MALENTIN KARIME\pendientes\ANGELICA ARAYA ARANCIBIA 2reducción CAJ.doc</t>
  </si>
  <si>
    <t>C:\Users\franc\OneDrive\Documentos\MALENTIN KARIME\pendientes\ANA ORTIZ GARCIA cesion derechos.doc</t>
  </si>
  <si>
    <t>C:\Users\franc\OneDrive\Documentos\MALENTIN KARIME\pendientes\ANA GUILLERMINA CASTRO CASTRO  Prohibicion Serviu.doc</t>
  </si>
  <si>
    <t>C:\Users\franc\OneDrive\Documentos\MALENTIN KARIME\pendientes\AMANDA DEL CARMEN BARRAZA BARRAZA, Compraventa derecho y tierra.doc</t>
  </si>
  <si>
    <t>C:\Users\franc\OneDrive\Documentos\MALENTIN KARIME\pendientes\AMANDA BARRAZA BARRAZA aguas.doc</t>
  </si>
  <si>
    <t>C:\Users\franc\OneDrive\Documentos\MALENTIN KARIME\PATRICIO CASTRO\SUCESION MIRANDA A ROBERTO VEGA.doc</t>
  </si>
  <si>
    <t>C:\Users\franc\OneDrive\Documentos\MALENTIN KARIME\PATRICIO CASTRO\PAGARE A PLAZO_Novoa.doc</t>
  </si>
  <si>
    <t>C:\Users\franc\OneDrive\Documentos\MALENTIN KARIME\PATRICIA ALFARO\2017\RAUL VEGA y Clara Barraza liquidación sociedad conyugal.doc</t>
  </si>
  <si>
    <t>C:\Users\franc\OneDrive\Documentos\MALENTIN KARIME\PATRICIA ALFARO\2019\EXTRACTO Salazar Araya ltda. (3).doc</t>
  </si>
  <si>
    <t>C:\Users\franc\OneDrive\Documentos\MALENTIN KARIME\PATRICIA ALFARO\2017\NANCY JULIO A ELENA JULIO 2018.doc</t>
  </si>
  <si>
    <t>C:\Users\franc\OneDrive\Documentos\MALENTIN KARIME\PATRICIA ALFARO\2017\MANUEL ROBLES ARAYA A Samuel Villarrroel borrador adjudicación.doc</t>
  </si>
  <si>
    <t>C:\Users\franc\OneDrive\Documentos\MALENTIN KARIME\PATRICIA ALFARO\2017\MARIA JULIO A Elena Julio mandato minuta.doc</t>
  </si>
  <si>
    <t>C:\Users\franc\OneDrive\Documentos\MALENTIN KARIME\PATRICIA ALFARO\2017\liquidacion comunidad_Moroso.doc</t>
  </si>
  <si>
    <t>C:\Users\franc\OneDrive\Documentos\MALENTIN KARIME\PATRICIA ALFARO\2017\MANUEL ROBLES ARAYA A Samuel Villarrroel adjudicación.doc</t>
  </si>
  <si>
    <t>C:\Users\franc\OneDrive\Documentos\MALENTIN KARIME\PATRICIA ALFARO\2017\IPS y CRISPILIANO ROJAS.doc</t>
  </si>
  <si>
    <t>C:\Users\franc\OneDrive\Documentos\MALENTIN KARIME\PATRICIA ALFARO\2017\Complementa y rectifica  escritura_carslo veliz.doc</t>
  </si>
  <si>
    <t>C:\Users\franc\OneDrive\Documentos\MALENTIN KARIME\PATRICIA ALFARO\2017\GUILLERMO CONTRERAS CASTRO Y OTROS partición.doc</t>
  </si>
  <si>
    <t>C:\Users\franc\OneDrive\Documentos\MALENTIN KARIME\PATRICIA ALFARO\2016\SUCESION IBACACHE partic aguas.doc</t>
  </si>
  <si>
    <t>C:\Users\franc\OneDrive\Documentos\MALENTIN KARIME\PATRICIA ALFARO\2017\COMERCIALIZADORA MARIA NOVOA A Boris Carmona 2018.doc</t>
  </si>
  <si>
    <t>C:\Users\franc\OneDrive\Documentos\MALENTIN KARIME\PATRICIA ALFARO\2016\SOC AGRICOLA SANTA ROSA Rectifica.doc</t>
  </si>
  <si>
    <t>C:\Users\franc\OneDrive\Documentos\MALENTIN KARIME\PATRICIA ALFARO\2016\SOC COM AGRICOLA SANTA ROSA LTDA Modificacion.doc</t>
  </si>
  <si>
    <t>C:\Users\franc\OneDrive\Documentos\MALENTIN KARIME\PATRICIA ALFARO\2016\ROSSANA REYES Y Carlos Pérez Liquidacion.doc</t>
  </si>
  <si>
    <t>C:\Users\franc\OneDrive\Documentos\MALENTIN KARIME\PATRICIA ALFARO\2016\EXTRACTO Santa Rosa rectifica.doc</t>
  </si>
  <si>
    <t>C:\Users\franc\OneDrive\Documentos\MALENTIN KARIME\PATRICIA ALFARO\2016\PATRICIA RIVERA Y JORGE MALDONADO Liquidacion.doc</t>
  </si>
  <si>
    <t>C:\Users\franc\OneDrive\Documentos\MALENTIN KARIME\PATRICIA ALFARO\2016\extracto modificacion sociedad_ santa rosa.doc</t>
  </si>
  <si>
    <t>C:\Users\franc\OneDrive\Documentos\MALENTIN KARIME\PATRICIA ALFARO\2015\_Driscolls de Chile.doc</t>
  </si>
  <si>
    <t>C:\Users\franc\OneDrive\Documentos\MALENTIN KARIME\PATRICIA ALFARO\2015\YANISA HECKESDORF A Isabel Cortes, Remate.doc</t>
  </si>
  <si>
    <t>C:\Users\franc\OneDrive\Documentos\MALENTIN KARIME\PATRICIA ALFARO\2015\VALDOMERO MAYEA PARRA Y Otros Particion.doc</t>
  </si>
  <si>
    <t>C:\Users\franc\OneDrive\Documentos\MALENTIN KARIME\PATRICIA ALFARO\2015\SUCESION MILLA ROJAS PARTICION  Tierra.doc</t>
  </si>
  <si>
    <t>C:\Users\franc\OneDrive\Documentos\MALENTIN KARIME\PATRICIA ALFARO\2015\SUCESION MILLA ROJAS PARTICION conservador.doc</t>
  </si>
  <si>
    <t>C:\Users\franc\OneDrive\Documentos\MALENTIN KARIME\PATRICIA ALFARO\2015\SUCESION Araya Rojas Particion  TIERRA y SERVIDUMBRE.doc</t>
  </si>
  <si>
    <t>C:\Users\franc\OneDrive\Documentos\MALENTIN KARIME\PATRICIA ALFARO\2015\SUCESION Araya Rojas Particion AGUAS.doc</t>
  </si>
  <si>
    <t>C:\Users\franc\OneDrive\Documentos\MALENTIN KARIME\PATRICIA ALFARO\2015\PAGARE A PLAZO_Andres DElgado.doc</t>
  </si>
  <si>
    <t>C:\Users\franc\OneDrive\Documentos\MALENTIN KARIME\PATRICIA ALFARO\2015\MIRTA JOFRE Y CARMEN CONTRERAS Remate 2°.doc</t>
  </si>
  <si>
    <t>C:\Users\franc\OneDrive\Documentos\MALENTIN KARIME\PATRICIA ALFARO\2015\OSVALD PARRA Y OTROS liquidacion comunidad.doc</t>
  </si>
  <si>
    <t>C:\Users\franc\OneDrive\Documentos\MALENTIN KARIME\PATRICIA ALFARO\2015\ISMAEL ARAYA A ANDRES DELGADO E.I.R.L.Cesion.doc</t>
  </si>
  <si>
    <t>C:\Users\franc\OneDrive\Documentos\MALENTIN KARIME\PATRICIA ALFARO\2015\GREGORIO LEYTON A MANUEL MEDALLA Compraventa.doc</t>
  </si>
  <si>
    <t>C:\Users\franc\OneDrive\Documentos\MALENTIN KARIME\PATRICIA ALFARO\2015\ISMAEL ARAYA A ANDRES DELGADO Cvta ST 5.doc</t>
  </si>
  <si>
    <t>C:\Users\franc\OneDrive\Documentos\MALENTIN KARIME\PATRICIA ALFARO\2015\extracto modificacion sociedad_ santa rosa.doc</t>
  </si>
  <si>
    <t>C:\Users\franc\OneDrive\Documentos\MALENTIN KARIME\PATRICIA ALFARO\2015\CESIu00D3N DE DERECHOS_control pisquero _andres delgado.doc</t>
  </si>
  <si>
    <t>C:\Users\franc\OneDrive\Documentos\MALENTIN KARIME\PATRICIA ALFARO\2014\PAGARE A PLAZO_ Daniela Araya.doc</t>
  </si>
  <si>
    <t>C:\Users\franc\OneDrive\Documentos\MALENTIN KARIME\PATRICIA ALFARO\2014\OSCAR ROJAS A Rossana Veliz Modif Arrend.doc</t>
  </si>
  <si>
    <t>C:\Users\franc\OneDrive\Documentos\MALENTIN KARIME\PATRICIA ALFARO\2014\OSCAR ROJAS A Rossana Veliz Arrendamiento.doc</t>
  </si>
  <si>
    <t>C:\Users\franc\OneDrive\Documentos\MALENTIN KARIME\PATRICIA ALFARO\2014\COMPRAVENTA_Dniela Araya con Subsidio.doc</t>
  </si>
  <si>
    <t>C:\Users\franc\OneDrive\Documentos\MALENTIN KARIME\PATRICIA ALFARO\2014\DECLARACION JURADA_ subsidio.doc</t>
  </si>
  <si>
    <t>C:\Users\franc\OneDrive\Documentos\MALENTIN KARIME\PATRICIA ALFARO\WALTER Y Rosa Gonzalez Liquidacion.doc</t>
  </si>
  <si>
    <t>C:\Users\franc\OneDrive\Documentos\MALENTIN KARIME\PATRICIA ALFARO\TERCER JUZGADO A CARMEN CONTRERAS adjudicación_carmen contreras.doc</t>
  </si>
  <si>
    <t>C:\Users\franc\OneDrive\Documentos\MALENTIN KARIME\PATRICIA ALFARO\Subdivisión _compraventa_María Elorza.doc</t>
  </si>
  <si>
    <t>C:\Users\franc\OneDrive\Documentos\MALENTIN KARIME\PATRICIA ALFARO\promesa luco gonzalez Promesa.doc</t>
  </si>
  <si>
    <t>C:\Users\franc\OneDrive\Documentos\MALENTIN KARIME\PATRICIA ALFARO\PATRICIA ALFARO Promesa.doc</t>
  </si>
  <si>
    <t>C:\Users\franc\OneDrive\Documentos\MALENTIN KARIME\PATRICIA ALFARO\PASCUAL CONTRERAS A Cesar Contreras cvta..doc</t>
  </si>
  <si>
    <t>C:\Users\franc\OneDrive\Documentos\MALENTIN KARIME\PATRICIA ALFARO\PAOLA CORTES BUGUEÑO Y Horacio Andrade Liquidacion.doc</t>
  </si>
  <si>
    <t>C:\Users\franc\OneDrive\Documentos\MALENTIN KARIME\PATRICIA ALFARO\PAGARE A PLAZO_Elorza Vergara.doc</t>
  </si>
  <si>
    <t>C:\Users\franc\OneDrive\Documentos\MALENTIN KARIME\PATRICIA ALFARO\PAGARE A PLAZO_Elorza Vergara VISTA.doc</t>
  </si>
  <si>
    <t>C:\Users\franc\OneDrive\Documentos\MALENTIN KARIME\PATRICIA ALFARO\OSCAR ROJAS ORDENES A SOC. AGRICOLA SAN MARCOS Term Arrenda.doc</t>
  </si>
  <si>
    <t>C:\Users\franc\OneDrive\Documentos\MALENTIN KARIME\PATRICIA ALFARO\OSCAR ARAYA BOLADOS Agosto 13.doc</t>
  </si>
  <si>
    <t>C:\Users\franc\OneDrive\Documentos\MALENTIN KARIME\PATRICIA ALFARO\MARIA GEMITA NOVOA PALACIOS.doc</t>
  </si>
  <si>
    <t>C:\Users\franc\OneDrive\Documentos\MALENTIN KARIME\PATRICIA ALFARO\MARIA ELORZA  VERGARA Particion, Usufructo.doc</t>
  </si>
  <si>
    <t>C:\Users\franc\OneDrive\Documentos\MALENTIN KARIME\PATRICIA ALFARO\MARIA ARAYA ELORZ A JUAN CARLOS JULIA Promesa Dic.13.doc</t>
  </si>
  <si>
    <t>C:\Users\franc\OneDrive\Documentos\MALENTIN KARIME\PATRICIA ALFARO\FRANCISCO IBACACHE A BONIFACIO IBACACHE mandato.doc</t>
  </si>
  <si>
    <t>C:\Users\franc\OneDrive\Documentos\MALENTIN KARIME\PATRICIA ALFARO\FRANCISCO IBACACHE A BONIFACIO IBACACHE mandato ii.doc</t>
  </si>
  <si>
    <t>C:\Users\franc\OneDrive\Documentos\MALENTIN KARIME\PATRICIA ALFARO\FLORES Y CHAMBI Modif Sociedad.doc</t>
  </si>
  <si>
    <t>C:\Users\franc\OneDrive\Documentos\MALENTIN KARIME\PATRICIA ALFARO\extracto modificacion sociedad_flores y chambi.doc</t>
  </si>
  <si>
    <t>C:\Users\franc\OneDrive\Documentos\MALENTIN KARIME\PATRICIA ALFARO\EXTRACTO Bona Fide Ltda..doc</t>
  </si>
  <si>
    <t>C:\Users\franc\OneDrive\Documentos\MALENTIN KARIME\PATRICIA ALFARO\EXTRACTO AP limitada.doc</t>
  </si>
  <si>
    <t>C:\Users\franc\OneDrive\Documentos\MALENTIN KARIME\PATRICIA ALFARO\CLUB DEPORTIVO Union Juventud y CLUB DE RODEO D.Uso.doc</t>
  </si>
  <si>
    <t>C:\Users\franc\OneDrive\Documentos\MALENTIN KARIME\PATRICIA ALFARO\CESAR RIVERA ALFAREZ Mandato.doc</t>
  </si>
  <si>
    <t>C:\Users\franc\OneDrive\Documentos\MALENTIN KARIME\PATRICIA ALFARO\carta de instrucciones_termino contrato de arrendamiento.doc</t>
  </si>
  <si>
    <t>C:\Users\franc\OneDrive\Documentos\MALENTIN KARIME\PATRICIA ALFARO\AUDALO SOTO A Alexis Araya Sept 13.doc</t>
  </si>
  <si>
    <t>C:\Users\franc\OneDrive\Documentos\MALENTIN KARIME\PATRICIA ALFARO\BONA FIDE Disolucion.doc</t>
  </si>
  <si>
    <t>C:\Users\franc\OneDrive\Documentos\MALENTIN KARIME\PATRICIA ALFARO\ASIA PACIFIC INTERNATIONAL TRADING Sociedad.doc</t>
  </si>
  <si>
    <t>C:\Users\franc\OneDrive\Documentos\MALENTIN KARIME\PATRICIA ALFARO\ALISTAHIR MUNDCA Y ANDRES DELGADO Medieria.doc</t>
  </si>
  <si>
    <t>C:\Users\franc\OneDrive\Documentos\MALENTIN KARIME\PATRICIA ALFARO\ALISTAHIR MUNDCA Y ANDRES DELGADO TERMINO Medieria.doc</t>
  </si>
  <si>
    <t>C:\Users\franc\OneDrive\Documentos\MALENTIN KARIME\PATRICIA ALFARO\ABRAHAM GALLARDO RIVERA A ALEJANDRA NAVARRO Usufructo.doc</t>
  </si>
  <si>
    <t>C:\Users\franc\OneDrive\Documentos\MALENTIN KARIME\PATRICIA ALFARO\ABRAHAM GALLARDO RIVERA A ALEJANDRA NAVARRO.doc</t>
  </si>
  <si>
    <t>C:\Users\franc\OneDrive\Documentos\MALENTIN KARIME\PARTICION\SUCESION YAÑEZ ROJAS.doc</t>
  </si>
  <si>
    <t>C:\Users\franc\OneDrive\Documentos\MALENTIN KARIME\PARTICION\SUCESION SEGOVIA II.doc</t>
  </si>
  <si>
    <t>C:\Users\franc\OneDrive\Documentos\MALENTIN KARIME\PARTICION\SUCESION ULLOA LOPEZ Minuta particion.doc</t>
  </si>
  <si>
    <t>C:\Users\franc\OneDrive\Documentos\MALENTIN KARIME\PARTICION\SUCESION Perines Alvaerz Jorge ALlende.doc</t>
  </si>
  <si>
    <t>C:\Users\franc\OneDrive\Documentos\MALENTIN KARIME\PARTICION\SUCESION ISABEL ESPINOSA.doc</t>
  </si>
  <si>
    <t>C:\Users\franc\OneDrive\Documentos\MALENTIN KARIME\PARTICION\MARIO ARAYA Y GRISELDA ARAYA particion.doc</t>
  </si>
  <si>
    <t>C:\Users\franc\OneDrive\Documentos\MALENTIN KARIME\PARTICION\PARTICION SUCESION HERNAN TELLO, NOTARIA.doc</t>
  </si>
  <si>
    <t>C:\Users\franc\OneDrive\Documentos\MALENTIN KARIME\PARTICION\LEYENDA Pago impuesto F  23.doc</t>
  </si>
  <si>
    <t>C:\Users\franc\OneDrive\Documentos\MALENTIN KARIME\PARTICION\EXTRACTO INMOBILIARIA SAN JOAQUIN.doc</t>
  </si>
  <si>
    <t>C:\Users\franc\OneDrive\Documentos\MALENTIN KARIME\PARTICION\EXTRACTO MINERA SAN JOAQUIN.doc</t>
  </si>
  <si>
    <t>C:\Users\franc\OneDrive\Documentos\MALENTIN KARIME\PARTICION\BERNARDA IGLESISAS PASTEN Y OTRAS.doc</t>
  </si>
  <si>
    <t>C:\Users\franc\OneDrive\Documentos\MALENTIN KARIME\PARTICION\CERTIFICO que la escritura pública precedente.doc</t>
  </si>
  <si>
    <t>C:\Users\franc\OneDrive\Documentos\MALENTIN KARIME\PARTICION\ADOLFO LAY Particion.doc</t>
  </si>
  <si>
    <t>C:\Users\franc\OneDrive\Documentos\MALENTIN KARIME\PARTICION\ADOLFO LAY Particion Final Modifica.doc</t>
  </si>
  <si>
    <t>C:\Users\franc\OneDrive\Documentos\MALENTIN KARIME\PARTICION\ADOLFO LAY Particion Final.doc</t>
  </si>
  <si>
    <t>C:\Users\franc\OneDrive\Documentos\MALENTIN KARIME\NOTARIOS Nombramientos\RAUL BELTRAMI LAZO 2017.doc</t>
  </si>
  <si>
    <t>C:\Users\franc\OneDrive\Documentos\MALENTIN KARIME\NOTARIOS Nombramientos\VIVIANA ALFARO ULLOA.doc</t>
  </si>
  <si>
    <t>C:\Users\franc\OneDrive\Documentos\MALENTIN KARIME\NOTARIOS Nombramientos\MODELO NOTARIO TITULAR.doc</t>
  </si>
  <si>
    <t>C:\Users\franc\OneDrive\Documentos\MALENTIN KARIME\NOTARIOS Nombramientos\MODELO NOTARIO TITULAR nuevo.doc</t>
  </si>
  <si>
    <t>C:\Users\franc\OneDrive\Documentos\MALENTIN KARIME\NOTARIOS Nombramientos\Membrete  titular nuevo.doc</t>
  </si>
  <si>
    <t>C:\Users\franc\OneDrive\Documentos\MALENTIN KARIME\NOTARIOS Nombramientos\HERNAN PEREZ 16 MAYO.doc</t>
  </si>
  <si>
    <t>C:\Users\franc\OneDrive\Documentos\MALENTIN KARIME\NOTARIOS Nombramientos\HERNAN PEREZ 2018.doc</t>
  </si>
  <si>
    <t>C:\Users\franc\OneDrive\Documentos\MALENTIN KARIME\NOTARIOS Nombramientos\HERNAN PEREZ DUARTE 2019.doc</t>
  </si>
  <si>
    <t>C:\Users\franc\OneDrive\Documentos\MALENTIN KARIME\NOTARIOS Nombramientos\DECRETO PATRICIA ALFARO.doc</t>
  </si>
  <si>
    <t>C:\Users\franc\OneDrive\Documentos\MALENTIN KARIME\NOTARIOS Nombramientos\DECRETO MARIA INES NUÑEZ.doc</t>
  </si>
  <si>
    <t>C:\Users\franc\OneDrive\Documentos\MALENTIN KARIME\NOTARIOS Nombramientos\DECRETO PATRICIA ALFARO 2.doc</t>
  </si>
  <si>
    <t>C:\Users\franc\OneDrive\Documentos\MALENTIN KARIME\NOTARIOS Nombramientos\DECRETO PATRICIA ALFARO 2015.doc</t>
  </si>
  <si>
    <t>C:\Users\franc\OneDrive\Documentos\MALENTIN KARIME\NOTARIOS Nombramientos\DECRETO JOYCE RALLIN 2.doc</t>
  </si>
  <si>
    <t>C:\Users\franc\OneDrive\Documentos\MALENTIN KARIME\NOTARIOS Nombramientos\DECRETO JOYCE RALLIN.doc</t>
  </si>
  <si>
    <t>C:\Users\franc\OneDrive\Documentos\MALENTIN KARIME\NOTARIOS Nombramientos\DECRETO ANDREA RODRIGUEZ.doc</t>
  </si>
  <si>
    <t>C:\Users\franc\OneDrive\Documentos\MALENTIN KARIME\NOTARIOS Nombramientos\DECRETO  CLAUDIO ARAYA.doc</t>
  </si>
  <si>
    <t>C:\Users\franc\OneDrive\Documentos\MALENTIN KARIME\NOTARIOS Nombramientos\CARLOS OSORIO CERDA 2016.doc</t>
  </si>
  <si>
    <t>C:\Users\franc\OneDrive\Documentos\MALENTIN KARIME\mutuos\MUTUOS\SOC. COMERCIAL GONART SPA A AGRICOLA GONAGRO SPA.doc</t>
  </si>
  <si>
    <t>C:\Users\franc\OneDrive\Documentos\MALENTIN KARIME\mutuos\MUTUOS\MUTUO BOSMAN.doc</t>
  </si>
  <si>
    <t>C:\Users\franc\OneDrive\Documentos\MALENTIN KARIME\mutuos\MUTUOS\MUTUO.doc</t>
  </si>
  <si>
    <t>C:\Users\franc\OneDrive\Documentos\MALENTIN KARIME\mutuos\MUTUOS\ELENA ZAPATA A CLAUDIA ZAPATA.doc</t>
  </si>
  <si>
    <t>C:\Users\franc\OneDrive\Documentos\MALENTIN KARIME\mutuos\2021\INMOBILIARIA PATRICIO ACUÑA A ROSA SEGOVIA mutuo minuta.doc</t>
  </si>
  <si>
    <t>C:\Users\franc\OneDrive\Documentos\MALENTIN KARIME\mutuos\MUTUOS\AGRICOLA LOS NISÑILES Lt 17.doc</t>
  </si>
  <si>
    <t>C:\Users\franc\OneDrive\Documentos\MALENTIN KARIME\mutuos\2021\HECTOR MALUENDA Mutuo.doc</t>
  </si>
  <si>
    <t>C:\Users\franc\OneDrive\Documentos\MALENTIN KARIME\mutuos\WILLIAMS ABUSLEME A GEMA LTDA..doc</t>
  </si>
  <si>
    <t>C:\Users\franc\OneDrive\Documentos\MALENTIN KARIME\mutuos\2021\AGREGA IMPUESTO MUTUO.doc</t>
  </si>
  <si>
    <t>C:\Users\franc\OneDrive\Documentos\MALENTIN KARIME\mutuos\SOC. INMOB. EL CHAÑAR A INMOBILIARIA AYLLI S.A..doc</t>
  </si>
  <si>
    <t>C:\Users\franc\OneDrive\Documentos\MALENTIN KARIME\mutuos\SOC. COMERCIAL GONART SPA A AGRICOLA GONAGRO SPA.doc</t>
  </si>
  <si>
    <t>C:\Users\franc\OneDrive\Documentos\MALENTIN KARIME\mutuos\SOC AGRICOLA LAS PINTADAS.doc</t>
  </si>
  <si>
    <t>C:\Users\franc\OneDrive\Documentos\MALENTIN KARIME\mutuos\SOC AGRICOLA LAS PINTADAS fINAL.doc</t>
  </si>
  <si>
    <t>C:\Users\franc\OneDrive\Documentos\MALENTIN KARIME\mutuos\SERGIO ARAYA A ALEJANDRINA BOQUEZ.doc</t>
  </si>
  <si>
    <t>C:\Users\franc\OneDrive\Documentos\MALENTIN KARIME\mutuos\SERGIO ALVAREZ AMANTE.doc</t>
  </si>
  <si>
    <t>C:\Users\franc\OneDrive\Documentos\MALENTIN KARIME\mutuos\ROSA CASTILLO a  la vista.doc</t>
  </si>
  <si>
    <t>C:\Users\franc\OneDrive\Documentos\MALENTIN KARIME\mutuos\RAQUEL LOYOLA ROJAS a  la vista.doc</t>
  </si>
  <si>
    <t>C:\Users\franc\OneDrive\Documentos\MALENTIN KARIME\mutuos\RAUL JOFRE SALINAS a la vista.doc</t>
  </si>
  <si>
    <t>C:\Users\franc\OneDrive\Documentos\MALENTIN KARIME\mutuos\muto a plazo.doc</t>
  </si>
  <si>
    <t>C:\Users\franc\OneDrive\Documentos\MALENTIN KARIME\mutuos\muto a la vista.doc</t>
  </si>
  <si>
    <t>C:\Users\franc\OneDrive\Documentos\MALENTIN KARIME\mutuos\MOVIMIENTO TIERRAS PORTILLA LTDA.A Inmobiliaria plazo.doc</t>
  </si>
  <si>
    <t>C:\Users\franc\OneDrive\Documentos\MALENTIN KARIME\mutuos\MARIO ARAYA VEGA.doc</t>
  </si>
  <si>
    <t>C:\Users\franc\OneDrive\Documentos\MALENTIN KARIME\mutuos\MARIA BUCCI PRENDEZ.doc</t>
  </si>
  <si>
    <t>C:\Users\franc\OneDrive\Documentos\MALENTIN KARIME\mutuos\LUCY ASTUDILLO.doc</t>
  </si>
  <si>
    <t>C:\Users\franc\OneDrive\Documentos\MALENTIN KARIME\mutuos\LILIANA ALFARO LAGUNAS.doc</t>
  </si>
  <si>
    <t>C:\Users\franc\OneDrive\Documentos\MALENTIN KARIME\mutuos\JUAN PORTILLA ALBURQUENQUE.doc</t>
  </si>
  <si>
    <t>C:\Users\franc\OneDrive\Documentos\MALENTIN KARIME\mutuos\IVAN PAVLETIC A KATIA PAVLETICH.doc</t>
  </si>
  <si>
    <t>C:\Users\franc\OneDrive\Documentos\MALENTIN KARIME\mutuos\HERMOGENES RUBIO CHICO.doc</t>
  </si>
  <si>
    <t>C:\Users\franc\OneDrive\Documentos\MALENTIN KARIME\mutuos\FRANCISCO ROJAS ZAMBRA A Leoncio Carvajal.doc</t>
  </si>
  <si>
    <t>C:\Users\franc\OneDrive\Documentos\MALENTIN KARIME\mutuos\GUILLERMO MARIN A CLEMENTINA MARIN.doc</t>
  </si>
  <si>
    <t>C:\Users\franc\OneDrive\Documentos\MALENTIN KARIME\mutuos\FRANCISCO CASTILLO ROBLES}.doc</t>
  </si>
  <si>
    <t>C:\Users\franc\OneDrive\Documentos\MALENTIN KARIME\mutuos\F 241.doc</t>
  </si>
  <si>
    <t>C:\Users\franc\OneDrive\Documentos\MALENTIN KARIME\mutuos\F 24.doc</t>
  </si>
  <si>
    <t>C:\Users\franc\OneDrive\Documentos\MALENTIN KARIME\mutuos\F 24 PEDRO ALFONSO.doc</t>
  </si>
  <si>
    <t>C:\Users\franc\OneDrive\Documentos\MALENTIN KARIME\mutuos\F 24 nutuo.doc</t>
  </si>
  <si>
    <t>C:\Users\franc\OneDrive\Documentos\MALENTIN KARIME\mutuos\F 24 LAS PINTADAS.doc</t>
  </si>
  <si>
    <t>C:\Users\franc\OneDrive\Documentos\MALENTIN KARIME\mutuos\F 24 empresa.doc</t>
  </si>
  <si>
    <t>C:\Users\franc\OneDrive\Documentos\MALENTIN KARIME\mutuos\F 24 Alejandrina Borquez.doc</t>
  </si>
  <si>
    <t>C:\Users\franc\OneDrive\Documentos\MALENTIN KARIME\mutuos\F 24 Bastian Tapia.doc</t>
  </si>
  <si>
    <t>C:\Users\franc\OneDrive\Documentos\MALENTIN KARIME\mutuos\CLEMENTE FUENTEALBA A la vista.doc</t>
  </si>
  <si>
    <t>C:\Users\franc\OneDrive\Documentos\MALENTIN KARIME\mutuos\CLAUDIA PEREZ DIAZ Privado.doc</t>
  </si>
  <si>
    <t>C:\Users\franc\OneDrive\Documentos\MALENTIN KARIME\mutuos\AMANDA BARRAZA Mutuo.doc</t>
  </si>
  <si>
    <t>C:\Users\franc\OneDrive\Documentos\MALENTIN KARIME\mutuos\AGREGA IMPUESTO MUTUO.doc</t>
  </si>
  <si>
    <t>C:\Users\franc\OneDrive\Documentos\MALENTIN KARIME\mutuos\AGREGA IMPUESTO MUTUO 2.doc</t>
  </si>
  <si>
    <t>C:\Users\franc\OneDrive\Documentos\MALENTIN KARIME\MUSALEN\2015\GUILLERMO ROJAS PORTILLA Prenda.doc</t>
  </si>
  <si>
    <t>C:\Users\franc\OneDrive\Documentos\MALENTIN KARIME\MUSALEN\2015\MONICA OLIVARES ARAYA Prenda.doc</t>
  </si>
  <si>
    <t>C:\Users\franc\OneDrive\Documentos\MALENTIN KARIME\MUSALEN\2015\AGRICOLA ROLANDO CASTRO Prenda.doc</t>
  </si>
  <si>
    <t>C:\Users\franc\OneDrive\Documentos\MALENTIN KARIME\MUSALEN\Transportes Alser AlzamientoCOVALSA.doc</t>
  </si>
  <si>
    <t>C:\Users\franc\OneDrive\Documentos\MALENTIN KARIME\MUSALEN\Malvina Valezuela Alzamiento.doc</t>
  </si>
  <si>
    <t>C:\Users\franc\OneDrive\Documentos\MALENTIN KARIME\MUSALEN\RODRIGO OLIVARES ARREDONDO Azamiento.doc</t>
  </si>
  <si>
    <t>C:\Users\franc\OneDrive\Documentos\MALENTIN KARIME\MUSALEN\MAGDA VENEGAS PLAZA.doc</t>
  </si>
  <si>
    <t>C:\Users\franc\OneDrive\Documentos\MALENTIN KARIME\MUSALEN\LOGISTICA INDUSTRIAL Febr 2013.doc</t>
  </si>
  <si>
    <t>C:\Users\franc\OneDrive\Documentos\MALENTIN KARIME\MUSALEN\JOSE MICHEA MICHEA Alzamiento.doc</t>
  </si>
  <si>
    <t>C:\Users\franc\OneDrive\Documentos\MALENTIN KARIME\MUSALEN\FRIO LOA Septiembre.doc</t>
  </si>
  <si>
    <t>C:\Users\franc\OneDrive\Documentos\MALENTIN KARIME\MUSALEN\FRIO LOA Febr 2013.doc</t>
  </si>
  <si>
    <t>C:\Users\franc\OneDrive\Documentos\MALENTIN KARIME\MUSALEN\ERIC JOSE MUÑOZ TAUCARE proto vehiculo.doc</t>
  </si>
  <si>
    <t>C:\Users\franc\OneDrive\Documentos\MALENTIN KARIME\MUSALEN\FRANCISCO MOLINA ZORRICUELTAAlzamiento.doc</t>
  </si>
  <si>
    <t>C:\Users\franc\OneDrive\Documentos\MALENTIN KARIME\MUSALEN\EDMUNDO ARAYA.doc</t>
  </si>
  <si>
    <t>C:\Users\franc\OneDrive\Documentos\MALENTIN KARIME\MUSALEN\CARLOS CONTRERAS CARVAJAL.doc</t>
  </si>
  <si>
    <t>C:\Users\franc\OneDrive\Documentos\MALENTIN KARIME\MUNICIPALIDAD\YASMIN VEGA PIZARRO.doc</t>
  </si>
  <si>
    <t>C:\Users\franc\OneDrive\Documentos\MALENTIN KARIME\MUSALEN\ANA MARIA ROJAS BUGUEÑO Cvta.doc</t>
  </si>
  <si>
    <t>C:\Users\franc\OneDrive\Documentos\MALENTIN KARIME\MUNICIPALIDAD\VALENTIN MONTENEGRO RIVDENEIRA.doc</t>
  </si>
  <si>
    <t>C:\Users\franc\OneDrive\Documentos\MALENTIN KARIME\MUNICIPALIDAD\YASMIN VEGA PIZARRO rectificacion.doc</t>
  </si>
  <si>
    <t>C:\Users\franc\OneDrive\Documentos\MALENTIN KARIME\MUNICIPALIDAD\VALENTIN MONTENEGRO RIVDENEIRA Subrogante.doc</t>
  </si>
  <si>
    <t>C:\Users\franc\OneDrive\Documentos\MALENTIN KARIME\MUNICIPALIDAD\RUBEN ARAYA MIRANDA Claudio Renteria.doc</t>
  </si>
  <si>
    <t>C:\Users\franc\OneDrive\Documentos\MALENTIN KARIME\MUNICIPALIDAD\SERGIO CORREA DIAZ Claudio Renteria.doc</t>
  </si>
  <si>
    <t>C:\Users\franc\OneDrive\Documentos\MALENTIN KARIME\MUNICIPALIDAD\RUBEN ARAYA MIRANDA Claudio Renteria NOTITULAR.doc</t>
  </si>
  <si>
    <t>C:\Users\franc\OneDrive\Documentos\MALENTIN KARIME\MUNICIPALIDAD\ROSA MELENDRE SANVENERO.doc</t>
  </si>
  <si>
    <t>C:\Users\franc\OneDrive\Documentos\MALENTIN KARIME\MUNICIPALIDAD\PILAR ARAYA.doc</t>
  </si>
  <si>
    <t>C:\Users\franc\OneDrive\Documentos\MALENTIN KARIME\MUNICIPALIDAD\MUNICIPALIDAD OVALLE A Carlos Vargas.doc</t>
  </si>
  <si>
    <t>C:\Users\franc\OneDrive\Documentos\MALENTIN KARIME\MUNICIPALIDAD\MUNICIPALIDAD DE OVALLE C Renteria A SERGIO GALLEGUILLOS.doc</t>
  </si>
  <si>
    <t>C:\Users\franc\OneDrive\Documentos\MALENTIN KARIME\MUNICIPALIDAD\MUNICIPALIDAD DE OVALLE C Renteria A claudio ardiles.doc</t>
  </si>
  <si>
    <t>C:\Users\franc\OneDrive\Documentos\MALENTIN KARIME\MUNICIPALIDAD\MUNICIPALIDAD DE OVALLE A PAOLA MORALES M Especial.doc</t>
  </si>
  <si>
    <t>C:\Users\franc\OneDrive\Documentos\MALENTIN KARIME\MUNICIPALIDAD\MUNICIPALIDAD DE OVALLE A CARLOS GUEDE ARAYA M Especial.doc</t>
  </si>
  <si>
    <t>C:\Users\franc\OneDrive\Documentos\MALENTIN KARIME\MUNICIPALIDAD\MONICA ARAYA LASTARRIA.doc</t>
  </si>
  <si>
    <t>C:\Users\franc\OneDrive\Documentos\MALENTIN KARIME\MUNICIPALIDAD\MARTA SEGOVIA HONORES Claudio Renteria.doc</t>
  </si>
  <si>
    <t>C:\Users\franc\OneDrive\Documentos\MALENTIN KARIME\MUNICIPALIDAD\MARTA SEGOVIA HONORES Claudio Renteria II.doc</t>
  </si>
  <si>
    <t>C:\Users\franc\OneDrive\Documentos\MALENTIN KARIME\MUNICIPALIDAD\LILIAN GODOY Subrogante.doc</t>
  </si>
  <si>
    <t>C:\Users\franc\OneDrive\Documentos\MALENTIN KARIME\MUNICIPALIDAD\MARIA AGUILERA CASTILLO.doc</t>
  </si>
  <si>
    <t>C:\Users\franc\OneDrive\Documentos\MALENTIN KARIME\MUNICIPALIDAD\KARINA ANDREA RAMOS MOYA.doc</t>
  </si>
  <si>
    <t>C:\Users\franc\OneDrive\Documentos\MALENTIN KARIME\MUNICIPALIDAD\KARINA ANDREA RAMOS MOYA Not Suplente.doc</t>
  </si>
  <si>
    <t>C:\Users\franc\OneDrive\Documentos\MALENTIN KARIME\MUNICIPALIDAD\INGENIERIA SENDA URBANA Contrato Modificacion.doc</t>
  </si>
  <si>
    <t>C:\Users\franc\OneDrive\Documentos\MALENTIN KARIME\MUNICIPALIDAD\INGENIERIA SENDA URBANA Contrato.doc</t>
  </si>
  <si>
    <t>C:\Users\franc\OneDrive\Documentos\MALENTIN KARIME\MUNICIPALIDAD\INGENIERIA SENDA URBANA Contrato Modificacion Subrogante.doc</t>
  </si>
  <si>
    <t>C:\Users\franc\OneDrive\Documentos\MALENTIN KARIME\MUNICIPALIDAD\ILUSTRE MUNICIPALIDAD DE OVALLE A MARIA JOSE CERDA y otros  Mjudicial.doc</t>
  </si>
  <si>
    <t>C:\Users\franc\OneDrive\Documentos\MALENTIN KARIME\MUNICIPALIDAD\ILUSTRE MUNICIPALIDAD DE OVALLE A MARIA JOSE CERDA y  Mjudicial.doc</t>
  </si>
  <si>
    <t>C:\Users\franc\OneDrive\Documentos\MALENTIN KARIME\MUNICIPALIDAD\HUGO OPAZO CONTRERAS.doc</t>
  </si>
  <si>
    <t>C:\Users\franc\OneDrive\Documentos\MALENTIN KARIME\MUNICIPALIDAD\EN LO PRINCIPAL.doc</t>
  </si>
  <si>
    <t>C:\Users\franc\OneDrive\Documentos\MALENTIN KARIME\MUNICIPALIDAD\CUERPO DE BOMBEROS Resciliacion.doc</t>
  </si>
  <si>
    <t>C:\Users\franc\OneDrive\Documentos\MALENTIN KARIME\MUNICIPALIDAD\BORIS MONTT ESPINOZA.doc</t>
  </si>
  <si>
    <t>C:\Users\franc\OneDrive\Documentos\MALENTIN KARIME\MUNICIPALIDAD\Autorizo la firma de doña MARTA ELISA LOBOS INZUNZA ALCALDESA.doc</t>
  </si>
  <si>
    <t>C:\Users\franc\OneDrive\Documentos\MALENTIN KARIME\MUNICIPALIDAD\Autorizo la firma de doña MARTA ELISA LOBOS INZUNZA.doc</t>
  </si>
  <si>
    <t>C:\Users\franc\OneDrive\Documentos\MALENTIN KARIME\MUNICIPALIDAD\Autorizo la firma de don RODRIGO IGNACIO VEGA GOMEZ.doc</t>
  </si>
  <si>
    <t>C:\Users\franc\OneDrive\Documentos\MALENTIN KARIME\MINUTAS\RUBEN GOTTREEUX A MARIA BARRAZA.doc</t>
  </si>
  <si>
    <t>C:\Users\franc\OneDrive\Documentos\MALENTIN KARIME\MINUTAS\PEDRO OLIVARES Y Silvia Romero Transaccion.doc</t>
  </si>
  <si>
    <t>C:\Users\franc\OneDrive\Documentos\MALENTIN KARIME\MINUTAS\MARIA LUISA BARRAZA OLIVARES Instrucciones.doc</t>
  </si>
  <si>
    <t>C:\Users\franc\OneDrive\Documentos\MALENTIN KARIME\MINUTAS\Patricio_Araya_Godoy_a_Erwin_Rojas_Bolados[1].doc</t>
  </si>
  <si>
    <t>C:\Users\franc\OneDrive\Documentos\MALENTIN KARIME\MINUTAS\MARIA BARRIOS ROJAS A PAMELA GUTIERREZ.doc</t>
  </si>
  <si>
    <t>C:\Users\franc\OneDrive\Documentos\MALENTIN KARIME\MINUTAS\JAIME CASTILLO A MARIZA ARAYA Pendiente.doc</t>
  </si>
  <si>
    <t>C:\Users\franc\OneDrive\Documentos\MALENTIN KARIME\MINUTAS\compraventa con divorcio.doc</t>
  </si>
  <si>
    <t>C:\Users\franc\OneDrive\Documentos\MALENTIN KARIME\MINUTAS\ANA ROJAS BRITO A ROBERTO MUÑOZ ROJAS.doc</t>
  </si>
  <si>
    <t>C:\Users\franc\OneDrive\Documentos\MALENTIN KARIME\MINUTAS\ANA ROJAS BRITO A ANA MUÑOZ.doc</t>
  </si>
  <si>
    <t>C:\Users\franc\OneDrive\Documentos\MALENTIN KARIME\MINERIA\JUNTA\SLM LAS TURQUESAS UNO DE EL ALTAR.doc</t>
  </si>
  <si>
    <t>C:\Users\franc\OneDrive\Documentos\MALENTIN KARIME\MINERIA\2018\SLM ESPERANZA UNO A COMERCIAL MINERA ZEPEDA Venta pertenencia.doc</t>
  </si>
  <si>
    <t>C:\Users\franc\OneDrive\Documentos\MALENTIN KARIME\MINERIA\2018\SANDRA LARRONDO A NIBALDO NUÑEZ CV PERTENENCIAS MENSURADA.doc</t>
  </si>
  <si>
    <t>C:\Users\franc\OneDrive\Documentos\MALENTIN KARIME\MINERIA\2018\RAMIRO SEPULVEDA BARRIGA A Delfos Mineral S.P.A..doc</t>
  </si>
  <si>
    <t>C:\Users\franc\OneDrive\Documentos\MALENTIN KARIME\MINERIA\2018\LUIS TAIBA VERGARA A JOSE CISTERNAS Y VICTOR ARAYA Mensura.doc</t>
  </si>
  <si>
    <t>C:\Users\franc\OneDrive\Documentos\MALENTIN KARIME\MINERIA\2018\IVAN TELLO A DOMITILA ANDRADE minuta.doc</t>
  </si>
  <si>
    <t>C:\Users\franc\OneDrive\Documentos\MALENTIN KARIME\MINERIA\2018\IVAN TELLO A ARTURO ANDRADE minuta pedimento.doc</t>
  </si>
  <si>
    <t>C:\Users\franc\OneDrive\Documentos\MALENTIN KARIME\MINERIA\2018\IRMA CORTES ROJAS A PIA CORTES  CV PERTENENCIAS MENSURADA.doc</t>
  </si>
  <si>
    <t>C:\Users\franc\OneDrive\Documentos\MALENTIN KARIME\MINERIA\2018\FRANCISCO CASTILLO CUELLO A CARLOS ROJAS  CV PERTENENCIAS MENSURADA.doc</t>
  </si>
  <si>
    <t>C:\Users\franc\OneDrive\Documentos\MALENTIN KARIME\MINERIA\2015\SLM BICKMAR 1 A MARCIAL VEGA Minuta.doc</t>
  </si>
  <si>
    <t>C:\Users\franc\OneDrive\Documentos\MALENTIN KARIME\MINERIA\2015\NICOLAS AGUIRRE A SOC LA UNION.doc</t>
  </si>
  <si>
    <t>C:\Users\franc\OneDrive\Documentos\MALENTIN KARIME\MINERIA\2015\JORGE CATALDO A PATRICIA ARACENA anexo 1 arr.doc</t>
  </si>
  <si>
    <t>C:\Users\franc\OneDrive\Documentos\MALENTIN KARIME\MINERIA\2015\JORGE CATALDO A PATRICIA ARACENA.doc</t>
  </si>
  <si>
    <t>C:\Users\franc\OneDrive\Documentos\MALENTIN KARIME\MINERIA\2015\COMUNIDAD AGRICOLA PUNITAQUI y Minera Altos de Punitaqui Minuta.doc</t>
  </si>
  <si>
    <t>C:\Users\franc\OneDrive\Documentos\MALENTIN KARIME\MINERIA\2014\MINERA LOMAS ALTAS Y EXPORTADORA FRONTERA Opción de compra NIGHTINGALE rev3.doc</t>
  </si>
  <si>
    <t>C:\Users\franc\OneDrive\Documentos\MALENTIN KARIME\MINERIA\2014\RENATO URQUIETA Y EXPORT FRONTERAOpcion-Minera Onda 1 al 10.doc</t>
  </si>
  <si>
    <t>C:\Users\franc\OneDrive\Documentos\MALENTIN KARIME\MINERIA\SLM EL REVENTON A DMO MINERALS arriendo minero.doc</t>
  </si>
  <si>
    <t>C:\Users\franc\OneDrive\Documentos\MALENTIN KARIME\MINERIA\SLM EL REVENTON A DMO MINERALS A DMO Legal.doc</t>
  </si>
  <si>
    <t>C:\Users\franc\OneDrive\Documentos\MALENTIN KARIME\MINERIA\SLM EL REVENTON A DMO MINERALS arriendo minero II.doc</t>
  </si>
  <si>
    <t>C:\Users\franc\OneDrive\Documentos\MALENTIN KARIME\MINERIA\SLM DIVISADERO II DE SAN LORENZO.doc</t>
  </si>
  <si>
    <t>C:\Users\franc\OneDrive\Documentos\MALENTIN KARIME\MINERIA\S.L.M. MINA ISRAEL ANTONIO UNO DE PUNITAQUI junta acc.doc</t>
  </si>
  <si>
    <t>C:\Users\franc\OneDrive\Documentos\MALENTIN KARIME\MINERIA\PEDRO ACUÑA CASTRO A PEDRO ARAYA Ces. Acc. Mras Y Termino Soc..doc</t>
  </si>
  <si>
    <t>C:\Users\franc\OneDrive\Documentos\MALENTIN KARIME\MINERIA\MARCIAL VEGA NUÑEZ A SINEP - ACCIONES.doc</t>
  </si>
  <si>
    <t>C:\Users\franc\OneDrive\Documentos\MALENTIN KARIME\MINERIA\NIVALDO CAMPOS SEGOVIA A SCM.doc</t>
  </si>
  <si>
    <t>C:\Users\franc\OneDrive\Documentos\MALENTIN KARIME\MINERIA\Junta de Accionistas sociedad legal minera 2 amigos Uno de Andacollo.doc</t>
  </si>
  <si>
    <t>C:\Users\franc\OneDrive\Documentos\MALENTIN KARIME\MINERIA\LEONARDO LA FLOR A JUAN ARAYA  LA ELY 1 AL 20.doc</t>
  </si>
  <si>
    <t>C:\Users\franc\OneDrive\Documentos\MALENTIN KARIME\MINERIA\JUAN ACUÑA CASTRO Y OT. Ces. Acc. Mras.doc</t>
  </si>
  <si>
    <t>C:\Users\franc\OneDrive\Documentos\MALENTIN KARIME\MINERIA\JUAN CARLOS DIAZ DIAZ.doc</t>
  </si>
  <si>
    <t>C:\Users\franc\OneDrive\Documentos\MALENTIN KARIME\MINERIA\Instrucciones_notariales_recibo_de_pago_(febrero_2012)[1].DOC</t>
  </si>
  <si>
    <t>C:\Users\franc\OneDrive\Documentos\MALENTIN KARIME\MINERIA\JUAN ACUÑA CASTRO a MINERA ZUPILOCOS Mensuras.doc</t>
  </si>
  <si>
    <t>C:\Users\franc\OneDrive\Documentos\MALENTIN KARIME\MINERIA\HUMBERTO RIVERA a MINERA ZUPILOCOS Mensuras.doc</t>
  </si>
  <si>
    <t>C:\Users\franc\OneDrive\Documentos\MALENTIN KARIME\MINERIA\Instrucciones notario rectificación y modificación cttos de cv, opción CMDT-1.DOC</t>
  </si>
  <si>
    <t>C:\Users\franc\OneDrive\Documentos\MALENTIN KARIME\MINERIA\COMPAÑIA DEMETRIO TELLO Dacion pago.doc</t>
  </si>
  <si>
    <t>C:\Users\franc\OneDrive\Documentos\MALENTIN KARIME\MINERIA\FORTUNE VALLE Rectifica.doc</t>
  </si>
  <si>
    <t>C:\Users\franc\OneDrive\Documentos\MALENTIN KARIME\MINERIA\CIA DEMETRIO TELLO A FORTUNE VALLEY DIc.doc</t>
  </si>
  <si>
    <t>C:\Users\franc\OneDrive\Documentos\MALENTIN KARIME\MINERIA\CAMILO CORTES A SOC. RIO GRANDE (MINAS).doc</t>
  </si>
  <si>
    <t>C:\Users\franc\OneDrive\Documentos\MALENTIN KARIME\MINERIA\CARLOS OLIVARES LOPEZ 20147.doc</t>
  </si>
  <si>
    <t>C:\Users\franc\OneDrive\Documentos\MALENTIN KARIME\MINERIA\24  7 SERVICIOS MINEROS.doc</t>
  </si>
  <si>
    <t>C:\Users\franc\OneDrive\Documentos\MALENTIN KARIME\MINERIA\ADRIAN TELLO MONDACA Ces. Acc. Mras.doc</t>
  </si>
  <si>
    <t>C:\Users\franc\OneDrive\Documentos\MALENTIN KARIME\Meson\recibo dinero contratista.doc</t>
  </si>
  <si>
    <t>C:\Users\franc\OneDrive\Documentos\MALENTIN KARIME\Meson\recibo dinero.doc</t>
  </si>
  <si>
    <t>C:\Users\franc\OneDrive\Documentos\MALENTIN KARIME\Meson\DECLARACION  JURADA MARIO PIZARRO.doc</t>
  </si>
  <si>
    <t>C:\Users\franc\OneDrive\Documentos\MALENTIN KARIME\Meson\recibo dinero contratista 2.doc</t>
  </si>
  <si>
    <t>C:\Users\franc\OneDrive\Documentos\MALENTIN KARIME\Meson\dec.jurada.doc</t>
  </si>
  <si>
    <t>C:\Users\franc\OneDrive\Documentos\MALENTIN KARIME\Meson\autoriza.doc</t>
  </si>
  <si>
    <t>C:\Users\franc\OneDrive\Documentos\MALENTIN KARIME\Meson\cese de convivencia.doc</t>
  </si>
  <si>
    <t>C:\Users\franc\OneDrive\Documentos\MALENTIN KARIME\Meson\AUT SERVIU PAGOS.doc</t>
  </si>
  <si>
    <t>C:\Users\franc\OneDrive\Documentos\MALENTIN KARIME\maria isabel maluenda\MANDATO\GABRIELA CORTES VILLALOBOS.doc</t>
  </si>
  <si>
    <t>C:\Users\franc\OneDrive\Documentos\MALENTIN KARIME\maria isabel maluenda\MANDATO\ROSA LETELIER RAMIREZ.doc</t>
  </si>
  <si>
    <t>C:\Users\franc\OneDrive\Documentos\MALENTIN KARIME\maria isabel maluenda\MANDATO\EMILIA ZEPEDA.doc</t>
  </si>
  <si>
    <t>C:\Users\franc\OneDrive\Documentos\MALENTIN KARIME\maria isabel maluenda\MANDATO\balbina diaz.doc</t>
  </si>
  <si>
    <t>C:\Users\franc\OneDrive\Documentos\MALENTIN KARIME\maria isabel maluenda\2016\BALBINA DIAZ ARAYA A Elias Diaz Nuda propiedad.doc</t>
  </si>
  <si>
    <t>C:\Users\franc\OneDrive\Documentos\MALENTIN KARIME\maria isabel maluenda\2015\MARIA JIMENA PAYERO MJudicial.doc</t>
  </si>
  <si>
    <t>C:\Users\franc\OneDrive\Documentos\MALENTIN KARIME\maria isabel maluenda\2015\MAGALY CHINGA A HECTOR MALDONADO.doc</t>
  </si>
  <si>
    <t>C:\Users\franc\OneDrive\Documentos\MALENTIN KARIME\maria isabel maluenda\2015\MARIA ISABEL MALUENDA Rectifica.doc</t>
  </si>
  <si>
    <t>C:\Users\franc\OneDrive\Documentos\MALENTIN KARIME\maria isabel maluenda\2015\FRESIA BRICEÑO CASANGA Cesion.doc</t>
  </si>
  <si>
    <t>C:\Users\franc\OneDrive\Documentos\MALENTIN KARIME\maria isabel maluenda\2015\CARLOS MANRIQUEZ QUIROZ.doc</t>
  </si>
  <si>
    <t>C:\Users\franc\OneDrive\Documentos\MALENTIN KARIME\maria isabel maluenda\2015\CARLOS MANRIQUEZ QUIROZ 04 DIC.doc</t>
  </si>
  <si>
    <t>C:\Users\franc\OneDrive\Documentos\MALENTIN KARIME\maria isabel maluenda\VICTOR ALLENDE AGUILERA A María Maluenda.doc</t>
  </si>
  <si>
    <t>C:\Users\franc\OneDrive\Documentos\MALENTIN KARIME\maria isabel maluenda\MONICA MIRANDA A JORGE MIRANDA copia.doc</t>
  </si>
  <si>
    <t>C:\Users\franc\OneDrive\Documentos\MALENTIN KARIME\maria isabel maluenda\MONICA MIRANDA A JORGE MIRANDA.doc</t>
  </si>
  <si>
    <t>C:\Users\franc\OneDrive\Documentos\MALENTIN KARIME\maria isabel maluenda\MINERA LOS MAITENES RIO HURTADO A Elias Díaz.doc</t>
  </si>
  <si>
    <t>C:\Users\franc\OneDrive\Documentos\MALENTIN KARIME\maria isabel maluenda\MINERA LOS MAITENES Cancelacion.doc</t>
  </si>
  <si>
    <t>C:\Users\franc\OneDrive\Documentos\MALENTIN KARIME\maria isabel maluenda\MINERA LOS MAITENES RIO HURTADO A Elias Díaz Modificacion.doc</t>
  </si>
  <si>
    <t>C:\Users\franc\OneDrive\Documentos\MALENTIN KARIME\maria isabel maluenda\MARIA JIMENA PAYERO MJudicial 2222.doc</t>
  </si>
  <si>
    <t>C:\Users\franc\OneDrive\Documentos\MALENTIN KARIME\maria isabel maluenda\MARIA JIMENA PAYERO MJudicial.doc</t>
  </si>
  <si>
    <t>C:\Users\franc\OneDrive\Documentos\MALENTIN KARIME\maria isabel maluenda\MARCOS CUELLO VEGA.doc</t>
  </si>
  <si>
    <t>C:\Users\franc\OneDrive\Documentos\MALENTIN KARIME\maria isabel maluenda\MANDATO. PARA PERCIBIR SRA JIMENA.doc</t>
  </si>
  <si>
    <t>C:\Users\franc\OneDrive\Documentos\MALENTIN KARIME\maria isabel maluenda\mandato especial maría isabel maluenda.doc</t>
  </si>
  <si>
    <t>C:\Users\franc\OneDrive\Documentos\MALENTIN KARIME\maria isabel maluenda\JAIME GONZALEZ CASTILLO Mjudicial.doc</t>
  </si>
  <si>
    <t>C:\Users\franc\OneDrive\Documentos\MALENTIN KARIME\maria isabel maluenda\JESUS MILLA DIAZ Y OTROS.doc</t>
  </si>
  <si>
    <t>C:\Users\franc\OneDrive\Documentos\MALENTIN KARIME\maria isabel maluenda\GUILLERMO LEDEZMA ARACENA.doc</t>
  </si>
  <si>
    <t>C:\Users\franc\OneDrive\Documentos\MALENTIN KARIME\maria isabel maluenda\GUIDO MUÑOZ Y AILSA VILLEGAS ACUERDO COMPLETO Y SUFICIENTE.doc</t>
  </si>
  <si>
    <t>C:\Users\franc\OneDrive\Documentos\MALENTIN KARIME\maria isabel maluenda\ELIANA AGUILAR AVALOS.doc</t>
  </si>
  <si>
    <t>C:\Users\franc\OneDrive\Documentos\MALENTIN KARIME\maria isabel maluenda\CARMEN CONTADOR Oct 13.doc</t>
  </si>
  <si>
    <t>C:\Users\franc\OneDrive\Documentos\MALENTIN KARIME\maria isabel maluenda\BALBINA DIAZ ARAYA.doc</t>
  </si>
  <si>
    <t>C:\Users\franc\OneDrive\Documentos\MALENTIN KARIME\maria isabel maluenda\ACTA DIVORCIO Ailsa Villegas y Guido Muñoz.doc</t>
  </si>
  <si>
    <t>C:\Users\franc\OneDrive\Documentos\MALENTIN KARIME\MARIA INES\2015\MARIA INES NUÑEZ Rectif.doc</t>
  </si>
  <si>
    <t>C:\Users\franc\OneDrive\Documentos\MALENTIN KARIME\MARIA INES\2015\EXPORTADORA RIO RAPEL A CARLOS JOFRE Alz Hipoteca.doc</t>
  </si>
  <si>
    <t>C:\Users\franc\OneDrive\Documentos\MALENTIN KARIME\MARIA INES\SONIA PEREZ MICHEA A Manuel Perez.doc</t>
  </si>
  <si>
    <t>C:\Users\franc\OneDrive\Documentos\MALENTIN KARIME\MARIA INES\PATRICIA PERRY PALMA 2016.doc</t>
  </si>
  <si>
    <t>C:\Users\franc\OneDrive\Documentos\MALENTIN KARIME\MANDATOS JUDICIALES\YEIMMY CORTES\CARLOS GONZALEZ.doc</t>
  </si>
  <si>
    <t>C:\Users\franc\OneDrive\Documentos\MALENTIN KARIME\MANDATOS JUDICIALES\WASHINGTON ALTAMIRANO\EVA MORGADO TAPIA.doc</t>
  </si>
  <si>
    <t>C:\Users\franc\OneDrive\Documentos\MALENTIN KARIME\MANDATOS JUDICIALES\WASHINGTON ALTAMIRANO\WILFREDO BORQUEZ.doc</t>
  </si>
  <si>
    <t>C:\Users\franc\OneDrive\Documentos\MALENTIN KARIME\MANDATOS JUDICIALES\WASHINGTON ALTAMIRANO\CARLOS VARGAS.doc</t>
  </si>
  <si>
    <t>C:\Users\franc\OneDrive\Documentos\MALENTIN KARIME\MANDATOS JUDICIALES\VERONICA CERDA\RAMON RAMIREZ CERDA.doc</t>
  </si>
  <si>
    <t>C:\Users\franc\OneDrive\Documentos\MALENTIN KARIME\MANDATOS JUDICIALES\VERONICA CERDA\VIOLETA VALDIVIA CHEPILLO.doc</t>
  </si>
  <si>
    <t>C:\Users\franc\OneDrive\Documentos\MALENTIN KARIME\MANDATOS JUDICIALES\VERONICA CERDA\PAMELA ACUÑA NARANJO.doc</t>
  </si>
  <si>
    <t>C:\Users\franc\OneDrive\Documentos\MALENTIN KARIME\MANDATOS JUDICIALES\VERONICA CERDA\PAULA MUÑOZ HINOJOSO.doc</t>
  </si>
  <si>
    <t>C:\Users\franc\OneDrive\Documentos\MALENTIN KARIME\MANDATOS JUDICIALES\VERONICA CERDA\PAMELA ACUÑA NARANJO final.doc</t>
  </si>
  <si>
    <t>C:\Users\franc\OneDrive\Documentos\MALENTIN KARIME\MANDATOS JUDICIALES\VERONICA CERDA\DANIZA ANGEL MILLA.doc</t>
  </si>
  <si>
    <t>C:\Users\franc\OneDrive\Documentos\MALENTIN KARIME\MANDATOS JUDICIALES\VALERIA OLIVARES\RODRIGO JARA OVALLE Inversiones Santa Olivia.doc</t>
  </si>
  <si>
    <t>C:\Users\franc\OneDrive\Documentos\MALENTIN KARIME\MANDATOS JUDICIALES\VALERIA OLIVARES\RODRIGO JARA OVALLE Comsat.doc</t>
  </si>
  <si>
    <t>C:\Users\franc\OneDrive\Documentos\MALENTIN KARIME\MANDATOS JUDICIALES\VALERIA OLIVARES\INGERBOR TABILO.doc</t>
  </si>
  <si>
    <t>C:\Users\franc\OneDrive\Documentos\MALENTIN KARIME\MANDATOS JUDICIALES\VALERIA OLIVARES\Rodrigo Jara COMERCIALIZADORA UNO.doc</t>
  </si>
  <si>
    <t>C:\Users\franc\OneDrive\Documentos\MALENTIN KARIME\MANDATOS JUDICIALES\TANYA PEÑA\PATRICIA TAPIA.doc</t>
  </si>
  <si>
    <t>C:\Users\franc\OneDrive\Documentos\MALENTIN KARIME\MANDATOS JUDICIALES\SOLEDAD FARR\PABLO DE LA CRUZ.doc</t>
  </si>
  <si>
    <t>C:\Users\franc\OneDrive\Documentos\MALENTIN KARIME\MANDATOS JUDICIALES\SOLEDAD FARR\CARMEN MORGADO ROJAS 2017.doc</t>
  </si>
  <si>
    <t>C:\Users\franc\OneDrive\Documentos\MALENTIN KARIME\MANDATOS JUDICIALES\SERGIO SALFATE\LUCAS ROJAS HONORES.doc</t>
  </si>
  <si>
    <t>C:\Users\franc\OneDrive\Documentos\MALENTIN KARIME\MANDATOS JUDICIALES\SERGIO SALFATE\JUAN BRAVO CALDERON Minuta.doc</t>
  </si>
  <si>
    <t>C:\Users\franc\OneDrive\Documentos\MALENTIN KARIME\MANDATOS JUDICIALES\SERGIO SALFATE\ELECOOP 2017.doc</t>
  </si>
  <si>
    <t>C:\Users\franc\OneDrive\Documentos\MALENTIN KARIME\MANDATOS JUDICIALES\SERGIO SALFATE\Eleccoop Mandato 2018.doc</t>
  </si>
  <si>
    <t>C:\Users\franc\OneDrive\Documentos\MALENTIN KARIME\MANDATOS JUDICIALES\SERGIO PERALTA\IRLANDA JARA Aedo.doc</t>
  </si>
  <si>
    <t>C:\Users\franc\OneDrive\Documentos\MALENTIN KARIME\MANDATOS JUDICIALES\SERGIO PERALTA\EXPORTADORA VELEZ.doc</t>
  </si>
  <si>
    <t>C:\Users\franc\OneDrive\Documentos\MALENTIN KARIME\MANDATOS JUDICIALES\SERGIO PERALTA\EXPORTADORA VELEZ  a Oscar Tapia.doc</t>
  </si>
  <si>
    <t>C:\Users\franc\OneDrive\Documentos\MALENTIN KARIME\MANDATOS JUDICIALES\SERGIO GALLEGUILLOS\ILUSTRE MUNICIPALIDAD DE OVALLE.doc</t>
  </si>
  <si>
    <t>C:\Users\franc\OneDrive\Documentos\MALENTIN KARIME\MANDATOS JUDICIALES\SEBASTIAN RIESCO\JOVELIO OSSANDON A SEBASTIAN RIESCO Mandato minuta.doc</t>
  </si>
  <si>
    <t>C:\Users\franc\OneDrive\Documentos\MALENTIN KARIME\MANDATOS JUDICIALES\SEBASTIAN RIESCO\Declaración Jurada Jovelio Ossandón.docx</t>
  </si>
  <si>
    <t>C:\Users\franc\OneDrive\Documentos\MALENTIN KARIME\MANDATOS JUDICIALES\sebastian covarubias\DIOMEDES CRUZ.doc</t>
  </si>
  <si>
    <t>C:\Users\franc\OneDrive\Documentos\MALENTIN KARIME\MANDATOS JUDICIALES\SARA VILLEGAS CUADRA\RUFINA VELIZ.doc</t>
  </si>
  <si>
    <t>C:\Users\franc\OneDrive\Documentos\MALENTIN KARIME\MANDATOS JUDICIALES\SEBASTIAN COVARRUBIAS\ALEX BRICEÑO Y LUIS ORREGO.doc</t>
  </si>
  <si>
    <t>C:\Users\franc\OneDrive\Documentos\MALENTIN KARIME\MANDATOS JUDICIALES\SARA VILLEGAS CUADRA\Patricia Vallejos.doc</t>
  </si>
  <si>
    <t>C:\Users\franc\OneDrive\Documentos\MALENTIN KARIME\MANDATOS JUDICIALES\RODRIGO VARAS\VICTORIA ARAYA ROJAS.doc</t>
  </si>
  <si>
    <t>C:\Users\franc\OneDrive\Documentos\MALENTIN KARIME\MANDATOS JUDICIALES\RUBEN MIRANDA\LUIS CHANDIA.doc</t>
  </si>
  <si>
    <t>C:\Users\franc\OneDrive\Documentos\MALENTIN KARIME\MANDATOS JUDICIALES\RODRIGO VARAS\VICTOR ARAYA OSSANDON.doc</t>
  </si>
  <si>
    <t>C:\Users\franc\OneDrive\Documentos\MALENTIN KARIME\MANDATOS JUDICIALES\RODRIGO ROJAS\LUIS MENCO CARDENAS.doc</t>
  </si>
  <si>
    <t>C:\Users\franc\OneDrive\Documentos\MALENTIN KARIME\MANDATOS JUDICIALES\ROBIN VALENZUELA\WALDO PEREZ FLORES.doc</t>
  </si>
  <si>
    <t>C:\Users\franc\OneDrive\Documentos\MALENTIN KARIME\MANDATOS JUDICIALES\RODRIGO CONTADOR\AGUIRRE DREY.doc</t>
  </si>
  <si>
    <t>C:\Users\franc\OneDrive\Documentos\MALENTIN KARIME\MANDATOS JUDICIALES\ROBIN VALENZUELA\RODRIGO MUNDACA.doc</t>
  </si>
  <si>
    <t>C:\Users\franc\OneDrive\Documentos\MALENTIN KARIME\MANDATOS JUDICIALES\ROBIN VALENZUELA\NICOLAS BARRAZA 2017.doc</t>
  </si>
  <si>
    <t>C:\Users\franc\OneDrive\Documentos\MALENTIN KARIME\MANDATOS JUDICIALES\ROBIN VALENZUELA\RODRIGO AJRAZ.doc</t>
  </si>
  <si>
    <t>C:\Users\franc\OneDrive\Documentos\MALENTIN KARIME\MANDATOS JUDICIALES\ROBIN VALENZUELA\MIGUEL CHAMBI PUMA.doc</t>
  </si>
  <si>
    <t>C:\Users\franc\OneDrive\Documentos\MALENTIN KARIME\MANDATOS JUDICIALES\ROBIN VALENZUELA\MARIA SEGOVIA Y OTRA.doc</t>
  </si>
  <si>
    <t>C:\Users\franc\OneDrive\Documentos\MALENTIN KARIME\MANDATOS JUDICIALES\ROBIN VALENZUELA\MAURICIO GUERRA MORALES.doc</t>
  </si>
  <si>
    <t>C:\Users\franc\OneDrive\Documentos\MALENTIN KARIME\MANDATOS JUDICIALES\ROBIN VALENZUELA\MARIA PIZARRO PIZARRO.doc</t>
  </si>
  <si>
    <t>C:\Users\franc\OneDrive\Documentos\MALENTIN KARIME\MANDATOS JUDICIALES\ROBIN VALENZUELA\MAIKEL PIZARRO 2017.doc</t>
  </si>
  <si>
    <t>C:\Users\franc\OneDrive\Documentos\MALENTIN KARIME\MANDATOS JUDICIALES\ROBIN VALENZUELA\GUILLERMO ZEPEDA ARAYA 2018.doc</t>
  </si>
  <si>
    <t>C:\Users\franc\OneDrive\Documentos\MALENTIN KARIME\MANDATOS JUDICIALES\ROBIN VALENZUELA\LUIS RIVERA CASANGA.doc</t>
  </si>
  <si>
    <t>C:\Users\franc\OneDrive\Documentos\MALENTIN KARIME\MANDATOS JUDICIALES\ROBIN VALENZUELA\ALEJANDRO AVALOS.doc</t>
  </si>
  <si>
    <t>C:\Users\franc\OneDrive\Documentos\MALENTIN KARIME\MANDATOS JUDICIALES\ROBIN VALENZUELA\CAROLINA BARRERA.doc</t>
  </si>
  <si>
    <t>C:\Users\franc\OneDrive\Documentos\MALENTIN KARIME\MANDATOS JUDICIALES\ROBERTO VEGA\JUSTO BARRIOS A Roberto Vega.doc</t>
  </si>
  <si>
    <t>C:\Users\franc\OneDrive\Documentos\MALENTIN KARIME\MANDATOS JUDICIALES\RICARDO SEPULVEDA\ESTER RODRIGUEZ.doc</t>
  </si>
  <si>
    <t>C:\Users\franc\OneDrive\Documentos\MALENTIN KARIME\MANDATOS JUDICIALES\RICARDO SEPULVEDA\MARIANELA DIAZ 2017.doc</t>
  </si>
  <si>
    <t>C:\Users\franc\OneDrive\Documentos\MALENTIN KARIME\MANDATOS JUDICIALES\RICARDO SEPULVEDA\ANDRES POBLETE VIAL.doc</t>
  </si>
  <si>
    <t>C:\Users\franc\OneDrive\Documentos\MALENTIN KARIME\MANDATOS JUDICIALES\RICARDO SEPULVEDA\CRISTIAN ROJAS TABILO 2018.doc</t>
  </si>
  <si>
    <t>C:\Users\franc\OneDrive\Documentos\MALENTIN KARIME\MANDATOS JUDICIALES\RENE ALLENDE\SOC ANGOSTURA mandato especial judicial.doc</t>
  </si>
  <si>
    <t>C:\Users\franc\OneDrive\Documentos\MALENTIN KARIME\MANDATOS JUDICIALES\RENE ALLENDE\VALENTIN CONTRERAS.doc</t>
  </si>
  <si>
    <t>C:\Users\franc\OneDrive\Documentos\MALENTIN KARIME\MANDATOS JUDICIALES\RENE ALLENDE\RENE MIRANDA SALAS.doc</t>
  </si>
  <si>
    <t>C:\Users\franc\OneDrive\Documentos\MALENTIN KARIME\MANDATOS JUDICIALES\RENE ALLENDE\RUBEN TABILO ROBLES 2018.doc</t>
  </si>
  <si>
    <t>C:\Users\franc\OneDrive\Documentos\MALENTIN KARIME\MANDATOS JUDICIALES\RENE ALLENDE\MURICIO VEGA.doc</t>
  </si>
  <si>
    <t>C:\Users\franc\OneDrive\Documentos\MALENTIN KARIME\MANDATOS JUDICIALES\RENE ALLENDE\MICHAEL VALDIVIA 2015.doc</t>
  </si>
  <si>
    <t>C:\Users\franc\OneDrive\Documentos\MALENTIN KARIME\MANDATOS JUDICIALES\RENE ALLENDE\MARIA CASTRO MUÑOZ.doc</t>
  </si>
  <si>
    <t>C:\Users\franc\OneDrive\Documentos\MALENTIN KARIME\MANDATOS JUDICIALES\RENE ALLENDE\JOANNA ROJAS MERY.doc</t>
  </si>
  <si>
    <t>C:\Users\franc\OneDrive\Documentos\MALENTIN KARIME\MANDATOS JUDICIALES\RENE ALLENDE\MAMERTO DELGADO JOPIA.doc</t>
  </si>
  <si>
    <t>C:\Users\franc\OneDrive\Documentos\MALENTIN KARIME\MANDATOS JUDICIALES\RENE ALLENDE\JEANETTE TABILO.doc</t>
  </si>
  <si>
    <t>C:\Users\franc\OneDrive\Documentos\MALENTIN KARIME\MANDATOS JUDICIALES\RENE ALLENDE\HECTOR BARRAZA.doc</t>
  </si>
  <si>
    <t>C:\Users\franc\OneDrive\Documentos\MALENTIN KARIME\MANDATOS JUDICIALES\RENE ALLENDE\INVERSIONES JUAN PABLO  mandato especial judicial.doc</t>
  </si>
  <si>
    <t>C:\Users\franc\OneDrive\Documentos\MALENTIN KARIME\MANDATOS JUDICIALES\RENE ALLENDE\EXPORTADORA VELEZ.doc</t>
  </si>
  <si>
    <t>C:\Users\franc\OneDrive\Documentos\MALENTIN KARIME\MANDATOS JUDICIALES\RENE ALLENDE\EVA MORGADO.doc</t>
  </si>
  <si>
    <t>C:\Users\franc\OneDrive\Documentos\MALENTIN KARIME\MANDATOS JUDICIALES\RENE ALLENDE\ALBA ORMAZABAL 2019.doc</t>
  </si>
  <si>
    <t>C:\Users\franc\OneDrive\Documentos\MALENTIN KARIME\MANDATOS JUDICIALES\RAUL SALAMANCA\ORLANDO DIAZ DIAZ.doc</t>
  </si>
  <si>
    <t>C:\Users\franc\OneDrive\Documentos\MALENTIN KARIME\MANDATOS JUDICIALES\RENE ALLENDE\ADA VILCHES.doc</t>
  </si>
  <si>
    <t>C:\Users\franc\OneDrive\Documentos\MALENTIN KARIME\MANDATOS JUDICIALES\RAUL SALAMANCA\JUAN DIAZ DIAZ 2021.doc</t>
  </si>
  <si>
    <t>C:\Users\franc\OneDrive\Documentos\MALENTIN KARIME\MANDATOS JUDICIALES\RAUL SALAMANCA\JUAN ORDENEZ ALFARO.doc</t>
  </si>
  <si>
    <t>C:\Users\franc\OneDrive\Documentos\MALENTIN KARIME\MANDATOS JUDICIALES\RAUL SALAMANCA\GRACE CIR A RAUL SALAMANCA.doc</t>
  </si>
  <si>
    <t>C:\Users\franc\OneDrive\Documentos\MALENTIN KARIME\MANDATOS JUDICIALES\RAUL SALAMANCA\CRISTIAN VAN DER A RAUL SALAMANCA.doc</t>
  </si>
  <si>
    <t>C:\Users\franc\OneDrive\Documentos\MALENTIN KARIME\MANDATOS JUDICIALES\RAUL RIVERA\SULAYDA CASTRO.docx</t>
  </si>
  <si>
    <t>C:\Users\franc\OneDrive\Documentos\MALENTIN KARIME\MANDATOS JUDICIALES\RAUL RIVERA\KATHERINE AVALOS.doc</t>
  </si>
  <si>
    <t>C:\Users\franc\OneDrive\Documentos\MALENTIN KARIME\MANDATOS JUDICIALES\RAUL MORALES VASQUEZ\VERONICA ARAYA A JORGE LENA.doc</t>
  </si>
  <si>
    <t>C:\Users\franc\OneDrive\Documentos\MALENTIN KARIME\MANDATOS JUDICIALES\raph sommerfeld\MIRTA IRIARTE.doc</t>
  </si>
  <si>
    <t>C:\Users\franc\OneDrive\Documentos\MALENTIN KARIME\MANDATOS JUDICIALES\raph sommerfeld\MIRTA IRIARTE II Parte.doc</t>
  </si>
  <si>
    <t>C:\Users\franc\OneDrive\Documentos\MALENTIN KARIME\MANDATOS JUDICIALES\PEDRO GUTIERREZ\HUGO ARAYA HERRERO.doc</t>
  </si>
  <si>
    <t>C:\Users\franc\OneDrive\Documentos\MALENTIN KARIME\MANDATOS JUDICIALES\PEDRO GUTIERREZ\PATRICIO RAMIREZ QUIROZ.doc</t>
  </si>
  <si>
    <t>C:\Users\franc\OneDrive\Documentos\MALENTIN KARIME\MANDATOS JUDICIALES\PATRICIA CASTRO\Esmilda Rubina.doc</t>
  </si>
  <si>
    <t>C:\Users\franc\OneDrive\Documentos\MALENTIN KARIME\MANDATOS JUDICIALES\PATRICIA CASTRO\Esmilda Rubina modelo.doc</t>
  </si>
  <si>
    <t>C:\Users\franc\OneDrive\Documentos\MALENTIN KARIME\MANDATOS JUDICIALES\PATRICIA ALFARO\VERONICA INES ZEPEDA ARAYA.doc</t>
  </si>
  <si>
    <t>C:\Users\franc\OneDrive\Documentos\MALENTIN KARIME\MANDATOS JUDICIALES\PATRICIA ALFARO\SOLANGE ALVAREZ 2019.doc</t>
  </si>
  <si>
    <t>C:\Users\franc\OneDrive\Documentos\MALENTIN KARIME\MANDATOS JUDICIALES\PATRICIA ALFARO\SILVIA ROJAS SARRIA.doc</t>
  </si>
  <si>
    <t>C:\Users\franc\OneDrive\Documentos\MALENTIN KARIME\MANDATOS JUDICIALES\PATRICIA ALFARO\MODELO.doc</t>
  </si>
  <si>
    <t>C:\Users\franc\OneDrive\Documentos\MALENTIN KARIME\MANDATOS JUDICIALES\PATRICIA ALFARO\PERSONAL Patty Alfaro.doc</t>
  </si>
  <si>
    <t>C:\Users\franc\OneDrive\Documentos\MALENTIN KARIME\MANDATOS JUDICIALES\PATRICIA ALFARO\MIRIAM AVILA.doc</t>
  </si>
  <si>
    <t>C:\Users\franc\OneDrive\Documentos\MALENTIN KARIME\MANDATOS JUDICIALES\PATRICIA ALFARO\MARIO PIZARRO A VIVIANA ALFARO.doc</t>
  </si>
  <si>
    <t>C:\Users\franc\OneDrive\Documentos\MALENTIN KARIME\MANDATOS JUDICIALES\PATRICIA ALFARO\MARIO DIAZ 2018.doc</t>
  </si>
  <si>
    <t>C:\Users\franc\OneDrive\Documentos\MALENTIN KARIME\MANDATOS JUDICIALES\PATRICIA ALFARO\JINCONG DENG.doc</t>
  </si>
  <si>
    <t>C:\Users\franc\OneDrive\Documentos\MALENTIN KARIME\MANDATOS JUDICIALES\PATRICIA ALFARO\JUAN CORTES MURA.doc</t>
  </si>
  <si>
    <t>C:\Users\franc\OneDrive\Documentos\MALENTIN KARIME\MANDATOS JUDICIALES\PATRICIA ALFARO\FUL BUSS.doc</t>
  </si>
  <si>
    <t>C:\Users\franc\OneDrive\Documentos\MALENTIN KARIME\MANDATOS JUDICIALES\PATRICIA ALFARO\CRISTIAN LOPEZ PORTILLA.doc</t>
  </si>
  <si>
    <t>C:\Users\franc\OneDrive\Documentos\MALENTIN KARIME\MANDATOS JUDICIALES\PABLO VEGA ETCHEVERRY\RONALD LANAS.doc</t>
  </si>
  <si>
    <t>C:\Users\franc\OneDrive\Documentos\MALENTIN KARIME\MANDATOS JUDICIALES\PABLO VEGA ETCHEVERRY\RONALD LANAS copia.doc</t>
  </si>
  <si>
    <t>C:\Users\franc\OneDrive\Documentos\MALENTIN KARIME\MANDATOS JUDICIALES\PABLO BARRANTES\PAMELA CORTES.doc</t>
  </si>
  <si>
    <t>C:\Users\franc\OneDrive\Documentos\MALENTIN KARIME\MANDATOS JUDICIALES\PABLO BARRANTES\MARCIA VEGA VALDIVIA.doc</t>
  </si>
  <si>
    <t>C:\Users\franc\OneDrive\Documentos\MALENTIN KARIME\MANDATOS JUDICIALES\NATALIA ESPINOZA\JULIAN MORATA G.doc</t>
  </si>
  <si>
    <t>C:\Users\franc\OneDrive\Documentos\MALENTIN KARIME\MANDATOS JUDICIALES\MIGUEL ANGEL SANHUEZA\JOSE TORREJON VILLALOBOS.doc</t>
  </si>
  <si>
    <t>C:\Users\franc\OneDrive\Documentos\MALENTIN KARIME\MANDATOS JUDICIALES\MIGUEL ANGEL SANHUEZA\EDUARDO MILLA TRIGOS.doc</t>
  </si>
  <si>
    <t>C:\Users\franc\OneDrive\Documentos\MALENTIN KARIME\MANDATOS JUDICIALES\MIGUEL ANGEL\RODRIGO FLORES.doc</t>
  </si>
  <si>
    <t>C:\Users\franc\OneDrive\Documentos\MALENTIN KARIME\MANDATOS JUDICIALES\MERCEDES VALDIVIA\OTILIA OCHOA VALENCIA.doc</t>
  </si>
  <si>
    <t>C:\Users\franc\OneDrive\Documentos\MALENTIN KARIME\MANDATOS JUDICIALES\MAX MUÑOZ\not_rcabreraalb_Copia Escritura - MANDATO JUDICIAL_123456805791.pdf</t>
  </si>
  <si>
    <t>C:\Users\franc\OneDrive\Documentos\MALENTIN KARIME\MANDATOS JUDICIALES\MAX MUÑOZ\SULAYDA CASTRO A MAX MUÑOZ.doc</t>
  </si>
  <si>
    <t>C:\Users\franc\OneDrive\Documentos\MALENTIN KARIME\MANDATOS JUDICIALES\MAX MUÑOZ\MANDATO JUDICIAL SULAYDA CASTRO del correo.docx</t>
  </si>
  <si>
    <t>C:\Users\franc\OneDrive\Documentos\MALENTIN KARIME\MANDATOS JUDICIALES\MARITZA RETAMAL\MARIANELA CAMPUSANO.doc</t>
  </si>
  <si>
    <t>C:\Users\franc\OneDrive\Documentos\MALENTIN KARIME\MANDATOS JUDICIALES\MARITZA RETAMAL\LUCY LOPEZ 2018.doc</t>
  </si>
  <si>
    <t>C:\Users\franc\OneDrive\Documentos\MALENTIN KARIME\MANDATOS JUDICIALES\MARITZA RETAMAL\CONSTRUCTORA OLIVARES Y CORTES Y CIA..doc</t>
  </si>
  <si>
    <t>C:\Users\franc\OneDrive\Documentos\MALENTIN KARIME\MANDATOS JUDICIALES\MARITZA RETAMAL\CLAUDIO ALFARO ROJAS.doc</t>
  </si>
  <si>
    <t>C:\Users\franc\OneDrive\Documentos\MALENTIN KARIME\MANDATOS JUDICIALES\MARITZA RETAMAL\ADRIAN ELORZA 2021.doc</t>
  </si>
  <si>
    <t>C:\Users\franc\OneDrive\Documentos\MALENTIN KARIME\MANDATOS JUDICIALES\MARIO RODRIGUEZ\YANET PIZARRO 2017.doc</t>
  </si>
  <si>
    <t>C:\Users\franc\OneDrive\Documentos\MALENTIN KARIME\MANDATOS JUDICIALES\MARIO RODRIGUEZ\sucesion UREN.doc</t>
  </si>
  <si>
    <t>C:\Users\franc\OneDrive\Documentos\MALENTIN KARIME\MANDATOS JUDICIALES\MARIO RODRIGUEZ\sucesion UREN varios.doc</t>
  </si>
  <si>
    <t>C:\Users\franc\OneDrive\Documentos\MALENTIN KARIME\MANDATOS JUDICIALES\MARIO RODRIGUEZ\sucesion UREN menores de edad varios.doc</t>
  </si>
  <si>
    <t>C:\Users\franc\OneDrive\Documentos\MALENTIN KARIME\MANDATOS JUDICIALES\MARIO RODRIGUEZ\MARIO VALDIVIA Y OTRO.doc</t>
  </si>
  <si>
    <t>C:\Users\franc\OneDrive\Documentos\MALENTIN KARIME\MANDATOS JUDICIALES\MARIO RODRIGUEZ\LUIS CARRASCO GUERRA.doc</t>
  </si>
  <si>
    <t>C:\Users\franc\OneDrive\Documentos\MALENTIN KARIME\MANDATOS JUDICIALES\MARIO RODRIGUEZ\JUAN LUENGO GAJARDO.doc</t>
  </si>
  <si>
    <t>C:\Users\franc\OneDrive\Documentos\MALENTIN KARIME\MANDATOS JUDICIALES\MARIO RODRIGUEZ\JESSICA RIVERA AGUIRRE.doc</t>
  </si>
  <si>
    <t>C:\Users\franc\OneDrive\Documentos\MALENTIN KARIME\MANDATOS JUDICIALES\MARIO RODRIGUEZ\HUMBERTO CONTRERAS CONTRERAS.doc</t>
  </si>
  <si>
    <t>C:\Users\franc\OneDrive\Documentos\MALENTIN KARIME\MANDATOS JUDICIALES\MARIO RODRIGUEZ\EMA GALLARDO.doc</t>
  </si>
  <si>
    <t>C:\Users\franc\OneDrive\Documentos\MALENTIN KARIME\MANDATOS JUDICIALES\MARIO RODRIGUEZ\Datos Mario Rodriguez.doc</t>
  </si>
  <si>
    <t>C:\Users\franc\OneDrive\Documentos\MALENTIN KARIME\MANDATOS JUDICIALES\MARIO RODRIGUEZ\CLAUDIO ANDRADE.doc</t>
  </si>
  <si>
    <t>C:\Users\franc\OneDrive\Documentos\MALENTIN KARIME\MANDATOS JUDICIALES\MARIO RODRIGUEZ\CLAUDIO ANDRADE dir nueve.doc</t>
  </si>
  <si>
    <t>C:\Users\franc\OneDrive\Documentos\MALENTIN KARIME\MANDATOS JUDICIALES\MARIO RODRIGUEZ\ANTONIA RODRIGUEZ ACUÑA.doc</t>
  </si>
  <si>
    <t>C:\Users\franc\OneDrive\Documentos\MALENTIN KARIME\MANDATOS JUDICIALES\MARIO RODRIGUEZ\ANA LAZO VILLAR.doc</t>
  </si>
  <si>
    <t>C:\Users\franc\OneDrive\Documentos\MALENTIN KARIME\MANDATOS JUDICIALES\MARIO RODRIGUEZ\ALEJANDRO CARRASCO.doc</t>
  </si>
  <si>
    <t>C:\Users\franc\OneDrive\Documentos\MALENTIN KARIME\MANDATOS JUDICIALES\MARIO BARRIOS\SERGIO ARAYA GARCIA Minuta.doc</t>
  </si>
  <si>
    <t>C:\Users\franc\OneDrive\Documentos\MALENTIN KARIME\MANDATOS JUDICIALES\MARIO BARRIOS\NORMA DURAN.doc</t>
  </si>
  <si>
    <t>C:\Users\franc\OneDrive\Documentos\MALENTIN KARIME\MANDATOS JUDICIALES\MARIO BARRIOS\NELSON CONTRERAS.doc</t>
  </si>
  <si>
    <t>C:\Users\franc\OneDrive\Documentos\MALENTIN KARIME\MANDATOS JUDICIALES\MARIO BARRIOS\MARCELO MERCADO.doc</t>
  </si>
  <si>
    <t>C:\Users\franc\OneDrive\Documentos\MALENTIN KARIME\MANDATOS JUDICIALES\MARIO BARRIOS\LUISA GONZALEZ.doc</t>
  </si>
  <si>
    <t>C:\Users\franc\OneDrive\Documentos\MALENTIN KARIME\MANDATOS JUDICIALES\MARIO BARRIOS\JANET CARVAJAL SOLIS.doc</t>
  </si>
  <si>
    <t>C:\Users\franc\OneDrive\Documentos\MALENTIN KARIME\MANDATOS JUDICIALES\MARIO BARRIOS\ISNELDA ZEPEDA GOMEZ}.doc</t>
  </si>
  <si>
    <t>C:\Users\franc\OneDrive\Documentos\MALENTIN KARIME\MANDATOS JUDICIALES\MARIO BARRIOS\INMOBILIARIA COLOMBRE.doc</t>
  </si>
  <si>
    <t>C:\Users\franc\OneDrive\Documentos\MALENTIN KARIME\MANDATOS JUDICIALES\MARIO BARRIOS\INMOBILIARIA COLOMBRE borrador.doc</t>
  </si>
  <si>
    <t>C:\Users\franc\OneDrive\Documentos\MALENTIN KARIME\MANDATOS JUDICIALES\MARIO BARRIOS\ELIANA RAMIREZ DIAZ Minuta.doc</t>
  </si>
  <si>
    <t>C:\Users\franc\OneDrive\Documentos\MALENTIN KARIME\MANDATOS JUDICIALES\MARIO BARRIOS\CARLA OLIVARES ARREDONDO.doc</t>
  </si>
  <si>
    <t>C:\Users\franc\OneDrive\Documentos\MALENTIN KARIME\MANDATOS JUDICIALES\MARIO BARRIOS\ALEJANDRO ITURRIAGA.doc</t>
  </si>
  <si>
    <t>C:\Users\franc\OneDrive\Documentos\MALENTIN KARIME\MANDATOS JUDICIALES\MARIO BARRIOS\ALEJANDRO AGUIRRE.doc</t>
  </si>
  <si>
    <t>C:\Users\franc\OneDrive\Documentos\MALENTIN KARIME\MANDATOS JUDICIALES\MARIO BARRIOS\ABELARDO ALCAYAGA A NORMA TAPIA Minuta.doc</t>
  </si>
  <si>
    <t>C:\Users\franc\OneDrive\Documentos\MALENTIN KARIME\MANDATOS JUDICIALES\MARIA NUÑEZ HERRERA\ROLANDO GARRIDO 2017.doc</t>
  </si>
  <si>
    <t>C:\Users\franc\OneDrive\Documentos\MALENTIN KARIME\MANDATOS JUDICIALES\MARIA NUÑEZ HERRERA\MUNICIPALIDAD DE OVALLE C Renteria.doc</t>
  </si>
  <si>
    <t>C:\Users\franc\OneDrive\Documentos\MALENTIN KARIME\MANDATOS JUDICIALES\MARIA NUÑEZ HERRERA\MARIA INES NUÑEZ.doc</t>
  </si>
  <si>
    <t>C:\Users\franc\OneDrive\Documentos\MALENTIN KARIME\MANDATOS JUDICIALES\MARIA NUÑEZ HERRERA\LUIS LOPEZ CORTES.doc</t>
  </si>
  <si>
    <t>C:\Users\franc\OneDrive\Documentos\MALENTIN KARIME\MANDATOS JUDICIALES\MARIA NUÑEZ HERRERA\LUIS GUIRALDES.doc</t>
  </si>
  <si>
    <t>C:\Users\franc\OneDrive\Documentos\MALENTIN KARIME\MANDATOS JUDICIALES\MARIA NUÑEZ HERRERA\JOSE JOFRE FUENTES.doc</t>
  </si>
  <si>
    <t>C:\Users\franc\OneDrive\Documentos\MALENTIN KARIME\MANDATOS JUDICIALES\MARIA NUÑEZ HERRERA\HUGO ZEPEDA PINTO.doc</t>
  </si>
  <si>
    <t>C:\Users\franc\OneDrive\Documentos\MALENTIN KARIME\MANDATOS JUDICIALES\MARIA NUÑEZ HERRERA\HECTOR ROJAS ARAYA.doc</t>
  </si>
  <si>
    <t>C:\Users\franc\OneDrive\Documentos\MALENTIN KARIME\MANDATOS JUDICIALES\MARIA NUÑEZ HERRERA\ARMANDO SALAMANCA C.doc</t>
  </si>
  <si>
    <t>C:\Users\franc\OneDrive\Documentos\MALENTIN KARIME\MANDATOS JUDICIALES\MARIA JOSE CERDA ARANCIBIA\MACARENA GARCIA Y OTRO.doc</t>
  </si>
  <si>
    <t>C:\Users\franc\OneDrive\Documentos\MALENTIN KARIME\MANDATOS JUDICIALES\MARIA JOSE CERDA ARANCIBIA\MACARENA GARCIA Y OTRO individual.doc</t>
  </si>
  <si>
    <t>C:\Users\franc\OneDrive\Documentos\MALENTIN KARIME\MANDATOS JUDICIALES\MARIA JOSE CERDA ARANCIBIA\GABRIEL MONDACA CONTRERAS Minuta.doc</t>
  </si>
  <si>
    <t>C:\Users\franc\OneDrive\Documentos\MALENTIN KARIME\MANDATOS JUDICIALES\MARIA JOSE CERDA ARANCIBIA\DANILO TELLO individual.doc</t>
  </si>
  <si>
    <t>C:\Users\franc\OneDrive\Documentos\MALENTIN KARIME\MANDATOS JUDICIALES\MARIA CRISTINA DIAZ HERNANDEZ\ROXANA COFRE OLIVARES minuta.doc</t>
  </si>
  <si>
    <t>C:\Users\franc\OneDrive\Documentos\MALENTIN KARIME\MANDATOS JUDICIALES\MARIA CRISTINA DIAZ HERNANDEZ\MARCO MUÑOZ BORQUEZ 2016.doc</t>
  </si>
  <si>
    <t>C:\Users\franc\OneDrive\Documentos\MALENTIN KARIME\MANDATOS JUDICIALES\MARIA CRISTINA DIAZ HERNANDEZ\JORGE MOYA Minuta.doc</t>
  </si>
  <si>
    <t>C:\Users\franc\OneDrive\Documentos\MALENTIN KARIME\MANDATOS JUDICIALES\MARIA CRISTINA DIAZ HERNANDEZ\CERRO CAMPAÑARIO.doc</t>
  </si>
  <si>
    <t>C:\Users\franc\OneDrive\Documentos\MALENTIN KARIME\MANDATOS JUDICIALES\MARIA CRISTINA DIAZ HERNANDEZ\CERRO CAMPANARIO Mayo 2014.doc</t>
  </si>
  <si>
    <t>C:\Users\franc\OneDrive\Documentos\MALENTIN KARIME\MANDATOS JUDICIALES\MARIA CRISTINA DIAZ HERNANDEZ\CERRO CAMPANARIO Junio 2014.doc</t>
  </si>
  <si>
    <t>C:\Users\franc\OneDrive\Documentos\MALENTIN KARIME\MANDATOS JUDICIALES\MARCO JURIN\MARIA SALAS Y OTRO.doc</t>
  </si>
  <si>
    <t>C:\Users\franc\OneDrive\Documentos\MALENTIN KARIME\MANDATOS JUDICIALES\MARCO JURIN\JULIO MONTERO.doc</t>
  </si>
  <si>
    <t>C:\Users\franc\OneDrive\Documentos\MALENTIN KARIME\MANDATOS JUDICIALES\LUISA BARRAZA\DAGOBERTO ALMONACID.doc</t>
  </si>
  <si>
    <t>C:\Users\franc\OneDrive\Documentos\MALENTIN KARIME\MANDATOS JUDICIALES\LUIS URQUETA\LOS AROMOS.doc</t>
  </si>
  <si>
    <t>C:\Users\franc\OneDrive\Documentos\MALENTIN KARIME\MANDATOS JUDICIALES\LUIS URQUETA\JAVIER CONTADOR CORTES.doc</t>
  </si>
  <si>
    <t>C:\Users\franc\OneDrive\Documentos\MALENTIN KARIME\MANDATOS JUDICIALES\LUIS URQUETA\FREDDY DIAZ 2018.doc</t>
  </si>
  <si>
    <t>C:\Users\franc\OneDrive\Documentos\MALENTIN KARIME\MANDATOS JUDICIALES\LUIS OCTAVIO SALAS\RENE MAURIN A Luis Octavio.doc</t>
  </si>
  <si>
    <t>C:\Users\franc\OneDrive\Documentos\MALENTIN KARIME\MANDATOS JUDICIALES\LUIS GALLARDO\2016\MARIA PAYER.doc</t>
  </si>
  <si>
    <t>C:\Users\franc\OneDrive\Documentos\MALENTIN KARIME\MANDATOS JUDICIALES\LUIS GALLARDO\2016\HAROLDO VEGA POZO.doc</t>
  </si>
  <si>
    <t>C:\Users\franc\OneDrive\Documentos\MALENTIN KARIME\MANDATOS JUDICIALES\LUIS GALLARDO\MANUEL MORA ARAYA 2015.doc</t>
  </si>
  <si>
    <t>C:\Users\franc\OneDrive\Documentos\MALENTIN KARIME\MANDATOS JUDICIALES\LUIS GALLARDO\JULIO ARAYA GODOY.doc</t>
  </si>
  <si>
    <t>C:\Users\franc\OneDrive\Documentos\MALENTIN KARIME\MANDATOS JUDICIALES\LUIS GALLARDO\GERMAN AHUMADA GOMEZ.doc</t>
  </si>
  <si>
    <t>C:\Users\franc\OneDrive\Documentos\MALENTIN KARIME\MANDATOS JUDICIALES\LUCIANO SARMIENTO\MARIA ROJAS JARA.doc</t>
  </si>
  <si>
    <t>C:\Users\franc\OneDrive\Documentos\MALENTIN KARIME\MANDATOS JUDICIALES\JUIO POLANCO\PATRICIO POLANCO.doc</t>
  </si>
  <si>
    <t>C:\Users\franc\OneDrive\Documentos\MALENTIN KARIME\MANDATOS JUDICIALES\JUIO POLANCO\GABRIEL RIVERA.doc</t>
  </si>
  <si>
    <t>C:\Users\franc\OneDrive\Documentos\MALENTIN KARIME\MANDATOS JUDICIALES\JUIO POLANCO\GABRIEL RIVERA nuevo.doc</t>
  </si>
  <si>
    <t>C:\Users\franc\OneDrive\Documentos\MALENTIN KARIME\MANDATOS JUDICIALES\JUIO POLANCO\AGRICOLA LAGUNAS Y SASTRE.doc</t>
  </si>
  <si>
    <t>C:\Users\franc\OneDrive\Documentos\MALENTIN KARIME\MANDATOS JUDICIALES\JUAN PABLO CORRAL\XIMENA VARGAS.doc</t>
  </si>
  <si>
    <t>C:\Users\franc\OneDrive\Documentos\MALENTIN KARIME\MANDATOS JUDICIALES\JUAN PABLO CORRAL\RUTH MUÑOZ ROJAS 2016.doc</t>
  </si>
  <si>
    <t>C:\Users\franc\OneDrive\Documentos\MALENTIN KARIME\MANDATOS JUDICIALES\JUAN PABLO CORRAL\SANDRA LIRA.doc</t>
  </si>
  <si>
    <t>C:\Users\franc\OneDrive\Documentos\MALENTIN KARIME\MANDATOS JUDICIALES\JUAN PABLO CORRAL\RODRIGO VILLEGAS.doc</t>
  </si>
  <si>
    <t>C:\Users\franc\OneDrive\Documentos\MALENTIN KARIME\MANDATOS JUDICIALES\JUAN PABLO CORRAL\RICARDO RISI.doc</t>
  </si>
  <si>
    <t>C:\Users\franc\OneDrive\Documentos\MALENTIN KARIME\MANDATOS JUDICIALES\JUAN PABLO CORRAL\RAMON ARAYA MIRANDA.doc</t>
  </si>
  <si>
    <t>C:\Users\franc\OneDrive\Documentos\MALENTIN KARIME\MANDATOS JUDICIALES\JUAN PABLO CORRAL\RAUL ARDILES Y VARIOS 2018.doc</t>
  </si>
  <si>
    <t>C:\Users\franc\OneDrive\Documentos\MALENTIN KARIME\MANDATOS JUDICIALES\JUAN PABLO CORRAL\PEDRO JOSE AVILA AVILA.doc</t>
  </si>
  <si>
    <t>C:\Users\franc\OneDrive\Documentos\MALENTIN KARIME\MANDATOS JUDICIALES\JUAN PABLO CORRAL\RAFAEL PROHENS.doc</t>
  </si>
  <si>
    <t>C:\Users\franc\OneDrive\Documentos\MALENTIN KARIME\MANDATOS JUDICIALES\JUAN PABLO CORRAL\NICOLE GUERRERO.doc</t>
  </si>
  <si>
    <t>C:\Users\franc\OneDrive\Documentos\MALENTIN KARIME\MANDATOS JUDICIALES\JUAN PABLO CORRAL\PATRICIO GONZALEZ CASTILLO 2017.doc</t>
  </si>
  <si>
    <t>C:\Users\franc\OneDrive\Documentos\MALENTIN KARIME\MANDATOS JUDICIALES\JUAN PABLO CORRAL\MAURICIO BRAVO.doc</t>
  </si>
  <si>
    <t>C:\Users\franc\OneDrive\Documentos\MALENTIN KARIME\MANDATOS JUDICIALES\JUAN PABLO CORRAL\NELSON CARRASCO.doc</t>
  </si>
  <si>
    <t>C:\Users\franc\OneDrive\Documentos\MALENTIN KARIME\MANDATOS JUDICIALES\JUAN PABLO CORRAL\MARILUZ LOPEZ Y OTRA 2015.doc</t>
  </si>
  <si>
    <t>C:\Users\franc\OneDrive\Documentos\MALENTIN KARIME\MANDATOS JUDICIALES\JUAN PABLO CORRAL\MARCIAL VEGA NUÑEZ.doc</t>
  </si>
  <si>
    <t>C:\Users\franc\OneDrive\Documentos\MALENTIN KARIME\MANDATOS JUDICIALES\JUAN PABLO CORRAL\MANUEL LANAS NUÑEZ.doc</t>
  </si>
  <si>
    <t>C:\Users\franc\OneDrive\Documentos\MALENTIN KARIME\MANDATOS JUDICIALES\JUAN PABLO CORRAL\MALVINA CORTES CASTILLO Y OTROS.doc</t>
  </si>
  <si>
    <t>C:\Users\franc\OneDrive\Documentos\MALENTIN KARIME\MANDATOS JUDICIALES\JUAN PABLO CORRAL\LEONARDO VELIZ 2018.doc</t>
  </si>
  <si>
    <t>C:\Users\franc\OneDrive\Documentos\MALENTIN KARIME\MANDATOS JUDICIALES\JUAN PABLO CORRAL\LUIS REINOS.doc</t>
  </si>
  <si>
    <t>C:\Users\franc\OneDrive\Documentos\MALENTIN KARIME\MANDATOS JUDICIALES\JUAN PABLO CORRAL\LEONARDO ARAVENA 2018.doc</t>
  </si>
  <si>
    <t>C:\Users\franc\OneDrive\Documentos\MALENTIN KARIME\MANDATOS JUDICIALES\JUAN PABLO CORRAL\JUAN MENDOZA ROMERO.doc</t>
  </si>
  <si>
    <t>C:\Users\franc\OneDrive\Documentos\MALENTIN KARIME\MANDATOS JUDICIALES\JUAN PABLO CORRAL\JULIO PINEDA.doc</t>
  </si>
  <si>
    <t>C:\Users\franc\OneDrive\Documentos\MALENTIN KARIME\MANDATOS JUDICIALES\JUAN PABLO CORRAL\JOSE VIVAR.doc</t>
  </si>
  <si>
    <t>C:\Users\franc\OneDrive\Documentos\MALENTIN KARIME\MANDATOS JUDICIALES\JUAN PABLO CORRAL\JOSE HERIBERTO FLORES ARAYA a FRANCISCO POBLETE 2018.doc</t>
  </si>
  <si>
    <t>C:\Users\franc\OneDrive\Documentos\MALENTIN KARIME\MANDATOS JUDICIALES\JUAN PABLO CORRAL\JOSE HERIBERTO FLORES ARAYA 2018.doc</t>
  </si>
  <si>
    <t>C:\Users\franc\OneDrive\Documentos\MALENTIN KARIME\MANDATOS JUDICIALES\JUAN PABLO CORRAL\JOSE FLORES ARAYA.doc</t>
  </si>
  <si>
    <t>C:\Users\franc\OneDrive\Documentos\MALENTIN KARIME\MANDATOS JUDICIALES\JUAN PABLO CORRAL\HUGO ARANEDA.doc</t>
  </si>
  <si>
    <t>C:\Users\franc\OneDrive\Documentos\MALENTIN KARIME\MANDATOS JUDICIALES\JUAN PABLO CORRAL\JOSE FLORES ARAYA Julio 2018.doc</t>
  </si>
  <si>
    <t>C:\Users\franc\OneDrive\Documentos\MALENTIN KARIME\MANDATOS JUDICIALES\JUAN PABLO CORRAL\HECTOR IGLESIAS.doc</t>
  </si>
  <si>
    <t>C:\Users\franc\OneDrive\Documentos\MALENTIN KARIME\MANDATOS JUDICIALES\JUAN PABLO CORRAL\FRANCO AROS en representacion.doc</t>
  </si>
  <si>
    <t>C:\Users\franc\OneDrive\Documentos\MALENTIN KARIME\MANDATOS JUDICIALES\JUAN PABLO CORRAL\GONZALO TORREJON.doc</t>
  </si>
  <si>
    <t>C:\Users\franc\OneDrive\Documentos\MALENTIN KARIME\MANDATOS JUDICIALES\JUAN PABLO CORRAL\FRANCO AROS 2017.doc</t>
  </si>
  <si>
    <t>C:\Users\franc\OneDrive\Documentos\MALENTIN KARIME\MANDATOS JUDICIALES\JUAN PABLO CORRAL\ERIC MELLADO.doc</t>
  </si>
  <si>
    <t>C:\Users\franc\OneDrive\Documentos\MALENTIN KARIME\MANDATOS JUDICIALES\JUAN PABLO CORRAL\DOUGLAS GONZALEZZ.doc</t>
  </si>
  <si>
    <t>C:\Users\franc\OneDrive\Documentos\MALENTIN KARIME\MANDATOS JUDICIALES\JUAN PABLO CORRAL\DIEGO TAMBLAY TAPIA.doc</t>
  </si>
  <si>
    <t>C:\Users\franc\OneDrive\Documentos\MALENTIN KARIME\MANDATOS JUDICIALES\JUAN PABLO CORRAL\DIEGO RAMIREZ.doc</t>
  </si>
  <si>
    <t>C:\Users\franc\OneDrive\Documentos\MALENTIN KARIME\MANDATOS JUDICIALES\JUAN PABLO CORRAL\DANIELA GALLARDO Y OTRO.doc</t>
  </si>
  <si>
    <t>C:\Users\franc\OneDrive\Documentos\MALENTIN KARIME\MANDATOS JUDICIALES\JUAN PABLO CORRAL\CHRISTIAN LOYOLA.doc</t>
  </si>
  <si>
    <t>C:\Users\franc\OneDrive\Documentos\MALENTIN KARIME\MANDATOS JUDICIALES\JUAN PABLO CORRAL\CAROLINA AGUILERA 2017.doc</t>
  </si>
  <si>
    <t>C:\Users\franc\OneDrive\Documentos\MALENTIN KARIME\MANDATOS JUDICIALES\JUAN PABLO CORRAL\CARLOS SARRAS.doc</t>
  </si>
  <si>
    <t>C:\Users\franc\OneDrive\Documentos\MALENTIN KARIME\MANDATOS JUDICIALES\JUAN PABLO CORRAL\CAMILA MUÑOZ 2018.doc</t>
  </si>
  <si>
    <t>C:\Users\franc\OneDrive\Documentos\MALENTIN KARIME\MANDATOS JUDICIALES\JUAN PABLO CORRAL\BRENDA LYS CORTES ALFARO.doc</t>
  </si>
  <si>
    <t>C:\Users\franc\OneDrive\Documentos\MALENTIN KARIME\MANDATOS JUDICIALES\JUAN PABLO CORRAL\BIANCA TAMBLAY.doc</t>
  </si>
  <si>
    <t>C:\Users\franc\OneDrive\Documentos\MALENTIN KARIME\MANDATOS JUDICIALES\JUAN PABLO CORRAL\BASTIAN VEGA 2021.doc</t>
  </si>
  <si>
    <t>C:\Users\franc\OneDrive\Documentos\MALENTIN KARIME\MANDATOS JUDICIALES\JUAN PABLO CORRAL\AGRICOLA CHAÑARAL BAJO NORTE.doc</t>
  </si>
  <si>
    <t>C:\Users\franc\OneDrive\Documentos\MALENTIN KARIME\MANDATOS JUDICIALES\JUAN PABLO CORRAL\ANTONELLA ARAYA.doc</t>
  </si>
  <si>
    <t>C:\Users\franc\OneDrive\Documentos\MALENTIN KARIME\MANDATOS JUDICIALES\JUAN GUIÑEZ LLAMBIAS\JULIA CORTES Y OTROS.doc</t>
  </si>
  <si>
    <t>C:\Users\franc\OneDrive\Documentos\MALENTIN KARIME\MANDATOS JUDICIALES\JOSE MIGUEL TABILO\NELSON JOFRE TORRES.doc</t>
  </si>
  <si>
    <t>C:\Users\franc\OneDrive\Documentos\MALENTIN KARIME\MANDATOS JUDICIALES\JOSE MIGUEL TABILO\ROSA DINAMARCA REYES 2017.doc</t>
  </si>
  <si>
    <t>C:\Users\franc\OneDrive\Documentos\MALENTIN KARIME\MANDATOS JUDICIALES\JOSE MIGUEL TABILO\MIGUEL CONCHA PUJADO.doc</t>
  </si>
  <si>
    <t>C:\Users\franc\OneDrive\Documentos\MALENTIN KARIME\MANDATOS JUDICIALES\JOSE MIGUEL TABILO\LUIS PEÑAFIEL JAIME 2017.doc</t>
  </si>
  <si>
    <t>C:\Users\franc\OneDrive\Documentos\MALENTIN KARIME\MANDATOS JUDICIALES\JOSE MIGUEL TABILO\MARIA MUÑOZ ESPINOSA.doc</t>
  </si>
  <si>
    <t>C:\Users\franc\OneDrive\Documentos\MALENTIN KARIME\MANDATOS JUDICIALES\JOSE MIGUEL TABILO\LUIS BORQUEZ MICHEA A JOSE TABILO GOMILAMandato con formato notaria.doc</t>
  </si>
  <si>
    <t>C:\Users\franc\OneDrive\Documentos\MALENTIN KARIME\MANDATOS JUDICIALES\JOSE MIGUEL TABILO\LITAPEL S.A..doc</t>
  </si>
  <si>
    <t>C:\Users\franc\OneDrive\Documentos\MALENTIN KARIME\MANDATOS JUDICIALES\JOSE MIGUEL TABILO\JESSICA AREYUNA.doc</t>
  </si>
  <si>
    <t>C:\Users\franc\OneDrive\Documentos\MALENTIN KARIME\MANDATOS JUDICIALES\JOSE MIGUEL TABILO\FRANCO CASTRO GOMEZ.doc</t>
  </si>
  <si>
    <t>C:\Users\franc\OneDrive\Documentos\MALENTIN KARIME\MANDATOS JUDICIALES\JOSE MIGUEL TABILO\CAROLINA JIMENEZ.doc</t>
  </si>
  <si>
    <t>C:\Users\franc\OneDrive\Documentos\MALENTIN KARIME\MANDATOS JUDICIALES\JOSE MIGUEL TABILO\AVELINO BARRAZA.doc</t>
  </si>
  <si>
    <t>C:\Users\franc\OneDrive\Documentos\MALENTIN KARIME\MANDATOS JUDICIALES\JOSE MIGUEL TABILO\ANDRES ROJAS RIVERA.doc</t>
  </si>
  <si>
    <t>C:\Users\franc\OneDrive\Documentos\MALENTIN KARIME\MANDATOS JUDICIALES\JOSE AMPUERO VALLADARES\SOCIEDAD CARGO NORTE.doc</t>
  </si>
  <si>
    <t>C:\Users\franc\OneDrive\Documentos\MALENTIN KARIME\MANDATOS JUDICIALES\JOSE ILABACA\MARIA FARIAS Y OTRO.doc</t>
  </si>
  <si>
    <t>C:\Users\franc\OneDrive\Documentos\MALENTIN KARIME\MANDATOS JUDICIALES\JORGE ALVARADO\2019\RAFAEL ORTIZ ROJAS.doc</t>
  </si>
  <si>
    <t>C:\Users\franc\OneDrive\Documentos\MALENTIN KARIME\MANDATOS JUDICIALES\JORGE ALVARADO\2019\LUIS COLLAO BRAVO.doc</t>
  </si>
  <si>
    <t>C:\Users\franc\OneDrive\Documentos\MALENTIN KARIME\MANDATOS JUDICIALES\JORGE ALVARADO\2019\ESMILDA RUBINA.doc</t>
  </si>
  <si>
    <t>C:\Users\franc\OneDrive\Documentos\MALENTIN KARIME\MANDATOS JUDICIALES\JORGE ALVARADO\2019\ELIZABETH CARRERA 2020.doc</t>
  </si>
  <si>
    <t>C:\Users\franc\OneDrive\Documentos\MALENTIN KARIME\MANDATOS JUDICIALES\JORGE ALVARADO\2019\DANIEL MONARDES.doc</t>
  </si>
  <si>
    <t>C:\Users\franc\OneDrive\Documentos\MALENTIN KARIME\MANDATOS JUDICIALES\JORGE ALVARADO\2019\CLAUDIO ANDRADE.doc</t>
  </si>
  <si>
    <t>C:\Users\franc\OneDrive\Documentos\MALENTIN KARIME\MANDATOS JUDICIALES\JORGE ALVARADO\2016\ZALVA LAHSEN 2018.doc</t>
  </si>
  <si>
    <t>C:\Users\franc\OneDrive\Documentos\MALENTIN KARIME\MANDATOS JUDICIALES\JORGE ALVARADO\2016\YESENIA ESPINOSA.doc</t>
  </si>
  <si>
    <t>C:\Users\franc\OneDrive\Documentos\MALENTIN KARIME\MANDATOS JUDICIALES\JORGE ALVARADO\2016\YENNY PEREIRA Y OTRO.doc</t>
  </si>
  <si>
    <t>C:\Users\franc\OneDrive\Documentos\MALENTIN KARIME\MANDATOS JUDICIALES\JORGE ALVARADO\2016\VIOLETA ROJAS CORTES 2018.doc</t>
  </si>
  <si>
    <t>C:\Users\franc\OneDrive\Documentos\MALENTIN KARIME\MANDATOS JUDICIALES\JORGE ALVARADO\2016\SANDRA REYES ROJAS.doc</t>
  </si>
  <si>
    <t>C:\Users\franc\OneDrive\Documentos\MALENTIN KARIME\MANDATOS JUDICIALES\JORGE ALVARADO\2016\SABINA MILLALONCO.doc</t>
  </si>
  <si>
    <t>C:\Users\franc\OneDrive\Documentos\MALENTIN KARIME\MANDATOS JUDICIALES\JORGE ALVARADO\2016\ROSA ARAYA ROJAS2018.doc</t>
  </si>
  <si>
    <t>C:\Users\franc\OneDrive\Documentos\MALENTIN KARIME\MANDATOS JUDICIALES\JORGE ALVARADO\2016\PATRICIO IBACACHE ARAYA.doc</t>
  </si>
  <si>
    <t>C:\Users\franc\OneDrive\Documentos\MALENTIN KARIME\MANDATOS JUDICIALES\JORGE ALVARADO\2016\PABLO MUÑOZ TABILO 2018 Hernan.doc</t>
  </si>
  <si>
    <t>C:\Users\franc\OneDrive\Documentos\MALENTIN KARIME\MANDATOS JUDICIALES\JORGE ALVARADO\2016\OSCAR MARIN ARAYA2017.doc</t>
  </si>
  <si>
    <t>C:\Users\franc\OneDrive\Documentos\MALENTIN KARIME\MANDATOS JUDICIALES\JORGE ALVARADO\2016\OSCAR COLLAO DIAZ 2018.doc</t>
  </si>
  <si>
    <t>C:\Users\franc\OneDrive\Documentos\MALENTIN KARIME\MANDATOS JUDICIALES\JORGE ALVARADO\2016\MONICA MARIN 2017.doc</t>
  </si>
  <si>
    <t>C:\Users\franc\OneDrive\Documentos\MALENTIN KARIME\MANDATOS JUDICIALES\JORGE ALVARADO\2016\MIRIAM FIGUEROA 2016.doc</t>
  </si>
  <si>
    <t>C:\Users\franc\OneDrive\Documentos\MALENTIN KARIME\MANDATOS JUDICIALES\JORGE ALVARADO\2016\MAVIS GUERRERO 2017.doc</t>
  </si>
  <si>
    <t>C:\Users\franc\OneDrive\Documentos\MALENTIN KARIME\MANDATOS JUDICIALES\JORGE ALVARADO\2016\MARIA TAVILO VERAS.doc</t>
  </si>
  <si>
    <t>C:\Users\franc\OneDrive\Documentos\MALENTIN KARIME\MANDATOS JUDICIALES\JORGE ALVARADO\2016\MARIA OLIVARES ARAYA.doc</t>
  </si>
  <si>
    <t>C:\Users\franc\OneDrive\Documentos\MALENTIN KARIME\MANDATOS JUDICIALES\JORGE ALVARADO\2016\MARIA GONZALEZ CONTRERAS 2018.doc</t>
  </si>
  <si>
    <t>C:\Users\franc\OneDrive\Documentos\MALENTIN KARIME\MANDATOS JUDICIALES\JORGE ALVARADO\2016\MARIA CONTRERAS MALUENDA.doc</t>
  </si>
  <si>
    <t>C:\Users\franc\OneDrive\Documentos\MALENTIN KARIME\MANDATOS JUDICIALES\JORGE ALVARADO\2016\MARCELO OLIVARES ROJAS.doc</t>
  </si>
  <si>
    <t>C:\Users\franc\OneDrive\Documentos\MALENTIN KARIME\MANDATOS JUDICIALES\JORGE ALVARADO\2016\MARCELA PENNA 2017.doc</t>
  </si>
  <si>
    <t>C:\Users\franc\OneDrive\Documentos\MALENTIN KARIME\MANDATOS JUDICIALES\JORGE ALVARADO\2016\MACARENA SAAVEDRA 2017.doc</t>
  </si>
  <si>
    <t>C:\Users\franc\OneDrive\Documentos\MALENTIN KARIME\MANDATOS JUDICIALES\JORGE ALVARADO\2016\JULIO MUÑOZ CORTES 2017.doc</t>
  </si>
  <si>
    <t>C:\Users\franc\OneDrive\Documentos\MALENTIN KARIME\MANDATOS JUDICIALES\JORGE ALVARADO\2016\JULIO SALAS OLIVARES 2018.doc</t>
  </si>
  <si>
    <t>C:\Users\franc\OneDrive\Documentos\MALENTIN KARIME\MANDATOS JUDICIALES\JORGE ALVARADO\2016\JOSE VALENZUELA.doc</t>
  </si>
  <si>
    <t>C:\Users\franc\OneDrive\Documentos\MALENTIN KARIME\MANDATOS JUDICIALES\JORGE ALVARADO\2016\JOSE GALLEGUILLOS CARVAJAL Hernan2018.doc</t>
  </si>
  <si>
    <t>C:\Users\franc\OneDrive\Documentos\MALENTIN KARIME\MANDATOS JUDICIALES\JORGE ALVARADO\2016\JORGE CAMPOS ALVARADO 2017.doc</t>
  </si>
  <si>
    <t>C:\Users\franc\OneDrive\Documentos\MALENTIN KARIME\MANDATOS JUDICIALES\JORGE ALVARADO\2016\HECTOR ELGUETA NARANJO  2018.doc</t>
  </si>
  <si>
    <t>C:\Users\franc\OneDrive\Documentos\MALENTIN KARIME\MANDATOS JUDICIALES\JORGE ALVARADO\2016\ISMAEL TORRES ARAYA 2018.doc</t>
  </si>
  <si>
    <t>C:\Users\franc\OneDrive\Documentos\MALENTIN KARIME\MANDATOS JUDICIALES\JORGE ALVARADO\2016\GLADYS TELLO TAPIA.doc</t>
  </si>
  <si>
    <t>C:\Users\franc\OneDrive\Documentos\MALENTIN KARIME\MANDATOS JUDICIALES\JORGE ALVARADO\2016\GEORGINA RIVERA.doc</t>
  </si>
  <si>
    <t>C:\Users\franc\OneDrive\Documentos\MALENTIN KARIME\MANDATOS JUDICIALES\JORGE ALVARADO\2016\EVA CARDENAS PASTEN.doc</t>
  </si>
  <si>
    <t>C:\Users\franc\OneDrive\Documentos\MALENTIN KARIME\MANDATOS JUDICIALES\JORGE ALVARADO\2016\ENRIQUE MARAMBIO.doc</t>
  </si>
  <si>
    <t>C:\Users\franc\OneDrive\Documentos\MALENTIN KARIME\MANDATOS JUDICIALES\JORGE ALVARADO\2016\ELIANA ECHEVERRIA 2017.doc</t>
  </si>
  <si>
    <t>C:\Users\franc\OneDrive\Documentos\MALENTIN KARIME\MANDATOS JUDICIALES\JORGE ALVARADO\2016\DOMINIQUE RIVERA.doc</t>
  </si>
  <si>
    <t>C:\Users\franc\OneDrive\Documentos\MALENTIN KARIME\MANDATOS JUDICIALES\JORGE ALVARADO\2016\DIEGO RAMIREZ BEJARANO Y OTRO.doc</t>
  </si>
  <si>
    <t>C:\Users\franc\OneDrive\Documentos\MALENTIN KARIME\MANDATOS JUDICIALES\JORGE ALVARADO\2016\DELICIA ALUCEMA 2018.doc</t>
  </si>
  <si>
    <t>C:\Users\franc\OneDrive\Documentos\MALENTIN KARIME\MANDATOS JUDICIALES\JORGE ALVARADO\2016\CHRISTIAN ALBANEZ 2018.doc</t>
  </si>
  <si>
    <t>C:\Users\franc\OneDrive\Documentos\MALENTIN KARIME\MANDATOS JUDICIALES\JORGE ALVARADO\2016\CARLOS RAMOS GARCIA 2017.doc</t>
  </si>
  <si>
    <t>C:\Users\franc\OneDrive\Documentos\MALENTIN KARIME\MANDATOS JUDICIALES\JORGE ALVARADO\2016\CARLOS GALLARDO CARVAJAL 2018.doc</t>
  </si>
  <si>
    <t>C:\Users\franc\OneDrive\Documentos\MALENTIN KARIME\MANDATOS JUDICIALES\JORGE ALVARADO\2016\ARNOLDO VALLEJOS 2017.doc</t>
  </si>
  <si>
    <t>C:\Users\franc\OneDrive\Documentos\MALENTIN KARIME\MANDATOS JUDICIALES\JORGE ALVARADO\2016\ARMIN TERRAZAS.doc</t>
  </si>
  <si>
    <t>C:\Users\franc\OneDrive\Documentos\MALENTIN KARIME\MANDATOS JUDICIALES\JORGE ALVARADO\2016\ARINDO PASTEN.doc</t>
  </si>
  <si>
    <t>C:\Users\franc\OneDrive\Documentos\MALENTIN KARIME\MANDATOS JUDICIALES\JORGE ALVARADO\2016\ANA RODRIGUEZ PIZARRO.doc</t>
  </si>
  <si>
    <t>C:\Users\franc\OneDrive\Documentos\MALENTIN KARIME\MANDATOS JUDICIALES\JORGE ALVARADO\2015\YANETT FERNANDEZ.doc</t>
  </si>
  <si>
    <t>C:\Users\franc\OneDrive\Documentos\MALENTIN KARIME\MANDATOS JUDICIALES\JORGE ALVARADO\2015\SANDRA ROJAS.doc</t>
  </si>
  <si>
    <t>C:\Users\franc\OneDrive\Documentos\MALENTIN KARIME\MANDATOS JUDICIALES\JORGE ALVARADO\2015\RODRIGO VALDIVIA Y OTRO.doc</t>
  </si>
  <si>
    <t>C:\Users\franc\OneDrive\Documentos\MALENTIN KARIME\MANDATOS JUDICIALES\JORGE ALVARADO\2015\ROBINSON VALDIVIA.doc</t>
  </si>
  <si>
    <t>C:\Users\franc\OneDrive\Documentos\MALENTIN KARIME\MANDATOS JUDICIALES\JORGE ALVARADO\2015\PAOLA FERNANDEZ BONILLA.doc</t>
  </si>
  <si>
    <t>C:\Users\franc\OneDrive\Documentos\MALENTIN KARIME\MANDATOS JUDICIALES\JORGE ALVARADO\2015\LUIS PEÑAFIEL JAIME.doc</t>
  </si>
  <si>
    <t>C:\Users\franc\OneDrive\Documentos\MALENTIN KARIME\MANDATOS JUDICIALES\JORGE ALVARADO\2015\JULIA MARIN.doc</t>
  </si>
  <si>
    <t>C:\Users\franc\OneDrive\Documentos\MALENTIN KARIME\MANDATOS JUDICIALES\JORGE ALVARADO\2015\CINTYA ROJAS.doc</t>
  </si>
  <si>
    <t>C:\Users\franc\OneDrive\Documentos\MALENTIN KARIME\MANDATOS JUDICIALES\JORGE ALVARADO\2015\JACQUELINE CASTRO.doc</t>
  </si>
  <si>
    <t>C:\Users\franc\OneDrive\Documentos\MALENTIN KARIME\MANDATOS JUDICIALES\JORGE ALVARADO\2015\CECILIA ALBURQUENQUE.doc</t>
  </si>
  <si>
    <t>C:\Users\franc\OneDrive\Documentos\MALENTIN KARIME\MANDATOS JUDICIALES\JORGE ALVARADO\YENKA Y OTRO 2021.doc</t>
  </si>
  <si>
    <t>C:\Users\franc\OneDrive\Documentos\MALENTIN KARIME\MANDATOS JUDICIALES\JORGE ALVARADO\VICTOR GARCIA TAPIA.doc</t>
  </si>
  <si>
    <t>C:\Users\franc\OneDrive\Documentos\MALENTIN KARIME\MANDATOS JUDICIALES\JORGE ALVARADO\ULISES ROBLES EGAÑA.doc</t>
  </si>
  <si>
    <t>C:\Users\franc\OneDrive\Documentos\MALENTIN KARIME\MANDATOS JUDICIALES\JORGE ALVARADO\UBERLINDA VILLALOBOS.doc</t>
  </si>
  <si>
    <t>C:\Users\franc\OneDrive\Documentos\MALENTIN KARIME\MANDATOS JUDICIALES\JORGE ALVARADO\UBERLINDA VILLALOBOS 2014.doc</t>
  </si>
  <si>
    <t>C:\Users\franc\OneDrive\Documentos\MALENTIN KARIME\MANDATOS JUDICIALES\JORGE ALVARADO\SOLANGE SANTIBAÑEZ.doc</t>
  </si>
  <si>
    <t>C:\Users\franc\OneDrive\Documentos\MALENTIN KARIME\MANDATOS JUDICIALES\JORGE ALVARADO\ROSA GUERRERO.doc</t>
  </si>
  <si>
    <t>C:\Users\franc\OneDrive\Documentos\MALENTIN KARIME\MANDATOS JUDICIALES\JORGE ALVARADO\SIXTO REED CARRRASCO.doc</t>
  </si>
  <si>
    <t>C:\Users\franc\OneDrive\Documentos\MALENTIN KARIME\MANDATOS JUDICIALES\JORGE ALVARADO\RODRIGO CONTRERAS.doc</t>
  </si>
  <si>
    <t>C:\Users\franc\OneDrive\Documentos\MALENTIN KARIME\MANDATOS JUDICIALES\JORGE ALVARADO\RAMON CORTES Y OTRA.doc</t>
  </si>
  <si>
    <t>C:\Users\franc\OneDrive\Documentos\MALENTIN KARIME\MANDATOS JUDICIALES\JORGE ALVARADO\PEDRO JOFRE GOMEZ.doc</t>
  </si>
  <si>
    <t>C:\Users\franc\OneDrive\Documentos\MALENTIN KARIME\MANDATOS JUDICIALES\JORGE ALVARADO\PEDRO GONZALEZ.doc</t>
  </si>
  <si>
    <t>C:\Users\franc\OneDrive\Documentos\MALENTIN KARIME\MANDATOS JUDICIALES\JORGE ALVARADO\OSCAR AGUIRRE FLORES.doc</t>
  </si>
  <si>
    <t>C:\Users\franc\OneDrive\Documentos\MALENTIN KARIME\MANDATOS JUDICIALES\JORGE ALVARADO\NILDA ROJAS ARAYA.doc</t>
  </si>
  <si>
    <t>C:\Users\franc\OneDrive\Documentos\MALENTIN KARIME\MANDATOS JUDICIALES\JORGE ALVARADO\MARINA VERGARA ROJAS.doc</t>
  </si>
  <si>
    <t>C:\Users\franc\OneDrive\Documentos\MALENTIN KARIME\MANDATOS JUDICIALES\JORGE ALVARADO\MARIANELA ARAYA.doc</t>
  </si>
  <si>
    <t>C:\Users\franc\OneDrive\Documentos\MALENTIN KARIME\MANDATOS JUDICIALES\JORGE ALVARADO\KARINA ZEPEDA VEGA.doc</t>
  </si>
  <si>
    <t>C:\Users\franc\OneDrive\Documentos\MALENTIN KARIME\MANDATOS JUDICIALES\JORGE ALVARADO\KAREM CORTES A Jorge Figueroa 2018.doc</t>
  </si>
  <si>
    <t>C:\Users\franc\OneDrive\Documentos\MALENTIN KARIME\MANDATOS JUDICIALES\JORGE ALVARADO\JOYSELIN CORDOVA.doc</t>
  </si>
  <si>
    <t>C:\Users\franc\OneDrive\Documentos\MALENTIN KARIME\MANDATOS JUDICIALES\JORGE ALVARADO\JOSE OLIVARES JAIME Y OTRO.doc</t>
  </si>
  <si>
    <t>C:\Users\franc\OneDrive\Documentos\MALENTIN KARIME\MANDATOS JUDICIALES\JORGE ALVARADO\JOSE CASTRO HERRERA Sociedad.doc</t>
  </si>
  <si>
    <t>C:\Users\franc\OneDrive\Documentos\MALENTIN KARIME\MANDATOS JUDICIALES\JORGE ALVARADO\HILDA MUÑOZ ALBANEZ.doc</t>
  </si>
  <si>
    <t>C:\Users\franc\OneDrive\Documentos\MALENTIN KARIME\MANDATOS JUDICIALES\JORGE ALVARADO\HECTOR GARCIA VALDIVIA.doc</t>
  </si>
  <si>
    <t>C:\Users\franc\OneDrive\Documentos\MALENTIN KARIME\MANDATOS JUDICIALES\JORGE ALVARADO\GONZALO GARCIA DE LA VEGA.doc</t>
  </si>
  <si>
    <t>C:\Users\franc\OneDrive\Documentos\MALENTIN KARIME\MANDATOS JUDICIALES\JORGE ALVARADO\FRANCISCO ARAYA.doc</t>
  </si>
  <si>
    <t>C:\Users\franc\OneDrive\Documentos\MALENTIN KARIME\MANDATOS JUDICIALES\JORGE ALVARADO\FABIAN DIAZ MUÑOZ.doc</t>
  </si>
  <si>
    <t>C:\Users\franc\OneDrive\Documentos\MALENTIN KARIME\MANDATOS JUDICIALES\JORGE ALVARADO\ESIQUEL CORTES GARCIA.doc</t>
  </si>
  <si>
    <t>C:\Users\franc\OneDrive\Documentos\MALENTIN KARIME\MANDATOS JUDICIALES\JORGE ALVARADO\ERIKA ROSALES.doc</t>
  </si>
  <si>
    <t>C:\Users\franc\OneDrive\Documentos\MALENTIN KARIME\MANDATOS JUDICIALES\JORGE ALVARADO\ELIANA MALLEGAS TAPIA.doc</t>
  </si>
  <si>
    <t>C:\Users\franc\OneDrive\Documentos\MALENTIN KARIME\MANDATOS JUDICIALES\JORGE ALVARADO\DANIEL RIVERA.doc</t>
  </si>
  <si>
    <t>C:\Users\franc\OneDrive\Documentos\MALENTIN KARIME\MANDATOS JUDICIALES\JORGE ALVARADO\ELENA AGUIRRE.doc</t>
  </si>
  <si>
    <t>C:\Users\franc\OneDrive\Documentos\MALENTIN KARIME\MANDATOS JUDICIALES\JORGE ALVARADO\CRISTIANA CODOCEO AGUIRRE.doc</t>
  </si>
  <si>
    <t>C:\Users\franc\OneDrive\Documentos\MALENTIN KARIME\MANDATOS JUDICIALES\JORGE ALVARADO\CESAR VIDELA CABELLO.doc</t>
  </si>
  <si>
    <t>C:\Users\franc\OneDrive\Documentos\MALENTIN KARIME\MANDATOS JUDICIALES\JORGE ALVARADO\CENTRO DE GESTION Y CAPACITACION DEL LIMARI LTDA.doc</t>
  </si>
  <si>
    <t>C:\Users\franc\OneDrive\Documentos\MALENTIN KARIME\MANDATOS JUDICIALES\JORGE ALVARADO\ANA GARCIA FLORES.doc</t>
  </si>
  <si>
    <t>C:\Users\franc\OneDrive\Documentos\MALENTIN KARIME\MANDATOS JUDICIALES\JORGE ALLENDE\RICARDO ALLENDE.doc</t>
  </si>
  <si>
    <t>C:\Users\franc\OneDrive\Documentos\MALENTIN KARIME\MANDATOS JUDICIALES\JORGE ALLENDE\PEDRO PIZARRO CISTERNAS.doc</t>
  </si>
  <si>
    <t>C:\Users\franc\OneDrive\Documentos\MALENTIN KARIME\MANDATOS JUDICIALES\JORGE ALLENDE\PATRICIO DIAZ DIAZ 2018.doc</t>
  </si>
  <si>
    <t>C:\Users\franc\OneDrive\Documentos\MALENTIN KARIME\MANDATOS JUDICIALES\JORGE ALLENDE\OLGA TORO.doc</t>
  </si>
  <si>
    <t>C:\Users\franc\OneDrive\Documentos\MALENTIN KARIME\MANDATOS JUDICIALES\JORGE ALLENDE\JUAN OPAZO OPAZO Y OTRO.doc</t>
  </si>
  <si>
    <t>C:\Users\franc\OneDrive\Documentos\MALENTIN KARIME\MANDATOS JUDICIALES\JORGE ALLENDE\ISRAEL VALDIVIA VALDIVIA.doc</t>
  </si>
  <si>
    <t>C:\Users\franc\OneDrive\Documentos\MALENTIN KARIME\MANDATOS JUDICIALES\JORGE ALLENDE\INVERSIONES JUAN PABLO LTDA.doc</t>
  </si>
  <si>
    <t>C:\Users\franc\OneDrive\Documentos\MALENTIN KARIME\MANDATOS JUDICIALES\JORGE ALLENDE\GLADYS  ROMERO.doc</t>
  </si>
  <si>
    <t>C:\Users\franc\OneDrive\Documentos\MALENTIN KARIME\MANDATOS JUDICIALES\JORGE ALLENDE\HERMAN AROS LOPEZ.doc</t>
  </si>
  <si>
    <t>C:\Users\franc\OneDrive\Documentos\MALENTIN KARIME\MANDATOS JUDICIALES\JORGE ALLENDE\FRANCISCO BOU VILLADA.doc</t>
  </si>
  <si>
    <t>C:\Users\franc\OneDrive\Documentos\MALENTIN KARIME\MANDATOS JUDICIALES\JORGE ALLENDE\alfalfares.doc</t>
  </si>
  <si>
    <t>C:\Users\franc\OneDrive\Documentos\MALENTIN KARIME\MANDATOS JUDICIALES\JERONIMO ROJAS\CRISTIAN PIZARRO TAPIA.doc</t>
  </si>
  <si>
    <t>C:\Users\franc\OneDrive\Documentos\MALENTIN KARIME\MANDATOS JUDICIALES\JERONIMO ROJAS\CORPORACION EDUCACIONAL.doc</t>
  </si>
  <si>
    <t>C:\Users\franc\OneDrive\Documentos\MALENTIN KARIME\MANDATOS JUDICIALES\JENNIFER\MIGUEL CASTILLO.doc</t>
  </si>
  <si>
    <t>C:\Users\franc\OneDrive\Documentos\MALENTIN KARIME\MANDATOS JUDICIALES\JENNIFER\CLAUDIA ESPINOZA.doc</t>
  </si>
  <si>
    <t>C:\Users\franc\OneDrive\Documentos\MALENTIN KARIME\MANDATOS JUDICIALES\JAME MARAMBIO DURAN\YANETT DIAZ.doc</t>
  </si>
  <si>
    <t>C:\Users\franc\OneDrive\Documentos\MALENTIN KARIME\MANDATOS JUDICIALES\JAME MARAMBIO DURAN\ROBERTO TORRES.doc</t>
  </si>
  <si>
    <t>C:\Users\franc\OneDrive\Documentos\MALENTIN KARIME\MANDATOS JUDICIALES\JAME MARAMBIO DURAN\PATRICIA SANZANA.doc</t>
  </si>
  <si>
    <t>C:\Users\franc\OneDrive\Documentos\MALENTIN KARIME\MANDATOS JUDICIALES\JAME MARAMBIO DURAN\MANUELA ROJAS.doc</t>
  </si>
  <si>
    <t>C:\Users\franc\OneDrive\Documentos\MALENTIN KARIME\MANDATOS JUDICIALES\JAME MARAMBIO DURAN\ESMERALDA  POLO NUÑEZ.docx.doc</t>
  </si>
  <si>
    <t>C:\Users\franc\OneDrive\Documentos\MALENTIN KARIME\MANDATOS JUDICIALES\JAME MARAMBIO DURAN\HUGO OLMEDO HUERAT.doc</t>
  </si>
  <si>
    <t>C:\Users\franc\OneDrive\Documentos\MALENTIN KARIME\MANDATOS JUDICIALES\JAME MARAMBIO DURAN\CLARA CONEJEROS.doc</t>
  </si>
  <si>
    <t>C:\Users\franc\OneDrive\Documentos\MALENTIN KARIME\MANDATOS JUDICIALES\JAIME MUÑOZ ALMAZAN\MINERA ALTOS PUNITAQUI A SOLEDAD FARR.doc</t>
  </si>
  <si>
    <t>C:\Users\franc\OneDrive\Documentos\MALENTIN KARIME\MANDATOS JUDICIALES\JAIME MUÑOZ ALMAZAN\MINERA ALTOS PUNITAQUI.doc</t>
  </si>
  <si>
    <t>C:\Users\franc\OneDrive\Documentos\MALENTIN KARIME\MANDATOS JUDICIALES\IVONNE SEGURA Y OTRA\CAROLINA GODOY.doc</t>
  </si>
  <si>
    <t>C:\Users\franc\OneDrive\Documentos\MALENTIN KARIME\MANDATOS JUDICIALES\INGRID NAYEM\PAMELA ROJAS A Ingrid Nayem.doc</t>
  </si>
  <si>
    <t>C:\Users\franc\OneDrive\Documentos\MALENTIN KARIME\MANDATOS JUDICIALES\INGRID NAYEM\Katherine MajmudA Ingrid Nayem.doc</t>
  </si>
  <si>
    <t>C:\Users\franc\OneDrive\Documentos\MALENTIN KARIME\MANDATOS JUDICIALES\INGRID NAYEM\DANIEL CACERES Ingrid Nayem.doc</t>
  </si>
  <si>
    <t>C:\Users\franc\OneDrive\Documentos\MALENTIN KARIME\MANDATOS JUDICIALES\INGRID NAYEM\ALBA SEGOVIA A Ingrid Nayem.doc</t>
  </si>
  <si>
    <t>C:\Users\franc\OneDrive\Documentos\MALENTIN KARIME\MANDATOS JUDICIALES\INGRID NAYEM\ALBA FUENTES A Ingrid Nayem.doc</t>
  </si>
  <si>
    <t>C:\Users\franc\OneDrive\Documentos\MALENTIN KARIME\MANDATOS JUDICIALES\HUGO DEL CAMPO\AGRICOLA SAN MARCOS.doc</t>
  </si>
  <si>
    <t>C:\Users\franc\OneDrive\Documentos\MALENTIN KARIME\MANDATOS JUDICIALES\HUGO CHAVEZ\TRES COLUMNAS.doc</t>
  </si>
  <si>
    <t>C:\Users\franc\OneDrive\Documentos\MALENTIN KARIME\MANDATOS JUDICIALES\HUGO CHAVEZ\IVAN ELGUETA CORTES.doc</t>
  </si>
  <si>
    <t>C:\Users\franc\OneDrive\Documentos\MALENTIN KARIME\MANDATOS JUDICIALES\HERNAN PEREZ\ROBERTO ROJAS 2017.doc</t>
  </si>
  <si>
    <t>C:\Users\franc\OneDrive\Documentos\MALENTIN KARIME\MANDATOS JUDICIALES\HERNAN PEREZ\RODOLFO RIVERA A Hernan Perez y Otradoc.doc</t>
  </si>
  <si>
    <t>C:\Users\franc\OneDrive\Documentos\MALENTIN KARIME\MANDATOS JUDICIALES\HERNAN PEREZ\NIVALDO FLORES EGAÑA Y SOC..doc</t>
  </si>
  <si>
    <t>C:\Users\franc\OneDrive\Documentos\MALENTIN KARIME\MANDATOS JUDICIALES\HERNAN PEREZ\MAURICIO ASTORGA.doc</t>
  </si>
  <si>
    <t>C:\Users\franc\OneDrive\Documentos\MALENTIN KARIME\MANDATOS JUDICIALES\HERNAN PEREZ\MAURICIO ASTORGA solo.doc</t>
  </si>
  <si>
    <t>C:\Users\franc\OneDrive\Documentos\MALENTIN KARIME\MANDATOS JUDICIALES\HERNAN PEREZ\MAURICIO ASTORGA ii.doc</t>
  </si>
  <si>
    <t>C:\Users\franc\OneDrive\Documentos\MALENTIN KARIME\MANDATOS JUDICIALES\HERNAN PEREZ\LUIS TAPIA ROJAS Hernan Perez y Otradoc.doc</t>
  </si>
  <si>
    <t>C:\Users\franc\OneDrive\Documentos\MALENTIN KARIME\MANDATOS JUDICIALES\HERNAN PEREZ\LUIS NORTES Y OTRA.doc</t>
  </si>
  <si>
    <t>C:\Users\franc\OneDrive\Documentos\MALENTIN KARIME\MANDATOS JUDICIALES\HERNAN PEREZ\COMUNIDAD LOS MAINTENES DE SERON.doc</t>
  </si>
  <si>
    <t>C:\Users\franc\OneDrive\Documentos\MALENTIN KARIME\MANDATOS JUDICIALES\HERNAN PEREZ\COMUNIDAD LA COIPA.doc</t>
  </si>
  <si>
    <t>C:\Users\franc\OneDrive\Documentos\MALENTIN KARIME\MANDATOS JUDICIALES\HERNAN PEREZ\COMUNIDAD CERRO BLANCO.doc</t>
  </si>
  <si>
    <t>C:\Users\franc\OneDrive\Documentos\MALENTIN KARIME\MANDATOS JUDICIALES\HERNAN PEREZ\ANGEL BRICEÑO CARVAJAL}2017.doc</t>
  </si>
  <si>
    <t>C:\Users\franc\OneDrive\Documentos\MALENTIN KARIME\MANDATOS JUDICIALES\GUILLERMO CLAVERIE BRAVO\MISAEL BUGUEÑO CASTILLO.doc</t>
  </si>
  <si>
    <t>C:\Users\franc\OneDrive\Documentos\MALENTIN KARIME\MANDATOS JUDICIALES\HERNAN PEREZ\ALEJANDRO ZEPEDA 2017.doc</t>
  </si>
  <si>
    <t>C:\Users\franc\OneDrive\Documentos\MALENTIN KARIME\MANDATOS JUDICIALES\GUILLERMO CLAVERIE BRAVO\DANIEL CORTES ROBLES.doc</t>
  </si>
  <si>
    <t>C:\Users\franc\OneDrive\Documentos\MALENTIN KARIME\MANDATOS JUDICIALES\GUILLERMO CLAVERIE BRAVO\JOSE CASTILLO.doc</t>
  </si>
  <si>
    <t>C:\Users\franc\OneDrive\Documentos\MALENTIN KARIME\MANDATOS JUDICIALES\GONZALO OÑATE\GILBERTO VILLALOBOS.doc</t>
  </si>
  <si>
    <t>C:\Users\franc\OneDrive\Documentos\MALENTIN KARIME\MANDATOS JUDICIALES\GUILLERMO CLAVERIE BRAVO\1.doc</t>
  </si>
  <si>
    <t>C:\Users\franc\OneDrive\Documentos\MALENTIN KARIME\MANDATOS JUDICIALES\GMO. CLAVERIA\ROBERTO BOZZO.doc</t>
  </si>
  <si>
    <t>C:\Users\franc\OneDrive\Documentos\MALENTIN KARIME\MANDATOS JUDICIALES\GMO. CLAVERIA\MISAEL VEGA BERRIOS.doc</t>
  </si>
  <si>
    <t>C:\Users\franc\OneDrive\Documentos\MALENTIN KARIME\MANDATOS JUDICIALES\GMO. CLAVERIA\MANDATO MODELO.doc</t>
  </si>
  <si>
    <t>C:\Users\franc\OneDrive\Documentos\MALENTIN KARIME\MANDATOS JUDICIALES\GMO. CLAVERIA\CAMILO CORTES.doc</t>
  </si>
  <si>
    <t>C:\Users\franc\OneDrive\Documentos\MALENTIN KARIME\MANDATOS JUDICIALES\GABRIEL RODRIGUEZ RAMIREZ\WASHINGTON A\REINALDO FERNANDEZ.doc</t>
  </si>
  <si>
    <t>C:\Users\franc\OneDrive\Documentos\MALENTIN KARIME\MANDATOS JUDICIALES\GABRIEL RODRIGUEZ RAMIREZ\2018\Transportes ABH Ltda..doc</t>
  </si>
  <si>
    <t>C:\Users\franc\OneDrive\Documentos\MALENTIN KARIME\MANDATOS JUDICIALES\GABRIEL RODRIGUEZ RAMIREZ\2018\ROBERTO ARAYA MONARDEZ.doc</t>
  </si>
  <si>
    <t>C:\Users\franc\OneDrive\Documentos\MALENTIN KARIME\MANDATOS JUDICIALES\GABRIEL RODRIGUEZ RAMIREZ\2018\LUIS TABILO CONTRERAS.doc</t>
  </si>
  <si>
    <t>C:\Users\franc\OneDrive\Documentos\MALENTIN KARIME\MANDATOS JUDICIALES\GABRIEL RODRIGUEZ RAMIREZ\2018\Eleccoop Mandato a Cristian Araya (1).doc</t>
  </si>
  <si>
    <t>C:\Users\franc\OneDrive\Documentos\MALENTIN KARIME\MANDATOS JUDICIALES\GABRIEL RODRIGUEZ RAMIREZ\2018\BLANCA ALFARO P.doc</t>
  </si>
  <si>
    <t>C:\Users\franc\OneDrive\Documentos\MALENTIN KARIME\MANDATOS JUDICIALES\GABRIEL RODRIGUEZ RAMIREZ\2016\VIANKA SALFATE 2017.doc</t>
  </si>
  <si>
    <t>C:\Users\franc\OneDrive\Documentos\MALENTIN KARIME\MANDATOS JUDICIALES\GABRIEL RODRIGUEZ RAMIREZ\2016\WILLIAM ESCOBAR 2018.doc</t>
  </si>
  <si>
    <t>C:\Users\franc\OneDrive\Documentos\MALENTIN KARIME\MANDATOS JUDICIALES\GABRIEL RODRIGUEZ RAMIREZ\2016\MARITZA JOFRE 2018.doc</t>
  </si>
  <si>
    <t>C:\Users\franc\OneDrive\Documentos\MALENTIN KARIME\MANDATOS JUDICIALES\GABRIEL RODRIGUEZ RAMIREZ\2016\MARIA MADARIAGA PIZARRO.doc</t>
  </si>
  <si>
    <t>C:\Users\franc\OneDrive\Documentos\MALENTIN KARIME\MANDATOS JUDICIALES\GABRIEL RODRIGUEZ RAMIREZ\2016\LAUREANO ARAYA Y OTRA.doc</t>
  </si>
  <si>
    <t>C:\Users\franc\OneDrive\Documentos\MALENTIN KARIME\MANDATOS JUDICIALES\GABRIEL RODRIGUEZ RAMIREZ\2016\JOSE MUNDACA RIVRA 2017.doc</t>
  </si>
  <si>
    <t>C:\Users\franc\OneDrive\Documentos\MALENTIN KARIME\MANDATOS JUDICIALES\GABRIEL RODRIGUEZ RAMIREZ\2016\ESTRELLA ARANCIBIA 2017.doc</t>
  </si>
  <si>
    <t>C:\Users\franc\OneDrive\Documentos\MALENTIN KARIME\MANDATOS JUDICIALES\GABRIEL RODRIGUEZ RAMIREZ\2016\AGRICOLA Y TRANSPORTES ARTURO ZEPEDA 2017.doc</t>
  </si>
  <si>
    <t>C:\Users\franc\OneDrive\Documentos\MALENTIN KARIME\MANDATOS JUDICIALES\GABRIEL RODRIGUEZ RAMIREZ\YENNY OVALLE.doc</t>
  </si>
  <si>
    <t>C:\Users\franc\OneDrive\Documentos\MALENTIN KARIME\MANDATOS JUDICIALES\GABRIEL RODRIGUEZ RAMIREZ\WASHINGTON ALTAMIRANO.doc</t>
  </si>
  <si>
    <t>C:\Users\franc\OneDrive\Documentos\MALENTIN KARIME\MANDATOS JUDICIALES\GABRIEL RODRIGUEZ RAMIREZ\SYLVANA ARAYA.doc</t>
  </si>
  <si>
    <t>C:\Users\franc\OneDrive\Documentos\MALENTIN KARIME\MANDATOS JUDICIALES\GABRIEL RODRIGUEZ RAMIREZ\ROBINSON VALENZUELA Varios abogados.doc</t>
  </si>
  <si>
    <t>C:\Users\franc\OneDrive\Documentos\MALENTIN KARIME\MANDATOS JUDICIALES\GABRIEL RODRIGUEZ RAMIREZ\RICARDO SEGOVIA.doc</t>
  </si>
  <si>
    <t>C:\Users\franc\OneDrive\Documentos\MALENTIN KARIME\MANDATOS JUDICIALES\GABRIEL RODRIGUEZ RAMIREZ\RAFAEL VALENZUELA Indep.doc</t>
  </si>
  <si>
    <t>C:\Users\franc\OneDrive\Documentos\MALENTIN KARIME\MANDATOS JUDICIALES\GABRIEL RODRIGUEZ RAMIREZ\PATRICIO CANIBILO.doc</t>
  </si>
  <si>
    <t>C:\Users\franc\OneDrive\Documentos\MALENTIN KARIME\MANDATOS JUDICIALES\GABRIEL RODRIGUEZ RAMIREZ\PABLO CORTES.doc</t>
  </si>
  <si>
    <t>C:\Users\franc\OneDrive\Documentos\MALENTIN KARIME\MANDATOS JUDICIALES\GABRIEL RODRIGUEZ RAMIREZ\ONOFRE ESPINOSA GARCIA.doc</t>
  </si>
  <si>
    <t>C:\Users\franc\OneDrive\Documentos\MALENTIN KARIME\MANDATOS JUDICIALES\GABRIEL RODRIGUEZ RAMIREZ\MIRSA BORIC.doc</t>
  </si>
  <si>
    <t>C:\Users\franc\OneDrive\Documentos\MALENTIN KARIME\MANDATOS JUDICIALES\GABRIEL RODRIGUEZ RAMIREZ\MAURICIO ARAYA  2015.doc</t>
  </si>
  <si>
    <t>C:\Users\franc\OneDrive\Documentos\MALENTIN KARIME\MANDATOS JUDICIALES\GABRIEL RODRIGUEZ RAMIREZ\MARIVA VILLALOBOS.doc</t>
  </si>
  <si>
    <t>C:\Users\franc\OneDrive\Documentos\MALENTIN KARIME\MANDATOS JUDICIALES\GABRIEL RODRIGUEZ RAMIREZ\MARIA VIDELA MUNDACA.doc</t>
  </si>
  <si>
    <t>C:\Users\franc\OneDrive\Documentos\MALENTIN KARIME\MANDATOS JUDICIALES\GABRIEL RODRIGUEZ RAMIREZ\LUIS LOYOLA LEON.doc</t>
  </si>
  <si>
    <t>C:\Users\franc\OneDrive\Documentos\MALENTIN KARIME\MANDATOS JUDICIALES\GABRIEL RODRIGUEZ RAMIREZ\LUIS MILLA Y don WASHINGTON ALTAMIRANO.doc</t>
  </si>
  <si>
    <t>C:\Users\franc\OneDrive\Documentos\MALENTIN KARIME\MANDATOS JUDICIALES\GABRIEL RODRIGUEZ RAMIREZ\JUAN LAYANA ADONES.doc</t>
  </si>
  <si>
    <t>C:\Users\franc\OneDrive\Documentos\MALENTIN KARIME\MANDATOS JUDICIALES\GABRIEL RODRIGUEZ RAMIREZ\LUIS ARAYA ROJAS.doc</t>
  </si>
  <si>
    <t>C:\Users\franc\OneDrive\Documentos\MALENTIN KARIME\MANDATOS JUDICIALES\GABRIEL RODRIGUEZ RAMIREZ\JOSE TORREJON otra direccion.doc</t>
  </si>
  <si>
    <t>C:\Users\franc\OneDrive\Documentos\MALENTIN KARIME\MANDATOS JUDICIALES\GABRIEL RODRIGUEZ RAMIREZ\JORGE RIVERA CASTILLO 2015.doc</t>
  </si>
  <si>
    <t>C:\Users\franc\OneDrive\Documentos\MALENTIN KARIME\MANDATOS JUDICIALES\GABRIEL RODRIGUEZ RAMIREZ\HUGO ARTAL AVILEZ.doc</t>
  </si>
  <si>
    <t>C:\Users\franc\OneDrive\Documentos\MALENTIN KARIME\MANDATOS JUDICIALES\GABRIEL RODRIGUEZ RAMIREZ\ELIAS ALFARO OSSANDON.doc</t>
  </si>
  <si>
    <t>C:\Users\franc\OneDrive\Documentos\MALENTIN KARIME\MANDATOS JUDICIALES\GABRIEL RODRIGUEZ RAMIREZ\GLADYS MUÑOZ OLMOS.doc</t>
  </si>
  <si>
    <t>C:\Users\franc\OneDrive\Documentos\MALENTIN KARIME\MANDATOS JUDICIALES\GABRIEL RODRIGUEZ RAMIREZ\DILEMA CASTILLO.doc</t>
  </si>
  <si>
    <t>C:\Users\franc\OneDrive\Documentos\MALENTIN KARIME\MANDATOS JUDICIALES\GABRIEL RODRIGUEZ RAMIREZ\DANILO ULLOA HIDALGO.doc</t>
  </si>
  <si>
    <t>C:\Users\franc\OneDrive\Documentos\MALENTIN KARIME\MANDATOS JUDICIALES\GABRIEL RODRIGUEZ RAMIREZ\DANIELA MANCILLA.doc</t>
  </si>
  <si>
    <t>C:\Users\franc\OneDrive\Documentos\MALENTIN KARIME\MANDATOS JUDICIALES\GABRIEL RODRIGUEZ RAMIREZ\CRISTIAN ROJAS BRUNA 2015.doc</t>
  </si>
  <si>
    <t>C:\Users\franc\OneDrive\Documentos\MALENTIN KARIME\MANDATOS JUDICIALES\GABRIEL RODRIGUEZ RAMIREZ\COSME MORALES CALDERON.doc</t>
  </si>
  <si>
    <t>C:\Users\franc\OneDrive\Documentos\MALENTIN KARIME\MANDATOS JUDICIALES\GABRIEL RODRIGUEZ RAMIREZ\COOPERATIVA CAMPESINA TULAHUEN.doc</t>
  </si>
  <si>
    <t>C:\Users\franc\OneDrive\Documentos\MALENTIN KARIME\MANDATOS JUDICIALES\GABRIEL RODRIGUEZ RAMIREZ\CLAUDIO MARQUEZ.doc</t>
  </si>
  <si>
    <t>C:\Users\franc\OneDrive\Documentos\MALENTIN KARIME\MANDATOS JUDICIALES\GABRIEL RODRIGUEZ RAMIREZ\CLAUDIO MARQUEZ  calle Carmen.doc</t>
  </si>
  <si>
    <t>C:\Users\franc\OneDrive\Documentos\MALENTIN KARIME\MANDATOS JUDICIALES\GABRIEL RODRIGUEZ RAMIREZ\CAMILA HERMOSILLA Mandato posesión efectiva.doc</t>
  </si>
  <si>
    <t>C:\Users\franc\OneDrive\Documentos\MALENTIN KARIME\MANDATOS JUDICIALES\GABRIEL RODRIGUEZ RAMIREZ\CAMEN PEÑA ZELADA.doc</t>
  </si>
  <si>
    <t>C:\Users\franc\OneDrive\Documentos\MALENTIN KARIME\MANDATOS JUDICIALES\GABRIEL RODRIGUEZ RAMIREZ\BLANCA ALFARO PIZARO 2015.doc</t>
  </si>
  <si>
    <t>C:\Users\franc\OneDrive\Documentos\MALENTIN KARIME\MANDATOS JUDICIALES\GABRIEL RODRIGUEZ RAMIREZ\BALTASAR MALUENDA.doc</t>
  </si>
  <si>
    <t>C:\Users\franc\OneDrive\Documentos\MALENTIN KARIME\MANDATOS JUDICIALES\GABRIEL RODRIGUEZ RAMIREZ\AGRICOLA FUENSANTA LTDA. Minuta.doc</t>
  </si>
  <si>
    <t>C:\Users\franc\OneDrive\Documentos\MALENTIN KARIME\MANDATOS JUDICIALES\Francisco de CLAVERIE\MICHEL LACHITT Mandato Judicial Divorcio.doc</t>
  </si>
  <si>
    <t>C:\Users\franc\OneDrive\Documentos\MALENTIN KARIME\MANDATOS JUDICIALES\Francisco de CLAVERIE\Demanda Divorcio de Común Acuerdo.Sandra.2.doc</t>
  </si>
  <si>
    <t>C:\Users\franc\OneDrive\Documentos\MALENTIN KARIME\MANDATOS JUDICIALES\Francisco de CLAVERIE\acuerdo.relaciones mutuas.doc</t>
  </si>
  <si>
    <t>C:\Users\franc\OneDrive\Documentos\MALENTIN KARIME\MANDATOS JUDICIALES\FELIX SAEZ\varios.doc</t>
  </si>
  <si>
    <t>C:\Users\franc\OneDrive\Documentos\MALENTIN KARIME\MANDATOS JUDICIALES\FELIX SAEZ\SERGIO SALAMANCA.doc</t>
  </si>
  <si>
    <t>C:\Users\franc\OneDrive\Documentos\MALENTIN KARIME\MANDATOS JUDICIALES\FELIX SAEZ\SAMUEL ENRIQUE CASTRO ROJAS A Féliz Sáez Alvayay.doc</t>
  </si>
  <si>
    <t>C:\Users\franc\OneDrive\Documentos\MALENTIN KARIME\MANDATOS JUDICIALES\FELIX SAEZ\SARA PEREZ Nuevo.doc</t>
  </si>
  <si>
    <t>C:\Users\franc\OneDrive\Documentos\MALENTIN KARIME\MANDATOS JUDICIALES\FELIX SAEZ\SAMUEL CASTRO A Féliz Sáez Alvayay.doc</t>
  </si>
  <si>
    <t>C:\Users\franc\OneDrive\Documentos\MALENTIN KARIME\MANDATOS JUDICIALES\FELIX SAEZ\SALVADOR GALLEGUILLOSvarios.doc</t>
  </si>
  <si>
    <t>C:\Users\franc\OneDrive\Documentos\MALENTIN KARIME\MANDATOS JUDICIALES\FELIX SAEZ\ROSA ARAYA VELIZ.doc</t>
  </si>
  <si>
    <t>C:\Users\franc\OneDrive\Documentos\MALENTIN KARIME\MANDATOS JUDICIALES\FELIX SAEZ\ROSA CONTRERAS A felix a don Alejandro.doc</t>
  </si>
  <si>
    <t>C:\Users\franc\OneDrive\Documentos\MALENTIN KARIME\MANDATOS JUDICIALES\FELIX SAEZ\ROBERTO CUELLO CUELLO.doc</t>
  </si>
  <si>
    <t>C:\Users\franc\OneDrive\Documentos\MALENTIN KARIME\MANDATOS JUDICIALES\FELIX SAEZ\PATRICIO CONTRERAS A Féliz Sáez Alvayay.doc</t>
  </si>
  <si>
    <t>C:\Users\franc\OneDrive\Documentos\MALENTIN KARIME\MANDATOS JUDICIALES\FELIX SAEZ\PATRICIA PONCE.doc</t>
  </si>
  <si>
    <t>C:\Users\franc\OneDrive\Documentos\MALENTIN KARIME\MANDATOS JUDICIALES\FELIX SAEZ\NARCELO CASTRO 2017 A FELIZ SAEZ (Mandato Especial Juicio de Divorcio).doc</t>
  </si>
  <si>
    <t>C:\Users\franc\OneDrive\Documentos\MALENTIN KARIME\MANDATOS JUDICIALES\FELIX SAEZ\modelo.doc</t>
  </si>
  <si>
    <t>C:\Users\franc\OneDrive\Documentos\MALENTIN KARIME\MANDATOS JUDICIALES\FELIX SAEZ\MILTHON DUARTE.doc</t>
  </si>
  <si>
    <t>C:\Users\franc\OneDrive\Documentos\MALENTIN KARIME\MANDATOS JUDICIALES\FELIX SAEZ\MILTHON DUARTE Nuevo.doc</t>
  </si>
  <si>
    <t>C:\Users\franc\OneDrive\Documentos\MALENTIN KARIME\MANDATOS JUDICIALES\FELIX SAEZ\MARIA RODRIGUEZ.doc</t>
  </si>
  <si>
    <t>C:\Users\franc\OneDrive\Documentos\MALENTIN KARIME\MANDATOS JUDICIALES\FELIX SAEZ\JORGE RIQUELME Y OTRO.doc</t>
  </si>
  <si>
    <t>C:\Users\franc\OneDrive\Documentos\MALENTIN KARIME\MANDATOS JUDICIALES\FELIX SAEZ\JOSE CONTRERAS Y OTRA.doc</t>
  </si>
  <si>
    <t>C:\Users\franc\OneDrive\Documentos\MALENTIN KARIME\MANDATOS JUDICIALES\FELIX SAEZ\JORGE HIDALGO RAMOS.doc</t>
  </si>
  <si>
    <t>C:\Users\franc\OneDrive\Documentos\MALENTIN KARIME\MANDATOS JUDICIALES\FELIX SAEZ\JONHATAN BORQUEZ 2015.doc</t>
  </si>
  <si>
    <t>C:\Users\franc\OneDrive\Documentos\MALENTIN KARIME\MANDATOS JUDICIALES\FELIX SAEZ\JOHANNA PIZARRO CORTES.doc</t>
  </si>
  <si>
    <t>C:\Users\franc\OneDrive\Documentos\MALENTIN KARIME\MANDATOS JUDICIALES\FELIX SAEZ\HECTOR OMAR MEDALLA MEDALLA Mandato.doc</t>
  </si>
  <si>
    <t>C:\Users\franc\OneDrive\Documentos\MALENTIN KARIME\MANDATOS JUDICIALES\FELIX SAEZ\GERALD BELLENGER 2015.doc</t>
  </si>
  <si>
    <t>C:\Users\franc\OneDrive\Documentos\MALENTIN KARIME\MANDATOS JUDICIALES\FELIX SAEZ\GASPAR FARIA ORTEGA.doc</t>
  </si>
  <si>
    <t>C:\Users\franc\OneDrive\Documentos\MALENTIN KARIME\MANDATOS JUDICIALES\FELIX SAEZ\DIONISIO ALARCON.doc</t>
  </si>
  <si>
    <t>C:\Users\franc\OneDrive\Documentos\MALENTIN KARIME\MANDATOS JUDICIALES\FELIX SAEZ\especial.doc</t>
  </si>
  <si>
    <t>C:\Users\franc\OneDrive\Documentos\MALENTIN KARIME\MANDATOS JUDICIALES\FELIX SAEZ\DIEGO GUTIERREZ.doc</t>
  </si>
  <si>
    <t>C:\Users\franc\OneDrive\Documentos\MALENTIN KARIME\MANDATOS JUDICIALES\FELIX SAEZ\CLAUDIO ARAYA.doc</t>
  </si>
  <si>
    <t>C:\Users\franc\OneDrive\Documentos\MALENTIN KARIME\MANDATOS JUDICIALES\FELIX SAEZ\CAROLINA VALDIVIA.doc</t>
  </si>
  <si>
    <t>C:\Users\franc\OneDrive\Documentos\MALENTIN KARIME\MANDATOS JUDICIALES\FELIX SAEZ\ALEJANDRO CORTES 2017.doc</t>
  </si>
  <si>
    <t>C:\Users\franc\OneDrive\Documentos\MALENTIN KARIME\MANDATOS JUDICIALES\FELIX SAEZ\2019.doc</t>
  </si>
  <si>
    <t>C:\Users\franc\OneDrive\Documentos\MALENTIN KARIME\MANDATOS JUDICIALES\FELIPE BRAVO ALBORNOZ\CRISTIAN PEREZ ESCOBAR.doc</t>
  </si>
  <si>
    <t>C:\Users\franc\OneDrive\Documentos\MALENTIN KARIME\MANDATOS JUDICIALES\FELIPE BRAVO ALBORNOZ\INVERSIONES ESCOBAR LTDA..doc</t>
  </si>
  <si>
    <t>C:\Users\franc\OneDrive\Documentos\MALENTIN KARIME\MANDATOS JUDICIALES\FELIPE BARRIOS CALLEJAS\WLATER VEGA 2019.doc</t>
  </si>
  <si>
    <t>C:\Users\franc\OneDrive\Documentos\MALENTIN KARIME\MANDATOS JUDICIALES\FELIPE BARRIOS CALLEJAS\MARIO PEREZ MUÑOZ.doc</t>
  </si>
  <si>
    <t>C:\Users\franc\OneDrive\Documentos\MALENTIN KARIME\MANDATOS JUDICIALES\FELIPE BARRIOS CALLEJAS\NATALIA ERICES.doc</t>
  </si>
  <si>
    <t>C:\Users\franc\OneDrive\Documentos\MALENTIN KARIME\MANDATOS JUDICIALES\FELIPE BARRIOS CALLEJAS\Juicio divorciodoc.doc</t>
  </si>
  <si>
    <t>C:\Users\franc\OneDrive\Documentos\MALENTIN KARIME\MANDATOS JUDICIALES\FELIPE BARRIOS CALLEJAS\KARINE ALVARADO 2020.doc</t>
  </si>
  <si>
    <t>C:\Users\franc\OneDrive\Documentos\MALENTIN KARIME\MANDATOS JUDICIALES\FELIPE BARRIOS CALLEJAS\GERALD FARIAS 2020.doc</t>
  </si>
  <si>
    <t>C:\Users\franc\OneDrive\Documentos\MALENTIN KARIME\MANDATOS JUDICIALES\FELIPE BARRIOS CALLEJAS\ERIC PINTO.doc</t>
  </si>
  <si>
    <t>C:\Users\franc\OneDrive\Documentos\MALENTIN KARIME\MANDATOS JUDICIALES\FELIPE BARRIOS CALLEJAS\DERLINDA ALVAREZ.doc</t>
  </si>
  <si>
    <t>C:\Users\franc\OneDrive\Documentos\MALENTIN KARIME\MANDATOS JUDICIALES\FELIPE BARRIOS CALLEJAS\CONNIE PAZ Juicio divorciodoc.doc</t>
  </si>
  <si>
    <t>C:\Users\franc\OneDrive\Documentos\MALENTIN KARIME\MANDATOS JUDICIALES\FELIPE BARRIOS CALLEJAS\CELINDA CONTRERAS.doc</t>
  </si>
  <si>
    <t>C:\Users\franc\OneDrive\Documentos\MALENTIN KARIME\MANDATOS JUDICIALES\FELIPE BARRIOS CALLEJAS\CAMILA ALVARADO CASTRO 2021.doc</t>
  </si>
  <si>
    <t>C:\Users\franc\OneDrive\Documentos\MALENTIN KARIME\MANDATOS JUDICIALES\FELIPE ALAMO BARRIOS\SOC. AGRICOLA LOS ALAMOS.doc</t>
  </si>
  <si>
    <t>C:\Users\franc\OneDrive\Documentos\MALENTIN KARIME\MANDATOS JUDICIALES\FELIPE ALAMO BARRIOS\RODRIGO JARA OVALLE Comsat.doc</t>
  </si>
  <si>
    <t>C:\Users\franc\OneDrive\Documentos\MALENTIN KARIME\MANDATOS JUDICIALES\FELIPE ALAMO BARRIOS\RODRIGO JARA OVALLE Comsat BORRADOR.doc</t>
  </si>
  <si>
    <t>C:\Users\franc\OneDrive\Documentos\MALENTIN KARIME\MANDATOS JUDICIALES\EVELYN PINTO\FRANCISCO CATALDO.doc</t>
  </si>
  <si>
    <t>C:\Users\franc\OneDrive\Documentos\MALENTIN KARIME\MANDATOS JUDICIALES\FELIPE ALAMO BARRIOS\GABRIEL TOLEDO.doc</t>
  </si>
  <si>
    <t>C:\Users\franc\OneDrive\Documentos\MALENTIN KARIME\MANDATOS JUDICIALES\EUGENIO RIVAS\2019\ORLAN CAMINADA 2019.doc</t>
  </si>
  <si>
    <t>C:\Users\franc\OneDrive\Documentos\MALENTIN KARIME\MANDATOS JUDICIALES\EUGENIO RIVAS\2016\ULISES GALLARDO 2017.doc</t>
  </si>
  <si>
    <t>C:\Users\franc\OneDrive\Documentos\MALENTIN KARIME\MANDATOS JUDICIALES\EUGENIO RIVAS\2016\SOCIEDAD SILVA Y CLARKE LIMITADA.doc</t>
  </si>
  <si>
    <t>C:\Users\franc\OneDrive\Documentos\MALENTIN KARIME\MANDATOS JUDICIALES\EUGENIO RIVAS\2016\SIMON VARGAS.doc</t>
  </si>
  <si>
    <t>C:\Users\franc\OneDrive\Documentos\MALENTIN KARIME\MANDATOS JUDICIALES\EUGENIO RIVAS\2016\ROSA RODRIGUEZ CONTRERAS.doc</t>
  </si>
  <si>
    <t>C:\Users\franc\OneDrive\Documentos\MALENTIN KARIME\MANDATOS JUDICIALES\EUGENIO RIVAS\2016\RENE CONTRERAS 2017.doc</t>
  </si>
  <si>
    <t>C:\Users\franc\OneDrive\Documentos\MALENTIN KARIME\MANDATOS JUDICIALES\EUGENIO RIVAS\2016\PABLA OSSANDON 2017.doc</t>
  </si>
  <si>
    <t>C:\Users\franc\OneDrive\Documentos\MALENTIN KARIME\MANDATOS JUDICIALES\EUGENIO RIVAS\2016\luis torrejon.doc</t>
  </si>
  <si>
    <t>C:\Users\franc\OneDrive\Documentos\MALENTIN KARIME\MANDATOS JUDICIALES\EUGENIO RIVAS\2016\MARIELA CLARKE.doc</t>
  </si>
  <si>
    <t>C:\Users\franc\OneDrive\Documentos\MALENTIN KARIME\MANDATOS JUDICIALES\EUGENIO RIVAS\2016\JANDRY CASTILLO.doc</t>
  </si>
  <si>
    <t>C:\Users\franc\OneDrive\Documentos\MALENTIN KARIME\MANDATOS JUDICIALES\EUGENIO RIVAS\2016\JAIME ARDILES ARDILES Y OTROS.doc</t>
  </si>
  <si>
    <t>C:\Users\franc\OneDrive\Documentos\MALENTIN KARIME\MANDATOS JUDICIALES\EUGENIO RIVAS\2016\EDITH GILIOLA ORTIZ COLLAO.doc</t>
  </si>
  <si>
    <t>C:\Users\franc\OneDrive\Documentos\MALENTIN KARIME\MANDATOS JUDICIALES\EUGENIO RIVAS\2016\CRISTIAN RODRIGUEZ MUÑOZ 2017.doc</t>
  </si>
  <si>
    <t>C:\Users\franc\OneDrive\Documentos\MALENTIN KARIME\MANDATOS JUDICIALES\EUGENIO RIVAS\2016\COM AGRICOLA LOS HUASCO ALTINOS.doc</t>
  </si>
  <si>
    <t>C:\Users\franc\OneDrive\Documentos\MALENTIN KARIME\MANDATOS JUDICIALES\EUGENIO RIVAS\2016\COMUNIDAD PUNITAQUI.doc</t>
  </si>
  <si>
    <t>C:\Users\franc\OneDrive\Documentos\MALENTIN KARIME\MANDATOS JUDICIALES\EUGENIO RIVAS\2016\ALBINA ROJAS ARAYA 2018.doc</t>
  </si>
  <si>
    <t>C:\Users\franc\OneDrive\Documentos\MALENTIN KARIME\MANDATOS JUDICIALES\EUGENIO RIVAS\WILFREDO CAMPOS.doc</t>
  </si>
  <si>
    <t>C:\Users\franc\OneDrive\Documentos\MALENTIN KARIME\MANDATOS JUDICIALES\EUGENIO RIVAS\SORAYA ALAMO Minuta.doc</t>
  </si>
  <si>
    <t>C:\Users\franc\OneDrive\Documentos\MALENTIN KARIME\MANDATOS JUDICIALES\EUGENIO RIVAS\SOCIEDAD SILVA Y CLARKE LTDA..doc</t>
  </si>
  <si>
    <t>C:\Users\franc\OneDrive\Documentos\MALENTIN KARIME\MANDATOS JUDICIALES\EUGENIO RIVAS\SOCIEDAD INMOBILIARIA FARIVAR Especial no judicial.doc</t>
  </si>
  <si>
    <t>C:\Users\franc\OneDrive\Documentos\MALENTIN KARIME\MANDATOS JUDICIALES\EUGENIO RIVAS\ROSA PUELLES.doc</t>
  </si>
  <si>
    <t>C:\Users\franc\OneDrive\Documentos\MALENTIN KARIME\MANDATOS JUDICIALES\EUGENIO RIVAS\ROBERT VEAS SANTIBAÑEZ.doc</t>
  </si>
  <si>
    <t>C:\Users\franc\OneDrive\Documentos\MALENTIN KARIME\MANDATOS JUDICIALES\EUGENIO RIVAS\richard cuno.doc</t>
  </si>
  <si>
    <t>C:\Users\franc\OneDrive\Documentos\MALENTIN KARIME\MANDATOS JUDICIALES\EUGENIO RIVAS\RENE MIRANDA.doc</t>
  </si>
  <si>
    <t>C:\Users\franc\OneDrive\Documentos\MALENTIN KARIME\MANDATOS JUDICIALES\EUGENIO RIVAS\OLGA BUGUEÑO MUÑOZ.doc</t>
  </si>
  <si>
    <t>C:\Users\franc\OneDrive\Documentos\MALENTIN KARIME\MANDATOS JUDICIALES\EUGENIO RIVAS\PEDRO CASTILLO.doc</t>
  </si>
  <si>
    <t>C:\Users\franc\OneDrive\Documentos\MALENTIN KARIME\MANDATOS JUDICIALES\EUGENIO RIVAS\MARIA LATORRE.doc</t>
  </si>
  <si>
    <t>C:\Users\franc\OneDrive\Documentos\MALENTIN KARIME\MANDATOS JUDICIALES\EUGENIO RIVAS\JOEL LAGUNAS.doc</t>
  </si>
  <si>
    <t>C:\Users\franc\OneDrive\Documentos\MALENTIN KARIME\MANDATOS JUDICIALES\EUGENIO RIVAS\JULIO CARVAJAL.doc</t>
  </si>
  <si>
    <t>C:\Users\franc\OneDrive\Documentos\MALENTIN KARIME\MANDATOS JUDICIALES\EUGENIO RIVAS\ISAIRA ANGEL DIAZ.doc</t>
  </si>
  <si>
    <t>C:\Users\franc\OneDrive\Documentos\MALENTIN KARIME\MANDATOS JUDICIALES\EUGENIO RIVAS\ISRAEL PEREIRA VILLALOBOS.doc</t>
  </si>
  <si>
    <t>C:\Users\franc\OneDrive\Documentos\MALENTIN KARIME\MANDATOS JUDICIALES\EUGENIO RIVAS\FELIX PIZARRO.doc</t>
  </si>
  <si>
    <t>C:\Users\franc\OneDrive\Documentos\MALENTIN KARIME\MANDATOS JUDICIALES\EUGENIO RIVAS\HERNAN CORTES.doc</t>
  </si>
  <si>
    <t>C:\Users\franc\OneDrive\Documentos\MALENTIN KARIME\MANDATOS JUDICIALES\EUGENIO RIVAS\BORIS JIMENEZ BORQUEZ Especial.doc</t>
  </si>
  <si>
    <t>C:\Users\franc\OneDrive\Documentos\MALENTIN KARIME\MANDATOS JUDICIALES\EUGENIO RIVAS\DAGOBERTO VEGA TORO.doc</t>
  </si>
  <si>
    <t>C:\Users\franc\OneDrive\Documentos\MALENTIN KARIME\MANDATOS JUDICIALES\EUGENIO RIVAS\BELLA ALBANEZ.doc</t>
  </si>
  <si>
    <t>C:\Users\franc\OneDrive\Documentos\MALENTIN KARIME\MANDATOS JUDICIALES\EUGENIO RIVAS\ACADEMIA DE FUTBOL.doc</t>
  </si>
  <si>
    <t>C:\Users\franc\OneDrive\Documentos\MALENTIN KARIME\MANDATOS JUDICIALES\EUGENIO RIVAS\ANDREA CAPDEVILA.doc</t>
  </si>
  <si>
    <t>C:\Users\franc\OneDrive\Documentos\MALENTIN KARIME\MANDATOS JUDICIALES\EUGENIO RIVAS\ACADEMIA DE FUTBOL 3.doc</t>
  </si>
  <si>
    <t>C:\Users\franc\OneDrive\Documentos\MALENTIN KARIME\MANDATOS JUDICIALES\EUGENIO RIVAS\ACADEMIA DE FUTBOL 2.doc</t>
  </si>
  <si>
    <t>C:\Users\franc\OneDrive\Documentos\MALENTIN KARIME\MANDATOS JUDICIALES\EUGENIO RIVAS\ACADEMIA DE FUTBOL 2 cambios.doc</t>
  </si>
  <si>
    <t>C:\Users\franc\OneDrive\Documentos\MALENTIN KARIME\MANDATOS JUDICIALES\EUGENIO RIVAS\ABEL VEGA BERRIOS.doc</t>
  </si>
  <si>
    <t>C:\Users\franc\OneDrive\Documentos\MALENTIN KARIME\MANDATOS JUDICIALES\EUGENIO CORTES CAROCA\SANTA OLIVA SpA Rodrigo Jara.doc</t>
  </si>
  <si>
    <t>C:\Users\franc\OneDrive\Documentos\MALENTIN KARIME\MANDATOS JUDICIALES\ESPECIAL DIVORCIO\RAMON CORTES VEGA.doc</t>
  </si>
  <si>
    <t>C:\Users\franc\OneDrive\Documentos\MALENTIN KARIME\MANDATOS JUDICIALES\E-MAIL\JUAN ADAOS A CLAUDIO CONEJEROS.doc</t>
  </si>
  <si>
    <t>C:\Users\franc\OneDrive\Documentos\MALENTIN KARIME\MANDATOS JUDICIALES\DOMINIK URQUIETA\VIANKA CARVAJAL.docx</t>
  </si>
  <si>
    <t>C:\Users\franc\OneDrive\Documentos\MALENTIN KARIME\MANDATOS JUDICIALES\DIEGO SEVERIN\VERONICA JORQUERA.doc</t>
  </si>
  <si>
    <t>C:\Users\franc\OneDrive\Documentos\MALENTIN KARIME\MANDATOS JUDICIALES\DIEGO SEVERIN\not_rcabreraalb_Copia Escritura - MANDATO JUDICIAL_123456805790.pdf</t>
  </si>
  <si>
    <t>C:\Users\franc\OneDrive\Documentos\MALENTIN KARIME\MANDATOS JUDICIALES\DIEGO SEVERIN\MAURICIO ROJAS del correo.docx</t>
  </si>
  <si>
    <t>C:\Users\franc\OneDrive\Documentos\MALENTIN KARIME\MANDATOS JUDICIALES\DIEGO SEVERIN\MAURICIO ROJAS A RAUL RIVERA.doc</t>
  </si>
  <si>
    <t>C:\Users\franc\OneDrive\Documentos\MALENTIN KARIME\MANDATOS JUDICIALES\DIEGO SEVERIN\GUACOLDA MUNDACA.doc</t>
  </si>
  <si>
    <t>C:\Users\franc\OneDrive\Documentos\MALENTIN KARIME\MANDATOS JUDICIALES\DAVID TAPIA ARAYA\IRIS PIZARRO CERECEDA Interdiccion.doc</t>
  </si>
  <si>
    <t>C:\Users\franc\OneDrive\Documentos\MALENTIN KARIME\MANDATOS JUDICIALES\DAVID GALAZ\CLAUDIA LABARCA.doc</t>
  </si>
  <si>
    <t>C:\Users\franc\OneDrive\Documentos\MALENTIN KARIME\MANDATOS JUDICIALES\CRISTIAN ZEPEDA RODRIGUEZ\MODELO.doc</t>
  </si>
  <si>
    <t>C:\Users\franc\OneDrive\Documentos\MALENTIN KARIME\MANDATOS JUDICIALES\CRISTIAN ZEPEDA RODRIGUEZ\MANUEL ROJAS BERRIOS.doc</t>
  </si>
  <si>
    <t>C:\Users\franc\OneDrive\Documentos\MALENTIN KARIME\MANDATOS JUDICIALES\CRISTIAN ZEPEDA RODRIGUEZ\LINA ROBLES CARVAJAL 2018.doc</t>
  </si>
  <si>
    <t>C:\Users\franc\OneDrive\Documentos\MALENTIN KARIME\MANDATOS JUDICIALES\CRISTIAN ZEPEDA RODRIGUEZ\ANA GALLARDO DIAZ 2017.doc</t>
  </si>
  <si>
    <t>C:\Users\franc\OneDrive\Documentos\MALENTIN KARIME\MANDATOS JUDICIALES\CRISTIAN ZEPEA\ROBERTO PONCE TELLO 2018.doc</t>
  </si>
  <si>
    <t>C:\Users\franc\OneDrive\Documentos\MALENTIN KARIME\MANDATOS JUDICIALES\CRISTIAN ZEPEA\GARY ASTUDILLO.doc</t>
  </si>
  <si>
    <t>C:\Users\franc\OneDrive\Documentos\MALENTIN KARIME\MANDATOS JUDICIALES\CRISTIAN VALDES Arica\NANCY CARVAJAL.doc</t>
  </si>
  <si>
    <t>C:\Users\franc\OneDrive\Documentos\MALENTIN KARIME\MANDATOS JUDICIALES\CLAUDIO ARDILES\2016\RAUL GARCIA CONTRERAS a Sergio Pizarro.doc</t>
  </si>
  <si>
    <t>C:\Users\franc\OneDrive\Documentos\MALENTIN KARIME\MANDATOS JUDICIALES\CLAUDIO ARDILES\2016\RAUL GARCIA CONTRERAAS.doc</t>
  </si>
  <si>
    <t>C:\Users\franc\OneDrive\Documentos\MALENTIN KARIME\MANDATOS JUDICIALES\CLAUDIO ARDILES\2016\AGROC. y Ganadera Loma Larga.doc</t>
  </si>
  <si>
    <t>C:\Users\franc\OneDrive\Documentos\MALENTIN KARIME\MANDATOS JUDICIALES\CLAUDIO ARDILES\2015\pilar michea gallardo.doc</t>
  </si>
  <si>
    <t>C:\Users\franc\OneDrive\Documentos\MALENTIN KARIME\MANDATOS JUDICIALES\CLAUDIO ARDILES\ZENADIA DIAZ Divorcio+.doc</t>
  </si>
  <si>
    <t>C:\Users\franc\OneDrive\Documentos\MALENTIN KARIME\MANDATOS JUDICIALES\CLAUDIO ARDILES\YESSENIA VERENICE RAMIREZ MUNIZAGA.doc</t>
  </si>
  <si>
    <t>C:\Users\franc\OneDrive\Documentos\MALENTIN KARIME\MANDATOS JUDICIALES\CLAUDIO ARDILES\VERONICA PASTEN JERALDO.doc</t>
  </si>
  <si>
    <t>C:\Users\franc\OneDrive\Documentos\MALENTIN KARIME\MANDATOS JUDICIALES\CLAUDIO ARDILES\VERONICA JORQUERA.doc</t>
  </si>
  <si>
    <t>C:\Users\franc\OneDrive\Documentos\MALENTIN KARIME\MANDATOS JUDICIALES\CLAUDIO ARDILES\TRANSPORTES FLECHAS DEL NORTE.doc</t>
  </si>
  <si>
    <t>C:\Users\franc\OneDrive\Documentos\MALENTIN KARIME\MANDATOS JUDICIALES\CLAUDIO ARDILES\SOCIEDAD CARNES LOMA LARGA COMPAÑIA LIMITADA.doc</t>
  </si>
  <si>
    <t>C:\Users\franc\OneDrive\Documentos\MALENTIN KARIME\MANDATOS JUDICIALES\CLAUDIO ARDILES\rut ARCE.doc</t>
  </si>
  <si>
    <t>C:\Users\franc\OneDrive\Documentos\MALENTIN KARIME\MANDATOS JUDICIALES\CLAUDIO ARDILES\SERGIO FINSCHI 2017.doc</t>
  </si>
  <si>
    <t>C:\Users\franc\OneDrive\Documentos\MALENTIN KARIME\MANDATOS JUDICIALES\CLAUDIO ARDILES\RICARDO VEGA.doc</t>
  </si>
  <si>
    <t>C:\Users\franc\OneDrive\Documentos\MALENTIN KARIME\MANDATOS JUDICIALES\CLAUDIO ARDILES\RENALDO TAPIA ARAVENA.doc</t>
  </si>
  <si>
    <t>C:\Users\franc\OneDrive\Documentos\MALENTIN KARIME\MANDATOS JUDICIALES\CLAUDIO ARDILES\PEDRO SIERRA MOYA.doc</t>
  </si>
  <si>
    <t>C:\Users\franc\OneDrive\Documentos\MALENTIN KARIME\MANDATOS JUDICIALES\CLAUDIO ARDILES\NICOLAS BARRAZA.doc</t>
  </si>
  <si>
    <t>C:\Users\franc\OneDrive\Documentos\MALENTIN KARIME\MANDATOS JUDICIALES\CLAUDIO ARDILES\PABLO TAPIA CASTELLANO.doc</t>
  </si>
  <si>
    <t>C:\Users\franc\OneDrive\Documentos\MALENTIN KARIME\MANDATOS JUDICIALES\CLAUDIO ARDILES\MIGUEL VERA SAAVEDRA.doc</t>
  </si>
  <si>
    <t>C:\Users\franc\OneDrive\Documentos\MALENTIN KARIME\MANDATOS JUDICIALES\CLAUDIO ARDILES\MIGUEL AGUIRRE ADONES.doc</t>
  </si>
  <si>
    <t>C:\Users\franc\OneDrive\Documentos\MALENTIN KARIME\MANDATOS JUDICIALES\CLAUDIO ARDILES\MAURO GALLEGUILLOS.doc</t>
  </si>
  <si>
    <t>C:\Users\franc\OneDrive\Documentos\MALENTIN KARIME\MANDATOS JUDICIALES\CLAUDIO ARDILES\MAURO GALLEGUILLOS 14.doc</t>
  </si>
  <si>
    <t>C:\Users\franc\OneDrive\Documentos\MALENTIN KARIME\MANDATOS JUDICIALES\CLAUDIO ARDILES\MARIO CARVAJAL SAAVEDRA.doc</t>
  </si>
  <si>
    <t>C:\Users\franc\OneDrive\Documentos\MALENTIN KARIME\MANDATOS JUDICIALES\CLAUDIO ARDILES\MARIANELA RIVERA.doc</t>
  </si>
  <si>
    <t>C:\Users\franc\OneDrive\Documentos\MALENTIN KARIME\MANDATOS JUDICIALES\CLAUDIO ARDILES\MARIA PINOCHET PALTA.doc</t>
  </si>
  <si>
    <t>C:\Users\franc\OneDrive\Documentos\MALENTIN KARIME\MANDATOS JUDICIALES\CLAUDIO ARDILES\MANUEL TELLO ANDRADE.doc</t>
  </si>
  <si>
    <t>C:\Users\franc\OneDrive\Documentos\MALENTIN KARIME\MANDATOS JUDICIALES\CLAUDIO ARDILES\MARCO ANTONIO ARAYA CASTILLO.doc</t>
  </si>
  <si>
    <t>C:\Users\franc\OneDrive\Documentos\MALENTIN KARIME\MANDATOS JUDICIALES\CLAUDIO ARDILES\LOREN PERZ GUERRA.doc</t>
  </si>
  <si>
    <t>C:\Users\franc\OneDrive\Documentos\MALENTIN KARIME\MANDATOS JUDICIALES\CLAUDIO ARDILES\KURT CONTRERAS.doc</t>
  </si>
  <si>
    <t>C:\Users\franc\OneDrive\Documentos\MALENTIN KARIME\MANDATOS JUDICIALES\CLAUDIO ARDILES\LEONARDO ALLENDE.doc</t>
  </si>
  <si>
    <t>C:\Users\franc\OneDrive\Documentos\MALENTIN KARIME\MANDATOS JUDICIALES\CLAUDIO ARDILES\KURT CONTRERAS CORTES.doc</t>
  </si>
  <si>
    <t>C:\Users\franc\OneDrive\Documentos\MALENTIN KARIME\MANDATOS JUDICIALES\CLAUDIO ARDILES\KURT CONTRERAS CORTES 3.doc</t>
  </si>
  <si>
    <t>C:\Users\franc\OneDrive\Documentos\MALENTIN KARIME\MANDATOS JUDICIALES\CLAUDIO ARDILES\JULIAN DIAZ.doc</t>
  </si>
  <si>
    <t>C:\Users\franc\OneDrive\Documentos\MALENTIN KARIME\MANDATOS JUDICIALES\CLAUDIO ARDILES\JUAN FLORES MEDALLA.doc</t>
  </si>
  <si>
    <t>C:\Users\franc\OneDrive\Documentos\MALENTIN KARIME\MANDATOS JUDICIALES\CLAUDIO ARDILES\jaime tapia lopez.doc</t>
  </si>
  <si>
    <t>C:\Users\franc\OneDrive\Documentos\MALENTIN KARIME\MANDATOS JUDICIALES\CLAUDIO ARDILES\IVAN CARMONA MALUENDA.doc</t>
  </si>
  <si>
    <t>C:\Users\franc\OneDrive\Documentos\MALENTIN KARIME\MANDATOS JUDICIALES\CLAUDIO ARDILES\ISRAEL VALDIVIA.doc</t>
  </si>
  <si>
    <t>C:\Users\franc\OneDrive\Documentos\MALENTIN KARIME\MANDATOS JUDICIALES\CLAUDIO ARDILES\HERNAN PEREIRA ARAYA.doc</t>
  </si>
  <si>
    <t>C:\Users\franc\OneDrive\Documentos\MALENTIN KARIME\MANDATOS JUDICIALES\CLAUDIO ARDILES\HECTOR ROJAS CORTES.doc</t>
  </si>
  <si>
    <t>C:\Users\franc\OneDrive\Documentos\MALENTIN KARIME\MANDATOS JUDICIALES\CLAUDIO ARDILES\GENESIS LATORRE.doc</t>
  </si>
  <si>
    <t>C:\Users\franc\OneDrive\Documentos\MALENTIN KARIME\MANDATOS JUDICIALES\CLAUDIO ARDILES\GARY ARACENA ARAYA.doc</t>
  </si>
  <si>
    <t>C:\Users\franc\OneDrive\Documentos\MALENTIN KARIME\MANDATOS JUDICIALES\CLAUDIO ARDILES\GABRIEL ARDILES TAPIA.doc</t>
  </si>
  <si>
    <t>C:\Users\franc\OneDrive\Documentos\MALENTIN KARIME\MANDATOS JUDICIALES\CLAUDIO ARDILES\FAIRY TELLO COLLAO.doc</t>
  </si>
  <si>
    <t>C:\Users\franc\OneDrive\Documentos\MALENTIN KARIME\MANDATOS JUDICIALES\CLAUDIO ARDILES\FABIOLA TAPIA RAMIREZ.doc</t>
  </si>
  <si>
    <t>C:\Users\franc\OneDrive\Documentos\MALENTIN KARIME\MANDATOS JUDICIALES\CLAUDIO ARDILES\ERIC CONTRERAS FLORES.doc</t>
  </si>
  <si>
    <t>C:\Users\franc\OneDrive\Documentos\MALENTIN KARIME\MANDATOS JUDICIALES\CLAUDIO ARDILES\ERIC ALVAREZ HUERTA.doc</t>
  </si>
  <si>
    <t>C:\Users\franc\OneDrive\Documentos\MALENTIN KARIME\MANDATOS JUDICIALES\CLAUDIO ARDILES\ELSA GALLEGUILLOS.doc</t>
  </si>
  <si>
    <t>C:\Users\franc\OneDrive\Documentos\MALENTIN KARIME\MANDATOS JUDICIALES\CLAUDIO ARDILES\EDUARDO GALLEGUILOS A Peter Tapia.doc</t>
  </si>
  <si>
    <t>C:\Users\franc\OneDrive\Documentos\MALENTIN KARIME\MANDATOS JUDICIALES\CLAUDIO ARDILES\EDITH MUÑOZ 2015.doc</t>
  </si>
  <si>
    <t>C:\Users\franc\OneDrive\Documentos\MALENTIN KARIME\MANDATOS JUDICIALES\CLAUDIO ARDILES\DINA CASTRO CORTES.doc</t>
  </si>
  <si>
    <t>C:\Users\franc\OneDrive\Documentos\MALENTIN KARIME\MANDATOS JUDICIALES\CLAUDIO ARDILES\DIOMEDES ROJAS ARAYA.doc</t>
  </si>
  <si>
    <t>C:\Users\franc\OneDrive\Documentos\MALENTIN KARIME\MANDATOS JUDICIALES\CLAUDIO ARDILES\DELIA TELLO CORTES.doc</t>
  </si>
  <si>
    <t>C:\Users\franc\OneDrive\Documentos\MALENTIN KARIME\MANDATOS JUDICIALES\CLAUDIO ARDILES\CIPRIANO SALAZAR FERNANDEZ.doc</t>
  </si>
  <si>
    <t>C:\Users\franc\OneDrive\Documentos\MALENTIN KARIME\MANDATOS JUDICIALES\CLAUDIO ARDILES\DANIELA HUERTA.doc</t>
  </si>
  <si>
    <t>C:\Users\franc\OneDrive\Documentos\MALENTIN KARIME\MANDATOS JUDICIALES\CLAUDIO ARDILES\CESAR DIAZ CORTES.doc</t>
  </si>
  <si>
    <t>C:\Users\franc\OneDrive\Documentos\MALENTIN KARIME\MANDATOS JUDICIALES\CLAUDIO ARDILES\CARMEN GUERRERO GUERRERO.doc</t>
  </si>
  <si>
    <t>C:\Users\franc\OneDrive\Documentos\MALENTIN KARIME\MANDATOS JUDICIALES\CLAUDIO ARDILES\CAROLINA DIAZ BOLADOS.doc</t>
  </si>
  <si>
    <t>C:\Users\franc\OneDrive\Documentos\MALENTIN KARIME\MANDATOS JUDICIALES\CLAUDIO ARDILES\CARLOS ROJAS SALINAS.doc</t>
  </si>
  <si>
    <t>C:\Users\franc\OneDrive\Documentos\MALENTIN KARIME\MANDATOS JUDICIALES\CLAUDIO ARDILES\CARLOS GAMBOA PASTEN.doc</t>
  </si>
  <si>
    <t>C:\Users\franc\OneDrive\Documentos\MALENTIN KARIME\MANDATOS JUDICIALES\CLAUDIO ARDILES\BRICILA POBLETE.doc</t>
  </si>
  <si>
    <t>C:\Users\franc\OneDrive\Documentos\MALENTIN KARIME\MANDATOS JUDICIALES\CLAUDIO ARDILES\BRANDON MARIN ZEPEDA.doc</t>
  </si>
  <si>
    <t>C:\Users\franc\OneDrive\Documentos\MALENTIN KARIME\MANDATOS JUDICIALES\CLAUDIO ARDILES\ARTURO LARA CASANGA.doc</t>
  </si>
  <si>
    <t>C:\Users\franc\OneDrive\Documentos\MALENTIN KARIME\MANDATOS JUDICIALES\CLAUDIO ARDILES\ANGEL TAPIA MARTURANA.doc</t>
  </si>
  <si>
    <t>C:\Users\franc\OneDrive\Documentos\MALENTIN KARIME\MANDATOS JUDICIALES\CLAUDIO ARDILES\AMANDA ROJAS.doc</t>
  </si>
  <si>
    <t>C:\Users\franc\OneDrive\Documentos\MALENTIN KARIME\MANDATOS JUDICIALES\CLAUDIO ARDILES\ALEJANDRO CAMPOS ALVAREZ.doc</t>
  </si>
  <si>
    <t>C:\Users\franc\OneDrive\Documentos\MALENTIN KARIME\MANDATOS JUDICIALES\CLAUDIO ARDILES\ALDO ALFARO AHUMADA.doc</t>
  </si>
  <si>
    <t>C:\Users\franc\OneDrive\Documentos\MALENTIN KARIME\MANDATOS JUDICIALES\CLAUDIO ARDILES\ALEJANDRINA ANDRADE.doc</t>
  </si>
  <si>
    <t>C:\Users\franc\OneDrive\Documentos\MALENTIN KARIME\MANDATOS JUDICIALES\CLAUDIO ARAYA\VERONICA ARAYA 2017.doc</t>
  </si>
  <si>
    <t>C:\Users\franc\OneDrive\Documentos\MALENTIN KARIME\MANDATOS JUDICIALES\CLAUDIO ARAYA\TOMAS ARAYA 2017.doc</t>
  </si>
  <si>
    <t>C:\Users\franc\OneDrive\Documentos\MALENTIN KARIME\MANDATOS JUDICIALES\CLAUDIO ARAYA\TATIANA CANIHUANTE Dic 2016.doc</t>
  </si>
  <si>
    <t>C:\Users\franc\OneDrive\Documentos\MALENTIN KARIME\MANDATOS JUDICIALES\CLAUDIO ARAYA\SOC AGRIC SANTA ANA.doc</t>
  </si>
  <si>
    <t>C:\Users\franc\OneDrive\Documentos\MALENTIN KARIME\MANDATOS JUDICIALES\CLAUDIO ARAYA\SERGIO ARAYA GARCIA 2017.doc</t>
  </si>
  <si>
    <t>C:\Users\franc\OneDrive\Documentos\MALENTIN KARIME\MANDATOS JUDICIALES\CLAUDIO ARAYA\SANDRA LOPEZ PALLEROS.doc</t>
  </si>
  <si>
    <t>C:\Users\franc\OneDrive\Documentos\MALENTIN KARIME\MANDATOS JUDICIALES\CLAUDIO ARAYA\RODRIGO BARRAZA CORTES 2015.doc</t>
  </si>
  <si>
    <t>C:\Users\franc\OneDrive\Documentos\MALENTIN KARIME\MANDATOS JUDICIALES\CLAUDIO ARAYA\ROSA PEREIRA 2015.doc</t>
  </si>
  <si>
    <t>C:\Users\franc\OneDrive\Documentos\MALENTIN KARIME\MANDATOS JUDICIALES\CLAUDIO ARAYA\ROBERTO ARAYA MONARDES 2017.doc</t>
  </si>
  <si>
    <t>C:\Users\franc\OneDrive\Documentos\MALENTIN KARIME\MANDATOS JUDICIALES\CLAUDIO ARAYA\ROBERTO ZEBALLOS SEGOVIA 2015.doc</t>
  </si>
  <si>
    <t>C:\Users\franc\OneDrive\Documentos\MALENTIN KARIME\MANDATOS JUDICIALES\CLAUDIO ARAYA\RITA ALVANEZ.doc</t>
  </si>
  <si>
    <t>C:\Users\franc\OneDrive\Documentos\MALENTIN KARIME\MANDATOS JUDICIALES\CLAUDIO ARAYA\RAUL DE LA BARRERA.doc</t>
  </si>
  <si>
    <t>C:\Users\franc\OneDrive\Documentos\MALENTIN KARIME\MANDATOS JUDICIALES\CLAUDIO ARAYA\RAMON ESPINOZA 2018.doc</t>
  </si>
  <si>
    <t>C:\Users\franc\OneDrive\Documentos\MALENTIN KARIME\MANDATOS JUDICIALES\CLAUDIO ARAYA\PEDRO BARAHONA  2018.doc</t>
  </si>
  <si>
    <t>C:\Users\franc\OneDrive\Documentos\MALENTIN KARIME\MANDATOS JUDICIALES\CLAUDIO ARAYA\PATRICO ALARCON SALAS.doc</t>
  </si>
  <si>
    <t>C:\Users\franc\OneDrive\Documentos\MALENTIN KARIME\MANDATOS JUDICIALES\CLAUDIO ARAYA\PABLA SEGURA.doc</t>
  </si>
  <si>
    <t>C:\Users\franc\OneDrive\Documentos\MALENTIN KARIME\MANDATOS JUDICIALES\CLAUDIO ARAYA\PABLO MUÑOZ.doc</t>
  </si>
  <si>
    <t>C:\Users\franc\OneDrive\Documentos\MALENTIN KARIME\MANDATOS JUDICIALES\CLAUDIO ARAYA\OSCAR GODOY 2015.doc</t>
  </si>
  <si>
    <t>C:\Users\franc\OneDrive\Documentos\MALENTIN KARIME\MANDATOS JUDICIALES\CLAUDIO ARAYA\OSVALDO MEDINA HARRIS.doc</t>
  </si>
  <si>
    <t>C:\Users\franc\OneDrive\Documentos\MALENTIN KARIME\MANDATOS JUDICIALES\CLAUDIO ARAYA\modelo claudio araya.doc</t>
  </si>
  <si>
    <t>C:\Users\franc\OneDrive\Documentos\MALENTIN KARIME\MANDATOS JUDICIALES\CLAUDIO ARAYA\NIVALDO ALFARO BARRAZA.doc</t>
  </si>
  <si>
    <t>C:\Users\franc\OneDrive\Documentos\MALENTIN KARIME\MANDATOS JUDICIALES\CLAUDIO ARAYA\MIRTHA MANDICH.doc</t>
  </si>
  <si>
    <t>C:\Users\franc\OneDrive\Documentos\MALENTIN KARIME\MANDATOS JUDICIALES\CLAUDIO ARAYA\MARIELA INOSTROZA 2015.doc</t>
  </si>
  <si>
    <t>C:\Users\franc\OneDrive\Documentos\MALENTIN KARIME\MANDATOS JUDICIALES\CLAUDIO ARAYA\MERCEDES PIZARRO PIZARRO.doc</t>
  </si>
  <si>
    <t>C:\Users\franc\OneDrive\Documentos\MALENTIN KARIME\MANDATOS JUDICIALES\CLAUDIO ARAYA\MARIA PINOCHET.doc</t>
  </si>
  <si>
    <t>C:\Users\franc\OneDrive\Documentos\MALENTIN KARIME\MANDATOS JUDICIALES\CLAUDIO ARAYA\MARIA PINOCHET Enero 14.doc</t>
  </si>
  <si>
    <t>C:\Users\franc\OneDrive\Documentos\MALENTIN KARIME\MANDATOS JUDICIALES\CLAUDIO ARAYA\MARIA GODOY VALENZUELA.doc</t>
  </si>
  <si>
    <t>C:\Users\franc\OneDrive\Documentos\MALENTIN KARIME\MANDATOS JUDICIALES\CLAUDIO ARAYA\MARIA CONTRERAS PIZARRO Y OTRAS 2018.doc</t>
  </si>
  <si>
    <t>C:\Users\franc\OneDrive\Documentos\MALENTIN KARIME\MANDATOS JUDICIALES\CLAUDIO ARAYA\MARIA CHACANA 2017.doc</t>
  </si>
  <si>
    <t>C:\Users\franc\OneDrive\Documentos\MALENTIN KARIME\MANDATOS JUDICIALES\CLAUDIO ARAYA\MARCO OLIVARES 2017.doc</t>
  </si>
  <si>
    <t>C:\Users\franc\OneDrive\Documentos\MALENTIN KARIME\MANDATOS JUDICIALES\CLAUDIO ARAYA\MARCIA VEGA VALDIVIA.doc</t>
  </si>
  <si>
    <t>C:\Users\franc\OneDrive\Documentos\MALENTIN KARIME\MANDATOS JUDICIALES\CLAUDIO ARAYA\MANUEL RENE ARAYA.doc</t>
  </si>
  <si>
    <t>C:\Users\franc\OneDrive\Documentos\MALENTIN KARIME\MANDATOS JUDICIALES\CLAUDIO ARAYA\MARCELO VEGA ALVAREZ 2018.doc</t>
  </si>
  <si>
    <t>C:\Users\franc\OneDrive\Documentos\MALENTIN KARIME\MANDATOS JUDICIALES\CLAUDIO ARAYA\LUIS YAÑEZ 2018.doc</t>
  </si>
  <si>
    <t>C:\Users\franc\OneDrive\Documentos\MALENTIN KARIME\MANDATOS JUDICIALES\CLAUDIO ARAYA\LUIS TOLEDO RODRIGUEZ.doc</t>
  </si>
  <si>
    <t>C:\Users\franc\OneDrive\Documentos\MALENTIN KARIME\MANDATOS JUDICIALES\CLAUDIO ARAYA\LUIS VELIZ RIVERA.doc</t>
  </si>
  <si>
    <t>C:\Users\franc\OneDrive\Documentos\MALENTIN KARIME\MANDATOS JUDICIALES\CLAUDIO ARAYA\LUCIA GONZALEZ Y OTRO.doc</t>
  </si>
  <si>
    <t>C:\Users\franc\OneDrive\Documentos\MALENTIN KARIME\MANDATOS JUDICIALES\CLAUDIO ARAYA\LEONTINA ACUÑA MONTERO.doc</t>
  </si>
  <si>
    <t>C:\Users\franc\OneDrive\Documentos\MALENTIN KARIME\MANDATOS JUDICIALES\CLAUDIO ARAYA\LEONTINA ACUÑA.doc</t>
  </si>
  <si>
    <t>C:\Users\franc\OneDrive\Documentos\MALENTIN KARIME\MANDATOS JUDICIALES\CLAUDIO ARAYA\KATHERINE LIZARDI.doc</t>
  </si>
  <si>
    <t>C:\Users\franc\OneDrive\Documentos\MALENTIN KARIME\MANDATOS JUDICIALES\CLAUDIO ARAYA\JUAN MORALES TELLO 2017.doc</t>
  </si>
  <si>
    <t>C:\Users\franc\OneDrive\Documentos\MALENTIN KARIME\MANDATOS JUDICIALES\CLAUDIO ARAYA\JUSTO BARRAZA 2015.doc</t>
  </si>
  <si>
    <t>C:\Users\franc\OneDrive\Documentos\MALENTIN KARIME\MANDATOS JUDICIALES\CLAUDIO ARAYA\JORGE ROMERO.doc</t>
  </si>
  <si>
    <t>C:\Users\franc\OneDrive\Documentos\MALENTIN KARIME\MANDATOS JUDICIALES\CLAUDIO ARAYA\JORGE ROJAS MIRANDA.doc</t>
  </si>
  <si>
    <t>C:\Users\franc\OneDrive\Documentos\MALENTIN KARIME\MANDATOS JUDICIALES\CLAUDIO ARAYA\JESUS AURORA SEGOVIA.doc</t>
  </si>
  <si>
    <t>C:\Users\franc\OneDrive\Documentos\MALENTIN KARIME\MANDATOS JUDICIALES\CLAUDIO ARAYA\JANETT ESPINOSA.doc</t>
  </si>
  <si>
    <t>C:\Users\franc\OneDrive\Documentos\MALENTIN KARIME\MANDATOS JUDICIALES\CLAUDIO ARAYA\ILIA RAMOS 2015.doc</t>
  </si>
  <si>
    <t>C:\Users\franc\OneDrive\Documentos\MALENTIN KARIME\MANDATOS JUDICIALES\CLAUDIO ARAYA\GARY ASTUDILLO SIERRA 20165.doc</t>
  </si>
  <si>
    <t>C:\Users\franc\OneDrive\Documentos\MALENTIN KARIME\MANDATOS JUDICIALES\CLAUDIO ARAYA\HERNAN ARACENA DUBO Y OTROS.doc</t>
  </si>
  <si>
    <t>C:\Users\franc\OneDrive\Documentos\MALENTIN KARIME\MANDATOS JUDICIALES\CLAUDIO ARAYA\GARY ASTUDILLO SIERRA 2015.doc</t>
  </si>
  <si>
    <t>C:\Users\franc\OneDrive\Documentos\MALENTIN KARIME\MANDATOS JUDICIALES\CLAUDIO ARAYA\FERNANDO AGUILERA.doc</t>
  </si>
  <si>
    <t>C:\Users\franc\OneDrive\Documentos\MALENTIN KARIME\MANDATOS JUDICIALES\CLAUDIO ARAYA\GABRIELA DICTER 2017.doc</t>
  </si>
  <si>
    <t>C:\Users\franc\OneDrive\Documentos\MALENTIN KARIME\MANDATOS JUDICIALES\CLAUDIO ARAYA\EUGENIO GONZALEZ.doc</t>
  </si>
  <si>
    <t>C:\Users\franc\OneDrive\Documentos\MALENTIN KARIME\MANDATOS JUDICIALES\CLAUDIO ARAYA\ERIC SEPULVEDA GONZALEZ 2018.doc</t>
  </si>
  <si>
    <t>C:\Users\franc\OneDrive\Documentos\MALENTIN KARIME\MANDATOS JUDICIALES\CLAUDIO ARAYA\ELIETT RAMIREZ 2018.doc</t>
  </si>
  <si>
    <t>C:\Users\franc\OneDrive\Documentos\MALENTIN KARIME\MANDATOS JUDICIALES\CLAUDIO ARAYA\EDUARDO DIAZ ROBLES.doc</t>
  </si>
  <si>
    <t>C:\Users\franc\OneDrive\Documentos\MALENTIN KARIME\MANDATOS JUDICIALES\CLAUDIO ARAYA\DIVORCIO 20018}.doc</t>
  </si>
  <si>
    <t>C:\Users\franc\OneDrive\Documentos\MALENTIN KARIME\MANDATOS JUDICIALES\CLAUDIO ARAYA\CRISTIAN WILCHES 2018.doc</t>
  </si>
  <si>
    <t>C:\Users\franc\OneDrive\Documentos\MALENTIN KARIME\MANDATOS JUDICIALES\CLAUDIO ARAYA\CORALI OLIVARES.doc</t>
  </si>
  <si>
    <t>C:\Users\franc\OneDrive\Documentos\MALENTIN KARIME\MANDATOS JUDICIALES\CLAUDIO ARAYA\CRISTIAN PEREZ SOTO 2017.doc</t>
  </si>
  <si>
    <t>C:\Users\franc\OneDrive\Documentos\MALENTIN KARIME\MANDATOS JUDICIALES\CLAUDIO ARAYA\COMERCIAL ABRAHAM TARE.doc</t>
  </si>
  <si>
    <t>C:\Users\franc\OneDrive\Documentos\MALENTIN KARIME\MANDATOS JUDICIALES\CLAUDIO ARAYA\CLEMENTE FUENTEALBA.doc</t>
  </si>
  <si>
    <t>C:\Users\franc\OneDrive\Documentos\MALENTIN KARIME\MANDATOS JUDICIALES\CLAUDIO ARAYA\CLARA PASTEN ROJAS.doc</t>
  </si>
  <si>
    <t>C:\Users\franc\OneDrive\Documentos\MALENTIN KARIME\MANDATOS JUDICIALES\CLAUDIO ARAYA\BERNARDO ORREGO FLORES.doc</t>
  </si>
  <si>
    <t>C:\Users\franc\OneDrive\Documentos\MALENTIN KARIME\MANDATOS JUDICIALES\CLAUDIO ARAYA\CAROLINA CARVAJAL.doc</t>
  </si>
  <si>
    <t>C:\Users\franc\OneDrive\Documentos\MALENTIN KARIME\MANDATOS JUDICIALES\CLAUDIO ARAYA\BERNARDINO GUERRA.doc</t>
  </si>
  <si>
    <t>C:\Users\franc\OneDrive\Documentos\MALENTIN KARIME\MANDATOS JUDICIALES\CLAUDIO ARAYA\ARMANDO OSSANDON CORTES.doc</t>
  </si>
  <si>
    <t>C:\Users\franc\OneDrive\Documentos\MALENTIN KARIME\MANDATOS JUDICIALES\CLAUDIO ARAYA\ALEJANDROM MANRIQUEZ.doc</t>
  </si>
  <si>
    <t>C:\Users\franc\OneDrive\Documentos\MALENTIN KARIME\MANDATOS JUDICIALES\CLAUDIO ARAYA\AGUSTINA RIVERA 2018.doc</t>
  </si>
  <si>
    <t>C:\Users\franc\OneDrive\Documentos\MALENTIN KARIME\MANDATOS JUDICIALES\CLAUDIO ARAYA\AGRICOLA MARIO ROBLES.doc</t>
  </si>
  <si>
    <t>C:\Users\franc\OneDrive\Documentos\MALENTIN KARIME\MANDATOS JUDICIALES\CLAUDIO ARAYA\AGAPITO CASTILLO PIZARRO.doc</t>
  </si>
  <si>
    <t>C:\Users\franc\OneDrive\Documentos\MALENTIN KARIME\MANDATOS JUDICIALES\CLAUDIO ARAYA\ABEL VALDES ARAYA.doc</t>
  </si>
  <si>
    <t>C:\Users\franc\OneDrive\Documentos\MALENTIN KARIME\MANDATOS JUDICIALES\CHRISTIAN ROJAS CALDERON\NORTEANDINO.doc</t>
  </si>
  <si>
    <t>C:\Users\franc\OneDrive\Documentos\MALENTIN KARIME\MANDATOS JUDICIALES\CAROLINA MORALES VILLALON\SARA HERRERA OLEA.doc</t>
  </si>
  <si>
    <t>C:\Users\franc\OneDrive\Documentos\MALENTIN KARIME\MANDATOS JUDICIALES\CAROLINA ADAROS\WILSON ZEPEDA MICHEA.doc</t>
  </si>
  <si>
    <t>C:\Users\franc\OneDrive\Documentos\MALENTIN KARIME\MANDATOS JUDICIALES\CAROLINA ADAROS\TOMAS CARVAJAL 2017.doc</t>
  </si>
  <si>
    <t>C:\Users\franc\OneDrive\Documentos\MALENTIN KARIME\MANDATOS JUDICIALES\CAROLINA ADAROS\OSCAR ROJAS ARAYA.doc</t>
  </si>
  <si>
    <t>C:\Users\franc\OneDrive\Documentos\MALENTIN KARIME\MANDATOS JUDICIALES\CAROLINA ADAROS\MERCEDES ROBLES RIVERA.doc</t>
  </si>
  <si>
    <t>C:\Users\franc\OneDrive\Documentos\MALENTIN KARIME\MANDATOS JUDICIALES\CAROLINA ADAROS\MAURICIO SAAVEDRA.doc</t>
  </si>
  <si>
    <t>C:\Users\franc\OneDrive\Documentos\MALENTIN KARIME\MANDATOS JUDICIALES\CAROLINA ADAROS\JUAN ROJAS DIAZ.doc</t>
  </si>
  <si>
    <t>C:\Users\franc\OneDrive\Documentos\MALENTIN KARIME\MANDATOS JUDICIALES\CAROLINA ADAROS\JUAN CODOCEO CAMPOS Maria Marin Fernandez.doc</t>
  </si>
  <si>
    <t>C:\Users\franc\OneDrive\Documentos\MALENTIN KARIME\MANDATOS JUDICIALES\CAROLINA ADAROS\JOSE TABILO ARAYA.doc</t>
  </si>
  <si>
    <t>C:\Users\franc\OneDrive\Documentos\MALENTIN KARIME\MANDATOS JUDICIALES\CAROLINA ADAROS\JAVIER BARRAZA TABILO 2018.doc</t>
  </si>
  <si>
    <t>C:\Users\franc\OneDrive\Documentos\MALENTIN KARIME\MANDATOS JUDICIALES\CAROLINA ADAROS\JAQUELINE ALFARO 2016.doc</t>
  </si>
  <si>
    <t>C:\Users\franc\OneDrive\Documentos\MALENTIN KARIME\MANDATOS JUDICIALES\CAROLINA ADAROS\JACINTO ARANCIBIA mdto especial.doc</t>
  </si>
  <si>
    <t>C:\Users\franc\OneDrive\Documentos\MALENTIN KARIME\MANDATOS JUDICIALES\CAROLINA ADAROS\FELIX CORTES ORREGO 2017.doc</t>
  </si>
  <si>
    <t>C:\Users\franc\OneDrive\Documentos\MALENTIN KARIME\MANDATOS JUDICIALES\CAROL VERA HORMAZAVAL\CRISTIAN PARRA ISAMIT.doc</t>
  </si>
  <si>
    <t>C:\Users\franc\OneDrive\Documentos\MALENTIN KARIME\MANDATOS JUDICIALES\CAROLINA ADAROS\ARTURO OGALDE ARAYA 2018.doc</t>
  </si>
  <si>
    <t>C:\Users\franc\OneDrive\Documentos\MALENTIN KARIME\MANDATOS JUDICIALES\CARLOS TAGLE TASSO\JUAN GARCIA COLLAO.doc</t>
  </si>
  <si>
    <t>C:\Users\franc\OneDrive\Documentos\MALENTIN KARIME\MANDATOS JUDICIALES\CARLOS TABILO CONTRERAS\PEDRO CANALES.doc</t>
  </si>
  <si>
    <t>C:\Users\franc\OneDrive\Documentos\MALENTIN KARIME\MANDATOS JUDICIALES\CARLOS TABILO CONTRERAS\CLUB DE RODEO OVALLE.doc</t>
  </si>
  <si>
    <t>C:\Users\franc\OneDrive\Documentos\MALENTIN KARIME\MANDATOS JUDICIALES\CARLOS MIRANDA\SEBASTIAN VILLAGRA.doc</t>
  </si>
  <si>
    <t>C:\Users\franc\OneDrive\Documentos\MALENTIN KARIME\MANDATOS JUDICIALES\CARLOS SAEZ\FERNANDO ARDILES.doc</t>
  </si>
  <si>
    <t>C:\Users\franc\OneDrive\Documentos\MALENTIN KARIME\MANDATOS JUDICIALES\CARLOS MIRANDA\BRAYAN SILVA.doc</t>
  </si>
  <si>
    <t>C:\Users\franc\OneDrive\Documentos\MALENTIN KARIME\MANDATOS JUDICIALES\CARLA MORENO\SOC. COM TREMENDO.doc</t>
  </si>
  <si>
    <t>C:\Users\franc\OneDrive\Documentos\MALENTIN KARIME\MANDATOS JUDICIALES\CARLA MORENO\CESAR CISTERNAS.doc</t>
  </si>
  <si>
    <t>C:\Users\franc\OneDrive\Documentos\MALENTIN KARIME\MANDATOS JUDICIALES\BORIS MONARDES\SOCIEDAD SERVICIOS INFORMATICOS Y COMPUTACIONALES LMARI.doc</t>
  </si>
  <si>
    <t>C:\Users\franc\OneDrive\Documentos\MALENTIN KARIME\MANDATOS JUDICIALES\BORIS MONARDES\PEDRO VERGARA.doc</t>
  </si>
  <si>
    <t>C:\Users\franc\OneDrive\Documentos\MALENTIN KARIME\MANDATOS JUDICIALES\BORIS MONARDES\JOCELYN BARRAZA 2019.doc</t>
  </si>
  <si>
    <t>C:\Users\franc\OneDrive\Documentos\MALENTIN KARIME\MANDATOS JUDICIALES\BORIS MONARDES\JOCELYN BARRAZA 2018.doc</t>
  </si>
  <si>
    <t>C:\Users\franc\OneDrive\Documentos\MALENTIN KARIME\MANDATOS JUDICIALES\BORIS MONARDES\CARLOS BUGUEÑO CISTERNAS.doc</t>
  </si>
  <si>
    <t>C:\Users\franc\OneDrive\Documentos\MALENTIN KARIME\MANDATOS JUDICIALES\BORIS MONARDES\ANA BENAVENTE.doc</t>
  </si>
  <si>
    <t>C:\Users\franc\OneDrive\Documentos\MALENTIN KARIME\MANDATOS JUDICIALES\BERNARDITA ORELLANA\VICTOR GRANDON DIAZ.doc</t>
  </si>
  <si>
    <t>C:\Users\franc\OneDrive\Documentos\MALENTIN KARIME\MANDATOS JUDICIALES\BERNARDITA ORELLANA\PATRICIO AGUILERA DIAZ A bernardita orellana.doc</t>
  </si>
  <si>
    <t>C:\Users\franc\OneDrive\Documentos\MALENTIN KARIME\MANDATOS JUDICIALES\ANDRES AGUILERA YCAROLINA\CARMEN CASTILLO 2017.doc</t>
  </si>
  <si>
    <t>C:\Users\franc\OneDrive\Documentos\MALENTIN KARIME\MANDATOS JUDICIALES\ANDRES AGUILERA YCAROLINA\ADOLFO CORTES JILES.doc</t>
  </si>
  <si>
    <t>C:\Users\franc\OneDrive\Documentos\MALENTIN KARIME\MANDATOS JUDICIALES\ANDRES AGUILERA Y ROBIN\2017\SOCIEDAD EDUCACIONAL PARVUS.doc</t>
  </si>
  <si>
    <t>C:\Users\franc\OneDrive\Documentos\MALENTIN KARIME\MANDATOS JUDICIALES\ANDRES AGUILERA YCAROLINA\ABRAHAM MUNDACA.doc</t>
  </si>
  <si>
    <t>C:\Users\franc\OneDrive\Documentos\MALENTIN KARIME\MANDATOS JUDICIALES\ANDRES AGUILERA Y ROBIN\2017\MARCELO REINOSO.doc</t>
  </si>
  <si>
    <t>C:\Users\franc\OneDrive\Documentos\MALENTIN KARIME\MANDATOS JUDICIALES\ANDRES AGUILERA Y ROBIN\2017\MARCELO REINOSO A ANDRES AGUILERA 2017.doc</t>
  </si>
  <si>
    <t>C:\Users\franc\OneDrive\Documentos\MALENTIN KARIME\MANDATOS JUDICIALES\ANDRES AGUILERA Y ROBIN\2017\JAIME PLAZA TORRES.doc</t>
  </si>
  <si>
    <t>C:\Users\franc\OneDrive\Documentos\MALENTIN KARIME\MANDATOS JUDICIALES\ANDRES AGUILERA Y ROBIN\2017\HECTOR CASTILLO}.doc</t>
  </si>
  <si>
    <t>C:\Users\franc\OneDrive\Documentos\MALENTIN KARIME\MANDATOS JUDICIALES\ANDRES AGUILERA Y ROBIN\2017\ALEX DIAZ CAMPUSANO A ANDRES AGUILERA 2017.doc</t>
  </si>
  <si>
    <t>C:\Users\franc\OneDrive\Documentos\MALENTIN KARIME\MANDATOS JUDICIALES\ANDRES AGUILERA Y ROBIN\2017\ALBERTO MARIN MUÑOZ 2018.doc</t>
  </si>
  <si>
    <t>C:\Users\franc\OneDrive\Documentos\MALENTIN KARIME\MANDATOS JUDICIALES\ANDRES AGUILERA Y ROBIN\2016\MAXIMO MUÑOZ 2016.doc</t>
  </si>
  <si>
    <t>C:\Users\franc\OneDrive\Documentos\MALENTIN KARIME\MANDATOS JUDICIALES\ANDRES AGUILERA Y ROBIN\2016\FABRICIO GONZALEZ A ANDRES AGUILERA SOLO.doc</t>
  </si>
  <si>
    <t>C:\Users\franc\OneDrive\Documentos\MALENTIN KARIME\MANDATOS JUDICIALES\ANDRES AGUILERA Y ROBIN\2016\ANGELICA ESPOZ 2016.doc</t>
  </si>
  <si>
    <t>C:\Users\franc\OneDrive\Documentos\MALENTIN KARIME\MANDATOS JUDICIALES\ANDRES AGUILERA Y ROBIN\2016\ANGELICA ESPOZ  abogado.doc</t>
  </si>
  <si>
    <t>C:\Users\franc\OneDrive\Documentos\MALENTIN KARIME\MANDATOS JUDICIALES\ANDRES AGUILERA Y ROBIN\2016\ALEXIS TRIGO.doc</t>
  </si>
  <si>
    <t>C:\Users\franc\OneDrive\Documentos\MALENTIN KARIME\MANDATOS JUDICIALES\ANDRES AGUILERA Y ROBIN\XIMENA ROJAS MUNIZAGA Y OTRO 2015.doc</t>
  </si>
  <si>
    <t>C:\Users\franc\OneDrive\Documentos\MALENTIN KARIME\MANDATOS JUDICIALES\ANDRES AGUILERA Y ROBIN\WILLIAM CASTRO.doc</t>
  </si>
  <si>
    <t>C:\Users\franc\OneDrive\Documentos\MALENTIN KARIME\MANDATOS JUDICIALES\ANDRES AGUILERA Y ROBIN\SUSANA VALDES OLIVARES.doc</t>
  </si>
  <si>
    <t>C:\Users\franc\OneDrive\Documentos\MALENTIN KARIME\MANDATOS JUDICIALES\ANDRES AGUILERA Y ROBIN\SARASWATI HARRIS.doc</t>
  </si>
  <si>
    <t>C:\Users\franc\OneDrive\Documentos\MALENTIN KARIME\MANDATOS JUDICIALES\ANDRES AGUILERA Y ROBIN\PATRICIO ROJAS.doc</t>
  </si>
  <si>
    <t>C:\Users\franc\OneDrive\Documentos\MALENTIN KARIME\MANDATOS JUDICIALES\ANDRES AGUILERA Y ROBIN\RAFAEL CONTRERAS FLORES 2015.doc</t>
  </si>
  <si>
    <t>C:\Users\franc\OneDrive\Documentos\MALENTIN KARIME\MANDATOS JUDICIALES\ANDRES AGUILERA Y ROBIN\PATRICIO ROJAS ROJAS.doc</t>
  </si>
  <si>
    <t>C:\Users\franc\OneDrive\Documentos\MALENTIN KARIME\MANDATOS JUDICIALES\ANDRES AGUILERA Y ROBIN\modelo 2015.doc</t>
  </si>
  <si>
    <t>C:\Users\franc\OneDrive\Documentos\MALENTIN KARIME\MANDATOS JUDICIALES\ANDRES AGUILERA Y ROBIN\MIRKO MOLINA.doc</t>
  </si>
  <si>
    <t>C:\Users\franc\OneDrive\Documentos\MALENTIN KARIME\MANDATOS JUDICIALES\ANDRES AGUILERA Y ROBIN\Mauricio Maturana 2015.doc</t>
  </si>
  <si>
    <t>C:\Users\franc\OneDrive\Documentos\MALENTIN KARIME\MANDATOS JUDICIALES\ANDRES AGUILERA Y ROBIN\MANUEL ROCO RAMOS.doc</t>
  </si>
  <si>
    <t>C:\Users\franc\OneDrive\Documentos\MALENTIN KARIME\MANDATOS JUDICIALES\ANDRES AGUILERA Y ROBIN\MANUEL CERDA CARRASCO 2015.doc</t>
  </si>
  <si>
    <t>C:\Users\franc\OneDrive\Documentos\MALENTIN KARIME\MANDATOS JUDICIALES\ANDRES AGUILERA Y ROBIN\LUIS OCHOA CORTSE.doc</t>
  </si>
  <si>
    <t>C:\Users\franc\OneDrive\Documentos\MALENTIN KARIME\MANDATOS JUDICIALES\ANDRES AGUILERA Y ROBIN\KATHERINE CASTRO.doc</t>
  </si>
  <si>
    <t>C:\Users\franc\OneDrive\Documentos\MALENTIN KARIME\MANDATOS JUDICIALES\ANDRES AGUILERA Y ROBIN\JUAN CORDERO PEÑA.doc</t>
  </si>
  <si>
    <t>C:\Users\franc\OneDrive\Documentos\MALENTIN KARIME\MANDATOS JUDICIALES\ANDRES AGUILERA Y ROBIN\JOSE ESTAY VILCHES.doc</t>
  </si>
  <si>
    <t>C:\Users\franc\OneDrive\Documentos\MALENTIN KARIME\MANDATOS JUDICIALES\ANDRES AGUILERA Y ROBIN\JESSICA BRUNA CHACANA.doc</t>
  </si>
  <si>
    <t>C:\Users\franc\OneDrive\Documentos\MALENTIN KARIME\MANDATOS JUDICIALES\ANDRES AGUILERA Y ROBIN\JAIME CONTRERAS MORALES 2015.doc</t>
  </si>
  <si>
    <t>C:\Users\franc\OneDrive\Documentos\MALENTIN KARIME\MANDATOS JUDICIALES\ANDRES AGUILERA Y ROBIN\GLORIA CISTERNAS ARIAS.doc</t>
  </si>
  <si>
    <t>C:\Users\franc\OneDrive\Documentos\MALENTIN KARIME\MANDATOS JUDICIALES\ANDRES AGUILERA Y ROBIN\GLADYS ROMERO Menores.doc</t>
  </si>
  <si>
    <t>C:\Users\franc\OneDrive\Documentos\MALENTIN KARIME\MANDATOS JUDICIALES\ANDRES AGUILERA Y ROBIN\EDGARDO GOMEZ ROMERO.doc</t>
  </si>
  <si>
    <t>C:\Users\franc\OneDrive\Documentos\MALENTIN KARIME\MANDATOS JUDICIALES\ANDRES AGUILERA Y ROBIN\FERNADA SALFATE.doc</t>
  </si>
  <si>
    <t>C:\Users\franc\OneDrive\Documentos\MALENTIN KARIME\MANDATOS JUDICIALES\ANDRES AGUILERA Y ROBIN\DARWIN GUERRERO.doc</t>
  </si>
  <si>
    <t>C:\Users\franc\OneDrive\Documentos\MALENTIN KARIME\MANDATOS JUDICIALES\ANDRES AGUILERA Y ROBIN\CRISTIAN MAYO HENRIQUEZ.doc</t>
  </si>
  <si>
    <t>C:\Users\franc\OneDrive\Documentos\MALENTIN KARIME\MANDATOS JUDICIALES\ANDRES AGUILERA Y ROBIN\CLEMENTE FUENTEALBA.doc</t>
  </si>
  <si>
    <t>C:\Users\franc\OneDrive\Documentos\MALENTIN KARIME\MANDATOS JUDICIALES\ANDRES AGUILERA Y ROBIN\CLAUDIO RIOS REYES.doc</t>
  </si>
  <si>
    <t>C:\Users\franc\OneDrive\Documentos\MALENTIN KARIME\MANDATOS JUDICIALES\ANDRES AGUILERA Y ROBIN\ARTURO ZEPEDA ROJAS.doc</t>
  </si>
  <si>
    <t>C:\Users\franc\OneDrive\Documentos\MALENTIN KARIME\MANDATOS JUDICIALES\ANDRES AGUILERA Y ROBIN\ANDRES ALARCON HIDALGO 2015.doc</t>
  </si>
  <si>
    <t>C:\Users\franc\OneDrive\Documentos\MALENTIN KARIME\MANDATOS JUDICIALES\ANA ZEPEDA\JOSE LEIVA ESCOBAR.doc</t>
  </si>
  <si>
    <t>C:\Users\franc\OneDrive\Documentos\MALENTIN KARIME\MANDATOS JUDICIALES\ALFREDO VILLAGRAN\ALEJANDRO RUBIO\MERCEDES GUERRERO HIDALGO.doc</t>
  </si>
  <si>
    <t>C:\Users\franc\OneDrive\Documentos\MALENTIN KARIME\MANDATOS JUDICIALES\ALFREDO VILLAGRAN\2016\VLADIMIR COLLAO A Alonso Oyanadel.doc</t>
  </si>
  <si>
    <t>C:\Users\franc\OneDrive\Documentos\MALENTIN KARIME\MANDATOS JUDICIALES\ALFREDO VILLAGRAN\2016\SANDRA AVALOS.doc</t>
  </si>
  <si>
    <t>C:\Users\franc\OneDrive\Documentos\MALENTIN KARIME\MANDATOS JUDICIALES\ALFREDO VILLAGRAN\2016\ROSA GODOY ALVAREZ 2018.doc</t>
  </si>
  <si>
    <t>C:\Users\franc\OneDrive\Documentos\MALENTIN KARIME\MANDATOS JUDICIALES\ALFREDO VILLAGRAN\2016\PAZ CASTILLO AVALOS.doc</t>
  </si>
  <si>
    <t>C:\Users\franc\OneDrive\Documentos\MALENTIN KARIME\MANDATOS JUDICIALES\ALFREDO VILLAGRAN\2016\NANCY PIZARRO GUARINGA Y OTRO.doc</t>
  </si>
  <si>
    <t>C:\Users\franc\OneDrive\Documentos\MALENTIN KARIME\MANDATOS JUDICIALES\ALFREDO VILLAGRAN\2016\NANCY ARAYA JERALDO.doc</t>
  </si>
  <si>
    <t>C:\Users\franc\OneDrive\Documentos\MALENTIN KARIME\MANDATOS JUDICIALES\ALFREDO VILLAGRAN\2016\MARIA ZEPEDA 2018.doc</t>
  </si>
  <si>
    <t>C:\Users\franc\OneDrive\Documentos\MALENTIN KARIME\MANDATOS JUDICIALES\ALFREDO VILLAGRAN\2016\JORGE RIQUELME ANCATRIO.doc</t>
  </si>
  <si>
    <t>C:\Users\franc\OneDrive\Documentos\MALENTIN KARIME\MANDATOS JUDICIALES\ALFREDO VILLAGRAN\2016\JORGE LEON VILLALOBOS.doc</t>
  </si>
  <si>
    <t>C:\Users\franc\OneDrive\Documentos\MALENTIN KARIME\MANDATOS JUDICIALES\ALFREDO VILLAGRAN\2016\JESSICA MALDONADO 2017.doc</t>
  </si>
  <si>
    <t>C:\Users\franc\OneDrive\Documentos\MALENTIN KARIME\MANDATOS JUDICIALES\ALFREDO VILLAGRAN\2016\HECTOR OLIVARES OLIVA.doc</t>
  </si>
  <si>
    <t>C:\Users\franc\OneDrive\Documentos\MALENTIN KARIME\MANDATOS JUDICIALES\ALFREDO VILLAGRAN\ROSSANA GONZALEZ Y OTROS.doc</t>
  </si>
  <si>
    <t>C:\Users\franc\OneDrive\Documentos\MALENTIN KARIME\MANDATOS JUDICIALES\ALFREDO VILLAGRAN\2016\ANTONIO CASTRO ORDENES 2018.doc</t>
  </si>
  <si>
    <t>C:\Users\franc\OneDrive\Documentos\MALENTIN KARIME\MANDATOS JUDICIALES\ALFREDO VILLAGRAN\RODRIGO JARA OVALLE Uno ltda..doc</t>
  </si>
  <si>
    <t>C:\Users\franc\OneDrive\Documentos\MALENTIN KARIME\MANDATOS JUDICIALES\ALFREDO VILLAGRAN\MARGARITA VEGA MJudicial.doc</t>
  </si>
  <si>
    <t>C:\Users\franc\OneDrive\Documentos\MALENTIN KARIME\MANDATOS JUDICIALES\ALFREDO VILLAGRAN\MANUEL RIVERA ARAYA nuevo 2015}.doc</t>
  </si>
  <si>
    <t>C:\Users\franc\OneDrive\Documentos\MALENTIN KARIME\MANDATOS JUDICIALES\ALFREDO VILLAGRAN\MANUEL RIVERA ARAYA.doc</t>
  </si>
  <si>
    <t>C:\Users\franc\OneDrive\Documentos\MALENTIN KARIME\MANDATOS JUDICIALES\ALFREDO VILLAGRAN\KATHERINE SEPULVEDA.doc</t>
  </si>
  <si>
    <t>C:\Users\franc\OneDrive\Documentos\MALENTIN KARIME\MANDATOS JUDICIALES\ALFREDO VILLAGRAN\JOHAN PIZARRO}.doc</t>
  </si>
  <si>
    <t>C:\Users\franc\OneDrive\Documentos\MALENTIN KARIME\MANDATOS JUDICIALES\ALFREDO VILLAGRAN\JUANA GONZALEZ BERRIOS 2017.doc</t>
  </si>
  <si>
    <t>C:\Users\franc\OneDrive\Documentos\MALENTIN KARIME\MANDATOS JUDICIALES\ALFREDO VILLAGRAN\GUILLERMO RUBINA nuevo 2015.doc</t>
  </si>
  <si>
    <t>C:\Users\franc\OneDrive\Documentos\MALENTIN KARIME\MANDATOS JUDICIALES\ALFREDO VILLAGRAN\AMERITO ARDILES.doc</t>
  </si>
  <si>
    <t>C:\Users\franc\OneDrive\Documentos\MALENTIN KARIME\MANDATOS JUDICIALES\ALFREDO VILLAGRAN\ERIC VENEGAS PEÑA Y OTROS.doc</t>
  </si>
  <si>
    <t>C:\Users\franc\OneDrive\Documentos\MALENTIN KARIME\MANDATOS JUDICIALES\ALEJANDRO AZUA VEGA\CRISTIAN VAN DER A ALEJANDRO AZUA.doc</t>
  </si>
  <si>
    <t>C:\Users\franc\OneDrive\Documentos\MALENTIN KARIME\MANDATOS JUDICIALES\ALEJANDRA PIZARRO DUBO\PAULA RIOS DIAZ.doc</t>
  </si>
  <si>
    <t>C:\Users\franc\OneDrive\Documentos\MALENTIN KARIME\MANDATOS JUDICIALES\ALEJANDRO AZUA VEGA\CRACE SIR A ALEJANDRO AZUA.doc</t>
  </si>
  <si>
    <t>C:\Users\franc\OneDrive\Documentos\MALENTIN KARIME\MANDATOS JUDICIALES\AILEEN KENETT\WILLIAMS RIVERA.doc</t>
  </si>
  <si>
    <t>C:\Users\franc\OneDrive\Documentos\MALENTIN KARIME\MANDATOS JUDICIALES\AILEEN KENETT\RODOLFO SALINAS.doc</t>
  </si>
  <si>
    <t>C:\Users\franc\OneDrive\Documentos\MALENTIN KARIME\MANDATOS JUDICIALES\AILEEN KENETT\MARLIN VIVANCO.doc</t>
  </si>
  <si>
    <t>C:\Users\franc\OneDrive\Documentos\MALENTIN KARIME\MANDATOS JUDICIALES\AILEEN KENETT\IFMAN FOTO Solo Aileen.doc</t>
  </si>
  <si>
    <t>C:\Users\franc\OneDrive\Documentos\MALENTIN KARIME\MANDATOS JUDICIALES\AILEEN KENETT\ETGAR HOEFTER.doc</t>
  </si>
  <si>
    <t>C:\Users\franc\OneDrive\Documentos\MALENTIN KARIME\MANDATOS JUDICIALES\ADOLFO LAY\PERFERCTO TABILO TABILO.doc</t>
  </si>
  <si>
    <t>C:\Users\franc\OneDrive\Documentos\MALENTIN KARIME\MANDATOS JUDICIALES\AILEEN KENETT\CLAUDIA ABRILOT 2017.doc</t>
  </si>
  <si>
    <t>C:\Users\franc\OneDrive\Documentos\MALENTIN KARIME\MANDATOS JUDICIALES\ADOLFO LAY\PERFERCTO TABILO TABILO España.doc</t>
  </si>
  <si>
    <t>C:\Users\franc\OneDrive\Documentos\MALENTIN KARIME\MANDATOS JUDICIALES\ADOLFO LAY\NORMA LOPEZ ALUCEMA.doc</t>
  </si>
  <si>
    <t>C:\Users\franc\OneDrive\Documentos\MALENTIN KARIME\MANDATOS JUDICIALES\ADOLFO LAY\JUAN VALDES TAPIA.doc</t>
  </si>
  <si>
    <t>C:\Users\franc\OneDrive\Documentos\MALENTIN KARIME\MANDATOS JUDICIALES\ADOLFO LAY\MARIA CASTILLO CORTES.doc</t>
  </si>
  <si>
    <t>C:\Users\franc\OneDrive\Documentos\MALENTIN KARIME\MANDATOS JUDICIALES\ADOLFO LAY\DAVID OLIVARES.doc</t>
  </si>
  <si>
    <t>C:\Users\franc\OneDrive\Documentos\MALENTIN KARIME\MANDATOS JUDICIALES\ADOLFO LAY\DAVID ENRIQUE.doc</t>
  </si>
  <si>
    <t>C:\Users\franc\OneDrive\Documentos\MALENTIN KARIME\MANDATOS JUDICIALES\ADOLFO LAY\DAVID ENRIQUE OLIVARES VEGA.doc</t>
  </si>
  <si>
    <t>C:\Users\franc\OneDrive\Documentos\MALENTIN KARIME\MANDATOS JUDICIALES\2021\VERONICA JIMENEZ Mandato.doc</t>
  </si>
  <si>
    <t>C:\Users\franc\OneDrive\Documentos\MALENTIN KARIME\MANDATOS JUDICIALES\2021\TRANSPORTES Y CORRETAJE Carolina minuta.doc</t>
  </si>
  <si>
    <t>C:\Users\franc\OneDrive\Documentos\MALENTIN KARIME\MANDATOS JUDICIALES\2021\RAMON ALFARO GARCIA Minuta.doc</t>
  </si>
  <si>
    <t>C:\Users\franc\OneDrive\Documentos\MALENTIN KARIME\MANDATOS JUDICIALES\2021\MARTA TRIGO GALLARDO minuta.doc</t>
  </si>
  <si>
    <t>C:\Users\franc\OneDrive\Documentos\MALENTIN KARIME\MANDATOS JUDICIALES\2021\MIGUEL ALVARADO RAMIREZ.doc</t>
  </si>
  <si>
    <t>C:\Users\franc\OneDrive\Documentos\MALENTIN KARIME\MANDATOS JUDICIALES\2021\MARIA DIAZ DIAZ.doc</t>
  </si>
  <si>
    <t>C:\Users\franc\OneDrive\Documentos\MALENTIN KARIME\MANDATOS JUDICIALES\2021\MARIA ASCENCIO TRONCOSO Minuta.doc</t>
  </si>
  <si>
    <t>C:\Users\franc\OneDrive\Documentos\MALENTIN KARIME\MANDATOS JUDICIALES\2021\MANUEL RODRIGUEZ RODRIGUEZ.doc</t>
  </si>
  <si>
    <t>C:\Users\franc\OneDrive\Documentos\MALENTIN KARIME\MANDATOS JUDICIALES\2021\MANUEL CERDA CARRASCO.doc</t>
  </si>
  <si>
    <t>C:\Users\franc\OneDrive\Documentos\MALENTIN KARIME\MANDATOS JUDICIALES\2021\JUAN URRUTIA TAPIA.doc</t>
  </si>
  <si>
    <t>C:\Users\franc\OneDrive\Documentos\MALENTIN KARIME\MANDATOS JUDICIALES\2021\JUAN CHARNOCK.docx</t>
  </si>
  <si>
    <t>C:\Users\franc\OneDrive\Documentos\MALENTIN KARIME\MANDATOS JUDICIALES\2021\HUGO NAVARRO CORVALAN.doc</t>
  </si>
  <si>
    <t>C:\Users\franc\OneDrive\Documentos\MALENTIN KARIME\MANDATOS JUDICIALES\2021\GUILERMINA PORTILLA patrocinio.pdf</t>
  </si>
  <si>
    <t>C:\Users\franc\OneDrive\Documentos\MALENTIN KARIME\MANDATOS JUDICIALES\2021\FIDEL FREDES RAMIREZ Minuta.docx</t>
  </si>
  <si>
    <t>C:\Users\franc\OneDrive\Documentos\MALENTIN KARIME\MANDATOS JUDICIALES\2021\FERNANDA ELGUEDA ORREGO Minuta.doc</t>
  </si>
  <si>
    <t>C:\Users\franc\OneDrive\Documentos\MALENTIN KARIME\MANDATOS JUDICIALES\2021\ERNESTO BARRIOS CORTES Minuta.doc</t>
  </si>
  <si>
    <t>C:\Users\franc\OneDrive\Documentos\MALENTIN KARIME\MANDATOS JUDICIALES\2021\COOPERATIVA ELECTRICA LIMARI.doc</t>
  </si>
  <si>
    <t>C:\Users\franc\OneDrive\Documentos\MALENTIN KARIME\MANDATOS JUDICIALES\2021\EDUARDO LAZO PEREZ.doc</t>
  </si>
  <si>
    <t>C:\Users\franc\OneDrive\Documentos\MALENTIN KARIME\MANDATOS JUDICIALES\2021\CLAUDIA FARIAS CARVAJAL.doc</t>
  </si>
  <si>
    <t>C:\Users\franc\OneDrive\Documentos\MALENTIN KARIME\MANDATOS JUDICIALES\2021\BENITO GODOY GALLARDO.doc</t>
  </si>
  <si>
    <t>C:\Users\franc\OneDrive\Documentos\MALENTIN KARIME\MANDATOS JUDICIALES\2019\VICTOR CORTES ALFARO.doc</t>
  </si>
  <si>
    <t>C:\Users\franc\OneDrive\Documentos\MALENTIN KARIME\MANDATOS JUDICIALES\2019\MIRIAM ROJAS BERRIOS Minuta.doc</t>
  </si>
  <si>
    <t>C:\Users\franc\OneDrive\Documentos\MALENTIN KARIME\MANDATOS JUDICIALES\2019\INGENIERIA Y CONSTRUCCION DAYPEL LTDA..doc</t>
  </si>
  <si>
    <t>C:\Users\franc\OneDrive\Documentos\MALENTIN KARIME\MANDATOS JUDICIALES\2019\DIEGO BARRIENTOS.docx</t>
  </si>
  <si>
    <t>C:\Users\franc\OneDrive\Documentos\MALENTIN KARIME\MANDATOS JUDICIALES\2017\YESSICA ARAYA ROJAS Minuta.doc</t>
  </si>
  <si>
    <t>C:\Users\franc\OneDrive\Documentos\MALENTIN KARIME\MANDATOS JUDICIALES\2017\WILSON PORTILLA FLORES A María Marín Modelo notaria.doc</t>
  </si>
  <si>
    <t>C:\Users\franc\OneDrive\Documentos\MALENTIN KARIME\MANDATOS JUDICIALES\2017\VICTORIA PASTEN MOROSO Monte Patria.doc</t>
  </si>
  <si>
    <t>C:\Users\franc\OneDrive\Documentos\MALENTIN KARIME\MANDATOS JUDICIALES\2017\VALENTIN CONTRERAS OLIVARES Y OTRA.doc</t>
  </si>
  <si>
    <t>C:\Users\franc\OneDrive\Documentos\MALENTIN KARIME\MANDATOS JUDICIALES\2017\VICTOR JIMENEZ ARAYA.doc</t>
  </si>
  <si>
    <t>C:\Users\franc\OneDrive\Documentos\MALENTIN KARIME\MANDATOS JUDICIALES\2017\TANIA TAPJIA A VALERIA EGUILUZ Modelo notaria.doc</t>
  </si>
  <si>
    <t>C:\Users\franc\OneDrive\Documentos\MALENTIN KARIME\MANDATOS JUDICIALES\2017\SOC. AGRICOLA SAN CARLOS.doc</t>
  </si>
  <si>
    <t>C:\Users\franc\OneDrive\Documentos\MALENTIN KARIME\MANDATOS JUDICIALES\2017\SOC AGRICOLA CARVAJAL Y SALINAS LTDA. A Jose Contreras Mundaca 2018.doc</t>
  </si>
  <si>
    <t>C:\Users\franc\OneDrive\Documentos\MALENTIN KARIME\MANDATOS JUDICIALES\2017\SILVIA CORTES.doc</t>
  </si>
  <si>
    <t>C:\Users\franc\OneDrive\Documentos\MALENTIN KARIME\MANDATOS JUDICIALES\2017\SILVIA NARBONA CANGANA profe monte patria.doc</t>
  </si>
  <si>
    <t>C:\Users\franc\OneDrive\Documentos\MALENTIN KARIME\MANDATOS JUDICIALES\2017\SHELILA GONZALEZ A Rosa Pizarro Dubo.doc</t>
  </si>
  <si>
    <t>C:\Users\franc\OneDrive\Documentos\MALENTIN KARIME\MANDATOS JUDICIALES\2017\SERGIO CARMONA A Juan Perez Minuta.docx</t>
  </si>
  <si>
    <t>C:\Users\franc\OneDrive\Documentos\MALENTIN KARIME\MANDATOS JUDICIALES\2017\SANDRA MORALES MOROSO.doc</t>
  </si>
  <si>
    <t>C:\Users\franc\OneDrive\Documentos\MALENTIN KARIME\MANDATOS JUDICIALES\2017\RODRIGO VILLARROEL profe monte patria.doc</t>
  </si>
  <si>
    <t>C:\Users\franc\OneDrive\Documentos\MALENTIN KARIME\MANDATOS JUDICIALES\2017\ROCIO ARAYA PERALTA profe monte patria.doc</t>
  </si>
  <si>
    <t>C:\Users\franc\OneDrive\Documentos\MALENTIN KARIME\MANDATOS JUDICIALES\2017\ROCIO RAMIREZ A Raúl Rivera 2017.doc</t>
  </si>
  <si>
    <t>C:\Users\franc\OneDrive\Documentos\MALENTIN KARIME\MANDATOS JUDICIALES\2017\RICARDO PERALTA ARYA A Liliana Castro.doc</t>
  </si>
  <si>
    <t>C:\Users\franc\OneDrive\Documentos\MALENTIN KARIME\MANDATOS JUDICIALES\2017\RICARDO ROJAS OGALDE A Dario Chacon.doc</t>
  </si>
  <si>
    <t>C:\Users\franc\OneDrive\Documentos\MALENTIN KARIME\MANDATOS JUDICIALES\2017\PROFESORES Rio Hurtado.doc</t>
  </si>
  <si>
    <t>C:\Users\franc\OneDrive\Documentos\MALENTIN KARIME\MANDATOS JUDICIALES\2017\RAQUEL CONTRERAS ABDALA Y OTROS A CRISTOPHER NUÑEZ PIZARRO 2018 (x minuta).doc</t>
  </si>
  <si>
    <t>C:\Users\franc\OneDrive\Documentos\MALENTIN KARIME\MANDATOS JUDICIALES\2017\PROFESORES PUNITAQUI A Patricio Bel 2017 VI.doc</t>
  </si>
  <si>
    <t>C:\Users\franc\OneDrive\Documentos\MALENTIN KARIME\MANDATOS JUDICIALES\2017\PROFESORES PUNITAQUI Hugo Aguirre.doc</t>
  </si>
  <si>
    <t>C:\Users\franc\OneDrive\Documentos\MALENTIN KARIME\MANDATOS JUDICIALES\2017\PROFESORES PUNITAQUI A Patricio Bel 2017 V.doc</t>
  </si>
  <si>
    <t>C:\Users\franc\OneDrive\Documentos\MALENTIN KARIME\MANDATOS JUDICIALES\2017\PROFESORES PUNITAQUI A Patricio Bel 2017 IV.doc</t>
  </si>
  <si>
    <t>C:\Users\franc\OneDrive\Documentos\MALENTIN KARIME\MANDATOS JUDICIALES\2017\PROFESORES PUNITAQUI A Patricio Bel 2017 III.doc</t>
  </si>
  <si>
    <t>C:\Users\franc\OneDrive\Documentos\MALENTIN KARIME\MANDATOS JUDICIALES\2017\PROFESORES PUNITAQUI A Patricio Bel 2017 I.doc</t>
  </si>
  <si>
    <t>C:\Users\franc\OneDrive\Documentos\MALENTIN KARIME\MANDATOS JUDICIALES\2017\PROFESORES PUNITAQUI A Patricio Bel 2017 II.doc</t>
  </si>
  <si>
    <t>C:\Users\franc\OneDrive\Documentos\MALENTIN KARIME\MANDATOS JUDICIALES\2017\PROFESORES PUNITAQUI A Marta Castillo VIII.doc</t>
  </si>
  <si>
    <t>C:\Users\franc\OneDrive\Documentos\MALENTIN KARIME\MANDATOS JUDICIALES\2017\PEDRO MUÑOZ DIAZ A Teresita Muñoz.doc</t>
  </si>
  <si>
    <t>C:\Users\franc\OneDrive\Documentos\MALENTIN KARIME\MANDATOS JUDICIALES\2017\PROFESORES PUNITAQUI A Marta Castillo VII.doc</t>
  </si>
  <si>
    <t>C:\Users\franc\OneDrive\Documentos\MALENTIN KARIME\MANDATOS JUDICIALES\2017\PATRICIO NUÑEZ TORREJON.doc</t>
  </si>
  <si>
    <t>C:\Users\franc\OneDrive\Documentos\MALENTIN KARIME\MANDATOS JUDICIALES\2017\PAMELA ROJAS A Ingrid Nayem.doc</t>
  </si>
  <si>
    <t>C:\Users\franc\OneDrive\Documentos\MALENTIN KARIME\MANDATOS JUDICIALES\2017\PABLO ARANCIBIA ZAMBRA A Eduardo Díaz 2018 minuta.doc</t>
  </si>
  <si>
    <t>C:\Users\franc\OneDrive\Documentos\MALENTIN KARIME\MANDATOS JUDICIALES\2017\OSCAR ROJAS HIDALGO A Patricio Diaz 2018.doc</t>
  </si>
  <si>
    <t>C:\Users\franc\OneDrive\Documentos\MALENTIN KARIME\MANDATOS JUDICIALES\2017\NALDA DEL CARMEN SANTANDER ARAYA mandato electronico.docx</t>
  </si>
  <si>
    <t>C:\Users\franc\OneDrive\Documentos\MALENTIN KARIME\MANDATOS JUDICIALES\2017\MIRIAM CONTRERAS profe monte patria.doc</t>
  </si>
  <si>
    <t>C:\Users\franc\OneDrive\Documentos\MALENTIN KARIME\MANDATOS JUDICIALES\2017\Modelo notaria.doc</t>
  </si>
  <si>
    <t>C:\Users\franc\OneDrive\Documentos\MALENTIN KARIME\MANDATOS JUDICIALES\2017\minera punitaqui a jaime alzaman.doc</t>
  </si>
  <si>
    <t>C:\Users\franc\OneDrive\Documentos\MALENTIN KARIME\MANDATOS JUDICIALES\2017\MAURO GUERRA A Gabriela Almarza.doc</t>
  </si>
  <si>
    <t>C:\Users\franc\OneDrive\Documentos\MALENTIN KARIME\MANDATOS JUDICIALES\2017\MARIO CASTILLO TAPIA A luis leal.doc</t>
  </si>
  <si>
    <t>C:\Users\franc\OneDrive\Documentos\MALENTIN KARIME\MANDATOS JUDICIALES\2017\MARIA GALLARDO MUÑOZ A María Marin 2018.doc</t>
  </si>
  <si>
    <t>C:\Users\franc\OneDrive\Documentos\MALENTIN KARIME\MANDATOS JUDICIALES\2017\MARIA PALACIOS 2018 Minuta.doc</t>
  </si>
  <si>
    <t>C:\Users\franc\OneDrive\Documentos\MALENTIN KARIME\MANDATOS JUDICIALES\2017\MARIA ANGEL PIZARRO.doc</t>
  </si>
  <si>
    <t>C:\Users\franc\OneDrive\Documentos\MALENTIN KARIME\MANDATOS JUDICIALES\2017\MARGOT CONTRERAS BARRAZA Y otros Monte Patria.doc</t>
  </si>
  <si>
    <t>C:\Users\franc\OneDrive\Documentos\MALENTIN KARIME\MANDATOS JUDICIALES\2017\MARGOT CONTRERAS BARRAZA profesores monte patria.doc</t>
  </si>
  <si>
    <t>C:\Users\franc\OneDrive\Documentos\MALENTIN KARIME\MANDATOS JUDICIALES\2017\MARCELINO GALLARDO CORTES.doc</t>
  </si>
  <si>
    <t>C:\Users\franc\OneDrive\Documentos\MALENTIN KARIME\MANDATOS JUDICIALES\2017\MAGDA ALVARADO 2018.doc</t>
  </si>
  <si>
    <t>C:\Users\franc\OneDrive\Documentos\MALENTIN KARIME\MANDATOS JUDICIALES\2017\LUISA VILLALOBOS 2017.doc</t>
  </si>
  <si>
    <t>C:\Users\franc\OneDrive\Documentos\MALENTIN KARIME\MANDATOS JUDICIALES\2017\LUIS GUERRA ROJAS A Francisco Pizarro Peña 2017.doc</t>
  </si>
  <si>
    <t>C:\Users\franc\OneDrive\Documentos\MALENTIN KARIME\MANDATOS JUDICIALES\2017\LUICIA VALDIVIA DELGADO Mintua.doc</t>
  </si>
  <si>
    <t>C:\Users\franc\OneDrive\Documentos\MALENTIN KARIME\MANDATOS JUDICIALES\2017\LUCIA CALDERON PLAZA Y OTROS Modelo notaria.doc</t>
  </si>
  <si>
    <t>C:\Users\franc\OneDrive\Documentos\MALENTIN KARIME\MANDATOS JUDICIALES\2017\LAURA MARDONES CORTES A Jacqueline Torres.doc</t>
  </si>
  <si>
    <t>C:\Users\franc\OneDrive\Documentos\MALENTIN KARIME\MANDATOS JUDICIALES\2017\LASTENIA DUBO SEGOVIA A BARBARA ALVAYAY2018.doc</t>
  </si>
  <si>
    <t>C:\Users\franc\OneDrive\Documentos\MALENTIN KARIME\MANDATOS JUDICIALES\2017\KENNY IBACACHE ARANCIBIA 2018.docx</t>
  </si>
  <si>
    <t>C:\Users\franc\OneDrive\Documentos\MALENTIN KARIME\MANDATOS JUDICIALES\2017\JULIO LOPEZ MALDONADO A Guillermo Ortega.docx</t>
  </si>
  <si>
    <t>C:\Users\franc\OneDrive\Documentos\MALENTIN KARIME\MANDATOS JUDICIALES\2017\JUANA RIVERA TAPIA2017.doc</t>
  </si>
  <si>
    <t>C:\Users\franc\OneDrive\Documentos\MALENTIN KARIME\MANDATOS JUDICIALES\2017\JUANA PARRA CARVAJAL.doc</t>
  </si>
  <si>
    <t>C:\Users\franc\OneDrive\Documentos\MALENTIN KARIME\MANDATOS JUDICIALES\2017\JOSE ARDILES Modelo notaria.doc</t>
  </si>
  <si>
    <t>C:\Users\franc\OneDrive\Documentos\MALENTIN KARIME\MANDATOS JUDICIALES\2017\JOSE LUIS BARRIOS A Ariel Gonzalez.doc</t>
  </si>
  <si>
    <t>C:\Users\franc\OneDrive\Documentos\MALENTIN KARIME\MANDATOS JUDICIALES\2017\JORGE ALEJANDRO RIVERA TAPIA mandato minuta.doc</t>
  </si>
  <si>
    <t>C:\Users\franc\OneDrive\Documentos\MALENTIN KARIME\MANDATOS JUDICIALES\2017\JORGE CISTERNAS ORTIZ 2018.doc</t>
  </si>
  <si>
    <t>C:\Users\franc\OneDrive\Documentos\MALENTIN KARIME\MANDATOS JUDICIALES\2017\JOHONY OPAZO ZEBALLOS (mandato judicial).docx</t>
  </si>
  <si>
    <t>C:\Users\franc\OneDrive\Documentos\MALENTIN KARIME\MANDATOS JUDICIALES\2017\JOHONY OPAZO 2017.doc</t>
  </si>
  <si>
    <t>C:\Users\franc\OneDrive\Documentos\MALENTIN KARIME\MANDATOS JUDICIALES\2017\JOHANNA AGUILERA ORELLANA.doc</t>
  </si>
  <si>
    <t>C:\Users\franc\OneDrive\Documentos\MALENTIN KARIME\MANDATOS JUDICIALES\2017\JOHANNA AGUILERA.doc</t>
  </si>
  <si>
    <t>C:\Users\franc\OneDrive\Documentos\MALENTIN KARIME\MANDATOS JUDICIALES\2017\JILBERTO DURAN A FLAVIO GOMEZ 2014.doc</t>
  </si>
  <si>
    <t>C:\Users\franc\OneDrive\Documentos\MALENTIN KARIME\MANDATOS JUDICIALES\2017\JOE BUGUEÑO OLIVARES Y OTROS profe monte patria.doc</t>
  </si>
  <si>
    <t>C:\Users\franc\OneDrive\Documentos\MALENTIN KARIME\MANDATOS JUDICIALES\2017\IRIS GALLEGUILLOS Modelo notaria.doc</t>
  </si>
  <si>
    <t>C:\Users\franc\OneDrive\Documentos\MALENTIN KARIME\MANDATOS JUDICIALES\2017\INELDA BERNAL Y OTRO Modelo notaria.doc</t>
  </si>
  <si>
    <t>C:\Users\franc\OneDrive\Documentos\MALENTIN KARIME\MANDATOS JUDICIALES\2017\HUGO ROJAS A Juan Perez.doc</t>
  </si>
  <si>
    <t>C:\Users\franc\OneDrive\Documentos\MALENTIN KARIME\MANDATOS JUDICIALES\2017\HERNAN PIZARRO A Alfonso Ocampo minuta.docx</t>
  </si>
  <si>
    <t>C:\Users\franc\OneDrive\Documentos\MALENTIN KARIME\MANDATOS JUDICIALES\2017\HUGO OLMEDO A Manuel Fouere.doc</t>
  </si>
  <si>
    <t>C:\Users\franc\OneDrive\Documentos\MALENTIN KARIME\MANDATOS JUDICIALES\2017\HANS HONORES 2018.doc</t>
  </si>
  <si>
    <t>C:\Users\franc\OneDrive\Documentos\MALENTIN KARIME\MANDATOS JUDICIALES\2017\GREGORIO ALQUINTA 2018.doc</t>
  </si>
  <si>
    <t>C:\Users\franc\OneDrive\Documentos\MALENTIN KARIME\MANDATOS JUDICIALES\2017\FELIPE VELASQUEZ MEspecial.doc</t>
  </si>
  <si>
    <t>C:\Users\franc\OneDrive\Documentos\MALENTIN KARIME\MANDATOS JUDICIALES\2017\FANNY ALEJANDRA TORRES ROJO Monte Patria.doc</t>
  </si>
  <si>
    <t>C:\Users\franc\OneDrive\Documentos\MALENTIN KARIME\MANDATOS JUDICIALES\2017\EVA MORGADO A TAPIA  A Sergio Peralta.doc</t>
  </si>
  <si>
    <t>C:\Users\franc\OneDrive\Documentos\MALENTIN KARIME\MANDATOS JUDICIALES\2017\Emanuel Acuña  a Gustavo Gacitua.doc</t>
  </si>
  <si>
    <t>C:\Users\franc\OneDrive\Documentos\MALENTIN KARIME\MANDATOS JUDICIALES\2017\ELENA GALLEGUILLOS.doc</t>
  </si>
  <si>
    <t>C:\Users\franc\OneDrive\Documentos\MALENTIN KARIME\MANDATOS JUDICIALES\2017\EDUARDO ARAYA CASTILLO 2018.doc</t>
  </si>
  <si>
    <t>C:\Users\franc\OneDrive\Documentos\MALENTIN KARIME\MANDATOS JUDICIALES\2017\DIOSELINDA VELIZ PIZARRO Y OTRA A Boris Carvajal Notaria.doc</t>
  </si>
  <si>
    <t>C:\Users\franc\OneDrive\Documentos\MALENTIN KARIME\MANDATOS JUDICIALES\2017\DAVID TRONCOSO SAAVEDRA.doc</t>
  </si>
  <si>
    <t>C:\Users\franc\OneDrive\Documentos\MALENTIN KARIME\MANDATOS JUDICIALES\2017\CRISTIAN JIMENEZ A VALERIA EGUILUZ Modelo notaria.doc</t>
  </si>
  <si>
    <t>C:\Users\franc\OneDrive\Documentos\MALENTIN KARIME\MANDATOS JUDICIALES\2017\CRISTIAN CASTRO GARCIA Modelo notaria.doc</t>
  </si>
  <si>
    <t>C:\Users\franc\OneDrive\Documentos\MALENTIN KARIME\MANDATOS JUDICIALES\2017\CERRILLOS DE TAMAYA S.A. A luis urqueta.doc</t>
  </si>
  <si>
    <t>C:\Users\franc\OneDrive\Documentos\MALENTIN KARIME\MANDATOS JUDICIALES\2017\CECILIA CORTES FLORES Mjudicial.docx</t>
  </si>
  <si>
    <t>C:\Users\franc\OneDrive\Documentos\MALENTIN KARIME\MANDATOS JUDICIALES\2017\CARMEN CASTILLO A David Bugueño.doc</t>
  </si>
  <si>
    <t>C:\Users\franc\OneDrive\Documentos\MALENTIN KARIME\MANDATOS JUDICIALES\2017\BENITO CASTAÑEDA minuta.docx</t>
  </si>
  <si>
    <t>C:\Users\franc\OneDrive\Documentos\MALENTIN KARIME\MANDATOS JUDICIALES\2017\CARLOS CASTILLO minuta.doc</t>
  </si>
  <si>
    <t>C:\Users\franc\OneDrive\Documentos\MALENTIN KARIME\MANDATOS JUDICIALES\2017\BARBARA PIZARRO 2018 por menores Modelo notaria.doc</t>
  </si>
  <si>
    <t>C:\Users\franc\OneDrive\Documentos\MALENTIN KARIME\MANDATOS JUDICIALES\2017\ASOCIACION FENATS HOSPITAL.doc</t>
  </si>
  <si>
    <t>C:\Users\franc\OneDrive\Documentos\MALENTIN KARIME\MANDATOS JUDICIALES\2016\ULISES UBILLO Divorcio minuta.doc</t>
  </si>
  <si>
    <t>C:\Users\franc\OneDrive\Documentos\MALENTIN KARIME\MANDATOS JUDICIALES\2016\SOCIEDAD AGRICOLA MIALQUI.doc</t>
  </si>
  <si>
    <t>C:\Users\franc\OneDrive\Documentos\MALENTIN KARIME\MANDATOS JUDICIALES\2016\ROMMY DIAZ A ANDRES CELEDON.doc</t>
  </si>
  <si>
    <t>C:\Users\franc\OneDrive\Documentos\MALENTIN KARIME\MANDATOS JUDICIALES\2016\ROBERTO TORRES Especial.doc</t>
  </si>
  <si>
    <t>C:\Users\franc\OneDrive\Documentos\MALENTIN KARIME\MANDATOS JUDICIALES\2016\RAUL PINTO CONCHA Minuta.doc</t>
  </si>
  <si>
    <t>C:\Users\franc\OneDrive\Documentos\MALENTIN KARIME\MANDATOS JUDICIALES\2016\OSVALDINA JERALDO Minuta.doc</t>
  </si>
  <si>
    <t>C:\Users\franc\OneDrive\Documentos\MALENTIN KARIME\MANDATOS JUDICIALES\2016\PATRICIO ESCOBAR A Gonzalo Phillips.doc</t>
  </si>
  <si>
    <t>C:\Users\franc\OneDrive\Documentos\MALENTIN KARIME\MANDATOS JUDICIALES\2016\OSMAN CORTES A CARLOS EYZAGUIRRE Minuta.doc</t>
  </si>
  <si>
    <t>C:\Users\franc\OneDrive\Documentos\MALENTIN KARIME\MANDATOS JUDICIALES\2016\oscar rojas hidalgo.doc</t>
  </si>
  <si>
    <t>C:\Users\franc\OneDrive\Documentos\MALENTIN KARIME\MANDATOS JUDICIALES\2016\MARTHA ALICIA CASTILLO ROJAS A Sebastian Huerta.doc</t>
  </si>
  <si>
    <t>C:\Users\franc\OneDrive\Documentos\MALENTIN KARIME\MANDATOS JUDICIALES\2016\MARCO LOPEZ CORTES Minuta.doc</t>
  </si>
  <si>
    <t>C:\Users\franc\OneDrive\Documentos\MALENTIN KARIME\MANDATOS JUDICIALES\2016\JUAN MANCILLA.doc</t>
  </si>
  <si>
    <t>C:\Users\franc\OneDrive\Documentos\MALENTIN KARIME\MANDATOS JUDICIALES\2016\HECTOR RIVERA MEspecial.doc</t>
  </si>
  <si>
    <t>C:\Users\franc\OneDrive\Documentos\MALENTIN KARIME\MANDATOS JUDICIALES\2016\GLORIA HERRERA JARA A William Gallegos.doc</t>
  </si>
  <si>
    <t>C:\Users\franc\OneDrive\Documentos\MALENTIN KARIME\MANDATOS JUDICIALES\2016\ERIC CASTILLO MICHEA.doc</t>
  </si>
  <si>
    <t>C:\Users\franc\OneDrive\Documentos\MALENTIN KARIME\MANDATOS JUDICIALES\2016\FRANCO SOLAR GUERRERO minuta.doc</t>
  </si>
  <si>
    <t>C:\Users\franc\OneDrive\Documentos\MALENTIN KARIME\MANDATOS JUDICIALES\2016\ELIAS RAMIREZ ARAYA Final.doc</t>
  </si>
  <si>
    <t>C:\Users\franc\OneDrive\Documentos\MALENTIN KARIME\MANDATOS JUDICIALES\2016\ELIAS RAMIREZ A JOHN GALLARDO GOMEZ.doc</t>
  </si>
  <si>
    <t>C:\Users\franc\OneDrive\Documentos\MALENTIN KARIME\MANDATOS JUDICIALES\2016\CRISTIAN RAMIREZ RODRIGUEZ A Patricio Moyla.doc</t>
  </si>
  <si>
    <t>C:\Users\franc\OneDrive\Documentos\MALENTIN KARIME\MANDATOS JUDICIALES\2016\DUAMEL YAÑEZ Minuta.doc</t>
  </si>
  <si>
    <t>C:\Users\franc\OneDrive\Documentos\MALENTIN KARIME\MANDATOS JUDICIALES\2016\ANDREA CODOCOEO Y OTROS MANDATO JUDICIAL CORREGIDO..doc</t>
  </si>
  <si>
    <t>C:\Users\franc\OneDrive\Documentos\MALENTIN KARIME\MANDATOS JUDICIALES\2016\ANDREA NAVEA ROBLES A Placido Navea.doc</t>
  </si>
  <si>
    <t>C:\Users\franc\OneDrive\Documentos\MALENTIN KARIME\MANDATOS JUDICIALES\2016\ALEXIS JIMENEZ PEREZ.doc</t>
  </si>
  <si>
    <t>C:\Users\franc\OneDrive\Documentos\MALENTIN KARIME\MANDATOS JUDICIALES\2015\YAMILET ALFARO A Camila Cortes.doc</t>
  </si>
  <si>
    <t>C:\Users\franc\OneDrive\Documentos\MALENTIN KARIME\MANDATOS JUDICIALES\2015\VICTORIA GARATE POBLETE Minuta 2015.doc</t>
  </si>
  <si>
    <t>C:\Users\franc\OneDrive\Documentos\MALENTIN KARIME\MANDATOS JUDICIALES\2015\SILVIA CONTADOR Judicial Especial2015.doc</t>
  </si>
  <si>
    <t>C:\Users\franc\OneDrive\Documentos\MALENTIN KARIME\MANDATOS JUDICIALES\2015\ROSAMEL OPAZO especial.doc</t>
  </si>
  <si>
    <t>C:\Users\franc\OneDrive\Documentos\MALENTIN KARIME\MANDATOS JUDICIALES\2015\SANDRO LOPEZ A ERICA SEPULVEDA Minuta.doc</t>
  </si>
  <si>
    <t>C:\Users\franc\OneDrive\Documentos\MALENTIN KARIME\MANDATOS JUDICIALES\2015\ROSA VEGA MICHEA A Ivan Olavarria Mandato con formato notaria.doc</t>
  </si>
  <si>
    <t>C:\Users\franc\OneDrive\Documentos\MALENTIN KARIME\MANDATOS JUDICIALES\2015\RODOLFO FERNANDEZ MIRANDA Minuta.doc</t>
  </si>
  <si>
    <t>C:\Users\franc\OneDrive\Documentos\MALENTIN KARIME\MANDATOS JUDICIALES\2015\RODRIGO ORTIZ Mandato con formato notaria.doc</t>
  </si>
  <si>
    <t>C:\Users\franc\OneDrive\Documentos\MALENTIN KARIME\MANDATOS JUDICIALES\2015\RIGOBERTO LOBOS MARTINEZ Minutaç.doc</t>
  </si>
  <si>
    <t>C:\Users\franc\OneDrive\Documentos\MALENTIN KARIME\MANDATOS JUDICIALES\2015\RICARDO GOMEZ ANGEL.doc</t>
  </si>
  <si>
    <t>C:\Users\franc\OneDrive\Documentos\MALENTIN KARIME\MANDATOS JUDICIALES\2015\RICARDO ADONES A Mauricio Cortes.doc</t>
  </si>
  <si>
    <t>C:\Users\franc\OneDrive\Documentos\MALENTIN KARIME\MANDATOS JUDICIALES\2015\PAULINA ZAMORA A Werner Dufey Minuta.doc</t>
  </si>
  <si>
    <t>C:\Users\franc\OneDrive\Documentos\MALENTIN KARIME\MANDATOS JUDICIALES\2015\RAMON ARANCIBIA A JOSE SALAZAR.doc</t>
  </si>
  <si>
    <t>C:\Users\franc\OneDrive\Documentos\MALENTIN KARIME\MANDATOS JUDICIALES\2015\PABLO MARIN MADARIAGA A Diego Soto Minuta.doc</t>
  </si>
  <si>
    <t>C:\Users\franc\OneDrive\Documentos\MALENTIN KARIME\MANDATOS JUDICIALES\2015\OSCAR CARDENAS A Nicolas Marquez.doc</t>
  </si>
  <si>
    <t>C:\Users\franc\OneDrive\Documentos\MALENTIN KARIME\MANDATOS JUDICIALES\2015\OSMAN CORTES A DANIELA DIAZ.doc</t>
  </si>
  <si>
    <t>C:\Users\franc\OneDrive\Documentos\MALENTIN KARIME\MANDATOS JUDICIALES\2015\OMAR SEGOVIA TABILO Y OTRO Mandato con formato notaria.doc</t>
  </si>
  <si>
    <t>C:\Users\franc\OneDrive\Documentos\MALENTIN KARIME\MANDATOS JUDICIALES\2015\NESTOR TARBES SOTO Mandato con formato notaria.doc</t>
  </si>
  <si>
    <t>C:\Users\franc\OneDrive\Documentos\MALENTIN KARIME\MANDATOS JUDICIALES\2015\MAURICIO AGUILERA A Efraín Villalobos.doc</t>
  </si>
  <si>
    <t>C:\Users\franc\OneDrive\Documentos\MALENTIN KARIME\MANDATOS JUDICIALES\2015\MARCELO FIGUEROA A Sebastian Covarrubias minuta.doc</t>
  </si>
  <si>
    <t>C:\Users\franc\OneDrive\Documentos\MALENTIN KARIME\MANDATOS JUDICIALES\2015\LUISA GODOY CHARLIN Minuta.doc</t>
  </si>
  <si>
    <t>C:\Users\franc\OneDrive\Documentos\MALENTIN KARIME\MANDATOS JUDICIALES\2015\LEONARDO IRARRAZABAL Minuta.doc</t>
  </si>
  <si>
    <t>C:\Users\franc\OneDrive\Documentos\MALENTIN KARIME\MANDATOS JUDICIALES\2015\JUAN ORDENES SALINAS Minuta.doc</t>
  </si>
  <si>
    <t>C:\Users\franc\OneDrive\Documentos\MALENTIN KARIME\MANDATOS JUDICIALES\2015\JUAN ORDENES SALINAS Minuta visto bueno.doc</t>
  </si>
  <si>
    <t>C:\Users\franc\OneDrive\Documentos\MALENTIN KARIME\MANDATOS JUDICIALES\2015\JUAN MUÑOZ CONTRERAS Minuta.doc</t>
  </si>
  <si>
    <t>C:\Users\franc\OneDrive\Documentos\MALENTIN KARIME\MANDATOS JUDICIALES\2015\JUAN HERNANDEZ A LUIS CHINCON.doc</t>
  </si>
  <si>
    <t>C:\Users\franc\OneDrive\Documentos\MALENTIN KARIME\MANDATOS JUDICIALES\2015\JONATHAN PÓNCE.doc</t>
  </si>
  <si>
    <t>C:\Users\franc\OneDrive\Documentos\MALENTIN KARIME\MANDATOS JUDICIALES\2015\JENNY CASTILLO A JORGE HENRIQUEZ Mandato con formato notaria.doc</t>
  </si>
  <si>
    <t>C:\Users\franc\OneDrive\Documentos\MALENTIN KARIME\MANDATOS JUDICIALES\2015\HUGO ANDRADE A JOSE ILABACA Minuta Agosto 2015.doc</t>
  </si>
  <si>
    <t>C:\Users\franc\OneDrive\Documentos\MALENTIN KARIME\MANDATOS JUDICIALES\2015\JENNY ARGANDOÑA A Ivan Olavarria Mandato con formato notaria.doc</t>
  </si>
  <si>
    <t>C:\Users\franc\OneDrive\Documentos\MALENTIN KARIME\MANDATOS JUDICIALES\2015\GIN ROBLES A LUIS MENARES Mandato con formato notaria.doc</t>
  </si>
  <si>
    <t>C:\Users\franc\OneDrive\Documentos\MALENTIN KARIME\MANDATOS JUDICIALES\2015\GEDEON ARAYA MUÑOZmandato para Antofagasta (actualizado).doc</t>
  </si>
  <si>
    <t>C:\Users\franc\OneDrive\Documentos\MALENTIN KARIME\MANDATOS JUDICIALES\2015\FDO PEÑAFIEL.doc</t>
  </si>
  <si>
    <t>C:\Users\franc\OneDrive\Documentos\MALENTIN KARIME\MANDATOS JUDICIALES\2015\EDITH RIVERA HERRERA A ALDO ROJAS minuta.doc</t>
  </si>
  <si>
    <t>C:\Users\franc\OneDrive\Documentos\MALENTIN KARIME\MANDATOS JUDICIALES\2015\DANIEL LEON ASTORGA Mandato con formato notaria.doc</t>
  </si>
  <si>
    <t>C:\Users\franc\OneDrive\Documentos\MALENTIN KARIME\MANDATOS JUDICIALES\2015\CRISTIAN MOYA-1.docx</t>
  </si>
  <si>
    <t>C:\Users\franc\OneDrive\Documentos\MALENTIN KARIME\MANDATOS JUDICIALES\2015\COMUNIDAD AGRICOLA ORURO A Sebastian Covarrubias.doc</t>
  </si>
  <si>
    <t>C:\Users\franc\OneDrive\Documentos\MALENTIN KARIME\MANDATOS JUDICIALES\2015\CESAR FLORES ROJAS A Jose Troya Mandato particion.doc</t>
  </si>
  <si>
    <t>C:\Users\franc\OneDrive\Documentos\MALENTIN KARIME\MANDATOS JUDICIALES\2015\CARLOS ROJAS NUÑEZ A Gozalo Cangas.doc</t>
  </si>
  <si>
    <t>C:\Users\franc\OneDrive\Documentos\MALENTIN KARIME\MANDATOS JUDICIALES\2015\BRAULIO MUÑOZ VEGA A Ivan Olavarria Mandato con formato notaria.doc</t>
  </si>
  <si>
    <t>C:\Users\franc\OneDrive\Documentos\MALENTIN KARIME\MANDATOS JUDICIALES\2015\ANTONIO ACUÑA ALFAROJudicial Especial.doc</t>
  </si>
  <si>
    <t>C:\Users\franc\OneDrive\Documentos\MALENTIN KARIME\MANDATOS JUDICIALES\2015\ANDRES VILLALOBOS Minuta.doc</t>
  </si>
  <si>
    <t>C:\Users\franc\OneDrive\Documentos\MALENTIN KARIME\MANDATOS JUDICIALES\2015\ALEXIS BRIONES A CHRISITIAN CASTRO Minuta.doc</t>
  </si>
  <si>
    <t>C:\Users\franc\OneDrive\Documentos\MALENTIN KARIME\MANDATOS JUDICIALES\2015\ANA OLIVARES CASTILLO Minuta.doc</t>
  </si>
  <si>
    <t>C:\Users\franc\OneDrive\Documentos\MALENTIN KARIME\MANDATOS JUDICIALES\2015\ALEX FLORES HIDALGO A WERNER DUFEY.doc</t>
  </si>
  <si>
    <t>C:\Users\franc\OneDrive\Documentos\MALENTIN KARIME\MANDATOS JUDICIALES\2015\ALDO CARVAJAL LARA Formato notaria.doc</t>
  </si>
  <si>
    <t>C:\Users\franc\OneDrive\Documentos\MALENTIN KARIME\MANDATOS JUDICIALES\2014\SARA MALUENDA A OSCAR MELLLA externo.doc</t>
  </si>
  <si>
    <t>C:\Users\franc\OneDrive\Documentos\MALENTIN KARIME\MANDATOS JUDICIALES\2014\VICTOR ABALOS MORALES A Sebastian Castro Jun 14.doc</t>
  </si>
  <si>
    <t>C:\Users\franc\OneDrive\Documentos\MALENTIN KARIME\MANDATOS JUDICIALES\2014\RICARDO GALLARDO Minuta.doc</t>
  </si>
  <si>
    <t>C:\Users\franc\OneDrive\Documentos\MALENTIN KARIME\MANDATOS JUDICIALES\2014\NIVALDO CAMPOS minuta.doc</t>
  </si>
  <si>
    <t>C:\Users\franc\OneDrive\Documentos\MALENTIN KARIME\MANDATOS JUDICIALES\2014\MERCEDES PIZARRO A MIGUEL BADILLA.doc</t>
  </si>
  <si>
    <t>C:\Users\franc\OneDrive\Documentos\MALENTIN KARIME\MANDATOS JUDICIALES\2014\NIBALDO ALVAREZ A PETER TAPIA Minuta.doc</t>
  </si>
  <si>
    <t>C:\Users\franc\OneDrive\Documentos\MALENTIN KARIME\MANDATOS JUDICIALES\2014\MARIA ARAYA VEGA A MARIA YAGUNA NUEVA FINAL Minuta.doc</t>
  </si>
  <si>
    <t>C:\Users\franc\OneDrive\Documentos\MALENTIN KARIME\MANDATOS JUDICIALES\2014\MARIA ARAYA VEGA A FERNANDO MANDIOLA Minuta.doc</t>
  </si>
  <si>
    <t>C:\Users\franc\OneDrive\Documentos\MALENTIN KARIME\MANDATOS JUDICIALES\2014\MARCOS VILLARROEL Minuta.docx</t>
  </si>
  <si>
    <t>C:\Users\franc\OneDrive\Documentos\MALENTIN KARIME\MANDATOS JUDICIALES\2014\ESTEBAN GUERRERO A Gina Maray.doc</t>
  </si>
  <si>
    <t>C:\Users\franc\OneDrive\Documentos\MALENTIN KARIME\MANDATOS JUDICIALES\2014\EDGARDO ROJAS A PAULINA CELIS Mandato y  mutuo acuerdo.doc</t>
  </si>
  <si>
    <t>C:\Users\franc\OneDrive\Documentos\MALENTIN KARIME\MANDATOS JUDICIALES\2014\DANIEL RIVERA A Jorge VIllar.doc</t>
  </si>
  <si>
    <t>C:\Users\franc\OneDrive\Documentos\MALENTIN KARIME\MANDATOS JUDICIALES\2014\COMUNIDAD CARRIZO Y MENDOZA A Jorge VIllar Minuta.doc</t>
  </si>
  <si>
    <t>C:\Users\franc\OneDrive\Documentos\MALENTIN KARIME\MANDATOS JUDICIALES\2014\CESAR ALFARO A Rodrigo Antiquera.doc</t>
  </si>
  <si>
    <t>C:\Users\franc\OneDrive\Documentos\MALENTIN KARIME\MANDATOS JUDICIALES\2014\ANTONIO RODRIGUEZ GARCIA A Kenneth Romero minuta.doc</t>
  </si>
  <si>
    <t>C:\Users\franc\OneDrive\Documentos\MALENTIN KARIME\MANDATOS JUDICIALES\2014\ADRIANA CASTILLO ARAYA A Karina Toro Minuta.doc</t>
  </si>
  <si>
    <t>C:\Users\franc\OneDrive\Documentos\MALENTIN KARIME\MANDATOS JUDICIALES\2014\ANTONIA CHIRINO A PATRICIO LOPEZ.doc</t>
  </si>
  <si>
    <t>C:\Users\franc\OneDrive\Documentos\MALENTIN KARIME\MANDATOS JUDICIALES\2014\ADRIANA CASTILLO ARAYA A Karina Toro Minuta NUEVA.doc</t>
  </si>
  <si>
    <t>C:\Users\franc\OneDrive\Documentos\MALENTIN KARIME\MANDATOS JUDICIALES\YASNA CORTES A SHERIEL BUSTOS 2222.doc</t>
  </si>
  <si>
    <t>C:\Users\franc\OneDrive\Documentos\MALENTIN KARIME\MANDATOS JUDICIALES\YASNA CORTES A SHERIEL BUSTOS.doc</t>
  </si>
  <si>
    <t>C:\Users\franc\OneDrive\Documentos\MALENTIN KARIME\MANDATOS JUDICIALES\VICTOR TAPIA ROJAS Minuta.doc</t>
  </si>
  <si>
    <t>C:\Users\franc\OneDrive\Documentos\MALENTIN KARIME\MANDATOS JUDICIALES\TERESA DEL TRANSITO CORTES TELLO.doc</t>
  </si>
  <si>
    <t>C:\Users\franc\OneDrive\Documentos\MALENTIN KARIME\MANDATOS JUDICIALES\SUSANA ROJAS CARVAJAL.doc</t>
  </si>
  <si>
    <t>C:\Users\franc\OneDrive\Documentos\MALENTIN KARIME\MANDATOS JUDICIALES\SUCESION UREN CORTES II Parte.doc</t>
  </si>
  <si>
    <t>C:\Users\franc\OneDrive\Documentos\MALENTIN KARIME\MANDATOS JUDICIALES\SUCESION UREN CORTES.doc</t>
  </si>
  <si>
    <t>C:\Users\franc\OneDrive\Documentos\MALENTIN KARIME\MANDATOS JUDICIALES\SUSANA ROJAS CARVAJAL 2.doc</t>
  </si>
  <si>
    <t>C:\Users\franc\OneDrive\Documentos\MALENTIN KARIME\MANDATOS JUDICIALES\SUCESION CASTILLO IBACACHE judicial especial.doc</t>
  </si>
  <si>
    <t>C:\Users\franc\OneDrive\Documentos\MALENTIN KARIME\MANDATOS JUDICIALES\SERGIO ROMAN.doc</t>
  </si>
  <si>
    <t>C:\Users\franc\OneDrive\Documentos\MALENTIN KARIME\MANDATOS JUDICIALES\PATRICIO CORTES Judicial Especial.doc</t>
  </si>
  <si>
    <t>C:\Users\franc\OneDrive\Documentos\MALENTIN KARIME\MANDATOS JUDICIALES\PABLO SOTO Ratificacion.doc</t>
  </si>
  <si>
    <t>C:\Users\franc\OneDrive\Documentos\MALENTIN KARIME\MANDATOS JUDICIALES\PATRICIA NERIA delegacion.doc</t>
  </si>
  <si>
    <t>C:\Users\franc\OneDrive\Documentos\MALENTIN KARIME\MANDATOS JUDICIALES\OCTAVIO ARAYA ESPECIAL JUDICIAL.doc</t>
  </si>
  <si>
    <t>C:\Users\franc\OneDrive\Documentos\MALENTIN KARIME\MANDATOS JUDICIALES\OCTAVIO ARAYA a Irene Encina ESPECIAL JUDICIAL.doc</t>
  </si>
  <si>
    <t>C:\Users\franc\OneDrive\Documentos\MALENTIN KARIME\MANDATOS JUDICIALES\NORMA ANGELICA GUERRA SAFFA Municipalidad.doc</t>
  </si>
  <si>
    <t>C:\Users\franc\OneDrive\Documentos\MALENTIN KARIME\MANDATOS JUDICIALES\NESTOR CORTES A Mario Carvajallo.doc</t>
  </si>
  <si>
    <t>C:\Users\franc\OneDrive\Documentos\MALENTIN KARIME\MANDATOS JUDICIALES\MAURICIO MAZZARELLI A CAROLA OJEDA.doc</t>
  </si>
  <si>
    <t>C:\Users\franc\OneDrive\Documentos\MALENTIN KARIME\MANDATOS JUDICIALES\MOISES COLOMA A DAGOBERTO RAMOS.doc</t>
  </si>
  <si>
    <t>C:\Users\franc\OneDrive\Documentos\MALENTIN KARIME\MANDATOS JUDICIALES\MARIA QUIZAJADA JARA.doc</t>
  </si>
  <si>
    <t>C:\Users\franc\OneDrive\Documentos\MALENTIN KARIME\MANDATOS JUDICIALES\MARIA MADARIAGA PIZARRO Judicial Especial.doc</t>
  </si>
  <si>
    <t>C:\Users\franc\OneDrive\Documentos\MALENTIN KARIME\MANDATOS JUDICIALES\MARIA BARRIOS CORTES Judicial Especial.doc</t>
  </si>
  <si>
    <t>C:\Users\franc\OneDrive\Documentos\MALENTIN KARIME\MANDATOS JUDICIALES\MARIA MADARIAGA PIZARRO Judicial Especial II.doc</t>
  </si>
  <si>
    <t>C:\Users\franc\OneDrive\Documentos\MALENTIN KARIME\MANDATOS JUDICIALES\MARCOS ROJAS QUIROZ Judicial Especial MINUTA.doc</t>
  </si>
  <si>
    <t>C:\Users\franc\OneDrive\Documentos\MALENTIN KARIME\MANDATOS JUDICIALES\MARCIAL TORRES CONTRERAS Judicial Especial.doc</t>
  </si>
  <si>
    <t>C:\Users\franc\OneDrive\Documentos\MALENTIN KARIME\MANDATOS JUDICIALES\MANUEL ADONIS SANCHEZ a Alejandro Alegria Minuta.doc</t>
  </si>
  <si>
    <t>C:\Users\franc\OneDrive\Documentos\MALENTIN KARIME\MANDATOS JUDICIALES\MARCELO CARVAJAL BUGUEÑO.doc</t>
  </si>
  <si>
    <t>C:\Users\franc\OneDrive\Documentos\MALENTIN KARIME\MANDATOS JUDICIALES\LOS AROMOS  A Barbara Salinas.doc</t>
  </si>
  <si>
    <t>C:\Users\franc\OneDrive\Documentos\MALENTIN KARIME\MANDATOS JUDICIALES\LEONOR ARAYA CISTERNAS Judicial Especial.doc</t>
  </si>
  <si>
    <t>C:\Users\franc\OneDrive\Documentos\MALENTIN KARIME\MANDATOS JUDICIALES\JUNTA VIGILANCIA RIO MOSTAZAL.doc</t>
  </si>
  <si>
    <t>C:\Users\franc\OneDrive\Documentos\MALENTIN KARIME\MANDATOS JUDICIALES\JULIO MONTERO.doc</t>
  </si>
  <si>
    <t>C:\Users\franc\OneDrive\Documentos\MALENTIN KARIME\MANDATOS JUDICIALES\JUDITH BENAVIDES Judicial Especial.doc</t>
  </si>
  <si>
    <t>C:\Users\franc\OneDrive\Documentos\MALENTIN KARIME\MANDATOS JUDICIALES\JUAN MAZU  A ALFREDO ESCOBAR.doc</t>
  </si>
  <si>
    <t>C:\Users\franc\OneDrive\Documentos\MALENTIN KARIME\MANDATOS JUDICIALES\JUAN MARAMBIO ANDUEZA A Roberto Naranjo Coopeval.doc</t>
  </si>
  <si>
    <t>C:\Users\franc\OneDrive\Documentos\MALENTIN KARIME\MANDATOS JUDICIALES\JOSE SANTANDER A JACQUELINE PIZARRO.doc</t>
  </si>
  <si>
    <t>C:\Users\franc\OneDrive\Documentos\MALENTIN KARIME\MANDATOS JUDICIALES\JUAN CARLOS GARCIA COLLAO.doc</t>
  </si>
  <si>
    <t>C:\Users\franc\OneDrive\Documentos\MALENTIN KARIME\MANDATOS JUDICIALES\JOSE LUIS MARTINEZ CORDOVA A MIGUEL CHAPARRO.doc</t>
  </si>
  <si>
    <t>C:\Users\franc\OneDrive\Documentos\MALENTIN KARIME\MANDATOS JUDICIALES\JOSE LUIS MARTINEZ A MIGUEL CHAPARRO.doc</t>
  </si>
  <si>
    <t>C:\Users\franc\OneDrive\Documentos\MALENTIN KARIME\MANDATOS JUDICIALES\JOSE JIMENEZ A EUGENIO RAMIREZ.doc</t>
  </si>
  <si>
    <t>C:\Users\franc\OneDrive\Documentos\MALENTIN KARIME\MANDATOS JUDICIALES\JORGE CORTEZ GONZALEZ A PATRICIA VELASQUEZ.doc</t>
  </si>
  <si>
    <t>C:\Users\franc\OneDrive\Documentos\MALENTIN KARIME\MANDATOS JUDICIALES\JORGE RIVERA CARVAJA A ALEJANDRO VILLEGAS.doc</t>
  </si>
  <si>
    <t>C:\Users\franc\OneDrive\Documentos\MALENTIN KARIME\MANDATOS JUDICIALES\JOSE ANGEL ROJAS.doc</t>
  </si>
  <si>
    <t>C:\Users\franc\OneDrive\Documentos\MALENTIN KARIME\MANDATOS JUDICIALES\JONATHAN PASTEN A FELIPE BARRIOS CALLEJAS.doc</t>
  </si>
  <si>
    <t>C:\Users\franc\OneDrive\Documentos\MALENTIN KARIME\MANDATOS JUDICIALES\JAVIER CONTADOR A Barbara Salinas.doc</t>
  </si>
  <si>
    <t>C:\Users\franc\OneDrive\Documentos\MALENTIN KARIME\MANDATOS JUDICIALES\JAVIER CONTADOR A Barbara Salinas II.doc</t>
  </si>
  <si>
    <t>C:\Users\franc\OneDrive\Documentos\MALENTIN KARIME\MANDATOS JUDICIALES\HONORIA AGUERO Judicial Especial.doc</t>
  </si>
  <si>
    <t>C:\Users\franc\OneDrive\Documentos\MALENTIN KARIME\MANDATOS JUDICIALES\GUILLERMO VIDAURRE Judicial Especial.doc</t>
  </si>
  <si>
    <t>C:\Users\franc\OneDrive\Documentos\MALENTIN KARIME\MANDATOS JUDICIALES\HERMAN ANDRADES MORENO.doc</t>
  </si>
  <si>
    <t>C:\Users\franc\OneDrive\Documentos\MALENTIN KARIME\MANDATOS JUDICIALES\GLADYS AROS A ETNA VARAS.doc</t>
  </si>
  <si>
    <t>C:\Users\franc\OneDrive\Documentos\MALENTIN KARIME\MANDATOS JUDICIALES\FRANCO RIETTA Judicial Especial.doc</t>
  </si>
  <si>
    <t>C:\Users\franc\OneDrive\Documentos\MALENTIN KARIME\MANDATOS JUDICIALES\FRANCISCO JAVIER MORGADO SALFATE A CRISTIAN ZEPEDA Menor edad.doc</t>
  </si>
  <si>
    <t>C:\Users\franc\OneDrive\Documentos\MALENTIN KARIME\MANDATOS JUDICIALES\FARMACEUTICA PRAD.doc</t>
  </si>
  <si>
    <t>C:\Users\franc\OneDrive\Documentos\MALENTIN KARIME\MANDATOS JUDICIALES\ERIC MELLADAO A PATRICIA VIDAL Y OTRA.doc</t>
  </si>
  <si>
    <t>C:\Users\franc\OneDrive\Documentos\MALENTIN KARIME\MANDATOS JUDICIALES\EXPORTADORA VALLE DEL LIMARI SpA.doc</t>
  </si>
  <si>
    <t>C:\Users\franc\OneDrive\Documentos\MALENTIN KARIME\MANDATOS JUDICIALES\EMMA ALCAYAGA LOPEZ A DANIEL SALFATE.doc</t>
  </si>
  <si>
    <t>C:\Users\franc\OneDrive\Documentos\MALENTIN KARIME\MANDATOS JUDICIALES\ERCILIA ORTIZ.doc</t>
  </si>
  <si>
    <t>C:\Users\franc\OneDrive\Documentos\MALENTIN KARIME\MANDATOS JUDICIALES\EDUVIGIS MANZANOJudicial Especial.doc</t>
  </si>
  <si>
    <t>C:\Users\franc\OneDrive\Documentos\MALENTIN KARIME\MANDATOS JUDICIALES\EDUARDO RIVERA A RENE YAÑEZ.docx</t>
  </si>
  <si>
    <t>C:\Users\franc\OneDrive\Documentos\MALENTIN KARIME\MANDATOS JUDICIALES\EDUARDO RIVERA A Rene Yañez minuta.doc</t>
  </si>
  <si>
    <t>C:\Users\franc\OneDrive\Documentos\MALENTIN KARIME\MANDATOS JUDICIALES\DANIEL GUERRA A ROCIO RODRIGUEZ.doc</t>
  </si>
  <si>
    <t>C:\Users\franc\OneDrive\Documentos\MALENTIN KARIME\MANDATOS JUDICIALES\DANIEL ARTURO SALFATE.doc</t>
  </si>
  <si>
    <t>C:\Users\franc\OneDrive\Documentos\MALENTIN KARIME\MANDATOS JUDICIALES\CONTADOR FRUTOS S.A. A Barbara Salinas.doc</t>
  </si>
  <si>
    <t>C:\Users\franc\OneDrive\Documentos\MALENTIN KARIME\MANDATOS JUDICIALES\CLEMENTE FUENTEALBA A Pedro Gutierrez.doc</t>
  </si>
  <si>
    <t>C:\Users\franc\OneDrive\Documentos\MALENTIN KARIME\MANDATOS JUDICIALES\CAROLINA ADAOS.doc</t>
  </si>
  <si>
    <t>C:\Users\franc\OneDrive\Documentos\MALENTIN KARIME\MANDATOS JUDICIALES\carlos pinto a gabriela negrette.doc</t>
  </si>
  <si>
    <t>C:\Users\franc\OneDrive\Documentos\MALENTIN KARIME\MANDATOS JUDICIALES\CARLOS OTAROLA A OROMPELLO PALACIOS.doc</t>
  </si>
  <si>
    <t>C:\Users\franc\OneDrive\Documentos\MALENTIN KARIME\MANDATOS JUDICIALES\CARLOS ALARCON A NURYS ALARCON  Grisell abogada.doc</t>
  </si>
  <si>
    <t>C:\Users\franc\OneDrive\Documentos\MALENTIN KARIME\MANDATOS JUDICIALES\BRIGINA OLMOS A MARIA ORREGO.doc</t>
  </si>
  <si>
    <t>C:\Users\franc\OneDrive\Documentos\MALENTIN KARIME\MANDATOS JUDICIALES\BORIS JIMENEZ BORQUEZ A Israel Gutierrez.doc</t>
  </si>
  <si>
    <t>C:\Users\franc\OneDrive\Documentos\MALENTIN KARIME\MANDATOS JUDICIALES\ARTURO ALBORNOZ A Lissette Araya.docx</t>
  </si>
  <si>
    <t>C:\Users\franc\OneDrive\Documentos\MALENTIN KARIME\MANDATO\VENDER\2021\WALTER ALFARO A Silvio Martinez.doc</t>
  </si>
  <si>
    <t>C:\Users\franc\OneDrive\Documentos\MALENTIN KARIME\MANDATO\VENDER\2021\SEBASTIAN HRDINA Minuta.doc</t>
  </si>
  <si>
    <t>C:\Users\franc\OneDrive\Documentos\MALENTIN KARIME\MANDATO\VENDER\2021\MASCARO ALAIN DOMINIQUE vehiculo.doc</t>
  </si>
  <si>
    <t>C:\Users\franc\OneDrive\Documentos\MALENTIN KARIME\MANDATO\VENDER\2021\MARIA LAGOS OLEA.doc</t>
  </si>
  <si>
    <t>C:\Users\franc\OneDrive\Documentos\MALENTIN KARIME\MANDATO\VENDER\2021\LUIS ALFARO GUERRA ADM. Vender.doc</t>
  </si>
  <si>
    <t>C:\Users\franc\OneDrive\Documentos\MALENTIN KARIME\MANDATO\VENDER\2021\HECTOR RIVAS MONSALVE Minuta.doc</t>
  </si>
  <si>
    <t>C:\Users\franc\OneDrive\Documentos\MALENTIN KARIME\MANDATO\VENDER\2021\BELLA ARAYA ARAYA.doc</t>
  </si>
  <si>
    <t>C:\Users\franc\OneDrive\Documentos\MALENTIN KARIME\MANDATO\VENDER\2021\ARTEMIO FLORES CHACANADerechos.doc</t>
  </si>
  <si>
    <t>C:\Users\franc\OneDrive\Documentos\MALENTIN KARIME\MANDATO\VENDER\2021\ALICIA ABARZUA HORMAZABAL Minuta.doc</t>
  </si>
  <si>
    <t>C:\Users\franc\OneDrive\Documentos\MALENTIN KARIME\MANDATO\VENDER\2016\SUCESION ZEPEDA MICHEA  Derchos 2017.doc</t>
  </si>
  <si>
    <t>C:\Users\franc\OneDrive\Documentos\MALENTIN KARIME\MANDATO\VENDER\2016\SUCESION MONSALVE sitio 30.doc</t>
  </si>
  <si>
    <t>C:\Users\franc\OneDrive\Documentos\MALENTIN KARIME\MANDATO\VENDER\2016\SUCESION MONSALVE hJ 15.doc</t>
  </si>
  <si>
    <t>C:\Users\franc\OneDrive\Documentos\MALENTIN KARIME\MANDATO\VENDER\2016\SUCESION MONSALVE avda. la paz.doc</t>
  </si>
  <si>
    <t>C:\Users\franc\OneDrive\Documentos\MALENTIN KARIME\MANDATO\VENDER\2016\SUCESION JIMENEZ PAZ.doc</t>
  </si>
  <si>
    <t>C:\Users\franc\OneDrive\Documentos\MALENTIN KARIME\MANDATO\VENDER\2016\SUCESION CAMPUSANO 2018.doc</t>
  </si>
  <si>
    <t>C:\Users\franc\OneDrive\Documentos\MALENTIN KARIME\MANDATO\VENDER\2016\SUCESION ALFARO ANGEL 2017.doc</t>
  </si>
  <si>
    <t>C:\Users\franc\OneDrive\Documentos\MALENTIN KARIME\MANDATO\VENDER\2016\SUC CARVAJAL VILLALOBOS 2017.doc</t>
  </si>
  <si>
    <t>C:\Users\franc\OneDrive\Documentos\MALENTIN KARIME\MANDATO\VENDER\2016\SERGIO PASTEN ROBLES  Mandato y auto.doc</t>
  </si>
  <si>
    <t>C:\Users\franc\OneDrive\Documentos\MALENTIN KARIME\MANDATO\VENDER\2016\RUTH AVENDAÑO Casada admn.doc</t>
  </si>
  <si>
    <t>C:\Users\franc\OneDrive\Documentos\MALENTIN KARIME\MANDATO\VENDER\2016\RITA CHICA JIMENEZ Minuta.doc</t>
  </si>
  <si>
    <t>C:\Users\franc\OneDrive\Documentos\MALENTIN KARIME\MANDATO\VENDER\2016\RENE MENDOZA HERRERA A MARIO MENDOZA Minuta.doc</t>
  </si>
  <si>
    <t>C:\Users\franc\OneDrive\Documentos\MALENTIN KARIME\MANDATO\VENDER\2016\Paulina Torrejon a Maria JuarezDerechos.doc</t>
  </si>
  <si>
    <t>C:\Users\franc\OneDrive\Documentos\MALENTIN KARIME\MANDATO\VENDER\2016\PATRICIA AGUILERA AGUILERA derechos sep bienes 2017.doc</t>
  </si>
  <si>
    <t>C:\Users\franc\OneDrive\Documentos\MALENTIN KARIME\MANDATO\VENDER\2016\PATRICIA AGUILERA AGUILERA derechos sep bienes 2.doc</t>
  </si>
  <si>
    <t>C:\Users\franc\OneDrive\Documentos\MALENTIN KARIME\MANDATO\VENDER\2016\MERY TABILO autocontratar.doc</t>
  </si>
  <si>
    <t>C:\Users\franc\OneDrive\Documentos\MALENTIN KARIME\MANDATO\VENDER\2016\MAURICIO GUERRA VELIZ Mandato y auto.doc</t>
  </si>
  <si>
    <t>C:\Users\franc\OneDrive\Documentos\MALENTIN KARIME\MANDATO\VENDER\2016\MARIXA TORREJON JUAREZDerechos.doc</t>
  </si>
  <si>
    <t>C:\Users\franc\OneDrive\Documentos\MALENTIN KARIME\MANDATO\VENDER\2016\MARIO ARAYA ROJAS A JAQUELINE RIVERA REYES Mandato  y auto.doc</t>
  </si>
  <si>
    <t>C:\Users\franc\OneDrive\Documentos\MALENTIN KARIME\MANDATO\VENDER\2016\MARIA MUÑOZ ABARCA Y OTRApara subdivision.doc</t>
  </si>
  <si>
    <t>C:\Users\franc\OneDrive\Documentos\MALENTIN KARIME\MANDATO\VENDER\2016\MARIA LOPEZ ORTIZ Y OTROS A maria ogalde.doc</t>
  </si>
  <si>
    <t>C:\Users\franc\OneDrive\Documentos\MALENTIN KARIME\MANDATO\VENDER\2016\MARCELA MORAGA GONZALEZ Derechos.doc</t>
  </si>
  <si>
    <t>C:\Users\franc\OneDrive\Documentos\MALENTIN KARIME\MANDATO\VENDER\2016\mandato vender.doc</t>
  </si>
  <si>
    <t>C:\Users\franc\OneDrive\Documentos\MALENTIN KARIME\MANDATO\VENDER\2016\LUIS VIDAL CORTES Derchos 2017.doc</t>
  </si>
  <si>
    <t>C:\Users\franc\OneDrive\Documentos\MALENTIN KARIME\MANDATO\VENDER\2016\LEYLA OLIVARES 2017.doc</t>
  </si>
  <si>
    <t>C:\Users\franc\OneDrive\Documentos\MALENTIN KARIME\MANDATO\VENDER\2016\KETTY VEGA JORQUERA Mandato  y auto.doc</t>
  </si>
  <si>
    <t>C:\Users\franc\OneDrive\Documentos\MALENTIN KARIME\MANDATO\VENDER\2016\JUAN CARLOS CARMNA CASTEX 2017 Mandato y auto.doc</t>
  </si>
  <si>
    <t>C:\Users\franc\OneDrive\Documentos\MALENTIN KARIME\MANDATO\VENDER\2016\JAIME VILLAR RODRIGUEZ 2017.doc</t>
  </si>
  <si>
    <t>C:\Users\franc\OneDrive\Documentos\MALENTIN KARIME\MANDATO\VENDER\2016\JAIME GALLADO GALLARDODerechos.doc</t>
  </si>
  <si>
    <t>C:\Users\franc\OneDrive\Documentos\MALENTIN KARIME\MANDATO\VENDER\2016\IVAN LAGUNAS CHELEN vender dga.doc</t>
  </si>
  <si>
    <t>C:\Users\franc\OneDrive\Documentos\MALENTIN KARIME\MANDATO\VENDER\2016\HECTOR MEZA MELLADO Mandato y auto derechos.doc</t>
  </si>
  <si>
    <t>C:\Users\franc\OneDrive\Documentos\MALENTIN KARIME\MANDATO\VENDER\2016\HECTOR GUTIERREZ MUÑOZ A María Taucan Mandato  y auto.doc</t>
  </si>
  <si>
    <t>C:\Users\franc\OneDrive\Documentos\MALENTIN KARIME\MANDATO\VENDER\2016\HAYDEE ALVARADO CORTES.doc</t>
  </si>
  <si>
    <t>C:\Users\franc\OneDrive\Documentos\MALENTIN KARIME\MANDATO\VENDER\2016\FELIPE SUCKEL Minuta.doc</t>
  </si>
  <si>
    <t>C:\Users\franc\OneDrive\Documentos\MALENTIN KARIME\MANDATO\VENDER\2016\FABIAN GAJARDO MARTINEZ.doc</t>
  </si>
  <si>
    <t>C:\Users\franc\OneDrive\Documentos\MALENTIN KARIME\MANDATO\VENDER\2016\ELOISA LOPEZ CORTES 2018Derechos.doc</t>
  </si>
  <si>
    <t>C:\Users\franc\OneDrive\Documentos\MALENTIN KARIME\MANDATO\VENDER\2016\DOMINGA VILLARROEL.doc</t>
  </si>
  <si>
    <t>C:\Users\franc\OneDrive\Documentos\MALENTIN KARIME\MANDATO\VENDER\2016\CLAUDIO CESAR MENDEZ LOPEZ A ella.doc</t>
  </si>
  <si>
    <t>C:\Users\franc\OneDrive\Documentos\MALENTIN KARIME\MANDATO\VENDER\2016\DANIEL CAMPUSANO A Karol Campusano.doc</t>
  </si>
  <si>
    <t>C:\Users\franc\OneDrive\Documentos\MALENTIN KARIME\MANDATO\VENDER\2016\CARLOS BUGUEÑO CORREA 2017 Mandato y auto.doc</t>
  </si>
  <si>
    <t>C:\Users\franc\OneDrive\Documentos\MALENTIN KARIME\MANDATO\VENDER\2016\BERNARDA FUENTEALBA.doc</t>
  </si>
  <si>
    <t>C:\Users\franc\OneDrive\Documentos\MALENTIN KARIME\MANDATO\VENDER\2016\BENITO OSSANDON CORTES A Ramon Ossandon.doc</t>
  </si>
  <si>
    <t>C:\Users\franc\OneDrive\Documentos\MALENTIN KARIME\MANDATO\VENDER\2016\ARTURO MOSCOSO CODOCEO 2018Derechos.doc</t>
  </si>
  <si>
    <t>C:\Users\franc\OneDrive\Documentos\MALENTIN KARIME\MANDATO\VENDER\2016\ANGEL ROJAS PAREDES 2017.doc</t>
  </si>
  <si>
    <t>C:\Users\franc\OneDrive\Documentos\MALENTIN KARIME\MANDATO\VENDER\2016\ALFONSO PASTEN HENRIQUEZ 2018.doc</t>
  </si>
  <si>
    <t>C:\Users\franc\OneDrive\Documentos\MALENTIN KARIME\MANDATO\VENDER\2015\vender Derechos.doc</t>
  </si>
  <si>
    <t>C:\Users\franc\OneDrive\Documentos\MALENTIN KARIME\MANDATO\VENDER\2015\vender Derechos MINUTA LEONILDA.doc</t>
  </si>
  <si>
    <t>C:\Users\franc\OneDrive\Documentos\MALENTIN KARIME\MANDATO\VENDER\2015\SEGISFREDO LEON A Cristian Mendieta minuta.doc</t>
  </si>
  <si>
    <t>C:\Users\franc\OneDrive\Documentos\MALENTIN KARIME\MANDATO\VENDER\2015\ROSA CASTILLO FLORES A Niilson Portilla Derechos.doc</t>
  </si>
  <si>
    <t>C:\Users\franc\OneDrive\Documentos\MALENTIN KARIME\MANDATO\VENDER\2015\RICARDO ACOSTA CISTERNAS Derechos.doc</t>
  </si>
  <si>
    <t>C:\Users\franc\OneDrive\Documentos\MALENTIN KARIME\MANDATO\VENDER\2015\RENE MENDOZA HERRERA A MARIO MENDOZA Minuta.doc</t>
  </si>
  <si>
    <t>C:\Users\franc\OneDrive\Documentos\MALENTIN KARIME\MANDATO\VENDER\2015\PAULINA SANTANDER HIDALGO Minuta.doc</t>
  </si>
  <si>
    <t>C:\Users\franc\OneDrive\Documentos\MALENTIN KARIME\MANDATO\VENDER\2015\ORIEL ALBARRACIN RIVERA Autorizacion.doc</t>
  </si>
  <si>
    <t>C:\Users\franc\OneDrive\Documentos\MALENTIN KARIME\MANDATO\VENDER\2015\LUIS PARRA CISTERNAS Modelo para hacer mandato.doc</t>
  </si>
  <si>
    <t>C:\Users\franc\OneDrive\Documentos\MALENTIN KARIME\MANDATO\VENDER\2015\LUIS ALFONSO MUÑOZ VENEGAS.doc</t>
  </si>
  <si>
    <t>C:\Users\franc\OneDrive\Documentos\MALENTIN KARIME\MANDATO\VENDER\2015\ISIDRO ORTIZ MALUENDA Derechos.doc</t>
  </si>
  <si>
    <t>C:\Users\franc\OneDrive\Documentos\MALENTIN KARIME\MANDATO\VENDER\2015\DIEGO MORGAN A ANGELA AMENGUAL.doc</t>
  </si>
  <si>
    <t>C:\Users\franc\OneDrive\Documentos\MALENTIN KARIME\MANDATO\VENDER\2015\CARLOS ROJSA IBACACHE Derechos.doc</t>
  </si>
  <si>
    <t>C:\Users\franc\OneDrive\Documentos\MALENTIN KARIME\MANDATO\VENDER\2015\BLANCA ROBLES VENEGAS Y Marido.doc</t>
  </si>
  <si>
    <t>C:\Users\franc\OneDrive\Documentos\MALENTIN KARIME\MANDATO\VENDER\2015\Autorizacion Alfonso Castillo.doc</t>
  </si>
  <si>
    <t>C:\Users\franc\OneDrive\Documentos\MALENTIN KARIME\MANDATO\VENDER\2015\AGROCOMERCIAL Y GANADERA LOMA LARGA LTDA..doc</t>
  </si>
  <si>
    <t>C:\Users\franc\OneDrive\Documentos\MALENTIN KARIME\MANDATO\VENDER\2015\ABRAHAM GUERRERO A Marjori Guerrero MINUTA.doc</t>
  </si>
  <si>
    <t>C:\Users\franc\OneDrive\Documentos\MALENTIN KARIME\MANDATO\VENDER\2014\XIMENA SAPIAIN.doc</t>
  </si>
  <si>
    <t>C:\Users\franc\OneDrive\Documentos\MALENTIN KARIME\MANDATO\VENDER\2014\VERONICA RIOS ACUÑA  Mandato y auto.doc</t>
  </si>
  <si>
    <t>C:\Users\franc\OneDrive\Documentos\MALENTIN KARIME\MANDATO\VENDER\2014\SILVIA PIZARRO ALCAYAGA Derechos.doc</t>
  </si>
  <si>
    <t>C:\Users\franc\OneDrive\Documentos\MALENTIN KARIME\MANDATO\VENDER\2014\ROSA MALUENDA CARVAJAL Autorizacion.doc</t>
  </si>
  <si>
    <t>C:\Users\franc\OneDrive\Documentos\MALENTIN KARIME\MANDATO\VENDER\2014\ROSSANA AHUMADA PIZARRO Matrimonio.doc</t>
  </si>
  <si>
    <t>C:\Users\franc\OneDrive\Documentos\MALENTIN KARIME\MANDATO\VENDER\2014\RICARDO CORTES ARAYA.doc</t>
  </si>
  <si>
    <t>C:\Users\franc\OneDrive\Documentos\MALENTIN KARIME\MANDATO\VENDER\2014\RAUL CORTES Matrimonio.doc</t>
  </si>
  <si>
    <t>C:\Users\franc\OneDrive\Documentos\MALENTIN KARIME\MANDATO\VENDER\2014\RAMON ARANEDA MUÑOZ Matrimonio.doc</t>
  </si>
  <si>
    <t>C:\Users\franc\OneDrive\Documentos\MALENTIN KARIME\MANDATO\VENDER\2014\PEDRO OLIVARES GARRIDO Minuta.doc</t>
  </si>
  <si>
    <t>C:\Users\franc\OneDrive\Documentos\MALENTIN KARIME\MANDATO\VENDER\2014\PATRICIO ALFARO Derechos.doc</t>
  </si>
  <si>
    <t>C:\Users\franc\OneDrive\Documentos\MALENTIN KARIME\MANDATO\VENDER\2014\OMAR CABRERA A conyuge Derechos.doc</t>
  </si>
  <si>
    <t>C:\Users\franc\OneDrive\Documentos\MALENTIN KARIME\MANDATO\VENDER\2014\MINUTA NOTARIA Derechos.doc</t>
  </si>
  <si>
    <t>C:\Users\franc\OneDrive\Documentos\MALENTIN KARIME\MANDATO\VENDER\2014\MANUEL ZAMORA ARANCIBIA 2 herencias.doc</t>
  </si>
  <si>
    <t>C:\Users\franc\OneDrive\Documentos\MALENTIN KARIME\MANDATO\VENDER\2014\MANUEL CONDORE CHOQUE Vender y arrendar.doc</t>
  </si>
  <si>
    <t>C:\Users\franc\OneDrive\Documentos\MALENTIN KARIME\MANDATO\VENDER\2014\LEONOR PIZARRO LEON A Patricia Ahumada.doc</t>
  </si>
  <si>
    <t>C:\Users\franc\OneDrive\Documentos\MALENTIN KARIME\MANDATO\VENDER\2014\LAUTARO ROJAS VEGA Mandato y auto.doc</t>
  </si>
  <si>
    <t>C:\Users\franc\OneDrive\Documentos\MALENTIN KARIME\MANDATO\VENDER\2014\JUAN AGUIRRE SANTIBAÑEZ Minuta.doc</t>
  </si>
  <si>
    <t>C:\Users\franc\OneDrive\Documentos\MALENTIN KARIME\MANDATO\VENDER\2014\JUAN  AHUMADA PIZARRO.doc</t>
  </si>
  <si>
    <t>C:\Users\franc\OneDrive\Documentos\MALENTIN KARIME\MANDATO\VENDER\2014\JOSE MONTECINOS INZUNZA  Derechos Admn.doc</t>
  </si>
  <si>
    <t>C:\Users\franc\OneDrive\Documentos\MALENTIN KARIME\MANDATO\VENDER\2014\JOSE LUIS MALUENDA CALDERON.doc</t>
  </si>
  <si>
    <t>C:\Users\franc\OneDrive\Documentos\MALENTIN KARIME\MANDATO\VENDER\2014\HONORINDO OLIVARES SEGOVIA A Arturo Marin.doc</t>
  </si>
  <si>
    <t>C:\Users\franc\OneDrive\Documentos\MALENTIN KARIME\MANDATO\VENDER\2014\GLORIA ANTOGNONI Y OTRA Minuta.doc</t>
  </si>
  <si>
    <t>C:\Users\franc\OneDrive\Documentos\MALENTIN KARIME\MANDATO\VENDER\2014\FLOR CASTILLO VERA Derechos.doc</t>
  </si>
  <si>
    <t>C:\Users\franc\OneDrive\Documentos\MALENTIN KARIME\MANDATO\VENDER\2014\FIDEL SEGOVIA  A GLADYS PIZARRO Derechos.doc</t>
  </si>
  <si>
    <t>C:\Users\franc\OneDrive\Documentos\MALENTIN KARIME\MANDATO\VENDER\2014\EDUARDO ROBLES CABEZAS.doc</t>
  </si>
  <si>
    <t>C:\Users\franc\OneDrive\Documentos\MALENTIN KARIME\MANDATO\VENDER\2014\CLAUDIA GUERRA CUEVAS A Carol Galvez para subdivision.doc</t>
  </si>
  <si>
    <t>C:\Users\franc\OneDrive\Documentos\MALENTIN KARIME\MANDATO\VENDER\2014\CLAUDIA DIAZ AHUMADA A Patricia Ahumada.doc</t>
  </si>
  <si>
    <t>C:\Users\franc\OneDrive\Documentos\MALENTIN KARIME\MANDATO\VENDER\2014\CARLOS SAAVEDRA RAMIREZ Derechos.doc</t>
  </si>
  <si>
    <t>C:\Users\franc\OneDrive\Documentos\MALENTIN KARIME\MANDATO\VENDER\2014\BETTY VALENCIA ALVAREZ  Derechos.doc</t>
  </si>
  <si>
    <t>C:\Users\franc\OneDrive\Documentos\MALENTIN KARIME\MANDATO\VENDER\2014\aut. conyuge.doc</t>
  </si>
  <si>
    <t>C:\Users\franc\OneDrive\Documentos\MALENTIN KARIME\MANDATO\VENDER\2014\ARNOLDO OLIVARES MICHEA Derechos.doc</t>
  </si>
  <si>
    <t>C:\Users\franc\OneDrive\Documentos\MALENTIN KARIME\MANDATO\VENDER\2014\ANGEL SEPULVEDA Derechos.doc</t>
  </si>
  <si>
    <t>C:\Users\franc\OneDrive\Documentos\MALENTIN KARIME\MANDATO\VENDER\2014\ALEJANDRO CASTRO CASTRO Derechos.doc</t>
  </si>
  <si>
    <t>C:\Users\franc\OneDrive\Documentos\MALENTIN KARIME\MANDATO\VENDER\2014\ALEJANDRO CASTRO CASTRO Derechos nuevo.doc</t>
  </si>
  <si>
    <t>C:\Users\franc\OneDrive\Documentos\MALENTIN KARIME\MANDATO\VENDER\2014\AGROCOMERCIAL LOMA LARGA  para subdivision.doc</t>
  </si>
  <si>
    <t>C:\Users\franc\OneDrive\Documentos\MALENTIN KARIME\MANDATO\VENDER\WILFREDO RIVERA A LUIS GAHONA.doc</t>
  </si>
  <si>
    <t>C:\Users\franc\OneDrive\Documentos\MALENTIN KARIME\MANDATO\VENDER\WALDO PACHECO A Calixto Pacheco.doc</t>
  </si>
  <si>
    <t>C:\Users\franc\OneDrive\Documentos\MALENTIN KARIME\MANDATO\VENDER\VINKA GUERRA ROJAS Autorizacion.doc</t>
  </si>
  <si>
    <t>C:\Users\franc\OneDrive\Documentos\MALENTIN KARIME\MANDATO\VENDER\VILMA BARRAZA A JEANETTE BARRAZA.doc</t>
  </si>
  <si>
    <t>C:\Users\franc\OneDrive\Documentos\MALENTIN KARIME\MANDATO\VENDER\tia ROSA.doc</t>
  </si>
  <si>
    <t>C:\Users\franc\OneDrive\Documentos\MALENTIN KARIME\MANDATO\VENDER\Sucesion Vega.doc</t>
  </si>
  <si>
    <t>C:\Users\franc\OneDrive\Documentos\MALENTIN KARIME\MANDATO\VENDER\SUCESION Carvajal Aguilera.doc</t>
  </si>
  <si>
    <t>C:\Users\franc\OneDrive\Documentos\MALENTIN KARIME\MANDATO\VENDER\SALVADOR CODOCEO.doc</t>
  </si>
  <si>
    <t>C:\Users\franc\OneDrive\Documentos\MALENTIN KARIME\MANDATO\VENDER\ROSA CARRIZO SEGOVIA.doc</t>
  </si>
  <si>
    <t>C:\Users\franc\OneDrive\Documentos\MALENTIN KARIME\MANDATO\VENDER\ROMILIO GALDAMEZ TRONCOSO.doc</t>
  </si>
  <si>
    <t>C:\Users\franc\OneDrive\Documentos\MALENTIN KARIME\MANDATO\VENDER\ROBERTO CODOCEO.doc</t>
  </si>
  <si>
    <t>C:\Users\franc\OneDrive\Documentos\MALENTIN KARIME\MANDATO\VENDER\REMIGIO CASTRO CONTRERAS Y CONYUGE.doc</t>
  </si>
  <si>
    <t>C:\Users\franc\OneDrive\Documentos\MALENTIN KARIME\MANDATO\VENDER\RAUL CORTES Y CONYUGE.doc</t>
  </si>
  <si>
    <t>C:\Users\franc\OneDrive\Documentos\MALENTIN KARIME\MANDATO\VENDER\OLIVIA VALENZUELA MUÑOZ (VENTA CONYUGE).doc</t>
  </si>
  <si>
    <t>C:\Users\franc\OneDrive\Documentos\MALENTIN KARIME\MANDATO\VENDER\NIRMA OLIVEROS VALENCIA.doc</t>
  </si>
  <si>
    <t>C:\Users\franc\OneDrive\Documentos\MALENTIN KARIME\MANDATO\VENDER\NINFA ROJAS ZEPEDA.doc</t>
  </si>
  <si>
    <t>C:\Users\franc\OneDrive\Documentos\MALENTIN KARIME\MANDATO\VENDER\NELSON QUINTO QUINTO A emilia villarroel.doc</t>
  </si>
  <si>
    <t>C:\Users\franc\OneDrive\Documentos\MALENTIN KARIME\MANDATO\VENDER\NELLY DEL CARMEN DIAZ viuda derechos.doc</t>
  </si>
  <si>
    <t>C:\Users\franc\OneDrive\Documentos\MALENTIN KARIME\MANDATO\VENDER\MOSIES MIRANDA TELLO A GEORGINA VERGARA.doc</t>
  </si>
  <si>
    <t>C:\Users\franc\OneDrive\Documentos\MALENTIN KARIME\MANDATO\VENDER\MINUTA  Digna Rojas.doc</t>
  </si>
  <si>
    <t>C:\Users\franc\OneDrive\Documentos\MALENTIN KARIME\MANDATO\VENDER\MAURICIO VELIZ ARAYA Mandato y auto.doc</t>
  </si>
  <si>
    <t>C:\Users\franc\OneDrive\Documentos\MALENTIN KARIME\MANDATO\VENDER\MARIA ISOLINA CABEZAS MUÑOZ.doc</t>
  </si>
  <si>
    <t>C:\Users\franc\OneDrive\Documentos\MALENTIN KARIME\MANDATO\VENDER\MANUEL ZAMORA ARANCIBIA.doc</t>
  </si>
  <si>
    <t>C:\Users\franc\OneDrive\Documentos\MALENTIN KARIME\MANDATO\VENDER\MANUEL SEGURA C. Vender.doc</t>
  </si>
  <si>
    <t>C:\Users\franc\OneDrive\Documentos\MALENTIN KARIME\MANDATO\VENDER\LUZ SILVA GALLEGOS Minuta.doc</t>
  </si>
  <si>
    <t>C:\Users\franc\OneDrive\Documentos\MALENTIN KARIME\MANDATO\VENDER\LUIS OCTAVIO JUAREZ PIZARRO Mandatario.doc</t>
  </si>
  <si>
    <t>C:\Users\franc\OneDrive\Documentos\MALENTIN KARIME\MANDATO\VENDER\LUIS NAREA MAYA Mandato y auto.doc</t>
  </si>
  <si>
    <t>C:\Users\franc\OneDrive\Documentos\MALENTIN KARIME\MANDATO\VENDER\LIVIA CAMPAÑA MOLINA.doc</t>
  </si>
  <si>
    <t>C:\Users\franc\OneDrive\Documentos\MALENTIN KARIME\MANDATO\VENDER\LEONOR ZAPATA CONTRERAS Autorizacion.doc</t>
  </si>
  <si>
    <t>C:\Users\franc\OneDrive\Documentos\MALENTIN KARIME\MANDATO\VENDER\LEONEL GALLARDO SEGOVIA.doc</t>
  </si>
  <si>
    <t>C:\Users\franc\OneDrive\Documentos\MALENTIN KARIME\MANDATO\VENDER\JUAN ANDRES CARVAJAL CASTILLO.doc</t>
  </si>
  <si>
    <t>C:\Users\franc\OneDrive\Documentos\MALENTIN KARIME\MANDATO\VENDER\JUANA CORTES IRIARTE (VENTA CONYUGE).doc</t>
  </si>
  <si>
    <t>C:\Users\franc\OneDrive\Documentos\MALENTIN KARIME\MANDATO\VENDER\JORGE ZULANTAY CORTES.doc</t>
  </si>
  <si>
    <t>C:\Users\franc\OneDrive\Documentos\MALENTIN KARIME\MANDATO\VENDER\JHONY VILLARROEL.doc</t>
  </si>
  <si>
    <t>C:\Users\franc\OneDrive\Documentos\MALENTIN KARIME\MANDATO\VENDER\JAIME PROHENS SOMMELLA.doc</t>
  </si>
  <si>
    <t>C:\Users\franc\OneDrive\Documentos\MALENTIN KARIME\MANDATO\VENDER\JAIME CORTES TELLO Minuta.doc</t>
  </si>
  <si>
    <t>C:\Users\franc\OneDrive\Documentos\MALENTIN KARIME\MANDATO\VENDER\IRMA NUÑEZ PEREIRA.doc</t>
  </si>
  <si>
    <t>C:\Users\franc\OneDrive\Documentos\MALENTIN KARIME\MANDATO\VENDER\HERNAN FLORES GONZALEZ Y CONYUGE.doc</t>
  </si>
  <si>
    <t>C:\Users\franc\OneDrive\Documentos\MALENTIN KARIME\MANDATO\VENDER\HECTOR BRUNA MORALES.doc</t>
  </si>
  <si>
    <t>C:\Users\franc\OneDrive\Documentos\MALENTIN KARIME\MANDATO\VENDER\GARCIA PEREZ.doc</t>
  </si>
  <si>
    <t>C:\Users\franc\OneDrive\Documentos\MALENTIN KARIME\MANDATO\VENDER\FABIAN GAJARDO MARTINEZ.doc</t>
  </si>
  <si>
    <t>C:\Users\franc\OneDrive\Documentos\MALENTIN KARIME\MANDATO\VENDER\EUGENIA SEGURA ESPINOSA.doc</t>
  </si>
  <si>
    <t>C:\Users\franc\OneDrive\Documentos\MALENTIN KARIME\MANDATO\VENDER\ERIKA PASTEN ROJAS A MARIA PASTEN ROJAS Derechos.doc</t>
  </si>
  <si>
    <t>C:\Users\franc\OneDrive\Documentos\MALENTIN KARIME\MANDATO\VENDER\CLAUDIA ESPINOSA ROJAS.doc</t>
  </si>
  <si>
    <t>C:\Users\franc\OneDrive\Documentos\MALENTIN KARIME\MANDATO\VENDER\CLAUDIA ESPINOSA ROJAS II.doc</t>
  </si>
  <si>
    <t>C:\Users\franc\OneDrive\Documentos\MALENTIN KARIME\MANDATO\VENDER\CARMEN SALFATE CARVAJAL Autorizacion.doc</t>
  </si>
  <si>
    <t>C:\Users\franc\OneDrive\Documentos\MALENTIN KARIME\MANDATO\VENDER\CARMEN ROJAS LEYTON A ROCIO ROJAS.doc</t>
  </si>
  <si>
    <t>C:\Users\franc\OneDrive\Documentos\MALENTIN KARIME\MANDATO\VENDER\CARMEN GLORIA VIVAR CONCHA.doc</t>
  </si>
  <si>
    <t>C:\Users\franc\OneDrive\Documentos\MALENTIN KARIME\MANDATO\VENDER\CARLOS PONCE GARCIA.doc</t>
  </si>
  <si>
    <t>C:\Users\franc\OneDrive\Documentos\MALENTIN KARIME\MANDATO\VENDER\ANA KARINA RODRIGUEZ  (VENTA CONYUGE)Fuentealba.doc</t>
  </si>
  <si>
    <t>C:\Users\franc\OneDrive\Documentos\MALENTIN KARIME\MANDATO\MINUTAS\S.L.M LA RECOMPENSA.doc</t>
  </si>
  <si>
    <t>C:\Users\franc\OneDrive\Documentos\MALENTIN KARIME\MANDATO\MINUTAS\MANUEL DIAZ RIVERA Serviu relocalizacion notaria}.doc</t>
  </si>
  <si>
    <t>C:\Users\franc\OneDrive\Documentos\MALENTIN KARIME\MANDATO\MINUTAS\JUAN CASTILLO RIVERA A Rosa Maldonado Minuta.doc</t>
  </si>
  <si>
    <t>C:\Users\franc\OneDrive\Documentos\MALENTIN KARIME\MANDATO\GENERAL\2019\ROGELIO GONZALEZ A Luis Gonzalez.doc</t>
  </si>
  <si>
    <t>C:\Users\franc\OneDrive\Documentos\MALENTIN KARIME\MANDATO\GENERAL\2019\RICARDO VALDIVIA VALDIVIA A SYLVIA ROJAS PASTEN .- KARIME.doc</t>
  </si>
  <si>
    <t>C:\Users\franc\OneDrive\Documentos\MALENTIN KARIME\MANDATO\GENERAL\2019\PATRICIO CASTILLO PIZARRO Y conyuge.doc</t>
  </si>
  <si>
    <t>C:\Users\franc\OneDrive\Documentos\MALENTIN KARIME\MANDATO\GENERAL\2019\ORLANDO ANGULO AYOVI.doc</t>
  </si>
  <si>
    <t>C:\Users\franc\OneDrive\Documentos\MALENTIN KARIME\MANDATO\GENERAL\2019\NAIR  STUPP.doc</t>
  </si>
  <si>
    <t>C:\Users\franc\OneDrive\Documentos\MALENTIN KARIME\MANDATO\GENERAL\2019\MASCARO ALAIN DOMINIQUE.doc</t>
  </si>
  <si>
    <t>C:\Users\franc\OneDrive\Documentos\MALENTIN KARIME\MANDATO\GENERAL\2019\MANUEL SEGOVIA A ANGELICA ARAYA  fom nuevo.doc</t>
  </si>
  <si>
    <t>C:\Users\franc\OneDrive\Documentos\MALENTIN KARIME\MANDATO\GENERAL\2019\JOSE VEGA CORTES A TAMAR VEGA Minuta.doc</t>
  </si>
  <si>
    <t>C:\Users\franc\OneDrive\Documentos\MALENTIN KARIME\MANDATO\GENERAL\2019\ISAURA RODRIGUEZ proindiviso.doc</t>
  </si>
  <si>
    <t>C:\Users\franc\OneDrive\Documentos\MALENTIN KARIME\MANDATO\GENERAL\2019\IRENE JIMENEZ ROBLES 2021.doc</t>
  </si>
  <si>
    <t>C:\Users\franc\OneDrive\Documentos\MALENTIN KARIME\MANDATO\GENERAL\2019\ADAN BUGUEÑO CISTERNAS Y conyuge.doc</t>
  </si>
  <si>
    <t>C:\Users\franc\OneDrive\Documentos\MALENTIN KARIME\MANDATO\GENERAL\2017\VICTORIANA CORTES Y OTROS A LIDIA CORTES (KARIME).doc</t>
  </si>
  <si>
    <t>C:\Users\franc\OneDrive\Documentos\MALENTIN KARIME\MANDATO\GENERAL\2017\VICTORIANA CORTES Y OTROS A LIDIA CORTES  1 sola(KARIME).doc</t>
  </si>
  <si>
    <t>C:\Users\franc\OneDrive\Documentos\MALENTIN KARIME\MANDATO\GENERAL\2017\Sucesion SALFATE 2018 proindiviso.doc</t>
  </si>
  <si>
    <t>C:\Users\franc\OneDrive\Documentos\MALENTIN KARIME\MANDATO\GENERAL\2017\SONIA VARAS A SONIA GREGORAT.doc</t>
  </si>
  <si>
    <t>C:\Users\franc\OneDrive\Documentos\MALENTIN KARIME\MANDATO\GENERAL\2017\SEGISFREDO LEON VELIZ.doc</t>
  </si>
  <si>
    <t>C:\Users\franc\OneDrive\Documentos\MALENTIN KARIME\MANDATO\GENERAL\2017\ROSA ELIANA TELLO A Rocío Gonzalez 2017.doc</t>
  </si>
  <si>
    <t>C:\Users\franc\OneDrive\Documentos\MALENTIN KARIME\MANDATO\GENERAL\2017\RODRIGO CORTES OLVIARES 2018.doc</t>
  </si>
  <si>
    <t>C:\Users\franc\OneDrive\Documentos\MALENTIN KARIME\MANDATO\GENERAL\2017\RAUL ROJAS.doc</t>
  </si>
  <si>
    <t>C:\Users\franc\OneDrive\Documentos\MALENTIN KARIME\MANDATO\GENERAL\2017\PAZ BUSTAMANTE VALENZUELA A Barbara Bustamante.doc</t>
  </si>
  <si>
    <t>C:\Users\franc\OneDrive\Documentos\MALENTIN KARIME\MANDATO\GENERAL\2017\OSCAR BARRERA A EDUARDO BARRERA Podado 2017.doc</t>
  </si>
  <si>
    <t>C:\Users\franc\OneDrive\Documentos\MALENTIN KARIME\MANDATO\GENERAL\2017\NICOLAS ARAYA A Maria Vega.doc</t>
  </si>
  <si>
    <t>C:\Users\franc\OneDrive\Documentos\MALENTIN KARIME\MANDATO\GENERAL\2017\MAURICIO TAPIA.doc</t>
  </si>
  <si>
    <t>C:\Users\franc\OneDrive\Documentos\MALENTIN KARIME\MANDATO\GENERAL\2017\MATILDE VALENZUELA.doc</t>
  </si>
  <si>
    <t>C:\Users\franc\OneDrive\Documentos\MALENTIN KARIME\MANDATO\GENERAL\2017\MARIA RIVERA CANIVILO Y OTROS.doc</t>
  </si>
  <si>
    <t>C:\Users\franc\OneDrive\Documentos\MALENTIN KARIME\MANDATO\GENERAL\2017\MARIA RIVERA CANIVILO Y OTROS borrador.doc</t>
  </si>
  <si>
    <t>C:\Users\franc\OneDrive\Documentos\MALENTIN KARIME\MANDATO\GENERAL\2017\MARIA AGUIRRE CORTES.doc</t>
  </si>
  <si>
    <t>C:\Users\franc\OneDrive\Documentos\MALENTIN KARIME\MANDATO\GENERAL\2017\LUZ ARAYA HIDALGO A Viviana Araya Hidalgo 2017.doc</t>
  </si>
  <si>
    <t>C:\Users\franc\OneDrive\Documentos\MALENTIN KARIME\MANDATO\GENERAL\2017\LUZ ALVAREZ PERALTA 2018 Matrimonio.doc</t>
  </si>
  <si>
    <t>C:\Users\franc\OneDrive\Documentos\MALENTIN KARIME\MANDATO\GENERAL\2017\JUAN CAMPUSANO ARAYA A Adara Araya.doc</t>
  </si>
  <si>
    <t>C:\Users\franc\OneDrive\Documentos\MALENTIN KARIME\MANDATO\GENERAL\2017\JOSE SERRANO ESPINOSA Matrimonio 2018.doc</t>
  </si>
  <si>
    <t>C:\Users\franc\OneDrive\Documentos\MALENTIN KARIME\MANDATO\GENERAL\2017\JOAQUIN LATORRE A Hernan Latorre.doc</t>
  </si>
  <si>
    <t>C:\Users\franc\OneDrive\Documentos\MALENTIN KARIME\MANDATO\GENERAL\2017\IRMA HIDALGO VEAS A Viviana Araya Hidalgo 2017.doc</t>
  </si>
  <si>
    <t>C:\Users\franc\OneDrive\Documentos\MALENTIN KARIME\MANDATO\GENERAL\2017\HUGO ROJAS A MARIA DIAZ}.doc</t>
  </si>
  <si>
    <t>C:\Users\franc\OneDrive\Documentos\MALENTIN KARIME\MANDATO\GENERAL\2017\HECTOR MEZA MELLADO 2017.doc</t>
  </si>
  <si>
    <t>C:\Users\franc\OneDrive\Documentos\MALENTIN KARIME\MANDATO\GENERAL\2017\GONZALO CARMONA JOPIA 2017.doc</t>
  </si>
  <si>
    <t>C:\Users\franc\OneDrive\Documentos\MALENTIN KARIME\MANDATO\GENERAL\2017\CAROL BRADAYARES PIÑONES.doc</t>
  </si>
  <si>
    <t>C:\Users\franc\OneDrive\Documentos\MALENTIN KARIME\MANDATO\GENERAL\2016\mandato Suc. Pedro Alejandro Araya.docBORRADOR.doc</t>
  </si>
  <si>
    <t>C:\Users\franc\OneDrive\Documentos\MALENTIN KARIME\MANDATO\GENERAL\2016\mandato Suc. Pedro Alejandro Araya.doc</t>
  </si>
  <si>
    <t>C:\Users\franc\OneDrive\Documentos\MALENTIN KARIME\MANDATO\GENERAL\2015\RAUL MARTINEZ HENRIQUEZ A LUIS ALVEAR Minuta.doc</t>
  </si>
  <si>
    <t>C:\Users\franc\OneDrive\Documentos\MALENTIN KARIME\MANDATO\GENERAL\2016\BERTA MALEBRAN MIRANDA Minuta.doc</t>
  </si>
  <si>
    <t>C:\Users\franc\OneDrive\Documentos\MALENTIN KARIME\MANDATO\GENERAL\2015\MARIA CONTRERAS LOPEZ A MARIA RIVERA.doc</t>
  </si>
  <si>
    <t>C:\Users\franc\OneDrive\Documentos\MALENTIN KARIME\MANDATO\GENERAL\2015\MATIAS JOFRE MORGADO.doc</t>
  </si>
  <si>
    <t>C:\Users\franc\OneDrive\Documentos\MALENTIN KARIME\MANDATO\GENERAL\2015\MANUEL DIAZ RIVERA.doc</t>
  </si>
  <si>
    <t>C:\Users\franc\OneDrive\Documentos\MALENTIN KARIME\MANDATO\GENERAL\2015\MARCELA ROMERO A MARCO ROJAS.doc</t>
  </si>
  <si>
    <t>C:\Users\franc\OneDrive\Documentos\MALENTIN KARIME\MANDATO\GENERAL\2015\JUAN CARLOS MUÑOZ GOMEZ A Katherine Lizardi.doc</t>
  </si>
  <si>
    <t>C:\Users\franc\OneDrive\Documentos\MALENTIN KARIME\MANDATO\GENERAL\2015\JULIO HENRIQUEZ A ANA BENAVENTE.doc</t>
  </si>
  <si>
    <t>C:\Users\franc\OneDrive\Documentos\MALENTIN KARIME\MANDATO\GENERAL\2015\IRIS CASTILLO A Erasmo Castillo.doc</t>
  </si>
  <si>
    <t>C:\Users\franc\OneDrive\Documentos\MALENTIN KARIME\MANDATO\GENERAL\2015\ESMIRTO MONTENEGRO.doc</t>
  </si>
  <si>
    <t>C:\Users\franc\OneDrive\Documentos\MALENTIN KARIME\MANDATO\GENERAL\2015\ERASMO CORTES GUZMAN A Zoila Marquez.doc</t>
  </si>
  <si>
    <t>C:\Users\franc\OneDrive\Documentos\MALENTIN KARIME\MANDATO\GENERAL\2015\BONIFACIO OLIVARES CASTRO Minuta.doc</t>
  </si>
  <si>
    <t>C:\Users\franc\OneDrive\Documentos\MALENTIN KARIME\MANDATO\GENERAL\2015\CAROLINA TORREJON CASTILLO.doc</t>
  </si>
  <si>
    <t>C:\Users\franc\OneDrive\Documentos\MALENTIN KARIME\MANDATO\GENERAL\XIMENA PEREZ CAMPOS.doc</t>
  </si>
  <si>
    <t>C:\Users\franc\OneDrive\Documentos\MALENTIN KARIME\MANDATO\GENERAL\VITAL DEL ROSARIO VALDES.doc</t>
  </si>
  <si>
    <t>C:\Users\franc\OneDrive\Documentos\MALENTIN KARIME\MANDATO\GENERAL\XIMENA ABBOTT LARRAIN.doc</t>
  </si>
  <si>
    <t>C:\Users\franc\OneDrive\Documentos\MALENTIN KARIME\MANDATO\GENERAL\VERONICA MONTT}.doc</t>
  </si>
  <si>
    <t>C:\Users\franc\OneDrive\Documentos\MALENTIN KARIME\MANDATO\GENERAL\SUCESION CASTILLO IBACACHE MAND General.doc</t>
  </si>
  <si>
    <t>C:\Users\franc\OneDrive\Documentos\MALENTIN KARIME\MANDATO\GENERAL\SUCESION CASTILLO IBACACHE Cheq CAPEL-1.doc</t>
  </si>
  <si>
    <t>C:\Users\franc\OneDrive\Documentos\MALENTIN KARIME\MANDATO\GENERAL\RUDELIO VEGA MORALEDA.doc</t>
  </si>
  <si>
    <t>C:\Users\franc\OneDrive\Documentos\MALENTIN KARIME\MANDATO\GENERAL\RODRIGO VARGAS CASTRO}.doc</t>
  </si>
  <si>
    <t>C:\Users\franc\OneDrive\Documentos\MALENTIN KARIME\MANDATO\GENERAL\OSVALDO TELLO.doc</t>
  </si>
  <si>
    <t>C:\Users\franc\OneDrive\Documentos\MALENTIN KARIME\MANDATO\GENERAL\OSCAR CASTRO RAMIREZ.doc</t>
  </si>
  <si>
    <t>C:\Users\franc\OneDrive\Documentos\MALENTIN KARIME\MANDATO\GENERAL\NIDIA RIVERA ROCCO.doc</t>
  </si>
  <si>
    <t>C:\Users\franc\OneDrive\Documentos\MALENTIN KARIME\MANDATO\GENERAL\MOISES MUNDACA CAMPUSANO Y OTROS MEspecial.doc</t>
  </si>
  <si>
    <t>C:\Users\franc\OneDrive\Documentos\MALENTIN KARIME\MANDATO\GENERAL\modelo.doc</t>
  </si>
  <si>
    <t>C:\Users\franc\OneDrive\Documentos\MALENTIN KARIME\MANDATO\GENERAL\MAURICE JEAN BRET Revocacion Minuta.doc</t>
  </si>
  <si>
    <t>C:\Users\franc\OneDrive\Documentos\MALENTIN KARIME\MANDATO\GENERAL\MARIA CARMONA PIZARRO.doc</t>
  </si>
  <si>
    <t>C:\Users\franc\OneDrive\Documentos\MALENTIN KARIME\MANDATO\GENERAL\MARIA ALVAREZ HENRIQUEZ Y OTRA.doc</t>
  </si>
  <si>
    <t>C:\Users\franc\OneDrive\Documentos\MALENTIN KARIME\MANDATO\GENERAL\LEONARDO VELIZ LABARCA}.doc</t>
  </si>
  <si>
    <t>C:\Users\franc\OneDrive\Documentos\MALENTIN KARIME\MANDATO\GENERAL\LEONARDO VELIZ LABARCA COPIA.doc</t>
  </si>
  <si>
    <t>C:\Users\franc\OneDrive\Documentos\MALENTIN KARIME\MANDATO\GENERAL\HUGO CAMPOS ROJAS.doc</t>
  </si>
  <si>
    <t>C:\Users\franc\OneDrive\Documentos\MALENTIN KARIME\MANDATO\GENERAL\JUAN JOSE ALAMO MIRANDA Gral Bancario.doc</t>
  </si>
  <si>
    <t>C:\Users\franc\OneDrive\Documentos\MALENTIN KARIME\MANDATO\GENERAL\HECTOR MEDALLA MEDALLA.doc</t>
  </si>
  <si>
    <t>C:\Users\franc\OneDrive\Documentos\MALENTIN KARIME\MANDATO\GENERAL\HERNAN CASTILLO IBACACHE A Eugenia Castillo.doc</t>
  </si>
  <si>
    <t>C:\Users\franc\OneDrive\Documentos\MALENTIN KARIME\MANDATO\GENERAL\HECTOR GUILLERMO CASTILLO CASTILLO.doc</t>
  </si>
  <si>
    <t>C:\Users\franc\OneDrive\Documentos\MALENTIN KARIME\MANDATO\GENERAL\GLORIA ALFARO SIERRA Minuta.doc</t>
  </si>
  <si>
    <t>C:\Users\franc\OneDrive\Documentos\MALENTIN KARIME\MANDATO\GENERAL\COPEVAL PODER.doc</t>
  </si>
  <si>
    <t>C:\Users\franc\OneDrive\Documentos\MALENTIN KARIME\MANDATO\GENERAL\CIRO BERRIOS.doc</t>
  </si>
  <si>
    <t>C:\Users\franc\OneDrive\Documentos\MALENTIN KARIME\MANDATO\GENERAL\CARMEN CONTRERAS CORTEZ.doc</t>
  </si>
  <si>
    <t>C:\Users\franc\OneDrive\Documentos\MALENTIN KARIME\MANDATO\GENERAL\CESAR RUIZ RODRIGUEZ.doc</t>
  </si>
  <si>
    <t>C:\Users\franc\OneDrive\Documentos\MALENTIN KARIME\MANDATO\GENERAL\CARLOS FAGANI.doc</t>
  </si>
  <si>
    <t>C:\Users\franc\OneDrive\Documentos\MALENTIN KARIME\MANDATO\GENERAL\banco.doc</t>
  </si>
  <si>
    <t>C:\Users\franc\OneDrive\Documentos\MALENTIN KARIME\MANDATO\GENERAL\ANGEL LUNA.doc</t>
  </si>
  <si>
    <t>C:\Users\franc\OneDrive\Documentos\MALENTIN KARIME\MANDATO\GENERAL\AGRICOLA EL CIENAGO.doc</t>
  </si>
  <si>
    <t>C:\Users\franc\OneDrive\Documentos\MALENTIN KARIME\MANDATO\GENERAL\ADRIANA GUZMAN OLSEN.doc</t>
  </si>
  <si>
    <t>C:\Users\franc\OneDrive\Documentos\MALENTIN KARIME\MANDATO\ESPECIAL\MINAS\NORMAS RAMOS PASTEN A Aris Plaza.doc</t>
  </si>
  <si>
    <t>C:\Users\franc\OneDrive\Documentos\MALENTIN KARIME\MANDATO\ESPECIAL\MINAS\SOC. MINERA EL COBRE.doc</t>
  </si>
  <si>
    <t>C:\Users\franc\OneDrive\Documentos\MALENTIN KARIME\MANDATO\ESPECIAL\MINAS\LORENZO ARAYA COFRE venta MINAS 2018.doc</t>
  </si>
  <si>
    <t>C:\Users\franc\OneDrive\Documentos\MALENTIN KARIME\MANDATO\ESPECIAL\MINAS\MARTA ORO CORTES.doc</t>
  </si>
  <si>
    <t>C:\Users\franc\OneDrive\Documentos\MALENTIN KARIME\MANDATO\ESPECIAL\MINAS\LORENZO ARAYA COFRE negociar venta MINAS.doc</t>
  </si>
  <si>
    <t>C:\Users\franc\OneDrive\Documentos\MALENTIN KARIME\MANDATO\ESPECIAL\MINAS\LORENZO ARAYA COFRE Honorarios.doc</t>
  </si>
  <si>
    <t>C:\Users\franc\OneDrive\Documentos\MALENTIN KARIME\MANDATO\ESPECIAL\MINAS\LORENZO ARAYA COFRE A CARLOS MARDONES Acuerdo  2018.doc</t>
  </si>
  <si>
    <t>C:\Users\franc\OneDrive\Documentos\MALENTIN KARIME\MANDATO\ESPECIAL\MINAS\ANTONIO GODOY PEREZ negociar venta MINAS.doc</t>
  </si>
  <si>
    <t>C:\Users\franc\OneDrive\Documentos\MALENTIN KARIME\MANDATO\ESPECIAL\2021\SUCESION JUAN MIRANDA MOLINA Capel.doc</t>
  </si>
  <si>
    <t>C:\Users\franc\OneDrive\Documentos\MALENTIN KARIME\MANDATO\ESPECIAL\2021\MARIA GALLEGUILLOS MIRANDA Y OTROS.doc</t>
  </si>
  <si>
    <t>C:\Users\franc\OneDrive\Documentos\MALENTIN KARIME\MANDATO\ESPECIAL\2021\LILIANA ALFARO A EDUARDO MIRANDA Y OTROS  minuta.docx</t>
  </si>
  <si>
    <t>C:\Users\franc\OneDrive\Documentos\MALENTIN KARIME\MANDATO\ESPECIAL\2021\MANUEL FARIAS VIGUERA.doc</t>
  </si>
  <si>
    <t>C:\Users\franc\OneDrive\Documentos\MALENTIN KARIME\MANDATO\ESPECIAL\2021\LILIANA ALFARO A EDUARDO MIRANDA Y OTRO minuta.docx</t>
  </si>
  <si>
    <t>C:\Users\franc\OneDrive\Documentos\MALENTIN KARIME\MANDATO\ESPECIAL\2018\VICTOR TELLO TELLO Serviu.doc</t>
  </si>
  <si>
    <t>C:\Users\franc\OneDrive\Documentos\MALENTIN KARIME\MANDATO\ESPECIAL\2021\JOEL INOSTROZA SALAZAR Mandato minuta.doc</t>
  </si>
  <si>
    <t>C:\Users\franc\OneDrive\Documentos\MALENTIN KARIME\MANDATO\ESPECIAL\2018\SUCESION MONSALVE Scotiabank.doc</t>
  </si>
  <si>
    <t>C:\Users\franc\OneDrive\Documentos\MALENTIN KARIME\MANDATO\ESPECIAL\2018\SUCESION MONSALVE Capel.doc</t>
  </si>
  <si>
    <t>C:\Users\franc\OneDrive\Documentos\MALENTIN KARIME\MANDATO\ESPECIAL\2018\SUCESION  ANDRADES TABILO 2018.doc</t>
  </si>
  <si>
    <t>C:\Users\franc\OneDrive\Documentos\MALENTIN KARIME\MANDATO\ESPECIAL\2018\SERVICIOS Y MAQUINARIA ISIDORA Y OTRA.doc</t>
  </si>
  <si>
    <t>C:\Users\franc\OneDrive\Documentos\MALENTIN KARIME\MANDATO\ESPECIAL\2018\MANDATO Felipe Barrios.doc</t>
  </si>
  <si>
    <t>C:\Users\franc\OneDrive\Documentos\MALENTIN KARIME\MANDATO\ESPECIAL\2018\JAVIER CONTRERAS CORTES Minuta.doc</t>
  </si>
  <si>
    <t>C:\Users\franc\OneDrive\Documentos\MALENTIN KARIME\MANDATO\ESPECIAL\2018\GLADYS ROJAS GONZALEZ.doc</t>
  </si>
  <si>
    <t>C:\Users\franc\OneDrive\Documentos\MALENTIN KARIME\MANDATO\ESPECIAL\2018\ELBA ALVAREZ Minuta E Rivas.doc</t>
  </si>
  <si>
    <t>C:\Users\franc\OneDrive\Documentos\MALENTIN KARIME\MANDATO\ESPECIAL\2018\ARMANDO MARIN CORTES Cheques.doc</t>
  </si>
  <si>
    <t>C:\Users\franc\OneDrive\Documentos\MALENTIN KARIME\MANDATO\ESPECIAL\2017\SUCESIONA ARAYA VALDIVIA mandato CAPEL.doc</t>
  </si>
  <si>
    <t>C:\Users\franc\OneDrive\Documentos\MALENTIN KARIME\MANDATO\ESPECIAL\2017\SUC EGAÑA VIDELA afp.doc</t>
  </si>
  <si>
    <t>C:\Users\franc\OneDrive\Documentos\MALENTIN KARIME\MANDATO\ESPECIAL\2017\SUC RIVERA CANIVILO texto afp.doc</t>
  </si>
  <si>
    <t>C:\Users\franc\OneDrive\Documentos\MALENTIN KARIME\MANDATO\ESPECIAL\2017\RAMON UBILLO RIVERA afp.doc</t>
  </si>
  <si>
    <t>C:\Users\franc\OneDrive\Documentos\MALENTIN KARIME\MANDATO\ESPECIAL\2017\ORLANDO DALBOSCO mandato Judicial.doc</t>
  </si>
  <si>
    <t>C:\Users\franc\OneDrive\Documentos\MALENTIN KARIME\MANDATO\ESPECIAL\2017\OLINDA ZEPEDA.doc</t>
  </si>
  <si>
    <t>C:\Users\franc\OneDrive\Documentos\MALENTIN KARIME\MANDATO\ESPECIAL\2017\MOISES ALFARO DIAZ afp.doc</t>
  </si>
  <si>
    <t>C:\Users\franc\OneDrive\Documentos\MALENTIN KARIME\MANDATO\ESPECIAL\2017\MARINA SILVA ARANEDA.doc</t>
  </si>
  <si>
    <t>C:\Users\franc\OneDrive\Documentos\MALENTIN KARIME\MANDATO\ESPECIAL\2017\LUIS ACUA.doc</t>
  </si>
  <si>
    <t>C:\Users\franc\OneDrive\Documentos\MALENTIN KARIME\MANDATO\ESPECIAL\2017\INMOBILIARIA Y CONSTRUCTORA MALLEGAS.doc</t>
  </si>
  <si>
    <t>C:\Users\franc\OneDrive\Documentos\MALENTIN KARIME\MANDATO\ESPECIAL\2017\HERNAN  RIVERA CANIVILO texto afp.doc</t>
  </si>
  <si>
    <t>C:\Users\franc\OneDrive\Documentos\MALENTIN KARIME\MANDATO\ESPECIAL\2017\INES ACOSTA GALLARDO  Serviu.doc</t>
  </si>
  <si>
    <t>C:\Users\franc\OneDrive\Documentos\MALENTIN KARIME\MANDATO\ESPECIAL\2017\GUILLERMO CONTRERAS Adm arrendar.doc</t>
  </si>
  <si>
    <t>C:\Users\franc\OneDrive\Documentos\MALENTIN KARIME\MANDATO\ESPECIAL\2017\EL BA ROJAS afp.doc</t>
  </si>
  <si>
    <t>C:\Users\franc\OneDrive\Documentos\MALENTIN KARIME\MANDATO\ESPECIAL\2017\Daniela Salfate y otrosMANDATO SUBDIVISIÓN.doc</t>
  </si>
  <si>
    <t>C:\Users\franc\OneDrive\Documentos\MALENTIN KARIME\MANDATO\ESPECIAL\2017\CELICA RIVERA  afp.doc</t>
  </si>
  <si>
    <t>C:\Users\franc\OneDrive\Documentos\MALENTIN KARIME\MANDATO\ESPECIAL\2017\CAROLINA ROJAS CARVAJAL Minuta.doc</t>
  </si>
  <si>
    <t>C:\Users\franc\OneDrive\Documentos\MALENTIN KARIME\MANDATO\ESPECIAL\2017\ANA RIVERA ARAYA  afp.doc</t>
  </si>
  <si>
    <t>C:\Users\franc\OneDrive\Documentos\MALENTIN KARIME\MANDATO\ESPECIAL\2017\CAROLINA ROJAS CARVAJAL Minuta 02.doc</t>
  </si>
  <si>
    <t>C:\Users\franc\OneDrive\Documentos\MALENTIN KARIME\MANDATO\ESPECIAL\2017\ANA CORTES LUNA Mandato para percibir.doc</t>
  </si>
  <si>
    <t>C:\Users\franc\OneDrive\Documentos\MALENTIN KARIME\MANDATO\ESPECIAL\2017\Alejandro Venega minuta.doc</t>
  </si>
  <si>
    <t>C:\Users\franc\OneDrive\Documentos\MALENTIN KARIME\MANDATO\ESPECIAL\2016\SUCESION BOLVARAN MOROSO.doc</t>
  </si>
  <si>
    <t>C:\Users\franc\OneDrive\Documentos\MALENTIN KARIME\MANDATO\ESPECIAL\2016\SUCESION RIVERA ANDRADE capel.doc</t>
  </si>
  <si>
    <t>C:\Users\franc\OneDrive\Documentos\MALENTIN KARIME\MANDATO\ESPECIAL\2016\SUCESION BOLVARAN MOROSO II.doc</t>
  </si>
  <si>
    <t>C:\Users\franc\OneDrive\Documentos\MALENTIN KARIME\MANDATO\ESPECIAL\2016\SOCIEDAD SANTA BLANCA S.A. A Sergio Salinas.doc</t>
  </si>
  <si>
    <t>C:\Users\franc\OneDrive\Documentos\MALENTIN KARIME\MANDATO\ESPECIAL\2016\ROSANA MANZANO Adms.doc</t>
  </si>
  <si>
    <t>C:\Users\franc\OneDrive\Documentos\MALENTIN KARIME\MANDATO\ESPECIAL\2016\MARIO PINTO serviu.doc</t>
  </si>
  <si>
    <t>C:\Users\franc\OneDrive\Documentos\MALENTIN KARIME\MANDATO\ESPECIAL\2016\MARIA LUISA CASANOVA AGUIRRE capel.doc</t>
  </si>
  <si>
    <t>C:\Users\franc\OneDrive\Documentos\MALENTIN KARIME\MANDATO\ESPECIAL\2016\JORGE BASOALTO Mandato Promesa.doc</t>
  </si>
  <si>
    <t>C:\Users\franc\OneDrive\Documentos\MALENTIN KARIME\MANDATO\ESPECIAL\2016\INMOBILIARIA TRES COLUMNAS.doc</t>
  </si>
  <si>
    <t>C:\Users\franc\OneDrive\Documentos\MALENTIN KARIME\MANDATO\ESPECIAL\2016\GRACIELA CASTILLO ROJAS afp.doc</t>
  </si>
  <si>
    <t>C:\Users\franc\OneDrive\Documentos\MALENTIN KARIME\MANDATO\ESPECIAL\2016\EDUVINA CARVAJALMandato Promesa.doc</t>
  </si>
  <si>
    <t>C:\Users\franc\OneDrive\Documentos\MALENTIN KARIME\MANDATO\ESPECIAL\2016\ARMANDO MARIN CORTES, Adms.doc</t>
  </si>
  <si>
    <t>C:\Users\franc\OneDrive\Documentos\MALENTIN KARIME\MANDATO\ESPECIAL\2015\SUCESION COFRE TAPIA.doc</t>
  </si>
  <si>
    <t>C:\Users\franc\OneDrive\Documentos\MALENTIN KARIME\MANDATO\ESPECIAL\2015\NIBALDO DEL CARMEN ADONIS ADONIS a ELENA LOPEZnegociar minas.doc</t>
  </si>
  <si>
    <t>C:\Users\franc\OneDrive\Documentos\MALENTIN KARIME\MANDATO\ESPECIAL\2015\MAYA MIRANDA SEPULVEDA.doc</t>
  </si>
  <si>
    <t>C:\Users\franc\OneDrive\Documentos\MALENTIN KARIME\MANDATO\ESPECIAL\2015\MIGUEL AROS AROS ADM. Vender.doc</t>
  </si>
  <si>
    <t>C:\Users\franc\OneDrive\Documentos\MALENTIN KARIME\MANDATO\ESPECIAL\2015\MAYA MIRANDA SEPULVEDA borrador.doc</t>
  </si>
  <si>
    <t>C:\Users\franc\OneDrive\Documentos\MALENTIN KARIME\MANDATO\ESPECIAL\2015\MARIO PIZARRO AHUMADA varios.doc</t>
  </si>
  <si>
    <t>C:\Users\franc\OneDrive\Documentos\MALENTIN KARIME\MANDATO\ESPECIAL\2015\MARIO PIZARRO AHUMADA  y Armando Pizarro.doc</t>
  </si>
  <si>
    <t>C:\Users\franc\OneDrive\Documentos\MALENTIN KARIME\MANDATO\ESPECIAL\2015\MARIA ISOLINA  A BRENDA ALFARO.doc</t>
  </si>
  <si>
    <t>C:\Users\franc\OneDrive\Documentos\MALENTIN KARIME\MANDATO\ESPECIAL\2015\MARIELA LOPEZ capel.doc</t>
  </si>
  <si>
    <t>C:\Users\franc\OneDrive\Documentos\MALENTIN KARIME\MANDATO\ESPECIAL\2015\MANUEL DIAZ RIVERA.doc</t>
  </si>
  <si>
    <t>C:\Users\franc\OneDrive\Documentos\MALENTIN KARIME\MANDATO\ESPECIAL\2015\MANUEL ALEJANDRO ADONIS MORA a ELENA LOPEZnegociar minas.doc</t>
  </si>
  <si>
    <t>C:\Users\franc\OneDrive\Documentos\MALENTIN KARIME\MANDATO\ESPECIAL\2015\MANUEL DIAZ RIVERA formatodoc.doc</t>
  </si>
  <si>
    <t>C:\Users\franc\OneDrive\Documentos\MALENTIN KARIME\MANDATO\ESPECIAL\2015\JVISA ANDRADE ROJAS ADM. Postulacion.doc</t>
  </si>
  <si>
    <t>C:\Users\franc\OneDrive\Documentos\MALENTIN KARIME\MANDATO\ESPECIAL\2015\JUANA VILLA NUEVA CAMUS Minuta.doc</t>
  </si>
  <si>
    <t>C:\Users\franc\OneDrive\Documentos\MALENTIN KARIME\MANDATO\ESPECIAL\2015\INMOBILIARIA TRES COLUMNAS.doc</t>
  </si>
  <si>
    <t>C:\Users\franc\OneDrive\Documentos\MALENTIN KARIME\MANDATO\ESPECIAL\2015\GUILE CODOCEO G. negociar venta.doc</t>
  </si>
  <si>
    <t>C:\Users\franc\OneDrive\Documentos\MALENTIN KARIME\MANDATO\ESPECIAL\2015\ERMO CORTES A Benito Cortes serviu y otros.doc</t>
  </si>
  <si>
    <t>C:\Users\franc\OneDrive\Documentos\MALENTIN KARIME\MANDATO\ESPECIAL\2015\ERIKA CAMPUSANO A Roberto Vega MINUTA.doc</t>
  </si>
  <si>
    <t>C:\Users\franc\OneDrive\Documentos\MALENTIN KARIME\MANDATO\ESPECIAL\2015\EGLANTINA OLIVARES DIAZ ADM. Vender.doc</t>
  </si>
  <si>
    <t>C:\Users\franc\OneDrive\Documentos\MALENTIN KARIME\MANDATO\ESPECIAL\2015\DELIA DIAZ GARATE Especial 2015.doc</t>
  </si>
  <si>
    <t>C:\Users\franc\OneDrive\Documentos\MALENTIN KARIME\MANDATO\ESPECIAL\2015\AURA NEIRA A  Graciela Quiroz.doc</t>
  </si>
  <si>
    <t>C:\Users\franc\OneDrive\Documentos\MALENTIN KARIME\MANDATO\ESPECIAL\2015\CENTRO CEGEPAC A Carola Barraza.doc</t>
  </si>
  <si>
    <t>C:\Users\franc\OneDrive\Documentos\MALENTIN KARIME\MANDATO\ESPECIAL\2015\ANTONIO GODOY PEREZ negociar venta MINAS.doc</t>
  </si>
  <si>
    <t>C:\Users\franc\OneDrive\Documentos\MALENTIN KARIME\MANDATO\ESPECIAL\2015\ANTONIO GODOY PEREZ a ELENA LOPEZnegociar minas.doc</t>
  </si>
  <si>
    <t>C:\Users\franc\OneDrive\Documentos\MALENTIN KARIME\MANDATO\ESPECIAL\2015\AMADIEL PIZARRO AHUMADA A MARIO PIZARRO AHUMADA (interchile y SAG).doc</t>
  </si>
  <si>
    <t>C:\Users\franc\OneDrive\Documentos\MALENTIN KARIME\MANDATO\ESPECIAL\2015\AMANDA FIGUEROA CORTES adms.doc</t>
  </si>
  <si>
    <t>C:\Users\franc\OneDrive\Documentos\MALENTIN KARIME\MANDATO\ESPECIAL\WILSON ZEPEDA MICHEA.doc</t>
  </si>
  <si>
    <t>C:\Users\franc\OneDrive\Documentos\MALENTIN KARIME\MANDATO\ESPECIAL\VICTOR TAPIA ROJAS Minuta.doc</t>
  </si>
  <si>
    <t>C:\Users\franc\OneDrive\Documentos\MALENTIN KARIME\MANDATO\ESPECIAL\SUCESION JUAN TAPIA MIRANDA.doc</t>
  </si>
  <si>
    <t>C:\Users\franc\OneDrive\Documentos\MALENTIN KARIME\MANDATO\ESPECIAL\SUCESION CASTILLO IBACACHE Cheq CAPEL-1.doc</t>
  </si>
  <si>
    <t>C:\Users\franc\OneDrive\Documentos\MALENTIN KARIME\MANDATO\ESPECIAL\SUCESION CASTILLO IBACACHE ratificacion.doc</t>
  </si>
  <si>
    <t>C:\Users\franc\OneDrive\Documentos\MALENTIN KARIME\MANDATO\ESPECIAL\SUCESION ARAYA VALDIVIA Capel.doc</t>
  </si>
  <si>
    <t>C:\Users\franc\OneDrive\Documentos\MALENTIN KARIME\MANDATO\ESPECIAL\SUCESION CASTILLO IBACACHE Cheq CAPEL- con maridos y judicial.doc</t>
  </si>
  <si>
    <t>C:\Users\franc\OneDrive\Documentos\MALENTIN KARIME\MANDATO\ESPECIAL\SUCESION ARAYA VALDIVIA Capel ratificacion.doc</t>
  </si>
  <si>
    <t>C:\Users\franc\OneDrive\Documentos\MALENTIN KARIME\MANDATO\ESPECIAL\SILVIA PIZARRO CISTERNAS posesion efectiva.doc</t>
  </si>
  <si>
    <t>C:\Users\franc\OneDrive\Documentos\MALENTIN KARIME\MANDATO\ESPECIAL\SUCESION Abel Campos.doc</t>
  </si>
  <si>
    <t>C:\Users\franc\OneDrive\Documentos\MALENTIN KARIME\MANDATO\ESPECIAL\SILVIA FRANCO LOPEZ A ROLANDO FRANCO.doc</t>
  </si>
  <si>
    <t>C:\Users\franc\OneDrive\Documentos\MALENTIN KARIME\MANDATO\ESPECIAL\SILVIA CASTILLO SERRANO Modelo Arriendo Aguas.doc</t>
  </si>
  <si>
    <t>C:\Users\franc\OneDrive\Documentos\MALENTIN KARIME\MANDATO\ESPECIAL\ROSA TABILO A LUIS TABILO.doc</t>
  </si>
  <si>
    <t>C:\Users\franc\OneDrive\Documentos\MALENTIN KARIME\MANDATO\ESPECIAL\ROLANDO HERRERA adms.doc</t>
  </si>
  <si>
    <t>C:\Users\franc\OneDrive\Documentos\MALENTIN KARIME\MANDATO\ESPECIAL\RAQUEL ROJAS MILLA Cheq CAPEL-1.doc</t>
  </si>
  <si>
    <t>C:\Users\franc\OneDrive\Documentos\MALENTIN KARIME\MANDATO\ESPECIAL\PEDRO OLIVARES PEREZ adms.doc</t>
  </si>
  <si>
    <t>C:\Users\franc\OneDrive\Documentos\MALENTIN KARIME\MANDATO\ESPECIAL\PETRONILA COLLAO A NORA ROJAS.doc</t>
  </si>
  <si>
    <t>C:\Users\franc\OneDrive\Documentos\MALENTIN KARIME\MANDATO\ESPECIAL\PABLA FARIAS C. Y OTS. Cheq CAPEL-1.doc</t>
  </si>
  <si>
    <t>C:\Users\franc\OneDrive\Documentos\MALENTIN KARIME\MANDATO\ESPECIAL\OSVALDO PASTEN ROJAS capel.doc</t>
  </si>
  <si>
    <t>C:\Users\franc\OneDrive\Documentos\MALENTIN KARIME\MANDATO\ESPECIAL\OLGA PIZARRO TORO A Dabed.doc</t>
  </si>
  <si>
    <t>C:\Users\franc\OneDrive\Documentos\MALENTIN KARIME\MANDATO\ESPECIAL\NOLVIA ELENA JERALDO Mandato Especial Capel.doc</t>
  </si>
  <si>
    <t>C:\Users\franc\OneDrive\Documentos\MALENTIN KARIME\MANDATO\ESPECIAL\MODELO MANDATO ESPECIAL capel.doc</t>
  </si>
  <si>
    <t>C:\Users\franc\OneDrive\Documentos\MALENTIN KARIME\MANDATO\ESPECIAL\NELSON MORGADO  LEVIPAN.doc</t>
  </si>
  <si>
    <t>C:\Users\franc\OneDrive\Documentos\MALENTIN KARIME\MANDATO\ESPECIAL\MODELO E.I.R.L.doc</t>
  </si>
  <si>
    <t>C:\Users\franc\OneDrive\Documentos\MALENTIN KARIME\MANDATO\ESPECIAL\MIRNA URQUETA PIZARRO Posesion efectiva.doc</t>
  </si>
  <si>
    <t>C:\Users\franc\OneDrive\Documentos\MALENTIN KARIME\MANDATO\ESPECIAL\MIRIAM CAMPOS ALFARO y otros.doc</t>
  </si>
  <si>
    <t>C:\Users\franc\OneDrive\Documentos\MALENTIN KARIME\MANDATO\ESPECIAL\MIRIAM CAMPOS ALFARO y otros notaria.doc</t>
  </si>
  <si>
    <t>C:\Users\franc\OneDrive\Documentos\MALENTIN KARIME\MANDATO\ESPECIAL\MIRIAM CAMPOS ALFARO modelo cliente.doc</t>
  </si>
  <si>
    <t>C:\Users\franc\OneDrive\Documentos\MALENTIN KARIME\MANDATO\ESPECIAL\MAURICE JEAN BREAT Minuta.doc</t>
  </si>
  <si>
    <t>C:\Users\franc\OneDrive\Documentos\MALENTIN KARIME\MANDATO\ESPECIAL\MAURICIO JIMENEZ RIVERA A Ximena Olatate Agosto 13.doc</t>
  </si>
  <si>
    <t>C:\Users\franc\OneDrive\Documentos\MALENTIN KARIME\MANDATO\ESPECIAL\MAURICE JEAN A LUZ OLIVARES.doc</t>
  </si>
  <si>
    <t>C:\Users\franc\OneDrive\Documentos\MALENTIN KARIME\MANDATO\ESPECIAL\MARIA ANTONIETA ELORZA VRGARA A Ramón Elorza+ capel.doc</t>
  </si>
  <si>
    <t>C:\Users\franc\OneDrive\Documentos\MALENTIN KARIME\MANDATO\ESPECIAL\MANUEL RODRIGUEZ TORREJON pension.doc</t>
  </si>
  <si>
    <t>C:\Users\franc\OneDrive\Documentos\MALENTIN KARIME\MANDATO\ESPECIAL\MARCELA ALVAREZ HENRIQUEZ Minuta.doc</t>
  </si>
  <si>
    <t>C:\Users\franc\OneDrive\Documentos\MALENTIN KARIME\MANDATO\ESPECIAL\MANUEL ROCO Adm.doc</t>
  </si>
  <si>
    <t>C:\Users\franc\OneDrive\Documentos\MALENTIN KARIME\MANDATO\ESPECIAL\LUIS DIAZ A RAMON DIAZ (MAS COMPLETO).doc</t>
  </si>
  <si>
    <t>C:\Users\franc\OneDrive\Documentos\MALENTIN KARIME\MANDATO\ESPECIAL\LUIS DARIO GONZALEZ adms.doc</t>
  </si>
  <si>
    <t>C:\Users\franc\OneDrive\Documentos\MALENTIN KARIME\MANDATO\ESPECIAL\LEONIDES CORTES A WALDO MICHEA adms.doc</t>
  </si>
  <si>
    <t>C:\Users\franc\OneDrive\Documentos\MALENTIN KARIME\MANDATO\ESPECIAL\LEONIDES CORTES A WALDO MICHEA adms FINAL.doc</t>
  </si>
  <si>
    <t>C:\Users\franc\OneDrive\Documentos\MALENTIN KARIME\MANDATO\ESPECIAL\LAZO PEREZ  Cobrar.doc</t>
  </si>
  <si>
    <t>C:\Users\franc\OneDrive\Documentos\MALENTIN KARIME\MANDATO\ESPECIAL\JUAN GUILLERMO MILLA Judic.adm.doc</t>
  </si>
  <si>
    <t>C:\Users\franc\OneDrive\Documentos\MALENTIN KARIME\MANDATO\ESPECIAL\JUAN BENAVENTE MILLAN minuta.doc</t>
  </si>
  <si>
    <t>C:\Users\franc\OneDrive\Documentos\MALENTIN KARIME\MANDATO\ESPECIAL\JUAN ARAYA PEARSON.doc</t>
  </si>
  <si>
    <t>C:\Users\franc\OneDrive\Documentos\MALENTIN KARIME\MANDATO\ESPECIAL\JUAN ARAYA PEARSON Amd.doc</t>
  </si>
  <si>
    <t>C:\Users\franc\OneDrive\Documentos\MALENTIN KARIME\MANDATO\ESPECIAL\JORGE GARATE ARAYA mandato para liquidar y adjudicar.doc</t>
  </si>
  <si>
    <t>C:\Users\franc\OneDrive\Documentos\MALENTIN KARIME\MANDATO\ESPECIAL\JAIME PROHENS VILLALON Y CIA LTDA. Minuta.doc</t>
  </si>
  <si>
    <t>C:\Users\franc\OneDrive\Documentos\MALENTIN KARIME\MANDATO\ESPECIAL\INVERSIONES VERDE MAR sociedad.doc</t>
  </si>
  <si>
    <t>C:\Users\franc\OneDrive\Documentos\MALENTIN KARIME\MANDATO\ESPECIAL\INGENIERIA Y CONSTRUCCIONES LTA A Dabed.doc</t>
  </si>
  <si>
    <t>C:\Users\franc\OneDrive\Documentos\MALENTIN KARIME\MANDATO\ESPECIAL\HERMAN VALLEJOS A Ruth Vallejos.doc</t>
  </si>
  <si>
    <t>C:\Users\franc\OneDrive\Documentos\MALENTIN KARIME\MANDATO\ESPECIAL\HERMAN ARAYA LASTARRIA A conyuge AFP.doc</t>
  </si>
  <si>
    <t>C:\Users\franc\OneDrive\Documentos\MALENTIN KARIME\MANDATO\ESPECIAL\GERMAN HERRERA REYES Minuta cobrar.doc</t>
  </si>
  <si>
    <t>C:\Users\franc\OneDrive\Documentos\MALENTIN KARIME\MANDATO\ESPECIAL\HECTOR MEDALLA A GILIAN VILLAR Adms.doc</t>
  </si>
  <si>
    <t>C:\Users\franc\OneDrive\Documentos\MALENTIN KARIME\MANDATO\ESPECIAL\EUGENIA BARRAZAAdm.doc</t>
  </si>
  <si>
    <t>C:\Users\franc\OneDrive\Documentos\MALENTIN KARIME\MANDATO\ESPECIAL\GEMITA CARRASCO MARIN Minuta.doc</t>
  </si>
  <si>
    <t>C:\Users\franc\OneDrive\Documentos\MALENTIN KARIME\MANDATO\ESPECIAL\ESMELINDA CONTRERAS adms.doc</t>
  </si>
  <si>
    <t>C:\Users\franc\OneDrive\Documentos\MALENTIN KARIME\MANDATO\ESPECIAL\ELBA ALVAREZ Minuta E Rivas.doc</t>
  </si>
  <si>
    <t>C:\Users\franc\OneDrive\Documentos\MALENTIN KARIME\MANDATO\ESPECIAL\EDUARDO VALLEJOS A Ruth Vallejos.doc</t>
  </si>
  <si>
    <t>C:\Users\franc\OneDrive\Documentos\MALENTIN KARIME\MANDATO\ESPECIAL\EDITH PLAZA Minuta.doc</t>
  </si>
  <si>
    <t>C:\Users\franc\OneDrive\Documentos\MALENTIN KARIME\MANDATO\ESPECIAL\DELIA DIAZ GARATE Especial.doc</t>
  </si>
  <si>
    <t>C:\Users\franc\OneDrive\Documentos\MALENTIN KARIME\MANDATO\ESPECIAL\DANIEL VERCHATSE Administr.doc</t>
  </si>
  <si>
    <t>C:\Users\franc\OneDrive\Documentos\MALENTIN KARIME\MANDATO\ESPECIAL\DARIO ROJAS CARVAJAL Proindiviso.doc</t>
  </si>
  <si>
    <t>C:\Users\franc\OneDrive\Documentos\MALENTIN KARIME\MANDATO\ESPECIAL\COOPERATIVA PESQUERA  EL SALADO.doc</t>
  </si>
  <si>
    <t>C:\Users\franc\OneDrive\Documentos\MALENTIN KARIME\MANDATO\ESPECIAL\DANIEL CONTRERAS Minuta junta.doc</t>
  </si>
  <si>
    <t>C:\Users\franc\OneDrive\Documentos\MALENTIN KARIME\MANDATO\ESPECIAL\CLAUDIO MENARES ZUÑIGA Minuta rescil.doc</t>
  </si>
  <si>
    <t>C:\Users\franc\OneDrive\Documentos\MALENTIN KARIME\MANDATO\ESPECIAL\CLEMENTE FUENTEALBA 2014.doc</t>
  </si>
  <si>
    <t>C:\Users\franc\OneDrive\Documentos\MALENTIN KARIME\MANDATO\ESPECIAL\BLANCA SEGOVIA CORTS adms.doc</t>
  </si>
  <si>
    <t>C:\Users\franc\OneDrive\Documentos\MALENTIN KARIME\MANDATO\ESPECIAL\CARLOS TREVERTON Y OT. a FIDEL TREVERTON Minuta.doc</t>
  </si>
  <si>
    <t>C:\Users\franc\OneDrive\Documentos\MALENTIN KARIME\MANDATO\ESPECIAL\BERNARDITA CARVAJAL URQUIETA AFP.doc</t>
  </si>
  <si>
    <t>C:\Users\franc\OneDrive\Documentos\MALENTIN KARIME\MANDATO\ESPECIAL\ARIEL JOFRE GONZALEZ A Walter Jofré.doc</t>
  </si>
  <si>
    <t>C:\Users\franc\OneDrive\Documentos\MALENTIN KARIME\MANDATO\ESPECIAL\ARNALDO GUERRA AGUILERA Adm.doc</t>
  </si>
  <si>
    <t>C:\Users\franc\OneDrive\Documentos\MALENTIN KARIME\MANDATO\ESPECIAL\ANIBAL ASTORGA Y OTROS A MAURICIO ASTORGA (29-07-2013).doc</t>
  </si>
  <si>
    <t>C:\Users\franc\OneDrive\Documentos\MALENTIN KARIME\MANDATO\ESPECIAL\ALICIA ALFARO LOPEZ Adjudicacion.doc</t>
  </si>
  <si>
    <t>C:\Users\franc\OneDrive\Documentos\MALENTIN KARIME\MANDATO\ESPECIAL\AGROPALQUI retiro documento.doc</t>
  </si>
  <si>
    <t>C:\Users\franc\OneDrive\Documentos\MALENTIN KARIME\MANDATO\ESPECIAL\AGROPALQUI A ELIANA LOPEZ.doc</t>
  </si>
  <si>
    <t>C:\Users\franc\OneDrive\Documentos\MALENTIN KARIME\MANDATO\ESPECIAL\ADM, VENDER ARREND JUDICIAL.doc</t>
  </si>
  <si>
    <t>C:\Users\franc\OneDrive\Documentos\MALENTIN KARIME\MANDATO\COMPRAR\PAULINA GALVEZ.doc</t>
  </si>
  <si>
    <t>C:\Users\franc\OneDrive\Documentos\MALENTIN KARIME\MANDATO\COMPRAR\YAEL CARDENAS Comprar.doc</t>
  </si>
  <si>
    <t>C:\Users\franc\OneDrive\Documentos\MALENTIN KARIME\MANDATO\COMPRAR\PAULINA GALVEZ Y CIA. LTDA. Banco.doc</t>
  </si>
  <si>
    <t>C:\Users\franc\OneDrive\Documentos\MALENTIN KARIME\MANDATO\COMPRAR\PAULINA GALVEZ II.doc</t>
  </si>
  <si>
    <t>C:\Users\franc\OneDrive\Documentos\MALENTIN KARIME\MANDATO\COMPRAR\MARTA BARRAZA MARIN Comprar.doc</t>
  </si>
  <si>
    <t>C:\Users\franc\OneDrive\Documentos\MALENTIN KARIME\MANDATO\COMPRAR\MARISOL MEDINA ZAPATA A Cristian Gallardo FUENTEALBA.doc</t>
  </si>
  <si>
    <t>C:\Users\franc\OneDrive\Documentos\MALENTIN KARIME\MANDATO\COMPRAR\mario zuñiga cmontecino comprar vehiculo nuevo.doc</t>
  </si>
  <si>
    <t>C:\Users\franc\OneDrive\Documentos\MALENTIN KARIME\MANDATO\COMPRAR\mario zuñiga cmontecino comprar vehiculo.doc</t>
  </si>
  <si>
    <t>C:\Users\franc\OneDrive\Documentos\MALENTIN KARIME\MANDATO\COMPRAR\MARIANELA MUNDACA Comprar.doc</t>
  </si>
  <si>
    <t>C:\Users\franc\OneDrive\Documentos\MALENTIN KARIME\MANDATO\COMPRAR\MANUEL ROJAS BUGUEÑO Comprar vehiculo.doc</t>
  </si>
  <si>
    <t>C:\Users\franc\OneDrive\Documentos\MALENTIN KARIME\MANDATO\COMPRAR\MARIA DE LOS A ALVAREZ CORDERO vehiculo.doc</t>
  </si>
  <si>
    <t>C:\Users\franc\OneDrive\Documentos\MALENTIN KARIME\MANDATO\COMPRAR\MANDATO PARA COMPRAR.doc</t>
  </si>
  <si>
    <t>C:\Users\franc\OneDrive\Documentos\MALENTIN KARIME\MANDATO\COMPRAR\MANDATO PARA COMPRAR POR BANCO.doc</t>
  </si>
  <si>
    <t>C:\Users\franc\OneDrive\Documentos\MALENTIN KARIME\MANDATO\COMPRAR\MANDATO HECTOR ROBLES para mutuo bancario minuta.doc</t>
  </si>
  <si>
    <t>C:\Users\franc\OneDrive\Documentos\MALENTIN KARIME\MANDATO\COMPRAR\GAMAL ROJAS.doc</t>
  </si>
  <si>
    <t>C:\Users\franc\OneDrive\Documentos\MALENTIN KARIME\MANDATO\COMPRAR\ESTELA TOLMO GALVEZ comprar vehiculo2017.doc</t>
  </si>
  <si>
    <t>C:\Users\franc\OneDrive\Documentos\MALENTIN KARIME\MANDATO\COMPRAR\FRANCO CARRASCO AHUMADA.doc</t>
  </si>
  <si>
    <t>C:\Users\franc\OneDrive\Documentos\MALENTIN KARIME\MANDATO\COMPRAR\ERNESTO CORTES CAMPUSANO comprar vehiculo.doc</t>
  </si>
  <si>
    <t>C:\Users\franc\OneDrive\Documentos\MALENTIN KARIME\MANDATO\COMPRAR\CHRISTOPHER ROJAS OLIVARES comprar.doc</t>
  </si>
  <si>
    <t>C:\Users\franc\OneDrive\Documentos\MALENTIN KARIME\MANDATO\COMPRAR\clausulas banco.doc</t>
  </si>
  <si>
    <t>C:\Users\franc\OneDrive\Documentos\MALENTIN KARIME\MANDATO\COMPRAR\CECILIA ARAYA SANDOVAL Junio 2017.doc</t>
  </si>
  <si>
    <t>C:\Users\franc\OneDrive\Documentos\MALENTIN KARIME\MANDATO\COMPRAR\BERTA VALDIVIA VALDIVA 2021.doc</t>
  </si>
  <si>
    <t>C:\Users\franc\OneDrive\Documentos\MALENTIN KARIME\MANDATO\COMPRAR\ARMANDO ARAYA ARACENA Comprar.doc</t>
  </si>
  <si>
    <t>C:\Users\franc\OneDrive\Documentos\MALENTIN KARIME\MANDATO\COMPRAR\ARMANDO ARAYA ARACENA Comprar modelo.doc</t>
  </si>
  <si>
    <t>C:\Users\franc\OneDrive\Documentos\MALENTIN KARIME\MANDATO\COMPRAR\ALBINA ORELLANA MOLINA.doc</t>
  </si>
  <si>
    <t>C:\Users\franc\OneDrive\Documentos\MALENTIN KARIME\MANDATO\BANCARIOS\2021\HAYDEE ACOSTA VERA  vista y ahorro.doc</t>
  </si>
  <si>
    <t>C:\Users\franc\OneDrive\Documentos\MALENTIN KARIME\MANDATO\BANCARIOS\2021\CARLOS VILLAGRAN A ALFREDO VILLAGRAN.doc</t>
  </si>
  <si>
    <t>C:\Users\franc\OneDrive\Documentos\MALENTIN KARIME\MANDATO\BANCARIOS\2017\SILVIA PIZARRO VERGARA.doc</t>
  </si>
  <si>
    <t>C:\Users\franc\OneDrive\Documentos\MALENTIN KARIME\MANDATO\BANCARIOS\2017\SALVADOR RIQUELME GONZALEZ.doc</t>
  </si>
  <si>
    <t>C:\Users\franc\OneDrive\Documentos\MALENTIN KARIME\MANDATO\BANCARIOS\2017\pension.doc</t>
  </si>
  <si>
    <t>C:\Users\franc\OneDrive\Documentos\MALENTIN KARIME\MANDATO\BANCARIOS\2017\PEDRO MUÑOZ( CTA.CTE).doc</t>
  </si>
  <si>
    <t>C:\Users\franc\OneDrive\Documentos\MALENTIN KARIME\MANDATO\BANCARIOS\2017\PAOLO GECELE( CTA.CTE).doc</t>
  </si>
  <si>
    <t>C:\Users\franc\OneDrive\Documentos\MALENTIN KARIME\MANDATO\BANCARIOS\2017\PABLO PEÑAFIEL Arriendo Maquinaria.doc</t>
  </si>
  <si>
    <t>C:\Users\franc\OneDrive\Documentos\MALENTIN KARIME\MANDATO\BANCARIOS\2017\OSCAR HUGUETT OLIVARES MARIN Bchile.doc</t>
  </si>
  <si>
    <t>C:\Users\franc\OneDrive\Documentos\MALENTIN KARIME\MANDATO\BANCARIOS\2017\NICOLAS ARAYA VEGA.doc</t>
  </si>
  <si>
    <t>C:\Users\franc\OneDrive\Documentos\MALENTIN KARIME\MANDATO\BANCARIOS\2017\NATALIA TELCHI  Bchile.doc</t>
  </si>
  <si>
    <t>C:\Users\franc\OneDrive\Documentos\MALENTIN KARIME\MANDATO\BANCARIOS\2017\INES DONOSO MALEBRAN.doc</t>
  </si>
  <si>
    <t>C:\Users\franc\OneDrive\Documentos\MALENTIN KARIME\MANDATO\BANCARIOS\2017\GUSTAVO OOSANDON Bchile.doc</t>
  </si>
  <si>
    <t>C:\Users\franc\OneDrive\Documentos\MALENTIN KARIME\MANDATO\BANCARIOS\2017\DANIEL BARRAZA GONZALEZ Bestado.doc</t>
  </si>
  <si>
    <t>C:\Users\franc\OneDrive\Documentos\MALENTIN KARIME\MANDATO\BANCARIOS\2017\ARMANDO MARIN CORTES pension.doc</t>
  </si>
  <si>
    <t>C:\Users\franc\OneDrive\Documentos\MALENTIN KARIME\MANDATO\BANCARIOS\2017\ALICIA ARAYA FLORES Bestado.doc</t>
  </si>
  <si>
    <t>C:\Users\franc\OneDrive\Documentos\MALENTIN KARIME\MANDATO\BANCARIOS\2017\ALICIA ARAYA FLORES  Bchile.doc</t>
  </si>
  <si>
    <t>C:\Users\franc\OneDrive\Documentos\MALENTIN KARIME\MANDATO\BANCARIOS\2017\AGRICOLA SANTA ELIANA DE RAPEL.doc</t>
  </si>
  <si>
    <t>C:\Users\franc\OneDrive\Documentos\MALENTIN KARIME\MANDATO\BANCARIOS\2017\AGRICOLA EDUARDO GALLEGUILLOS ( CTA.CTE).doc</t>
  </si>
  <si>
    <t>C:\Users\franc\OneDrive\Documentos\MALENTIN KARIME\MANDATO\BANCARIOS\2017\AGRICOLA BOU DE RAPEL  LTDA. 2018.doc</t>
  </si>
  <si>
    <t>C:\Users\franc\OneDrive\Documentos\MALENTIN KARIME\MANDATO\BANCARIOS\2016\MARTA LIRA CALLEJAS.doc</t>
  </si>
  <si>
    <t>C:\Users\franc\OneDrive\Documentos\MALENTIN KARIME\MANDATO\BANCARIOS\2016\EDUARDO GALLARDO SCOTIABANK ( CTA.CTE).doc</t>
  </si>
  <si>
    <t>C:\Users\franc\OneDrive\Documentos\MALENTIN KARIME\MANDATO\BANCARIOS\2015\SOCIEDAD SANTA AMALIA LTDA..doc</t>
  </si>
  <si>
    <t>C:\Users\franc\OneDrive\Documentos\MALENTIN KARIME\MANDATO\BANCARIOS\2016\CARLOS VELIZ MUÑOZ Bestado.doc</t>
  </si>
  <si>
    <t>C:\Users\franc\OneDrive\Documentos\MALENTIN KARIME\MANDATO\BANCARIOS\2015\REINALDO GOINICHIA OLIVARESBanco Estado ( CTA.CTE).doc</t>
  </si>
  <si>
    <t>C:\Users\franc\OneDrive\Documentos\MALENTIN KARIME\MANDATO\BANCARIOS\2015\MARIA ZAPATA ZAPATA.doc</t>
  </si>
  <si>
    <t>C:\Users\franc\OneDrive\Documentos\MALENTIN KARIME\MANDATO\BANCARIOS\2015\MIRAM PIZARRO PALLERO Minuta.doc</t>
  </si>
  <si>
    <t>C:\Users\franc\OneDrive\Documentos\MALENTIN KARIME\MANDATO\BANCARIOS\2015\MARIA GALLARDO ALFARO Banco Estado ( CTA.CTE).doc</t>
  </si>
  <si>
    <t>C:\Users\franc\OneDrive\Documentos\MALENTIN KARIME\MANDATO\BANCARIOS\2015\JULIA GONZALEZ GOMEZ Banco SCOTIABANK ( CTA.CTE).doc</t>
  </si>
  <si>
    <t>C:\Users\franc\OneDrive\Documentos\MALENTIN KARIME\MANDATO\BANCARIOS\2015\MAGALY COFRE varios bancos.doc</t>
  </si>
  <si>
    <t>C:\Users\franc\OneDrive\Documentos\MALENTIN KARIME\MANDATO\BANCARIOS\2015\JULIA GONZALEZ GOMEZ Banco Santander ( CTA.CTE).doc</t>
  </si>
  <si>
    <t>C:\Users\franc\OneDrive\Documentos\MALENTIN KARIME\MANDATO\BANCARIOS\2015\JULIA GONZALEZ GOMEZ Banco Santander MODELO ( CTA.CTE).doc</t>
  </si>
  <si>
    <t>C:\Users\franc\OneDrive\Documentos\MALENTIN KARIME\MANDATO\BANCARIOS\2015\JULIA GONZALEZ GOMEZ Banco DE CHILE ( CTA.CTE).doc</t>
  </si>
  <si>
    <t>C:\Users\franc\OneDrive\Documentos\MALENTIN KARIME\MANDATO\BANCARIOS\2015\JULIA GONZALEZ GOMEZ Banco Estado ( CTA.CTE).doc</t>
  </si>
  <si>
    <t>C:\Users\franc\OneDrive\Documentos\MALENTIN KARIME\MANDATO\BANCARIOS\2015\EDUARDO GALLEGUILLOS CONTRERAS ( CTA.CTE).doc</t>
  </si>
  <si>
    <t>C:\Users\franc\OneDrive\Documentos\MALENTIN KARIME\MANDATO\BANCARIOS\2015\JULIA GONZALEZ GOMEZ Banco BCI ( CTA.CTE).doc</t>
  </si>
  <si>
    <t>C:\Users\franc\OneDrive\Documentos\MALENTIN KARIME\MANDATO\BANCARIOS\2015\BELLA SIERRALTA BCHLE.doc</t>
  </si>
  <si>
    <t>C:\Users\franc\OneDrive\Documentos\MALENTIN KARIME\MANDATO\BANCARIOS\2015\CARLOS GALLARDO Banco Santander MODELO ( CTA.CTE).doc</t>
  </si>
  <si>
    <t>C:\Users\franc\OneDrive\Documentos\MALENTIN KARIME\MANDATO\BANCARIOS\ZENON ROJO ALVAREZ A HECTOR CASANOVA  Minas.doc</t>
  </si>
  <si>
    <t>C:\Users\franc\OneDrive\Documentos\MALENTIN KARIME\MANDATO\BANCARIOS\WILLIAM TABILO ROBLES.doc</t>
  </si>
  <si>
    <t>C:\Users\franc\OneDrive\Documentos\MALENTIN KARIME\MANDATO\BANCARIOS\SORAYA ANICH ALLEL ( CTA.CTE).doc</t>
  </si>
  <si>
    <t>C:\Users\franc\OneDrive\Documentos\MALENTIN KARIME\MANDATO\BANCARIOS\VICTOR ALFREDO CORTES ALFARO A Mabel Ramirez (VALE VISTA).doc</t>
  </si>
  <si>
    <t>C:\Users\franc\OneDrive\Documentos\MALENTIN KARIME\MANDATO\BANCARIOS\SERVICIOS HERMOGENES.doc</t>
  </si>
  <si>
    <t>C:\Users\franc\OneDrive\Documentos\MALENTIN KARIME\MANDATO\BANCARIOS\SLM ISRAEL ANTONIO I PUNITAQUI (cheques minas).doc</t>
  </si>
  <si>
    <t>C:\Users\franc\OneDrive\Documentos\MALENTIN KARIME\MANDATO\BANCARIOS\SANTIAGO VARGAS GALLEGUILLOS 2013.doc</t>
  </si>
  <si>
    <t>C:\Users\franc\OneDrive\Documentos\MALENTIN KARIME\MANDATO\BANCARIOS\SANTIAGO VARGAS GALLEGUILLOS 2014.doc</t>
  </si>
  <si>
    <t>C:\Users\franc\OneDrive\Documentos\MALENTIN KARIME\MANDATO\BANCARIOS\ROBERTO ROJAS CORTES CTA. CTE..doc</t>
  </si>
  <si>
    <t>C:\Users\franc\OneDrive\Documentos\MALENTIN KARIME\MANDATO\BANCARIOS\SANTIAGO VARGAS GALLEGUILLOS 2012.doc</t>
  </si>
  <si>
    <t>C:\Users\franc\OneDrive\Documentos\MALENTIN KARIME\MANDATO\BANCARIOS\PEDROMUÑOZ OLIVARES.doc</t>
  </si>
  <si>
    <t>C:\Users\franc\OneDrive\Documentos\MALENTIN KARIME\MANDATO\BANCARIOS\RAQUEL CISTERNAS CORTES.doc</t>
  </si>
  <si>
    <t>C:\Users\franc\OneDrive\Documentos\MALENTIN KARIME\MANDATO\BANCARIOS\PEDRO ROJAS RAMIREZ.doc</t>
  </si>
  <si>
    <t>C:\Users\franc\OneDrive\Documentos\MALENTIN KARIME\MANDATO\BANCARIOS\PAOLA ALVAREZ CABEZAS CTA. CTE..doc</t>
  </si>
  <si>
    <t>C:\Users\franc\OneDrive\Documentos\MALENTIN KARIME\MANDATO\BANCARIOS\PEDRO CASTRO VILLA NUEVEA.doc</t>
  </si>
  <si>
    <t>C:\Users\franc\OneDrive\Documentos\MALENTIN KARIME\MANDATO\BANCARIOS\MODELO II.doc</t>
  </si>
  <si>
    <t>C:\Users\franc\OneDrive\Documentos\MALENTIN KARIME\MANDATO\BANCARIOS\NICOLAS TERUEL Bestado.doc</t>
  </si>
  <si>
    <t>C:\Users\franc\OneDrive\Documentos\MALENTIN KARIME\MANDATO\BANCARIOS\MARIO CASTILLO.doc</t>
  </si>
  <si>
    <t>C:\Users\franc\OneDrive\Documentos\MALENTIN KARIME\MANDATO\BANCARIOS\modelo CHEQUES.doc</t>
  </si>
  <si>
    <t>C:\Users\franc\OneDrive\Documentos\MALENTIN KARIME\MANDATO\BANCARIOS\MARIA ARAGON ( CTA.CTE).doc</t>
  </si>
  <si>
    <t>C:\Users\franc\OneDrive\Documentos\MALENTIN KARIME\MANDATO\BANCARIOS\MARIA ELENA FARIAS PLAZA ( CTA.CTE).doc</t>
  </si>
  <si>
    <t>C:\Users\franc\OneDrive\Documentos\MALENTIN KARIME\MANDATO\BANCARIOS\MANUEL RODRIGUEZ TORREJON Bestado.doc</t>
  </si>
  <si>
    <t>C:\Users\franc\OneDrive\Documentos\MALENTIN KARIME\MANDATO\BANCARIOS\MANUEL MAURIN PIZARRO  A VICTOR ARGANDOÑA ( CTA.CTE).doc</t>
  </si>
  <si>
    <t>C:\Users\franc\OneDrive\Documentos\MALENTIN KARIME\MANDATO\BANCARIOS\LOS MAITENES RIO HURTADO.doc</t>
  </si>
  <si>
    <t>C:\Users\franc\OneDrive\Documentos\MALENTIN KARIME\MANDATO\BANCARIOS\JUANA CAMPUSANO MIRANDA A CARLOS SEGOVIA.doc</t>
  </si>
  <si>
    <t>C:\Users\franc\OneDrive\Documentos\MALENTIN KARIME\MANDATO\BANCARIOS\KARIM ALAMO ( CTA.CTE).doc</t>
  </si>
  <si>
    <t>C:\Users\franc\OneDrive\Documentos\MALENTIN KARIME\MANDATO\BANCARIOS\JORGE MERY GONZALEZ.doc</t>
  </si>
  <si>
    <t>C:\Users\franc\OneDrive\Documentos\MALENTIN KARIME\MANDATO\BANCARIOS\JUANA ANGOTZI ARGANDOÑA Bco.Chile.doc</t>
  </si>
  <si>
    <t>C:\Users\franc\OneDrive\Documentos\MALENTIN KARIME\MANDATO\BANCARIOS\JINCONG DENG ( CTA.CTE).doc</t>
  </si>
  <si>
    <t>C:\Users\franc\OneDrive\Documentos\MALENTIN KARIME\MANDATO\BANCARIOS\JORGE MALUENDA.doc</t>
  </si>
  <si>
    <t>C:\Users\franc\OneDrive\Documentos\MALENTIN KARIME\MANDATO\BANCARIOS\JAVIER TABILO Bco.Santander.doc</t>
  </si>
  <si>
    <t>C:\Users\franc\OneDrive\Documentos\MALENTIN KARIME\MANDATO\BANCARIOS\JAVIER TABILO Bco. Corpbanca.doc</t>
  </si>
  <si>
    <t>C:\Users\franc\OneDrive\Documentos\MALENTIN KARIME\MANDATO\BANCARIOS\HERNAN IBACACHE RIVERA Mariana.doc</t>
  </si>
  <si>
    <t>C:\Users\franc\OneDrive\Documentos\MALENTIN KARIME\MANDATO\BANCARIOS\HILDA ANJEL CASTILLO.doc</t>
  </si>
  <si>
    <t>C:\Users\franc\OneDrive\Documentos\MALENTIN KARIME\MANDATO\BANCARIOS\HERMOGENES RUBIO - MILENA ZEGARRA.doc</t>
  </si>
  <si>
    <t>C:\Users\franc\OneDrive\Documentos\MALENTIN KARIME\MANDATO\BANCARIOS\HERMOGENES RUBIO - MILENA ZEGARRA Julio 14.doc</t>
  </si>
  <si>
    <t>C:\Users\franc\OneDrive\Documentos\MALENTIN KARIME\MANDATO\BANCARIOS\HECTOR ADAOS  ( CTA.CTE).doc</t>
  </si>
  <si>
    <t>C:\Users\franc\OneDrive\Documentos\MALENTIN KARIME\MANDATO\BANCARIOS\ESMERALDO VALDIVIA.doc</t>
  </si>
  <si>
    <t>C:\Users\franc\OneDrive\Documentos\MALENTIN KARIME\MANDATO\BANCARIOS\FRANCISCO CORTES BONILLA.doc</t>
  </si>
  <si>
    <t>C:\Users\franc\OneDrive\Documentos\MALENTIN KARIME\MANDATO\BANCARIOS\DOMINGO TERUEL Corpbanca.doc</t>
  </si>
  <si>
    <t>C:\Users\franc\OneDrive\Documentos\MALENTIN KARIME\MANDATO\BANCARIOS\CRISTIAN ROJAS ( CTA.CTE).doc</t>
  </si>
  <si>
    <t>C:\Users\franc\OneDrive\Documentos\MALENTIN KARIME\MANDATO\BANCARIOS\DAVID OLIVARES VEGA Cta cte cheques.doc</t>
  </si>
  <si>
    <t>C:\Users\franc\OneDrive\Documentos\MALENTIN KARIME\MANDATO\BANCARIOS\CANAL DERIVADO PUNITAQUI ( CTA.CTE).doc</t>
  </si>
  <si>
    <t>C:\Users\franc\OneDrive\Documentos\MALENTIN KARIME\MANDATO\BANCARIOS\CIRO BERRIOS ROMERO ( CTA.CTE).doc</t>
  </si>
  <si>
    <t>C:\Users\franc\OneDrive\Documentos\MALENTIN KARIME\MANDATO\BANCARIOS\BENEDICTO MUNDACA AGUILERA.doc</t>
  </si>
  <si>
    <t>C:\Users\franc\OneDrive\Documentos\MALENTIN KARIME\MANDATO\BANCARIOS\ARNALDO GUERRA AGUILERA.doc</t>
  </si>
  <si>
    <t>C:\Users\franc\OneDrive\Documentos\MALENTIN KARIME\MANDATO\BANCARIOS\ALBERTO NUÑEZ CASTILLO.doc</t>
  </si>
  <si>
    <t>C:\Users\franc\OneDrive\Documentos\MALENTIN KARIME\MANDATO\BANCARIOS\AGUILERA BUSTAMANTE Y CIA.( CTA.CTE).doc</t>
  </si>
  <si>
    <t>C:\Users\franc\OneDrive\Documentos\MALENTIN KARIME\MANDATO\BANCARIOS\ADOLFO VARVAS VARGAS.doc</t>
  </si>
  <si>
    <t>C:\Users\franc\OneDrive\Documentos\MALENTIN KARIME\MANDATO\ARTURO CONTADOR\AGRICOLA SAN ERASMO.doc</t>
  </si>
  <si>
    <t>C:\Users\franc\OneDrive\Documentos\MALENTIN KARIME\MANDATO\ARTURO CONTADOR\AGRICOLA RECOLETA DOS.doc</t>
  </si>
  <si>
    <t>C:\Users\franc\OneDrive\Documentos\MALENTIN KARIME\MANDATO\ARTURO CONTADOR\AGRICOLA LAS TOTORAS UNO S.A..doc</t>
  </si>
  <si>
    <t>C:\Users\franc\OneDrive\Documentos\MALENTIN KARIME\MANDATO\NORTES PEÑALOZA.doc</t>
  </si>
  <si>
    <t>C:\Users\franc\OneDrive\Documentos\MALENTIN KARIME\MANDATO\VICENTE ALONSO BEJARANO Delegacion.doc</t>
  </si>
  <si>
    <t>C:\Users\franc\OneDrive\Documentos\MALENTIN KARIME\MANDATO\DALIBOR YURIN Donacion.doc</t>
  </si>
  <si>
    <t>C:\Users\franc\OneDrive\Documentos\MALENTIN KARIME\LUIS URQUETA\AGRICOLA LA RECOLETA A RAUL ALVAREZ.doc</t>
  </si>
  <si>
    <t>C:\Users\franc\OneDrive\Documentos\MALENTIN KARIME\LUIS GALLARDO\2018\Luis Gallardo Aclaración  CAMPOS PASTEN.doc</t>
  </si>
  <si>
    <t>C:\Users\franc\OneDrive\Documentos\MALENTIN KARIME\LUIS GALLARDO\2016\SOC. AGROINDUSTRIAL AGRICOR Mandato.doc</t>
  </si>
  <si>
    <t>C:\Users\franc\OneDrive\Documentos\MALENTIN KARIME\LUIS GALLARDO\2016\Benedicto Campos y otros Mandato Especial.doc</t>
  </si>
  <si>
    <t>C:\Users\franc\OneDrive\Documentos\MALENTIN KARIME\LUIS GALLARDO\2015\SAMUEL GONZALEZ complementacion.doc</t>
  </si>
  <si>
    <t>C:\Users\franc\OneDrive\Documentos\MALENTIN KARIME\LUIS GALLARDO\2015\SAMUEL GONZALEZ complementacion II parte.doc</t>
  </si>
  <si>
    <t>C:\Users\franc\OneDrive\Documentos\MALENTIN KARIME\LUIS GALLARDO\2015\ROSA CASTILLO A Miguel Godoy RESCILIACION 2015.doc</t>
  </si>
  <si>
    <t>C:\Users\franc\OneDrive\Documentos\MALENTIN KARIME\LUIS GALLARDO\2015\PROMESA DE COMPRAVENTA, ARRENDAMIENTO CRISTIAN ARAYA CASTILLO.doc</t>
  </si>
  <si>
    <t>C:\Users\franc\OneDrive\Documentos\MALENTIN KARIME\LUIS GALLARDO\2015\ROSA CASTILLO A Cristian Araya PROMESA y ARRENDAMIENTO 2015.doc</t>
  </si>
  <si>
    <t>C:\Users\franc\OneDrive\Documentos\MALENTIN KARIME\LUIS GALLARDO\2015\LUIS GALLARDO Aclaracion Julio 2015.doc</t>
  </si>
  <si>
    <t>C:\Users\franc\OneDrive\Documentos\MALENTIN KARIME\LUIS GALLARDO\2015\LUIS GALLARDO Aclaracion Julio 2015 con SUPLENCIA.doc</t>
  </si>
  <si>
    <t>C:\Users\franc\OneDrive\Documentos\MALENTIN KARIME\LUIS GALLARDO\2015\LUCILA CAMPUSANO A Guillermo Marin Godoy oct 2015.doc</t>
  </si>
  <si>
    <t>C:\Users\franc\OneDrive\Documentos\MALENTIN KARIME\LUIS GALLARDO\2015\JUAN MUNDACA RODRIGUEZ A Silvia Veliz.doc</t>
  </si>
  <si>
    <t>C:\Users\franc\OneDrive\Documentos\MALENTIN KARIME\LUIS GALLARDO\2015\HERMAN CORTES A HELIO CORTES con cambios.doc</t>
  </si>
  <si>
    <t>C:\Users\franc\OneDrive\Documentos\MALENTIN KARIME\LUIS GALLARDO\2015\AGRICOLA PISCIS A Nelson Canibilo.doc</t>
  </si>
  <si>
    <t>C:\Users\franc\OneDrive\Documentos\MALENTIN KARIME\LUIS GALLARDO\2014\STELLA PERRY A  RICARDO OCARANZA ROBLES cvta.doc</t>
  </si>
  <si>
    <t>C:\Users\franc\OneDrive\Documentos\MALENTIN KARIME\LUIS GALLARDO\2014\PEDRO CORTES A Iribando Cortes y otros Junio 14.doc</t>
  </si>
  <si>
    <t>C:\Users\franc\OneDrive\Documentos\MALENTIN KARIME\LUIS GALLARDO\2014\PEDRO CORTES a HELIO CORTES Compraventa.doc</t>
  </si>
  <si>
    <t>C:\Users\franc\OneDrive\Documentos\MALENTIN KARIME\LUIS GALLARDO\2014\MONICA FIGUEROA DIAZ A PEDRO FIGUEROA Cesion D.doc</t>
  </si>
  <si>
    <t>C:\Users\franc\OneDrive\Documentos\MALENTIN KARIME\LUIS GALLARDO\2014\MARGARITA LOPEZ PASTEN Servidumbre.doc</t>
  </si>
  <si>
    <t>C:\Users\franc\OneDrive\Documentos\MALENTIN KARIME\LUIS GALLARDO\2014\AGRICOLA PUNITAQUI NORTE LTDA. m judicial.doc</t>
  </si>
  <si>
    <t>C:\Users\franc\OneDrive\Documentos\MALENTIN KARIME\LUIS GALLARDO\2013\VERONICA CERDA MONTENEGRO Aclaracion.doc</t>
  </si>
  <si>
    <t>C:\Users\franc\OneDrive\Documentos\MALENTIN KARIME\LUIS GALLARDO\2013\MARIA EUGENIA GONZALEZ A MARCELA GONZALEZ Personal.doc</t>
  </si>
  <si>
    <t>C:\Users\franc\OneDrive\Documentos\MALENTIN KARIME\LUIS GALLARDO\2013\LUIS GALLARDO Compl.doc</t>
  </si>
  <si>
    <t>C:\Users\franc\OneDrive\Documentos\MALENTIN KARIME\LUIS GALLARDO\2012\VALENTIN CONTRERAS A GABRIEL VELIZ.doc</t>
  </si>
  <si>
    <t>C:\Users\franc\OneDrive\Documentos\MALENTIN KARIME\LUIS GALLARDO\2012\SUCESION LOPEZ PASTEN Particion.doc</t>
  </si>
  <si>
    <t>C:\Users\franc\OneDrive\Documentos\MALENTIN KARIME\LUIS GALLARDO\2012\LUIS GALLARDO Compl.doc</t>
  </si>
  <si>
    <t>C:\Users\franc\OneDrive\Documentos\MALENTIN KARIME\LUIS GALLARDO\2012\JOSE JIMENEZ A ROBERTO ZULETA Y OTROS Dic 2012.doc</t>
  </si>
  <si>
    <t>C:\Users\franc\OneDrive\Documentos\MALENTIN KARIME\LUIS GALLARDO\2012\LUIS GALLARDO Aclaracion Permuta.doc</t>
  </si>
  <si>
    <t>C:\Users\franc\OneDrive\Documentos\MALENTIN KARIME\LUIS GALLARDO\2012\JORGE CONTADOR Y OTROS.doc</t>
  </si>
  <si>
    <t>C:\Users\franc\OneDrive\Documentos\MALENTIN KARIME\LUIS GALLARDO\2012\GUILLERMO PINTO SEGOVIA Acuerdo.doc</t>
  </si>
  <si>
    <t>C:\Users\franc\OneDrive\Documentos\MALENTIN KARIME\LUIS GALLARDO\2012\FRESIA LOPEZ A otros CESION DERECHOS PRO INDIVISO.doc</t>
  </si>
  <si>
    <t>C:\Users\franc\OneDrive\Documentos\MALENTIN KARIME\LUIS GALLARDO\2012\FRESIA LOPEZ A Clara Lopez CESION Y USUFRUCTO.doc</t>
  </si>
  <si>
    <t>C:\Users\franc\OneDrive\Documentos\MALENTIN KARIME\LUIS GALLARDO\2012\DIAZ BRUNA permuta.doc</t>
  </si>
  <si>
    <t>C:\Users\franc\OneDrive\Documentos\MALENTIN KARIME\LUIS GALLARDO\2012\FLORIDOR CORTES A TRANSPORTES FULLBUS.doc</t>
  </si>
  <si>
    <t>C:\Users\franc\OneDrive\Documentos\MALENTIN KARIME\LUIS GALLARDO\2012\COMUNIDAD AGRICOLA HUAMPULLA.doc</t>
  </si>
  <si>
    <t>C:\Users\franc\OneDrive\Documentos\MALENTIN KARIME\LUIS GALLARDO\2012\CARMEN GONZALEZ VILLARROEL A OSVALDO SAAVEDRA Cvta..doc</t>
  </si>
  <si>
    <t>C:\Users\franc\OneDrive\Documentos\MALENTIN KARIME\LUIS GALLARDO\2012\BERNABE HENRIQUEZ A JAIME ZEPEDA.doc</t>
  </si>
  <si>
    <t>C:\Users\franc\OneDrive\Documentos\MALENTIN KARIME\LUIS GALLARDO\2012\BENEDICTO CAMPOS PASTEN Mandato vender.doc</t>
  </si>
  <si>
    <t>C:\Users\franc\OneDrive\Documentos\MALENTIN KARIME\LUIS GALLARDO\2011\Victoria Salazar Aravena.doc</t>
  </si>
  <si>
    <t>C:\Users\franc\OneDrive\Documentos\MALENTIN KARIME\LUIS GALLARDO\2011\Samuel Gonzalez a Cecilia Gonzalez JUNIO 2011.doc</t>
  </si>
  <si>
    <t>C:\Users\franc\OneDrive\Documentos\MALENTIN KARIME\LUIS GALLARDO\2011\REBECA ROSADO TIRADO A Marta Tapia Cortes Junio 2011.doc</t>
  </si>
  <si>
    <t>C:\Users\franc\OneDrive\Documentos\MALENTIN KARIME\LUIS GALLARDO\2011\RAMON FUENTE GOMEZ A Yaritza Fuentes Geraldo.doc</t>
  </si>
  <si>
    <t>C:\Users\franc\OneDrive\Documentos\MALENTIN KARIME\LUIS GALLARDO\2011\NELSON ADAOS JERALDO Declaracion.doc</t>
  </si>
  <si>
    <t>C:\Users\franc\OneDrive\Documentos\MALENTIN KARIME\LUIS GALLARDO\2011\MARIA HERNRIQUEZ CARVAJAL Y OTROS Transaccion y Servidumbre.doc</t>
  </si>
  <si>
    <t>C:\Users\franc\OneDrive\Documentos\MALENTIN KARIME\LUIS GALLARDO\2011\MARY TEMPLEMAN Mandato.doc</t>
  </si>
  <si>
    <t>C:\Users\franc\OneDrive\Documentos\MALENTIN KARIME\LUIS GALLARDO\2011\JUAN ASCENCIO CASTILLO Mandato.doc</t>
  </si>
  <si>
    <t>C:\Users\franc\OneDrive\Documentos\MALENTIN KARIME\LUIS GALLARDO\2011\LUIS GALLARDO Complementaria Nov.doc</t>
  </si>
  <si>
    <t>C:\Users\franc\OneDrive\Documentos\MALENTIN KARIME\LUIS GALLARDO\2011\HILDA OVALLE HIDALGO Rectificatoria.doc</t>
  </si>
  <si>
    <t>C:\Users\franc\OneDrive\Documentos\MALENTIN KARIME\LUIS GALLARDO\2011\HILDA OVALLE HIDALGO Rectificatoria por Luis Gallardo.doc</t>
  </si>
  <si>
    <t>C:\Users\franc\OneDrive\Documentos\MALENTIN KARIME\LUIS GALLARDO\2011\COMPRAVENTA_REBECA_ROSADO_PIZARRO[1].doc</t>
  </si>
  <si>
    <t>C:\Users\franc\OneDrive\Documentos\MALENTIN KARIME\LUIS GALLARDO\2011\ABRAHAM GALLARDO RIVERA A Luis Gallardo.doc</t>
  </si>
  <si>
    <t>C:\Users\franc\OneDrive\Documentos\MALENTIN KARIME\LUIS GALLARDO\2011\ABRAHAM GALLARDO RIVERA A Luis Gallardo corregida.doc</t>
  </si>
  <si>
    <t>C:\Users\franc\OneDrive\Documentos\MALENTIN KARIME\LUIS GALLARDO\TURISMO LAGUNAS.doc</t>
  </si>
  <si>
    <t>C:\Users\franc\OneDrive\Documentos\MALENTIN KARIME\LUIS GALLARDO\STELLA PERRY A LORENZO VERGARA.doc</t>
  </si>
  <si>
    <t>C:\Users\franc\OneDrive\Documentos\MALENTIN KARIME\LUIS GALLARDO\STELLA PERRY A CARMEN URQUETA.doc</t>
  </si>
  <si>
    <t>C:\Users\franc\OneDrive\Documentos\MALENTIN KARIME\LUIS GALLARDO\STELLA PERRY A JUANA RODRIGUEZ.doc</t>
  </si>
  <si>
    <t>C:\Users\franc\OneDrive\Documentos\MALENTIN KARIME\LUIS GALLARDO\SOCIEDAD AGRICOLA LOS NISÑILES Mandato.doc</t>
  </si>
  <si>
    <t>C:\Users\franc\OneDrive\Documentos\MALENTIN KARIME\LUIS GALLARDO\SILVIA DIAZ DIAZ Renuncia gananciales.doc</t>
  </si>
  <si>
    <t>C:\Users\franc\OneDrive\Documentos\MALENTIN KARIME\LUIS GALLARDO\RAMON PEREZ BARRAZA Adjudicacion remate.doc</t>
  </si>
  <si>
    <t>C:\Users\franc\OneDrive\Documentos\MALENTIN KARIME\LUIS GALLARDO\RADIO SERGIO CANIHUANTE E.I.R.L.doc</t>
  </si>
  <si>
    <t>C:\Users\franc\OneDrive\Documentos\MALENTIN KARIME\LUIS GALLARDO\RAMON PEREZ BARRAZA Adjudicacion remate CORREJIDA.doc</t>
  </si>
  <si>
    <t>C:\Users\franc\OneDrive\Documentos\MALENTIN KARIME\LUIS GALLARDO\MANUEL RIVERA CASTILLO Declaracion.doc</t>
  </si>
  <si>
    <t>C:\Users\franc\OneDrive\Documentos\MALENTIN KARIME\LUIS GALLARDO\Nuda propiedad.doc</t>
  </si>
  <si>
    <t>C:\Users\franc\OneDrive\Documentos\MALENTIN KARIME\LUIS GALLARDO\Luis Gallardo M Judicial.doc</t>
  </si>
  <si>
    <t>C:\Users\franc\OneDrive\Documentos\MALENTIN KARIME\LUIS GALLARDO\LUISA JOSEFINA LETELIER Compraventa.doc</t>
  </si>
  <si>
    <t>C:\Users\franc\OneDrive\Documentos\MALENTIN KARIME\LUIS GALLARDO\LOS NISÑILES Y CAMPOS CAMPOS.doc</t>
  </si>
  <si>
    <t>C:\Users\franc\OneDrive\Documentos\MALENTIN KARIME\LUIS GALLARDO\LOS ÑISNILES modificacion.doc</t>
  </si>
  <si>
    <t>C:\Users\franc\OneDrive\Documentos\MALENTIN KARIME\LUIS GALLARDO\LOS NISÑILES Y CAMPOS CAMPOS version final.doc</t>
  </si>
  <si>
    <t>C:\Users\franc\OneDrive\Documentos\MALENTIN KARIME\LUIS GALLARDO\LEONARDO PLAZA A OTILIA GONZALEZ compraventa.doc</t>
  </si>
  <si>
    <t>C:\Users\franc\OneDrive\Documentos\MALENTIN KARIME\LUIS GALLARDO\LOS NISÑILES Rectificatoria.doc</t>
  </si>
  <si>
    <t>C:\Users\franc\OneDrive\Documentos\MALENTIN KARIME\LUIS GALLARDO\JUAN LUIS JARA con DRAGO FRANETOVIC complementación Luis Gallardo.doc</t>
  </si>
  <si>
    <t>C:\Users\franc\OneDrive\Documentos\MALENTIN KARIME\LUIS GALLARDO\JOSE MIGUEL ZEPEDA CARMONA reconocimiento.doc</t>
  </si>
  <si>
    <t>C:\Users\franc\OneDrive\Documentos\MALENTIN KARIME\LUIS GALLARDO\JOSE MIGUEL ZEPEDA CARMONA reconocimiento versión II.doc</t>
  </si>
  <si>
    <t>C:\Users\franc\OneDrive\Documentos\MALENTIN KARIME\LUIS GALLARDO\HILDA DEL CARMEN TELLO HONORES MJudicial Abril 13.doc</t>
  </si>
  <si>
    <t>C:\Users\franc\OneDrive\Documentos\MALENTIN KARIME\LUIS GALLARDO\INMOBILIARIA SPANO.doc</t>
  </si>
  <si>
    <t>C:\Users\franc\OneDrive\Documentos\MALENTIN KARIME\LUIS GALLARDO\GUILLERMO FLORESA MIGUEL GODOY Compraventa lunes 22.doc</t>
  </si>
  <si>
    <t>C:\Users\franc\OneDrive\Documentos\MALENTIN KARIME\LUIS GALLARDO\GUILLERMO FLORESA MIGUEL GODOY Escritura.doc</t>
  </si>
  <si>
    <t>C:\Users\franc\OneDrive\Documentos\MALENTIN KARIME\LUIS GALLARDO\FLORIDOR CORTES Mandato.doc</t>
  </si>
  <si>
    <t>C:\Users\franc\OneDrive\Documentos\MALENTIN KARIME\LUIS GALLARDO\FLORIDOR CORTES.doc</t>
  </si>
  <si>
    <t>C:\Users\franc\OneDrive\Documentos\MALENTIN KARIME\LUIS GALLARDO\ELIANA CORTES Y OTROS A Luis Gallardo.doc</t>
  </si>
  <si>
    <t>C:\Users\franc\OneDrive\Documentos\MALENTIN KARIME\LUIS GALLARDO\EUGENIO ARACENA ARAYA Mandato General.doc</t>
  </si>
  <si>
    <t>C:\Users\franc\OneDrive\Documentos\MALENTIN KARIME\LUIS GALLARDO\DOCUMENTOS CEMENTERIO PUNITAQUI protocolizcion.doc</t>
  </si>
  <si>
    <t>C:\Users\franc\OneDrive\Documentos\MALENTIN KARIME\LUIS GALLARDO\ELIANA CORTES Partición.doc</t>
  </si>
  <si>
    <t>C:\Users\franc\OneDrive\Documentos\MALENTIN KARIME\LUIS GALLARDO\CORINA MARIN A RAUL POSTIGO Cvta..doc</t>
  </si>
  <si>
    <t>C:\Users\franc\OneDrive\Documentos\MALENTIN KARIME\LUIS GALLARDO\COMUNIDAD AGRICOLA EL POTRERRO DE HUATULAME.doc</t>
  </si>
  <si>
    <t>C:\Users\franc\OneDrive\Documentos\MALENTIN KARIME\LUIS GALLARDO\Complementación SERGIO GALLEGUILLOS.doc</t>
  </si>
  <si>
    <t>C:\Users\franc\OneDrive\Documentos\MALENTIN KARIME\LUIS GALLARDO\CARTA INSTRUCCIONES AL NOTARIO PUBLICO SEÑOR RODRIGO CABRERA ALBARRAN.doc</t>
  </si>
  <si>
    <t>C:\Users\franc\OneDrive\Documentos\MALENTIN KARIME\LUIS GALLARDO\Autorizo la firma.doc</t>
  </si>
  <si>
    <t>C:\Users\franc\OneDrive\Documentos\MALENTIN KARIME\LUIS GALLARDO\CARLOS GONZALEZ CANTUARIAS Nuda propiedad.doc</t>
  </si>
  <si>
    <t>C:\Users\franc\OneDrive\Documentos\MALENTIN KARIME\LUIS GALLARDO\AUTORIZACION HERRERO GARRIDO 2.doc</t>
  </si>
  <si>
    <t>C:\Users\franc\OneDrive\Documentos\MALENTIN KARIME\LUIS GALLARDO\AUTORIZACION HERRERO GARRIDO.doc</t>
  </si>
  <si>
    <t>C:\Users\franc\OneDrive\Documentos\MALENTIN KARIME\LOGROS\VRIL E.IR.L..doc</t>
  </si>
  <si>
    <t>C:\Users\franc\OneDrive\Documentos\MALENTIN KARIME\LOGROS\2017\CONSTRUCCION Y SERVICIOS JRD.doc</t>
  </si>
  <si>
    <t>C:\Users\franc\OneDrive\Documentos\MALENTIN KARIME\LOGROS\RAUL JOFRE CANIVILO.doc</t>
  </si>
  <si>
    <t>C:\Users\franc\OneDrive\Documentos\MALENTIN KARIME\LOGROS\RAMON PARDO VASQUEZ.doc</t>
  </si>
  <si>
    <t>C:\Users\franc\OneDrive\Documentos\MALENTIN KARIME\LOGROS\MODELO FACTORING.doc</t>
  </si>
  <si>
    <t>C:\Users\franc\OneDrive\Documentos\MALENTIN KARIME\LOGROS\JIMENA CERDA ZENTENO.doc</t>
  </si>
  <si>
    <t>C:\Users\franc\OneDrive\Documentos\MALENTIN KARIME\LOGROS\JOSE OSSA HUENOLAF Agosto.doc</t>
  </si>
  <si>
    <t>C:\Users\franc\OneDrive\Documentos\MALENTIN KARIME\LOGROS\JUAN CARLOS DIAZ MERELLO.doc</t>
  </si>
  <si>
    <t>C:\Users\franc\OneDrive\Documentos\MALENTIN KARIME\LOGROS\HECTOR ELGUEDA VILLEGAS.doc</t>
  </si>
  <si>
    <t>C:\Users\franc\OneDrive\Documentos\MALENTIN KARIME\LOGROS\CRISTIAN GALVEZ DARRIGRANDE.doc</t>
  </si>
  <si>
    <t>C:\Users\franc\OneDrive\Documentos\MALENTIN KARIME\LOGROS\ELDA OLIVARES MARIN.doc</t>
  </si>
  <si>
    <t>C:\Users\franc\OneDrive\Documentos\MALENTIN KARIME\LOGROS\CRISTIAN CACERES CARO Agosto.doc</t>
  </si>
  <si>
    <t>C:\Users\franc\OneDrive\Documentos\MALENTIN KARIME\LOGROS\CARLOS TELLO CARVAJAL.doc</t>
  </si>
  <si>
    <t>C:\Users\franc\OneDrive\Documentos\MALENTIN KARIME\LOGROS\BRUNILDA TAPIA GAMBOA Enero 20014.doc</t>
  </si>
  <si>
    <t>C:\Users\franc\OneDrive\Documentos\MALENTIN KARIME\LOGROS\BRUNILDA TAPIA GAMBOA Ago 20013 correjido.doc</t>
  </si>
  <si>
    <t>C:\Users\franc\OneDrive\Documentos\MALENTIN KARIME\LOGROS\BRUNILDA TAPIA GAMBOA Ago 20013.doc</t>
  </si>
  <si>
    <t>C:\Users\franc\OneDrive\Documentos\MALENTIN KARIME\LOGROS\ANTONIO BOU SAPIAIN.doc</t>
  </si>
  <si>
    <t>C:\Users\franc\OneDrive\Documentos\MALENTIN KARIME\KARY\LUZ.pdf</t>
  </si>
  <si>
    <t>C:\Users\franc\OneDrive\Documentos\MALENTIN KARIME\KARY\DEMOLICION DECRETO.pdf</t>
  </si>
  <si>
    <t>C:\Users\franc\OneDrive\Documentos\MALENTIN KARIME\KARY\DECLARACION karime2.doc</t>
  </si>
  <si>
    <t>C:\Users\franc\OneDrive\Documentos\MALENTIN KARIME\KARY\DECLARA CAMBIOS.doc</t>
  </si>
  <si>
    <t>C:\Users\franc\OneDrive\Documentos\MALENTIN KARIME\KARY\DECLARACION karime.doc</t>
  </si>
  <si>
    <t>C:\Users\franc\OneDrive\Documentos\MALENTIN KARIME\KARY\AGUA.pdf</t>
  </si>
  <si>
    <t>C:\Users\franc\OneDrive\Documentos\MALENTIN KARIME\karime tapia\TESTAMENTO\INFORME Testamentos\Formulario para Testamentos[2].doc</t>
  </si>
  <si>
    <t>C:\Users\franc\OneDrive\Documentos\MALENTIN KARIME\karime tapia\TESTAMENTO\INFORME Testamentos\Formulario para Testamentos con testadores.doc</t>
  </si>
  <si>
    <t>C:\Users\franc\OneDrive\Documentos\MALENTIN KARIME\karime tapia\TESTAMENTO\INFORME Testamentos\Formulario para Testamentos[1].doc</t>
  </si>
  <si>
    <t>C:\Users\franc\OneDrive\Documentos\MALENTIN KARIME\karime tapia\TESTAMENTO\INFORME Testamentos\Formulario para Testamentos con testadores mayo14.doc</t>
  </si>
  <si>
    <t>C:\Users\franc\OneDrive\Documentos\MALENTIN KARIME\karime tapia\TESTAMENTO\INFORME Testamentos\Formulario para Testamentos con testadores MARZO15.doc</t>
  </si>
  <si>
    <t>C:\Users\franc\OneDrive\Documentos\MALENTIN KARIME\karime tapia\TESTAMENTO\INFORME Testamentos\Formulario para Testamentos con testadores MAYO.doc</t>
  </si>
  <si>
    <t>C:\Users\franc\OneDrive\Documentos\MALENTIN KARIME\karime tapia\TESTAMENTO\INFORME Testamentos\Formulario para Testamentos con testadores JUNIO15.doc</t>
  </si>
  <si>
    <t>C:\Users\franc\OneDrive\Documentos\MALENTIN KARIME\karime tapia\TESTAMENTO\INFORME Testamentos\Formulario para Testamentos con testadores JULIO15.doc</t>
  </si>
  <si>
    <t>C:\Users\franc\OneDrive\Documentos\MALENTIN KARIME\karime tapia\TESTAMENTO\INFORME Testamentos\Formulario para Testamentos con testadores Junio14.doc</t>
  </si>
  <si>
    <t>C:\Users\franc\OneDrive\Documentos\MALENTIN KARIME\karime tapia\TESTAMENTO\INFORME Testamentos\Formulario para Testamentos con testadores FEBRERO.doc</t>
  </si>
  <si>
    <t>C:\Users\franc\OneDrive\Documentos\MALENTIN KARIME\karime tapia\TESTAMENTO\TESTAMENTO  armando alvarado.doc</t>
  </si>
  <si>
    <t>C:\Users\franc\OneDrive\Documentos\MALENTIN KARIME\karime tapia\TESTAMENTO\INFORME Testamentos\Formulario para Testamentos con testadores AGOSTO15.doc</t>
  </si>
  <si>
    <t>C:\Users\franc\OneDrive\Documentos\MALENTIN KARIME\karime tapia\TESTAMENTO\INFORME Testamentos\Formulario para Testamentos con testadores FEBRERO 15.doc</t>
  </si>
  <si>
    <t>C:\Users\franc\OneDrive\Documentos\MALENTIN KARIME\karime tapia\TESTAMENTO\SERGIO CARVAJAL GUERRA.doc</t>
  </si>
  <si>
    <t>C:\Users\franc\OneDrive\Documentos\MALENTIN KARIME\karime tapia\TESTAMENTO\SALVADOR ALUCEMA.doc</t>
  </si>
  <si>
    <t>C:\Users\franc\OneDrive\Documentos\MALENTIN KARIME\karime tapia\TESTAMENTO\ROSARIO ARAYA ARAYA.doc</t>
  </si>
  <si>
    <t>C:\Users\franc\OneDrive\Documentos\MALENTIN KARIME\karime tapia\TESTAMENTO\MARTHA OLIVIA CASTILLO ROJAS.doc</t>
  </si>
  <si>
    <t>C:\Users\franc\OneDrive\Documentos\MALENTIN KARIME\karime tapia\TESTAMENTO\ROJELIO DELGADO DELGADO.doc</t>
  </si>
  <si>
    <t>C:\Users\franc\OneDrive\Documentos\MALENTIN KARIME\karime tapia\TESTAMENTO\MARTHA OLIVIA CASTILLO ROJAS 2016.doc</t>
  </si>
  <si>
    <t>C:\Users\franc\OneDrive\Documentos\MALENTIN KARIME\karime tapia\TESTAMENTO\MARIA RAMIREZ RAMIREZ Minuta.doc</t>
  </si>
  <si>
    <t>C:\Users\franc\OneDrive\Documentos\MALENTIN KARIME\karime tapia\TESTAMENTO\MARTHA ALICIA CASTILLO ROJAS.doc</t>
  </si>
  <si>
    <t>C:\Users\franc\OneDrive\Documentos\MALENTIN KARIME\karime tapia\TESTAMENTO\MARIA ALVARADO CARVAJAL.doc</t>
  </si>
  <si>
    <t>C:\Users\franc\OneDrive\Documentos\MALENTIN KARIME\karime tapia\TESTAMENTO\HECTOR GARCIA Minuta.doc</t>
  </si>
  <si>
    <t>C:\Users\franc\OneDrive\Documentos\MALENTIN KARIME\karime tapia\TESTAMENTO\FREDDY PINTO RAMOS.doc</t>
  </si>
  <si>
    <t>C:\Users\franc\OneDrive\Documentos\MALENTIN KARIME\karime tapia\TESTAMENTO\FELIPE CORTES TESTAMENTO ABIERTO.doc</t>
  </si>
  <si>
    <t>C:\Users\franc\OneDrive\Documentos\MALENTIN KARIME\karime tapia\TESTAMENTO\ELSA BUGUEÑO EGAÑA Ratifica.doc</t>
  </si>
  <si>
    <t>C:\Users\franc\OneDrive\Documentos\MALENTIN KARIME\karime tapia\TESTAMENTO\CARMEN VILLALON CASTEX Testamento abierto.doc</t>
  </si>
  <si>
    <t>C:\Users\franc\OneDrive\Documentos\MALENTIN KARIME\karime tapia\RECTIFICA\PATRICIA ALFARO rect manda.doc</t>
  </si>
  <si>
    <t>C:\Users\franc\OneDrive\Documentos\MALENTIN KARIME\karime tapia\PROTOCOLIZACION\SOCIEDAD MINERA MONTE ALTO contrato.doc</t>
  </si>
  <si>
    <t>C:\Users\franc\OneDrive\Documentos\MALENTIN KARIME\karime tapia\PROTOCOLIZACION\ROCIO GALLEGUILLOS inventario.doc</t>
  </si>
  <si>
    <t>C:\Users\franc\OneDrive\Documentos\MALENTIN KARIME\karime tapia\PROTOCOLIZACION\PABLO CARVAJAL ALFARO.doc</t>
  </si>
  <si>
    <t>C:\Users\franc\OneDrive\Documentos\MALENTIN KARIME\karime tapia\PROTOCOLIZACION\COMUNIDAD PUNITAQUI Acta.doc</t>
  </si>
  <si>
    <t>C:\Users\franc\OneDrive\Documentos\MALENTIN KARIME\karime tapia\PROTOCOLIZACION\COMUNIDAD LA ORTIGA.doc</t>
  </si>
  <si>
    <t>C:\Users\franc\OneDrive\Documentos\MALENTIN KARIME\karime tapia\PROTOCOLIZACION\COMUNIDAD AGRICOLA LAGUNA VERDE protocolizacion.doc</t>
  </si>
  <si>
    <t>C:\Users\franc\OneDrive\Documentos\MALENTIN KARIME\karime tapia\PROTOCOLIZACION\COMUNIDAD AGRICOLA LAGUNA VERDE 95 protocolizacion.doc</t>
  </si>
  <si>
    <t>C:\Users\franc\OneDrive\Documentos\MALENTIN KARIME\karime tapia\PROTOCOLIZACION\COMUNIDAD AGRICOLA LAGUNA VERDE protocolizacion fs02.doc</t>
  </si>
  <si>
    <t>C:\Users\franc\OneDrive\Documentos\MALENTIN KARIME\karime tapia\PROTOCOLIZACION\AUTORIZACION DE ACTA.doc</t>
  </si>
  <si>
    <t>C:\Users\franc\OneDrive\Documentos\MALENTIN KARIME\karime tapia\PROHIBICIONES\RAUL SCHIESSLER Prohibicion.doc</t>
  </si>
  <si>
    <t>C:\Users\franc\OneDrive\Documentos\MALENTIN KARIME\karime tapia\PROHIBICIONES\MARIELA BARRAZA mandato.doc</t>
  </si>
  <si>
    <t>C:\Users\franc\OneDrive\Documentos\MALENTIN KARIME\karime tapia\PROHIBICIONES\MARIELA BARRAZA  decl.doc</t>
  </si>
  <si>
    <t>C:\Users\franc\OneDrive\Documentos\MALENTIN KARIME\karime tapia\MANDATOS\SCARLETT FIERRO FIERRO mandato vehiculo.doc</t>
  </si>
  <si>
    <t>C:\Users\franc\OneDrive\Documentos\MALENTIN KARIME\karime tapia\MANDATOS\NANCY CISTERNAS MUÑOZ A JUAN ADONES CISTERNAS (BANCO CORPBANCA).doc</t>
  </si>
  <si>
    <t>C:\Users\franc\OneDrive\Documentos\MALENTIN KARIME\karime tapia\MANDATOS\NANCY CISTERNAS MUÑOZ A JUAN ADONES CISTERNAS (SCOTIABANK).doc</t>
  </si>
  <si>
    <t>C:\Users\franc\OneDrive\Documentos\MALENTIN KARIME\karime tapia\M JUDICIAL\MARIA DIAZ A Boris Monardez.doc</t>
  </si>
  <si>
    <t>C:\Users\franc\OneDrive\Documentos\MALENTIN KARIME\karime tapia\M JUDICIAL\Mandato judicial.Birknerdoc.doc</t>
  </si>
  <si>
    <t>C:\Users\franc\OneDrive\Documentos\MALENTIN KARIME\karime tapia\M JUDICIAL\KARLA MUNDACA A Ingrid Nayem Elorza.doc</t>
  </si>
  <si>
    <t>C:\Users\franc\OneDrive\Documentos\MALENTIN KARIME\karime tapia\M JUDICIAL\ILUSTRE MUNICIPALIDAD DE OVALLE A MARIA JOSE CERDA Mjudicial.doc</t>
  </si>
  <si>
    <t>C:\Users\franc\OneDrive\Documentos\MALENTIN KARIME\karime tapia\M JUDICIAL\FRANCISCO ZAPATA BUGUEÑO A Jorge Alvarado.doc</t>
  </si>
  <si>
    <t>C:\Users\franc\OneDrive\Documentos\MALENTIN KARIME\karime tapia\FACTORONE\CESAR OSSIO GARCIA Contrato Factoring.doc</t>
  </si>
  <si>
    <t>C:\Users\franc\OneDrive\Documentos\MALENTIN KARIME\karime tapia\M JUDICIAL\BERTA RODRIGUEZ MIRANDA A Ingrid Nayem Elorza.doc</t>
  </si>
  <si>
    <t>C:\Users\franc\OneDrive\Documentos\MALENTIN KARIME\karime tapia\COMPRAVENTAS\NORMA RIVERA A BERLINDA OLIVARES Solteras.doc</t>
  </si>
  <si>
    <t>C:\Users\franc\OneDrive\Documentos\MALENTIN KARIME\karime tapia\COMPRAVENTAS\ROSA PEREZ TORRES a Karen Pizarro cvta..doc</t>
  </si>
  <si>
    <t>C:\Users\franc\OneDrive\Documentos\MALENTIN KARIME\karime tapia\COMPRAVENTAS\COMPRAVENTA PEDRO CORTES A LEONARDO CORTES.doc</t>
  </si>
  <si>
    <t>C:\Users\franc\OneDrive\Documentos\MALENTIN KARIME\karime tapia\CANCELACION\ZOILA ESTAY A Silvia Fuentes cancelacion.doc</t>
  </si>
  <si>
    <t>C:\Users\franc\OneDrive\Documentos\MALENTIN KARIME\karime tapia\CANCELACION\cancelacion.doc</t>
  </si>
  <si>
    <t>C:\Users\franc\OneDrive\Documentos\MALENTIN KARIME\karime tapia\CANCELACION\NOLFA AROS  A Mauricio Alfarocancelacion.doc</t>
  </si>
  <si>
    <t>C:\Users\franc\OneDrive\Documentos\MALENTIN KARIME\karime tapia\CANCELACION\ARTURO NARANJO, VERONICA BARRAZAcancelacion.doc</t>
  </si>
  <si>
    <t>C:\Users\franc\OneDrive\Documentos\MALENTIN KARIME\karime tapia\AGUAS\2015\MANUEL ANTONIO LEON\MANUEL LEONA AMERICA LEON nueva 2016.doc</t>
  </si>
  <si>
    <t>C:\Users\franc\OneDrive\Documentos\MALENTIN KARIME\karime tapia\AGUAS\2015\MANUEL ANTONIO LEON\JOHN LEON.doc</t>
  </si>
  <si>
    <t>C:\Users\franc\OneDrive\Documentos\MALENTIN KARIME\karime tapia\AGUAS\2015\MANUEL ANTONIO LEON\LARRINSON LEON.doc</t>
  </si>
  <si>
    <t>C:\Users\franc\OneDrive\Documentos\MALENTIN KARIME\karime tapia\AGUAS\2015\MANUEL ANTONIO LEON\AMERICA LEON.doc</t>
  </si>
  <si>
    <t>C:\Users\franc\OneDrive\Documentos\MALENTIN KARIME\karime tapia\AGUAS\2015\MANUEL ANTONIO LEON\ERIKA LEON.doc</t>
  </si>
  <si>
    <t>C:\Users\franc\OneDrive\Documentos\MALENTIN KARIME\karime tapia\AGUAS\2015\MANUEL ANTONIO LEON\ADRIANA LEON CAMPOS.doc</t>
  </si>
  <si>
    <t>C:\Users\franc\OneDrive\Documentos\MALENTIN KARIME\karime tapia\AGUAS\2015\AMANDA CASTELLANOS\AMANDA CASTELLANOS a Yoanna Zambra.doc</t>
  </si>
  <si>
    <t>C:\Users\franc\OneDrive\Documentos\MALENTIN KARIME\karime tapia\AGUAS\2015\AMANDA CASTELLANOS\AMANDA CASTELLANOS a Roberto.doc</t>
  </si>
  <si>
    <t>C:\Users\franc\OneDrive\Documentos\MALENTIN KARIME\karime tapia\AGUAS\2015\AMANDA CASTELLANOS\AMANDA CASTELLANOS a Román.doc</t>
  </si>
  <si>
    <t>C:\Users\franc\OneDrive\Documentos\MALENTIN KARIME\karime tapia\AGUAS\2015\AMANDA CASTELLANOS\AMANDA CASTELLANOS a Patricio.doc</t>
  </si>
  <si>
    <t>C:\Users\franc\OneDrive\Documentos\MALENTIN KARIME\karime tapia\AGUAS\2015\AMANDA CASTELLANOS\AMANDA CASTELLANOS a Luis.doc</t>
  </si>
  <si>
    <t>C:\Users\franc\OneDrive\Documentos\MALENTIN KARIME\karime tapia\AGUAS\2015\RICARDO ALLENDE SENTIS A Comercializadora de Frutas Arrenda.doc</t>
  </si>
  <si>
    <t>C:\Users\franc\OneDrive\Documentos\MALENTIN KARIME\karime tapia\AGUAS\2015\MALVINA CORTES CASTILLO A Ema Torodoc.doc</t>
  </si>
  <si>
    <t>C:\Users\franc\OneDrive\Documentos\MALENTIN KARIME\karime tapia\AGUAS\2015\JOSE CASTILLO PASTNE A AGRICOLA MILLAHUE.doc</t>
  </si>
  <si>
    <t>C:\Users\franc\OneDrive\Documentos\MALENTIN KARIME\karime tapia\AGUAS\2015\JAVIER ZAMBRA A ELBA MADARIAGA.doc</t>
  </si>
  <si>
    <t>C:\Users\franc\OneDrive\Documentos\MALENTIN KARIME\karime tapia\AGUAS\2015\ISMAEL LAYANA  A Melinda Carvajal.doc</t>
  </si>
  <si>
    <t>C:\Users\franc\OneDrive\Documentos\MALENTIN KARIME\karime tapia\AGUAS\2015\GLADYS ORREGO PIZARRO Sucesion.doc</t>
  </si>
  <si>
    <t>C:\Users\franc\OneDrive\Documentos\MALENTIN KARIME\karime tapia\AGUAS\2015\FRANCISCO MATURANA VELOZO A Carlos Mendez SUbt.doc</t>
  </si>
  <si>
    <t>C:\Users\franc\OneDrive\Documentos\MALENTIN KARIME\karime tapia\AGUAS\2015\FRANCISCO MATURANA VELOZO A Carlos Mendez BORRADOR MINUTA.doc</t>
  </si>
  <si>
    <t>C:\Users\franc\OneDrive\Documentos\MALENTIN KARIME\karime tapia\AGUAS\2015\FRANCISCO MATURANA VELOZO A Carlos Mendez SUbt.DEFINITIVAdoc.doc</t>
  </si>
  <si>
    <t>C:\Users\franc\OneDrive\Documentos\MALENTIN KARIME\karime tapia\AGUAS\2015\DOMINGA HENRIQUEZ ESTAY y OTROS.doc</t>
  </si>
  <si>
    <t>C:\Users\franc\OneDrive\Documentos\MALENTIN KARIME\karime tapia\AGUAS\2015\ARTURO ARAYA BORQUEZ A AGRICOLA MILLAHUE.doc</t>
  </si>
  <si>
    <t>C:\Users\franc\OneDrive\Documentos\MALENTIN KARIME\karime tapia\AGUAS\2014\TOP WINE A WILLIAM ABUSLEME.doc</t>
  </si>
  <si>
    <t>C:\Users\franc\OneDrive\Documentos\MALENTIN KARIME\karime tapia\AGUAS\2014\TOP WINE  Arriendo Aguas.doc</t>
  </si>
  <si>
    <t>C:\Users\franc\OneDrive\Documentos\MALENTIN KARIME\karime tapia\AGUAS\2014\TOP WINE  A SUCESION GARRIDO.doc</t>
  </si>
  <si>
    <t>C:\Users\franc\OneDrive\Documentos\MALENTIN KARIME\karime tapia\AGUAS\2014\TOP WINE  A Nibaldo Flores Arriendo Aguas.doc</t>
  </si>
  <si>
    <t>C:\Users\franc\OneDrive\Documentos\MALENTIN KARIME\karime tapia\AGUAS\2014\TOP WINE  A DORIS LARENAS.doc</t>
  </si>
  <si>
    <t>C:\Users\franc\OneDrive\Documentos\MALENTIN KARIME\karime tapia\AGUAS\2014\TOP WINE  A Agrícola Corral.doc</t>
  </si>
  <si>
    <t>C:\Users\franc\OneDrive\Documentos\MALENTIN KARIME\karime tapia\AGUAS\2014\TECNOCITRUS A Cerro Campanario Minuta.doc</t>
  </si>
  <si>
    <t>C:\Users\franc\OneDrive\Documentos\MALENTIN KARIME\karime tapia\AGUAS\2014\SOCIEDAD SANTA CATALINA A Agrícola Vespucio.doc</t>
  </si>
  <si>
    <t>C:\Users\franc\OneDrive\Documentos\MALENTIN KARIME\karime tapia\AGUAS\2014\RENE MIRANDA A AGRICOLA POLPAICO Con usufructo.doc</t>
  </si>
  <si>
    <t>C:\Users\franc\OneDrive\Documentos\MALENTIN KARIME\karime tapia\AGUAS\2014\RICARDO ALLENDE Y Polpaico.doc</t>
  </si>
  <si>
    <t>C:\Users\franc\OneDrive\Documentos\MALENTIN KARIME\karime tapia\AGUAS\2014\OLIVIA MICHEA VEAS A Marianela Jofre Rojas.doc</t>
  </si>
  <si>
    <t>C:\Users\franc\OneDrive\Documentos\MALENTIN KARIME\karime tapia\AGUAS\2014\OLIVIA MICHEA VEAS A Claudio Moroso.doc</t>
  </si>
  <si>
    <t>C:\Users\franc\OneDrive\Documentos\MALENTIN KARIME\karime tapia\AGUAS\2014\MAURICIO ASTORGA Y TOP WINE Aguas minuta.doc</t>
  </si>
  <si>
    <t>C:\Users\franc\OneDrive\Documentos\MALENTIN KARIME\karime tapia\AGUAS\2014\MANUEL MUÑOZ PEREZ A Top Wine  Aguas.doc</t>
  </si>
  <si>
    <t>C:\Users\franc\OneDrive\Documentos\MALENTIN KARIME\karime tapia\AGUAS\2014\LUIS FLORES ARAYA A Jose Chacon.doc</t>
  </si>
  <si>
    <t>C:\Users\franc\OneDrive\Documentos\MALENTIN KARIME\karime tapia\AGUAS\2014\LOPEZ LOPEZ GUARDA.doc</t>
  </si>
  <si>
    <t>C:\Users\franc\OneDrive\Documentos\MALENTIN KARIME\karime tapia\AGUAS\2014\JUANA ARAYA CASTILLO A Top Wine Aguas.doc</t>
  </si>
  <si>
    <t>C:\Users\franc\OneDrive\Documentos\MALENTIN KARIME\karime tapia\AGUAS\2014\JOSE MIGUEL MUNIZAGA TORO a Alfonso Montenegro.doc</t>
  </si>
  <si>
    <t>C:\Users\franc\OneDrive\Documentos\MALENTIN KARIME\karime tapia\AGUAS\2014\IRENE ALVAREZ VIDELA A Carlos Moreno.doc</t>
  </si>
  <si>
    <t>C:\Users\franc\OneDrive\Documentos\MALENTIN KARIME\karime tapia\AGUAS\2014\INSTRUCCIONESS  Munizaga 2.doc</t>
  </si>
  <si>
    <t>C:\Users\franc\OneDrive\Documentos\MALENTIN KARIME\karime tapia\AGUAS\2014\HILDA CARVAJAL VILLALOBOS Y OTROS El Palqui.doc</t>
  </si>
  <si>
    <t>C:\Users\franc\OneDrive\Documentos\MALENTIN KARIME\karime tapia\AGUAS\2014\GLORIA DEL CARMEN  LOPEZ GUARDA.doc</t>
  </si>
  <si>
    <t>C:\Users\franc\OneDrive\Documentos\MALENTIN KARIME\karime tapia\AGUAS\2014\GLADYS ORREGO PIZARRO Sucesion.doc</t>
  </si>
  <si>
    <t>C:\Users\franc\OneDrive\Documentos\MALENTIN KARIME\karime tapia\AGUAS\2014\GABY MORENO VEGA Aguas.doc</t>
  </si>
  <si>
    <t>C:\Users\franc\OneDrive\Documentos\MALENTIN KARIME\karime tapia\AGUAS\2014\FUTICOLA ZEBRA A AGRICOLA SAN CLEMENTE Dotacion minuta 2.doc</t>
  </si>
  <si>
    <t>C:\Users\franc\OneDrive\Documentos\MALENTIN KARIME\karime tapia\AGUAS\2014\FUTICOLA ZEBRA A AGRICOLA SAN CLEMENTE Dotacion minuta.doc</t>
  </si>
  <si>
    <t>C:\Users\franc\OneDrive\Documentos\MALENTIN KARIME\karime tapia\AGUAS\2014\FRUTICOLA RIO COPIAPO A Saraswati Harris.doc</t>
  </si>
  <si>
    <t>C:\Users\franc\OneDrive\Documentos\MALENTIN KARIME\karime tapia\AGUAS\2014\FRUTICOLA RIO COPIAPO A Inversiones Juan Pablo.doc</t>
  </si>
  <si>
    <t>C:\Users\franc\OneDrive\Documentos\MALENTIN KARIME\karime tapia\AGUAS\2014\FRUTICOLA RIO COPIAPO A Inversiones Juan Pablo formato.doc</t>
  </si>
  <si>
    <t>C:\Users\franc\OneDrive\Documentos\MALENTIN KARIME\karime tapia\AGUAS\2014\FRUTICOLA RIO COPIAPO A Angostura.doc</t>
  </si>
  <si>
    <t>C:\Users\franc\OneDrive\Documentos\MALENTIN KARIME\karime tapia\AGUAS\2014\FRUTICOLA RIO COPIAPO A Angostura formato.doc</t>
  </si>
  <si>
    <t>C:\Users\franc\OneDrive\Documentos\MALENTIN KARIME\karime tapia\AGUAS\2014\FRUTICOLA RIO COPIAPO A  Juan Carlos Julia.doc</t>
  </si>
  <si>
    <t>C:\Users\franc\OneDrive\Documentos\MALENTIN KARIME\karime tapia\AGUAS\2014\FRUTICOLA RIO COPIAPO A  Mario Alfaro.doc</t>
  </si>
  <si>
    <t>C:\Users\franc\OneDrive\Documentos\MALENTIN KARIME\karime tapia\AGUAS\2014\FRUTICOLA RIO COPIAPO A  Agricola Valle del Limar Spa.doc</t>
  </si>
  <si>
    <t>C:\Users\franc\OneDrive\Documentos\MALENTIN KARIME\karime tapia\AGUAS\2014\FLAVIO FERNANDEZ A Juan Araya minuta P ULLOA.doc</t>
  </si>
  <si>
    <t>C:\Users\franc\OneDrive\Documentos\MALENTIN KARIME\karime tapia\AGUAS\2014\clausual aguas.doc</t>
  </si>
  <si>
    <t>C:\Users\franc\OneDrive\Documentos\MALENTIN KARIME\karime tapia\AGUAS\2014\ERMELINDA ASTUDILLO A Top Wine Aguas.doc</t>
  </si>
  <si>
    <t>C:\Users\franc\OneDrive\Documentos\MALENTIN KARIME\karime tapia\AGUAS\2014\CERRO CAMPANARIO A Tecnocitrus Ltda. Minuta.doc</t>
  </si>
  <si>
    <t>C:\Users\franc\OneDrive\Documentos\MALENTIN KARIME\karime tapia\AGUAS\2014\ANIBAL ASTORGA MORENO VEGA Aguas.doc</t>
  </si>
  <si>
    <t>C:\Users\franc\OneDrive\Documentos\MALENTIN KARIME\karime tapia\AGUAS\2014\AGUAS SUBTERRANEASCESAR ALVAREZ EIRL A Oloferne Carvajal.doc</t>
  </si>
  <si>
    <t>C:\Users\franc\OneDrive\Documentos\MALENTIN KARIME\karime tapia\AGUAS\2014\AGRICOLA Sicor a San Clemente.doc</t>
  </si>
  <si>
    <t>C:\Users\franc\OneDrive\Documentos\MALENTIN KARIME\karime tapia\AGUAS\2014\AGRICOLA Sicor a San Clemente privado.doc</t>
  </si>
  <si>
    <t>C:\Users\franc\OneDrive\Documentos\MALENTIN KARIME\karime tapia\AGUAS\2014\AGRICOLA E INV JUAN PABLO A Agricola Cerrillos Minuta.doc</t>
  </si>
  <si>
    <t>C:\Users\franc\OneDrive\Documentos\MALENTIN KARIME\karime tapia\AGUAS\2014\AGRICOLA ANGOSTURA  A Agricola Cerrillos  Minuta.doc</t>
  </si>
  <si>
    <t>C:\Users\franc\OneDrive\Documentos\MALENTIN KARIME\karime tapia\AGUAS\VIÑA SUTIL Arriendo Aguas.doc</t>
  </si>
  <si>
    <t>C:\Users\franc\OneDrive\Documentos\MALENTIN KARIME\karime tapia\AGUAS\WALTER JOFRE MONTERO Arriendo Aguas.doc</t>
  </si>
  <si>
    <t>C:\Users\franc\OneDrive\Documentos\MALENTIN KARIME\karime tapia\AGUAS\VIÑA SUTIL  A Nibaldo Flores Arriendo Aguas.doc</t>
  </si>
  <si>
    <t>C:\Users\franc\OneDrive\Documentos\MALENTIN KARIME\karime tapia\AGUAS\VIÑA SUTIL  A LUCIA CORRAL Aguas.doc</t>
  </si>
  <si>
    <t>C:\Users\franc\OneDrive\Documentos\MALENTIN KARIME\karime tapia\AGUAS\VIÑA SUTIL  A GABY MORENO VEGA Aguas.doc</t>
  </si>
  <si>
    <t>C:\Users\franc\OneDrive\Documentos\MALENTIN KARIME\karime tapia\AGUAS\VIÑA SUTIL  A CLAUDIA BOLADOS Aguas.doc</t>
  </si>
  <si>
    <t>C:\Users\franc\OneDrive\Documentos\MALENTIN KARIME\karime tapia\AGUAS\VIÑA SUTIL  A ANIBAL ASTORGA Rectifica.doc</t>
  </si>
  <si>
    <t>C:\Users\franc\OneDrive\Documentos\MALENTIN KARIME\karime tapia\AGUAS\VIÑA SUTIL  A ANIBAL ASTORGA Aguas.doc</t>
  </si>
  <si>
    <t>C:\Users\franc\OneDrive\Documentos\MALENTIN KARIME\karime tapia\AGUAS\SYLVIA ELENA ALVAREZ A RODRIGO ALCAYAGA.doc</t>
  </si>
  <si>
    <t>C:\Users\franc\OneDrive\Documentos\MALENTIN KARIME\karime tapia\AGUAS\SUCESION Carvajal Aguilera.doc</t>
  </si>
  <si>
    <t>C:\Users\franc\OneDrive\Documentos\MALENTIN KARIME\karime tapia\AGUAS\SOBRE DIRECTOR  GENERAL    DE AGUAS.doc</t>
  </si>
  <si>
    <t>C:\Users\franc\OneDrive\Documentos\MALENTIN KARIME\karime tapia\AGUAS\PLANILLA DIRECCION GENERAL DE AGUAS.doc</t>
  </si>
  <si>
    <t>C:\Users\franc\OneDrive\Documentos\MALENTIN KARIME\karime tapia\AGUAS\PATRICIO PINTO A Fruticola Copiapo.doc</t>
  </si>
  <si>
    <t>C:\Users\franc\OneDrive\Documentos\MALENTIN KARIME\karime tapia\AGUAS\PATRICIO PINTO A Fruticola Copiapo INSTRUCCIONES.doc</t>
  </si>
  <si>
    <t>C:\Users\franc\OneDrive\Documentos\MALENTIN KARIME\karime tapia\AGUAS\PAGARÉ Alegría-1.doc</t>
  </si>
  <si>
    <t>C:\Users\franc\OneDrive\Documentos\MALENTIN KARIME\karime tapia\AGUAS\OFICIO AGUAS.doc</t>
  </si>
  <si>
    <t>C:\Users\franc\OneDrive\Documentos\MALENTIN KARIME\karime tapia\AGUAS\MODELO ARRIENDO AGUAS.doc</t>
  </si>
  <si>
    <t>C:\Users\franc\OneDrive\Documentos\MALENTIN KARIME\karime tapia\AGUAS\MARIA CLAUSSEN A Cerro Campanario.doc</t>
  </si>
  <si>
    <t>C:\Users\franc\OneDrive\Documentos\MALENTIN KARIME\karime tapia\AGUAS\MARIA AGUIRRE A PETRONILA VELASQUEZ.doc</t>
  </si>
  <si>
    <t>C:\Users\franc\OneDrive\Documentos\MALENTIN KARIME\karime tapia\AGUAS\MANUEL ANTONIO LEON  A larrinson leon.doc</t>
  </si>
  <si>
    <t>C:\Users\franc\OneDrive\Documentos\MALENTIN KARIME\karime tapia\AGUAS\MANUEL ANTONIO LEON  A CRISTINA S.doc</t>
  </si>
  <si>
    <t>C:\Users\franc\OneDrive\Documentos\MALENTIN KARIME\karime tapia\AGUAS\La personería de don Juan Patricio Gracia Burucker.doc</t>
  </si>
  <si>
    <t>C:\Users\franc\OneDrive\Documentos\MALENTIN KARIME\karime tapia\AGUAS\JULIO LUTTGUES A VIVIANA ARAYA HIDALGO.doc</t>
  </si>
  <si>
    <t>C:\Users\franc\OneDrive\Documentos\MALENTIN KARIME\karime tapia\AGUAS\JULIO LUTTGUES A JUAN ARAYA.doc</t>
  </si>
  <si>
    <t>C:\Users\franc\OneDrive\Documentos\MALENTIN KARIME\karime tapia\AGUAS\JUAN BOLADOS PIZARRO A ESTER SEGOVIA.doc</t>
  </si>
  <si>
    <t>C:\Users\franc\OneDrive\Documentos\MALENTIN KARIME\karime tapia\AGUAS\JUAN CARLOS JULIA CV AGUAS Tranque El Uno (3000 m3).doc</t>
  </si>
  <si>
    <t>C:\Users\franc\OneDrive\Documentos\MALENTIN KARIME\karime tapia\AGUAS\JOSE MIGUEL MUNIZAGA TORO.doc</t>
  </si>
  <si>
    <t>C:\Users\franc\OneDrive\Documentos\MALENTIN KARIME\karime tapia\AGUAS\JOSE MIGUEL MUNIZAGA TORO a BALDEMAR DEL CARMEN.doc</t>
  </si>
  <si>
    <t>C:\Users\franc\OneDrive\Documentos\MALENTIN KARIME\karime tapia\AGUAS\JOSE MIGUEL MUNIZAGA TORO a ABRAHAM GALLARDO.doc</t>
  </si>
  <si>
    <t>C:\Users\franc\OneDrive\Documentos\MALENTIN KARIME\karime tapia\AGUAS\JOSE MAXIMO CHACON VALLEJOS.doc</t>
  </si>
  <si>
    <t>C:\Users\franc\OneDrive\Documentos\MALENTIN KARIME\karime tapia\AGUAS\JOSE CAIMANQUE CASTILLO.doc</t>
  </si>
  <si>
    <t>C:\Users\franc\OneDrive\Documentos\MALENTIN KARIME\karime tapia\AGUAS\INSTRUCCIONESS  Munizaga.doc</t>
  </si>
  <si>
    <t>C:\Users\franc\OneDrive\Documentos\MALENTIN KARIME\karime tapia\AGUAS\INSTRUCCIONES.doc</t>
  </si>
  <si>
    <t>C:\Users\franc\OneDrive\Documentos\MALENTIN KARIME\karime tapia\AGUAS\instrucciones arbolito.doc</t>
  </si>
  <si>
    <t>C:\Users\franc\OneDrive\Documentos\MALENTIN KARIME\karime tapia\AGUAS\INMOBILIARIA LOS ALERCES A Luis Tapia Rojas.doc</t>
  </si>
  <si>
    <t>C:\Users\franc\OneDrive\Documentos\MALENTIN KARIME\karime tapia\AGUAS\INMOBILIARIA LOS ALERCES A Luis Tapia Rojas para abogado.doc</t>
  </si>
  <si>
    <t>C:\Users\franc\OneDrive\Documentos\MALENTIN KARIME\karime tapia\AGUAS\INMOBILIARIA LOS ALERCES A Luis Tapia Rojas final.doc</t>
  </si>
  <si>
    <t>C:\Users\franc\OneDrive\Documentos\MALENTIN KARIME\karime tapia\AGUAS\FRUTÍCOLA COPIAPO A Oscar Vicuña Urqueta.doc</t>
  </si>
  <si>
    <t>C:\Users\franc\OneDrive\Documentos\MALENTIN KARIME\karime tapia\AGUAS\HUGO BUGUEÑO CORTES A Victoria Bugueño.doc</t>
  </si>
  <si>
    <t>C:\Users\franc\OneDrive\Documentos\MALENTIN KARIME\karime tapia\AGUAS\FRUTÍCOLA COPIAPO A María Vega Barraza Agosto 13.doc</t>
  </si>
  <si>
    <t>C:\Users\franc\OneDrive\Documentos\MALENTIN KARIME\karime tapia\AGUAS\FRUTÍCOLA COPIAPO A EDUARDO MORGADO.doc</t>
  </si>
  <si>
    <t>C:\Users\franc\OneDrive\Documentos\MALENTIN KARIME\karime tapia\AGUAS\FRUTÍCOLA COPIAPO A Angostura.doc</t>
  </si>
  <si>
    <t>C:\Users\franc\OneDrive\Documentos\MALENTIN KARIME\karime tapia\AGUAS\FRUTÍCOLA COPIAPO A ALBERTO ALEGRIA ADONES Y OTROS.doc</t>
  </si>
  <si>
    <t>C:\Users\franc\OneDrive\Documentos\MALENTIN KARIME\karime tapia\AGUAS\FRUTÍCOLA COPIAPO A ALBERTO ALEGRIA ADONES Y OTROS Complementa.doc</t>
  </si>
  <si>
    <t>C:\Users\franc\OneDrive\Documentos\MALENTIN KARIME\karime tapia\AGUAS\FRUTICOLA RIO COPIAPO A Martin Petrinovic.doc</t>
  </si>
  <si>
    <t>C:\Users\franc\OneDrive\Documentos\MALENTIN KARIME\karime tapia\AGUAS\FRUTICOLA RIO COPIAPO A Mario Alfaro.doc</t>
  </si>
  <si>
    <t>C:\Users\franc\OneDrive\Documentos\MALENTIN KARIME\karime tapia\AGUAS\FRUTICOLA RIO COPIAPO A Jacinto Labarca.doc</t>
  </si>
  <si>
    <t>C:\Users\franc\OneDrive\Documentos\MALENTIN KARIME\karime tapia\AGUAS\FRUTICOLA RIO COPIAPO A Eduardo Morgado.doc</t>
  </si>
  <si>
    <t>C:\Users\franc\OneDrive\Documentos\MALENTIN KARIME\karime tapia\AGUAS\FRUTICOLA COPIAPO Instrucciones Maria Vega.doc</t>
  </si>
  <si>
    <t>C:\Users\franc\OneDrive\Documentos\MALENTIN KARIME\karime tapia\AGUAS\FRUTICOLA COPIAPO A RAMADILLA.doc</t>
  </si>
  <si>
    <t>C:\Users\franc\OneDrive\Documentos\MALENTIN KARIME\karime tapia\AGUAS\FRUTICOLA COPIAPO A Juan Carlos Julia.doc</t>
  </si>
  <si>
    <t>C:\Users\franc\OneDrive\Documentos\MALENTIN KARIME\karime tapia\AGUAS\FRUTICOLA COPIAPO A MARIO ALFARO GUTIERREZ.doc</t>
  </si>
  <si>
    <t>C:\Users\franc\OneDrive\Documentos\MALENTIN KARIME\karime tapia\AGUAS\FRUTICOLA COPIAPO A ISAAC ALAMO.doc</t>
  </si>
  <si>
    <t>C:\Users\franc\OneDrive\Documentos\MALENTIN KARIME\karime tapia\AGUAS\FRUTICOLA COPIAPO A Agrícola Valle del Limari II Spa ESCRITURA.doc</t>
  </si>
  <si>
    <t>C:\Users\franc\OneDrive\Documentos\MALENTIN KARIME\karime tapia\AGUAS\FRUTICOLA COPIAPO A Agrícola Valle del Limari II Spa.doc</t>
  </si>
  <si>
    <t>C:\Users\franc\OneDrive\Documentos\MALENTIN KARIME\karime tapia\AGUAS\FRUTICOLA COPIAPO A AGRICOLA VALLE DEL LIMARI.doc</t>
  </si>
  <si>
    <t>C:\Users\franc\OneDrive\Documentos\MALENTIN KARIME\karime tapia\AGUAS\FRANCISCO ARAYA MOYA Pozo.doc</t>
  </si>
  <si>
    <t>C:\Users\franc\OneDrive\Documentos\MALENTIN KARIME\karime tapia\AGUAS\ELIANA PERINES PALTA.doc</t>
  </si>
  <si>
    <t>C:\Users\franc\OneDrive\Documentos\MALENTIN KARIME\karime tapia\AGUAS\EDGARDO RODRIGUEZ A MANUEL RODRIGUEZ.doc</t>
  </si>
  <si>
    <t>C:\Users\franc\OneDrive\Documentos\MALENTIN KARIME\karime tapia\AGUAS\contrato arrendamiento DOTACION.doc</t>
  </si>
  <si>
    <t>C:\Users\franc\OneDrive\Documentos\MALENTIN KARIME\karime tapia\AGUAS\CHRISTIAN BARRIOS A SOC. AVICOLA SANTA CARMEN.doc</t>
  </si>
  <si>
    <t>C:\Users\franc\OneDrive\Documentos\MALENTIN KARIME\karime tapia\AGUAS\Autorizo la firma de don MANUEL ARTURO CONTADOR CORTES.doc</t>
  </si>
  <si>
    <t>C:\Users\franc\OneDrive\Documentos\MALENTIN KARIME\karime tapia\AGUAS\ARNOLDO ARAYA PIÑONES.doc</t>
  </si>
  <si>
    <t>C:\Users\franc\OneDrive\Documentos\MALENTIN KARIME\karime tapia\AGUAS\arbolito.doc</t>
  </si>
  <si>
    <t>C:\Users\franc\OneDrive\Documentos\MALENTIN KARIME\karime tapia\AGUAS\ALFONSO RODRIGUEZ A SANDRA CANIVILO.doc</t>
  </si>
  <si>
    <t>C:\Users\franc\OneDrive\Documentos\MALENTIN KARIME\karime tapia\AGUAS\AGRICOLA SICOR S.A. y Jose Aldo ALfaro Alfaro.doc</t>
  </si>
  <si>
    <t>C:\Users\franc\OneDrive\Documentos\MALENTIN KARIME\karime tapia\AGUAS\AGRICOLA SICOR S.A. y Jose Aldo ALfaro Alfaro Dic 13.doc</t>
  </si>
  <si>
    <t>C:\Users\franc\OneDrive\Documentos\MALENTIN KARIME\karime tapia\AGUAS\AGRICOLA POLPAICO S.A..doc</t>
  </si>
  <si>
    <t>C:\Users\franc\OneDrive\Documentos\MALENTIN KARIME\karime tapia\AGUAS\AGRICOLA POLPAICO S.A. Y PRODUCTOS FINANCIEROS ANDINO.doc</t>
  </si>
  <si>
    <t>C:\Users\franc\OneDrive\Documentos\MALENTIN KARIME\karime tapia\AGUAS\AGRICOLA POLPAICO S.A. Y PRODUCTOS FINANCIEROS ANDINO Final.doc</t>
  </si>
  <si>
    <t>C:\Users\franc\OneDrive\Documentos\MALENTIN KARIME\karime tapia\AGUAS\AGRICOLA POLPAICO S.A. con RESCILIACION.doc</t>
  </si>
  <si>
    <t>C:\Users\franc\OneDrive\Documentos\MALENTIN KARIME\karime tapia\AGUAS\AGRICOLA LOS ALAMOS A JUAN OPAZO OLIVARESaguas.doc</t>
  </si>
  <si>
    <t>C:\Users\franc\OneDrive\Documentos\MALENTIN KARIME\karime tapia\AGUAS\AGRICOLA LOS ALAMOS A Elva Olivares aguas.doc</t>
  </si>
  <si>
    <t>C:\Users\franc\OneDrive\Documentos\MALENTIN KARIME\karime tapia\AGUAS\AGRICOLA LOS ALAMOS A Elva Olivares aguas sin conyuge.doc</t>
  </si>
  <si>
    <t>C:\Users\franc\OneDrive\Documentos\MALENTIN KARIME\karime tapia\AGUAS\AGRICOLA ARBOLITO LTDA y Luis A Artigues Galmes.doc</t>
  </si>
  <si>
    <t>C:\Users\franc\OneDrive\Documentos\MALENTIN KARIME\karime tapia\AGUAS\AGRICOLA ARBOLITO LTDA revision.doc</t>
  </si>
  <si>
    <t>C:\Users\franc\OneDrive\Documentos\MALENTIN KARIME\karime tapia\2016\SUCESION ERMO CORTES DS 1.doc</t>
  </si>
  <si>
    <t>C:\Users\franc\OneDrive\Documentos\MALENTIN KARIME\karime tapia\2016\PAMENIA ARGANDOÑA DS 1.doc</t>
  </si>
  <si>
    <t>C:\Users\franc\OneDrive\Documentos\MALENTIN KARIME\karime tapia\2016\SUCESION CUEVAS PASTEN DS 1.doc</t>
  </si>
  <si>
    <t>C:\Users\franc\OneDrive\Documentos\MALENTIN KARIME\karime tapia\2016\MAURICIO PIÑONES GARCIA BNac.doc</t>
  </si>
  <si>
    <t>C:\Users\franc\OneDrive\Documentos\MALENTIN KARIME\karime tapia\2016\MARITZA RIVERA GARCIA.doc</t>
  </si>
  <si>
    <t>C:\Users\franc\OneDrive\Documentos\MALENTIN KARIME\karime tapia\2016\MARIA VALDES MUÑOZ  andrea.doc</t>
  </si>
  <si>
    <t>C:\Users\franc\OneDrive\Documentos\MALENTIN KARIME\karime tapia\2016\MARCELA LOPEZ  BORQUEZ nuevo form.doc</t>
  </si>
  <si>
    <t>C:\Users\franc\OneDrive\Documentos\MALENTIN KARIME\karime tapia\2016\LUPERFINA MILLA DS 1.doc</t>
  </si>
  <si>
    <t>C:\Users\franc\OneDrive\Documentos\MALENTIN KARIME\karime tapia\2016\JOSE LUIS VEGA LOPEZ.doc</t>
  </si>
  <si>
    <t>C:\Users\franc\OneDrive\Documentos\MALENTIN KARIME\karime tapia\2016\FANNY CARMONA FLORES DS 1.doc</t>
  </si>
  <si>
    <t>C:\Users\franc\OneDrive\Documentos\MALENTIN KARIME\karime tapia\2016\CARMEN LOYOLA PALACIOS DS 1.doc</t>
  </si>
  <si>
    <t>C:\Users\franc\OneDrive\Documentos\MALENTIN KARIME\karime tapia\TESTAMENTO informe sin t.doc</t>
  </si>
  <si>
    <t>C:\Users\franc\OneDrive\Documentos\MALENTIN KARIME\karime tapia\sobre.doc</t>
  </si>
  <si>
    <t>C:\Users\franc\OneDrive\Documentos\MALENTIN KARIME\karime tapia\notas al margen ruego margen.doc</t>
  </si>
  <si>
    <t>C:\Users\franc\OneDrive\Documentos\MALENTIN KARIME\karime tapia\notas al margen ruego margen 2.doc</t>
  </si>
  <si>
    <t>C:\Users\franc\OneDrive\Documentos\MALENTIN KARIME\karime tapia\notas al margen QUE POR.doc</t>
  </si>
  <si>
    <t>C:\Users\franc\OneDrive\Documentos\MALENTIN KARIME\karime tapia\notas al margen DE LA.doc</t>
  </si>
  <si>
    <t>C:\Users\franc\OneDrive\Documentos\MALENTIN KARIME\karime tapia\notas al margen DE LA ESCRITURA.doc</t>
  </si>
  <si>
    <t>C:\Users\franc\OneDrive\Documentos\MALENTIN KARIME\karime tapia\MODELO NOTARIO TITULAR .doc</t>
  </si>
  <si>
    <t>C:\Users\franc\OneDrive\Documentos\MALENTIN KARIME\karime tapia\MODELO NOTARIO HPD.doc</t>
  </si>
  <si>
    <t>C:\Users\franc\OneDrive\Documentos\MALENTIN KARIME\karime tapia\MANDATO JUDICIAL VALERIO LIZARDI.doc</t>
  </si>
  <si>
    <t>C:\Users\franc\OneDrive\Documentos\MALENTIN KARIME\karime tapia\LUISA ARAYA MOLINA Rect CAJ.doc</t>
  </si>
  <si>
    <t>C:\Users\franc\OneDrive\Documentos\MALENTIN KARIME\karime tapia\GEORGINA GALLEGUILLOS Y PATRICIO MAURIN acuerdo divorc.doc</t>
  </si>
  <si>
    <t>C:\Users\franc\OneDrive\Documentos\MALENTIN KARIME\karime tapia\fojas.docx</t>
  </si>
  <si>
    <t>C:\Users\franc\OneDrive\Documentos\MALENTIN KARIME\karime tapia\error.doc</t>
  </si>
  <si>
    <t>C:\Users\franc\OneDrive\Documentos\MALENTIN KARIME\karime tapia\a ruego.doc</t>
  </si>
  <si>
    <t>C:\Users\franc\OneDrive\Documentos\MALENTIN KARIME\JULIO POLOkarime\JULIO POLO ANA LUISA\LUIS BRAVO.doc</t>
  </si>
  <si>
    <t>C:\Users\franc\OneDrive\Documentos\MALENTIN KARIME\JULIO POLOkarime\JULIO POLO ANA LUISA\LUIS TORREJON OVALLE.doc</t>
  </si>
  <si>
    <t>C:\Users\franc\OneDrive\Documentos\MALENTIN KARIME\JULIO POLOkarime\JULIO POLO ANA LUISA\COM. EL POTRERO A SOLEDAD ZEPEDA - LOTE 2 B.doc</t>
  </si>
  <si>
    <t>C:\Users\franc\OneDrive\Documentos\MALENTIN KARIME\JULIO POLOkarime\JULIO POLO ANA LUISA\COM. EL POTRERO A MARIA CARMONA - LOTE 1 A.doc</t>
  </si>
  <si>
    <t>C:\Users\franc\OneDrive\Documentos\MALENTIN KARIME\JULIO POLOkarime\JULIO POLO ANA LUISA\COM. EL POTRERO A MARIA CARMONA - LOTE 3.doc</t>
  </si>
  <si>
    <t>C:\Users\franc\OneDrive\Documentos\MALENTIN KARIME\JULIO POLOkarime\JULIO POLO ANA LUISA\COM. EL POTRERO A MA. GABRIELA ZEPEDA - LOTE 2 C.doc</t>
  </si>
  <si>
    <t>C:\Users\franc\OneDrive\Documentos\MALENTIN KARIME\JULIO POLOkarime\JULIO POLO ANA LUISA\COM. EL POTRERO A JOSE MIGUEL ZEPEDA - LOTE 1 B.doc</t>
  </si>
  <si>
    <t>C:\Users\franc\OneDrive\Documentos\MALENTIN KARIME\JULIO POLOkarime\JULIO POLO ANA LUISA\COM. EL POTRERO A JOSE MIGUEL ZEPEDA - LOTE 1 C.doc</t>
  </si>
  <si>
    <t>C:\Users\franc\OneDrive\Documentos\MALENTIN KARIME\JULIO POLOkarime\JULIO POLO ANA LUISA\clausula para SEGREGACIONES.docx</t>
  </si>
  <si>
    <t>C:\Users\franc\OneDrive\Documentos\MALENTIN KARIME\JULIO POLOkarime\JULIO POLO ANA LUISA\COM. EL POTRERO A GONZALO ZEPEDA - LOTE 2 A.doc</t>
  </si>
  <si>
    <t>C:\Users\franc\OneDrive\Documentos\MALENTIN KARIME\JULIO POLOkarime\LUIS BRAVO.doc</t>
  </si>
  <si>
    <t>C:\Users\franc\OneDrive\Documentos\MALENTIN KARIME\JULIO POLOkarime\LUIS TORREJON OVALLE.doc</t>
  </si>
  <si>
    <t>C:\Users\franc\OneDrive\Documentos\MALENTIN KARIME\JULIO POLOkarime\COM. EL POTRERO A SOLEDAD ZEPEDA - LOTE 2 B.doc</t>
  </si>
  <si>
    <t>C:\Users\franc\OneDrive\Documentos\MALENTIN KARIME\JULIO POLOkarime\LOTE 1B CORREGIDO.doc</t>
  </si>
  <si>
    <t>C:\Users\franc\OneDrive\Documentos\MALENTIN KARIME\JULIO POLOkarime\COM. EL POTRERO A MARIA CARMONA - LOTE 1 A.doc</t>
  </si>
  <si>
    <t>C:\Users\franc\OneDrive\Documentos\MALENTIN KARIME\JULIO POLOkarime\COM. EL POTRERO A MARIA CARMONA - LOTE 3.doc</t>
  </si>
  <si>
    <t>C:\Users\franc\OneDrive\Documentos\MALENTIN KARIME\JULIO POLOkarime\COM. EL POTRERO A MA. GABRIELA ZEPEDA - LOTE 2 C.doc</t>
  </si>
  <si>
    <t>C:\Users\franc\OneDrive\Documentos\MALENTIN KARIME\JULIO POLOkarime\COM. EL POTRERO A JOSE MIGUEL ZEPEDA - LOTE 1 C.doc</t>
  </si>
  <si>
    <t>C:\Users\franc\OneDrive\Documentos\MALENTIN KARIME\JULIO POLOkarime\COM. EL POTRERO A JOSE MIGUEL ZEPEDA - LOTE 1 B.doc</t>
  </si>
  <si>
    <t>C:\Users\franc\OneDrive\Documentos\MALENTIN KARIME\JULIO POLOkarime\COM. EL POTRERO A GONZALO ZEPEDA - LOTE 2 A.doc</t>
  </si>
  <si>
    <t>C:\Users\franc\OneDrive\Documentos\MALENTIN KARIME\JULIO POLOkarime\clausula para SEGREGACIONES.docx</t>
  </si>
  <si>
    <t>C:\Users\franc\OneDrive\Documentos\MALENTIN KARIME\JULIO POLOkarime\1900.doc</t>
  </si>
  <si>
    <t>C:\Users\franc\OneDrive\Documentos\MALENTIN KARIME\JULIO POLOkarime\1899.doc</t>
  </si>
  <si>
    <t>C:\Users\franc\OneDrive\Documentos\MALENTIN KARIME\JULIO POLOkarime\1898.doc</t>
  </si>
  <si>
    <t>C:\Users\franc\OneDrive\Documentos\MALENTIN KARIME\JULIO POLOkarime\1897.doc</t>
  </si>
  <si>
    <t>C:\Users\franc\OneDrive\Documentos\MALENTIN KARIME\JULIO POLOkarime\1896.doc</t>
  </si>
  <si>
    <t>C:\Users\franc\OneDrive\Documentos\MALENTIN KARIME\JULIO POLOkarime\1895.doc</t>
  </si>
  <si>
    <t>C:\Users\franc\OneDrive\Documentos\MALENTIN KARIME\JOSE TABILO GOMILA\Cristian Zepeda Rodriguez Comple.doc</t>
  </si>
  <si>
    <t>C:\Users\franc\OneDrive\Documentos\MALENTIN KARIME\JULIO POLOkarime\1894.doc</t>
  </si>
  <si>
    <t>C:\Users\franc\OneDrive\Documentos\MALENTIN KARIME\ITAU\HUGO DEL CAMPO\MELLADO A NORTEANDINO CESION DERECHOS.doc</t>
  </si>
  <si>
    <t>C:\Users\franc\OneDrive\Documentos\MALENTIN KARIME\ITAU\HUGO DEL CAMPO\MELLADO A NORTEANDINO CESION DERECHOS  Junio 14.doc</t>
  </si>
  <si>
    <t>C:\Users\franc\OneDrive\Documentos\MALENTIN KARIME\ITAU\HUGO DEL CAMPO\MARCIAL MELLADO PROMESA E HIPOTECA Jun 14.doc</t>
  </si>
  <si>
    <t>C:\Users\franc\OneDrive\Documentos\MALENTIN KARIME\ITAU\HUGO DEL CAMPO\MARCIAL MELLADO Mandato.doc</t>
  </si>
  <si>
    <t>C:\Users\franc\OneDrive\Documentos\MALENTIN KARIME\ITAU\HUGO DEL CAMPO\MARCIAL MELLADO a Los Aromos CESION.doc</t>
  </si>
  <si>
    <t>C:\Users\franc\OneDrive\Documentos\MALENTIN KARIME\ITAU\HUGO DEL CAMPO\LOS AROMOS A Terra Nut Mayo 2015.doc</t>
  </si>
  <si>
    <t>C:\Users\franc\OneDrive\Documentos\MALENTIN KARIME\ITAU\HUGO DEL CAMPO\JAVIER CONTADOR A AGRICOLA LAS TOTORAS DOS .S.A..doc</t>
  </si>
  <si>
    <t>C:\Users\franc\OneDrive\Documentos\MALENTIN KARIME\INMOBILIARIA LA RECOLETA\Teresa Cortes Campusano 42 VISTO BUENO.doc</t>
  </si>
  <si>
    <t>C:\Users\franc\OneDrive\Documentos\MALENTIN KARIME\INMOBILIARIA LA RECOLETA\Teresa Cortes Campusano 42 CONTADO.doc</t>
  </si>
  <si>
    <t>C:\Users\franc\OneDrive\Documentos\MALENTIN KARIME\INMOBILIARIA LA RECOLETA\MD1-1 casa 32  Com. Best Energy.doc</t>
  </si>
  <si>
    <t>C:\Users\franc\OneDrive\Documentos\MALENTIN KARIME\INMOBILIARIA LA RECOLETA\MD1-1 casa 31 Com. Best Energy.doc</t>
  </si>
  <si>
    <t>C:\Users\franc\OneDrive\Documentos\MALENTIN KARIME\INMOBILIARIA LA RECOLETA\MD1-1 casa 30 Com. Best Energy.doc</t>
  </si>
  <si>
    <t>C:\Users\franc\OneDrive\Documentos\MALENTIN KARIME\INMOBILIARIA LA RECOLETA\MD Comercial Ltda. RESCILIACION.doc</t>
  </si>
  <si>
    <t>C:\Users\franc\OneDrive\Documentos\MALENTIN KARIME\INMOBILIARIA LA RECOLETA\CLAUSULA CONTADO.doc</t>
  </si>
  <si>
    <t>C:\Users\franc\OneDrive\Documentos\MALENTIN KARIME\INMOBILIARIA LA RECOLETA\Carlos Gerardo Michea VISTO BUENO.doc</t>
  </si>
  <si>
    <t>C:\Users\franc\OneDrive\Documentos\MALENTIN KARIME\INMOBILIARIA LA RECOLETA\Carlos Gerardo Michea CONTADO.doc</t>
  </si>
  <si>
    <t>C:\Users\franc\OneDrive\Documentos\MALENTIN KARIME\INMOBILIARIA LA RECOLETA\Carlos Gerardo Michea CONTADO II.doc</t>
  </si>
  <si>
    <t>C:\Users\franc\OneDrive\Documentos\MALENTIN KARIME\INMOBILIARIA LA RECOLETA\BEST ENERGY Asturias 32.doc</t>
  </si>
  <si>
    <t>C:\Users\franc\OneDrive\Documentos\MALENTIN KARIME\INMOBILIARIA LA RECOLETA\BEST ENERGY Asturias 32 VISTO BUENO.doc</t>
  </si>
  <si>
    <t>C:\Users\franc\OneDrive\Documentos\MALENTIN KARIME\INMOBILIARIA LA RECOLETA\BEST ENERGY Asturias 31.doc</t>
  </si>
  <si>
    <t>C:\Users\franc\OneDrive\Documentos\MALENTIN KARIME\INMOBILIARIA LA RECOLETA\BEST ENERGY Asturias 31 VISTO BUENO.doc</t>
  </si>
  <si>
    <t>C:\Users\franc\OneDrive\Documentos\MALENTIN KARIME\INMOBILIARIA LA RECOLETA\BEST ENERGY Asturias 31 final.doc</t>
  </si>
  <si>
    <t>C:\Users\franc\OneDrive\Documentos\MALENTIN KARIME\INMOBILIARIA LA RECOLETA\BEST ENERGY Asturias 30.doc</t>
  </si>
  <si>
    <t>C:\Users\franc\OneDrive\Documentos\MALENTIN KARIME\INMOBILIARIA LA RECOLETA\BEST ENERGY Asturias 30 VISTO BUENO.doc</t>
  </si>
  <si>
    <t>C:\Users\franc\OneDrive\Documentos\MALENTIN KARIME\INMOB SANTA EMMA\CONFERR.doc</t>
  </si>
  <si>
    <t>C:\Users\franc\OneDrive\Documentos\MALENTIN KARIME\INMOB SANTA EMMA\INSTRUCCIONES   NOTARIALES.doc</t>
  </si>
  <si>
    <t>C:\Users\franc\OneDrive\Documentos\MALENTIN KARIME\INDICE TEST Y AGUA\PLANILLA Octubre DIRECCION GENERAL DE AGUAS.doc</t>
  </si>
  <si>
    <t>C:\Users\franc\OneDrive\Documentos\MALENTIN KARIME\INDICE TEST Y AGUA\PLANILLA Noviembre DIRECCION GENERAL DE AGUAS.doc</t>
  </si>
  <si>
    <t>C:\Users\franc\OneDrive\Documentos\MALENTIN KARIME\INDICE TEST Y AGUA\PLANILLA Mayo  DIRECCION GENERAL DE AGUAS.doc</t>
  </si>
  <si>
    <t>C:\Users\franc\OneDrive\Documentos\MALENTIN KARIME\INDICE TEST Y AGUA\PLANILLA MarzoDIRECCION GENERAL DE AGUAS.doc</t>
  </si>
  <si>
    <t>C:\Users\franc\OneDrive\Documentos\MALENTIN KARIME\INDICE TEST Y AGUA\PLANILLA Junio  DIRECCION GENERAL DE AGUAS.doc</t>
  </si>
  <si>
    <t>C:\Users\franc\OneDrive\Documentos\MALENTIN KARIME\INDICE TEST Y AGUA\PLANILLA Julio  DIRECCION GENERAL DE AGUAS.doc</t>
  </si>
  <si>
    <t>C:\Users\franc\OneDrive\Documentos\MALENTIN KARIME\INDICE TEST Y AGUA\PLANILLA FebreroDIRECCION GENERAL DE AGUAS.doc</t>
  </si>
  <si>
    <t>C:\Users\franc\OneDrive\Documentos\MALENTIN KARIME\INDICE TEST Y AGUA\PLANILLA Febrero HOJA 2DIRECCION GENERAL DE AGUAS.doc</t>
  </si>
  <si>
    <t>C:\Users\franc\OneDrive\Documentos\MALENTIN KARIME\INDICE TEST Y AGUA\PLANILLA Diciembre DIRECCION GENERAL DE AGUAS.doc</t>
  </si>
  <si>
    <t>C:\Users\franc\OneDrive\Documentos\MALENTIN KARIME\INDICE TEST Y AGUA\PLANILLA Enero DIRECCION GENERAL DE AGUAS.doc</t>
  </si>
  <si>
    <t>C:\Users\franc\OneDrive\Documentos\MALENTIN KARIME\INDICE TEST Y AGUA\PLANILLA Agosto  DIRECCION GENERAL DE AGUAS.doc</t>
  </si>
  <si>
    <t>C:\Users\franc\OneDrive\Documentos\MALENTIN KARIME\INDICE TEST Y AGUA\PLANILLA Abril DIRECCION GENERAL DE AGUAS.doc</t>
  </si>
  <si>
    <t>C:\Users\franc\OneDrive\Documentos\MALENTIN KARIME\INDICE TEST Y AGUA\PLANILLA 12-2017  DIRECCION GENERAL DE AGUAS.doc</t>
  </si>
  <si>
    <t>C:\Users\franc\OneDrive\Documentos\MALENTIN KARIME\INDICE TEST Y AGUA\PLANILLA 11-2017  DIRECCION GENERAL DE AGUAS.doc</t>
  </si>
  <si>
    <t>C:\Users\franc\OneDrive\Documentos\MALENTIN KARIME\INDICE TEST Y AGUA\PLANILLA 10-2017  DIRECCION GENERAL DE AGUAS.doc</t>
  </si>
  <si>
    <t>C:\Users\franc\OneDrive\Documentos\MALENTIN KARIME\INDICE TEST Y AGUA\PLANILLA 08-2018  DIRECCION GENERAL DE AGUAS.doc</t>
  </si>
  <si>
    <t>C:\Users\franc\OneDrive\Documentos\MALENTIN KARIME\INDICE TEST Y AGUA\PLANILLA 09-2017  DIRECCION GENERAL DE AGUAS.doc</t>
  </si>
  <si>
    <t>C:\Users\franc\OneDrive\Documentos\MALENTIN KARIME\INDICE TEST Y AGUA\PLANILLA 06-2018  DIRECCION GENERAL DE AGUAS.doc</t>
  </si>
  <si>
    <t>C:\Users\franc\OneDrive\Documentos\MALENTIN KARIME\INDICE TEST Y AGUA\PLANILLA 05-2018  DIRECCION GENERAL DE AGUAS.doc</t>
  </si>
  <si>
    <t>C:\Users\franc\OneDrive\Documentos\MALENTIN KARIME\INDICE TEST Y AGUA\PLANILLA 03-2018  DIRECCION GENERAL DE AGUAS.doc</t>
  </si>
  <si>
    <t>C:\Users\franc\OneDrive\Documentos\MALENTIN KARIME\INDICE TEST Y AGUA\PLANILLA 02-2018  DIRECCION GENERAL DE AGUAS.doc</t>
  </si>
  <si>
    <t>C:\Users\franc\OneDrive\Documentos\MALENTIN KARIME\INDICE TEST Y AGUA\NOMINA MENSUALAguas.doc</t>
  </si>
  <si>
    <t>C:\Users\franc\OneDrive\Documentos\MALENTIN KARIME\INDICE TEST Y AGUA\PLANILLA 01-2018  DIRECCION GENERAL DE AGUAS.doc</t>
  </si>
  <si>
    <t>C:\Users\franc\OneDrive\Documentos\MALENTIN KARIME\INDICE TEST Y AGUA\NOMINA MENSUAL Testamentos.doc</t>
  </si>
  <si>
    <t>C:\Users\franc\OneDrive\Documentos\MALENTIN KARIME\INDICE TEST Y AGUA\Formulario para Testamentos NUEVO.doc</t>
  </si>
  <si>
    <t>C:\Users\franc\OneDrive\Documentos\MALENTIN KARIME\INDICE TEST Y AGUA\Formulario para Testamentos NUEVO DIARIO 2017.doc</t>
  </si>
  <si>
    <t>C:\Users\franc\OneDrive\Documentos\MALENTIN KARIME\INDICE TEST Y AGUA\Formulario para Testamentos NUEVO 2 con celda.doc</t>
  </si>
  <si>
    <t>C:\Users\franc\OneDrive\Documentos\MALENTIN KARIME\HIPOTECA\SERGIO TORO VARGAS A FRUTEXPORT Prenda.doc</t>
  </si>
  <si>
    <t>C:\Users\franc\OneDrive\Documentos\MALENTIN KARIME\HIPOTECA\SERGIO TORO VARGAS A FRUTEXPORT Hipoteca.doc</t>
  </si>
  <si>
    <t>C:\Users\franc\OneDrive\Documentos\MALENTIN KARIME\HIPOTECA\PAGARÉ  SERGIO TORO VARGAS.doc</t>
  </si>
  <si>
    <t>C:\Users\franc\OneDrive\Documentos\MALENTIN KARIME\HIPOTECA\PAGARÉ  A LA ORDEN.doc</t>
  </si>
  <si>
    <t>C:\Users\franc\OneDrive\Documentos\MALENTIN KARIME\HIPOTECA\PAGARÉ  A LA ORDEN -NOVACIÓN.doc</t>
  </si>
  <si>
    <t>C:\Users\franc\OneDrive\Documentos\MALENTIN KARIME\HIPOTECA\modelo hipoteca.doc</t>
  </si>
  <si>
    <t>C:\Users\franc\OneDrive\Documentos\MALENTIN KARIME\HIPOTECA\JUAN LAGUNAS FLORES Hipoteca.doc</t>
  </si>
  <si>
    <t>C:\Users\franc\OneDrive\Documentos\MALENTIN KARIME\HIPOTECA\JUAN LAGUNAS FLORES Hipoteca Final.doc</t>
  </si>
  <si>
    <t>C:\Users\franc\OneDrive\Documentos\MALENTIN KARIME\HIPOTECA\JUAN LAGUNAS FLORES A EXPORTADORA FRUTEXPORT.doc</t>
  </si>
  <si>
    <t>C:\Users\franc\OneDrive\Documentos\MALENTIN KARIME\HIPOTECA\JUAN BARRAZA JOFRE A FRUTEXPORT.doc</t>
  </si>
  <si>
    <t>C:\Users\franc\OneDrive\Documentos\MALENTIN KARIME\HIPOTECA\INVERSIONES TALQUILLA A Del Monte FreshHIPOTECA 2015.doc</t>
  </si>
  <si>
    <t>C:\Users\franc\OneDrive\Documentos\MALENTIN KARIME\HIPOTECA\FRUTEXPORT Novacion.doc</t>
  </si>
  <si>
    <t>C:\Users\franc\OneDrive\Documentos\MALENTIN KARIME\HIPOTECA\F 24 5.doc</t>
  </si>
  <si>
    <t>C:\Users\franc\OneDrive\Documentos\MALENTIN KARIME\HIPOTECA\F 24 2.doc</t>
  </si>
  <si>
    <t>C:\Users\franc\OneDrive\Documentos\MALENTIN KARIME\HIPOTECA\DIOMEDES CRUZ SOLORZANO A MASAVAL SAGR.doc</t>
  </si>
  <si>
    <t>C:\Users\franc\OneDrive\Documentos\MALENTIN KARIME\HIPOTECA\DEL MONTE FRES E INVERSIONES TALQUILLA Febr 2015.doc</t>
  </si>
  <si>
    <t>C:\Users\franc\OneDrive\Documentos\MALENTIN KARIME\HIPOTECA\CONTRATO DE HIPOTECA.doc</t>
  </si>
  <si>
    <t>C:\Users\franc\OneDrive\Documentos\MALENTIN KARIME\HABITA\VENTA E HIPOTECA visto bueno.doc</t>
  </si>
  <si>
    <t>C:\Users\franc\OneDrive\Documentos\MALENTIN KARIME\HABITA\SOC AGRICOLA CORTES CORRAL CON INMOBILIARIA OVALLE I.doc</t>
  </si>
  <si>
    <t>C:\Users\franc\OneDrive\Documentos\MALENTIN KARIME\HABITA\SOC AGRICOLA CORTES CORRAL CON INMOBILIARIA OVALLE I hipoteca.doc</t>
  </si>
  <si>
    <t>C:\Users\franc\OneDrive\Documentos\MALENTIN KARIME\HABITA\REP. 653-2015 HABITA ASOCIACIONES INMOBILIARIAS 02-2021.pdf</t>
  </si>
  <si>
    <t>C:\Users\franc\OneDrive\Documentos\MALENTIN KARIME\HABITA\REP. 1024-2014 HABITA ASOCIACIONES INMOBILIARIAS  02-2021.pdf</t>
  </si>
  <si>
    <t>C:\Users\franc\OneDrive\Documentos\MALENTIN KARIME\HABITA\reconocimiento de deuda.pdf</t>
  </si>
  <si>
    <t>C:\Users\franc\OneDrive\Documentos\MALENTIN KARIME\HABITA\RECONOCIMIENTO DE DEUDA OVALLE I 03.05.2021.doc</t>
  </si>
  <si>
    <t>C:\Users\franc\OneDrive\Documentos\MALENTIN KARIME\HABITA\PROMESA DE COMPRAVENTA LOTE 1A-J  (30-04-21).doc</t>
  </si>
  <si>
    <t>C:\Users\franc\OneDrive\Documentos\MALENTIN KARIME\HABITA\PROMESA DE COMPRAVENTA LOTE 1A-I (30-04-21).doc</t>
  </si>
  <si>
    <t>C:\Users\franc\OneDrive\Documentos\MALENTIN KARIME\HABITA\promesa 2.doc</t>
  </si>
  <si>
    <t>C:\Users\franc\OneDrive\Documentos\MALENTIN KARIME\HABITA\PROMESA 1.doc</t>
  </si>
  <si>
    <t>C:\Users\franc\OneDrive\Documentos\MALENTIN KARIME\HABITA\personeria OVALLE I SPA.pdf</t>
  </si>
  <si>
    <t>C:\Users\franc\OneDrive\Documentos\MALENTIN KARIME\HABITA\INMOBILIARIA OVALLE I SpA, SGL 2027979 (CV).doc</t>
  </si>
  <si>
    <t>C:\Users\franc\OneDrive\Documentos\MALENTIN KARIME\HABITA\INMOBILIARIA OVALLE I SpA, Rut 77.150.991-6, SGL 2027979, borrador (SOLO UN LOTE).doc</t>
  </si>
  <si>
    <t>C:\Users\franc\OneDrive\Documentos\MALENTIN KARIME\HABITA\CUENTA MERCANTIL CONTRATO.pdf</t>
  </si>
  <si>
    <t>C:\Users\franc\OneDrive\Documentos\MALENTIN KARIME\HABITA\HIPOTECA visto bueno.doc</t>
  </si>
  <si>
    <t>C:\Users\franc\OneDrive\Documentos\MALENTIN KARIME\HABITA\CONTRATO MERCANTIL.pdf</t>
  </si>
  <si>
    <t>C:\Users\franc\OneDrive\Documentos\MALENTIN KARIME\HABITA\AGREGA PLANO.docx</t>
  </si>
  <si>
    <t>C:\Users\franc\OneDrive\Documentos\MALENTIN KARIME\GABRIEL RODRIGUEZ\PATRICIA ALVAREZ  A TEDY RAVANAL acuerdo divorciog.doc</t>
  </si>
  <si>
    <t>C:\Users\franc\OneDrive\Documentos\MALENTIN KARIME\GABRIEL RODRIGUEZ\NICOLAS HERMOSILLA Y OTROS A NINFA OGALDE Cvta.doc</t>
  </si>
  <si>
    <t>C:\Users\franc\OneDrive\Documentos\MALENTIN KARIME\GABRIEL RODRIGUEZ\MARINA OVIEDO TOLEDO Y OTROS Minuta Partición sucesión.doc</t>
  </si>
  <si>
    <t>C:\Users\franc\OneDrive\Documentos\MALENTIN KARIME\FALABELLA\FRANCISCO FLORES MONDACA_000140.pdf</t>
  </si>
  <si>
    <t>C:\Users\franc\OneDrive\Documentos\MALENTIN KARIME\FALABELLA\Francisco Flores M..pdf</t>
  </si>
  <si>
    <t>C:\Users\franc\OneDrive\Documentos\MALENTIN KARIME\FALABELLA\20171201103202534.pdf</t>
  </si>
  <si>
    <t>C:\Users\franc\OneDrive\Documentos\MALENTIN KARIME\FACTORONE\2018\YANINA BORQUEZ 2018.doc</t>
  </si>
  <si>
    <t>C:\Users\franc\OneDrive\Documentos\MALENTIN KARIME\FACTORONE\2018\RAMON LUNA CORTES agos 18.doc</t>
  </si>
  <si>
    <t>C:\Users\franc\OneDrive\Documentos\MALENTIN KARIME\FACTORONE\2018\PUBLISHEP SPA 2018.doc</t>
  </si>
  <si>
    <t>C:\Users\franc\OneDrive\Documentos\MALENTIN KARIME\FACTORONE\2018\Marcelo Bollman Bello y otra.doc</t>
  </si>
  <si>
    <t>C:\Users\franc\OneDrive\Documentos\MALENTIN KARIME\FACTORONE\2018\LORENZO ZARATE.doc</t>
  </si>
  <si>
    <t>C:\Users\franc\OneDrive\Documentos\MALENTIN KARIME\FACTORONE\2018\ELIZABETH GONZALEZ CARREÑO NUEVO 2018.doc</t>
  </si>
  <si>
    <t>C:\Users\franc\OneDrive\Documentos\MALENTIN KARIME\FACTORONE\2018\ELIZABETH GONZALEZ CARREÑO 2018.doc</t>
  </si>
  <si>
    <t>C:\Users\franc\OneDrive\Documentos\MALENTIN KARIME\FACTORONE\2018\AQUILES PALACIOS Marzo.doc</t>
  </si>
  <si>
    <t>C:\Users\franc\OneDrive\Documentos\MALENTIN KARIME\FACTORONE\2018\ALEJANDRO ROJAS ZAPATA mayo 2018.doc</t>
  </si>
  <si>
    <t>C:\Users\franc\OneDrive\Documentos\MALENTIN KARIME\FACTORONE\2018\ALEJANDRO PINILLA alzamiento.doc</t>
  </si>
  <si>
    <t>C:\Users\franc\OneDrive\Documentos\MALENTIN KARIME\FACTORONE\2017\YARELA CHACOF julio 2017.doc</t>
  </si>
  <si>
    <t>C:\Users\franc\OneDrive\Documentos\MALENTIN KARIME\FACTORONE\2017\WILSON YAÑEZ AGUILERA Junio 2017.doc</t>
  </si>
  <si>
    <t>C:\Users\franc\OneDrive\Documentos\MALENTIN KARIME\FACTORONE\2017\SERGIO ANDRADE ARAYA Junio 2017.doc</t>
  </si>
  <si>
    <t>C:\Users\franc\OneDrive\Documentos\MALENTIN KARIME\FACTORONE\2017\SAMUEL CORTES OSSANDON 2017.doc</t>
  </si>
  <si>
    <t>C:\Users\franc\OneDrive\Documentos\MALENTIN KARIME\FACTORONE\2017\RICARDO MONTERO ROJAS oct 2017.doc</t>
  </si>
  <si>
    <t>C:\Users\franc\OneDrive\Documentos\MALENTIN KARIME\FACTORONE\2017\MARIA VALENZUELA ROJAS.doc</t>
  </si>
  <si>
    <t>C:\Users\franc\OneDrive\Documentos\MALENTIN KARIME\FACTORONE\2017\MARCELO ROJO Junio 2017.doc</t>
  </si>
  <si>
    <t>C:\Users\franc\OneDrive\Documentos\MALENTIN KARIME\FACTORONE\2017\MABEL CHIANG.doc</t>
  </si>
  <si>
    <t>C:\Users\franc\OneDrive\Documentos\MALENTIN KARIME\FACTORONE\2017\JULIO BARRERA OLIVARES nueva Factorone.doc</t>
  </si>
  <si>
    <t>C:\Users\franc\OneDrive\Documentos\MALENTIN KARIME\FACTORONE\2017\JULIO BARRERA OLIVARES Factorone.doc</t>
  </si>
  <si>
    <t>C:\Users\franc\OneDrive\Documentos\MALENTIN KARIME\FACTORONE\2017\HECTOR CASTILLO MARIN Agosto 2017.doc</t>
  </si>
  <si>
    <t>C:\Users\franc\OneDrive\Documentos\MALENTIN KARIME\FACTORONE\2017\FRANCISCO VEGA 2017.doc</t>
  </si>
  <si>
    <t>C:\Users\franc\OneDrive\Documentos\MALENTIN KARIME\FACTORONE\2017\FERNANDO PEÑAFIEL SALAS 2017.doc</t>
  </si>
  <si>
    <t>C:\Users\franc\OneDrive\Documentos\MALENTIN KARIME\FACTORONE\2017\ELIANA CORTES PIZARRO Junio 2017.doc</t>
  </si>
  <si>
    <t>C:\Users\franc\OneDrive\Documentos\MALENTIN KARIME\FACTORONE\2017\Contrato Factoring P  natural sin aval- LUIS LARRONDO.doc</t>
  </si>
  <si>
    <t>C:\Users\franc\OneDrive\Documentos\MALENTIN KARIME\FACTORONE\2017\claudio araya castillo.doc</t>
  </si>
  <si>
    <t>C:\Users\franc\OneDrive\Documentos\MALENTIN KARIME\FACTORONE\2017\CESAR OSSIO.doc</t>
  </si>
  <si>
    <t>C:\Users\franc\OneDrive\Documentos\MALENTIN KARIME\FACTORONE\2017\BRUNO ECCHER TORRES Junio 2017.doc</t>
  </si>
  <si>
    <t>C:\Users\franc\OneDrive\Documentos\MALENTIN KARIME\FACTORONE\2017\ANA ROSA ARAYA HIDALO Factorone.doc</t>
  </si>
  <si>
    <t>C:\Users\franc\OneDrive\Documentos\MALENTIN KARIME\FACTORONE\2017\ANA ROSA ARAYA HIDALGO A Factorone.doc</t>
  </si>
  <si>
    <t>C:\Users\franc\OneDrive\Documentos\MALENTIN KARIME\FACTORONE\2015\YARELA CHACOFF CASTILLO.doc</t>
  </si>
  <si>
    <t>C:\Users\franc\OneDrive\Documentos\MALENTIN KARIME\FACTORONE\2015\MARIA VARELA PINTO.doc</t>
  </si>
  <si>
    <t>C:\Users\franc\OneDrive\Documentos\MALENTIN KARIME\FACTORONE\2015\EDITH RAMOS ARANCIBIA.doc</t>
  </si>
  <si>
    <t>C:\Users\franc\OneDrive\Documentos\MALENTIN KARIME\FACTORONE\2014\JULIO BARRERA E.I.R.L2015.doc</t>
  </si>
  <si>
    <t>C:\Users\franc\OneDrive\Documentos\MALENTIN KARIME\FACTORONE\2014\FRANCISCO CORTES PIZARRO.doc</t>
  </si>
  <si>
    <t>C:\Users\franc\OneDrive\Documentos\MALENTIN KARIME\FACTORONE\2014\CRISTIAN CORDOVA.doc</t>
  </si>
  <si>
    <t>C:\Users\franc\OneDrive\Documentos\MALENTIN KARIME\FACTORONE\2014\CAROLINA MONTECINOS GUZMAN.doc</t>
  </si>
  <si>
    <t>C:\Users\franc\OneDrive\Documentos\MALENTIN KARIME\FACTORONE\YERKO TABILO ROBLES.doc</t>
  </si>
  <si>
    <t>C:\Users\franc\OneDrive\Documentos\MALENTIN KARIME\FACTORONE\VITAL GONZALEZ.doc</t>
  </si>
  <si>
    <t>C:\Users\franc\OneDrive\Documentos\MALENTIN KARIME\FACTORONE\VIDAL VERGARA LIMITADA.doc</t>
  </si>
  <si>
    <t>C:\Users\franc\OneDrive\Documentos\MALENTIN KARIME\FACTORONE\STEVE LEDEZMA.doc</t>
  </si>
  <si>
    <t>C:\Users\franc\OneDrive\Documentos\MALENTIN KARIME\FACTORONE\SOBRE.doc</t>
  </si>
  <si>
    <t>C:\Users\franc\OneDrive\Documentos\MALENTIN KARIME\FACTORONE\SOBRE medio.doc</t>
  </si>
  <si>
    <t>C:\Users\franc\OneDrive\Documentos\MALENTIN KARIME\FACTORONE\SERGIO ANDRADE ARAYA Abril.doc</t>
  </si>
  <si>
    <t>C:\Users\franc\OneDrive\Documentos\MALENTIN KARIME\FACTORONE\RODRIGO CORTES OLIVARES.doc</t>
  </si>
  <si>
    <t>C:\Users\franc\OneDrive\Documentos\MALENTIN KARIME\FACTORONE\RICARDO ROJAS ARAYA Hipoteca.doc</t>
  </si>
  <si>
    <t>C:\Users\franc\OneDrive\Documentos\MALENTIN KARIME\FACTORONE\RAUL VIVANCO TOLEDO.doc</t>
  </si>
  <si>
    <t>C:\Users\franc\OneDrive\Documentos\MALENTIN KARIME\FACTORONE\RAUL VIVANCO Marzo 2013.doc</t>
  </si>
  <si>
    <t>C:\Users\franc\OneDrive\Documentos\MALENTIN KARIME\FACTORONE\notificacion.doc</t>
  </si>
  <si>
    <t>C:\Users\franc\OneDrive\Documentos\MALENTIN KARIME\FACTORONE\MARIA PAZ MEDINA HARRIS.doc</t>
  </si>
  <si>
    <t>C:\Users\franc\OneDrive\Documentos\MALENTIN KARIME\FACTORONE\LUIS CARVAJAL CORTES Factoring.doc</t>
  </si>
  <si>
    <t>C:\Users\franc\OneDrive\Documentos\MALENTIN KARIME\FACTORONE\JULIO BARRERA OLIVARES.doc</t>
  </si>
  <si>
    <t>C:\Users\franc\OneDrive\Documentos\MALENTIN KARIME\FACTORONE\JULIO BARRERA OLIVARES MODELO Fact.doc</t>
  </si>
  <si>
    <t>C:\Users\franc\OneDrive\Documentos\MALENTIN KARIME\FACTORONE\JUAN CARLOS ALUCEMA GODOY.doc</t>
  </si>
  <si>
    <t>C:\Users\franc\OneDrive\Documentos\MALENTIN KARIME\FACTORONE\JUAN ANDRADE TELLO Y Factorone.doc</t>
  </si>
  <si>
    <t>C:\Users\franc\OneDrive\Documentos\MALENTIN KARIME\FACTORONE\JORGE CARVAJAL CORTES.doc</t>
  </si>
  <si>
    <t>C:\Users\franc\OneDrive\Documentos\MALENTIN KARIME\FACTORONE\JAVIER TABILO RIVERA.doc</t>
  </si>
  <si>
    <t>C:\Users\franc\OneDrive\Documentos\MALENTIN KARIME\FACTORONE\GASTON ALFARO ALFARO 2013.doc</t>
  </si>
  <si>
    <t>C:\Users\franc\OneDrive\Documentos\MALENTIN KARIME\FACTORONE\FRANCISCO CORTES PIZARRO.doc</t>
  </si>
  <si>
    <t>C:\Users\franc\OneDrive\Documentos\MALENTIN KARIME\FACTORONE\Ctt. Benjamin Cortés Cortés.doc</t>
  </si>
  <si>
    <t>C:\Users\franc\OneDrive\Documentos\MALENTIN KARIME\FACTORONE\Ctt. Benjamin Cortés Cortés-1.doc</t>
  </si>
  <si>
    <t>C:\Users\franc\OneDrive\Documentos\MALENTIN KARIME\FACTORONE\CONSTRUCTORA M &amp; Y.doc</t>
  </si>
  <si>
    <t>C:\Users\franc\OneDrive\Documentos\MALENTIN KARIME\FACTORONE\COMERCIAL PRAD.doc</t>
  </si>
  <si>
    <t>C:\Users\franc\OneDrive\Documentos\MALENTIN KARIME\FACTORONE\COMERCIAL PRAD II.doc</t>
  </si>
  <si>
    <t>C:\Users\franc\OneDrive\Documentos\MALENTIN KARIME\FACTORONE\CESAR DIAZ CORTES E.I.R.L.doc</t>
  </si>
  <si>
    <t>C:\Users\franc\OneDrive\Documentos\MALENTIN KARIME\FACTORONE\CERTIFICO.doc</t>
  </si>
  <si>
    <t>C:\Users\franc\OneDrive\Documentos\MALENTIN KARIME\FACTORONE\Autorizo la firma.doc</t>
  </si>
  <si>
    <t>C:\Users\franc\OneDrive\Documentos\MALENTIN KARIME\FACTORONE\Autorizo la firma personeria.doc</t>
  </si>
  <si>
    <t>C:\Users\franc\OneDrive\Documentos\MALENTIN KARIME\FACTORONE\ANA MALUENDA LEDEZMA.doc</t>
  </si>
  <si>
    <t>C:\Users\franc\OneDrive\Documentos\MALENTIN KARIME\FACTORONE\ANA AGUILERA SALAZAR Julio 2013.doc</t>
  </si>
  <si>
    <t>C:\Users\franc\OneDrive\Documentos\MALENTIN KARIME\FACTORONE\ALEX BRICEÑO LORCA Septbre 13.doc</t>
  </si>
  <si>
    <t>C:\Users\franc\OneDrive\Documentos\MALENTIN KARIME\FACTORONE\ALEX BRICEÑO LORCA Octubre 13.doc</t>
  </si>
  <si>
    <t>C:\Users\franc\OneDrive\Documentos\MALENTIN KARIME\FACTORONE\ALEJANDRO PINILLA Alz Prenda.doc</t>
  </si>
  <si>
    <t>C:\Users\franc\OneDrive\Documentos\MALENTIN KARIME\FACTORONE\ALEJANDRO ALVAREZ BARAHONA.doc</t>
  </si>
  <si>
    <t>C:\Users\franc\OneDrive\Documentos\MALENTIN KARIME\EUGENIO SAN ROMAN\COMUNIDAD AGRICOLA SALALA A EUGENIO SAN ROMAN COURBIS.doc</t>
  </si>
  <si>
    <t>C:\Users\franc\OneDrive\Documentos\MALENTIN KARIME\EUGENIO RIVAS GALLEGUILLOS\MALVA GAHONA Y Rosa Puelles y otros minuta.doc</t>
  </si>
  <si>
    <t>C:\Users\franc\OneDrive\Documentos\MALENTIN KARIME\ESTUDIO S y R\2016\LUISA ARAYA Y luis gahona.doc</t>
  </si>
  <si>
    <t>C:\Users\franc\OneDrive\Documentos\MALENTIN KARIME\ESTUDIO S y R\2015\LEONEL PERALTA Y ADA OLIVARESSeparación y Liquidación II.doc</t>
  </si>
  <si>
    <t>C:\Users\franc\OneDrive\Documentos\MALENTIN KARIME\ESTUDIO S y R\2015\CRISTIAN BRAVO Cuidado personal.doc</t>
  </si>
  <si>
    <t>C:\Users\franc\OneDrive\Documentos\MALENTIN KARIME\ESTUDIO S y R\WALDO GUERRERO A MARINA AGUILERA.doc</t>
  </si>
  <si>
    <t>C:\Users\franc\OneDrive\Documentos\MALENTIN KARIME\ESTUDIO S y R\SOCIEDAD AGRICOLA SANTA TERESA Ltda..doc</t>
  </si>
  <si>
    <t>C:\Users\franc\OneDrive\Documentos\MALENTIN KARIME\ESTUDIO S y R\REYNALDO RETAMAL A SANDRA YAÑEZ.doc</t>
  </si>
  <si>
    <t>C:\Users\franc\OneDrive\Documentos\MALENTIN KARIME\ESTUDIO S y R\RENE ESPINOZA RAMIREZ A Gabriel R Minuta.doc</t>
  </si>
  <si>
    <t>C:\Users\franc\OneDrive\Documentos\MALENTIN KARIME\ESTUDIO S y R\MARY RIVERA A SOCIEDAD CORDERO.doc</t>
  </si>
  <si>
    <t>C:\Users\franc\OneDrive\Documentos\MALENTIN KARIME\ESTUDIO S y R\MARIA PIZARRO A JUAN PIZARRO.doc</t>
  </si>
  <si>
    <t>C:\Users\franc\OneDrive\Documentos\MALENTIN KARIME\ESTUDIO S y R\MARIA PIZARRO A JUAN PIZARRO Escritura.doc</t>
  </si>
  <si>
    <t>C:\Users\franc\OneDrive\Documentos\MALENTIN KARIME\ESTUDIO S y R\LUIS CLODOMIRO ARAYA ROJAS.doc</t>
  </si>
  <si>
    <t>C:\Users\franc\OneDrive\Documentos\MALENTIN KARIME\ESTUDIO S y R\LUCINDA ARAYA TELLO A INGRID CORTES.doc</t>
  </si>
  <si>
    <t>C:\Users\franc\OneDrive\Documentos\MALENTIN KARIME\ESTUDIO S y R\LEONEL PERALTA Y ADA OLIVARESSeparación y Liquidación II.doc</t>
  </si>
  <si>
    <t>C:\Users\franc\OneDrive\Documentos\MALENTIN KARIME\ESTUDIO S y R\JUAN BRAVO CALDERON Cuidado P.doc</t>
  </si>
  <si>
    <t>C:\Users\franc\OneDrive\Documentos\MALENTIN KARIME\ESTUDIO S y R\HORACIO LISERA RODRIGUEZ A ANA BAUDILLIA CASTILLO Adjudicacion.doc</t>
  </si>
  <si>
    <t>C:\Users\franc\OneDrive\Documentos\MALENTIN KARIME\ESTUDIO S y R\GOURMET TORO Y CARMONA LIMITADA.doc</t>
  </si>
  <si>
    <t>C:\Users\franc\OneDrive\Documentos\MALENTIN KARIME\ESTUDIO S y R\GABRIEL RODRIGUEZ Inventario Otto.doc</t>
  </si>
  <si>
    <t>C:\Users\franc\OneDrive\Documentos\MALENTIN KARIME\ESTUDIO S y R\GABRIEL RODRIGUEZ Inventario Nolasco.doc</t>
  </si>
  <si>
    <t>C:\Users\franc\OneDrive\Documentos\MALENTIN KARIME\ESTUDIO S y R\GABRIEL RODRIGUEZ Inventario Cirilo.doc</t>
  </si>
  <si>
    <t>C:\Users\franc\OneDrive\Documentos\MALENTIN KARIME\ESTUDIO S y R\EXTRACTO TORO Y CARMONA LIMITADA.doc</t>
  </si>
  <si>
    <t>C:\Users\franc\OneDrive\Documentos\MALENTIN KARIME\ESTUDIO S y R\EXTRACTO SOCIEDAD CORDERO Y VEGA LTDA.doc</t>
  </si>
  <si>
    <t>C:\Users\franc\OneDrive\Documentos\MALENTIN KARIME\ESTUDIO S y R\EXTRACTO MUEBLES LAR EIRL.doc</t>
  </si>
  <si>
    <t>C:\Users\franc\OneDrive\Documentos\MALENTIN KARIME\ESTUDIO S y R\EXTRACTO Buenaventura Ltda..doc</t>
  </si>
  <si>
    <t>C:\Users\franc\OneDrive\Documentos\MALENTIN KARIME\ESTUDIO S y R\EVA PEREIRA VEGA A SANDRA PEREIRA TAPIA.doc</t>
  </si>
  <si>
    <t>C:\Users\franc\OneDrive\Documentos\MALENTIN KARIME\ESTUDIO S y R\ESCRITURA MUEBLES LAR EIRL.doc</t>
  </si>
  <si>
    <t>C:\Users\franc\OneDrive\Documentos\MALENTIN KARIME\ESTUDIO S y R\EL MALL DEL AUTOMOVIL.doc</t>
  </si>
  <si>
    <t>C:\Users\franc\OneDrive\Documentos\MALENTIN KARIME\ESTUDIO S y R\DORIS PEREZ, mandato judicial divorcio.doc</t>
  </si>
  <si>
    <t>C:\Users\franc\OneDrive\Documentos\MALENTIN KARIME\ESTUDIO S y R\Carolina Alvarado Rectificacion.doc</t>
  </si>
  <si>
    <t>C:\Users\franc\OneDrive\Documentos\MALENTIN KARIME\ESTUDIO S y R\Carolina Alvarado Alvarado cvta.doc</t>
  </si>
  <si>
    <t>C:\Users\franc\OneDrive\Documentos\MALENTIN KARIME\ESTUDIO S y R\ANA BAUDILIA CASTILLO Adjudicacion Abril.doc</t>
  </si>
  <si>
    <t>C:\Users\franc\OneDrive\Documentos\MALENTIN KARIME\E.I.R.L\2015\GARY ASTUDILLO C. Araya.doc</t>
  </si>
  <si>
    <t>C:\Users\franc\OneDrive\Documentos\MALENTIN KARIME\E.I.R.L\2015\GARY ASTUDILLO C. Araya NUEVA.doc</t>
  </si>
  <si>
    <t>C:\Users\franc\OneDrive\Documentos\MALENTIN KARIME\E.I.R.L\2015\EDUARDO FLORES ARAYA e.i.r.l..doc</t>
  </si>
  <si>
    <t>C:\Users\franc\OneDrive\Documentos\MALENTIN KARIME\E.I.R.L\PATRICIA ARAYA PIZARRO.doc</t>
  </si>
  <si>
    <t>C:\Users\franc\OneDrive\Documentos\MALENTIN KARIME\E.I.R.L\PATRICIA ARAYA Extracto.doc</t>
  </si>
  <si>
    <t>C:\Users\franc\OneDrive\Documentos\MALENTIN KARIME\E.I.R.L\MARISA ALVAREZ CHANDIA eirl.doc</t>
  </si>
  <si>
    <t>C:\Users\franc\OneDrive\Documentos\MALENTIN KARIME\E.I.R.L\LARRAIN HUNEEUS Extracto.doc</t>
  </si>
  <si>
    <t>C:\Users\franc\OneDrive\Documentos\MALENTIN KARIME\E.I.R.L\LARRAIN HUNEEUS E.I.R.L.doc</t>
  </si>
  <si>
    <t>C:\Users\franc\OneDrive\Documentos\MALENTIN KARIME\E.I.R.L\JAIME GARCIA GALLEGUILLOS Extracto.doc</t>
  </si>
  <si>
    <t>C:\Users\franc\OneDrive\Documentos\MALENTIN KARIME\E.I.R.L\JAIME GARCIA GALLEGUILLOS E.I.R.L.doc</t>
  </si>
  <si>
    <t>C:\Users\franc\OneDrive\Documentos\MALENTIN KARIME\E.I.R.L\GLORIA CASTRO LAZCANO.doc</t>
  </si>
  <si>
    <t>C:\Users\franc\OneDrive\Documentos\MALENTIN KARIME\E.I.R.L\GABRIELA DICCTER.doc</t>
  </si>
  <si>
    <t>C:\Users\franc\OneDrive\Documentos\MALENTIN KARIME\E.I.R.L\GABRIELA DICCTER Extracto.doc</t>
  </si>
  <si>
    <t>C:\Users\franc\OneDrive\Documentos\MALENTIN KARIME\E.I.R.L\FUENTE DE SODA MARISA Extracto.doc</t>
  </si>
  <si>
    <t>C:\Users\franc\OneDrive\Documentos\MALENTIN KARIME\E.I.R.L\FELIPE TELLO GALLARDO.doc</t>
  </si>
  <si>
    <t>C:\Users\franc\OneDrive\Documentos\MALENTIN KARIME\E.I.R.L\FELIPE TELLO GALLARDO Extracto.doc</t>
  </si>
  <si>
    <t>C:\Users\franc\OneDrive\Documentos\MALENTIN KARIME\E.I.R.L\Extracto FELIPE.doc</t>
  </si>
  <si>
    <t>C:\Users\franc\OneDrive\Documentos\MALENTIN KARIME\E.I.R.L\Extracto Comercial Julian Galleguillos E.I.R.L..doc</t>
  </si>
  <si>
    <t>C:\Users\franc\OneDrive\Documentos\MALENTIN KARIME\E.I.R.L\Extracto Comercial e Inversiones Miranda E.I.R.L..doc</t>
  </si>
  <si>
    <t>C:\Users\franc\OneDrive\Documentos\MALENTIN KARIME\E.I.R.L\EDUARDO GODOY Extracto.doc</t>
  </si>
  <si>
    <t>C:\Users\franc\OneDrive\Documentos\MALENTIN KARIME\E.I.R.L\E  X  T  R  A  C  T  O Gloria Castro.doc</t>
  </si>
  <si>
    <t>C:\Users\franc\OneDrive\Documentos\MALENTIN KARIME\E.I.R.L\COMERCIAL modelo.doc</t>
  </si>
  <si>
    <t>C:\Users\franc\OneDrive\Documentos\MALENTIN KARIME\E.I.R.L\COMERCIAL JUAN CARLOS MEDALLA.doc</t>
  </si>
  <si>
    <t>C:\Users\franc\OneDrive\Documentos\MALENTIN KARIME\E.I.R.L\COMERCIAL JUAN C FLORES MExtracto.doc</t>
  </si>
  <si>
    <t>C:\Users\franc\OneDrive\Documentos\MALENTIN KARIME\E.I.R.L\CESAR CARVAJAL TORRES EIRL.doc</t>
  </si>
  <si>
    <t>C:\Users\franc\OneDrive\Documentos\MALENTIN KARIME\E.I.R.L\BAR CAFE E.I.R.L,.doc</t>
  </si>
  <si>
    <t>C:\Users\franc\OneDrive\Documentos\MALENTIN KARIME\E.I.R.L\AMELIA MRANDA ROJAS E.I.R.L.doc</t>
  </si>
  <si>
    <t>C:\Users\franc\OneDrive\Documentos\MALENTIN KARIME\E.I.R.L\ALFONSO JULIAN COMERCIAL E.I.RL..doc</t>
  </si>
  <si>
    <t>C:\Users\franc\OneDrive\Documentos\MALENTIN KARIME\E.I.R.L\AGROTRANS GUERRERO.doc</t>
  </si>
  <si>
    <t>C:\Users\franc\OneDrive\Documentos\MALENTIN KARIME\E.I.R.L\AGROTRANS GUERRERO VERSION CORREJIDA Extracto.doc</t>
  </si>
  <si>
    <t>C:\Users\franc\OneDrive\Documentos\MALENTIN KARIME\E.I.R.L\AGROTRANS GUERRERO Extracto.doc</t>
  </si>
  <si>
    <t>C:\Users\franc\OneDrive\Documentos\MALENTIN KARIME\DOCUMENTOS SIMPLES\los nisñiles CGE.doc</t>
  </si>
  <si>
    <t>C:\Users\franc\OneDrive\Documentos\MALENTIN KARIME\DOBLE M\REGLAMENTO.doc</t>
  </si>
  <si>
    <t>C:\Users\franc\OneDrive\Documentos\MALENTIN KARIME\DOBLE M\REGLAMENTO CO PROPIEDAD Junio 2011.doc</t>
  </si>
  <si>
    <t>C:\Users\franc\OneDrive\Documentos\MALENTIN KARIME\DOBLE M\REDUCCION ACTA  30 ABRIL 11.doc</t>
  </si>
  <si>
    <t>C:\Users\franc\OneDrive\Documentos\MALENTIN KARIME\DOBLE M\OSVALDO GONZALEZ Cibergestion.doc</t>
  </si>
  <si>
    <t>C:\Users\franc\OneDrive\Documentos\MALENTIN KARIME\DOBLE M\MODIFICACION REGLAMENTO DE COPROPIEDAD.doc</t>
  </si>
  <si>
    <t>C:\Users\franc\OneDrive\Documentos\MALENTIN KARIME\DOBLE M\MANUEL VALENCIA JOFRE Promesa.doc</t>
  </si>
  <si>
    <t>C:\Users\franc\OneDrive\Documentos\MALENTIN KARIME\DOBLE M\ISABEL ARAYA MORALES Promesa.doc</t>
  </si>
  <si>
    <t>C:\Users\franc\OneDrive\Documentos\MALENTIN KARIME\DOBLE M\INSTRUCCIONES Daysi Godoy.doc</t>
  </si>
  <si>
    <t>C:\Users\franc\OneDrive\Documentos\MALENTIN KARIME\DOBLE M\DEYSI GODOY con DOBLE M.doc</t>
  </si>
  <si>
    <t>C:\Users\franc\OneDrive\Documentos\MALENTIN KARIME\DOBLE M\CVTA PARTICULAR OJO I.ETAPA.doc</t>
  </si>
  <si>
    <t>C:\Users\franc\OneDrive\Documentos\MALENTIN KARIME\DOBLE M\ACTA.doc</t>
  </si>
  <si>
    <t>C:\Users\franc\OneDrive\Documentos\MALENTIN KARIME\DOBLE M\ACTA reduccion.doc</t>
  </si>
  <si>
    <t>C:\Users\franc\OneDrive\Documentos\MALENTIN KARIME\DGA\RESOLUCION Nº 669.doc</t>
  </si>
  <si>
    <t>C:\Users\franc\OneDrive\Documentos\MALENTIN KARIME\DGA\RESOLUCION N° 479 y rectificacion.doc</t>
  </si>
  <si>
    <t>C:\Users\franc\OneDrive\Documentos\MALENTIN KARIME\DGA\RESOLUCION N° 478 y rectificacion.doc</t>
  </si>
  <si>
    <t>C:\Users\franc\OneDrive\Documentos\MALENTIN KARIME\DGA\RESOL 495.doc</t>
  </si>
  <si>
    <t>C:\Users\franc\OneDrive\Documentos\MALENTIN KARIME\DGA\RESOL 2728.doc</t>
  </si>
  <si>
    <t>C:\Users\franc\OneDrive\Documentos\MALENTIN KARIME\DGA\DGA Nombramiento Abril 2021.doc</t>
  </si>
  <si>
    <t>C:\Users\franc\OneDrive\Documentos\MALENTIN KARIME\DGA\ARNOLDO BUGUEÑO CISTERNA.doc</t>
  </si>
  <si>
    <t>C:\Users\franc\OneDrive\Documentos\MALENTIN KARIME\DGA\ARNOLDO BUGUEÑO CISTERNA 2.doc</t>
  </si>
  <si>
    <t>C:\Users\franc\OneDrive\Documentos\MALENTIN KARIME\DERECHOS\PEDRO CAMPUSANO A PEDRO CAMPUSANO ALVARADO.doc</t>
  </si>
  <si>
    <t>C:\Users\franc\OneDrive\Documentos\MALENTIN KARIME\DERECHOS\ELIANA PIZARRO A CARLOS ALQUINTA.doc</t>
  </si>
  <si>
    <t>C:\Users\franc\OneDrive\Documentos\MALENTIN KARIME\DERECHO USO\2018\SYLVIA FLORES A Deysi Rivera D USO.doc</t>
  </si>
  <si>
    <t>C:\Users\franc\OneDrive\Documentos\MALENTIN KARIME\DERECHO USO\2017\ANTONIO ARAYA A Eduardo Araya.doc</t>
  </si>
  <si>
    <t>C:\Users\franc\OneDrive\Documentos\MALENTIN KARIME\DERECHO USO\2017\ANA ARAYA RAMIREZ.doc</t>
  </si>
  <si>
    <t>C:\Users\franc\OneDrive\Documentos\MALENTIN KARIME\DERECHO USO\2017\AMERICA ARAYA HIDALGO A ANGELICA HIDALGO Alcones.doc</t>
  </si>
  <si>
    <t>C:\Users\franc\OneDrive\Documentos\MALENTIN KARIME\DERECHO USO\2016\JULIO MALUENDA GUARDIA A Alexis Villalobos Cdad Punitaqui.doc</t>
  </si>
  <si>
    <t>C:\Users\franc\OneDrive\Documentos\MALENTIN KARIME\DERECHO USO\2016\JANDRY CASTILLO A Pascual Castillo.doc</t>
  </si>
  <si>
    <t>C:\Users\franc\OneDrive\Documentos\MALENTIN KARIME\DERECHO USO\2016\JANDRY CASTILLO A MARIA CASTILLO.doc</t>
  </si>
  <si>
    <t>C:\Users\franc\OneDrive\Documentos\MALENTIN KARIME\DERECHO USO\2016\GABRIELA ARAYA VEGA A Angela Contreras.doc</t>
  </si>
  <si>
    <t>C:\Users\franc\OneDrive\Documentos\MALENTIN KARIME\DERECHO USO\VIVIANA VELASQUEZdec.jurada derecho real de uso.doc</t>
  </si>
  <si>
    <t>C:\Users\franc\OneDrive\Documentos\MALENTIN KARIME\DERECHO USO\VICTOR CORTES A MELIDA ALFARO.doc</t>
  </si>
  <si>
    <t>C:\Users\franc\OneDrive\Documentos\MALENTIN KARIME\DERECHO USO\VICTOR CORTES A MARIA CORTES.doc</t>
  </si>
  <si>
    <t>C:\Users\franc\OneDrive\Documentos\MALENTIN KARIME\DERECHO USO\Tomás Elgueta Pizarro a Laura Elgueta.doc</t>
  </si>
  <si>
    <t>C:\Users\franc\OneDrive\Documentos\MALENTIN KARIME\DERECHO USO\SOFIA HIDALGO A Candia Lopez ALCONES.doc</t>
  </si>
  <si>
    <t>C:\Users\franc\OneDrive\Documentos\MALENTIN KARIME\DERECHO USO\SILVIA ALFARO GÓMEZ A NATALIA ROJAS CDAD PUNITAQUI.doc</t>
  </si>
  <si>
    <t>C:\Users\franc\OneDrive\Documentos\MALENTIN KARIME\DERECHO USO\SILENA AGUIRRE A EDUARDO ALVAREZ.doc</t>
  </si>
  <si>
    <t>C:\Users\franc\OneDrive\Documentos\MALENTIN KARIME\DERECHO USO\PASCUALA REINOSO a José Carrillo.doc</t>
  </si>
  <si>
    <t>C:\Users\franc\OneDrive\Documentos\MALENTIN KARIME\DERECHO USO\OVIDIO CONTRERAS A Verónica Contreras.doc</t>
  </si>
  <si>
    <t>C:\Users\franc\OneDrive\Documentos\MALENTIN KARIME\DERECHO USO\LUZ PASTEN OLIVARES A CLAUDIO ANGEL.doc</t>
  </si>
  <si>
    <t>C:\Users\franc\OneDrive\Documentos\MALENTIN KARIME\DERECHO USO\LUIS ARAYA ZEPEDA A Ricardo Araya Cdad Punitaqui.doc</t>
  </si>
  <si>
    <t>C:\Users\franc\OneDrive\Documentos\MALENTIN KARIME\DERECHO USO\JULIO MALUENDA GUARDIA A Alexis Villalobos Cdad Punitaqui.doc</t>
  </si>
  <si>
    <t>C:\Users\franc\OneDrive\Documentos\MALENTIN KARIME\DERECHO USO\JORGE CASTILLO OROS Cdad..doc</t>
  </si>
  <si>
    <t>C:\Users\franc\OneDrive\Documentos\MALENTIN KARIME\DERECHO USO\HERIBERTO TIRADO A GABRIELA DEL ARMEN Tirado.doc</t>
  </si>
  <si>
    <t>C:\Users\franc\OneDrive\Documentos\MALENTIN KARIME\DERECHO USO\HERIBERTO TIRADO A Ana Tirado.doc</t>
  </si>
  <si>
    <t>C:\Users\franc\OneDrive\Documentos\MALENTIN KARIME\DERECHO USO\HERIBERTO TIRADO A Ana Tirado complementa.doc</t>
  </si>
  <si>
    <t>C:\Users\franc\OneDrive\Documentos\MALENTIN KARIME\DERECHO USO\FRANCISCO ANDRADE CORTES A JUANA CORTES COLLOA.doc</t>
  </si>
  <si>
    <t>C:\Users\franc\OneDrive\Documentos\MALENTIN KARIME\DERECHO USO\DERECHO REAL DE USO.doc</t>
  </si>
  <si>
    <t>C:\Users\franc\OneDrive\Documentos\MALENTIN KARIME\DERECHO USO\dec.jurada derecho real de uso.doc</t>
  </si>
  <si>
    <t>C:\Users\franc\OneDrive\Documentos\MALENTIN KARIME\DERECHO USO\CLEMENTE SEGOVIA A ALEJANDRO SEGOVIA Cdad Punitaqui.doc</t>
  </si>
  <si>
    <t>C:\Users\franc\OneDrive\Documentos\MALENTIN KARIME\DERECHO USO\CAROLA ARAYA A NARDA ARAYA.doc</t>
  </si>
  <si>
    <t>C:\Users\franc\OneDrive\Documentos\MALENTIN KARIME\DERECHO USO\ANA PIZARRO CASTRO.doc</t>
  </si>
  <si>
    <t>C:\Users\franc\OneDrive\Documentos\MALENTIN KARIME\DERECHO USO\AMANDA ARAYA MUÑOZ comunidad.doc</t>
  </si>
  <si>
    <t>C:\Users\franc\OneDrive\Documentos\MALENTIN KARIME\DERECHO USO\alexis villalobos.doc</t>
  </si>
  <si>
    <t>C:\Users\franc\OneDrive\Documentos\MALENTIN KARIME\DERECHO USO\AGAPITO DAMAS A SU HNA. ALCONES.doc Ana L.doc</t>
  </si>
  <si>
    <t>C:\Users\franc\OneDrive\Documentos\MALENTIN KARIME\declaracion drogas\VICTOR BARRIOS.doc</t>
  </si>
  <si>
    <t>C:\Users\franc\OneDrive\Documentos\MALENTIN KARIME\declaracion drogas\SILVIA PIZARRO drogas.doc</t>
  </si>
  <si>
    <t>C:\Users\franc\OneDrive\Documentos\MALENTIN KARIME\declaracion drogas\PATRICIO JORQUERA drogas.doc</t>
  </si>
  <si>
    <t>C:\Users\franc\OneDrive\Documentos\MALENTIN KARIME\declaracion drogas\PAOLA AGUILERA  G. drogas.doc</t>
  </si>
  <si>
    <t>C:\Users\franc\OneDrive\Documentos\MALENTIN KARIME\declaracion drogas\MARCO CONTADOR. drogas.doc</t>
  </si>
  <si>
    <t>C:\Users\franc\OneDrive\Documentos\MALENTIN KARIME\declaracion drogas\LUIS MUÑOZ CAAMAÑO patrimonio.doc</t>
  </si>
  <si>
    <t>C:\Users\franc\OneDrive\Documentos\MALENTIN KARIME\declaracion drogas\LUIS MUÑOZ CAAMAÑO intereses.doc</t>
  </si>
  <si>
    <t>C:\Users\franc\OneDrive\Documentos\MALENTIN KARIME\declaracion drogas\LUIS MUÑOZ CAAMAÑO drogas.doc</t>
  </si>
  <si>
    <t>C:\Users\franc\OneDrive\Documentos\MALENTIN KARIME\declaracion drogas\HORACIO ANDRADE AGUILANTE drogas.doc</t>
  </si>
  <si>
    <t>C:\Users\franc\OneDrive\Documentos\MALENTIN KARIME\declaracion drogas\GONZALO PASTEN VILLARROELdrogas.doc</t>
  </si>
  <si>
    <t>C:\Users\franc\OneDrive\Documentos\MALENTIN KARIME\declaracion drogas\FRANCISCO ACUÑA drogas.doc</t>
  </si>
  <si>
    <t>C:\Users\franc\OneDrive\Documentos\MALENTIN KARIME\declaracion drogas\Firma magistrados.doc</t>
  </si>
  <si>
    <t>C:\Users\franc\OneDrive\Documentos\MALENTIN KARIME\declaracion drogas\CLAUDIO QUEVEDO. drogas.doc</t>
  </si>
  <si>
    <t>C:\Users\franc\OneDrive\Documentos\MALENTIN KARIME\declaracion drogas\CAROLA ARACENA G. drogas.doc</t>
  </si>
  <si>
    <t>C:\Users\franc\OneDrive\Documentos\MALENTIN KARIME\declaracion drogas\CARMEN CORTES INFANTE drogas.doc</t>
  </si>
  <si>
    <t>C:\Users\franc\OneDrive\Documentos\MALENTIN KARIME\cvta protocolizadas\minutas\ANILDA DEBIA Rodrigo.doc</t>
  </si>
  <si>
    <t>C:\Users\franc\OneDrive\Documentos\MALENTIN KARIME\cvta protocolizadas\2014\YURI ZUÑIGA GARMENDIA.doc</t>
  </si>
  <si>
    <t>C:\Users\franc\OneDrive\Documentos\MALENTIN KARIME\cvta protocolizadas\2014\YOLANDA CORTES CORTES.doc</t>
  </si>
  <si>
    <t>C:\Users\franc\OneDrive\Documentos\MALENTIN KARIME\cvta protocolizadas\2014\VALESKA AGUILERA GARAYA a JUANA PIZARRO PASTÉN  (OVALLE-soltera) OCTUBRE  2014.doc</t>
  </si>
  <si>
    <t>C:\Users\franc\OneDrive\Documentos\MALENTIN KARIME\cvta protocolizadas\2014\SAMUEL SILVA VERGARA.doc</t>
  </si>
  <si>
    <t>C:\Users\franc\OneDrive\Documentos\MALENTIN KARIME\cvta protocolizadas\2014\ROSA TAPIA ROJAS A BIANCA MIRANDA Julio 14.doc</t>
  </si>
  <si>
    <t>C:\Users\franc\OneDrive\Documentos\MALENTIN KARIME\cvta protocolizadas\2014\RAQUEL PEREZ PIZARRO a LIDIA GUERRERO GUERRERO  (OVALLE-soltera) JULIO 2014.doc</t>
  </si>
  <si>
    <t>C:\Users\franc\OneDrive\Documentos\MALENTIN KARIME\cvta protocolizadas\2014\PEDRO RUILOVA MALUENDA a SAMUEL SILVA VERGARA (OVALLE-soltero) SEPTIEMBRE 2014.doc</t>
  </si>
  <si>
    <t>C:\Users\franc\OneDrive\Documentos\MALENTIN KARIME\cvta protocolizadas\2014\PAOLA CONTRERAS  Rodrigo.doc</t>
  </si>
  <si>
    <t>C:\Users\franc\OneDrive\Documentos\MALENTIN KARIME\cvta protocolizadas\2014\MONICA RAQUEL CISTERNAS GARCIA a JORGE LEDEZMA ARAYA  (OVALLE-soltera) SEPTIEMBRE 2014.doc</t>
  </si>
  <si>
    <t>C:\Users\franc\OneDrive\Documentos\MALENTIN KARIME\cvta protocolizadas\2014\MONICA BARLARO Rodrigo.doc</t>
  </si>
  <si>
    <t>C:\Users\franc\OneDrive\Documentos\MALENTIN KARIME\cvta protocolizadas\2014\modelo.doc</t>
  </si>
  <si>
    <t>C:\Users\franc\OneDrive\Documentos\MALENTIN KARIME\cvta protocolizadas\2014\MIGUEL ZUÑIGA CONTRERAS.doc</t>
  </si>
  <si>
    <t>C:\Users\franc\OneDrive\Documentos\MALENTIN KARIME\cvta protocolizadas\2014\MIGUEL ZUÑIGA CONTRERAS para abogado.doc</t>
  </si>
  <si>
    <t>C:\Users\franc\OneDrive\Documentos\MALENTIN KARIME\cvta protocolizadas\2014\MERCEDES BUGUEÑO Suplencia.doc</t>
  </si>
  <si>
    <t>C:\Users\franc\OneDrive\Documentos\MALENTIN KARIME\cvta protocolizadas\2014\MANUELA VICENCIO  Rodrigo.doc</t>
  </si>
  <si>
    <t>C:\Users\franc\OneDrive\Documentos\MALENTIN KARIME\cvta protocolizadas\2014\MANUEL ROBLES SOLAR a JOVA MATURANA CERDA  (COQUIMBO-casado)  AGOSTO 2014.doc</t>
  </si>
  <si>
    <t>C:\Users\franc\OneDrive\Documentos\MALENTIN KARIME\cvta protocolizadas\2014\MACARENA CASTILLO Suplen.doc</t>
  </si>
  <si>
    <t>C:\Users\franc\OneDrive\Documentos\MALENTIN KARIME\cvta protocolizadas\2014\LUCIA MONDACA CORTES a MIGUEL ZUÑIGA CONTRERAS (OVALLE-soltera) SEPTIEMBRE 2014.doc</t>
  </si>
  <si>
    <t>C:\Users\franc\OneDrive\Documentos\MALENTIN KARIME\cvta protocolizadas\2014\LIDIA GUERRERO Rodrigo.doc</t>
  </si>
  <si>
    <t>C:\Users\franc\OneDrive\Documentos\MALENTIN KARIME\cvta protocolizadas\2014\JUANA PIZARRO MARIN.doc</t>
  </si>
  <si>
    <t>C:\Users\franc\OneDrive\Documentos\MALENTIN KARIME\cvta protocolizadas\2014\JOVA MATURANA.doc</t>
  </si>
  <si>
    <t>C:\Users\franc\OneDrive\Documentos\MALENTIN KARIME\cvta protocolizadas\2014\JORGE LEDEZMA ARAYA.doc</t>
  </si>
  <si>
    <t>C:\Users\franc\OneDrive\Documentos\MALENTIN KARIME\cvta protocolizadas\2014\HORACIO GODOY A MERCEDES BUGUEÑO.doc</t>
  </si>
  <si>
    <t>C:\Users\franc\OneDrive\Documentos\MALENTIN KARIME\cvta protocolizadas\2014\HADA DE LAS MERCEDES ARAYA a MACARENA CASTILLO GARRAU Jul 14.doc</t>
  </si>
  <si>
    <t>C:\Users\franc\OneDrive\Documentos\MALENTIN KARIME\cvta protocolizadas\2014\GUILLERMINA CERDA LOPEZ a YURI ZUÑIGA GARENDIA  (OVALLE-soltera) OCTUBRE  2014.doc</t>
  </si>
  <si>
    <t>C:\Users\franc\OneDrive\Documentos\MALENTIN KARIME\cvta protocolizadas\2014\GISSELLA ROJAS.doc</t>
  </si>
  <si>
    <t>C:\Users\franc\OneDrive\Documentos\MALENTIN KARIME\cvta protocolizadas\2014\GISSELA ROJAS.doc</t>
  </si>
  <si>
    <t>C:\Users\franc\OneDrive\Documentos\MALENTIN KARIME\cvta protocolizadas\2014\FANTINA OLIVARES VALDIVIA a MANUELA VICENCIO VICENCIO  (OVALLE-soltera) SEPTIEMBRE 2014.doc</t>
  </si>
  <si>
    <t>C:\Users\franc\OneDrive\Documentos\MALENTIN KARIME\cvta protocolizadas\2014\ESMIR DE LA CRUZ OLIVARES VICENCIO Y OTROS a YOLANDA CORTES CORTES  (OVALLE-herencia).doc</t>
  </si>
  <si>
    <t>C:\Users\franc\OneDrive\Documentos\MALENTIN KARIME\cvta protocolizadas\2014\DECLARACION JURADA parentesco.doc</t>
  </si>
  <si>
    <t>C:\Users\franc\OneDrive\Documentos\MALENTIN KARIME\cvta protocolizadas\2014\CLAUDIO ANTONIO ARAYA RODRIGUEZ a MONICA BARLARO VILLEGAS  (OVALLE- soltero).doc</t>
  </si>
  <si>
    <t>C:\Users\franc\OneDrive\Documentos\MALENTIN KARIME\cvta protocolizadas\2014\CECILIA BARRAZA  Rodrigo.doc</t>
  </si>
  <si>
    <t>C:\Users\franc\OneDrive\Documentos\MALENTIN KARIME\cvta protocolizadas\2014\CARMEN CASTRO ROBLES a PAOLA CONTRERAS ROJAS  (OVALLE-soltera) OCTUBRE  2014.doc</t>
  </si>
  <si>
    <t>C:\Users\franc\OneDrive\Documentos\MALENTIN KARIME\cvta protocolizadas\2014\BIANCA MIRANDA  Rodrigo.doc</t>
  </si>
  <si>
    <t>C:\Users\franc\OneDrive\Documentos\MALENTIN KARIME\cvta protocolizadas\2014\ANGEL CUSTODIO ESPINOZA a CECILIA BARRAZA BARRAZA  (OVALLE-CASADO) JUNIO 2014-1.doc</t>
  </si>
  <si>
    <t>C:\Users\franc\OneDrive\Documentos\MALENTIN KARIME\cvta protocolizadas\2014\ALEJANDRINA ANDRADE.doc</t>
  </si>
  <si>
    <t>C:\Users\franc\OneDrive\Documentos\MALENTIN KARIME\cvta protocolizadas\YERKA ORTIZ.doc</t>
  </si>
  <si>
    <t>C:\Users\franc\OneDrive\Documentos\MALENTIN KARIME\cvta protocolizadas\YENNY ORREGO CASTILLO.doc</t>
  </si>
  <si>
    <t>C:\Users\franc\OneDrive\Documentos\MALENTIN KARIME\cvta protocolizadas\YARTIZA BARRIENTOS Andrea.doc</t>
  </si>
  <si>
    <t>C:\Users\franc\OneDrive\Documentos\MALENTIN KARIME\cvta protocolizadas\WALDEMAR AGUIRRE.doc</t>
  </si>
  <si>
    <t>C:\Users\franc\OneDrive\Documentos\MALENTIN KARIME\cvta protocolizadas\VITAL PASTEN PASTEN a VERONICA ARAYA ALVAREZ (Ovalle).doc</t>
  </si>
  <si>
    <t>C:\Users\franc\OneDrive\Documentos\MALENTIN KARIME\cvta protocolizadas\VERONICA ARAYA.doc</t>
  </si>
  <si>
    <t>C:\Users\franc\OneDrive\Documentos\MALENTIN KARIME\cvta protocolizadas\SONIA VASQUEZ ROJAS a ANGELICA MUNDACA JOFRE (Ovalle).doc</t>
  </si>
  <si>
    <t>C:\Users\franc\OneDrive\Documentos\MALENTIN KARIME\cvta protocolizadas\SONIA JOFRE Rodrigo.doc</t>
  </si>
  <si>
    <t>C:\Users\franc\OneDrive\Documentos\MALENTIN KARIME\cvta protocolizadas\SOFIA VELIZ Patty.doc</t>
  </si>
  <si>
    <t>C:\Users\franc\OneDrive\Documentos\MALENTIN KARIME\cvta protocolizadas\ROSA AMINTA MUÑOZ.doc</t>
  </si>
  <si>
    <t>C:\Users\franc\OneDrive\Documentos\MALENTIN KARIME\cvta protocolizadas\RICARDO CORTES VIDELA.doc</t>
  </si>
  <si>
    <t>C:\Users\franc\OneDrive\Documentos\MALENTIN KARIME\cvta protocolizadas\PERLA ARAYA Suplen.doc</t>
  </si>
  <si>
    <t>C:\Users\franc\OneDrive\Documentos\MALENTIN KARIME\cvta protocolizadas\PAOLA VICUÑA Suplen.doc</t>
  </si>
  <si>
    <t>C:\Users\franc\OneDrive\Documentos\MALENTIN KARIME\cvta protocolizadas\PAOLA CASTRO BONILLA.doc</t>
  </si>
  <si>
    <t>C:\Users\franc\OneDrive\Documentos\MALENTIN KARIME\cvta protocolizadas\oriana villarroel.doc</t>
  </si>
  <si>
    <t>C:\Users\franc\OneDrive\Documentos\MALENTIN KARIME\cvta protocolizadas\NISENKAREN SANCHEZ SANCHEZ.doc</t>
  </si>
  <si>
    <t>C:\Users\franc\OneDrive\Documentos\MALENTIN KARIME\cvta protocolizadas\MIGUEL ANGEL SALINAS BAHAMONDES a PERLA ARAYA ROBLES Abril 13.doc</t>
  </si>
  <si>
    <t>C:\Users\franc\OneDrive\Documentos\MALENTIN KARIME\cvta protocolizadas\MARJORIE ARAYA.doc</t>
  </si>
  <si>
    <t>C:\Users\franc\OneDrive\Documentos\MALENTIN KARIME\cvta protocolizadas\MARICEL RAMIREZ.doc</t>
  </si>
  <si>
    <t>C:\Users\franc\OneDrive\Documentos\MALENTIN KARIME\cvta protocolizadas\MARIANA MUÑOZ ALVAREZ a SONIA JOFRE JOFRE (Ovalle).doc</t>
  </si>
  <si>
    <t>C:\Users\franc\OneDrive\Documentos\MALENTIN KARIME\cvta protocolizadas\MARIA TAPIA TRONCOSO Rc.doc</t>
  </si>
  <si>
    <t>C:\Users\franc\OneDrive\Documentos\MALENTIN KARIME\cvta protocolizadas\MARIA TABILO RODRIGUEZ a ALEJANDRINA ANDRADE GALLARDO (Ovalle).doc</t>
  </si>
  <si>
    <t>C:\Users\franc\OneDrive\Documentos\MALENTIN KARIME\cvta protocolizadas\MARIA RAMIREZ SEGURA a MARICEL RAMIREZ DIAZ (Ovalle)DIC.doc</t>
  </si>
  <si>
    <t>C:\Users\franc\OneDrive\Documentos\MALENTIN KARIME\cvta protocolizadas\MARIA JOFRE ARIAS.doc</t>
  </si>
  <si>
    <t>C:\Users\franc\OneDrive\Documentos\MALENTIN KARIME\cvta protocolizadas\MARIA CARVAJAL GUERRERO a GLORIA BLANCO BUGUEÑO (Ovalle).doc</t>
  </si>
  <si>
    <t>C:\Users\franc\OneDrive\Documentos\MALENTIN KARIME\cvta protocolizadas\MARIA ANTONIETA NAVARRO TAPIA a PAOLA CASTRO BONILLA (Agostole).doc</t>
  </si>
  <si>
    <t>C:\Users\franc\OneDrive\Documentos\MALENTIN KARIME\cvta protocolizadas\MARCO ANTONIO ADAOS POZO a YERKA ORTIZ MALUENDA (Ovalle).doc</t>
  </si>
  <si>
    <t>C:\Users\franc\OneDrive\Documentos\MALENTIN KARIME\cvta protocolizadas\MARCIA LOPEZ LOPEZ a MARJORIE ARAYA ROBLES (Ovalle).doc</t>
  </si>
  <si>
    <t>C:\Users\franc\OneDrive\Documentos\MALENTIN KARIME\cvta protocolizadas\MARCELA GARCIA ARAYA.doc</t>
  </si>
  <si>
    <t>C:\Users\franc\OneDrive\Documentos\MALENTIN KARIME\cvta protocolizadas\LUISA JOSEFINA.doc</t>
  </si>
  <si>
    <t>C:\Users\franc\OneDrive\Documentos\MALENTIN KARIME\cvta protocolizadas\LUISA JOSEFINA LETELIER a WILLIAM CARMONA SANCHEZ (Ovalle).doc</t>
  </si>
  <si>
    <t>C:\Users\franc\OneDrive\Documentos\MALENTIN KARIME\cvta protocolizadas\LUIS MIRANDA VEGA.doc</t>
  </si>
  <si>
    <t>C:\Users\franc\OneDrive\Documentos\MALENTIN KARIME\cvta protocolizadas\LUCINDA BEATRIZ ROJAS ROJAS a ESTER PAULINA LOPEZ GONZALEZ(Ovalle).doc</t>
  </si>
  <si>
    <t>C:\Users\franc\OneDrive\Documentos\MALENTIN KARIME\cvta protocolizadas\LORENA ARAYA.doc</t>
  </si>
  <si>
    <t>C:\Users\franc\OneDrive\Documentos\MALENTIN KARIME\cvta protocolizadas\JUAN CARLOS PAYEROS CASTRO a BRAULIO JUICA ESTAY (OVALLE).doc</t>
  </si>
  <si>
    <t>C:\Users\franc\OneDrive\Documentos\MALENTIN KARIME\cvta protocolizadas\JOSELITO CORTES PIÑONES a PAMELA CASTRO MIRANDA (OVALLE-divorciado).doc</t>
  </si>
  <si>
    <t>C:\Users\franc\OneDrive\Documentos\MALENTIN KARIME\cvta protocolizadas\JOSELITO CORTES  Suplente Patty.doc</t>
  </si>
  <si>
    <t>C:\Users\franc\OneDrive\Documentos\MALENTIN KARIME\cvta protocolizadas\JOSE ARAYA RAMIREZ a ROSA MUÑOZ ARAYA (Ovalle).doc</t>
  </si>
  <si>
    <t>C:\Users\franc\OneDrive\Documentos\MALENTIN KARIME\cvta protocolizadas\JOHANA FLORS.doc</t>
  </si>
  <si>
    <t>C:\Users\franc\OneDrive\Documentos\MALENTIN KARIME\cvta protocolizadas\JESSICA JOPIA VALDES.doc</t>
  </si>
  <si>
    <t>C:\Users\franc\OneDrive\Documentos\MALENTIN KARIME\cvta protocolizadas\JESSICA AROSTICA Rodrigo.doc</t>
  </si>
  <si>
    <t>C:\Users\franc\OneDrive\Documentos\MALENTIN KARIME\cvta protocolizadas\JENNY VEGA OSSANDON a NISSEN SANCHEZ SANCHEZ (Agosto).doc</t>
  </si>
  <si>
    <t>C:\Users\franc\OneDrive\Documentos\MALENTIN KARIME\cvta protocolizadas\JEIMY TERESA PONCE CONTRERAS poder extr.doc</t>
  </si>
  <si>
    <t>C:\Users\franc\OneDrive\Documentos\MALENTIN KARIME\cvta protocolizadas\JEIMY PONCE.doc</t>
  </si>
  <si>
    <t>C:\Users\franc\OneDrive\Documentos\MALENTIN KARIME\cvta protocolizadas\JACQUELINE JOFRE GONZALEZ a CLAUDIO CASANGA ARAYA (Ovalle).doc</t>
  </si>
  <si>
    <t>C:\Users\franc\OneDrive\Documentos\MALENTIN KARIME\cvta protocolizadas\IDOLIA TAPIA VALDIVIA a JESSICA AROSTICA VEGA (Agosto).doc</t>
  </si>
  <si>
    <t>C:\Users\franc\OneDrive\Documentos\MALENTIN KARIME\cvta protocolizadas\HERNAN ANTONIO ALFARO HIDALGO a JEIMY TERESA PONCE CONTRERAS (Ovalle).doc</t>
  </si>
  <si>
    <t>C:\Users\franc\OneDrive\Documentos\MALENTIN KARIME\cvta protocolizadas\GLORIA B LANCO.doc</t>
  </si>
  <si>
    <t>C:\Users\franc\OneDrive\Documentos\MALENTIN KARIME\cvta protocolizadas\FRESIA ARAYA RAMOS A MARIA TAPIA (Ovalle).doc</t>
  </si>
  <si>
    <t>C:\Users\franc\OneDrive\Documentos\MALENTIN KARIME\cvta protocolizadas\FRANCIS HORMAZABAL.doc</t>
  </si>
  <si>
    <t>C:\Users\franc\OneDrive\Documentos\MALENTIN KARIME\cvta protocolizadas\firma.doc</t>
  </si>
  <si>
    <t>C:\Users\franc\OneDrive\Documentos\MALENTIN KARIME\cvta protocolizadas\FERNANDO VEGA VIGORENA a CLAUDIA MALUENDA CARVAJAL (Ovalle) ART.150.doc</t>
  </si>
  <si>
    <t>C:\Users\franc\OneDrive\Documentos\MALENTIN KARIME\cvta protocolizadas\EVELYN VEGA GONZÁLEZ.doc</t>
  </si>
  <si>
    <t>C:\Users\franc\OneDrive\Documentos\MALENTIN KARIME\cvta protocolizadas\ESTER SEGOVIA ORTIZ a MARIA JOFRE ARIAS (OVALLE-separada 150).doc</t>
  </si>
  <si>
    <t>C:\Users\franc\OneDrive\Documentos\MALENTIN KARIME\cvta protocolizadas\ESTER LOPEZ GONZALEZ.doc</t>
  </si>
  <si>
    <t>C:\Users\franc\OneDrive\Documentos\MALENTIN KARIME\cvta protocolizadas\ELIZABETH TAPIA SARRIA a PAOLA VICUÑA CORTES (OVALLE- autorizacion cónyuge).doc</t>
  </si>
  <si>
    <t>C:\Users\franc\OneDrive\Documentos\MALENTIN KARIME\cvta protocolizadas\DECLARACION JURADA parentesco.doc</t>
  </si>
  <si>
    <t>C:\Users\franc\OneDrive\Documentos\MALENTIN KARIME\cvta protocolizadas\DANIEL ALFONSO CORTES PEREZ a YARITZA BARRIENTOS DINAMARCA (OVALLE-divorciado).doc</t>
  </si>
  <si>
    <t>C:\Users\franc\OneDrive\Documentos\MALENTIN KARIME\cvta protocolizadas\CRISTIAN MICHEA CASTRO a YENNY ORREGO CASTILLO (COQUIMBO-CASADO).doc</t>
  </si>
  <si>
    <t>C:\Users\franc\OneDrive\Documentos\MALENTIN KARIME\cvta protocolizadas\COMPRAVENTA PAOLA VEGA DS Nº1 SUBSIDIO sergio galleguillos.doc</t>
  </si>
  <si>
    <t>C:\Users\franc\OneDrive\Documentos\MALENTIN KARIME\cvta protocolizadas\CLAUDIO CASANGA ARAYA.doc</t>
  </si>
  <si>
    <t>C:\Users\franc\OneDrive\Documentos\MALENTIN KARIME\cvta protocolizadas\CLAUDIA MALUENDA.doc</t>
  </si>
  <si>
    <t>C:\Users\franc\OneDrive\Documentos\MALENTIN KARIME\cvta protocolizadas\CHRISTIAN ROBLES ARAYA a JOHANA FLORES ROBLES (Ovalle).doc</t>
  </si>
  <si>
    <t>C:\Users\franc\OneDrive\Documentos\MALENTIN KARIME\cvta protocolizadas\CECILIA ALBURQUENQUE ARAYA a LUIS MIRANDA VEGA Abril 13.doc</t>
  </si>
  <si>
    <t>C:\Users\franc\OneDrive\Documentos\MALENTIN KARIME\cvta protocolizadas\BRAULIO JUICA ESTAY.doc</t>
  </si>
  <si>
    <t>C:\Users\franc\OneDrive\Documentos\MALENTIN KARIME\cvta protocolizadas\Aut. firmas.doc</t>
  </si>
  <si>
    <t>C:\Users\franc\OneDrive\Documentos\MALENTIN KARIME\cvta protocolizadas\ANGELICA MUNDACA JOFRE.doc</t>
  </si>
  <si>
    <t>C:\Users\franc\OneDrive\Documentos\MALENTIN KARIME\cvta protocolizadas\ANA MARIA OLIVARES TICUNA.doc</t>
  </si>
  <si>
    <t>C:\Users\franc\OneDrive\Documentos\MALENTIN KARIME\cvta protocolizadas\ALEX ASTORGA VALENZUELA a FRANCIS LORENA HORMAZABAL CIFUENTES (Ovalle).doc</t>
  </si>
  <si>
    <t>C:\Users\franc\OneDrive\Documentos\MALENTIN KARIME\cvta protocolizadas\ALEJANDRINA ANDRADE.doc</t>
  </si>
  <si>
    <t>C:\Users\franc\OneDrive\Documentos\MALENTIN KARIME\CUIDADO PERSONAL\Pamela Acuña y Katherine Lizardi.doc</t>
  </si>
  <si>
    <t>C:\Users\franc\OneDrive\Documentos\MALENTIN KARIME\COOPEUCH\2016\PERSONERIA Coopeuch.docx</t>
  </si>
  <si>
    <t>C:\Users\franc\OneDrive\Documentos\MALENTIN KARIME\COOPEUCH\2016\Carta Resguardo ARIAS ROBLES-1.doc</t>
  </si>
  <si>
    <t>C:\Users\franc\OneDrive\Documentos\MALENTIN KARIME\COOPEUCH\2014\TANIA MIRANDA visto bueno.doc</t>
  </si>
  <si>
    <t>C:\Users\franc\OneDrive\Documentos\MALENTIN KARIME\COOPEUCH\2014\TANIA MIRANDA  Y Cristian Henriquez.doc</t>
  </si>
  <si>
    <t>C:\Users\franc\OneDrive\Documentos\MALENTIN KARIME\COOPEUCH\2014\REPERTORIO Nº 230 sin cont cambios.doc</t>
  </si>
  <si>
    <t>C:\Users\franc\OneDrive\Documentos\MALENTIN KARIME\COOPEUCH\2014\NIDIA GUERRERO GUERRERO.doc</t>
  </si>
  <si>
    <t>C:\Users\franc\OneDrive\Documentos\MALENTIN KARIME\COOPEUCH\2014\NIDIA GUERRERO GUERRERO visto bueno.doc</t>
  </si>
  <si>
    <t>C:\Users\franc\OneDrive\Documentos\MALENTIN KARIME\COOPEUCH\2014\MARCOS AGUSTO VELIZ Y OTRA - DOBLE M.doc</t>
  </si>
  <si>
    <t>C:\Users\franc\OneDrive\Documentos\MALENTIN KARIME\COOPEUCH\2014\MARCOS AGUSTO VELIZ Y OTRA - DOBLE M  Visto bueno.doc</t>
  </si>
  <si>
    <t>C:\Users\franc\OneDrive\Documentos\MALENTIN KARIME\COOPEUCH\2014\JULIO IBACACHE OSSANDON.doc</t>
  </si>
  <si>
    <t>C:\Users\franc\OneDrive\Documentos\MALENTIN KARIME\COOPEUCH\2014\JULIO IBACACHE OSSANDON visto bueno.doc</t>
  </si>
  <si>
    <t>C:\Users\franc\OneDrive\Documentos\MALENTIN KARIME\COOPEUCH\2014\JULIO IBACACHE OSSANDON rect nueva.doc</t>
  </si>
  <si>
    <t>C:\Users\franc\OneDrive\Documentos\MALENTIN KARIME\COOPEUCH\2014\JOCELYN RAMIREZ Y COOPEUCH.doc</t>
  </si>
  <si>
    <t>C:\Users\franc\OneDrive\Documentos\MALENTIN KARIME\COOPEUCH\2014\JOCELYN RAMIREZ Y COOPEUCH visto bueno.doc</t>
  </si>
  <si>
    <t>C:\Users\franc\OneDrive\Documentos\MALENTIN KARIME\COOPEUCH\2014\GERSON ARANCIBIA.doc</t>
  </si>
  <si>
    <t>C:\Users\franc\OneDrive\Documentos\MALENTIN KARIME\COOPEUCH\2014\GERSON ARANCIBIA Nueva.doc</t>
  </si>
  <si>
    <t>C:\Users\franc\OneDrive\Documentos\MALENTIN KARIME\COOPEUCH\2014\GERSON ARANCIBIA Nueva final.doc</t>
  </si>
  <si>
    <t>C:\Users\franc\OneDrive\Documentos\MALENTIN KARIME\COOPEUCH\2014\GERSON ARANCIBIA Nueva final  visto bueno.doc</t>
  </si>
  <si>
    <t>C:\Users\franc\OneDrive\Documentos\MALENTIN KARIME\COOPEUCH\2014\EDUARDO IBACACHE y Elizabeth Perez.doc</t>
  </si>
  <si>
    <t>C:\Users\franc\OneDrive\Documentos\MALENTIN KARIME\COOPEUCH\2014\EDUARDO IBACACHE y Elizabeth Perez visto bueno.doc</t>
  </si>
  <si>
    <t>C:\Users\franc\OneDrive\Documentos\MALENTIN KARIME\COOPEUCH\2014\230.docx</t>
  </si>
  <si>
    <t>C:\Users\franc\OneDrive\Documentos\MALENTIN KARIME\COOPEUCH\2014\230 VISTO BUENO.docx</t>
  </si>
  <si>
    <t>C:\Users\franc\OneDrive\Documentos\MALENTIN KARIME\COOPEUCH\RODRIGO ARAYA TABILO.doc</t>
  </si>
  <si>
    <t>C:\Users\franc\OneDrive\Documentos\MALENTIN KARIME\COOPEUCH\RODRIGO ARAYA TABILO definitiva.doc</t>
  </si>
  <si>
    <t>C:\Users\franc\OneDrive\Documentos\MALENTIN KARIME\COOPEUCH\RODRIGO ARAYA TABILO definitiva CON CORRECCIONES.doc</t>
  </si>
  <si>
    <t>C:\Users\franc\OneDrive\Documentos\MALENTIN KARIME\COOPEUCH\RODRIGO ANDRES ARAYA TABILO.doc</t>
  </si>
  <si>
    <t>C:\Users\franc\OneDrive\Documentos\MALENTIN KARIME\COOPEUCH\PAOLA HORMAZABAL a ANA PIZARRO GOMEZ.doc</t>
  </si>
  <si>
    <t>C:\Users\franc\OneDrive\Documentos\MALENTIN KARIME\COOPEUCH\PAOLA HORMAZABAL a ANA PIZARRO GOMEZ visto bueno.doc</t>
  </si>
  <si>
    <t>C:\Users\franc\OneDrive\Documentos\MALENTIN KARIME\COOPEUCH\MIRIAN VIDAL ZEPEDA Dic 13.doc</t>
  </si>
  <si>
    <t>C:\Users\franc\OneDrive\Documentos\MALENTIN KARIME\COOPEUCH\MIRIAN VIDAL ZEPEDA Dic 13 visto bueno.doc</t>
  </si>
  <si>
    <t>C:\Users\franc\OneDrive\Documentos\MALENTIN KARIME\COOPEUCH\MARITZA FLORES NAVARRO Febr 2013.doc</t>
  </si>
  <si>
    <t>C:\Users\franc\OneDrive\Documentos\MALENTIN KARIME\COOPEUCH\MARITZA FLORES NAVARRO Febr 2013 VISTO BUENO.doc</t>
  </si>
  <si>
    <t>C:\Users\franc\OneDrive\Documentos\MALENTIN KARIME\COOPEUCH\MARCELO HERRERA  Y JUAN AGUILERA SAAVEDRA Dic. 2012.doc</t>
  </si>
  <si>
    <t>C:\Users\franc\OneDrive\Documentos\MALENTIN KARIME\COOPEUCH\JUANA MILES GALLARDO Dic..doc</t>
  </si>
  <si>
    <t>C:\Users\franc\OneDrive\Documentos\MALENTIN KARIME\COOPEUCH\JOSE VICENCIO RIVERA Revision.doc</t>
  </si>
  <si>
    <t>C:\Users\franc\OneDrive\Documentos\MALENTIN KARIME\COOPEUCH\JOSE VICENCIO RIVERA Febrero de 14.doc</t>
  </si>
  <si>
    <t>C:\Users\franc\OneDrive\Documentos\MALENTIN KARIME\COOPEUCH\ERNESTO LOPEZ TABILO visto bueno.doc</t>
  </si>
  <si>
    <t>C:\Users\franc\OneDrive\Documentos\MALENTIN KARIME\COOPEUCH\ERNESTO LOPEZ TABILO Sept 13.doc</t>
  </si>
  <si>
    <t>C:\Users\franc\OneDrive\Documentos\MALENTIN KARIME\COOPEUCH\DOMINGO ROJAS ARAYA Y JUANA MILES GALLARDO Dic..doc</t>
  </si>
  <si>
    <t>C:\Users\franc\OneDrive\Documentos\MALENTIN KARIME\COOPEUCH\DOMINGO ROJAS ARAYA Y JUANA MILES GALLARDO  VISTO BUENO.doc</t>
  </si>
  <si>
    <t>C:\Users\franc\OneDrive\Documentos\MALENTIN KARIME\COOPEUCH\carta resguardo.doc</t>
  </si>
  <si>
    <t>C:\Users\franc\OneDrive\Documentos\MALENTIN KARIME\COOPEUCH\carta resguardo iii.doc</t>
  </si>
  <si>
    <t>C:\Users\franc\OneDrive\Documentos\MALENTIN KARIME\COOPEUCH\carta resguardo ii.doc</t>
  </si>
  <si>
    <t>C:\Users\franc\OneDrive\Documentos\MALENTIN KARIME\COOPEUCH\CAROLINA VIGORENA Y VICTOR COFRE.doc</t>
  </si>
  <si>
    <t>C:\Users\franc\OneDrive\Documentos\MALENTIN KARIME\COOPEUCH\CAROLINA VIGORENA Y VICTOR COFRE II.doc</t>
  </si>
  <si>
    <t>C:\Users\franc\OneDrive\Documentos\MALENTIN KARIME\Contrato de UVA\SOCIEDAD AGRICOLA LOS NOGALES Y MAL PASO Contrato uva.doc</t>
  </si>
  <si>
    <t>C:\Users\franc\OneDrive\Documentos\MALENTIN KARIME\Contrato de UVA\SERGIO RIVERA  Y AGRICOLA MAL PASO Contrato uva.doc</t>
  </si>
  <si>
    <t>C:\Users\franc\OneDrive\Documentos\MALENTIN KARIME\Contrato de UVA\Pagaré Sergio Rivera 2014.doc</t>
  </si>
  <si>
    <t>C:\Users\franc\OneDrive\Documentos\MALENTIN KARIME\Contrato de UVA\Exportadora SENEL A Hacienda MAL PASO.doc</t>
  </si>
  <si>
    <t>C:\Users\franc\OneDrive\Documentos\MALENTIN KARIME\COMPRAVENTA VEHICULOS\Irma Muñoz Humeres a ASOCIACION DE CANALISTAS EMBALSE COGOTI.doc</t>
  </si>
  <si>
    <t>C:\Users\franc\OneDrive\Documentos\MALENTIN KARIME\COMPRAVENTA VEHICULOS\ASOCIACION DE CANALISTAS EMBALSE COGOTI  a Doris Cuevas.doc</t>
  </si>
  <si>
    <t>C:\Users\franc\OneDrive\Documentos\MALENTIN KARIME\COMPLEMETA\2021\JIRYIS JARUFE Y SOC EDUCACIONAL MATICES.doc</t>
  </si>
  <si>
    <t>C:\Users\franc\OneDrive\Documentos\MALENTIN KARIME\COMPLEMETA\2021\HECTOR VELOZO Y ANDREA MIRANDA.doc</t>
  </si>
  <si>
    <t>C:\Users\franc\OneDrive\Documentos\MALENTIN KARIME\COMPLEMETA\2021\DANI MALDONADO Complementa.doc</t>
  </si>
  <si>
    <t>C:\Users\franc\OneDrive\Documentos\MALENTIN KARIME\COMPLEMETA\2018\PATRICIO OLIVARES A MARIA OLIVARES.doc</t>
  </si>
  <si>
    <t>C:\Users\franc\OneDrive\Documentos\MALENTIN KARIME\COMPLEMETA\2018\PATRICIO OLIVARES A MARIA OLIVARES borrador.doc</t>
  </si>
  <si>
    <t>C:\Users\franc\OneDrive\Documentos\MALENTIN KARIME\COMPLEMETA\2018\LUIS ALBURQUENQUE HONORES 20.doc</t>
  </si>
  <si>
    <t>C:\Users\franc\OneDrive\Documentos\MALENTIN KARIME\COMPLEMETA\2018\JORGE ALLENDE SENTIS.doc</t>
  </si>
  <si>
    <t>C:\Users\franc\OneDrive\Documentos\MALENTIN KARIME\COMPLEMETA\2018\JORGE ALLENDE SENTIS otra.doc</t>
  </si>
  <si>
    <t>C:\Users\franc\OneDrive\Documentos\MALENTIN KARIME\COMPLEMETA\2016\VICTOR CASTRO SALINAS Deslindes y plano.doc</t>
  </si>
  <si>
    <t>C:\Users\franc\OneDrive\Documentos\MALENTIN KARIME\COMPLEMETA\2016\VERONICA CERDA Complementacion.doc</t>
  </si>
  <si>
    <t>C:\Users\franc\OneDrive\Documentos\MALENTIN KARIME\COMPLEMETA\2016\MISAEL ARAYA y Laura Guerrero Deslindes.doc</t>
  </si>
  <si>
    <t>C:\Users\franc\OneDrive\Documentos\MALENTIN KARIME\COMPLEMETA\2016\FRANCISCO PINTO comple.doc</t>
  </si>
  <si>
    <t>C:\Users\franc\OneDrive\Documentos\MALENTIN KARIME\COMPLEMETA\2016\DOMINGA ESTAY.doc</t>
  </si>
  <si>
    <t>C:\Users\franc\OneDrive\Documentos\MALENTIN KARIME\COMPLEMETA\2016\AYLIN ROJO Y CONSTRUCTORA OLIVARES Rol.doc</t>
  </si>
  <si>
    <t>C:\Users\franc\OneDrive\Documentos\MALENTIN KARIME\COMPLEMETA\2016\ARMANDO DUBO MUÑOZ A Luis Segovia Compl inscrip.doc</t>
  </si>
  <si>
    <t>C:\Users\franc\OneDrive\Documentos\MALENTIN KARIME\COMPLEMETA\2016\ANA ARAYA RAMIREZ Deslindes.doc</t>
  </si>
  <si>
    <t>C:\Users\franc\OneDrive\Documentos\MALENTIN KARIME\COMPLEMETA\2015\JORGE ALLENDE SENTIS.doc</t>
  </si>
  <si>
    <t>C:\Users\franc\OneDrive\Documentos\MALENTIN KARIME\COMPLEMETA\VICTOR ARAYA SILVA Compl. Proh. Legal.doc</t>
  </si>
  <si>
    <t>C:\Users\franc\OneDrive\Documentos\MALENTIN KARIME\COMPLEMETA\VALENTIN CONTRERAS A GABRIEL VELIZ.doc</t>
  </si>
  <si>
    <t>C:\Users\franc\OneDrive\Documentos\MALENTIN KARIME\COMPLEMETA\SOFIA OLIVARES Abogado.doc</t>
  </si>
  <si>
    <t>C:\Users\franc\OneDrive\Documentos\MALENTIN KARIME\COMPLEMETA\OSCAR ANGEL GONZALEZ Compl. Proh. Legal.doc</t>
  </si>
  <si>
    <t>C:\Users\franc\OneDrive\Documentos\MALENTIN KARIME\COMPLEMETA\LUIS GALLARDO OSORIO.doc</t>
  </si>
  <si>
    <t>C:\Users\franc\OneDrive\Documentos\MALENTIN KARIME\COMPLEMETA\JOSE ZEPEDA ARAYA Compl Oficio.doc</t>
  </si>
  <si>
    <t>C:\Users\franc\OneDrive\Documentos\MALENTIN KARIME\COMPLEMETA\ENRIQUE CONTADOR MADARIAGA R Vega.doc</t>
  </si>
  <si>
    <t>C:\Users\franc\OneDrive\Documentos\MALENTIN KARIME\COMPLEMETA\DILIA CARVAJAL OLIVARES Complementacion Promesa.doc</t>
  </si>
  <si>
    <t>C:\Users\franc\OneDrive\Documentos\MALENTIN KARIME\COMPLEMETA\CHRISTIAN CLAVERIA Y JUAN GODOY Soledad Farr.doc</t>
  </si>
  <si>
    <t>C:\Users\franc\OneDrive\Documentos\MALENTIN KARIME\COMPLEMETA\CARMEN ALFARO ROCO.doc</t>
  </si>
  <si>
    <t>C:\Users\franc\OneDrive\Documentos\MALENTIN KARIME\COMPLEMETA\ARSEN GRIGORIAN Deslindes.doc</t>
  </si>
  <si>
    <t>C:\Users\franc\OneDrive\Documentos\MALENTIN KARIME\COMODATO\LILANA ALFARO A  CLUB CONDOR HUALLILLINGA.doc</t>
  </si>
  <si>
    <t>C:\Users\franc\OneDrive\Documentos\MALENTIN KARIME\COMODATO\FLORENCIO ALAYAN BRICEÑO Minuta.doc</t>
  </si>
  <si>
    <t>C:\Users\franc\OneDrive\Documentos\MALENTIN KARIME\COMODATO\comodato CLUB CONDOR HUALLILLINGA.doc</t>
  </si>
  <si>
    <t>C:\Users\franc\OneDrive\Documentos\MALENTIN KARIME\COMODATO\comodato CLUB CONDOR HUALLILLINGA I.doc</t>
  </si>
  <si>
    <t>C:\Users\franc\OneDrive\Documentos\MALENTIN KARIME\COLOMBRES\PROMESAS\Autorizo las firmas de don PEDRO LUIS RICALDE BORBOLLA.doc</t>
  </si>
  <si>
    <t>C:\Users\franc\OneDrive\Documentos\MALENTIN KARIME\COLOMBRES\LA RECOLETA\LUISA ESPINOZA SOTO katty.doc</t>
  </si>
  <si>
    <t>C:\Users\franc\OneDrive\Documentos\MALENTIN KARIME\COLOMBRES\LA RECOLETA\Escritura Borrador Luisa Espinosa.doc</t>
  </si>
  <si>
    <t>C:\Users\franc\OneDrive\Documentos\MALENTIN KARIME\COLOMBRES\LA RECOLETA\CLAUDIA ESPINOSA SOTO.doc</t>
  </si>
  <si>
    <t>C:\Users\franc\OneDrive\Documentos\MALENTIN KARIME\COLOMBRES\LA RECOLETA\Autorizo la firma de don PEDRO LUIS RICALDE BORBOLLA.doc</t>
  </si>
  <si>
    <t>C:\Users\franc\OneDrive\Documentos\MALENTIN KARIME\COLOMBRES\SOCIEDAD AGRICOLA Y MOLINERA SANTA MARIA Cancelación precio ovalle.doc</t>
  </si>
  <si>
    <t>C:\Users\franc\OneDrive\Documentos\MALENTIN KARIME\COLOMBRES\ORIEL ROBLES VICENCIO (CVTA MUTUO)-1.doc</t>
  </si>
  <si>
    <t>C:\Users\franc\OneDrive\Documentos\MALENTIN KARIME\COLOMBRES\instrucciones3.doc</t>
  </si>
  <si>
    <t>C:\Users\franc\OneDrive\Documentos\MALENTIN KARIME\COLOMBRES\instrucciones2.doc</t>
  </si>
  <si>
    <t>C:\Users\franc\OneDrive\Documentos\MALENTIN KARIME\COLOMBRES\instrucciones.doc</t>
  </si>
  <si>
    <t>C:\Users\franc\OneDrive\Documentos\MALENTIN KARIME\COLOMBRES\GABRIELMESQUIDA A RODRIGO RICALDE.doc</t>
  </si>
  <si>
    <t>C:\Users\franc\OneDrive\Documentos\MALENTIN KARIME\COLOMBRES\DECLARACION JURADA.doc</t>
  </si>
  <si>
    <t>C:\Users\franc\OneDrive\Documentos\MALENTIN KARIME\COLOMBRES\CERTIFICADO RECEP FINAL.doc</t>
  </si>
  <si>
    <t>C:\Users\franc\OneDrive\Documentos\MALENTIN KARIME\CLAUDIO ARDILES\2014\WILSON PEREIRA Complementacion.doc</t>
  </si>
  <si>
    <t>C:\Users\franc\OneDrive\Documentos\MALENTIN KARIME\CLAUDIO ARDILES\2014\CLAUDIO ARDILES Rect.doc</t>
  </si>
  <si>
    <t>C:\Users\franc\OneDrive\Documentos\MALENTIN KARIME\CLAUDIO ARDILES\WILSON PEREIRA GARCIA 2014.doc</t>
  </si>
  <si>
    <t>C:\Users\franc\OneDrive\Documentos\MALENTIN KARIME\CLAUDIO ARDILES\VERONICA MORGADO Y EDITH MORALES.doc</t>
  </si>
  <si>
    <t>C:\Users\franc\OneDrive\Documentos\MALENTIN KARIME\CLAUDIO ARDILES\TELLCOR A ALVARO MAYA.doc</t>
  </si>
  <si>
    <t>C:\Users\franc\OneDrive\Documentos\MALENTIN KARIME\CLAUDIO ARDILES\Sociedad SANTA ROSA.doc</t>
  </si>
  <si>
    <t>C:\Users\franc\OneDrive\Documentos\MALENTIN KARIME\CLAUDIO ARDILES\SANTA ROSA LTDA. Extracto.doc</t>
  </si>
  <si>
    <t>C:\Users\franc\OneDrive\Documentos\MALENTIN KARIME\CLAUDIO ARDILES\PEDRO TIRADO Y Eduardo Miranda cvta pacto.doc</t>
  </si>
  <si>
    <t>C:\Users\franc\OneDrive\Documentos\MALENTIN KARIME\CLAUDIO ARDILES\PEDRO TIRADO A EDO. MIRANDA Promesa privada.doc</t>
  </si>
  <si>
    <t>C:\Users\franc\OneDrive\Documentos\MALENTIN KARIME\CLAUDIO ARDILES\MARISA ALVAREZ CHANDIA mandato general.doc</t>
  </si>
  <si>
    <t>C:\Users\franc\OneDrive\Documentos\MALENTIN KARIME\CLAUDIO ARDILES\MARCIAL MELLADO Y OTROS A Agricola Norteandino.doc</t>
  </si>
  <si>
    <t>C:\Users\franc\OneDrive\Documentos\MALENTIN KARIME\CLAUDIO ARDILES\MARCIAL MELLADO MALUENDA A Agrícola Norteandino.doc</t>
  </si>
  <si>
    <t>C:\Users\franc\OneDrive\Documentos\MALENTIN KARIME\CLAUDIO ARDILES\MACARENA TAPIA GALLEGUILLOS Cvta.doc</t>
  </si>
  <si>
    <t>C:\Users\franc\OneDrive\Documentos\MALENTIN KARIME\CLAUDIO ARDILES\JORGE CONTRERAS HERRERA A CRISTIAN LATORRE Rectificacion.doc</t>
  </si>
  <si>
    <t>C:\Users\franc\OneDrive\Documentos\MALENTIN KARIME\CLAUDIO ARDILES\JORGE CONTRERAS HERRERA A CRISTIAN LATORRE CVTA.doc</t>
  </si>
  <si>
    <t>C:\Users\franc\OneDrive\Documentos\MALENTIN KARIME\CLAUDIO ARDILES\JAIME CASTILLO  Cesion derechos.doc</t>
  </si>
  <si>
    <t>C:\Users\franc\OneDrive\Documentos\MALENTIN KARIME\CLAUDIO ARDILES\Extracto ASESORIAS CERRO BLANCO.doc</t>
  </si>
  <si>
    <t>C:\Users\franc\OneDrive\Documentos\MALENTIN KARIME\CLAUDIO ARDILES\EDUARDO YAGNAN A DIANA FLORES.doc</t>
  </si>
  <si>
    <t>C:\Users\franc\OneDrive\Documentos\MALENTIN KARIME\CLAUDIO ARDILES\derecho real de uso NORTEANDINO.doc</t>
  </si>
  <si>
    <t>C:\Users\franc\OneDrive\Documentos\MALENTIN KARIME\CLAUDIO ARDILES\Daniela Huerta DECLARACION.doc</t>
  </si>
  <si>
    <t>C:\Users\franc\OneDrive\Documentos\MALENTIN KARIME\CLAUDIO ARDILES\cvta 825.doc</t>
  </si>
  <si>
    <t>C:\Users\franc\OneDrive\Documentos\MALENTIN KARIME\CLAUDIO ARDILES\CRISTIAN LATORRE MORALES A Claudia Herrera.doc</t>
  </si>
  <si>
    <t>C:\Users\franc\OneDrive\Documentos\MALENTIN KARIME\CLAUDIO ARDILES\CRISTIAN LATORRE CON GENESIS LATORRE.doc</t>
  </si>
  <si>
    <t>C:\Users\franc\OneDrive\Documentos\MALENTIN KARIME\CLAUDIO ARDILES\COMODATO B SANTANDER.doc</t>
  </si>
  <si>
    <t>C:\Users\franc\OneDrive\Documentos\MALENTIN KARIME\CLAUDIO ARDILES\CERRO BLANCO Saneamiento.doc</t>
  </si>
  <si>
    <t>C:\Users\franc\OneDrive\Documentos\MALENTIN KARIME\CLAUDIO ARDILES\CARTA TERMINO ADMINISTRACION.doc</t>
  </si>
  <si>
    <t>C:\Users\franc\OneDrive\Documentos\MALENTIN KARIME\CLAUDIO ARDILES\CARLOS PERINES ALVAREZ Y OTROS 2.doc</t>
  </si>
  <si>
    <t>C:\Users\franc\OneDrive\Documentos\MALENTIN KARIME\CLAUDIO ARDILES\CARLOS PERINES ALVAREZ Y OTROS 2 abogado.doc</t>
  </si>
  <si>
    <t>C:\Users\franc\OneDrive\Documentos\MALENTIN KARIME\CLAUDIO ARDILES\CARLOS PERINES ALVAREZ Y OTROS 1.doc</t>
  </si>
  <si>
    <t>C:\Users\franc\OneDrive\Documentos\MALENTIN KARIME\CLAUDIO ARDILES\CARLOS PERINES ALVAREZ Y OTROS 1 abogado.doc</t>
  </si>
  <si>
    <t>C:\Users\franc\OneDrive\Documentos\MALENTIN KARIME\CLAUDIO ARDILES\ANEXO MELLADO - NORTEANDINO.doc</t>
  </si>
  <si>
    <t>C:\Users\franc\OneDrive\Documentos\MALENTIN KARIME\CLAUDIO ARAYA\2018\ROSA VALLEJOS.doc</t>
  </si>
  <si>
    <t>C:\Users\franc\OneDrive\Documentos\MALENTIN KARIME\CLAUDIO ARAYA\2018\MANUEL SEGOVIA.doc</t>
  </si>
  <si>
    <t>C:\Users\franc\OneDrive\Documentos\MALENTIN KARIME\CLAUDIO ARAYA\2018\JUANA SEGOVIA.doc</t>
  </si>
  <si>
    <t>C:\Users\franc\OneDrive\Documentos\MALENTIN KARIME\CLAUDIO ARAYA\2018\JOHANA JOFRE.doc</t>
  </si>
  <si>
    <t>C:\Users\franc\OneDrive\Documentos\MALENTIN KARIME\CLAUDIO ARAYA\2018\FERNANDO VALLEJOS.doc</t>
  </si>
  <si>
    <t>C:\Users\franc\OneDrive\Documentos\MALENTIN KARIME\CLAUDIO ARAYA\2018\compraventa derechos inmueble  FELIPE JOFRE.doc</t>
  </si>
  <si>
    <t>C:\Users\franc\OneDrive\Documentos\MALENTIN KARIME\CLAUDIO ARAYA\2018\COMPRADORES DERECHOS INMUEBLE.docx</t>
  </si>
  <si>
    <t>C:\Users\franc\OneDrive\Documentos\MALENTIN KARIME\CLAUDIO ARAYA\2018\CLAUDIO SEGOVIA.doc</t>
  </si>
  <si>
    <t>C:\Users\franc\OneDrive\Documentos\MALENTIN KARIME\CLAUDIO ARAYA\2016\INSTRUCCIONES MARIO RAMIREZ Y CLAUDIO ARAYA-2.doc</t>
  </si>
  <si>
    <t>C:\Users\franc\OneDrive\Documentos\MALENTIN KARIME\CLAUDIO ARAYA\2016\instrucciones dn Claudio.doc</t>
  </si>
  <si>
    <t>C:\Users\franc\OneDrive\Documentos\MALENTIN KARIME\CLAUDIO ARAYA\2015\SOC AGRICOLA MARIO ROBLES y JUAN MORALES complem.doc</t>
  </si>
  <si>
    <t>C:\Users\franc\OneDrive\Documentos\MALENTIN KARIME\CLAUDIO ARAYA\2014\SOCIEDAD AGRICOLA MARIO ROBLES A Juan Morales.doc</t>
  </si>
  <si>
    <t>C:\Users\franc\OneDrive\Documentos\MALENTIN KARIME\CLAUDIO ARAYA\2014\MYRNA SEGOVIA A Osvaldo Rojas.doc</t>
  </si>
  <si>
    <t>C:\Users\franc\OneDrive\Documentos\MALENTIN KARIME\CLAUDIO ARAYA\2014\MYRNA SEGOVIA A Osvaldo Rojas  FINAL.doc</t>
  </si>
  <si>
    <t>C:\Users\franc\OneDrive\Documentos\MALENTIN KARIME\CLAUDIO ARAYA\2014\MARIA PINOCHET A Paulina Palta.doc</t>
  </si>
  <si>
    <t>C:\Users\franc\OneDrive\Documentos\MALENTIN KARIME\CLAUDIO ARAYA\2014\GRACIELA QUIROZ A TATIANA CANIHUANTE.doc</t>
  </si>
  <si>
    <t>C:\Users\franc\OneDrive\Documentos\MALENTIN KARIME\CLAUDIO ARAYA\2014\COMPRAVENTA DUBERLI GUERRERO AGUILERA-1   NUEVA JUN14.doc</t>
  </si>
  <si>
    <t>C:\Users\franc\OneDrive\Documentos\MALENTIN KARIME\CLAUDIO ARAYA\2014\ALBERTO LEIVA AGUILERA A Carmen Fernández.doc</t>
  </si>
  <si>
    <t>C:\Users\franc\OneDrive\Documentos\MALENTIN KARIME\CLAUDIO ARAYA\tectificatoria compra con subsidio.doc</t>
  </si>
  <si>
    <t>C:\Users\franc\OneDrive\Documentos\MALENTIN KARIME\CLAUDIO ARAYA\SOCIEDAD MINERA HJ.doc</t>
  </si>
  <si>
    <t>C:\Users\franc\OneDrive\Documentos\MALENTIN KARIME\CLAUDIO ARAYA\SOCIEDAD MINERA HJ SCM Resciliacion.doc</t>
  </si>
  <si>
    <t>C:\Users\franc\OneDrive\Documentos\MALENTIN KARIME\CLAUDIO ARAYA\ROSA PINTO RAMOS Test.doc</t>
  </si>
  <si>
    <t>C:\Users\franc\OneDrive\Documentos\MALENTIN KARIME\CLAUDIO ARAYA\RECIBO DE DINERO.doc</t>
  </si>
  <si>
    <t>C:\Users\franc\OneDrive\Documentos\MALENTIN KARIME\CLAUDIO ARAYA\JUAN CARVAJAL y JAVIER ARAYA cvta serviu.doc</t>
  </si>
  <si>
    <t>C:\Users\franc\OneDrive\Documentos\MALENTIN KARIME\CLAUDIO ARAYA\JAVIER ARAYA TALAMILLA Protocoliza.doc</t>
  </si>
  <si>
    <t>C:\Users\franc\OneDrive\Documentos\MALENTIN KARIME\CLAUDIO ARAYA\JAVIER ARAYA TALAMILLA Prot.doc</t>
  </si>
  <si>
    <t>C:\Users\franc\OneDrive\Documentos\MALENTIN KARIME\CLAUDIO ARAYA\JAVIER ARAYA TALAMILLA Prot Rectifica.doc</t>
  </si>
  <si>
    <t>C:\Users\franc\OneDrive\Documentos\MALENTIN KARIME\CLAUDIO ARAYA\JAVIER ARAYA TALAMILLA Prot Complementa.doc</t>
  </si>
  <si>
    <t>C:\Users\franc\OneDrive\Documentos\MALENTIN KARIME\CLAUDIO ARAYA\Instrucciones Escobar, Claudia - Salamanca, Carmen y Otros.doc</t>
  </si>
  <si>
    <t>C:\Users\franc\OneDrive\Documentos\MALENTIN KARIME\CLAUDIO ARAYA\HECTOR VELOZO A JAIME URQUIETA Dacion Febr.doc</t>
  </si>
  <si>
    <t>C:\Users\franc\OneDrive\Documentos\MALENTIN KARIME\CLAUDIO ARAYA\FREDDY PINTO RAMOS Test.doc</t>
  </si>
  <si>
    <t>C:\Users\franc\OneDrive\Documentos\MALENTIN KARIME\CLAUDIO ARAYA\FELIPE JOFRE TAPIA A CARLOS JOFRE Agosto 13.doc</t>
  </si>
  <si>
    <t>C:\Users\franc\OneDrive\Documentos\MALENTIN KARIME\CLAUDIO ARAYA\FELIPE JOFRE A Claudio Jofre y otro.doc</t>
  </si>
  <si>
    <t>C:\Users\franc\OneDrive\Documentos\MALENTIN KARIME\CLAUDIO ARAYA\Extracto.doc</t>
  </si>
  <si>
    <t>C:\Users\franc\OneDrive\Documentos\MALENTIN KARIME\CLAUDIO ARAYA\EVELYN VEGA GONZÁLEZ.doc</t>
  </si>
  <si>
    <t>C:\Users\franc\OneDrive\Documentos\MALENTIN KARIME\CLAUDIO ARAYA\EVELYN VEGA GONZÁLEZ rectifca.doc</t>
  </si>
  <si>
    <t>C:\Users\franc\OneDrive\Documentos\MALENTIN KARIME\CLAUDIO ARAYA\EVELYN VEGA GONZALEZRectificatoria compra con subsidio.doc</t>
  </si>
  <si>
    <t>C:\Users\franc\OneDrive\Documentos\MALENTIN KARIME\CLAUDIO ARAYA\EDUARDO GODOY E.I.R.L..doc</t>
  </si>
  <si>
    <t>C:\Users\franc\OneDrive\Documentos\MALENTIN KARIME\CLAUDIO ARAYA\EDIO GARCIA Y EVELYN VEGA cvta serviu.doc</t>
  </si>
  <si>
    <t>C:\Users\franc\OneDrive\Documentos\MALENTIN KARIME\CLAUDIO ARAYA\DOLLY TABILO CARVAJAL A NANCY MERCADO.doc</t>
  </si>
  <si>
    <t>C:\Users\franc\OneDrive\Documentos\MALENTIN KARIME\CLAUDIO ARAYA\CRISTINA PINTO Test.doc</t>
  </si>
  <si>
    <t>C:\Users\franc\OneDrive\Documentos\MALENTIN KARIME\CLAUDIO ARAYA\CRISTINA PINTO RAMOS testamento.doc</t>
  </si>
  <si>
    <t>C:\Users\franc\OneDrive\Documentos\MALENTIN KARIME\CLAUDIO ARAYA\COMPRAVENTA CON USUFRUCTO.doc</t>
  </si>
  <si>
    <t>C:\Users\franc\OneDrive\Documentos\MALENTIN KARIME\CLAUDIO ARAYA\COMPRAVENTA AHUMADA CON MARIETTA.doc</t>
  </si>
  <si>
    <t>C:\Users\franc\OneDrive\Documentos\MALENTIN KARIME\CLAUDIO ARAYA\COMPRADORES DERECHOS INMUEBLE.docx</t>
  </si>
  <si>
    <t>C:\Users\franc\OneDrive\Documentos\MALENTIN KARIME\CLAUDIO ARAYA\Complementaria compra con subsidio II Parte.doc</t>
  </si>
  <si>
    <t>C:\Users\franc\OneDrive\Documentos\MALENTIN KARIME\CLAUDIO ARAYA\CARMEN SALAMANCA Y OTROS A CLAUDIA ESCOBAR.doc</t>
  </si>
  <si>
    <t>C:\Users\franc\OneDrive\Documentos\MALENTIN KARIME\CLAUDIO ARAYA\CARMEN SALAMANCA Y OTROS A CLAUDIA ESCOBAR  2.doc</t>
  </si>
  <si>
    <t>C:\Users\franc\OneDrive\Documentos\MALENTIN KARIME\CLAUDIO ARAYA\ASIMYA A ANA VALDERRAMA.doc</t>
  </si>
  <si>
    <t>C:\Users\franc\OneDrive\Documentos\MALENTIN KARIME\CLAUDIO ARAYA\ASIMYA A ANA VALDERRAMA Final.doc</t>
  </si>
  <si>
    <t>C:\Users\franc\OneDrive\Documentos\MALENTIN KARIME\CLAUDIO ARAYA\arriendo minero.doc</t>
  </si>
  <si>
    <t>C:\Users\franc\OneDrive\Documentos\MALENTIN KARIME\CLAUDIO ARAYA\ALZAMIENTO DL 2695.doc</t>
  </si>
  <si>
    <t>C:\Users\franc\OneDrive\Documentos\MALENTIN KARIME\CLAUDIO ARAYA\ALZAMIENTO DL 2695 julio 2013.doc</t>
  </si>
  <si>
    <t>C:\Users\franc\OneDrive\Documentos\MALENTIN KARIME\CESION\RESPALDO LUIS DIAZ\VARIOS 2008\ZOILA DIAZ M. Prot.Alz.Serviu.doc</t>
  </si>
  <si>
    <t>C:\Users\franc\OneDrive\Documentos\MALENTIN KARIME\CESION\RESPALDO LUIS DIAZ\VARIOS 2008\ZAQUI ALAMO YANINE Renta Vitalicia.doc</t>
  </si>
  <si>
    <t>C:\Users\franc\OneDrive\Documentos\MALENTIN KARIME\CESION\RESPALDO LUIS DIAZ\VARIOS 2008\YANETT FERNANDEZ G. Prot.Serviu.doc</t>
  </si>
  <si>
    <t>C:\Users\franc\OneDrive\Documentos\MALENTIN KARIME\CESION\RESPALDO LUIS DIAZ\VARIOS 2008\WILSON CASANOVA CH. Separac. bienes.doc</t>
  </si>
  <si>
    <t>C:\Users\franc\OneDrive\Documentos\MALENTIN KARIME\CESION\RESPALDO LUIS DIAZ\VARIOS 2008\WILLIAN DIAZ MATURANA Rep..doc</t>
  </si>
  <si>
    <t>C:\Users\franc\OneDrive\Documentos\MALENTIN KARIME\CESION\RESPALDO LUIS DIAZ\VARIOS 2008\VIÑA OCHOTIERRAS Prot..doc</t>
  </si>
  <si>
    <t>C:\Users\franc\OneDrive\Documentos\MALENTIN KARIME\CESION\RESPALDO LUIS DIAZ\VARIOS 2008\VITAL LOPEZ ROJO. Refinanc. PET.doc</t>
  </si>
  <si>
    <t>C:\Users\franc\OneDrive\Documentos\MALENTIN KARIME\CESION\RESPALDO LUIS DIAZ\VARIOS 2008\VIRGINIA AGUILERA A. Usufructo.doc</t>
  </si>
  <si>
    <t>C:\Users\franc\OneDrive\Documentos\MALENTIN KARIME\CESION\RESPALDO LUIS DIAZ\VARIOS 2008\VILLA ALEGRE.PRO.doc</t>
  </si>
  <si>
    <t>C:\Users\franc\OneDrive\Documentos\MALENTIN KARIME\CESION\RESPALDO LUIS DIAZ\VARIOS 2008\VICTORINO CASANOVA Ampl. Inventario.doc</t>
  </si>
  <si>
    <t>C:\Users\franc\OneDrive\Documentos\MALENTIN KARIME\CESION\RESPALDO LUIS DIAZ\VARIOS 2008\VICTORIA LEMA DELLA TORRE Ratific..doc</t>
  </si>
  <si>
    <t>C:\Users\franc\OneDrive\Documentos\MALENTIN KARIME\CESION\RESPALDO LUIS DIAZ\VARIOS 2008\VICTOR H. HIDALGO. Dclar. Jurada.doc</t>
  </si>
  <si>
    <t>C:\Users\franc\OneDrive\Documentos\MALENTIN KARIME\CESION\RESPALDO LUIS DIAZ\VARIOS 2008\VICTOR H. HIDALGO. Dcl. Jurada.doc</t>
  </si>
  <si>
    <t>C:\Users\franc\OneDrive\Documentos\MALENTIN KARIME\CESION\RESPALDO LUIS DIAZ\VARIOS 2008\VICTOR BRAVO BRAVO Inv. Simple.doc</t>
  </si>
  <si>
    <t>C:\Users\franc\OneDrive\Documentos\MALENTIN KARIME\CESION\RESPALDO LUIS DIAZ\VARIOS 2008\VESNA MARTINAC a JULIA R. Transacc..doc</t>
  </si>
  <si>
    <t>C:\Users\franc\OneDrive\Documentos\MALENTIN KARIME\CESION\RESPALDO LUIS DIAZ\VARIOS 2008\VERONICA CERDA a VIVIANA QUIROGA Transac..doc</t>
  </si>
  <si>
    <t>C:\Users\franc\OneDrive\Documentos\MALENTIN KARIME\CESION\RESPALDO LUIS DIAZ\VARIOS 2008\VALORES ESCRITURAS SCOTIABANK.doc</t>
  </si>
  <si>
    <t>C:\Users\franc\OneDrive\Documentos\MALENTIN KARIME\CESION\RESPALDO LUIS DIAZ\VARIOS 2008\VALERIA VALENCIA Acepta Herencia.doc</t>
  </si>
  <si>
    <t>C:\Users\franc\OneDrive\Documentos\MALENTIN KARIME\CESION\RESPALDO LUIS DIAZ\VARIOS 2008\VACACIONES PERSONAL NOTARIA.doc</t>
  </si>
  <si>
    <t>C:\Users\franc\OneDrive\Documentos\MALENTIN KARIME\CESION\RESPALDO LUIS DIAZ\VARIOS 2008\TRANSMAQUI E.I.R.L. Transacción.doc</t>
  </si>
  <si>
    <t>C:\Users\franc\OneDrive\Documentos\MALENTIN KARIME\CESION\RESPALDO LUIS DIAZ\VARIOS 2008\Transacción CAPEL.doc</t>
  </si>
  <si>
    <t>C:\Users\franc\OneDrive\Documentos\MALENTIN KARIME\CESION\RESPALDO LUIS DIAZ\VARIOS 2008\TERESA AFFIN DIAZ Carta Poder.doc</t>
  </si>
  <si>
    <t>C:\Users\franc\OneDrive\Documentos\MALENTIN KARIME\CESION\RESPALDO LUIS DIAZ\VARIOS 2008\TATIANA ANGEL CERDA Const. Usufructo.doc</t>
  </si>
  <si>
    <t>C:\Users\franc\OneDrive\Documentos\MALENTIN KARIME\CESION\RESPALDO LUIS DIAZ\VARIOS 2008\TARJETA.doc</t>
  </si>
  <si>
    <t>C:\Users\franc\OneDrive\Documentos\MALENTIN KARIME\CESION\RESPALDO LUIS DIAZ\VARIOS 2008\TANIA OSORIO CABRERA Repudio.doc</t>
  </si>
  <si>
    <t>C:\Users\franc\OneDrive\Documentos\MALENTIN KARIME\CESION\RESPALDO LUIS DIAZ\VARIOS 2008\SOPROAL LTD. a VINICOLA C. LINDO Uva.doc</t>
  </si>
  <si>
    <t>C:\Users\franc\OneDrive\Documentos\MALENTIN KARIME\CESION\RESPALDO LUIS DIAZ\VARIOS 2008\SOPROAL LTD. a VINICOLA C. LINDO Pagare.doc</t>
  </si>
  <si>
    <t>C:\Users\franc\OneDrive\Documentos\MALENTIN KARIME\CESION\RESPALDO LUIS DIAZ\VARIOS 2008\SOPROAL LTD. a VINICOLA C. LINDO II.doc</t>
  </si>
  <si>
    <t>C:\Users\franc\OneDrive\Documentos\MALENTIN KARIME\CESION\RESPALDO LUIS DIAZ\VARIOS 2008\SOPROAL LTD. a CAMPO LINDO Pagare.doc</t>
  </si>
  <si>
    <t>C:\Users\franc\OneDrive\Documentos\MALENTIN KARIME\CESION\RESPALDO LUIS DIAZ\VARIOS 2008\SONIA CONTRERAS T. Mutuo a la Vta.doc</t>
  </si>
  <si>
    <t>C:\Users\franc\OneDrive\Documentos\MALENTIN KARIME\CESION\RESPALDO LUIS DIAZ\VARIOS 2008\SOLANGE PEREZ DIAZ.doc</t>
  </si>
  <si>
    <t>C:\Users\franc\OneDrive\Documentos\MALENTIN KARIME\CESION\RESPALDO LUIS DIAZ\VARIOS 2008\SOL. MAESTRO LTDA. Prot. Contrato.doc</t>
  </si>
  <si>
    <t>C:\Users\franc\OneDrive\Documentos\MALENTIN KARIME\CESION\RESPALDO LUIS DIAZ\VARIOS 2008\SOC. VERANEO PACIFICO.PRO.doc</t>
  </si>
  <si>
    <t>C:\Users\franc\OneDrive\Documentos\MALENTIN KARIME\CESION\RESPALDO LUIS DIAZ\VARIOS 2008\SOC. MINERA EL COBRE LTD. Mutuo a la V..doc</t>
  </si>
  <si>
    <t>C:\Users\franc\OneDrive\Documentos\MALENTIN KARIME\CESION\RESPALDO LUIS DIAZ\VARIOS 2008\SOC. AGR. LOS ALAMOS LTD. Prot. Contrato.doc</t>
  </si>
  <si>
    <t>C:\Users\franc\OneDrive\Documentos\MALENTIN KARIME\CESION\RESPALDO LUIS DIAZ\VARIOS 2008\SOC. AGR. LOS ALAMOS Contrato.doc</t>
  </si>
  <si>
    <t>C:\Users\franc\OneDrive\Documentos\MALENTIN KARIME\CESION\RESPALDO LUIS DIAZ\VARIOS 2008\SOC. AGR. ANGOSTURA a SUN WORLD.doc</t>
  </si>
  <si>
    <t>C:\Users\franc\OneDrive\Documentos\MALENTIN KARIME\CESION\RESPALDO LUIS DIAZ\VARIOS 2008\SILVIA MANDIOLA O. Prot.Alz.Serviu.doc</t>
  </si>
  <si>
    <t>C:\Users\franc\OneDrive\Documentos\MALENTIN KARIME\CESION\RESPALDO LUIS DIAZ\VARIOS 2008\SILVIA MANDIOLA O. Cta Poder Alzar Proh..doc</t>
  </si>
  <si>
    <t>C:\Users\franc\OneDrive\Documentos\MALENTIN KARIME\CESION\RESPALDO LUIS DIAZ\VARIOS 2008\SILVIA MANDIOLA O. Cta Poder Alzar Hip..doc</t>
  </si>
  <si>
    <t>C:\Users\franc\OneDrive\Documentos\MALENTIN KARIME\CESION\RESPALDO LUIS DIAZ\VARIOS 2008\SILVERIO PEREZ.SEP.doc</t>
  </si>
  <si>
    <t>C:\Users\franc\OneDrive\Documentos\MALENTIN KARIME\CESION\RESPALDO LUIS DIAZ\VARIOS 2008\SILVANA BARRAZA M. Ren.Gananc..doc</t>
  </si>
  <si>
    <t>C:\Users\franc\OneDrive\Documentos\MALENTIN KARIME\CESION\RESPALDO LUIS DIAZ\VARIOS 2008\SEXTA CIA. BOMBEROS OVALLE.doc</t>
  </si>
  <si>
    <t>C:\Users\franc\OneDrive\Documentos\MALENTIN KARIME\CESION\RESPALDO LUIS DIAZ\VARIOS 2008\SERGIO GALLEGUILLOS M. Dclar. Jurada.doc</t>
  </si>
  <si>
    <t>C:\Users\franc\OneDrive\Documentos\MALENTIN KARIME\CESION\RESPALDO LUIS DIAZ\VARIOS 2008\SENEL VELEZ R. a N. TELCHI Mutuo.doc</t>
  </si>
  <si>
    <t>C:\Users\franc\OneDrive\Documentos\MALENTIN KARIME\CESION\RESPALDO LUIS DIAZ\VARIOS 2008\SELIM DABED Y CIA. Poder Esp. Cent. Cayman.doc</t>
  </si>
  <si>
    <t>C:\Users\franc\OneDrive\Documentos\MALENTIN KARIME\CESION\RESPALDO LUIS DIAZ\VARIOS 2008\SELIM DABED Y CIA. Extractos.doc</t>
  </si>
  <si>
    <t>C:\Users\franc\OneDrive\Documentos\MALENTIN KARIME\CESION\RESPALDO LUIS DIAZ\VARIOS 2008\SELIM DABED Y CIA. Dcl. Jurada y Aut..doc</t>
  </si>
  <si>
    <t>C:\Users\franc\OneDrive\Documentos\MALENTIN KARIME\CESION\RESPALDO LUIS DIAZ\VARIOS 2008\SELIM DABED Y CIA a INCOVEG Sum.Materiales.doc</t>
  </si>
  <si>
    <t>C:\Users\franc\OneDrive\Documentos\MALENTIN KARIME\CESION\RESPALDO LUIS DIAZ\VARIOS 2008\SELIM DABED Y CIA a ASECON Mutuo a la Vta..doc</t>
  </si>
  <si>
    <t>C:\Users\franc\OneDrive\Documentos\MALENTIN KARIME\CESION\RESPALDO LUIS DIAZ\VARIOS 2008\SCARLETT CONTRERAS a JORGE POOL.doc</t>
  </si>
  <si>
    <t>C:\Users\franc\OneDrive\Documentos\MALENTIN KARIME\CESION\RESPALDO LUIS DIAZ\VARIOS 2008\SANDRA ALVAREZ Decl. Solteria.doc</t>
  </si>
  <si>
    <t>C:\Users\franc\OneDrive\Documentos\MALENTIN KARIME\CESION\RESPALDO LUIS DIAZ\VARIOS 2008\SAMUEL ROJO Y CIA. a PETROBRAS Mod. Usufructo.doc</t>
  </si>
  <si>
    <t>C:\Users\franc\OneDrive\Documentos\MALENTIN KARIME\CESION\RESPALDO LUIS DIAZ\VARIOS 2008\SAMUEL ROJO Y CIA. a PETROBRAS Borrador.doc</t>
  </si>
  <si>
    <t>C:\Users\franc\OneDrive\Documentos\MALENTIN KARIME\CESION\RESPALDO LUIS DIAZ\VARIOS 2008\S.L.M. AMERICANA UNO Y OTRAS Prot. Dctos..doc</t>
  </si>
  <si>
    <t>C:\Users\franc\OneDrive\Documentos\MALENTIN KARIME\CESION\RESPALDO LUIS DIAZ\VARIOS 2008\S. DABED Y CIA a ASECON Mutuo a la Vta. 2011.doc</t>
  </si>
  <si>
    <t>C:\Users\franc\OneDrive\Documentos\MALENTIN KARIME\CESION\RESPALDO LUIS DIAZ\VARIOS 2008\RUBEN BERRIOS A. a S. DABED Prenda.doc</t>
  </si>
  <si>
    <t>C:\Users\franc\OneDrive\Documentos\MALENTIN KARIME\CESION\RESPALDO LUIS DIAZ\VARIOS 2008\RUBEN BERRIOS a S. DABED Extracto.doc</t>
  </si>
  <si>
    <t>C:\Users\franc\OneDrive\Documentos\MALENTIN KARIME\CESION\RESPALDO LUIS DIAZ\VARIOS 2008\ROSA ARAYA ADONES Sep. de Bienes.doc</t>
  </si>
  <si>
    <t>C:\Users\franc\OneDrive\Documentos\MALENTIN KARIME\CESION\RESPALDO LUIS DIAZ\VARIOS 2008\ROMINA TABILO ZUÑIGA. Repudio.doc</t>
  </si>
  <si>
    <t>C:\Users\franc\OneDrive\Documentos\MALENTIN KARIME\CESION\RESPALDO LUIS DIAZ\VARIOS 2008\ROMINA CONTRERAS M. Repudio.doc</t>
  </si>
  <si>
    <t>C:\Users\franc\OneDrive\Documentos\MALENTIN KARIME\CESION\RESPALDO LUIS DIAZ\VARIOS 2008\RODRIGO CORTES G. Dcl. Jurada.doc</t>
  </si>
  <si>
    <t>C:\Users\franc\OneDrive\Documentos\MALENTIN KARIME\CESION\RESPALDO LUIS DIAZ\VARIOS 2008\RODRIGO CORTES G. Dcl. Int. Magistrados.doc</t>
  </si>
  <si>
    <t>C:\Users\franc\OneDrive\Documentos\MALENTIN KARIME\CESION\RESPALDO LUIS DIAZ\VARIOS 2008\RODRIGO CORTES G. Dcl. de Patrimonio.doc</t>
  </si>
  <si>
    <t>C:\Users\franc\OneDrive\Documentos\MALENTIN KARIME\CESION\RESPALDO LUIS DIAZ\VARIOS 2008\ROBINSON VILLALOBOS Prot.Serviu.doc</t>
  </si>
  <si>
    <t>C:\Users\franc\OneDrive\Documentos\MALENTIN KARIME\CESION\RESPALDO LUIS DIAZ\VARIOS 2008\ROBERTO SALINAS Carta Pod..doc</t>
  </si>
  <si>
    <t>C:\Users\franc\OneDrive\Documentos\MALENTIN KARIME\CESION\RESPALDO LUIS DIAZ\VARIOS 2008\ROBERTO RODRIGUEZ C. Repudio.doc</t>
  </si>
  <si>
    <t>C:\Users\franc\OneDrive\Documentos\MALENTIN KARIME\CESION\RESPALDO LUIS DIAZ\VARIOS 2008\ROBERTO CONTRERAS P. Alz.Serviu.doc</t>
  </si>
  <si>
    <t>C:\Users\franc\OneDrive\Documentos\MALENTIN KARIME\CESION\RESPALDO LUIS DIAZ\VARIOS 2008\RICARDO ROMERO a SILVIA CORTES Avenim..doc</t>
  </si>
  <si>
    <t>C:\Users\franc\OneDrive\Documentos\MALENTIN KARIME\CESION\RESPALDO LUIS DIAZ\VARIOS 2008\RICARDO RISI Protoc. Plano.doc</t>
  </si>
  <si>
    <t>C:\Users\franc\OneDrive\Documentos\MALENTIN KARIME\CESION\RESPALDO LUIS DIAZ\VARIOS 2008\RICARDO RISI Prot. Plano Com.Potrerillo Bajo.doc</t>
  </si>
  <si>
    <t>C:\Users\franc\OneDrive\Documentos\MALENTIN KARIME\CESION\RESPALDO LUIS DIAZ\VARIOS 2008\RICARDO RISI M. Poder Esp. Centennial Cayman.doc</t>
  </si>
  <si>
    <t>C:\Users\franc\OneDrive\Documentos\MALENTIN KARIME\CESION\RESPALDO LUIS DIAZ\VARIOS 2008\RICARDO RISI M. Dcl. Jurada y Aut..doc</t>
  </si>
  <si>
    <t>C:\Users\franc\OneDrive\Documentos\MALENTIN KARIME\CESION\RESPALDO LUIS DIAZ\VARIOS 2008\RICARDO RISI M. Aut. Empalme Electr..doc</t>
  </si>
  <si>
    <t>C:\Users\franc\OneDrive\Documentos\MALENTIN KARIME\CESION\RESPALDO LUIS DIAZ\VARIOS 2008\RICARDO RISI Autoriz. Trabajos.doc</t>
  </si>
  <si>
    <t>C:\Users\franc\OneDrive\Documentos\MALENTIN KARIME\CESION\RESPALDO LUIS DIAZ\VARIOS 2008\RICARDO JIMENEZ L. Refinanc. PET.doc</t>
  </si>
  <si>
    <t>C:\Users\franc\OneDrive\Documentos\MALENTIN KARIME\CESION\RESPALDO LUIS DIAZ\VARIOS 2008\RICARDO FIGUEROA R. Refinanc. PET.doc</t>
  </si>
  <si>
    <t>C:\Users\franc\OneDrive\Documentos\MALENTIN KARIME\CESION\RESPALDO LUIS DIAZ\VARIOS 2008\RENE ALFARO R. Prot.Alz.INDAP.doc</t>
  </si>
  <si>
    <t>C:\Users\franc\OneDrive\Documentos\MALENTIN KARIME\CESION\RESPALDO LUIS DIAZ\VARIOS 2008\Ren. Gananciales.doc</t>
  </si>
  <si>
    <t>C:\Users\franc\OneDrive\Documentos\MALENTIN KARIME\CESION\RESPALDO LUIS DIAZ\VARIOS 2008\RECIBO.doc</t>
  </si>
  <si>
    <t>C:\Users\franc\OneDrive\Documentos\MALENTIN KARIME\CESION\RESPALDO LUIS DIAZ\VARIOS 2008\RECIBO DE DINERO (Bono Notaria).doc</t>
  </si>
  <si>
    <t>C:\Users\franc\OneDrive\Documentos\MALENTIN KARIME\CESION\RESPALDO LUIS DIAZ\VARIOS 2008\REBECA OLMEDO SAAVEDRA.PRO.doc</t>
  </si>
  <si>
    <t>C:\Users\franc\OneDrive\Documentos\MALENTIN KARIME\CESION\RESPALDO LUIS DIAZ\VARIOS 2008\REBECA OLMEDO S. Mausoleo.doc</t>
  </si>
  <si>
    <t>C:\Users\franc\OneDrive\Documentos\MALENTIN KARIME\CESION\RESPALDO LUIS DIAZ\VARIOS 2008\RAUL ULLOA ARENAS Alz. Prenda Veh..doc</t>
  </si>
  <si>
    <t>C:\Users\franc\OneDrive\Documentos\MALENTIN KARIME\CESION\RESPALDO LUIS DIAZ\VARIOS 2008\RAMON MEDALLA R. Refinanc. PET.doc</t>
  </si>
  <si>
    <t>C:\Users\franc\OneDrive\Documentos\MALENTIN KARIME\CESION\RESPALDO LUIS DIAZ\VARIOS 2008\RAMON ANGEL CORTES Servidumbre.doc</t>
  </si>
  <si>
    <t>C:\Users\franc\OneDrive\Documentos\MALENTIN KARIME\CESION\RESPALDO LUIS DIAZ\VARIOS 2008\RAMON ALFARO G. Y OT Regl.Coprop..doc</t>
  </si>
  <si>
    <t>C:\Users\franc\OneDrive\Documentos\MALENTIN KARIME\CESION\RESPALDO LUIS DIAZ\VARIOS 2008\RAFAEL MONTALBAN Mutuo.doc</t>
  </si>
  <si>
    <t>C:\Users\franc\OneDrive\Documentos\MALENTIN KARIME\CESION\RESPALDO LUIS DIAZ\VARIOS 2008\RADIO EL CONQ. Dcl. Jurada.doc</t>
  </si>
  <si>
    <t>C:\Users\franc\OneDrive\Documentos\MALENTIN KARIME\CESION\RESPALDO LUIS DIAZ\VARIOS 2008\RABOINVESTMENTS a ANGOSTURA Mod. Contrato.doc</t>
  </si>
  <si>
    <t>C:\Users\franc\OneDrive\Documentos\MALENTIN KARIME\CESION\RESPALDO LUIS DIAZ\VARIOS 2008\RABOINVESTMENTS a ANGOSTURA Mod. Contr..doc</t>
  </si>
  <si>
    <t>C:\Users\franc\OneDrive\Documentos\MALENTIN KARIME\CESION\RESPALDO LUIS DIAZ\VARIOS 2008\R. DABED a AGR. LLANO NEGRO Usufructo.doc</t>
  </si>
  <si>
    <t>C:\Users\franc\OneDrive\Documentos\MALENTIN KARIME\CESION\RESPALDO LUIS DIAZ\VARIOS 2008\PROTOCOLIZACION Drogas.doc</t>
  </si>
  <si>
    <t>C:\Users\franc\OneDrive\Documentos\MALENTIN KARIME\CESION\RESPALDO LUIS DIAZ\VARIOS 2008\PROTOCOLIZACION Drogas Alejandra.doc</t>
  </si>
  <si>
    <t>C:\Users\franc\OneDrive\Documentos\MALENTIN KARIME\CESION\RESPALDO LUIS DIAZ\VARIOS 2008\PROTOCOLIZ. MANDATO JUDICIAL.doc</t>
  </si>
  <si>
    <t>C:\Users\franc\OneDrive\Documentos\MALENTIN KARIME\CESION\RESPALDO LUIS DIAZ\VARIOS 2008\PROT. NOMBR. NOTARIO SUPL.doc</t>
  </si>
  <si>
    <t>C:\Users\franc\OneDrive\Documentos\MALENTIN KARIME\CESION\RESPALDO LUIS DIAZ\VARIOS 2008\PROGRESO S.A. Leasing.doc</t>
  </si>
  <si>
    <t>C:\Users\franc\OneDrive\Documentos\MALENTIN KARIME\CESION\RESPALDO LUIS DIAZ\VARIOS 2008\PODER.doc</t>
  </si>
  <si>
    <t>C:\Users\franc\OneDrive\Documentos\MALENTIN KARIME\CESION\RESPALDO LUIS DIAZ\VARIOS 2008\personeria mitimae.doc</t>
  </si>
  <si>
    <t>C:\Users\franc\OneDrive\Documentos\MALENTIN KARIME\CESION\RESPALDO LUIS DIAZ\VARIOS 2008\PEDRO PIÑONES C. Refinanc. Pet.doc</t>
  </si>
  <si>
    <t>C:\Users\franc\OneDrive\Documentos\MALENTIN KARIME\CESION\RESPALDO LUIS DIAZ\VARIOS 2008\PEDRO ORO V. Contr. Honorarios.doc</t>
  </si>
  <si>
    <t>C:\Users\franc\OneDrive\Documentos\MALENTIN KARIME\CESION\RESPALDO LUIS DIAZ\VARIOS 2008\PEDRO LOPEZ CONCHA Instrucc..doc</t>
  </si>
  <si>
    <t>C:\Users\franc\OneDrive\Documentos\MALENTIN KARIME\CESION\RESPALDO LUIS DIAZ\VARIOS 2008\PEDRO GUTIERREZ.PRO.doc</t>
  </si>
  <si>
    <t>C:\Users\franc\OneDrive\Documentos\MALENTIN KARIME\CESION\RESPALDO LUIS DIAZ\VARIOS 2008\PEDRO GUTIERREZ 2.doc</t>
  </si>
  <si>
    <t>C:\Users\franc\OneDrive\Documentos\MALENTIN KARIME\CESION\RESPALDO LUIS DIAZ\VARIOS 2008\PATRICIO MARTINEZ Dación en Pago.doc</t>
  </si>
  <si>
    <t>C:\Users\franc\OneDrive\Documentos\MALENTIN KARIME\CESION\RESPALDO LUIS DIAZ\VARIOS 2008\PATRICIO MARTINEZ 2 Dación en Pago.doc</t>
  </si>
  <si>
    <t>C:\Users\franc\OneDrive\Documentos\MALENTIN KARIME\CESION\RESPALDO LUIS DIAZ\VARIOS 2008\PATRICIO ALARCON BLASCO Separac..doc</t>
  </si>
  <si>
    <t>C:\Users\franc\OneDrive\Documentos\MALENTIN KARIME\CESION\RESPALDO LUIS DIAZ\VARIOS 2008\PAOLA SALDIVAR Trabajo.doc</t>
  </si>
  <si>
    <t>C:\Users\franc\OneDrive\Documentos\MALENTIN KARIME\CESION\RESPALDO LUIS DIAZ\VARIOS 2008\PAOLA CONTRERAS B. Refinanc. PET.doc</t>
  </si>
  <si>
    <t>C:\Users\franc\OneDrive\Documentos\MALENTIN KARIME\CESION\RESPALDO LUIS DIAZ\VARIOS 2008\PAOLA CARVAJAL VALENZUELA.doc</t>
  </si>
  <si>
    <t>C:\Users\franc\OneDrive\Documentos\MALENTIN KARIME\CESION\RESPALDO LUIS DIAZ\VARIOS 2008\PAOLA BOTTO M. Fianza Art. 473 C.O.T..doc</t>
  </si>
  <si>
    <t>C:\Users\franc\OneDrive\Documentos\MALENTIN KARIME\CESION\RESPALDO LUIS DIAZ\VARIOS 2008\PAMELA PASTEN B. Refinanc. PET.doc</t>
  </si>
  <si>
    <t>C:\Users\franc\OneDrive\Documentos\MALENTIN KARIME\CESION\RESPALDO LUIS DIAZ\VARIOS 2008\PAGO SALDO DE PRECIO.doc</t>
  </si>
  <si>
    <t>C:\Users\franc\OneDrive\Documentos\MALENTIN KARIME\CESION\RESPALDO LUIS DIAZ\VARIOS 2008\PAGO IMPUESTO VEHICULO.doc</t>
  </si>
  <si>
    <t>C:\Users\franc\OneDrive\Documentos\MALENTIN KARIME\CESION\RESPALDO LUIS DIAZ\VARIOS 2008\PAGO IMPUESTO VEHICULO Protocoliz..doc</t>
  </si>
  <si>
    <t>C:\Users\franc\OneDrive\Documentos\MALENTIN KARIME\CESION\RESPALDO LUIS DIAZ\VARIOS 2008\PAGO IMPUESTO VEHICULO al Margen.doc</t>
  </si>
  <si>
    <t>C:\Users\franc\OneDrive\Documentos\MALENTIN KARIME\CESION\RESPALDO LUIS DIAZ\VARIOS 2008\PAGO DE IMPUESTO.doc</t>
  </si>
  <si>
    <t>C:\Users\franc\OneDrive\Documentos\MALENTIN KARIME\CESION\RESPALDO LUIS DIAZ\VARIOS 2008\PAGO DE IMPUESTO Privado.doc</t>
  </si>
  <si>
    <t>C:\Users\franc\OneDrive\Documentos\MALENTIN KARIME\CESION\RESPALDO LUIS DIAZ\VARIOS 2008\PABLO VALENCIA. Repudia Herencia.doc</t>
  </si>
  <si>
    <t>C:\Users\franc\OneDrive\Documentos\MALENTIN KARIME\CESION\RESPALDO LUIS DIAZ\VARIOS 2008\PABLO PIZARRO C. Recibo.doc</t>
  </si>
  <si>
    <t>C:\Users\franc\OneDrive\Documentos\MALENTIN KARIME\CESION\RESPALDO LUIS DIAZ\VARIOS 2008\PABLO DANKE.AUT.doc</t>
  </si>
  <si>
    <t>C:\Users\franc\OneDrive\Documentos\MALENTIN KARIME\CESION\RESPALDO LUIS DIAZ\VARIOS 2008\PABLO CAMPILLAY DIAZ.doc</t>
  </si>
  <si>
    <t>C:\Users\franc\OneDrive\Documentos\MALENTIN KARIME\CESION\RESPALDO LUIS DIAZ\VARIOS 2008\OSCAR TAPIA NAREA Contrato Hon..doc</t>
  </si>
  <si>
    <t>C:\Users\franc\OneDrive\Documentos\MALENTIN KARIME\CESION\RESPALDO LUIS DIAZ\VARIOS 2008\OSCAR CASTILLO.PRO.doc</t>
  </si>
  <si>
    <t>C:\Users\franc\OneDrive\Documentos\MALENTIN KARIME\CESION\RESPALDO LUIS DIAZ\VARIOS 2008\OPTAR CARGO PUBLICO.doc</t>
  </si>
  <si>
    <t>C:\Users\franc\OneDrive\Documentos\MALENTIN KARIME\CESION\RESPALDO LUIS DIAZ\VARIOS 2008\OMAR TOVAR TOVAR.SEP.doc</t>
  </si>
  <si>
    <t>C:\Users\franc\OneDrive\Documentos\MALENTIN KARIME\CESION\RESPALDO LUIS DIAZ\VARIOS 2008\OLGA CORRAL J. Mutuo a la Vta.doc</t>
  </si>
  <si>
    <t>C:\Users\franc\OneDrive\Documentos\MALENTIN KARIME\CESION\RESPALDO LUIS DIAZ\VARIOS 2008\O.N.G. NVOS TIEMPOS Res. y Prot.doc</t>
  </si>
  <si>
    <t>C:\Users\franc\OneDrive\Documentos\MALENTIN KARIME\CESION\RESPALDO LUIS DIAZ\VARIOS 2008\NOTARIO SUPLENTE Manlio Mettifogo.doc</t>
  </si>
  <si>
    <t>C:\Users\franc\OneDrive\Documentos\MALENTIN KARIME\CESION\RESPALDO LUIS DIAZ\VARIOS 2008\NOTARIO SUPLENTE Ma. Antonieta Medina.doc</t>
  </si>
  <si>
    <t>C:\Users\franc\OneDrive\Documentos\MALENTIN KARIME\CESION\RESPALDO LUIS DIAZ\VARIOS 2008\NOTARIO SUPL. MIGUEL ALVAREZ.doc</t>
  </si>
  <si>
    <t>C:\Users\franc\OneDrive\Documentos\MALENTIN KARIME\CESION\RESPALDO LUIS DIAZ\VARIOS 2008\Nota Protoc. dctos. al margen.doc</t>
  </si>
  <si>
    <t>C:\Users\franc\OneDrive\Documentos\MALENTIN KARIME\CESION\RESPALDO LUIS DIAZ\VARIOS 2008\Nota al margen Rectific. Protoc..doc</t>
  </si>
  <si>
    <t>C:\Users\franc\OneDrive\Documentos\MALENTIN KARIME\CESION\RESPALDO LUIS DIAZ\VARIOS 2008\Nota al margen Matriz PAGO CUOTA.doc</t>
  </si>
  <si>
    <t>C:\Users\franc\OneDrive\Documentos\MALENTIN KARIME\CESION\RESPALDO LUIS DIAZ\VARIOS 2008\Nota al margen Matriz CANC.PRECIO.doc</t>
  </si>
  <si>
    <t>C:\Users\franc\OneDrive\Documentos\MALENTIN KARIME\CESION\RESPALDO LUIS DIAZ\VARIOS 2008\Nota al margen Matriz (Resciliación).doc</t>
  </si>
  <si>
    <t>C:\Users\franc\OneDrive\Documentos\MALENTIN KARIME\CESION\RESPALDO LUIS DIAZ\VARIOS 2008\Nota al margen Factura.doc</t>
  </si>
  <si>
    <t>C:\Users\franc\OneDrive\Documentos\MALENTIN KARIME\CESION\RESPALDO LUIS DIAZ\VARIOS 2008\Nota al margen en Rectific..doc</t>
  </si>
  <si>
    <t>C:\Users\franc\OneDrive\Documentos\MALENTIN KARIME\CESION\RESPALDO LUIS DIAZ\VARIOS 2008\Nota al margen en Matriz.doc</t>
  </si>
  <si>
    <t>C:\Users\franc\OneDrive\Documentos\MALENTIN KARIME\CESION\RESPALDO LUIS DIAZ\VARIOS 2008\Nota al margen en Matriz Protoc..doc</t>
  </si>
  <si>
    <t>C:\Users\franc\OneDrive\Documentos\MALENTIN KARIME\CESION\RESPALDO LUIS DIAZ\VARIOS 2008\Nota al margen corregir error.doc</t>
  </si>
  <si>
    <t>C:\Users\franc\OneDrive\Documentos\MALENTIN KARIME\CESION\RESPALDO LUIS DIAZ\VARIOS 2008\Nota al margen corregir error Fecha.doc</t>
  </si>
  <si>
    <t>C:\Users\franc\OneDrive\Documentos\MALENTIN KARIME\CESION\RESPALDO LUIS DIAZ\VARIOS 2008\Nota al margen Constancia.doc</t>
  </si>
  <si>
    <t>C:\Users\franc\OneDrive\Documentos\MALENTIN KARIME\CESION\RESPALDO LUIS DIAZ\VARIOS 2008\Nota Acredita Personería.doc</t>
  </si>
  <si>
    <t>C:\Users\franc\OneDrive\Documentos\MALENTIN KARIME\CESION\RESPALDO LUIS DIAZ\VARIOS 2008\NORMA CARTER a DANIELA BOLADOS Mutuo.doc</t>
  </si>
  <si>
    <t>C:\Users\franc\OneDrive\Documentos\MALENTIN KARIME\CESION\RESPALDO LUIS DIAZ\VARIOS 2008\NORA VALDES MUÑOZ. Refinanc. PET.doc</t>
  </si>
  <si>
    <t>C:\Users\franc\OneDrive\Documentos\MALENTIN KARIME\CESION\RESPALDO LUIS DIAZ\VARIOS 2008\NIVALDOPERINES.PRO.doc</t>
  </si>
  <si>
    <t>C:\Users\franc\OneDrive\Documentos\MALENTIN KARIME\CESION\RESPALDO LUIS DIAZ\VARIOS 2008\NINTRADE SPA. Protocoliz. Soc..doc</t>
  </si>
  <si>
    <t>C:\Users\franc\OneDrive\Documentos\MALENTIN KARIME\CESION\RESPALDO LUIS DIAZ\VARIOS 2008\NINTRADE SPA. Protocoliz. Dctos. Soc..doc</t>
  </si>
  <si>
    <t>C:\Users\franc\OneDrive\Documentos\MALENTIN KARIME\CESION\RESPALDO LUIS DIAZ\VARIOS 2008\NARESH BHAGWAN Prot.Carta Pod.doc</t>
  </si>
  <si>
    <t>C:\Users\franc\OneDrive\Documentos\MALENTIN KARIME\CESION\RESPALDO LUIS DIAZ\VARIOS 2008\MYRTA RIVERA.PRO.doc</t>
  </si>
  <si>
    <t>C:\Users\franc\OneDrive\Documentos\MALENTIN KARIME\CESION\RESPALDO LUIS DIAZ\VARIOS 2008\MUNI. OVALLE a MARCELA ZAVALA Alz..doc</t>
  </si>
  <si>
    <t>C:\Users\franc\OneDrive\Documentos\MALENTIN KARIME\CESION\RESPALDO LUIS DIAZ\VARIOS 2008\MUNI. OVALLE a FREDY JAIME Alz..doc</t>
  </si>
  <si>
    <t>C:\Users\franc\OneDrive\Documentos\MALENTIN KARIME\CESION\RESPALDO LUIS DIAZ\VARIOS 2008\MUNI. OVALLE a FLORIDOR ZAMBRA Alz..doc</t>
  </si>
  <si>
    <t>C:\Users\franc\OneDrive\Documentos\MALENTIN KARIME\CESION\RESPALDO LUIS DIAZ\VARIOS 2008\MUNI. OVALLE a CARMEN MUÑOZ Alz..doc</t>
  </si>
  <si>
    <t>C:\Users\franc\OneDrive\Documentos\MALENTIN KARIME\CESION\RESPALDO LUIS DIAZ\VARIOS 2008\MODELO TRANSACCION.doc</t>
  </si>
  <si>
    <t>C:\Users\franc\OneDrive\Documentos\MALENTIN KARIME\CESION\RESPALDO LUIS DIAZ\VARIOS 2008\MODELO Separación de Bienes.doc</t>
  </si>
  <si>
    <t>C:\Users\franc\OneDrive\Documentos\MALENTIN KARIME\CESION\RESPALDO LUIS DIAZ\VARIOS 2008\MODELO Ren. Usufructo.doc</t>
  </si>
  <si>
    <t>C:\Users\franc\OneDrive\Documentos\MALENTIN KARIME\CESION\RESPALDO LUIS DIAZ\VARIOS 2008\MODELO Rec.Deuda.doc</t>
  </si>
  <si>
    <t>C:\Users\franc\OneDrive\Documentos\MALENTIN KARIME\CESION\RESPALDO LUIS DIAZ\VARIOS 2008\MODELO NOTARIO.doc</t>
  </si>
  <si>
    <t>C:\Users\franc\OneDrive\Documentos\MALENTIN KARIME\CESION\RESPALDO LUIS DIAZ\VARIOS 2008\MODELO MUTUO A LA VISTA.doc</t>
  </si>
  <si>
    <t>C:\Users\franc\OneDrive\Documentos\MALENTIN KARIME\CESION\RESPALDO LUIS DIAZ\VARIOS 2008\MODELO Liquidación Soc. Cony..doc</t>
  </si>
  <si>
    <t>C:\Users\franc\OneDrive\Documentos\MALENTIN KARIME\CESION\RESPALDO LUIS DIAZ\VARIOS 2008\MODELO III Dación en Pago.doc</t>
  </si>
  <si>
    <t>C:\Users\franc\OneDrive\Documentos\MALENTIN KARIME\CESION\RESPALDO LUIS DIAZ\VARIOS 2008\MODELO II Liquid. Soc. Conyugal.doc</t>
  </si>
  <si>
    <t>C:\Users\franc\OneDrive\Documentos\MALENTIN KARIME\CESION\RESPALDO LUIS DIAZ\VARIOS 2008\MODELO II Dación en Pago.doc</t>
  </si>
  <si>
    <t>C:\Users\franc\OneDrive\Documentos\MALENTIN KARIME\CESION\RESPALDO LUIS DIAZ\VARIOS 2008\MODELO Dación en Pago.doc</t>
  </si>
  <si>
    <t>C:\Users\franc\OneDrive\Documentos\MALENTIN KARIME\CESION\RESPALDO LUIS DIAZ\VARIOS 2008\Modelo Certif. Residencia con t..doc</t>
  </si>
  <si>
    <t>C:\Users\franc\OneDrive\Documentos\MALENTIN KARIME\CESION\RESPALDO LUIS DIAZ\VARIOS 2008\MODELO CARTA RENUNCIA.doc</t>
  </si>
  <si>
    <t>C:\Users\franc\OneDrive\Documentos\MALENTIN KARIME\CESION\RESPALDO LUIS DIAZ\VARIOS 2008\MODELO 2 Rec.Deuda.doc</t>
  </si>
  <si>
    <t>C:\Users\franc\OneDrive\Documentos\MALENTIN KARIME\CESION\RESPALDO LUIS DIAZ\VARIOS 2008\MODELO   FORMULARIO  24.doc</t>
  </si>
  <si>
    <t>C:\Users\franc\OneDrive\Documentos\MALENTIN KARIME\CESION\RESPALDO LUIS DIAZ\VARIOS 2008\MINUTA2.CBR.doc</t>
  </si>
  <si>
    <t>C:\Users\franc\OneDrive\Documentos\MALENTIN KARIME\CESION\RESPALDO LUIS DIAZ\VARIOS 2008\MINUTA.CBR.doc</t>
  </si>
  <si>
    <t>C:\Users\franc\OneDrive\Documentos\MALENTIN KARIME\CESION\RESPALDO LUIS DIAZ\VARIOS 2008\MINUTA RECTIFICATORIA DESLINDES.doc</t>
  </si>
  <si>
    <t>C:\Users\franc\OneDrive\Documentos\MALENTIN KARIME\CESION\RESPALDO LUIS DIAZ\VARIOS 2008\MINUTA PLANO C.B.R..doc</t>
  </si>
  <si>
    <t>C:\Users\franc\OneDrive\Documentos\MALENTIN KARIME\CESION\RESPALDO LUIS DIAZ\VARIOS 2008\MINUTA C.B.R. Rectif. Nombre.doc</t>
  </si>
  <si>
    <t>C:\Users\franc\OneDrive\Documentos\MALENTIN KARIME\CESION\RESPALDO LUIS DIAZ\VARIOS 2008\MINUTA 3. CBR sanear aguas.doc</t>
  </si>
  <si>
    <t>C:\Users\franc\OneDrive\Documentos\MALENTIN KARIME\CESION\RESPALDO LUIS DIAZ\VARIOS 2008\MIGUEL TOLEDO N. Ampl. Inv..doc</t>
  </si>
  <si>
    <t>C:\Users\franc\OneDrive\Documentos\MALENTIN KARIME\CESION\RESPALDO LUIS DIAZ\VARIOS 2008\MIGUEL TAPIA a HERNAN TELLO Autoriz. Transitar.doc</t>
  </si>
  <si>
    <t>C:\Users\franc\OneDrive\Documentos\MALENTIN KARIME\CESION\RESPALDO LUIS DIAZ\VARIOS 2008\MIGUEL OSSANDON R. Repudio.doc</t>
  </si>
  <si>
    <t>C:\Users\franc\OneDrive\Documentos\MALENTIN KARIME\CESION\RESPALDO LUIS DIAZ\VARIOS 2008\MIGUEL MATURANA Patria Potestad.doc</t>
  </si>
  <si>
    <t>C:\Users\franc\OneDrive\Documentos\MALENTIN KARIME\CESION\RESPALDO LUIS DIAZ\VARIOS 2008\MIGUEL MARTINEZ A. Refinanc. PET.doc</t>
  </si>
  <si>
    <t>C:\Users\franc\OneDrive\Documentos\MALENTIN KARIME\CESION\RESPALDO LUIS DIAZ\VARIOS 2008\MIGUEL GONZALEZ R. Sep. Bienes y Renuncia G..doc</t>
  </si>
  <si>
    <t>C:\Users\franc\OneDrive\Documentos\MALENTIN KARIME\CESION\RESPALDO LUIS DIAZ\VARIOS 2008\MIGUEL COLLIPAL Instrucc..doc</t>
  </si>
  <si>
    <t>C:\Users\franc\OneDrive\Documentos\MALENTIN KARIME\CESION\RESPALDO LUIS DIAZ\VARIOS 2008\MIGUEL CARVAJAL Prot.Serviu.Alz.doc</t>
  </si>
  <si>
    <t>C:\Users\franc\OneDrive\Documentos\MALENTIN KARIME\CESION\RESPALDO LUIS DIAZ\VARIOS 2008\MIGUEL AGUIRRE GUZMAN Transacc..doc</t>
  </si>
  <si>
    <t>C:\Users\franc\OneDrive\Documentos\MALENTIN KARIME\CESION\RESPALDO LUIS DIAZ\VARIOS 2008\MELIDA LEYTON P. Transac. Alim. Menores.doc</t>
  </si>
  <si>
    <t>C:\Users\franc\OneDrive\Documentos\MALENTIN KARIME\CESION\RESPALDO LUIS DIAZ\VARIOS 2008\MAXIMO ARRIAGADA a COPEVAL Prenda.doc</t>
  </si>
  <si>
    <t>C:\Users\franc\OneDrive\Documentos\MALENTIN KARIME\CESION\RESPALDO LUIS DIAZ\VARIOS 2008\MAXIMO ARRIAGADA a COPEVAL Extracto.doc</t>
  </si>
  <si>
    <t>C:\Users\franc\OneDrive\Documentos\MALENTIN KARIME\CESION\RESPALDO LUIS DIAZ\VARIOS 2008\MAURICIO GALLEGUILLOS Rec.Deuda.doc</t>
  </si>
  <si>
    <t>C:\Users\franc\OneDrive\Documentos\MALENTIN KARIME\CESION\RESPALDO LUIS DIAZ\VARIOS 2008\MAURICIO GALLEGUILLOS II Rec.Deuda.doc</t>
  </si>
  <si>
    <t>C:\Users\franc\OneDrive\Documentos\MALENTIN KARIME\CESION\RESPALDO LUIS DIAZ\VARIOS 2008\MARY CASTILLO P. Inv. Solemne.doc</t>
  </si>
  <si>
    <t>C:\Users\franc\OneDrive\Documentos\MALENTIN KARIME\CESION\RESPALDO LUIS DIAZ\VARIOS 2008\MARTA GALLARDO V. Prot. Alz. Serviu.doc</t>
  </si>
  <si>
    <t>C:\Users\franc\OneDrive\Documentos\MALENTIN KARIME\CESION\RESPALDO LUIS DIAZ\VARIOS 2008\MARISOL HURTADO Solicitar Facturas.doc</t>
  </si>
  <si>
    <t>C:\Users\franc\OneDrive\Documentos\MALENTIN KARIME\CESION\RESPALDO LUIS DIAZ\VARIOS 2008\MARISOL HURTADO M. Poder SII.doc</t>
  </si>
  <si>
    <t>C:\Users\franc\OneDrive\Documentos\MALENTIN KARIME\CESION\RESPALDO LUIS DIAZ\VARIOS 2008\MARISOL HURTADO M. Dcl. Jurada.doc</t>
  </si>
  <si>
    <t>C:\Users\franc\OneDrive\Documentos\MALENTIN KARIME\CESION\RESPALDO LUIS DIAZ\VARIOS 2008\MARISOL HURTADO Com. Jimenez y Tapia.doc</t>
  </si>
  <si>
    <t>C:\Users\franc\OneDrive\Documentos\MALENTIN KARIME\CESION\RESPALDO LUIS DIAZ\VARIOS 2008\MARISOL HURTADO Certificado.doc</t>
  </si>
  <si>
    <t>C:\Users\franc\OneDrive\Documentos\MALENTIN KARIME\CESION\RESPALDO LUIS DIAZ\VARIOS 2008\MARINA AGUIRRE A. Sep. Bienes y Renuncia.doc</t>
  </si>
  <si>
    <t>C:\Users\franc\OneDrive\Documentos\MALENTIN KARIME\CESION\RESPALDO LUIS DIAZ\VARIOS 2008\MARIA VIDELA a JORGE LARRONDO Cv..doc</t>
  </si>
  <si>
    <t>C:\Users\franc\OneDrive\Documentos\MALENTIN KARIME\CESION\RESPALDO LUIS DIAZ\VARIOS 2008\MARIA VIDELA a JORGE LARRONDO Canc.Saldo Precio.doc</t>
  </si>
  <si>
    <t>C:\Users\franc\OneDrive\Documentos\MALENTIN KARIME\CESION\RESPALDO LUIS DIAZ\VARIOS 2008\MARIA TAPIA TAPIA. Refinanc. PET.doc</t>
  </si>
  <si>
    <t>C:\Users\franc\OneDrive\Documentos\MALENTIN KARIME\CESION\RESPALDO LUIS DIAZ\VARIOS 2008\MARIA PEREZ GUERRA. Refinanc. PET.doc</t>
  </si>
  <si>
    <t>C:\Users\franc\OneDrive\Documentos\MALENTIN KARIME\CESION\RESPALDO LUIS DIAZ\VARIOS 2008\MARIA OJEDA LOPEZ Contrato Hon..doc</t>
  </si>
  <si>
    <t>C:\Users\franc\OneDrive\Documentos\MALENTIN KARIME\CESION\RESPALDO LUIS DIAZ\VARIOS 2008\MARIA MORALES A. Renunc. Usufructo.doc</t>
  </si>
  <si>
    <t>C:\Users\franc\OneDrive\Documentos\MALENTIN KARIME\CESION\RESPALDO LUIS DIAZ\VARIOS 2008\MARIA MOLINA VARAS Inv. Simple.doc</t>
  </si>
  <si>
    <t>C:\Users\franc\OneDrive\Documentos\MALENTIN KARIME\CESION\RESPALDO LUIS DIAZ\VARIOS 2008\MARIA MANCILLA E.I.R.L. Dac. Pago.doc</t>
  </si>
  <si>
    <t>C:\Users\franc\OneDrive\Documentos\MALENTIN KARIME\CESION\RESPALDO LUIS DIAZ\VARIOS 2008\MARIA EGAÑA M. Refinanc. PET.doc</t>
  </si>
  <si>
    <t>C:\Users\franc\OneDrive\Documentos\MALENTIN KARIME\CESION\RESPALDO LUIS DIAZ\VARIOS 2008\MARIA CERDA RIVERA Renunc. Usufructo.doc</t>
  </si>
  <si>
    <t>C:\Users\franc\OneDrive\Documentos\MALENTIN KARIME\CESION\RESPALDO LUIS DIAZ\VARIOS 2008\MARIA ALVAREZ J. Repudia Herencia.doc</t>
  </si>
  <si>
    <t>C:\Users\franc\OneDrive\Documentos\MALENTIN KARIME\CESION\RESPALDO LUIS DIAZ\VARIOS 2008\MARIA A. MARIN FERNANDEZ.doc</t>
  </si>
  <si>
    <t>C:\Users\franc\OneDrive\Documentos\MALENTIN KARIME\CESION\RESPALDO LUIS DIAZ\VARIOS 2008\MARGARITA DIAZ FARIAS Prot. Comodato.doc</t>
  </si>
  <si>
    <t>C:\Users\franc\OneDrive\Documentos\MALENTIN KARIME\CESION\RESPALDO LUIS DIAZ\VARIOS 2008\MARCELO BUSTOS V. Dcl. de Intereses.doc</t>
  </si>
  <si>
    <t>C:\Users\franc\OneDrive\Documentos\MALENTIN KARIME\CESION\RESPALDO LUIS DIAZ\VARIOS 2008\MARCELO ALCAYAGA G. a V. MONROY Poder SII.doc</t>
  </si>
  <si>
    <t>C:\Users\franc\OneDrive\Documentos\MALENTIN KARIME\CESION\RESPALDO LUIS DIAZ\VARIOS 2008\MARCELA TAIBA ARAYA Carta Poder.doc</t>
  </si>
  <si>
    <t>C:\Users\franc\OneDrive\Documentos\MALENTIN KARIME\CESION\RESPALDO LUIS DIAZ\VARIOS 2008\MARCELA CAMPOSANO a A. PINCHEIRA Acc. en S.A..doc</t>
  </si>
  <si>
    <t>C:\Users\franc\OneDrive\Documentos\MALENTIN KARIME\CESION\RESPALDO LUIS DIAZ\VARIOS 2008\MANUEL CORTES B. Cv. de Acciones.doc</t>
  </si>
  <si>
    <t>C:\Users\franc\OneDrive\Documentos\MALENTIN KARIME\CESION\RESPALDO LUIS DIAZ\VARIOS 2008\MANUEL CONTADOR Prot. Certificados Residencia.doc</t>
  </si>
  <si>
    <t>C:\Users\franc\OneDrive\Documentos\MALENTIN KARIME\CESION\RESPALDO LUIS DIAZ\VARIOS 2008\MANUEL CONTADOR C. Dcl. Escr.Publ..doc</t>
  </si>
  <si>
    <t>C:\Users\franc\OneDrive\Documentos\MALENTIN KARIME\CESION\RESPALDO LUIS DIAZ\VARIOS 2008\MAKARENA ADONES a ENOC P. Acuerdo.doc</t>
  </si>
  <si>
    <t>C:\Users\franc\OneDrive\Documentos\MALENTIN KARIME\CESION\RESPALDO LUIS DIAZ\VARIOS 2008\MAITENES DE SERON.PRO.doc</t>
  </si>
  <si>
    <t>C:\Users\franc\OneDrive\Documentos\MALENTIN KARIME\CESION\RESPALDO LUIS DIAZ\VARIOS 2008\MAGISTRADO.CAR.doc</t>
  </si>
  <si>
    <t>C:\Users\franc\OneDrive\Documentos\MALENTIN KARIME\CESION\RESPALDO LUIS DIAZ\VARIOS 2008\MAGALI GOTTREUX.MUT3.doc</t>
  </si>
  <si>
    <t>C:\Users\franc\OneDrive\Documentos\MALENTIN KARIME\CESION\RESPALDO LUIS DIAZ\VARIOS 2008\MAGALI GOTTREUX.MUT2.doc</t>
  </si>
  <si>
    <t>C:\Users\franc\OneDrive\Documentos\MALENTIN KARIME\CESION\RESPALDO LUIS DIAZ\VARIOS 2008\MAGALI GOTTREUX.MUT.doc</t>
  </si>
  <si>
    <t>C:\Users\franc\OneDrive\Documentos\MALENTIN KARIME\CESION\RESPALDO LUIS DIAZ\VARIOS 2008\MADELYN ALFARO A. Repudio.doc</t>
  </si>
  <si>
    <t>C:\Users\franc\OneDrive\Documentos\MALENTIN KARIME\CESION\RESPALDO LUIS DIAZ\VARIOS 2008\LUZ ONDINA MUÑOZ Instruc..doc</t>
  </si>
  <si>
    <t>C:\Users\franc\OneDrive\Documentos\MALENTIN KARIME\CESION\RESPALDO LUIS DIAZ\VARIOS 2008\LUZ GONZALEZ Y OTRO Ampl. Inventario.doc</t>
  </si>
  <si>
    <t>C:\Users\franc\OneDrive\Documentos\MALENTIN KARIME\CESION\RESPALDO LUIS DIAZ\VARIOS 2008\LUIS NORTES PEÑALOZA Hipoteca.doc</t>
  </si>
  <si>
    <t>C:\Users\franc\OneDrive\Documentos\MALENTIN KARIME\CESION\RESPALDO LUIS DIAZ\VARIOS 2008\LUIS DIAZ.DCL.doc</t>
  </si>
  <si>
    <t>C:\Users\franc\OneDrive\Documentos\MALENTIN KARIME\CESION\RESPALDO LUIS DIAZ\VARIOS 2008\LUIS DIAZ.AUT.doc</t>
  </si>
  <si>
    <t>C:\Users\franc\OneDrive\Documentos\MALENTIN KARIME\CESION\RESPALDO LUIS DIAZ\VARIOS 2008\LUIS DIAZ Carta Poder.doc</t>
  </si>
  <si>
    <t>C:\Users\franc\OneDrive\Documentos\MALENTIN KARIME\CESION\RESPALDO LUIS DIAZ\VARIOS 2008\LUIS DIAZ Carta Poder a Contador.doc</t>
  </si>
  <si>
    <t>C:\Users\franc\OneDrive\Documentos\MALENTIN KARIME\CESION\RESPALDO LUIS DIAZ\VARIOS 2008\LUIS DIAZ A. Prot. Alz. Serviu.doc</t>
  </si>
  <si>
    <t>C:\Users\franc\OneDrive\Documentos\MALENTIN KARIME\CESION\RESPALDO LUIS DIAZ\VARIOS 2008\LUIS DIAZ A. Dcl. Jurada2.doc</t>
  </si>
  <si>
    <t>C:\Users\franc\OneDrive\Documentos\MALENTIN KARIME\CESION\RESPALDO LUIS DIAZ\VARIOS 2008\LUIS DIAZ A. Dcl. Jurada.doc</t>
  </si>
  <si>
    <t>C:\Users\franc\OneDrive\Documentos\MALENTIN KARIME\CESION\RESPALDO LUIS DIAZ\VARIOS 2008\LUIS CORTES J. a S. DABED Prenda.doc</t>
  </si>
  <si>
    <t>C:\Users\franc\OneDrive\Documentos\MALENTIN KARIME\CESION\RESPALDO LUIS DIAZ\VARIOS 2008\LUIS CORTES J. a S. DABED Extracto.doc</t>
  </si>
  <si>
    <t>C:\Users\franc\OneDrive\Documentos\MALENTIN KARIME\CESION\RESPALDO LUIS DIAZ\VARIOS 2008\LUIS ASTUDILLO a J. POLANCO Honorar..doc</t>
  </si>
  <si>
    <t>C:\Users\franc\OneDrive\Documentos\MALENTIN KARIME\CESION\RESPALDO LUIS DIAZ\VARIOS 2008\LUIS ARAYA V. Ratif. cónyuge.doc</t>
  </si>
  <si>
    <t>C:\Users\franc\OneDrive\Documentos\MALENTIN KARIME\CESION\RESPALDO LUIS DIAZ\VARIOS 2008\LOMBARDO CHACANA Recibo.doc</t>
  </si>
  <si>
    <t>C:\Users\franc\OneDrive\Documentos\MALENTIN KARIME\CESION\RESPALDO LUIS DIAZ\VARIOS 2008\LETRA FORM. 24.doc</t>
  </si>
  <si>
    <t>C:\Users\franc\OneDrive\Documentos\MALENTIN KARIME\CESION\RESPALDO LUIS DIAZ\VARIOS 2008\LETRA AUTORIZ..doc</t>
  </si>
  <si>
    <t>C:\Users\franc\OneDrive\Documentos\MALENTIN KARIME\CESION\RESPALDO LUIS DIAZ\VARIOS 2008\LEONARDO ROJAS A. Desafectación.doc</t>
  </si>
  <si>
    <t>C:\Users\franc\OneDrive\Documentos\MALENTIN KARIME\CESION\RESPALDO LUIS DIAZ\VARIOS 2008\LAURA ROJAS VILLANUEVA Ren. Gananciales.doc</t>
  </si>
  <si>
    <t>C:\Users\franc\OneDrive\Documentos\MALENTIN KARIME\CESION\RESPALDO LUIS DIAZ\VARIOS 2008\LADY TORO Acuerdo Regulador.doc</t>
  </si>
  <si>
    <t>C:\Users\franc\OneDrive\Documentos\MALENTIN KARIME\CESION\RESPALDO LUIS DIAZ\VARIOS 2008\KAREN MOLINA a EDGARDO T. Transacc..doc</t>
  </si>
  <si>
    <t>C:\Users\franc\OneDrive\Documentos\MALENTIN KARIME\CESION\RESPALDO LUIS DIAZ\VARIOS 2008\KAREN GARRIDO C. Repudio.doc</t>
  </si>
  <si>
    <t>C:\Users\franc\OneDrive\Documentos\MALENTIN KARIME\CESION\RESPALDO LUIS DIAZ\VARIOS 2008\JUNTA VIGILANCIA RIO HUATULAME Transacción.doc</t>
  </si>
  <si>
    <t>C:\Users\franc\OneDrive\Documentos\MALENTIN KARIME\CESION\RESPALDO LUIS DIAZ\VARIOS 2008\JUNTA VECINOS PACIFICO.PRO.doc</t>
  </si>
  <si>
    <t>C:\Users\franc\OneDrive\Documentos\MALENTIN KARIME\CESION\RESPALDO LUIS DIAZ\VARIOS 2008\JUNTA VECINOS Nº 13 SOTAQUI.doc</t>
  </si>
  <si>
    <t>C:\Users\franc\OneDrive\Documentos\MALENTIN KARIME\CESION\RESPALDO LUIS DIAZ\VARIOS 2008\JUNTA VECINOS CCHA RAYADA.PRO.doc</t>
  </si>
  <si>
    <t>C:\Users\franc\OneDrive\Documentos\MALENTIN KARIME\CESION\RESPALDO LUIS DIAZ\VARIOS 2008\JULY MORALES T. Repudio.doc</t>
  </si>
  <si>
    <t>C:\Users\franc\OneDrive\Documentos\MALENTIN KARIME\CESION\RESPALDO LUIS DIAZ\VARIOS 2008\JUAN RAMOS LEDEZMA Mutuo a la Vta.doc</t>
  </si>
  <si>
    <t>C:\Users\franc\OneDrive\Documentos\MALENTIN KARIME\CESION\RESPALDO LUIS DIAZ\VARIOS 2008\JUAN PIZARRO YAÑEZ. Serviu.doc</t>
  </si>
  <si>
    <t>C:\Users\franc\OneDrive\Documentos\MALENTIN KARIME\CESION\RESPALDO LUIS DIAZ\VARIOS 2008\JUAN PIZARRO G. Mutuo a la Vta.doc</t>
  </si>
  <si>
    <t>C:\Users\franc\OneDrive\Documentos\MALENTIN KARIME\CESION\RESPALDO LUIS DIAZ\VARIOS 2008\JUAN PABLO PEÑA TOBAR Juez.doc</t>
  </si>
  <si>
    <t>C:\Users\franc\OneDrive\Documentos\MALENTIN KARIME\CESION\RESPALDO LUIS DIAZ\VARIOS 2008\JUAN ALFARO M. Refinanc. Pet.doc</t>
  </si>
  <si>
    <t>C:\Users\franc\OneDrive\Documentos\MALENTIN KARIME\CESION\RESPALDO LUIS DIAZ\VARIOS 2008\JUAN ALFARO JOFRE Prot. Serviu.doc</t>
  </si>
  <si>
    <t>C:\Users\franc\OneDrive\Documentos\MALENTIN KARIME\CESION\RESPALDO LUIS DIAZ\VARIOS 2008\JUAN ALBANEZ VERGARA Rec. Deuda.doc</t>
  </si>
  <si>
    <t>C:\Users\franc\OneDrive\Documentos\MALENTIN KARIME\CESION\RESPALDO LUIS DIAZ\VARIOS 2008\JTA VECINOS N. 6 LAGUNILLAS.doc</t>
  </si>
  <si>
    <t>C:\Users\franc\OneDrive\Documentos\MALENTIN KARIME\CESION\RESPALDO LUIS DIAZ\VARIOS 2008\JOSE VILLALOBOS Prot. Alz. Serviu.doc</t>
  </si>
  <si>
    <t>C:\Users\franc\OneDrive\Documentos\MALENTIN KARIME\CESION\RESPALDO LUIS DIAZ\VARIOS 2008\JOSE OLIVARES LARA Prot.Alz.Prohib.doc</t>
  </si>
  <si>
    <t>C:\Users\franc\OneDrive\Documentos\MALENTIN KARIME\CESION\RESPALDO LUIS DIAZ\VARIOS 2008\JOSE IGNACIO CORTES Y OTRA Transacción.doc</t>
  </si>
  <si>
    <t>C:\Users\franc\OneDrive\Documentos\MALENTIN KARIME\CESION\RESPALDO LUIS DIAZ\VARIOS 2008\JOSE ANDRADE S. Refinanc. Pet.doc</t>
  </si>
  <si>
    <t>C:\Users\franc\OneDrive\Documentos\MALENTIN KARIME\CESION\RESPALDO LUIS DIAZ\VARIOS 2008\JOSE ALLENDE GÜELL Término Usufructo.doc</t>
  </si>
  <si>
    <t>C:\Users\franc\OneDrive\Documentos\MALENTIN KARIME\CESION\RESPALDO LUIS DIAZ\VARIOS 2008\JOSE ADAOS.PRO.PRH.doc</t>
  </si>
  <si>
    <t>C:\Users\franc\OneDrive\Documentos\MALENTIN KARIME\CESION\RESPALDO LUIS DIAZ\VARIOS 2008\JORGELINA ROJAS Acuerdo, Mutuo y Mand..doc</t>
  </si>
  <si>
    <t>C:\Users\franc\OneDrive\Documentos\MALENTIN KARIME\CESION\RESPALDO LUIS DIAZ\VARIOS 2008\JORGE VERA GARVIZO Dcl. Intereses.doc</t>
  </si>
  <si>
    <t>C:\Users\franc\OneDrive\Documentos\MALENTIN KARIME\CESION\RESPALDO LUIS DIAZ\VARIOS 2008\JORGE RODRIGUEZ a SLM. ENTRE LOMAS Camión.doc</t>
  </si>
  <si>
    <t>C:\Users\franc\OneDrive\Documentos\MALENTIN KARIME\CESION\RESPALDO LUIS DIAZ\VARIOS 2008\JORGE PEREZ ROJAS Transac..doc</t>
  </si>
  <si>
    <t>C:\Users\franc\OneDrive\Documentos\MALENTIN KARIME\CESION\RESPALDO LUIS DIAZ\VARIOS 2008\JORGE LARRONDO O. Mutuo a la V..doc</t>
  </si>
  <si>
    <t>C:\Users\franc\OneDrive\Documentos\MALENTIN KARIME\CESION\RESPALDO LUIS DIAZ\VARIOS 2008\JORGE FIGUEROA a J. L. SERIN Canc.Saldo Precio.doc</t>
  </si>
  <si>
    <t>C:\Users\franc\OneDrive\Documentos\MALENTIN KARIME\CESION\RESPALDO LUIS DIAZ\VARIOS 2008\JORGE ESPINOZA DIAZ Separac..doc</t>
  </si>
  <si>
    <t>C:\Users\franc\OneDrive\Documentos\MALENTIN KARIME\CESION\RESPALDO LUIS DIAZ\VARIOS 2008\JORGE BUSTAMANTE a FELIPE RAMOS Transac..doc</t>
  </si>
  <si>
    <t>C:\Users\franc\OneDrive\Documentos\MALENTIN KARIME\CESION\RESPALDO LUIS DIAZ\VARIOS 2008\JEANNETTE MEDINA Protoc. P. Pública.doc</t>
  </si>
  <si>
    <t>C:\Users\franc\OneDrive\Documentos\MALENTIN KARIME\CESION\RESPALDO LUIS DIAZ\VARIOS 2008\JANSEN ANA MARIA. Cambio Trazado Servid..doc</t>
  </si>
  <si>
    <t>C:\Users\franc\OneDrive\Documentos\MALENTIN KARIME\CESION\RESPALDO LUIS DIAZ\VARIOS 2008\JAIME VILLARROEL.doc</t>
  </si>
  <si>
    <t>C:\Users\franc\OneDrive\Documentos\MALENTIN KARIME\CESION\RESPALDO LUIS DIAZ\VARIOS 2008\JAIME ORTIZ C. Refinanc. PET.doc</t>
  </si>
  <si>
    <t>C:\Users\franc\OneDrive\Documentos\MALENTIN KARIME\CESION\RESPALDO LUIS DIAZ\VARIOS 2008\J.C. ALUCEMA. PROTOC..doc</t>
  </si>
  <si>
    <t>C:\Users\franc\OneDrive\Documentos\MALENTIN KARIME\CESION\RESPALDO LUIS DIAZ\VARIOS 2008\IVAN DIAZ SALDIVAR Sep. de Bienes.doc</t>
  </si>
  <si>
    <t>C:\Users\franc\OneDrive\Documentos\MALENTIN KARIME\CESION\RESPALDO LUIS DIAZ\VARIOS 2008\ISIDRO MONDACA CONTRERAS.doc</t>
  </si>
  <si>
    <t>C:\Users\franc\OneDrive\Documentos\MALENTIN KARIME\CESION\RESPALDO LUIS DIAZ\VARIOS 2008\ISIDRO LOPEZ y FEDRA GOMEZ. Sep. de Bienes.doc</t>
  </si>
  <si>
    <t>C:\Users\franc\OneDrive\Documentos\MALENTIN KARIME\CESION\RESPALDO LUIS DIAZ\VARIOS 2008\ISABEL ROJAS a YINO ARCAYA Mutuo.doc</t>
  </si>
  <si>
    <t>C:\Users\franc\OneDrive\Documentos\MALENTIN KARIME\CESION\RESPALDO LUIS DIAZ\VARIOS 2008\IRMA ORTIZ S. Prot.Alz.Serviu.doc</t>
  </si>
  <si>
    <t>C:\Users\franc\OneDrive\Documentos\MALENTIN KARIME\CESION\RESPALDO LUIS DIAZ\VARIOS 2008\IRMA MALUENDA C. Refinanc. Pet.doc</t>
  </si>
  <si>
    <t>C:\Users\franc\OneDrive\Documentos\MALENTIN KARIME\CESION\RESPALDO LUIS DIAZ\VARIOS 2008\INVERS. ARTIGUES S.A. Acta 2009.doc</t>
  </si>
  <si>
    <t>C:\Users\franc\OneDrive\Documentos\MALENTIN KARIME\CESION\RESPALDO LUIS DIAZ\VARIOS 2008\INPROCOL LTDA. a S. DABED Prenda.doc</t>
  </si>
  <si>
    <t>C:\Users\franc\OneDrive\Documentos\MALENTIN KARIME\CESION\RESPALDO LUIS DIAZ\VARIOS 2008\INPROCOL LTDA. a S. DABED Hipoteca.doc</t>
  </si>
  <si>
    <t>C:\Users\franc\OneDrive\Documentos\MALENTIN KARIME\CESION\RESPALDO LUIS DIAZ\VARIOS 2008\INPROCOL LTDA. a S. DABED Extracto.doc</t>
  </si>
  <si>
    <t>C:\Users\franc\OneDrive\Documentos\MALENTIN KARIME\CESION\RESPALDO LUIS DIAZ\VARIOS 2008\ING. Y CONSTRUC. CAMARICO.doc</t>
  </si>
  <si>
    <t>C:\Users\franc\OneDrive\Documentos\MALENTIN KARIME\CESION\RESPALDO LUIS DIAZ\VARIOS 2008\INDAP a COOP. TULAHUEN Convenio.doc</t>
  </si>
  <si>
    <t>C:\Users\franc\OneDrive\Documentos\MALENTIN KARIME\CESION\RESPALDO LUIS DIAZ\VARIOS 2008\INCOVEG LTDA..doc</t>
  </si>
  <si>
    <t>C:\Users\franc\OneDrive\Documentos\MALENTIN KARIME\CESION\RESPALDO LUIS DIAZ\VARIOS 2008\INCOVEG LTDA. II 2010.doc</t>
  </si>
  <si>
    <t>C:\Users\franc\OneDrive\Documentos\MALENTIN KARIME\CESION\RESPALDO LUIS DIAZ\VARIOS 2008\INCOVEG LTDA. 2010.doc</t>
  </si>
  <si>
    <t>C:\Users\franc\OneDrive\Documentos\MALENTIN KARIME\CESION\RESPALDO LUIS DIAZ\VARIOS 2008\INCOVEG LTDA. 2.doc</t>
  </si>
  <si>
    <t>C:\Users\franc\OneDrive\Documentos\MALENTIN KARIME\CESION\RESPALDO LUIS DIAZ\VARIOS 2008\I N F O R M E   DE   T I T U L O S.- 2.doc</t>
  </si>
  <si>
    <t>C:\Users\franc\OneDrive\Documentos\MALENTIN KARIME\CESION\RESPALDO LUIS DIAZ\VARIOS 2008\HUMBERTO AGUIRRE Sustit.Grtias.doc</t>
  </si>
  <si>
    <t>C:\Users\franc\OneDrive\Documentos\MALENTIN KARIME\CESION\RESPALDO LUIS DIAZ\VARIOS 2008\HILDA JEREZ TAPIA Prot. Cv..doc</t>
  </si>
  <si>
    <t>C:\Users\franc\OneDrive\Documentos\MALENTIN KARIME\CESION\RESPALDO LUIS DIAZ\VARIOS 2008\HECTOR RAMIREZ RAMIREZ.doc</t>
  </si>
  <si>
    <t>C:\Users\franc\OneDrive\Documentos\MALENTIN KARIME\CESION\RESPALDO LUIS DIAZ\VARIOS 2008\GRACIELA OSSANDON.  Refinanc. PET.doc</t>
  </si>
  <si>
    <t>C:\Users\franc\OneDrive\Documentos\MALENTIN KARIME\CESION\RESPALDO LUIS DIAZ\VARIOS 2008\GMO. ULLOA TAPIA. Refinanc. PET.doc</t>
  </si>
  <si>
    <t>C:\Users\franc\OneDrive\Documentos\MALENTIN KARIME\CESION\RESPALDO LUIS DIAZ\VARIOS 2008\GERARDO HERRERO C. Transacc..doc</t>
  </si>
  <si>
    <t>C:\Users\franc\OneDrive\Documentos\MALENTIN KARIME\CESION\RESPALDO LUIS DIAZ\VARIOS 2008\GABRIEL BUGUEÑO OLIVARES.doc</t>
  </si>
  <si>
    <t>C:\Users\franc\OneDrive\Documentos\MALENTIN KARIME\CESION\RESPALDO LUIS DIAZ\VARIOS 2008\FUNDACION MI CASA Transac..doc</t>
  </si>
  <si>
    <t>C:\Users\franc\OneDrive\Documentos\MALENTIN KARIME\CESION\RESPALDO LUIS DIAZ\VARIOS 2008\FRESIA ZAPATA LARA Invent..doc</t>
  </si>
  <si>
    <t>C:\Users\franc\OneDrive\Documentos\MALENTIN KARIME\CESION\RESPALDO LUIS DIAZ\VARIOS 2008\FRANCISCO ACUÑA.PRO.doc</t>
  </si>
  <si>
    <t>C:\Users\franc\OneDrive\Documentos\MALENTIN KARIME\CESION\RESPALDO LUIS DIAZ\VARIOS 2008\FORMULARIO 24 Rec. Deuda en Pesos.doc</t>
  </si>
  <si>
    <t>C:\Users\franc\OneDrive\Documentos\MALENTIN KARIME\CESION\RESPALDO LUIS DIAZ\VARIOS 2008\FORMULARIO 24 por Sociedad.doc</t>
  </si>
  <si>
    <t>C:\Users\franc\OneDrive\Documentos\MALENTIN KARIME\CESION\RESPALDO LUIS DIAZ\VARIOS 2008\FORMULARIO 24 Mutuo a Plazo.doc</t>
  </si>
  <si>
    <t>C:\Users\franc\OneDrive\Documentos\MALENTIN KARIME\CESION\RESPALDO LUIS DIAZ\VARIOS 2008\FORMULARIO 24 Mutuo a la Vista.doc</t>
  </si>
  <si>
    <t>C:\Users\franc\OneDrive\Documentos\MALENTIN KARIME\CESION\RESPALDO LUIS DIAZ\VARIOS 2008\FORMULARIO 24 en Pesos.doc</t>
  </si>
  <si>
    <t>C:\Users\franc\OneDrive\Documentos\MALENTIN KARIME\CESION\RESPALDO LUIS DIAZ\VARIOS 2008\FORM. 24 Mutuo a la Vista Por Soc..doc</t>
  </si>
  <si>
    <t>C:\Users\franc\OneDrive\Documentos\MALENTIN KARIME\CESION\RESPALDO LUIS DIAZ\VARIOS 2008\FLORENCIO VILLALOBOS Inv. Tas. Bienes.doc</t>
  </si>
  <si>
    <t>C:\Users\franc\OneDrive\Documentos\MALENTIN KARIME\CESION\RESPALDO LUIS DIAZ\VARIOS 2008\Firma a ruego.doc</t>
  </si>
  <si>
    <t>C:\Users\franc\OneDrive\Documentos\MALENTIN KARIME\CESION\RESPALDO LUIS DIAZ\VARIOS 2008\FERNANDO PIZARRO C. Refinanc. Pet.doc</t>
  </si>
  <si>
    <t>C:\Users\franc\OneDrive\Documentos\MALENTIN KARIME\CESION\RESPALDO LUIS DIAZ\VARIOS 2008\FDO. GODOY Y CIA. Poder Retirar V.V..doc</t>
  </si>
  <si>
    <t>C:\Users\franc\OneDrive\Documentos\MALENTIN KARIME\CESION\RESPALDO LUIS DIAZ\VARIOS 2008\FDO. GARCIA a ANA HAUYON. Mutuo.doc</t>
  </si>
  <si>
    <t>C:\Users\franc\OneDrive\Documentos\MALENTIN KARIME\CESION\RESPALDO LUIS DIAZ\VARIOS 2008\FCO. PINTO ALFARO Servidumbre Acueducto.doc</t>
  </si>
  <si>
    <t>C:\Users\franc\OneDrive\Documentos\MALENTIN KARIME\CESION\RESPALDO LUIS DIAZ\VARIOS 2008\FCO. GONZALEZ FIGARI Acta.doc</t>
  </si>
  <si>
    <t>C:\Users\franc\OneDrive\Documentos\MALENTIN KARIME\CESION\RESPALDO LUIS DIAZ\VARIOS 2008\FCO. CORTES JOFRE Y OTS. Recibo Pago.doc</t>
  </si>
  <si>
    <t>C:\Users\franc\OneDrive\Documentos\MALENTIN KARIME\CESION\RESPALDO LUIS DIAZ\VARIOS 2008\FABIOLA ESCOBAR.PRO.doc</t>
  </si>
  <si>
    <t>C:\Users\franc\OneDrive\Documentos\MALENTIN KARIME\CESION\RESPALDO LUIS DIAZ\VARIOS 2008\FABIOLA ARAYA BARAHONA Rep..doc</t>
  </si>
  <si>
    <t>C:\Users\franc\OneDrive\Documentos\MALENTIN KARIME\CESION\RESPALDO LUIS DIAZ\VARIOS 2008\EXP. RIO RAPEL a SOC. ENTRE RIOS.doc</t>
  </si>
  <si>
    <t>C:\Users\franc\OneDrive\Documentos\MALENTIN KARIME\CESION\RESPALDO LUIS DIAZ\VARIOS 2008\EXP. RIO RAPEL a PEDRO CORTES.doc</t>
  </si>
  <si>
    <t>C:\Users\franc\OneDrive\Documentos\MALENTIN KARIME\CESION\RESPALDO LUIS DIAZ\VARIOS 2008\EXP. RIO RAPEL a LUIS LARA LARA.doc</t>
  </si>
  <si>
    <t>C:\Users\franc\OneDrive\Documentos\MALENTIN KARIME\CESION\RESPALDO LUIS DIAZ\VARIOS 2008\EXP. RIO RAPEL a LUIS LARA Alz..doc</t>
  </si>
  <si>
    <t>C:\Users\franc\OneDrive\Documentos\MALENTIN KARIME\CESION\RESPALDO LUIS DIAZ\VARIOS 2008\EXP. RIO RAPEL a LUCIA JULIA.doc</t>
  </si>
  <si>
    <t>C:\Users\franc\OneDrive\Documentos\MALENTIN KARIME\CESION\RESPALDO LUIS DIAZ\VARIOS 2008\EXP. RIO RAPEL a FELICIANO ALBARADO.doc</t>
  </si>
  <si>
    <t>C:\Users\franc\OneDrive\Documentos\MALENTIN KARIME\CESION\RESPALDO LUIS DIAZ\VARIOS 2008\EXP. RIO RAPEL a EDO. IRIARTE.doc</t>
  </si>
  <si>
    <t>C:\Users\franc\OneDrive\Documentos\MALENTIN KARIME\CESION\RESPALDO LUIS DIAZ\VARIOS 2008\EXP. RIO RAPEL a AGRIC. BOU DE RAPEL.doc</t>
  </si>
  <si>
    <t>C:\Users\franc\OneDrive\Documentos\MALENTIN KARIME\CESION\RESPALDO LUIS DIAZ\VARIOS 2008\EXP. RIO RAPEL a AGR. STA ELIANA.doc</t>
  </si>
  <si>
    <t>C:\Users\franc\OneDrive\Documentos\MALENTIN KARIME\CESION\RESPALDO LUIS DIAZ\VARIOS 2008\EXP. RIO RAPEL a AGR. EL ALGARROBO.doc</t>
  </si>
  <si>
    <t>C:\Users\franc\OneDrive\Documentos\MALENTIN KARIME\CESION\RESPALDO LUIS DIAZ\VARIOS 2008\EVELYN SOLIS H. Refinanc. PET.doc</t>
  </si>
  <si>
    <t>C:\Users\franc\OneDrive\Documentos\MALENTIN KARIME\CESION\RESPALDO LUIS DIAZ\VARIOS 2008\EUGENIA GARCIA V. Refinanc. PET.doc</t>
  </si>
  <si>
    <t>C:\Users\franc\OneDrive\Documentos\MALENTIN KARIME\CESION\RESPALDO LUIS DIAZ\VARIOS 2008\ESTER VALVERDE O. Prot. Serviu.doc</t>
  </si>
  <si>
    <t>C:\Users\franc\OneDrive\Documentos\MALENTIN KARIME\CESION\RESPALDO LUIS DIAZ\VARIOS 2008\ESCRITO RIO HUATULAME.doc</t>
  </si>
  <si>
    <t>C:\Users\franc\OneDrive\Documentos\MALENTIN KARIME\CESION\RESPALDO LUIS DIAZ\VARIOS 2008\ERICA TELLO VEGA. Refinanc. Pet.doc</t>
  </si>
  <si>
    <t>C:\Users\franc\OneDrive\Documentos\MALENTIN KARIME\CESION\RESPALDO LUIS DIAZ\VARIOS 2008\ENY RODRIGUEZ T. Refinanc. Pet.doc</t>
  </si>
  <si>
    <t>C:\Users\franc\OneDrive\Documentos\MALENTIN KARIME\CESION\RESPALDO LUIS DIAZ\VARIOS 2008\ENRIQUE VEGA a NORMA PONCE Acdo Regulador.doc</t>
  </si>
  <si>
    <t>C:\Users\franc\OneDrive\Documentos\MALENTIN KARIME\CESION\RESPALDO LUIS DIAZ\VARIOS 2008\ENRIQUE SEGOVIA N. Alz. Hipoteca.doc</t>
  </si>
  <si>
    <t>C:\Users\franc\OneDrive\Documentos\MALENTIN KARIME\CESION\RESPALDO LUIS DIAZ\VARIOS 2008\ENCABEZADO NOTARIO.doc</t>
  </si>
  <si>
    <t>C:\Users\franc\OneDrive\Documentos\MALENTIN KARIME\CESION\RESPALDO LUIS DIAZ\VARIOS 2008\ENCABEZADO NOTARIO SUPL. Roberto Vega.doc</t>
  </si>
  <si>
    <t>C:\Users\franc\OneDrive\Documentos\MALENTIN KARIME\CESION\RESPALDO LUIS DIAZ\VARIOS 2008\ENCABEZADO NOTARIO SUPL. María Inés.doc</t>
  </si>
  <si>
    <t>C:\Users\franc\OneDrive\Documentos\MALENTIN KARIME\CESION\RESPALDO LUIS DIAZ\VARIOS 2008\EMILIO VELIZ.PRO.doc</t>
  </si>
  <si>
    <t>C:\Users\franc\OneDrive\Documentos\MALENTIN KARIME\CESION\RESPALDO LUIS DIAZ\VARIOS 2008\ELENA LAY CASTILLO Patria Potestad.doc</t>
  </si>
  <si>
    <t>C:\Users\franc\OneDrive\Documentos\MALENTIN KARIME\CESION\RESPALDO LUIS DIAZ\VARIOS 2008\EL DURAZNO de Pejerreyes.doc</t>
  </si>
  <si>
    <t>C:\Users\franc\OneDrive\Documentos\MALENTIN KARIME\CESION\RESPALDO LUIS DIAZ\VARIOS 2008\EKOPLANT con VINA FCO. DE AGUIRRE.doc</t>
  </si>
  <si>
    <t>C:\Users\franc\OneDrive\Documentos\MALENTIN KARIME\CESION\RESPALDO LUIS DIAZ\VARIOS 2008\EKOPLANT a CAPEL.doc</t>
  </si>
  <si>
    <t>C:\Users\franc\OneDrive\Documentos\MALENTIN KARIME\CESION\RESPALDO LUIS DIAZ\VARIOS 2008\EDWARD IRIARTE P. Sep. de Bienes.doc</t>
  </si>
  <si>
    <t>C:\Users\franc\OneDrive\Documentos\MALENTIN KARIME\CESION\RESPALDO LUIS DIAZ\VARIOS 2008\EDWARD IRIARTE P. Liq. Soc. Cony..doc</t>
  </si>
  <si>
    <t>C:\Users\franc\OneDrive\Documentos\MALENTIN KARIME\CESION\RESPALDO LUIS DIAZ\VARIOS 2008\EDUVINA CARVAJAL RUIZ Alz. Hipoteca.doc</t>
  </si>
  <si>
    <t>C:\Users\franc\OneDrive\Documentos\MALENTIN KARIME\CESION\RESPALDO LUIS DIAZ\VARIOS 2008\EDUVINA CARVAJAL Alz. Hipoteca Borrador.doc</t>
  </si>
  <si>
    <t>C:\Users\franc\OneDrive\Documentos\MALENTIN KARIME\CESION\RESPALDO LUIS DIAZ\VARIOS 2008\EDUARDO SANTIAGO M. Repudio.doc</t>
  </si>
  <si>
    <t>C:\Users\franc\OneDrive\Documentos\MALENTIN KARIME\CESION\RESPALDO LUIS DIAZ\VARIOS 2008\EDUARDO SANTANDER V..doc</t>
  </si>
  <si>
    <t>C:\Users\franc\OneDrive\Documentos\MALENTIN KARIME\CESION\RESPALDO LUIS DIAZ\VARIOS 2008\EDUARDO PENNA FABRES Informes Médicos.doc</t>
  </si>
  <si>
    <t>C:\Users\franc\OneDrive\Documentos\MALENTIN KARIME\CESION\RESPALDO LUIS DIAZ\VARIOS 2008\EDO. GONZALEZ GONZALEZ Separac..doc</t>
  </si>
  <si>
    <t>C:\Users\franc\OneDrive\Documentos\MALENTIN KARIME\CESION\RESPALDO LUIS DIAZ\VARIOS 2008\EDITH TOLEDO R. Refinanc. PET.doc</t>
  </si>
  <si>
    <t>C:\Users\franc\OneDrive\Documentos\MALENTIN KARIME\CESION\RESPALDO LUIS DIAZ\VARIOS 2008\EDA BARAHONA B. Aut. Servidumbre.doc</t>
  </si>
  <si>
    <t>C:\Users\franc\OneDrive\Documentos\MALENTIN KARIME\CESION\RESPALDO LUIS DIAZ\VARIOS 2008\DUNY BORQUEZ V. Ren. Gananciales.doc</t>
  </si>
  <si>
    <t>C:\Users\franc\OneDrive\Documentos\MALENTIN KARIME\CESION\RESPALDO LUIS DIAZ\VARIOS 2008\DORIS TAPIA H. Dcl. Jurada SII.doc</t>
  </si>
  <si>
    <t>C:\Users\franc\OneDrive\Documentos\MALENTIN KARIME\CESION\RESPALDO LUIS DIAZ\VARIOS 2008\DOMB Y CIA. LTDA. Dación.doc</t>
  </si>
  <si>
    <t>C:\Users\franc\OneDrive\Documentos\MALENTIN KARIME\CESION\RESPALDO LUIS DIAZ\VARIOS 2008\DOCUMENTOS2.CBR.doc</t>
  </si>
  <si>
    <t>C:\Users\franc\OneDrive\Documentos\MALENTIN KARIME\CESION\RESPALDO LUIS DIAZ\VARIOS 2008\DOCUMENTOS.CBR.doc</t>
  </si>
  <si>
    <t>C:\Users\franc\OneDrive\Documentos\MALENTIN KARIME\CESION\RESPALDO LUIS DIAZ\VARIOS 2008\DOCUMENTOS C.B.R. AGUAS.doc</t>
  </si>
  <si>
    <t>C:\Users\franc\OneDrive\Documentos\MALENTIN KARIME\CESION\RESPALDO LUIS DIAZ\VARIOS 2008\DIARIO OFICIAL. Aut..doc</t>
  </si>
  <si>
    <t>C:\Users\franc\OneDrive\Documentos\MALENTIN KARIME\CESION\RESPALDO LUIS DIAZ\VARIOS 2008\DELSON ROJAS M. Mutuo a la Vista.doc</t>
  </si>
  <si>
    <t>C:\Users\franc\OneDrive\Documentos\MALENTIN KARIME\CESION\RESPALDO LUIS DIAZ\VARIOS 2008\DELSON ROJAS a MARIO ROJAS Canc.Mutuo.doc</t>
  </si>
  <si>
    <t>C:\Users\franc\OneDrive\Documentos\MALENTIN KARIME\CESION\RESPALDO LUIS DIAZ\VARIOS 2008\DECLARACION Art. 260.doc</t>
  </si>
  <si>
    <t>C:\Users\franc\OneDrive\Documentos\MALENTIN KARIME\CESION\RESPALDO LUIS DIAZ\VARIOS 2008\DAVID HURTADO M. Dcl. Jurada.doc</t>
  </si>
  <si>
    <t>C:\Users\franc\OneDrive\Documentos\MALENTIN KARIME\CESION\RESPALDO LUIS DIAZ\VARIOS 2008\DAVID HURTADO M. Dcl. Jurada SII.doc</t>
  </si>
  <si>
    <t>C:\Users\franc\OneDrive\Documentos\MALENTIN KARIME\CESION\RESPALDO LUIS DIAZ\VARIOS 2008\DAVID HURTADO M. Carta Poder.doc</t>
  </si>
  <si>
    <t>C:\Users\franc\OneDrive\Documentos\MALENTIN KARIME\CESION\RESPALDO LUIS DIAZ\VARIOS 2008\DANISA SALDIVAR O. Carta Poder.doc</t>
  </si>
  <si>
    <t>C:\Users\franc\OneDrive\Documentos\MALENTIN KARIME\CESION\RESPALDO LUIS DIAZ\VARIOS 2008\DANIEL Aut.Salir del Pais.doc</t>
  </si>
  <si>
    <t>C:\Users\franc\OneDrive\Documentos\MALENTIN KARIME\CESION\RESPALDO LUIS DIAZ\VARIOS 2008\DAGOBERTO CARMONA Ren.Gananc.doc</t>
  </si>
  <si>
    <t>C:\Users\franc\OneDrive\Documentos\MALENTIN KARIME\CESION\RESPALDO LUIS DIAZ\VARIOS 2008\D.G.A. a HUGO PERINES Aut..doc</t>
  </si>
  <si>
    <t>C:\Users\franc\OneDrive\Documentos\MALENTIN KARIME\CESION\RESPALDO LUIS DIAZ\VARIOS 2008\CRISTIAN ESCOBAR.doc</t>
  </si>
  <si>
    <t>C:\Users\franc\OneDrive\Documentos\MALENTIN KARIME\CESION\RESPALDO LUIS DIAZ\VARIOS 2008\COTIZACION.doc</t>
  </si>
  <si>
    <t>C:\Users\franc\OneDrive\Documentos\MALENTIN KARIME\CESION\RESPALDO LUIS DIAZ\VARIOS 2008\CONSTRUCTORA RIO LIMARI.doc</t>
  </si>
  <si>
    <t>C:\Users\franc\OneDrive\Documentos\MALENTIN KARIME\CESION\RESPALDO LUIS DIAZ\VARIOS 2008\CONSTRUCTORA MAPUE LTD. Extracto.doc</t>
  </si>
  <si>
    <t>C:\Users\franc\OneDrive\Documentos\MALENTIN KARIME\CESION\RESPALDO LUIS DIAZ\VARIOS 2008\CONSTRUC. MAPUE a MIGUEL CASTRO Cv. y Prenda.doc</t>
  </si>
  <si>
    <t>C:\Users\franc\OneDrive\Documentos\MALENTIN KARIME\CESION\RESPALDO LUIS DIAZ\VARIOS 2008\COMUNIDAD LA CHACARILLA.doc</t>
  </si>
  <si>
    <t>C:\Users\franc\OneDrive\Documentos\MALENTIN KARIME\CESION\RESPALDO LUIS DIAZ\VARIOS 2008\COMUNIDAD INGA PICHASCA.doc</t>
  </si>
  <si>
    <t>C:\Users\franc\OneDrive\Documentos\MALENTIN KARIME\CESION\RESPALDO LUIS DIAZ\VARIOS 2008\COMUNIDAD DE ORURO.doc</t>
  </si>
  <si>
    <t>C:\Users\franc\OneDrive\Documentos\MALENTIN KARIME\CESION\RESPALDO LUIS DIAZ\VARIOS 2008\COMUNIDAD CHAPE-CHACAY.doc</t>
  </si>
  <si>
    <t>C:\Users\franc\OneDrive\Documentos\MALENTIN KARIME\CESION\RESPALDO LUIS DIAZ\VARIOS 2008\COMUNIDAD AGRICOLA ORURO.doc</t>
  </si>
  <si>
    <t>C:\Users\franc\OneDrive\Documentos\MALENTIN KARIME\CESION\RESPALDO LUIS DIAZ\VARIOS 2008\COMUN. INGA PICHASCA.doc</t>
  </si>
  <si>
    <t>C:\Users\franc\OneDrive\Documentos\MALENTIN KARIME\CESION\RESPALDO LUIS DIAZ\VARIOS 2008\Compraventa María del Carmen.doc</t>
  </si>
  <si>
    <t>C:\Users\franc\OneDrive\Documentos\MALENTIN KARIME\CESION\RESPALDO LUIS DIAZ\VARIOS 2008\COMITE PRO-CASAS EL GUINDO.doc</t>
  </si>
  <si>
    <t>C:\Users\franc\OneDrive\Documentos\MALENTIN KARIME\CESION\RESPALDO LUIS DIAZ\VARIOS 2008\COMITE PRO-CASA PADRE PIO.doc</t>
  </si>
  <si>
    <t>C:\Users\franc\OneDrive\Documentos\MALENTIN KARIME\CESION\RESPALDO LUIS DIAZ\VARIOS 2008\COMITE AGUA POT. LA HIGUERA DE P.2.doc</t>
  </si>
  <si>
    <t>C:\Users\franc\OneDrive\Documentos\MALENTIN KARIME\CESION\RESPALDO LUIS DIAZ\VARIOS 2008\COMITE AGUA POT. LA HIGUERA DE P..doc</t>
  </si>
  <si>
    <t>C:\Users\franc\OneDrive\Documentos\MALENTIN KARIME\CESION\RESPALDO LUIS DIAZ\VARIOS 2008\COMERCIAL MC S.A..doc</t>
  </si>
  <si>
    <t>C:\Users\franc\OneDrive\Documentos\MALENTIN KARIME\CESION\RESPALDO LUIS DIAZ\VARIOS 2008\COM. LOS MAITENES SAMO ALTO II.doc</t>
  </si>
  <si>
    <t>C:\Users\franc\OneDrive\Documentos\MALENTIN KARIME\CESION\RESPALDO LUIS DIAZ\VARIOS 2008\COM. LOS MAITENES DE SAMO ALTO.doc</t>
  </si>
  <si>
    <t>C:\Users\franc\OneDrive\Documentos\MALENTIN KARIME\CESION\RESPALDO LUIS DIAZ\VARIOS 2008\COM. DE AGUAS COMPUERTA N. 6.doc</t>
  </si>
  <si>
    <t>C:\Users\franc\OneDrive\Documentos\MALENTIN KARIME\CESION\RESPALDO LUIS DIAZ\VARIOS 2008\COM. AGUAS COMPUERTA N. 6.doc</t>
  </si>
  <si>
    <t>C:\Users\franc\OneDrive\Documentos\MALENTIN KARIME\CESION\RESPALDO LUIS DIAZ\VARIOS 2008\COM. AGRICOLA LAS DAMAS.doc</t>
  </si>
  <si>
    <t>C:\Users\franc\OneDrive\Documentos\MALENTIN KARIME\CESION\RESPALDO LUIS DIAZ\VARIOS 2008\COM. AGR. EL POTRERO Poder Esp. NEXTEL.doc</t>
  </si>
  <si>
    <t>C:\Users\franc\OneDrive\Documentos\MALENTIN KARIME\CESION\RESPALDO LUIS DIAZ\VARIOS 2008\COM. AGR. EL POTRERO HUATULAME.doc</t>
  </si>
  <si>
    <t>C:\Users\franc\OneDrive\Documentos\MALENTIN KARIME\CESION\RESPALDO LUIS DIAZ\VARIOS 2008\COM. AGR. EL POTRERO Dcl. Jurada NEXTEL.doc</t>
  </si>
  <si>
    <t>C:\Users\franc\OneDrive\Documentos\MALENTIN KARIME\CESION\RESPALDO LUIS DIAZ\VARIOS 2008\COM. AGR. EL POTRERO Aut.Empalme NEXTEL.doc</t>
  </si>
  <si>
    <t>C:\Users\franc\OneDrive\Documentos\MALENTIN KARIME\CESION\RESPALDO LUIS DIAZ\VARIOS 2008\CLUB PESCA Y CAZA ARTESANOS.doc</t>
  </si>
  <si>
    <t>C:\Users\franc\OneDrive\Documentos\MALENTIN KARIME\CESION\RESPALDO LUIS DIAZ\VARIOS 2008\CLUB DEL RODEO CHILENO.doc</t>
  </si>
  <si>
    <t>C:\Users\franc\OneDrive\Documentos\MALENTIN KARIME\CESION\RESPALDO LUIS DIAZ\VARIOS 2008\CLUB DE TENIS LIMARI.doc</t>
  </si>
  <si>
    <t>C:\Users\franc\OneDrive\Documentos\MALENTIN KARIME\CESION\RESPALDO LUIS DIAZ\VARIOS 2008\CLUB DE RODEO OVALLE a PAULINA GALVEZ Alz..doc</t>
  </si>
  <si>
    <t>C:\Users\franc\OneDrive\Documentos\MALENTIN KARIME\CESION\RESPALDO LUIS DIAZ\VARIOS 2008\CLUB A. MAYOR STA BERNARDITA.doc</t>
  </si>
  <si>
    <t>C:\Users\franc\OneDrive\Documentos\MALENTIN KARIME\CESION\RESPALDO LUIS DIAZ\VARIOS 2008\CLAUSULA.doc</t>
  </si>
  <si>
    <t>C:\Users\franc\OneDrive\Documentos\MALENTIN KARIME\CESION\RESPALDO LUIS DIAZ\VARIOS 2008\CLAUDIO RIVERA - REPUDIO.doc</t>
  </si>
  <si>
    <t>C:\Users\franc\OneDrive\Documentos\MALENTIN KARIME\CESION\RESPALDO LUIS DIAZ\VARIOS 2008\CLAUDIO CASTILLO V. Refinanc. PET.doc</t>
  </si>
  <si>
    <t>C:\Users\franc\OneDrive\Documentos\MALENTIN KARIME\CESION\RESPALDO LUIS DIAZ\VARIOS 2008\CIA. MRA. D. TELLO a EDGARDO TELLO Mutuo.doc</t>
  </si>
  <si>
    <t>C:\Users\franc\OneDrive\Documentos\MALENTIN KARIME\CESION\RESPALDO LUIS DIAZ\VARIOS 2008\CIA. DELTA S.A.I.C. y OTROS Transacción.doc</t>
  </si>
  <si>
    <t>C:\Users\franc\OneDrive\Documentos\MALENTIN KARIME\CESION\RESPALDO LUIS DIAZ\VARIOS 2008\CIA. DELTA S.A.I.C. y OTROS Transacción S. Nettle.doc</t>
  </si>
  <si>
    <t>C:\Users\franc\OneDrive\Documentos\MALENTIN KARIME\CESION\RESPALDO LUIS DIAZ\VARIOS 2008\CIA. DELTA S.A.I.C. Transacción Corregida.doc</t>
  </si>
  <si>
    <t>C:\Users\franc\OneDrive\Documentos\MALENTIN KARIME\CESION\RESPALDO LUIS DIAZ\VARIOS 2008\CHRISTIAN AGUIRRE a COPEVAL S.A. Prenda.doc</t>
  </si>
  <si>
    <t>C:\Users\franc\OneDrive\Documentos\MALENTIN KARIME\CESION\RESPALDO LUIS DIAZ\VARIOS 2008\CERTIFICADOS.doc</t>
  </si>
  <si>
    <t>C:\Users\franc\OneDrive\Documentos\MALENTIN KARIME\CESION\RESPALDO LUIS DIAZ\VARIOS 2008\CERTIFICADOS.2.doc</t>
  </si>
  <si>
    <t>C:\Users\franc\OneDrive\Documentos\MALENTIN KARIME\CESION\RESPALDO LUIS DIAZ\VARIOS 2008\Certificado Matrimonio al margen.doc</t>
  </si>
  <si>
    <t>C:\Users\franc\OneDrive\Documentos\MALENTIN KARIME\CESION\RESPALDO LUIS DIAZ\VARIOS 2008\CERTIFICADO DE MATRIMONIO.doc</t>
  </si>
  <si>
    <t>C:\Users\franc\OneDrive\Documentos\MALENTIN KARIME\CESION\RESPALDO LUIS DIAZ\VARIOS 2008\CERTIF. ASIGNAC. ROLES Protocoliz..doc</t>
  </si>
  <si>
    <t>C:\Users\franc\OneDrive\Documentos\MALENTIN KARIME\CESION\RESPALDO LUIS DIAZ\VARIOS 2008\CECILIA AGUIRRE C. Ref. Pet.doc</t>
  </si>
  <si>
    <t>C:\Users\franc\OneDrive\Documentos\MALENTIN KARIME\CESION\RESPALDO LUIS DIAZ\VARIOS 2008\CARTA TESORERO REGIONAL.doc</t>
  </si>
  <si>
    <t>C:\Users\franc\OneDrive\Documentos\MALENTIN KARIME\CESION\RESPALDO LUIS DIAZ\VARIOS 2008\CARTA SERCOTEC.doc</t>
  </si>
  <si>
    <t>C:\Users\franc\OneDrive\Documentos\MALENTIN KARIME\CESION\RESPALDO LUIS DIAZ\VARIOS 2008\CARTA RENUNCIA.doc</t>
  </si>
  <si>
    <t>C:\Users\franc\OneDrive\Documentos\MALENTIN KARIME\CESION\RESPALDO LUIS DIAZ\VARIOS 2008\CARTA PODER.VEH.doc</t>
  </si>
  <si>
    <t>C:\Users\franc\OneDrive\Documentos\MALENTIN KARIME\CESION\RESPALDO LUIS DIAZ\VARIOS 2008\CARTA PODER Retirar Cheque.doc</t>
  </si>
  <si>
    <t>C:\Users\franc\OneDrive\Documentos\MALENTIN KARIME\CESION\RESPALDO LUIS DIAZ\VARIOS 2008\CARTA PODER REGULARIZ. TITULO.doc</t>
  </si>
  <si>
    <t>C:\Users\franc\OneDrive\Documentos\MALENTIN KARIME\CESION\RESPALDO LUIS DIAZ\VARIOS 2008\CARTA PODER Eliminar Rol.doc</t>
  </si>
  <si>
    <t>C:\Users\franc\OneDrive\Documentos\MALENTIN KARIME\CESION\RESPALDO LUIS DIAZ\VARIOS 2008\CARTA MUNICIPALIDAD OVALLE.doc</t>
  </si>
  <si>
    <t>C:\Users\franc\OneDrive\Documentos\MALENTIN KARIME\CESION\RESPALDO LUIS DIAZ\VARIOS 2008\CARTA MAGISTRADO 3º JUZGADO.doc</t>
  </si>
  <si>
    <t>C:\Users\franc\OneDrive\Documentos\MALENTIN KARIME\CESION\RESPALDO LUIS DIAZ\VARIOS 2008\CARTA MAGISTRADO 2º JUZGADO.doc</t>
  </si>
  <si>
    <t>C:\Users\franc\OneDrive\Documentos\MALENTIN KARIME\CESION\RESPALDO LUIS DIAZ\VARIOS 2008\CARTA MAGISTRADO 1º JUZGADO.doc</t>
  </si>
  <si>
    <t>C:\Users\franc\OneDrive\Documentos\MALENTIN KARIME\CESION\RESPALDO LUIS DIAZ\VARIOS 2008\CARTA MAGISTRADO 1º JUZGADO II.doc</t>
  </si>
  <si>
    <t>C:\Users\franc\OneDrive\Documentos\MALENTIN KARIME\CESION\RESPALDO LUIS DIAZ\VARIOS 2008\CARTA JUZGADO DE FAMILIA.doc</t>
  </si>
  <si>
    <t>C:\Users\franc\OneDrive\Documentos\MALENTIN KARIME\CESION\RESPALDO LUIS DIAZ\VARIOS 2008\CARTA INSTRUCCION.doc</t>
  </si>
  <si>
    <t>C:\Users\franc\OneDrive\Documentos\MALENTIN KARIME\CESION\RESPALDO LUIS DIAZ\VARIOS 2008\CARTA INSTRUCC. Tierra.doc</t>
  </si>
  <si>
    <t>C:\Users\franc\OneDrive\Documentos\MALENTIN KARIME\CESION\RESPALDO LUIS DIAZ\VARIOS 2008\CARTA DE RETIRO DE COPIAS.doc</t>
  </si>
  <si>
    <t>C:\Users\franc\OneDrive\Documentos\MALENTIN KARIME\CESION\RESPALDO LUIS DIAZ\VARIOS 2008\CARTA CONSERVADOR BS.RS. COQMBO.doc</t>
  </si>
  <si>
    <t>C:\Users\franc\OneDrive\Documentos\MALENTIN KARIME\CESION\RESPALDO LUIS DIAZ\VARIOS 2008\CARTA AL SERVIU.doc</t>
  </si>
  <si>
    <t>C:\Users\franc\OneDrive\Documentos\MALENTIN KARIME\CESION\RESPALDO LUIS DIAZ\VARIOS 2008\CARTA AL SERVIU III.doc</t>
  </si>
  <si>
    <t>C:\Users\franc\OneDrive\Documentos\MALENTIN KARIME\CESION\RESPALDO LUIS DIAZ\VARIOS 2008\CARTA AL SERVIU II.doc</t>
  </si>
  <si>
    <t>C:\Users\franc\OneDrive\Documentos\MALENTIN KARIME\CESION\RESPALDO LUIS DIAZ\VARIOS 2008\CARTA AL S.I.I..doc</t>
  </si>
  <si>
    <t>C:\Users\franc\OneDrive\Documentos\MALENTIN KARIME\CESION\RESPALDO LUIS DIAZ\VARIOS 2008\CARTA AL S.I.I. Rectif. Precio.doc</t>
  </si>
  <si>
    <t>C:\Users\franc\OneDrive\Documentos\MALENTIN KARIME\CESION\RESPALDO LUIS DIAZ\VARIOS 2008\CARTA al S.I.I. Juan Valenzuela.doc</t>
  </si>
  <si>
    <t>C:\Users\franc\OneDrive\Documentos\MALENTIN KARIME\CESION\RESPALDO LUIS DIAZ\VARIOS 2008\CARTA AL BANCO.doc</t>
  </si>
  <si>
    <t>C:\Users\franc\OneDrive\Documentos\MALENTIN KARIME\CESION\RESPALDO LUIS DIAZ\VARIOS 2008\CARTA A LA D.O.M. Dorita.doc</t>
  </si>
  <si>
    <t>C:\Users\franc\OneDrive\Documentos\MALENTIN KARIME\CESION\RESPALDO LUIS DIAZ\VARIOS 2008\CAROLINA TAPIA H. Residencia sin t..doc</t>
  </si>
  <si>
    <t>C:\Users\franc\OneDrive\Documentos\MALENTIN KARIME\CESION\RESPALDO LUIS DIAZ\VARIOS 2008\CAROLINA TAPIA H. Carta Poder SII.doc</t>
  </si>
  <si>
    <t>C:\Users\franc\OneDrive\Documentos\MALENTIN KARIME\CESION\RESPALDO LUIS DIAZ\VARIOS 2008\CAROLINA TAPIA Certif. Resid. con test..doc</t>
  </si>
  <si>
    <t>C:\Users\franc\OneDrive\Documentos\MALENTIN KARIME\CESION\RESPALDO LUIS DIAZ\VARIOS 2008\CAROLINA TAPIA a DORIS TAPIA Poder.doc</t>
  </si>
  <si>
    <t>C:\Users\franc\OneDrive\Documentos\MALENTIN KARIME\CESION\RESPALDO LUIS DIAZ\VARIOS 2008\CAROLINA TAPIA a DORIS TAPIA Poder SII.doc</t>
  </si>
  <si>
    <t>C:\Users\franc\OneDrive\Documentos\MALENTIN KARIME\CESION\RESPALDO LUIS DIAZ\VARIOS 2008\CAROLINA TAPIA a DORIS TAPIA Poder Arr..doc</t>
  </si>
  <si>
    <t>C:\Users\franc\OneDrive\Documentos\MALENTIN KARIME\CESION\RESPALDO LUIS DIAZ\VARIOS 2008\CAROLINA TAPIA a DORIS TAPIA -SERCOTEC-.doc</t>
  </si>
  <si>
    <t>C:\Users\franc\OneDrive\Documentos\MALENTIN KARIME\CESION\RESPALDO LUIS DIAZ\VARIOS 2008\CAROLINA PRAT ALARCON.doc</t>
  </si>
  <si>
    <t>C:\Users\franc\OneDrive\Documentos\MALENTIN KARIME\CESION\RESPALDO LUIS DIAZ\VARIOS 2008\CAROLINA PAREDES ARIZAGA Dcl.para Func..doc</t>
  </si>
  <si>
    <t>C:\Users\franc\OneDrive\Documentos\MALENTIN KARIME\CESION\RESPALDO LUIS DIAZ\VARIOS 2008\CARMEN VERGARA PROT. SERVIU.doc</t>
  </si>
  <si>
    <t>C:\Users\franc\OneDrive\Documentos\MALENTIN KARIME\CESION\RESPALDO LUIS DIAZ\VARIOS 2008\CARMEN ROSA BONILLA Prot. Serviu.doc</t>
  </si>
  <si>
    <t>C:\Users\franc\OneDrive\Documentos\MALENTIN KARIME\CESION\RESPALDO LUIS DIAZ\VARIOS 2008\CARMEN LUISA.PRO.doc</t>
  </si>
  <si>
    <t>C:\Users\franc\OneDrive\Documentos\MALENTIN KARIME\CESION\RESPALDO LUIS DIAZ\VARIOS 2008\CARLOS VIGORENA.PRO.doc</t>
  </si>
  <si>
    <t>C:\Users\franc\OneDrive\Documentos\MALENTIN KARIME\CESION\RESPALDO LUIS DIAZ\VARIOS 2008\CARLOS VELIZ P. Dcl. Int. DS. Nº 99.doc</t>
  </si>
  <si>
    <t>C:\Users\franc\OneDrive\Documentos\MALENTIN KARIME\CESION\RESPALDO LUIS DIAZ\VARIOS 2008\CARLOS TAPIA NAREA Contrato Hon..doc</t>
  </si>
  <si>
    <t>C:\Users\franc\OneDrive\Documentos\MALENTIN KARIME\CESION\RESPALDO LUIS DIAZ\VARIOS 2008\CARLOS AUGUSTO ROJAS Ampl.Inv.doc</t>
  </si>
  <si>
    <t>C:\Users\franc\OneDrive\Documentos\MALENTIN KARIME\CESION\RESPALDO LUIS DIAZ\VARIOS 2008\CAPEL Transacción.doc</t>
  </si>
  <si>
    <t>C:\Users\franc\OneDrive\Documentos\MALENTIN KARIME\CESION\RESPALDO LUIS DIAZ\VARIOS 2008\CAPEL 8 Transacción.doc</t>
  </si>
  <si>
    <t>C:\Users\franc\OneDrive\Documentos\MALENTIN KARIME\CESION\RESPALDO LUIS DIAZ\VARIOS 2008\CAPEL 7 Transacción.doc</t>
  </si>
  <si>
    <t>C:\Users\franc\OneDrive\Documentos\MALENTIN KARIME\CESION\RESPALDO LUIS DIAZ\VARIOS 2008\CAPEL 6 Transacción.doc</t>
  </si>
  <si>
    <t>C:\Users\franc\OneDrive\Documentos\MALENTIN KARIME\CESION\RESPALDO LUIS DIAZ\VARIOS 2008\CAPEL 5 Transacción.doc</t>
  </si>
  <si>
    <t>C:\Users\franc\OneDrive\Documentos\MALENTIN KARIME\CESION\RESPALDO LUIS DIAZ\VARIOS 2008\CAPEL 4 Transacción.doc</t>
  </si>
  <si>
    <t>C:\Users\franc\OneDrive\Documentos\MALENTIN KARIME\CESION\RESPALDO LUIS DIAZ\VARIOS 2008\CAPEL 3 Transacción.doc</t>
  </si>
  <si>
    <t>C:\Users\franc\OneDrive\Documentos\MALENTIN KARIME\CESION\RESPALDO LUIS DIAZ\VARIOS 2008\CAPEL 2 Transacción.doc</t>
  </si>
  <si>
    <t>C:\Users\franc\OneDrive\Documentos\MALENTIN KARIME\CESION\RESPALDO LUIS DIAZ\VARIOS 2008\CANALPEDREGAL.PRO.doc</t>
  </si>
  <si>
    <t>C:\Users\franc\OneDrive\Documentos\MALENTIN KARIME\CESION\RESPALDO LUIS DIAZ\VARIOS 2008\BONIFACIO IBACACHE Transacción.doc</t>
  </si>
  <si>
    <t>C:\Users\franc\OneDrive\Documentos\MALENTIN KARIME\CESION\RESPALDO LUIS DIAZ\VARIOS 2008\BIANCA TAMBLAY Repudio.doc</t>
  </si>
  <si>
    <t>C:\Users\franc\OneDrive\Documentos\MALENTIN KARIME\CESION\RESPALDO LUIS DIAZ\VARIOS 2008\BENITO CASTAÑEDA Z. Prot.Alz.Serviu.doc</t>
  </si>
  <si>
    <t>C:\Users\franc\OneDrive\Documentos\MALENTIN KARIME\CESION\RESPALDO LUIS DIAZ\VARIOS 2008\AYLLU S.A.31 octubre.doc</t>
  </si>
  <si>
    <t>C:\Users\franc\OneDrive\Documentos\MALENTIN KARIME\CESION\RESPALDO LUIS DIAZ\VARIOS 2008\AYLLU S.A..doc</t>
  </si>
  <si>
    <t>C:\Users\franc\OneDrive\Documentos\MALENTIN KARIME\CESION\RESPALDO LUIS DIAZ\VARIOS 2008\AYLLU S.A. 2.doc</t>
  </si>
  <si>
    <t>C:\Users\franc\OneDrive\Documentos\MALENTIN KARIME\CESION\RESPALDO LUIS DIAZ\VARIOS 2008\AUTORIZACION COPIAS PROTOCOLIZACION.doc</t>
  </si>
  <si>
    <t>C:\Users\franc\OneDrive\Documentos\MALENTIN KARIME\CESION\RESPALDO LUIS DIAZ\VARIOS 2008\AUTORIZ 2.doc</t>
  </si>
  <si>
    <t>C:\Users\franc\OneDrive\Documentos\MALENTIN KARIME\CESION\RESPALDO LUIS DIAZ\VARIOS 2008\AUT. SALIR DEL PAIS.doc</t>
  </si>
  <si>
    <t>C:\Users\franc\OneDrive\Documentos\MALENTIN KARIME\CESION\RESPALDO LUIS DIAZ\VARIOS 2008\ASOC. CANAL CAMARICO Carta.doc</t>
  </si>
  <si>
    <t>C:\Users\franc\OneDrive\Documentos\MALENTIN KARIME\CESION\RESPALDO LUIS DIAZ\VARIOS 2008\ASCENCIA HUERTA.PRO.doc</t>
  </si>
  <si>
    <t>C:\Users\franc\OneDrive\Documentos\MALENTIN KARIME\CESION\RESPALDO LUIS DIAZ\VARIOS 2008\ARTEMIO FLORES Manip. Explosivos.doc</t>
  </si>
  <si>
    <t>C:\Users\franc\OneDrive\Documentos\MALENTIN KARIME\CESION\RESPALDO LUIS DIAZ\VARIOS 2008\ARMANDO RODRIGUEZ a SLM. ENTRE LOMAS Camión.doc</t>
  </si>
  <si>
    <t>C:\Users\franc\OneDrive\Documentos\MALENTIN KARIME\CESION\RESPALDO LUIS DIAZ\VARIOS 2008\ARACELY ASTORGA D. Refinanc. PET.doc</t>
  </si>
  <si>
    <t>C:\Users\franc\OneDrive\Documentos\MALENTIN KARIME\CESION\RESPALDO LUIS DIAZ\VARIOS 2008\ANTUMALAL. USUFRUCTO.doc</t>
  </si>
  <si>
    <t>C:\Users\franc\OneDrive\Documentos\MALENTIN KARIME\CESION\RESPALDO LUIS DIAZ\VARIOS 2008\ANIBAL EGAÑA MUNDACA.doc</t>
  </si>
  <si>
    <t>C:\Users\franc\OneDrive\Documentos\MALENTIN KARIME\CESION\RESPALDO LUIS DIAZ\VARIOS 2008\ANGELO SOTO VILLALOBOS. Repudio.doc</t>
  </si>
  <si>
    <t>C:\Users\franc\OneDrive\Documentos\MALENTIN KARIME\CESION\RESPALDO LUIS DIAZ\VARIOS 2008\ANGEL SEPULVEDA V. Refinanc. PET.doc</t>
  </si>
  <si>
    <t>C:\Users\franc\OneDrive\Documentos\MALENTIN KARIME\CESION\RESPALDO LUIS DIAZ\VARIOS 2008\ANDRES VALENZUELA Retirar Ch. y Dep..doc</t>
  </si>
  <si>
    <t>C:\Users\franc\OneDrive\Documentos\MALENTIN KARIME\CESION\RESPALDO LUIS DIAZ\VARIOS 2008\ANDRES RIVEROS.PRO.doc</t>
  </si>
  <si>
    <t>C:\Users\franc\OneDrive\Documentos\MALENTIN KARIME\CESION\RESPALDO LUIS DIAZ\VARIOS 2008\ANDREA ROJAS C. Dcl.Magistrados.doc</t>
  </si>
  <si>
    <t>C:\Users\franc\OneDrive\Documentos\MALENTIN KARIME\CESION\RESPALDO LUIS DIAZ\VARIOS 2008\ANDREA ROJAS C. Dcl.Jurada.doc</t>
  </si>
  <si>
    <t>C:\Users\franc\OneDrive\Documentos\MALENTIN KARIME\CESION\RESPALDO LUIS DIAZ\VARIOS 2008\ANDREA DIAZ GODOY.doc</t>
  </si>
  <si>
    <t>C:\Users\franc\OneDrive\Documentos\MALENTIN KARIME\CESION\RESPALDO LUIS DIAZ\VARIOS 2008\ANDREA DIAZ GODOY 6.doc</t>
  </si>
  <si>
    <t>C:\Users\franc\OneDrive\Documentos\MALENTIN KARIME\CESION\RESPALDO LUIS DIAZ\VARIOS 2008\ANDREA DIAZ GODOY 5.doc</t>
  </si>
  <si>
    <t>C:\Users\franc\OneDrive\Documentos\MALENTIN KARIME\CESION\RESPALDO LUIS DIAZ\VARIOS 2008\ANDREA DIAZ GODOY 4.doc</t>
  </si>
  <si>
    <t>C:\Users\franc\OneDrive\Documentos\MALENTIN KARIME\CESION\RESPALDO LUIS DIAZ\VARIOS 2008\ANDREA DIAZ GODOY 3.doc</t>
  </si>
  <si>
    <t>C:\Users\franc\OneDrive\Documentos\MALENTIN KARIME\CESION\RESPALDO LUIS DIAZ\VARIOS 2008\ANDREA DIAZ G. Dcl.Jrda Juzgado.doc</t>
  </si>
  <si>
    <t>C:\Users\franc\OneDrive\Documentos\MALENTIN KARIME\CESION\RESPALDO LUIS DIAZ\VARIOS 2008\ANA ZEPEDA PASTEN. Refinanc. PET.doc</t>
  </si>
  <si>
    <t>C:\Users\franc\OneDrive\Documentos\MALENTIN KARIME\CESION\RESPALDO LUIS DIAZ\VARIOS 2008\AMANDA ZAMBRA. Ren. Usufructo.doc</t>
  </si>
  <si>
    <t>C:\Users\franc\OneDrive\Documentos\MALENTIN KARIME\CESION\RESPALDO LUIS DIAZ\VARIOS 2008\AMABLE BARRAZA.PRI.doc</t>
  </si>
  <si>
    <t>C:\Users\franc\OneDrive\Documentos\MALENTIN KARIME\CESION\RESPALDO LUIS DIAZ\VARIOS 2008\ALFREDO VILLAGRAN Mutuo a la Vista Priv..doc</t>
  </si>
  <si>
    <t>C:\Users\franc\OneDrive\Documentos\MALENTIN KARIME\CESION\RESPALDO LUIS DIAZ\VARIOS 2008\Alfredo Ramírez REPUDIO.doc</t>
  </si>
  <si>
    <t>C:\Users\franc\OneDrive\Documentos\MALENTIN KARIME\CESION\RESPALDO LUIS DIAZ\VARIOS 2008\ALFREDO FERNANDEZ a MINERA LARRONDO Servid..doc</t>
  </si>
  <si>
    <t>C:\Users\franc\OneDrive\Documentos\MALENTIN KARIME\CESION\RESPALDO LUIS DIAZ\VARIOS 2008\ALFREDO FERNANDEZ a MINERA LARRONDO 2011.doc</t>
  </si>
  <si>
    <t>C:\Users\franc\OneDrive\Documentos\MALENTIN KARIME\CESION\RESPALDO LUIS DIAZ\VARIOS 2008\ALFONSO PALTA C. Prot. Serviu.doc</t>
  </si>
  <si>
    <t>C:\Users\franc\OneDrive\Documentos\MALENTIN KARIME\CESION\RESPALDO LUIS DIAZ\VARIOS 2008\ALEXIS ARANEDA.SEP.doc</t>
  </si>
  <si>
    <t>C:\Users\franc\OneDrive\Documentos\MALENTIN KARIME\CESION\RESPALDO LUIS DIAZ\VARIOS 2008\ALEJANDRA ARAYA F. Dcl.Jurada.doc</t>
  </si>
  <si>
    <t>C:\Users\franc\OneDrive\Documentos\MALENTIN KARIME\CESION\RESPALDO LUIS DIAZ\VARIOS 2008\ALEJANDRA ARAYA Dcl.Magistrados.doc</t>
  </si>
  <si>
    <t>C:\Users\franc\OneDrive\Documentos\MALENTIN KARIME\CESION\RESPALDO LUIS DIAZ\VARIOS 2008\ALDECIRA PUJADO Poder Extranjero.doc</t>
  </si>
  <si>
    <t>C:\Users\franc\OneDrive\Documentos\MALENTIN KARIME\CESION\RESPALDO LUIS DIAZ\VARIOS 2008\AGRUP. S. C. DPTVA NVOS TIEMPOS.doc</t>
  </si>
  <si>
    <t>C:\Users\franc\OneDrive\Documentos\MALENTIN KARIME\CESION\RESPALDO LUIS DIAZ\VARIOS 2008\AGROSAL LTDA. Protoc. Dctos.doc</t>
  </si>
  <si>
    <t>C:\Users\franc\OneDrive\Documentos\MALENTIN KARIME\CESION\RESPALDO LUIS DIAZ\VARIOS 2008\AGR. E INV. STA JULIA LTD. Mutuo a la V..doc</t>
  </si>
  <si>
    <t>C:\Users\franc\OneDrive\Documentos\MALENTIN KARIME\CESION\RESPALDO LUIS DIAZ\VARIOS 2008\AGR. CH. BAJO NORTE.doc</t>
  </si>
  <si>
    <t>C:\Users\franc\OneDrive\Documentos\MALENTIN KARIME\CESION\RESPALDO LUIS DIAZ\VARIOS 2008\AGR. CH. BAJO NORTE 3.doc</t>
  </si>
  <si>
    <t>C:\Users\franc\OneDrive\Documentos\MALENTIN KARIME\CESION\RESPALDO LUIS DIAZ\VARIOS 2008\AGR. CH. BAJO NORTE 2.doc</t>
  </si>
  <si>
    <t>C:\Users\franc\OneDrive\Documentos\MALENTIN KARIME\CESION\RESPALDO LUIS DIAZ\VARIOS 2008\AGR. CANTA RANA Rec.Deuda.doc</t>
  </si>
  <si>
    <t>C:\Users\franc\OneDrive\Documentos\MALENTIN KARIME\CESION\RESPALDO LUIS DIAZ\VARIOS 2008\AGR. AMABLE BARRAZA E HIJOS.doc</t>
  </si>
  <si>
    <t>C:\Users\franc\OneDrive\Documentos\MALENTIN KARIME\CESION\RESPALDO LUIS DIAZ\VARIOS 2008\AGR. ALVAREZ Y JULIA a AGRICOM Prenda.doc</t>
  </si>
  <si>
    <t>C:\Users\franc\OneDrive\Documentos\MALENTIN KARIME\CESION\RESPALDO LUIS DIAZ\VARIOS 2008\ACC. CONSULT. PROF. Protoc..doc</t>
  </si>
  <si>
    <t>C:\Users\franc\OneDrive\Documentos\MALENTIN KARIME\CESION\RESPALDO LUIS DIAZ\VARIOS 2008\8VA CIA. BOMBEROS CERR. TAMAYA.doc</t>
  </si>
  <si>
    <t>C:\Users\franc\OneDrive\Documentos\MALENTIN KARIME\CESION\RESPALDO LUIS DIAZ\VARIOS 2008\8VA CIA. BOMBEROS C. TAMAYA.doc</t>
  </si>
  <si>
    <t>C:\Users\franc\OneDrive\Documentos\MALENTIN KARIME\CESION\RESPALDO LUIS DIAZ\VARIOS 2008\21 AMIGOS3.PRO.doc</t>
  </si>
  <si>
    <t>C:\Users\franc\OneDrive\Documentos\MALENTIN KARIME\CESION\RESPALDO LUIS DIAZ\VARIOS 2008\21 AMIGOS2.PRO.doc</t>
  </si>
  <si>
    <t>C:\Users\franc\OneDrive\Documentos\MALENTIN KARIME\CESION\RESPALDO LUIS DIAZ\VARIOS 2008\21 AMIGOS.PRO.doc</t>
  </si>
  <si>
    <t>C:\Users\franc\OneDrive\Documentos\MALENTIN KARIME\CESION\RESPALDO LUIS DIAZ\TESTAMENTOS 2008\ZARELLA SILVA CATALAN.doc</t>
  </si>
  <si>
    <t>C:\Users\franc\OneDrive\Documentos\MALENTIN KARIME\CESION\RESPALDO LUIS DIAZ\TESTAMENTOS 2008\WALDA BLANCO Revoca Testamento.doc</t>
  </si>
  <si>
    <t>C:\Users\franc\OneDrive\Documentos\MALENTIN KARIME\CESION\RESPALDO LUIS DIAZ\TESTAMENTOS 2008\VINKA MARTINIC STIEPOVIC.doc</t>
  </si>
  <si>
    <t>C:\Users\franc\OneDrive\Documentos\MALENTIN KARIME\CESION\RESPALDO LUIS DIAZ\TESTAMENTOS 2008\VALERIANA BOLBARAN.TES.doc</t>
  </si>
  <si>
    <t>C:\Users\franc\OneDrive\Documentos\MALENTIN KARIME\CESION\RESPALDO LUIS DIAZ\TESTAMENTOS 2008\RICARDO ENRIQUE PEREZ.TES.doc</t>
  </si>
  <si>
    <t>C:\Users\franc\OneDrive\Documentos\MALENTIN KARIME\CESION\RESPALDO LUIS DIAZ\TESTAMENTOS 2008\NOTARIO SUPLENTE.doc</t>
  </si>
  <si>
    <t>C:\Users\franc\OneDrive\Documentos\MALENTIN KARIME\CESION\RESPALDO LUIS DIAZ\TESTAMENTOS 2008\MODELO TESTAMENTO.doc</t>
  </si>
  <si>
    <t>C:\Users\franc\OneDrive\Documentos\MALENTIN KARIME\CESION\RESPALDO LUIS DIAZ\TESTAMENTOS 2008\MODELO TESTAMENTO II.doc</t>
  </si>
  <si>
    <t>C:\Users\franc\OneDrive\Documentos\MALENTIN KARIME\CESION\RESPALDO LUIS DIAZ\TESTAMENTOS 2008\MODELO NOTARIO.doc</t>
  </si>
  <si>
    <t>C:\Users\franc\OneDrive\Documentos\MALENTIN KARIME\CESION\RESPALDO LUIS DIAZ\TESTAMENTOS 2008\JULIO POLANCO DABED.doc</t>
  </si>
  <si>
    <t>C:\Users\franc\OneDrive\Documentos\MALENTIN KARIME\CESION\RESPALDO LUIS DIAZ\TESTAMENTOS 2008\HECTOR MONARDES.doc</t>
  </si>
  <si>
    <t>C:\Users\franc\OneDrive\Documentos\MALENTIN KARIME\CESION\RESPALDO LUIS DIAZ\TESTAMENTOS 2008\HECTOR ALLENDE CORTES.doc</t>
  </si>
  <si>
    <t>C:\Users\franc\OneDrive\Documentos\MALENTIN KARIME\CESION\RESPALDO LUIS DIAZ\TESTAMENTOS 2008\ARMINDA AGUILERA.doc</t>
  </si>
  <si>
    <t>C:\Users\franc\OneDrive\Documentos\MALENTIN KARIME\CESION\RESPALDO LUIS DIAZ\SOCIEDADES 2008\2008\INVERSIONES MEDICAS DEL LIMARI.doc</t>
  </si>
  <si>
    <t>C:\Users\franc\OneDrive\Documentos\MALENTIN KARIME\CESION\RESPALDO LUIS DIAZ\SOCIEDADES 2008\2008\INVERSIONES MEDICAS DEL LIMARI E.I.R.L. Ext..doc</t>
  </si>
  <si>
    <t>C:\Users\franc\OneDrive\Documentos\MALENTIN KARIME\CESION\RESPALDO LUIS DIAZ\SOCIEDADES 2008\YUM-YUM.SOC.doc</t>
  </si>
  <si>
    <t>C:\Users\franc\OneDrive\Documentos\MALENTIN KARIME\CESION\RESPALDO LUIS DIAZ\SOCIEDADES 2008\YUM-YUM.EXT.doc</t>
  </si>
  <si>
    <t>C:\Users\franc\OneDrive\Documentos\MALENTIN KARIME\CESION\RESPALDO LUIS DIAZ\SOCIEDADES 2008\YESSIE IBARRA FERRER E.I.R.L..doc</t>
  </si>
  <si>
    <t>C:\Users\franc\OneDrive\Documentos\MALENTIN KARIME\CESION\RESPALDO LUIS DIAZ\SOCIEDADES 2008\YESSIE IBARRA F. E.I.R.L. Extracto.doc</t>
  </si>
  <si>
    <t>C:\Users\franc\OneDrive\Documentos\MALENTIN KARIME\CESION\RESPALDO LUIS DIAZ\SOCIEDADES 2008\WILSON SALINAS E.I.R.L. Ext..doc</t>
  </si>
  <si>
    <t>C:\Users\franc\OneDrive\Documentos\MALENTIN KARIME\CESION\RESPALDO LUIS DIAZ\SOCIEDADES 2008\WILSON SALINAS CORTES E.I.R.L..doc</t>
  </si>
  <si>
    <t>C:\Users\franc\OneDrive\Documentos\MALENTIN KARIME\CESION\RESPALDO LUIS DIAZ\SOCIEDADES 2008\WILLIAM ESCOBAR M. E.I.R.L. Extracto.doc</t>
  </si>
  <si>
    <t>C:\Users\franc\OneDrive\Documentos\MALENTIN KARIME\CESION\RESPALDO LUIS DIAZ\SOCIEDADES 2008\WILLIAM ESCOBAR E.R.I.L..doc</t>
  </si>
  <si>
    <t>C:\Users\franc\OneDrive\Documentos\MALENTIN KARIME\CESION\RESPALDO LUIS DIAZ\SOCIEDADES 2008\VINKO CIKUTOVIC M. E.R.I.L..doc</t>
  </si>
  <si>
    <t>C:\Users\franc\OneDrive\Documentos\MALENTIN KARIME\CESION\RESPALDO LUIS DIAZ\SOCIEDADES 2008\VINKO CIKUTOVIC M.  E.I.R.L. Extracto.doc</t>
  </si>
  <si>
    <t>C:\Users\franc\OneDrive\Documentos\MALENTIN KARIME\CESION\RESPALDO LUIS DIAZ\SOCIEDADES 2008\VALLE SALUD.SOC.doc</t>
  </si>
  <si>
    <t>C:\Users\franc\OneDrive\Documentos\MALENTIN KARIME\CESION\RESPALDO LUIS DIAZ\SOCIEDADES 2008\VALLE SALUD.Ext.doc</t>
  </si>
  <si>
    <t>C:\Users\franc\OneDrive\Documentos\MALENTIN KARIME\CESION\RESPALDO LUIS DIAZ\SOCIEDADES 2008\VALLE SALUD Modific..doc</t>
  </si>
  <si>
    <t>C:\Users\franc\OneDrive\Documentos\MALENTIN KARIME\CESION\RESPALDO LUIS DIAZ\SOCIEDADES 2008\VALLE SALUD Extracto Modif..doc</t>
  </si>
  <si>
    <t>C:\Users\franc\OneDrive\Documentos\MALENTIN KARIME\CESION\RESPALDO LUIS DIAZ\SOCIEDADES 2008\TRANSPORTES HEISIG.Ext.doc</t>
  </si>
  <si>
    <t>C:\Users\franc\OneDrive\Documentos\MALENTIN KARIME\CESION\RESPALDO LUIS DIAZ\SOCIEDADES 2008\TRANSPORTES HEISIG.doc</t>
  </si>
  <si>
    <t>C:\Users\franc\OneDrive\Documentos\MALENTIN KARIME\CESION\RESPALDO LUIS DIAZ\SOCIEDADES 2008\TRANSPORTES FLAYAN LTDA..doc</t>
  </si>
  <si>
    <t>C:\Users\franc\OneDrive\Documentos\MALENTIN KARIME\CESION\RESPALDO LUIS DIAZ\SOCIEDADES 2008\TRANSPORTES FLAYAN LTDA. Extracto.doc</t>
  </si>
  <si>
    <t>C:\Users\franc\OneDrive\Documentos\MALENTIN KARIME\CESION\RESPALDO LUIS DIAZ\SOCIEDADES 2008\TRANSPORTES DOS VALLES SPA.doc</t>
  </si>
  <si>
    <t>C:\Users\franc\OneDrive\Documentos\MALENTIN KARIME\CESION\RESPALDO LUIS DIAZ\SOCIEDADES 2008\TRANSPORTES DOS VALLES SPA Extracto.doc</t>
  </si>
  <si>
    <t>C:\Users\franc\OneDrive\Documentos\MALENTIN KARIME\CESION\RESPALDO LUIS DIAZ\SOCIEDADES 2008\TRANSCHEMICALS.MOD.doc</t>
  </si>
  <si>
    <t>C:\Users\franc\OneDrive\Documentos\MALENTIN KARIME\CESION\RESPALDO LUIS DIAZ\SOCIEDADES 2008\TRANSCHEMICALS.Ext.doc</t>
  </si>
  <si>
    <t>C:\Users\franc\OneDrive\Documentos\MALENTIN KARIME\CESION\RESPALDO LUIS DIAZ\SOCIEDADES 2008\TERRA NUT SPA.doc</t>
  </si>
  <si>
    <t>C:\Users\franc\OneDrive\Documentos\MALENTIN KARIME\CESION\RESPALDO LUIS DIAZ\SOCIEDADES 2008\TERRA NUT SpA Extracto.doc</t>
  </si>
  <si>
    <t>C:\Users\franc\OneDrive\Documentos\MALENTIN KARIME\CESION\RESPALDO LUIS DIAZ\SOCIEDADES 2008\TERRA NUT SPA Cesión Acc. P. MARQUEZ.doc</t>
  </si>
  <si>
    <t>C:\Users\franc\OneDrive\Documentos\MALENTIN KARIME\CESION\RESPALDO LUIS DIAZ\SOCIEDADES 2008\TERRA NUT SPA Cesión Acc. HORACIO A..doc</t>
  </si>
  <si>
    <t>C:\Users\franc\OneDrive\Documentos\MALENTIN KARIME\CESION\RESPALDO LUIS DIAZ\SOCIEDADES 2008\TECNOCITRUS Modificación.doc</t>
  </si>
  <si>
    <t>C:\Users\franc\OneDrive\Documentos\MALENTIN KARIME\CESION\RESPALDO LUIS DIAZ\SOCIEDADES 2008\TECNOCITRUS LTD. Modif. Extracto.doc</t>
  </si>
  <si>
    <t>C:\Users\franc\OneDrive\Documentos\MALENTIN KARIME\CESION\RESPALDO LUIS DIAZ\SOCIEDADES 2008\SOCOMAR LTDA. Modificación.doc</t>
  </si>
  <si>
    <t>C:\Users\franc\OneDrive\Documentos\MALENTIN KARIME\CESION\RESPALDO LUIS DIAZ\SOCIEDADES 2008\SOCOMAR LTDA. Mod. Extracto.doc</t>
  </si>
  <si>
    <t>C:\Users\franc\OneDrive\Documentos\MALENTIN KARIME\CESION\RESPALDO LUIS DIAZ\SOCIEDADES 2008\SOCIEDAD CALL LTDA. Modific..doc</t>
  </si>
  <si>
    <t>C:\Users\franc\OneDrive\Documentos\MALENTIN KARIME\CESION\RESPALDO LUIS DIAZ\SOCIEDADES 2008\SOCIEDAD CALL LTDA. Mod. Extracto.doc</t>
  </si>
  <si>
    <t>C:\Users\franc\OneDrive\Documentos\MALENTIN KARIME\CESION\RESPALDO LUIS DIAZ\SOCIEDADES 2008\SOC.AGR. MINERA STA LUISA.doc</t>
  </si>
  <si>
    <t>C:\Users\franc\OneDrive\Documentos\MALENTIN KARIME\CESION\RESPALDO LUIS DIAZ\SOCIEDADES 2008\SOC.AGR. LIMARI PONTE. Modif. Extracto.doc</t>
  </si>
  <si>
    <t>C:\Users\franc\OneDrive\Documentos\MALENTIN KARIME\CESION\RESPALDO LUIS DIAZ\SOCIEDADES 2008\SOC.AGR. LIMARI PONIENTE Modif..doc</t>
  </si>
  <si>
    <t>C:\Users\franc\OneDrive\Documentos\MALENTIN KARIME\CESION\RESPALDO LUIS DIAZ\SOCIEDADES 2008\SOC.AGR. LIMARI ORTE. Modif. Extracto.doc</t>
  </si>
  <si>
    <t>C:\Users\franc\OneDrive\Documentos\MALENTIN KARIME\CESION\RESPALDO LUIS DIAZ\SOCIEDADES 2008\SOC.AGR. LIMARI ORIENTE Modif..doc</t>
  </si>
  <si>
    <t>C:\Users\franc\OneDrive\Documentos\MALENTIN KARIME\CESION\RESPALDO LUIS DIAZ\SOCIEDADES 2008\SOC. TRANSP. EXP. E IMP. PAZ. Extracto.doc</t>
  </si>
  <si>
    <t>C:\Users\franc\OneDrive\Documentos\MALENTIN KARIME\CESION\RESPALDO LUIS DIAZ\SOCIEDADES 2008\SOC. TRANSP. EXP. E IMP. PAZ LTDA..doc</t>
  </si>
  <si>
    <t>C:\Users\franc\OneDrive\Documentos\MALENTIN KARIME\CESION\RESPALDO LUIS DIAZ\SOCIEDADES 2008\SOC. TRANSP. EL MAITEN LTD..doc</t>
  </si>
  <si>
    <t>C:\Users\franc\OneDrive\Documentos\MALENTIN KARIME\CESION\RESPALDO LUIS DIAZ\SOCIEDADES 2008\SOC. TRANSP. ALSER LTDA..doc</t>
  </si>
  <si>
    <t>C:\Users\franc\OneDrive\Documentos\MALENTIN KARIME\CESION\RESPALDO LUIS DIAZ\SOCIEDADES 2008\SOC. TRANSP. ALSER LTDA. Extracto..doc</t>
  </si>
  <si>
    <t>C:\Users\franc\OneDrive\Documentos\MALENTIN KARIME\CESION\RESPALDO LUIS DIAZ\SOCIEDADES 2008\SOC. STA LUISA LTD. Resciliac.2.doc</t>
  </si>
  <si>
    <t>C:\Users\franc\OneDrive\Documentos\MALENTIN KARIME\CESION\RESPALDO LUIS DIAZ\SOCIEDADES 2008\SOC. STA LUISA LTD. Resciliac..doc</t>
  </si>
  <si>
    <t>C:\Users\franc\OneDrive\Documentos\MALENTIN KARIME\CESION\RESPALDO LUIS DIAZ\SOCIEDADES 2008\SOC. STA LUISA LTD. Dcl. y Alz.2.doc</t>
  </si>
  <si>
    <t>C:\Users\franc\OneDrive\Documentos\MALENTIN KARIME\CESION\RESPALDO LUIS DIAZ\SOCIEDADES 2008\SOC. STA LUISA LTD. Dcl. y Alz..doc</t>
  </si>
  <si>
    <t>C:\Users\franc\OneDrive\Documentos\MALENTIN KARIME\CESION\RESPALDO LUIS DIAZ\SOCIEDADES 2008\SOC. PEREIRA &amp; ALFARO LTDA..doc</t>
  </si>
  <si>
    <t>C:\Users\franc\OneDrive\Documentos\MALENTIN KARIME\CESION\RESPALDO LUIS DIAZ\SOCIEDADES 2008\SOC. PEREIRA &amp; ALFARO LTDA. Extracto.doc</t>
  </si>
  <si>
    <t>C:\Users\franc\OneDrive\Documentos\MALENTIN KARIME\CESION\RESPALDO LUIS DIAZ\SOCIEDADES 2008\SOC. PAZ SANDOVAL Y CIA..doc</t>
  </si>
  <si>
    <t>C:\Users\franc\OneDrive\Documentos\MALENTIN KARIME\CESION\RESPALDO LUIS DIAZ\SOCIEDADES 2008\SOC. PAZ SANDOVAL Y CIA. Modific...doc</t>
  </si>
  <si>
    <t>C:\Users\franc\OneDrive\Documentos\MALENTIN KARIME\CESION\RESPALDO LUIS DIAZ\SOCIEDADES 2008\SOC. PAZ SANDOVAL Y CIA. EXT.doc</t>
  </si>
  <si>
    <t>C:\Users\franc\OneDrive\Documentos\MALENTIN KARIME\CESION\RESPALDO LUIS DIAZ\SOCIEDADES 2008\SOC. PAZ SANDOVAL Y CIA. Ext. Mod..doc</t>
  </si>
  <si>
    <t>C:\Users\franc\OneDrive\Documentos\MALENTIN KARIME\CESION\RESPALDO LUIS DIAZ\SOCIEDADES 2008\SOC. MRA. PORTEZUELO Extracto Mod..doc</t>
  </si>
  <si>
    <t>C:\Users\franc\OneDrive\Documentos\MALENTIN KARIME\CESION\RESPALDO LUIS DIAZ\SOCIEDADES 2008\SOC. MINERA TIERRA DEL FUEGO.doc</t>
  </si>
  <si>
    <t>C:\Users\franc\OneDrive\Documentos\MALENTIN KARIME\CESION\RESPALDO LUIS DIAZ\SOCIEDADES 2008\SOC. MINERA TIERRA DEL FUEGO Extr..doc</t>
  </si>
  <si>
    <t>C:\Users\franc\OneDrive\Documentos\MALENTIN KARIME\CESION\RESPALDO LUIS DIAZ\SOCIEDADES 2008\SOC. MINERA PORTEZUELO.doc</t>
  </si>
  <si>
    <t>C:\Users\franc\OneDrive\Documentos\MALENTIN KARIME\CESION\RESPALDO LUIS DIAZ\SOCIEDADES 2008\SOC. MINERA PORTEZUELO Extracto.doc</t>
  </si>
  <si>
    <t>C:\Users\franc\OneDrive\Documentos\MALENTIN KARIME\CESION\RESPALDO LUIS DIAZ\SOCIEDADES 2008\SOC. MINERA PORTEZUELO Aclarac..doc</t>
  </si>
  <si>
    <t>C:\Users\franc\OneDrive\Documentos\MALENTIN KARIME\CESION\RESPALDO LUIS DIAZ\SOCIEDADES 2008\SOC. MINERA LOS CRISTALES. Extracto.doc</t>
  </si>
  <si>
    <t>C:\Users\franc\OneDrive\Documentos\MALENTIN KARIME\CESION\RESPALDO LUIS DIAZ\SOCIEDADES 2008\SOC. MINERA LOS CRISTALES LTDA..doc</t>
  </si>
  <si>
    <t>C:\Users\franc\OneDrive\Documentos\MALENTIN KARIME\CESION\RESPALDO LUIS DIAZ\SOCIEDADES 2008\SOC. MINERA EL TALHUEN LTD. Mod. Extracto.doc</t>
  </si>
  <si>
    <t>C:\Users\franc\OneDrive\Documentos\MALENTIN KARIME\CESION\RESPALDO LUIS DIAZ\SOCIEDADES 2008\SOC. MINERA EL TALHUEN LTD. Ces. Drchos..doc</t>
  </si>
  <si>
    <t>C:\Users\franc\OneDrive\Documentos\MALENTIN KARIME\CESION\RESPALDO LUIS DIAZ\SOCIEDADES 2008\SOC. MINERA EL COBRE. Extracto.doc</t>
  </si>
  <si>
    <t>C:\Users\franc\OneDrive\Documentos\MALENTIN KARIME\CESION\RESPALDO LUIS DIAZ\SOCIEDADES 2008\SOC. MINERA EL COBRE LTDA..doc</t>
  </si>
  <si>
    <t>C:\Users\franc\OneDrive\Documentos\MALENTIN KARIME\CESION\RESPALDO LUIS DIAZ\SOCIEDADES 2008\SOC. MINERA ACJ LTDA..doc</t>
  </si>
  <si>
    <t>C:\Users\franc\OneDrive\Documentos\MALENTIN KARIME\CESION\RESPALDO LUIS DIAZ\SOCIEDADES 2008\SOC. MINERA ACJ LTDA. Modific..doc</t>
  </si>
  <si>
    <t>C:\Users\franc\OneDrive\Documentos\MALENTIN KARIME\CESION\RESPALDO LUIS DIAZ\SOCIEDADES 2008\SOC. MINERA ACJ LTDA. Extracto.doc</t>
  </si>
  <si>
    <t>C:\Users\franc\OneDrive\Documentos\MALENTIN KARIME\CESION\RESPALDO LUIS DIAZ\SOCIEDADES 2008\SOC. MINERA ACJ LTD. Modif. Extr..doc</t>
  </si>
  <si>
    <t>C:\Users\franc\OneDrive\Documentos\MALENTIN KARIME\CESION\RESPALDO LUIS DIAZ\SOCIEDADES 2008\SOC. MAGIS LTDA..doc</t>
  </si>
  <si>
    <t>C:\Users\franc\OneDrive\Documentos\MALENTIN KARIME\CESION\RESPALDO LUIS DIAZ\SOCIEDADES 2008\SOC. MAGIS LTDA.  Extracto.doc</t>
  </si>
  <si>
    <t>C:\Users\franc\OneDrive\Documentos\MALENTIN KARIME\CESION\RESPALDO LUIS DIAZ\SOCIEDADES 2008\SOC. LAS MOLLACAS.EXT.doc</t>
  </si>
  <si>
    <t>C:\Users\franc\OneDrive\Documentos\MALENTIN KARIME\CESION\RESPALDO LUIS DIAZ\SOCIEDADES 2008\SOC. LAS MOLLACAS.doc</t>
  </si>
  <si>
    <t>C:\Users\franc\OneDrive\Documentos\MALENTIN KARIME\CESION\RESPALDO LUIS DIAZ\SOCIEDADES 2008\SOC. LAFFERTE ORTIZ OSSANDON.doc</t>
  </si>
  <si>
    <t>C:\Users\franc\OneDrive\Documentos\MALENTIN KARIME\CESION\RESPALDO LUIS DIAZ\SOCIEDADES 2008\SOC. LAFFERTE ORTIZ O. Extracto.doc</t>
  </si>
  <si>
    <t>C:\Users\franc\OneDrive\Documentos\MALENTIN KARIME\CESION\RESPALDO LUIS DIAZ\SOCIEDADES 2008\SOC. JOSE CONTRERAS Y CIA. Extracto.doc</t>
  </si>
  <si>
    <t>C:\Users\franc\OneDrive\Documentos\MALENTIN KARIME\CESION\RESPALDO LUIS DIAZ\SOCIEDADES 2008\SOC. JOSE CONTRERAS Y CIA. Disol..doc</t>
  </si>
  <si>
    <t>C:\Users\franc\OneDrive\Documentos\MALENTIN KARIME\CESION\RESPALDO LUIS DIAZ\SOCIEDADES 2008\SOC. J C LTDA..doc</t>
  </si>
  <si>
    <t>C:\Users\franc\OneDrive\Documentos\MALENTIN KARIME\CESION\RESPALDO LUIS DIAZ\SOCIEDADES 2008\SOC. J C LTDA. Modificac..doc</t>
  </si>
  <si>
    <t>C:\Users\franc\OneDrive\Documentos\MALENTIN KARIME\CESION\RESPALDO LUIS DIAZ\SOCIEDADES 2008\SOC. J C LTDA.  Mod. Extracto (Razón Social).doc</t>
  </si>
  <si>
    <t>C:\Users\franc\OneDrive\Documentos\MALENTIN KARIME\CESION\RESPALDO LUIS DIAZ\SOCIEDADES 2008\SOC. J C  LTDA.  Extracto.doc</t>
  </si>
  <si>
    <t>C:\Users\franc\OneDrive\Documentos\MALENTIN KARIME\CESION\RESPALDO LUIS DIAZ\SOCIEDADES 2008\SOC. INVERSIONES LOS ABETOS Subsanacion.doc</t>
  </si>
  <si>
    <t>C:\Users\franc\OneDrive\Documentos\MALENTIN KARIME\CESION\RESPALDO LUIS DIAZ\SOCIEDADES 2008\SOC. INVERSIONES LOS ABETOS Fusión.doc</t>
  </si>
  <si>
    <t>C:\Users\franc\OneDrive\Documentos\MALENTIN KARIME\CESION\RESPALDO LUIS DIAZ\SOCIEDADES 2008\SOC. INVERSIONES LOS ABETOS Extracto.doc</t>
  </si>
  <si>
    <t>C:\Users\franc\OneDrive\Documentos\MALENTIN KARIME\CESION\RESPALDO LUIS DIAZ\SOCIEDADES 2008\SOC. INVERSIONES LOS ABETOS Extracto Subsan..doc</t>
  </si>
  <si>
    <t>C:\Users\franc\OneDrive\Documentos\MALENTIN KARIME\CESION\RESPALDO LUIS DIAZ\SOCIEDADES 2008\SOC. INNOVA LTDA. Modificación.doc</t>
  </si>
  <si>
    <t>C:\Users\franc\OneDrive\Documentos\MALENTIN KARIME\CESION\RESPALDO LUIS DIAZ\SOCIEDADES 2008\SOC. INNOVA LTDA. Modif. Extracto.doc</t>
  </si>
  <si>
    <t>C:\Users\franc\OneDrive\Documentos\MALENTIN KARIME\CESION\RESPALDO LUIS DIAZ\SOCIEDADES 2008\SOC. INNOVA LTDA. Extracto.doc</t>
  </si>
  <si>
    <t>C:\Users\franc\OneDrive\Documentos\MALENTIN KARIME\CESION\RESPALDO LUIS DIAZ\SOCIEDADES 2008\SOC. INNOVA LTDA. Constitución.doc</t>
  </si>
  <si>
    <t>C:\Users\franc\OneDrive\Documentos\MALENTIN KARIME\CESION\RESPALDO LUIS DIAZ\SOCIEDADES 2008\SOC. EDUC. MATICES LTD..doc</t>
  </si>
  <si>
    <t>C:\Users\franc\OneDrive\Documentos\MALENTIN KARIME\CESION\RESPALDO LUIS DIAZ\SOCIEDADES 2008\SOC. EDUC. MATICES LTD.  Extracto.doc</t>
  </si>
  <si>
    <t>C:\Users\franc\OneDrive\Documentos\MALENTIN KARIME\CESION\RESPALDO LUIS DIAZ\SOCIEDADES 2008\SOC. EDUC. A.M.B. LTDA..doc</t>
  </si>
  <si>
    <t>C:\Users\franc\OneDrive\Documentos\MALENTIN KARIME\CESION\RESPALDO LUIS DIAZ\SOCIEDADES 2008\SOC. EDUC. A.M.B. LTDA. Extracto.doc</t>
  </si>
  <si>
    <t>C:\Users\franc\OneDrive\Documentos\MALENTIN KARIME\CESION\RESPALDO LUIS DIAZ\SOCIEDADES 2008\SOC. CONTRACTUAL MINERA TALCA.doc</t>
  </si>
  <si>
    <t>C:\Users\franc\OneDrive\Documentos\MALENTIN KARIME\CESION\RESPALDO LUIS DIAZ\SOCIEDADES 2008\SOC. CONTRACTUAL MINERA TALCA Rectif..doc</t>
  </si>
  <si>
    <t>C:\Users\franc\OneDrive\Documentos\MALENTIN KARIME\CESION\RESPALDO LUIS DIAZ\SOCIEDADES 2008\SOC. CONTRACTUAL MINERA TALCA Extracto.doc</t>
  </si>
  <si>
    <t>C:\Users\franc\OneDrive\Documentos\MALENTIN KARIME\CESION\RESPALDO LUIS DIAZ\SOCIEDADES 2008\SOC. CONTRACTUAL MINERA TALCA DOS.doc</t>
  </si>
  <si>
    <t>C:\Users\franc\OneDrive\Documentos\MALENTIN KARIME\CESION\RESPALDO LUIS DIAZ\SOCIEDADES 2008\SOC. CONTRAC. MINERA TALCA Rectif. Extracto.doc</t>
  </si>
  <si>
    <t>C:\Users\franc\OneDrive\Documentos\MALENTIN KARIME\CESION\RESPALDO LUIS DIAZ\SOCIEDADES 2008\SOC. CONTR. MINERA TALCA DOS Extracto.doc</t>
  </si>
  <si>
    <t>C:\Users\franc\OneDrive\Documentos\MALENTIN KARIME\CESION\RESPALDO LUIS DIAZ\SOCIEDADES 2008\SOC. CONSULT. LOS ALGARROBOS.doc</t>
  </si>
  <si>
    <t>C:\Users\franc\OneDrive\Documentos\MALENTIN KARIME\CESION\RESPALDO LUIS DIAZ\SOCIEDADES 2008\SOC. CONSULT. LOS ALGARROBOS Extr..doc</t>
  </si>
  <si>
    <t>C:\Users\franc\OneDrive\Documentos\MALENTIN KARIME\CESION\RESPALDO LUIS DIAZ\SOCIEDADES 2008\SOC. CONSTR. Y GAVA LTDA..doc</t>
  </si>
  <si>
    <t>C:\Users\franc\OneDrive\Documentos\MALENTIN KARIME\CESION\RESPALDO LUIS DIAZ\SOCIEDADES 2008\SOC. COMERCIAL NORDIK GROUP LTDA..doc</t>
  </si>
  <si>
    <t>C:\Users\franc\OneDrive\Documentos\MALENTIN KARIME\CESION\RESPALDO LUIS DIAZ\SOCIEDADES 2008\SOC. COMERCIAL NORDIK GROUP Extracto.doc</t>
  </si>
  <si>
    <t>C:\Users\franc\OneDrive\Documentos\MALENTIN KARIME\CESION\RESPALDO LUIS DIAZ\SOCIEDADES 2008\SOC. COMERCIAL J C LTDA..doc</t>
  </si>
  <si>
    <t>C:\Users\franc\OneDrive\Documentos\MALENTIN KARIME\CESION\RESPALDO LUIS DIAZ\SOCIEDADES 2008\SOC. COM. Y GASTR. DEL LIMARI Modif..doc</t>
  </si>
  <si>
    <t>C:\Users\franc\OneDrive\Documentos\MALENTIN KARIME\CESION\RESPALDO LUIS DIAZ\SOCIEDADES 2008\SOC. COMERCIAL J C  LTDA.  Extracto.doc</t>
  </si>
  <si>
    <t>C:\Users\franc\OneDrive\Documentos\MALENTIN KARIME\CESION\RESPALDO LUIS DIAZ\SOCIEDADES 2008\SOC. COM. Y GASTR. DEL LIMARI Extracto.doc</t>
  </si>
  <si>
    <t>C:\Users\franc\OneDrive\Documentos\MALENTIN KARIME\CESION\RESPALDO LUIS DIAZ\SOCIEDADES 2008\SOC. COM. Y GASTR. DEL LIMARI  Extracto Saneam..doc</t>
  </si>
  <si>
    <t>C:\Users\franc\OneDrive\Documentos\MALENTIN KARIME\CESION\RESPALDO LUIS DIAZ\SOCIEDADES 2008\SOC. COM. Y GASTR. DEL  LIMARI. Saneamiento.doc</t>
  </si>
  <si>
    <t>C:\Users\franc\OneDrive\Documentos\MALENTIN KARIME\CESION\RESPALDO LUIS DIAZ\SOCIEDADES 2008\SOC. COM. EL RELOJ LTD. Modific..doc</t>
  </si>
  <si>
    <t>C:\Users\franc\OneDrive\Documentos\MALENTIN KARIME\CESION\RESPALDO LUIS DIAZ\SOCIEDADES 2008\SOC. COM. EL RELOJ LTD.  Extr. Modif..doc</t>
  </si>
  <si>
    <t>C:\Users\franc\OneDrive\Documentos\MALENTIN KARIME\CESION\RESPALDO LUIS DIAZ\SOCIEDADES 2008\SOC. COM. EL RELOJ LTD.  Extr. Modif. 2011.doc</t>
  </si>
  <si>
    <t>C:\Users\franc\OneDrive\Documentos\MALENTIN KARIME\CESION\RESPALDO LUIS DIAZ\SOCIEDADES 2008\SOC. COM. EL RELOJ LTD Ces. y Mod..doc</t>
  </si>
  <si>
    <t>C:\Users\franc\OneDrive\Documentos\MALENTIN KARIME\CESION\RESPALDO LUIS DIAZ\SOCIEDADES 2008\SOC. COM. DYV LTDA. Modif..doc</t>
  </si>
  <si>
    <t>C:\Users\franc\OneDrive\Documentos\MALENTIN KARIME\CESION\RESPALDO LUIS DIAZ\SOCIEDADES 2008\SOC. COM. D&amp;V LTD. Modif..doc</t>
  </si>
  <si>
    <t>C:\Users\franc\OneDrive\Documentos\MALENTIN KARIME\CESION\RESPALDO LUIS DIAZ\SOCIEDADES 2008\SOC. COM. D Y V LTD. Extr..doc</t>
  </si>
  <si>
    <t>C:\Users\franc\OneDrive\Documentos\MALENTIN KARIME\CESION\RESPALDO LUIS DIAZ\SOCIEDADES 2008\SOC. COM. ARAVENA Y ESPINOSA.doc</t>
  </si>
  <si>
    <t>C:\Users\franc\OneDrive\Documentos\MALENTIN KARIME\CESION\RESPALDO LUIS DIAZ\SOCIEDADES 2008\SOC. COM. ARAVENA Y ESPINOSA Mod..doc</t>
  </si>
  <si>
    <t>C:\Users\franc\OneDrive\Documentos\MALENTIN KARIME\CESION\RESPALDO LUIS DIAZ\SOCIEDADES 2008\SOC. COM. ARAVENA Y ESPINOSA Mod. Extracto.doc</t>
  </si>
  <si>
    <t>C:\Users\franc\OneDrive\Documentos\MALENTIN KARIME\CESION\RESPALDO LUIS DIAZ\SOCIEDADES 2008\SOC. COM. ARAVENA Y ESPINOSA Extracto.doc</t>
  </si>
  <si>
    <t>C:\Users\franc\OneDrive\Documentos\MALENTIN KARIME\CESION\RESPALDO LUIS DIAZ\SOCIEDADES 2008\SOC. AVIC. STA CARMEN Modif..doc</t>
  </si>
  <si>
    <t>C:\Users\franc\OneDrive\Documentos\MALENTIN KARIME\CESION\RESPALDO LUIS DIAZ\SOCIEDADES 2008\SOC. ANGOSTURA. Mod. Extracto.doc</t>
  </si>
  <si>
    <t>C:\Users\franc\OneDrive\Documentos\MALENTIN KARIME\CESION\RESPALDO LUIS DIAZ\SOCIEDADES 2008\SOC. AGROCOM. LA TORRE LTDA..doc</t>
  </si>
  <si>
    <t>C:\Users\franc\OneDrive\Documentos\MALENTIN KARIME\CESION\RESPALDO LUIS DIAZ\SOCIEDADES 2008\SOC. AGROCOM. LA TORRE Extracto.doc</t>
  </si>
  <si>
    <t>C:\Users\franc\OneDrive\Documentos\MALENTIN KARIME\CESION\RESPALDO LUIS DIAZ\SOCIEDADES 2008\SOC. AGROC. EL REY LTDA. Mod. Extracto.doc</t>
  </si>
  <si>
    <t>C:\Users\franc\OneDrive\Documentos\MALENTIN KARIME\CESION\RESPALDO LUIS DIAZ\SOCIEDADES 2008\SOC. AGROC. EL REY LTD. Ces. y Mod..doc</t>
  </si>
  <si>
    <t>C:\Users\franc\OneDrive\Documentos\MALENTIN KARIME\CESION\RESPALDO LUIS DIAZ\SOCIEDADES 2008\SOC. AGR.MINERA STA LUISA Extracto.doc</t>
  </si>
  <si>
    <t>C:\Users\franc\OneDrive\Documentos\MALENTIN KARIME\CESION\RESPALDO LUIS DIAZ\SOCIEDADES 2008\SOC. AGR. SAN MARCOS. Modificación.doc</t>
  </si>
  <si>
    <t>C:\Users\franc\OneDrive\Documentos\MALENTIN KARIME\CESION\RESPALDO LUIS DIAZ\SOCIEDADES 2008\SOC. AGR. SAN MARCOS LTD. Cesión.doc</t>
  </si>
  <si>
    <t>C:\Users\franc\OneDrive\Documentos\MALENTIN KARIME\CESION\RESPALDO LUIS DIAZ\SOCIEDADES 2008\SOC. AGR. SAN MARCOS Extracto.doc</t>
  </si>
  <si>
    <t>C:\Users\franc\OneDrive\Documentos\MALENTIN KARIME\CESION\RESPALDO LUIS DIAZ\SOCIEDADES 2008\SOC. AGR. SAN ISIDRO.doc</t>
  </si>
  <si>
    <t>C:\Users\franc\OneDrive\Documentos\MALENTIN KARIME\CESION\RESPALDO LUIS DIAZ\SOCIEDADES 2008\SOC. AGR. SAN ISIDRO Ext..doc</t>
  </si>
  <si>
    <t>C:\Users\franc\OneDrive\Documentos\MALENTIN KARIME\CESION\RESPALDO LUIS DIAZ\SOCIEDADES 2008\SOC. AGR. PARAISO LTDA. Extracto.doc</t>
  </si>
  <si>
    <t>C:\Users\franc\OneDrive\Documentos\MALENTIN KARIME\CESION\RESPALDO LUIS DIAZ\SOCIEDADES 2008\SOC. AGR. LORENZO COLLAO Modif..doc</t>
  </si>
  <si>
    <t>C:\Users\franc\OneDrive\Documentos\MALENTIN KARIME\CESION\RESPALDO LUIS DIAZ\SOCIEDADES 2008\SOC. AGR. LORENZO COLLAO Mod. Extracto.doc</t>
  </si>
  <si>
    <t>C:\Users\franc\OneDrive\Documentos\MALENTIN KARIME\CESION\RESPALDO LUIS DIAZ\SOCIEDADES 2008\SOC. AGR. ESPERANZA LTD. Resciliación.doc</t>
  </si>
  <si>
    <t>C:\Users\franc\OneDrive\Documentos\MALENTIN KARIME\CESION\RESPALDO LUIS DIAZ\SOCIEDADES 2008\SOC. AGR. CORTES CORRAL.doc</t>
  </si>
  <si>
    <t>C:\Users\franc\OneDrive\Documentos\MALENTIN KARIME\CESION\RESPALDO LUIS DIAZ\SOCIEDADES 2008\SOC. AGR. CARACHILLA Y T. Rectif..doc</t>
  </si>
  <si>
    <t>C:\Users\franc\OneDrive\Documentos\MALENTIN KARIME\CESION\RESPALDO LUIS DIAZ\SOCIEDADES 2008\SOC. AGR. CARACHILLA Y T. Extracto.doc</t>
  </si>
  <si>
    <t>C:\Users\franc\OneDrive\Documentos\MALENTIN KARIME\CESION\RESPALDO LUIS DIAZ\SOCIEDADES 2008\SOC. AGR. ARANEDA HNOS. Modif..doc</t>
  </si>
  <si>
    <t>C:\Users\franc\OneDrive\Documentos\MALENTIN KARIME\CESION\RESPALDO LUIS DIAZ\SOCIEDADES 2008\SOC. AGR. ARANEDA HNOS. Extracto Modif..doc</t>
  </si>
  <si>
    <t>C:\Users\franc\OneDrive\Documentos\MALENTIN KARIME\CESION\RESPALDO LUIS DIAZ\SOCIEDADES 2008\SOC. AGR. ANGOSTURA LTD. Rectif..doc</t>
  </si>
  <si>
    <t>C:\Users\franc\OneDrive\Documentos\MALENTIN KARIME\CESION\RESPALDO LUIS DIAZ\SOCIEDADES 2008\SOC. A&amp;C CAPACITACION.doc</t>
  </si>
  <si>
    <t>C:\Users\franc\OneDrive\Documentos\MALENTIN KARIME\CESION\RESPALDO LUIS DIAZ\SOCIEDADES 2008\SOC. A&amp;C CAPACITACION LTDA. Modif.Extracto.doc</t>
  </si>
  <si>
    <t>C:\Users\franc\OneDrive\Documentos\MALENTIN KARIME\CESION\RESPALDO LUIS DIAZ\SOCIEDADES 2008\SOC. A&amp;C CAPACITACION LTDA. Modif..doc</t>
  </si>
  <si>
    <t>C:\Users\franc\OneDrive\Documentos\MALENTIN KARIME\CESION\RESPALDO LUIS DIAZ\SOCIEDADES 2008\SOC. A&amp;C CAPACITACION Extracto.doc</t>
  </si>
  <si>
    <t>C:\Users\franc\OneDrive\Documentos\MALENTIN KARIME\CESION\RESPALDO LUIS DIAZ\SOCIEDADES 2008\SOC LUZ VERDE.doc</t>
  </si>
  <si>
    <t>C:\Users\franc\OneDrive\Documentos\MALENTIN KARIME\CESION\RESPALDO LUIS DIAZ\SOCIEDADES 2008\SERV. SEGURIDAD GLOBAL.doc</t>
  </si>
  <si>
    <t>C:\Users\franc\OneDrive\Documentos\MALENTIN KARIME\CESION\RESPALDO LUIS DIAZ\SOCIEDADES 2008\SERV. SEGURIDAD GLOBAL Definitiva.doc</t>
  </si>
  <si>
    <t>C:\Users\franc\OneDrive\Documentos\MALENTIN KARIME\CESION\RESPALDO LUIS DIAZ\SOCIEDADES 2008\SERV. SEG. GLOBAL LTDA. Extracto.doc</t>
  </si>
  <si>
    <t>C:\Users\franc\OneDrive\Documentos\MALENTIN KARIME\CESION\RESPALDO LUIS DIAZ\SOCIEDADES 2008\SEDECAP LTDA..doc</t>
  </si>
  <si>
    <t>C:\Users\franc\OneDrive\Documentos\MALENTIN KARIME\CESION\RESPALDO LUIS DIAZ\SOCIEDADES 2008\SEDECAP LTDA. Modific..doc</t>
  </si>
  <si>
    <t>C:\Users\franc\OneDrive\Documentos\MALENTIN KARIME\CESION\RESPALDO LUIS DIAZ\SOCIEDADES 2008\SEDECAP LTDA. Mod. Extracto.doc</t>
  </si>
  <si>
    <t>C:\Users\franc\OneDrive\Documentos\MALENTIN KARIME\CESION\RESPALDO LUIS DIAZ\SOCIEDADES 2008\SEDECAP LTDA.  Extracto.doc</t>
  </si>
  <si>
    <t>C:\Users\franc\OneDrive\Documentos\MALENTIN KARIME\CESION\RESPALDO LUIS DIAZ\SOCIEDADES 2008\SAUSALES.SOC.doc</t>
  </si>
  <si>
    <t>C:\Users\franc\OneDrive\Documentos\MALENTIN KARIME\CESION\RESPALDO LUIS DIAZ\SOCIEDADES 2008\SANTA TERESA DE JESUS S.A. Cesion.doc</t>
  </si>
  <si>
    <t>C:\Users\franc\OneDrive\Documentos\MALENTIN KARIME\CESION\RESPALDO LUIS DIAZ\SOCIEDADES 2008\SALIA CORTES E.I.R.L. Saneamiento.doc</t>
  </si>
  <si>
    <t>C:\Users\franc\OneDrive\Documentos\MALENTIN KARIME\CESION\RESPALDO LUIS DIAZ\SOCIEDADES 2008\SALIA CORTES E.I.R.L. Ext..doc</t>
  </si>
  <si>
    <t>C:\Users\franc\OneDrive\Documentos\MALENTIN KARIME\CESION\RESPALDO LUIS DIAZ\SOCIEDADES 2008\SALIA CORTES A. E.I.R.L..doc</t>
  </si>
  <si>
    <t>C:\Users\franc\OneDrive\Documentos\MALENTIN KARIME\CESION\RESPALDO LUIS DIAZ\SOCIEDADES 2008\SALIA CORTES A. E.I.R.L.  Extracto.doc</t>
  </si>
  <si>
    <t>C:\Users\franc\OneDrive\Documentos\MALENTIN KARIME\CESION\RESPALDO LUIS DIAZ\SOCIEDADES 2008\ROSA BRAVO OLIVARES E.I.R.L. Extracto.doc</t>
  </si>
  <si>
    <t>C:\Users\franc\OneDrive\Documentos\MALENTIN KARIME\CESION\RESPALDO LUIS DIAZ\SOCIEDADES 2008\ROSA BRAVO OLIVARES  E.I.R.L..doc</t>
  </si>
  <si>
    <t>C:\Users\franc\OneDrive\Documentos\MALENTIN KARIME\CESION\RESPALDO LUIS DIAZ\SOCIEDADES 2008\ROBERTO ZEBALLOS E.I.R.L..doc</t>
  </si>
  <si>
    <t>C:\Users\franc\OneDrive\Documentos\MALENTIN KARIME\CESION\RESPALDO LUIS DIAZ\SOCIEDADES 2008\ROBERTO ZEBALLOS E.I.R.L. Extracto.doc</t>
  </si>
  <si>
    <t>C:\Users\franc\OneDrive\Documentos\MALENTIN KARIME\CESION\RESPALDO LUIS DIAZ\SOCIEDADES 2008\RENE ZAVALA MUÑOZ E.I.R.L..doc</t>
  </si>
  <si>
    <t>C:\Users\franc\OneDrive\Documentos\MALENTIN KARIME\CESION\RESPALDO LUIS DIAZ\SOCIEDADES 2008\RENE ZAVALA MUÑOZ E.I.R.L. Extracto.doc</t>
  </si>
  <si>
    <t>C:\Users\franc\OneDrive\Documentos\MALENTIN KARIME\CESION\RESPALDO LUIS DIAZ\SOCIEDADES 2008\RAUL RODRIGUEZ DIAZ E.I.R.L..doc</t>
  </si>
  <si>
    <t>C:\Users\franc\OneDrive\Documentos\MALENTIN KARIME\CESION\RESPALDO LUIS DIAZ\SOCIEDADES 2008\RAUL RODRIGUEZ D. E.I.R.L. Extracto.doc</t>
  </si>
  <si>
    <t>C:\Users\franc\OneDrive\Documentos\MALENTIN KARIME\CESION\RESPALDO LUIS DIAZ\SOCIEDADES 2008\PEDRO SUAREZ E.I.R.L..doc</t>
  </si>
  <si>
    <t>C:\Users\franc\OneDrive\Documentos\MALENTIN KARIME\CESION\RESPALDO LUIS DIAZ\SOCIEDADES 2008\PEDRO SUAREZ E.I.R.L. Extracto.doc</t>
  </si>
  <si>
    <t>C:\Users\franc\OneDrive\Documentos\MALENTIN KARIME\CESION\RESPALDO LUIS DIAZ\SOCIEDADES 2008\PEDRO MONARDEZ RAMIREZ E.I.R.L..doc</t>
  </si>
  <si>
    <t>C:\Users\franc\OneDrive\Documentos\MALENTIN KARIME\CESION\RESPALDO LUIS DIAZ\SOCIEDADES 2008\PEDRO MONARDEZ R. E.I.R.L. Extracto.doc</t>
  </si>
  <si>
    <t>C:\Users\franc\OneDrive\Documentos\MALENTIN KARIME\CESION\RESPALDO LUIS DIAZ\SOCIEDADES 2008\PEDRO ALFONSO MUÑOZ E.R.I.L..doc</t>
  </si>
  <si>
    <t>C:\Users\franc\OneDrive\Documentos\MALENTIN KARIME\CESION\RESPALDO LUIS DIAZ\SOCIEDADES 2008\PALABRITAS LTDA..doc</t>
  </si>
  <si>
    <t>C:\Users\franc\OneDrive\Documentos\MALENTIN KARIME\CESION\RESPALDO LUIS DIAZ\SOCIEDADES 2008\PALABRITAS LTDA. Extracto.doc</t>
  </si>
  <si>
    <t>C:\Users\franc\OneDrive\Documentos\MALENTIN KARIME\CESION\RESPALDO LUIS DIAZ\SOCIEDADES 2008\PAISAJISMO HNOS..doc</t>
  </si>
  <si>
    <t>C:\Users\franc\OneDrive\Documentos\MALENTIN KARIME\CESION\RESPALDO LUIS DIAZ\SOCIEDADES 2008\PAISAJISMO Extracto.doc</t>
  </si>
  <si>
    <t>C:\Users\franc\OneDrive\Documentos\MALENTIN KARIME\CESION\RESPALDO LUIS DIAZ\SOCIEDADES 2008\ORTIZ Y DIAZ LTDA..doc</t>
  </si>
  <si>
    <t>C:\Users\franc\OneDrive\Documentos\MALENTIN KARIME\CESION\RESPALDO LUIS DIAZ\SOCIEDADES 2008\OMAR OSSA H. E.I.R.L..doc</t>
  </si>
  <si>
    <t>C:\Users\franc\OneDrive\Documentos\MALENTIN KARIME\CESION\RESPALDO LUIS DIAZ\SOCIEDADES 2008\OMAR OSSA H. E.I.R.L. Extrac..doc</t>
  </si>
  <si>
    <t>C:\Users\franc\OneDrive\Documentos\MALENTIN KARIME\CESION\RESPALDO LUIS DIAZ\SOCIEDADES 2008\OMAR OSSA H.  E.I.R.L. Extracto.doc</t>
  </si>
  <si>
    <t>C:\Users\franc\OneDrive\Documentos\MALENTIN KARIME\CESION\RESPALDO LUIS DIAZ\SOCIEDADES 2008\OFFICE EXPRESS.EXT.doc</t>
  </si>
  <si>
    <t>C:\Users\franc\OneDrive\Documentos\MALENTIN KARIME\CESION\RESPALDO LUIS DIAZ\SOCIEDADES 2008\OFFICE EXPRESS.doc</t>
  </si>
  <si>
    <t>C:\Users\franc\OneDrive\Documentos\MALENTIN KARIME\CESION\RESPALDO LUIS DIAZ\SOCIEDADES 2008\NOVASALUD.SOC.doc</t>
  </si>
  <si>
    <t>C:\Users\franc\OneDrive\Documentos\MALENTIN KARIME\CESION\RESPALDO LUIS DIAZ\SOCIEDADES 2008\NOVASALUD.EXT.doc</t>
  </si>
  <si>
    <t>C:\Users\franc\OneDrive\Documentos\MALENTIN KARIME\CESION\RESPALDO LUIS DIAZ\SOCIEDADES 2008\NOTARIO SUPLENTE.doc</t>
  </si>
  <si>
    <t>C:\Users\franc\OneDrive\Documentos\MALENTIN KARIME\CESION\RESPALDO LUIS DIAZ\SOCIEDADES 2008\NOTARIO SUPLENTE Manlio M..doc</t>
  </si>
  <si>
    <t>C:\Users\franc\OneDrive\Documentos\MALENTIN KARIME\CESION\RESPALDO LUIS DIAZ\SOCIEDADES 2008\NINTRADE SpA Privada.doc</t>
  </si>
  <si>
    <t>C:\Users\franc\OneDrive\Documentos\MALENTIN KARIME\CESION\RESPALDO LUIS DIAZ\SOCIEDADES 2008\NINTRADE SpA Extracto.doc</t>
  </si>
  <si>
    <t>C:\Users\franc\OneDrive\Documentos\MALENTIN KARIME\CESION\RESPALDO LUIS DIAZ\SOCIEDADES 2008\NIBALDO OLIVARES ARAYA E.I.R.L..doc</t>
  </si>
  <si>
    <t>C:\Users\franc\OneDrive\Documentos\MALENTIN KARIME\CESION\RESPALDO LUIS DIAZ\SOCIEDADES 2008\NIBALDO OLIVARES ARAYA E.I.R.L. Extracto.doc</t>
  </si>
  <si>
    <t>C:\Users\franc\OneDrive\Documentos\MALENTIN KARIME\CESION\RESPALDO LUIS DIAZ\SOCIEDADES 2008\NIBALDO OLIVARES ARAYA E.I.R.L. Aclaración.doc</t>
  </si>
  <si>
    <t>C:\Users\franc\OneDrive\Documentos\MALENTIN KARIME\CESION\RESPALDO LUIS DIAZ\SOCIEDADES 2008\NIBALDO ARAYA E.I.R.L. Aclarac. Extracto.doc</t>
  </si>
  <si>
    <t>C:\Users\franc\OneDrive\Documentos\MALENTIN KARIME\CESION\RESPALDO LUIS DIAZ\SOCIEDADES 2008\NEMESIO GALLARDO T. E.I.R.L..doc</t>
  </si>
  <si>
    <t>C:\Users\franc\OneDrive\Documentos\MALENTIN KARIME\CESION\RESPALDO LUIS DIAZ\SOCIEDADES 2008\NEMESIO GALLARDO E.I.R.L. Extracto.doc</t>
  </si>
  <si>
    <t>C:\Users\franc\OneDrive\Documentos\MALENTIN KARIME\CESION\RESPALDO LUIS DIAZ\SOCIEDADES 2008\NELLY ANDRADES Y CIA. LTD..doc</t>
  </si>
  <si>
    <t>C:\Users\franc\OneDrive\Documentos\MALENTIN KARIME\CESION\RESPALDO LUIS DIAZ\SOCIEDADES 2008\NELLY ANDRADES Y CIA. LTD. Extracto.doc</t>
  </si>
  <si>
    <t>C:\Users\franc\OneDrive\Documentos\MALENTIN KARIME\CESION\RESPALDO LUIS DIAZ\SOCIEDADES 2008\MORGADO Y CIA..doc</t>
  </si>
  <si>
    <t>C:\Users\franc\OneDrive\Documentos\MALENTIN KARIME\CESION\RESPALDO LUIS DIAZ\SOCIEDADES 2008\MORGADO Y CIA. Modificación.doc</t>
  </si>
  <si>
    <t>C:\Users\franc\OneDrive\Documentos\MALENTIN KARIME\CESION\RESPALDO LUIS DIAZ\SOCIEDADES 2008\MOISES VARAS RAMIREZ E.I.R.L..doc</t>
  </si>
  <si>
    <t>C:\Users\franc\OneDrive\Documentos\MALENTIN KARIME\CESION\RESPALDO LUIS DIAZ\SOCIEDADES 2008\MOISES VARAS RAMIREZ E.I.R.L. Extracto.doc</t>
  </si>
  <si>
    <t>C:\Users\franc\OneDrive\Documentos\MALENTIN KARIME\CESION\RESPALDO LUIS DIAZ\SOCIEDADES 2008\MODIFICACION Soc..doc</t>
  </si>
  <si>
    <t>C:\Users\franc\OneDrive\Documentos\MALENTIN KARIME\CESION\RESPALDO LUIS DIAZ\SOCIEDADES 2008\MODELO SpA Un socio con Extracto.doc</t>
  </si>
  <si>
    <t>C:\Users\franc\OneDrive\Documentos\MALENTIN KARIME\CESION\RESPALDO LUIS DIAZ\SOCIEDADES 2008\MODELO SPA 2 socios.doc</t>
  </si>
  <si>
    <t>C:\Users\franc\OneDrive\Documentos\MALENTIN KARIME\CESION\RESPALDO LUIS DIAZ\SOCIEDADES 2008\MODELO SOC..doc</t>
  </si>
  <si>
    <t>C:\Users\franc\OneDrive\Documentos\MALENTIN KARIME\CESION\RESPALDO LUIS DIAZ\SOCIEDADES 2008\MODELO Soc. Minera.doc</t>
  </si>
  <si>
    <t>C:\Users\franc\OneDrive\Documentos\MALENTIN KARIME\CESION\RESPALDO LUIS DIAZ\SOCIEDADES 2008\MODELO SOC. MINERA LTDA..doc</t>
  </si>
  <si>
    <t>C:\Users\franc\OneDrive\Documentos\MALENTIN KARIME\CESION\RESPALDO LUIS DIAZ\SOCIEDADES 2008\MODELO SOC. CONTRACTUAL MINERA.doc</t>
  </si>
  <si>
    <t>C:\Users\franc\OneDrive\Documentos\MALENTIN KARIME\CESION\RESPALDO LUIS DIAZ\SOCIEDADES 2008\MODELO SOC. COLECTIVA.doc</t>
  </si>
  <si>
    <t>C:\Users\franc\OneDrive\Documentos\MALENTIN KARIME\CESION\RESPALDO LUIS DIAZ\SOCIEDADES 2008\MODELO S.A..doc</t>
  </si>
  <si>
    <t>C:\Users\franc\OneDrive\Documentos\MALENTIN KARIME\CESION\RESPALDO LUIS DIAZ\SOCIEDADES 2008\MODELO Resciliación Liquidación Soc..doc</t>
  </si>
  <si>
    <t>C:\Users\franc\OneDrive\Documentos\MALENTIN KARIME\CESION\RESPALDO LUIS DIAZ\SOCIEDADES 2008\MODELO Resciliación Ces. y Modifiic..doc</t>
  </si>
  <si>
    <t>C:\Users\franc\OneDrive\Documentos\MALENTIN KARIME\CESION\RESPALDO LUIS DIAZ\SOCIEDADES 2008\MODELO INMOBILIARIA.doc</t>
  </si>
  <si>
    <t>C:\Users\franc\OneDrive\Documentos\MALENTIN KARIME\CESION\RESPALDO LUIS DIAZ\SOCIEDADES 2008\MODELO EXTRACTO.doc</t>
  </si>
  <si>
    <t>C:\Users\franc\OneDrive\Documentos\MALENTIN KARIME\CESION\RESPALDO LUIS DIAZ\SOCIEDADES 2008\MODELO EXTRACTO E.I.R.L.doc</t>
  </si>
  <si>
    <t>C:\Users\franc\OneDrive\Documentos\MALENTIN KARIME\CESION\RESPALDO LUIS DIAZ\SOCIEDADES 2008\MODELO EXTRACTO CON MODIF..doc</t>
  </si>
  <si>
    <t>C:\Users\franc\OneDrive\Documentos\MALENTIN KARIME\CESION\RESPALDO LUIS DIAZ\SOCIEDADES 2008\MODELO E.I.R.L..doc</t>
  </si>
  <si>
    <t>C:\Users\franc\OneDrive\Documentos\MALENTIN KARIME\CESION\RESPALDO LUIS DIAZ\SOCIEDADES 2008\MODELO E.I.R.L. Válido.doc</t>
  </si>
  <si>
    <t>C:\Users\franc\OneDrive\Documentos\MALENTIN KARIME\CESION\RESPALDO LUIS DIAZ\SOCIEDADES 2008\MODELO  E.I.R.L. Ing. y Construc..doc</t>
  </si>
  <si>
    <t>C:\Users\franc\OneDrive\Documentos\MALENTIN KARIME\CESION\RESPALDO LUIS DIAZ\SOCIEDADES 2008\MODELO  E.I.R.L. de Abogado.doc</t>
  </si>
  <si>
    <t>C:\Users\franc\OneDrive\Documentos\MALENTIN KARIME\CESION\RESPALDO LUIS DIAZ\SOCIEDADES 2008\MODELO  E.I.R.L. Agricola.doc</t>
  </si>
  <si>
    <t>C:\Users\franc\OneDrive\Documentos\MALENTIN KARIME\CESION\RESPALDO LUIS DIAZ\SOCIEDADES 2008\MISAEL ZEPEDA CISTERNAS  E.I.R.L..doc</t>
  </si>
  <si>
    <t>C:\Users\franc\OneDrive\Documentos\MALENTIN KARIME\CESION\RESPALDO LUIS DIAZ\SOCIEDADES 2008\MISAEL ZEPEDA C. E.I.R.L. Extracto.doc</t>
  </si>
  <si>
    <t>C:\Users\franc\OneDrive\Documentos\MALENTIN KARIME\CESION\RESPALDO LUIS DIAZ\SOCIEDADES 2008\MINERA TERRA GOLD LTDA..doc</t>
  </si>
  <si>
    <t>C:\Users\franc\OneDrive\Documentos\MALENTIN KARIME\CESION\RESPALDO LUIS DIAZ\SOCIEDADES 2008\MINERA TERRA GOLD LTDA. Definitiva.doc</t>
  </si>
  <si>
    <t>C:\Users\franc\OneDrive\Documentos\MALENTIN KARIME\CESION\RESPALDO LUIS DIAZ\SOCIEDADES 2008\MINERA TERRA GOLD LTD. Extracto.doc</t>
  </si>
  <si>
    <t>C:\Users\franc\OneDrive\Documentos\MALENTIN KARIME\CESION\RESPALDO LUIS DIAZ\SOCIEDADES 2008\MINERA LOS CRISTALES LTDA. Ces. y Mod..doc</t>
  </si>
  <si>
    <t>C:\Users\franc\OneDrive\Documentos\MALENTIN KARIME\CESION\RESPALDO LUIS DIAZ\SOCIEDADES 2008\MINERA LOS CRISTALES LTD. Deleg.Facul.doc</t>
  </si>
  <si>
    <t>C:\Users\franc\OneDrive\Documentos\MALENTIN KARIME\CESION\RESPALDO LUIS DIAZ\SOCIEDADES 2008\MINERA LOS CRISTALES LTD. Cesión Extracto.doc</t>
  </si>
  <si>
    <t>C:\Users\franc\OneDrive\Documentos\MALENTIN KARIME\CESION\RESPALDO LUIS DIAZ\SOCIEDADES 2008\MINERA LARRONDO Y GODOY.doc</t>
  </si>
  <si>
    <t>C:\Users\franc\OneDrive\Documentos\MALENTIN KARIME\CESION\RESPALDO LUIS DIAZ\SOCIEDADES 2008\MINERA LARRONDO Y GODOY Ext.doc</t>
  </si>
  <si>
    <t>C:\Users\franc\OneDrive\Documentos\MALENTIN KARIME\CESION\RESPALDO LUIS DIAZ\SOCIEDADES 2008\MINERA FLOR DE MAYO Modif. Extracto.doc</t>
  </si>
  <si>
    <t>C:\Users\franc\OneDrive\Documentos\MALENTIN KARIME\CESION\RESPALDO LUIS DIAZ\SOCIEDADES 2008\MINERA FLOR DE MAYO LTDA. Modif..doc</t>
  </si>
  <si>
    <t>C:\Users\franc\OneDrive\Documentos\MALENTIN KARIME\CESION\RESPALDO LUIS DIAZ\SOCIEDADES 2008\MINERA D Y H LTDA..doc</t>
  </si>
  <si>
    <t>C:\Users\franc\OneDrive\Documentos\MALENTIN KARIME\CESION\RESPALDO LUIS DIAZ\SOCIEDADES 2008\MINERA D Y H LTDA. Extracto.doc</t>
  </si>
  <si>
    <t>C:\Users\franc\OneDrive\Documentos\MALENTIN KARIME\CESION\RESPALDO LUIS DIAZ\SOCIEDADES 2008\MINERA BUENAVENTURA Modif. Extracto.doc</t>
  </si>
  <si>
    <t>C:\Users\franc\OneDrive\Documentos\MALENTIN KARIME\CESION\RESPALDO LUIS DIAZ\SOCIEDADES 2008\MINERA BUENAVENTURA LTDA. Modif..doc</t>
  </si>
  <si>
    <t>C:\Users\franc\OneDrive\Documentos\MALENTIN KARIME\CESION\RESPALDO LUIS DIAZ\SOCIEDADES 2008\MINERA ACJ LTDA Deleg.Facul.doc</t>
  </si>
  <si>
    <t>C:\Users\franc\OneDrive\Documentos\MALENTIN KARIME\CESION\RESPALDO LUIS DIAZ\SOCIEDADES 2008\MILLWORKS CHILE.EXT.doc</t>
  </si>
  <si>
    <t>C:\Users\franc\OneDrive\Documentos\MALENTIN KARIME\CESION\RESPALDO LUIS DIAZ\SOCIEDADES 2008\MILLWORKS CHILE.doc</t>
  </si>
  <si>
    <t>C:\Users\franc\OneDrive\Documentos\MALENTIN KARIME\CESION\RESPALDO LUIS DIAZ\SOCIEDADES 2008\MERCEDES ARAYA Z. E.I.R.L..doc</t>
  </si>
  <si>
    <t>C:\Users\franc\OneDrive\Documentos\MALENTIN KARIME\CESION\RESPALDO LUIS DIAZ\SOCIEDADES 2008\MERCEDES ARAYA Z. E.I.R.L. Extracto.doc</t>
  </si>
  <si>
    <t>C:\Users\franc\OneDrive\Documentos\MALENTIN KARIME\CESION\RESPALDO LUIS DIAZ\SOCIEDADES 2008\MARIO LARRONDO E.I.R.L. Ext..doc</t>
  </si>
  <si>
    <t>C:\Users\franc\OneDrive\Documentos\MALENTIN KARIME\CESION\RESPALDO LUIS DIAZ\SOCIEDADES 2008\MARIO LARRONDO C. E.I.R.L..doc</t>
  </si>
  <si>
    <t>C:\Users\franc\OneDrive\Documentos\MALENTIN KARIME\CESION\RESPALDO LUIS DIAZ\SOCIEDADES 2008\MARIA ISABEL HERNANDEZ L.  E.I.R.L..doc</t>
  </si>
  <si>
    <t>C:\Users\franc\OneDrive\Documentos\MALENTIN KARIME\CESION\RESPALDO LUIS DIAZ\SOCIEDADES 2008\MARIA ISABEL HERNANDEZ  E.I.R.L. Extracto.doc</t>
  </si>
  <si>
    <t>C:\Users\franc\OneDrive\Documentos\MALENTIN KARIME\CESION\RESPALDO LUIS DIAZ\SOCIEDADES 2008\MARIA ELGUETA MARIN E.I.R.L. Extracto.doc</t>
  </si>
  <si>
    <t>C:\Users\franc\OneDrive\Documentos\MALENTIN KARIME\CESION\RESPALDO LUIS DIAZ\SOCIEDADES 2008\MARIA ELGUETA MARIN  E.I.R.L..doc</t>
  </si>
  <si>
    <t>C:\Users\franc\OneDrive\Documentos\MALENTIN KARIME\CESION\RESPALDO LUIS DIAZ\SOCIEDADES 2008\MARCELO GUERRERO E.I.R.L. Saneamiento.doc</t>
  </si>
  <si>
    <t>C:\Users\franc\OneDrive\Documentos\MALENTIN KARIME\CESION\RESPALDO LUIS DIAZ\SOCIEDADES 2008\MARCELO GUERRERO C. E.I.R.L..doc</t>
  </si>
  <si>
    <t>C:\Users\franc\OneDrive\Documentos\MALENTIN KARIME\CESION\RESPALDO LUIS DIAZ\SOCIEDADES 2008\MARCELO GUERRERO C. E.I.R.L. Extracto.doc</t>
  </si>
  <si>
    <t>C:\Users\franc\OneDrive\Documentos\MALENTIN KARIME\CESION\RESPALDO LUIS DIAZ\SOCIEDADES 2008\LUZMIRA GOMILA SOTO E.I.R.L..doc</t>
  </si>
  <si>
    <t>C:\Users\franc\OneDrive\Documentos\MALENTIN KARIME\CESION\RESPALDO LUIS DIAZ\SOCIEDADES 2008\LUZMIRA GOMILA SOTO E.I.R.L. Extr..doc</t>
  </si>
  <si>
    <t>C:\Users\franc\OneDrive\Documentos\MALENTIN KARIME\CESION\RESPALDO LUIS DIAZ\SOCIEDADES 2008\LUZMIRA GOMILA S. Extracto Modif..doc</t>
  </si>
  <si>
    <t>C:\Users\franc\OneDrive\Documentos\MALENTIN KARIME\CESION\RESPALDO LUIS DIAZ\SOCIEDADES 2008\LUZMIRA GOMILA S. E.I.R.L. Modif..doc</t>
  </si>
  <si>
    <t>C:\Users\franc\OneDrive\Documentos\MALENTIN KARIME\CESION\RESPALDO LUIS DIAZ\SOCIEDADES 2008\LUISA ROJAS CORTES E.I.R.L..doc</t>
  </si>
  <si>
    <t>C:\Users\franc\OneDrive\Documentos\MALENTIN KARIME\CESION\RESPALDO LUIS DIAZ\SOCIEDADES 2008\LUISA ROJAS CORTES E.I.R.L. Extracto.doc</t>
  </si>
  <si>
    <t>C:\Users\franc\OneDrive\Documentos\MALENTIN KARIME\CESION\RESPALDO LUIS DIAZ\SOCIEDADES 2008\LUIS ZEPEDA PASTEN E.I.R.L..doc</t>
  </si>
  <si>
    <t>C:\Users\franc\OneDrive\Documentos\MALENTIN KARIME\CESION\RESPALDO LUIS DIAZ\SOCIEDADES 2008\LUIS ZEPEDA P. E.I.R.L. Extracto.doc</t>
  </si>
  <si>
    <t>C:\Users\franc\OneDrive\Documentos\MALENTIN KARIME\CESION\RESPALDO LUIS DIAZ\SOCIEDADES 2008\LUIS PARRA RAMOS E.I.R.L..doc</t>
  </si>
  <si>
    <t>C:\Users\franc\OneDrive\Documentos\MALENTIN KARIME\CESION\RESPALDO LUIS DIAZ\SOCIEDADES 2008\LUIS PARRA RAMOS  E.I.R.L. Extracto.doc</t>
  </si>
  <si>
    <t>C:\Users\franc\OneDrive\Documentos\MALENTIN KARIME\CESION\RESPALDO LUIS DIAZ\SOCIEDADES 2008\LUIS AREYUNA E.I.R.L. Extracto Saneam..doc</t>
  </si>
  <si>
    <t>C:\Users\franc\OneDrive\Documentos\MALENTIN KARIME\CESION\RESPALDO LUIS DIAZ\SOCIEDADES 2008\LOS TILOS. Extracto.doc</t>
  </si>
  <si>
    <t>C:\Users\franc\OneDrive\Documentos\MALENTIN KARIME\CESION\RESPALDO LUIS DIAZ\SOCIEDADES 2008\LOS SAUSALES. Extracto.doc</t>
  </si>
  <si>
    <t>C:\Users\franc\OneDrive\Documentos\MALENTIN KARIME\CESION\RESPALDO LUIS DIAZ\SOCIEDADES 2008\LIMARI TRADING S.A. Extracto.doc</t>
  </si>
  <si>
    <t>C:\Users\franc\OneDrive\Documentos\MALENTIN KARIME\CESION\RESPALDO LUIS DIAZ\SOCIEDADES 2008\LIMARI TRADING S.A. Ces. y Mod..doc</t>
  </si>
  <si>
    <t>C:\Users\franc\OneDrive\Documentos\MALENTIN KARIME\CESION\RESPALDO LUIS DIAZ\SOCIEDADES 2008\LIMARI CAPACITA LTDA. Modificación.doc</t>
  </si>
  <si>
    <t>C:\Users\franc\OneDrive\Documentos\MALENTIN KARIME\CESION\RESPALDO LUIS DIAZ\SOCIEDADES 2008\LEONARDO VELIZ E.I.R.L..doc</t>
  </si>
  <si>
    <t>C:\Users\franc\OneDrive\Documentos\MALENTIN KARIME\CESION\RESPALDO LUIS DIAZ\SOCIEDADES 2008\LEONARDO VELIZ E.I.R.L. Extracto.doc</t>
  </si>
  <si>
    <t>C:\Users\franc\OneDrive\Documentos\MALENTIN KARIME\CESION\RESPALDO LUIS DIAZ\SOCIEDADES 2008\LAS PLACAS.MOD.doc</t>
  </si>
  <si>
    <t>C:\Users\franc\OneDrive\Documentos\MALENTIN KARIME\CESION\RESPALDO LUIS DIAZ\SOCIEDADES 2008\LAS PLACAS.EXT.doc</t>
  </si>
  <si>
    <t>C:\Users\franc\OneDrive\Documentos\MALENTIN KARIME\CESION\RESPALDO LUIS DIAZ\SOCIEDADES 2008\LAS PALOMAS LTDA. Extracto.doc</t>
  </si>
  <si>
    <t>C:\Users\franc\OneDrive\Documentos\MALENTIN KARIME\CESION\RESPALDO LUIS DIAZ\SOCIEDADES 2008\LA EST. HUALLILLINGA S.A. Restit. Aportes.doc</t>
  </si>
  <si>
    <t>C:\Users\franc\OneDrive\Documentos\MALENTIN KARIME\CESION\RESPALDO LUIS DIAZ\SOCIEDADES 2008\LA EST. HUALLILLINGA S.A. Rest. Aportes.doc</t>
  </si>
  <si>
    <t>C:\Users\franc\OneDrive\Documentos\MALENTIN KARIME\CESION\RESPALDO LUIS DIAZ\SOCIEDADES 2008\LA EST. HUALLILLINGA S.A. Aportes Borrador.doc</t>
  </si>
  <si>
    <t>C:\Users\franc\OneDrive\Documentos\MALENTIN KARIME\CESION\RESPALDO LUIS DIAZ\SOCIEDADES 2008\JUAN PIZARRO LEON E.I.R.L. Minera.doc</t>
  </si>
  <si>
    <t>C:\Users\franc\OneDrive\Documentos\MALENTIN KARIME\CESION\RESPALDO LUIS DIAZ\SOCIEDADES 2008\JUAN PIZARRO LEON E.I.R.L. Extracto.doc</t>
  </si>
  <si>
    <t>C:\Users\franc\OneDrive\Documentos\MALENTIN KARIME\CESION\RESPALDO LUIS DIAZ\SOCIEDADES 2008\JORGE FIGUEROA Y CIA. Mod. Adm. y Razón S..doc</t>
  </si>
  <si>
    <t>C:\Users\franc\OneDrive\Documentos\MALENTIN KARIME\CESION\RESPALDO LUIS DIAZ\SOCIEDADES 2008\jorge figueroa y cia. Extracto.doc</t>
  </si>
  <si>
    <t>C:\Users\franc\OneDrive\Documentos\MALENTIN KARIME\CESION\RESPALDO LUIS DIAZ\SOCIEDADES 2008\JORGE CUEVAS E.I.R.L. Ext..doc</t>
  </si>
  <si>
    <t>C:\Users\franc\OneDrive\Documentos\MALENTIN KARIME\CESION\RESPALDO LUIS DIAZ\SOCIEDADES 2008\JORGE CUEVAS CORDOVA E.I.R.L..doc</t>
  </si>
  <si>
    <t>C:\Users\franc\OneDrive\Documentos\MALENTIN KARIME\CESION\RESPALDO LUIS DIAZ\SOCIEDADES 2008\JORGE CUEVAS C. E.I.R.L. Rectif..doc</t>
  </si>
  <si>
    <t>C:\Users\franc\OneDrive\Documentos\MALENTIN KARIME\CESION\RESPALDO LUIS DIAZ\SOCIEDADES 2008\JORGE CUEVAS C. E.I.R.L. Modelo Rectif..doc</t>
  </si>
  <si>
    <t>C:\Users\franc\OneDrive\Documentos\MALENTIN KARIME\CESION\RESPALDO LUIS DIAZ\SOCIEDADES 2008\JORGE CUEVAS C. E.I.R.L. Mod.Extr..doc</t>
  </si>
  <si>
    <t>C:\Users\franc\OneDrive\Documentos\MALENTIN KARIME\CESION\RESPALDO LUIS DIAZ\SOCIEDADES 2008\JOHANNA ALIAGA E.I.R.L..doc</t>
  </si>
  <si>
    <t>C:\Users\franc\OneDrive\Documentos\MALENTIN KARIME\CESION\RESPALDO LUIS DIAZ\SOCIEDADES 2008\JOHANNA ALIAGA E.I.R.L. Extracto.doc</t>
  </si>
  <si>
    <t>C:\Users\franc\OneDrive\Documentos\MALENTIN KARIME\CESION\RESPALDO LUIS DIAZ\SOCIEDADES 2008\JIMENEZ &amp; JIMENEZ LTDA..doc</t>
  </si>
  <si>
    <t>C:\Users\franc\OneDrive\Documentos\MALENTIN KARIME\CESION\RESPALDO LUIS DIAZ\SOCIEDADES 2008\JIMENEZ &amp; JIMENEZ LTDA. Extracto.doc</t>
  </si>
  <si>
    <t>C:\Users\franc\OneDrive\Documentos\MALENTIN KARIME\CESION\RESPALDO LUIS DIAZ\SOCIEDADES 2008\JG SEGURIDAD Y CIA..doc</t>
  </si>
  <si>
    <t>C:\Users\franc\OneDrive\Documentos\MALENTIN KARIME\CESION\RESPALDO LUIS DIAZ\SOCIEDADES 2008\JG SEGURIDAD Y CIA.  Extracto.doc</t>
  </si>
  <si>
    <t>C:\Users\franc\OneDrive\Documentos\MALENTIN KARIME\CESION\RESPALDO LUIS DIAZ\SOCIEDADES 2008\JEANETTE GIANZO E.R.I.L..doc</t>
  </si>
  <si>
    <t>C:\Users\franc\OneDrive\Documentos\MALENTIN KARIME\CESION\RESPALDO LUIS DIAZ\SOCIEDADES 2008\JEANETTE GIANZO E.I.R.L. Extracto.doc</t>
  </si>
  <si>
    <t>C:\Users\franc\OneDrive\Documentos\MALENTIN KARIME\CESION\RESPALDO LUIS DIAZ\SOCIEDADES 2008\IVAN OLIVARES GOMEZ E.R.I.L..doc</t>
  </si>
  <si>
    <t>C:\Users\franc\OneDrive\Documentos\MALENTIN KARIME\CESION\RESPALDO LUIS DIAZ\SOCIEDADES 2008\IVAN OLIVARES GOMEZ E.R.I.L. Extracto.doc</t>
  </si>
  <si>
    <t>C:\Users\franc\OneDrive\Documentos\MALENTIN KARIME\CESION\RESPALDO LUIS DIAZ\SOCIEDADES 2008\IVAN OLIVARES GOMEZ E.R.I.L. Corretaje.doc</t>
  </si>
  <si>
    <t>C:\Users\franc\OneDrive\Documentos\MALENTIN KARIME\CESION\RESPALDO LUIS DIAZ\SOCIEDADES 2008\IVAN OLIVARES G. E.R.I.L. Corretaje Extracto.doc</t>
  </si>
  <si>
    <t>C:\Users\franc\OneDrive\Documentos\MALENTIN KARIME\CESION\RESPALDO LUIS DIAZ\SOCIEDADES 2008\ISKRA CAPACITACION.doc</t>
  </si>
  <si>
    <t>C:\Users\franc\OneDrive\Documentos\MALENTIN KARIME\CESION\RESPALDO LUIS DIAZ\SOCIEDADES 2008\ISKRA CAPACITACION. Modif. Extr..doc</t>
  </si>
  <si>
    <t>C:\Users\franc\OneDrive\Documentos\MALENTIN KARIME\CESION\RESPALDO LUIS DIAZ\SOCIEDADES 2008\ISKRA CAPACITACION. Extr..doc</t>
  </si>
  <si>
    <t>C:\Users\franc\OneDrive\Documentos\MALENTIN KARIME\CESION\RESPALDO LUIS DIAZ\SOCIEDADES 2008\ISKRA CAPACITACION Modifica Objeto.doc</t>
  </si>
  <si>
    <t>C:\Users\franc\OneDrive\Documentos\MALENTIN KARIME\CESION\RESPALDO LUIS DIAZ\SOCIEDADES 2008\INVERSIONES TALMAT SpA.doc</t>
  </si>
  <si>
    <t>C:\Users\franc\OneDrive\Documentos\MALENTIN KARIME\CESION\RESPALDO LUIS DIAZ\SOCIEDADES 2008\INVERSIONES TALMAT SpA Extracto.doc</t>
  </si>
  <si>
    <t>C:\Users\franc\OneDrive\Documentos\MALENTIN KARIME\CESION\RESPALDO LUIS DIAZ\SOCIEDADES 2008\INVERSIONES SAN ANDRES LTDA..doc</t>
  </si>
  <si>
    <t>C:\Users\franc\OneDrive\Documentos\MALENTIN KARIME\CESION\RESPALDO LUIS DIAZ\SOCIEDADES 2008\INVERSIONES AURA SpA.doc</t>
  </si>
  <si>
    <t>C:\Users\franc\OneDrive\Documentos\MALENTIN KARIME\CESION\RESPALDO LUIS DIAZ\SOCIEDADES 2008\INVERSIONES AURA SpA Extracto.doc</t>
  </si>
  <si>
    <t>C:\Users\franc\OneDrive\Documentos\MALENTIN KARIME\CESION\RESPALDO LUIS DIAZ\SOCIEDADES 2008\INVERS. SAN ANDRES LTDA. Extracto.doc</t>
  </si>
  <si>
    <t>C:\Users\franc\OneDrive\Documentos\MALENTIN KARIME\CESION\RESPALDO LUIS DIAZ\SOCIEDADES 2008\INVERS. NUEVA GENERACION LTDA..doc</t>
  </si>
  <si>
    <t>C:\Users\franc\OneDrive\Documentos\MALENTIN KARIME\CESION\RESPALDO LUIS DIAZ\SOCIEDADES 2008\INVERS. NUEVA GENERACION LT. Extracto.doc</t>
  </si>
  <si>
    <t>C:\Users\franc\OneDrive\Documentos\MALENTIN KARIME\CESION\RESPALDO LUIS DIAZ\SOCIEDADES 2008\INVERS. MARTINAC LTDA. Deleg.Facul..doc</t>
  </si>
  <si>
    <t>C:\Users\franc\OneDrive\Documentos\MALENTIN KARIME\CESION\RESPALDO LUIS DIAZ\SOCIEDADES 2008\INVERS. MARTINAC LTD. Deleg.Facul..doc</t>
  </si>
  <si>
    <t>C:\Users\franc\OneDrive\Documentos\MALENTIN KARIME\CESION\RESPALDO LUIS DIAZ\SOCIEDADES 2008\INVERS. LOS ABETOS LTDA. Modif. EXTRACTO.doc</t>
  </si>
  <si>
    <t>C:\Users\franc\OneDrive\Documentos\MALENTIN KARIME\CESION\RESPALDO LUIS DIAZ\SOCIEDADES 2008\INVERS. LOS ABETOS LTDA. Ces. y Mod..doc</t>
  </si>
  <si>
    <t>C:\Users\franc\OneDrive\Documentos\MALENTIN KARIME\CESION\RESPALDO LUIS DIAZ\SOCIEDADES 2008\INVERS. G DOS S.A. Modific..doc</t>
  </si>
  <si>
    <t>C:\Users\franc\OneDrive\Documentos\MALENTIN KARIME\CESION\RESPALDO LUIS DIAZ\SOCIEDADES 2008\INVERS. G DOS S.A. Mod. Extracto.doc</t>
  </si>
  <si>
    <t>C:\Users\franc\OneDrive\Documentos\MALENTIN KARIME\CESION\RESPALDO LUIS DIAZ\SOCIEDADES 2008\INVERS. DMO Extracto.doc</t>
  </si>
  <si>
    <t>C:\Users\franc\OneDrive\Documentos\MALENTIN KARIME\CESION\RESPALDO LUIS DIAZ\SOCIEDADES 2008\INPROCOL LTDA. Modif..doc</t>
  </si>
  <si>
    <t>C:\Users\franc\OneDrive\Documentos\MALENTIN KARIME\CESION\RESPALDO LUIS DIAZ\SOCIEDADES 2008\INPROCOL LTDA. Mod. Extracto.doc</t>
  </si>
  <si>
    <t>C:\Users\franc\OneDrive\Documentos\MALENTIN KARIME\CESION\RESPALDO LUIS DIAZ\SOCIEDADES 2008\INMOB. RIVERA Y PARRA Ext..doc</t>
  </si>
  <si>
    <t>C:\Users\franc\OneDrive\Documentos\MALENTIN KARIME\CESION\RESPALDO LUIS DIAZ\SOCIEDADES 2008\INMOB. RIVERA Y PARRA Ampl..doc</t>
  </si>
  <si>
    <t>C:\Users\franc\OneDrive\Documentos\MALENTIN KARIME\CESION\RESPALDO LUIS DIAZ\SOCIEDADES 2008\INMOB. ALFREDO VILLAGRAN E.I.R.L..doc</t>
  </si>
  <si>
    <t>C:\Users\franc\OneDrive\Documentos\MALENTIN KARIME\CESION\RESPALDO LUIS DIAZ\SOCIEDADES 2008\INMOB. ALFREDO VILLAGRAN E.I.R.L. Extracto.doc</t>
  </si>
  <si>
    <t>C:\Users\franc\OneDrive\Documentos\MALENTIN KARIME\CESION\RESPALDO LUIS DIAZ\SOCIEDADES 2008\IMPUESTOS VEHICULOS.doc</t>
  </si>
  <si>
    <t>C:\Users\franc\OneDrive\Documentos\MALENTIN KARIME\CESION\RESPALDO LUIS DIAZ\SOCIEDADES 2008\IMPUESTO VEHICULO.doc</t>
  </si>
  <si>
    <t>C:\Users\franc\OneDrive\Documentos\MALENTIN KARIME\CESION\RESPALDO LUIS DIAZ\SOCIEDADES 2008\HUMBERTO AGUIRRE S.A..doc</t>
  </si>
  <si>
    <t>C:\Users\franc\OneDrive\Documentos\MALENTIN KARIME\CESION\RESPALDO LUIS DIAZ\SOCIEDADES 2008\HUMBERTO AGUIRRE S.A. EXT.doc</t>
  </si>
  <si>
    <t>C:\Users\franc\OneDrive\Documentos\MALENTIN KARIME\CESION\RESPALDO LUIS DIAZ\SOCIEDADES 2008\HIPOLITO ROJAS C. E.I.R.L..doc</t>
  </si>
  <si>
    <t>C:\Users\franc\OneDrive\Documentos\MALENTIN KARIME\CESION\RESPALDO LUIS DIAZ\SOCIEDADES 2008\HIPOLITO ROJAS C. E.I.R.L. Extracto.doc</t>
  </si>
  <si>
    <t>C:\Users\franc\OneDrive\Documentos\MALENTIN KARIME\CESION\RESPALDO LUIS DIAZ\SOCIEDADES 2008\HILDA GROVER ALVAREZ E.I.R.L..doc</t>
  </si>
  <si>
    <t>C:\Users\franc\OneDrive\Documentos\MALENTIN KARIME\CESION\RESPALDO LUIS DIAZ\SOCIEDADES 2008\HILDA GROVER A. E.I.R.L. Extrac..doc</t>
  </si>
  <si>
    <t>C:\Users\franc\OneDrive\Documentos\MALENTIN KARIME\CESION\RESPALDO LUIS DIAZ\SOCIEDADES 2008\HILDA GROVER A.  E.I.R.L. Extracto.doc</t>
  </si>
  <si>
    <t>C:\Users\franc\OneDrive\Documentos\MALENTIN KARIME\CESION\RESPALDO LUIS DIAZ\SOCIEDADES 2008\GUILLERMO GUERRERO E.I.R.L. Modific..doc</t>
  </si>
  <si>
    <t>C:\Users\franc\OneDrive\Documentos\MALENTIN KARIME\CESION\RESPALDO LUIS DIAZ\SOCIEDADES 2008\GRUPO NORTE SECURITY LTD..doc</t>
  </si>
  <si>
    <t>C:\Users\franc\OneDrive\Documentos\MALENTIN KARIME\CESION\RESPALDO LUIS DIAZ\SOCIEDADES 2008\GRUPO NORTE SECURITY LTD. Extracto.doc</t>
  </si>
  <si>
    <t>C:\Users\franc\OneDrive\Documentos\MALENTIN KARIME\CESION\RESPALDO LUIS DIAZ\SOCIEDADES 2008\FLORES Y CHAMBI LTDA..doc</t>
  </si>
  <si>
    <t>C:\Users\franc\OneDrive\Documentos\MALENTIN KARIME\CESION\RESPALDO LUIS DIAZ\SOCIEDADES 2008\FLORES Y CHAMBI LTDA. Extr..doc</t>
  </si>
  <si>
    <t>C:\Users\franc\OneDrive\Documentos\MALENTIN KARIME\CESION\RESPALDO LUIS DIAZ\SOCIEDADES 2008\FDO. GODOY G. Y CIA. Extracto.doc</t>
  </si>
  <si>
    <t>C:\Users\franc\OneDrive\Documentos\MALENTIN KARIME\CESION\RESPALDO LUIS DIAZ\SOCIEDADES 2008\FDO. GODOY G. Y CIA. Ces. y Mod..doc</t>
  </si>
  <si>
    <t>C:\Users\franc\OneDrive\Documentos\MALENTIN KARIME\CESION\RESPALDO LUIS DIAZ\SOCIEDADES 2008\EXTRACTO Ovatruz.doc</t>
  </si>
  <si>
    <t>C:\Users\franc\OneDrive\Documentos\MALENTIN KARIME\CESION\RESPALDO LUIS DIAZ\SOCIEDADES 2008\EXPORT. STA CLAUDIA E.I.R.L..doc</t>
  </si>
  <si>
    <t>C:\Users\franc\OneDrive\Documentos\MALENTIN KARIME\CESION\RESPALDO LUIS DIAZ\SOCIEDADES 2008\EXPORT. ARAYA CASTILLO LTD..doc</t>
  </si>
  <si>
    <t>C:\Users\franc\OneDrive\Documentos\MALENTIN KARIME\CESION\RESPALDO LUIS DIAZ\SOCIEDADES 2008\EXPORT. ARAYA CASTILLO Extracto.doc</t>
  </si>
  <si>
    <t>C:\Users\franc\OneDrive\Documentos\MALENTIN KARIME\CESION\RESPALDO LUIS DIAZ\SOCIEDADES 2008\ETRALCO S.A. Disolución.doc</t>
  </si>
  <si>
    <t>C:\Users\franc\OneDrive\Documentos\MALENTIN KARIME\CESION\RESPALDO LUIS DIAZ\SOCIEDADES 2008\ETRALCO S.A. Disolución Extracto.doc</t>
  </si>
  <si>
    <t>C:\Users\franc\OneDrive\Documentos\MALENTIN KARIME\CESION\RESPALDO LUIS DIAZ\SOCIEDADES 2008\ESTUDIO INMOB. BUENAVENTURA LTD. Modif..doc</t>
  </si>
  <si>
    <t>C:\Users\franc\OneDrive\Documentos\MALENTIN KARIME\CESION\RESPALDO LUIS DIAZ\SOCIEDADES 2008\EST. JURIDICO ALTAMIRANO BUONO-CORE.doc</t>
  </si>
  <si>
    <t>C:\Users\franc\OneDrive\Documentos\MALENTIN KARIME\CESION\RESPALDO LUIS DIAZ\SOCIEDADES 2008\EST. JURIDICO ALTAMIRANO BUONO-CORE Extracto.doc</t>
  </si>
  <si>
    <t>C:\Users\franc\OneDrive\Documentos\MALENTIN KARIME\CESION\RESPALDO LUIS DIAZ\SOCIEDADES 2008\ENCABEZADO NOTARIO.doc</t>
  </si>
  <si>
    <t>C:\Users\franc\OneDrive\Documentos\MALENTIN KARIME\CESION\RESPALDO LUIS DIAZ\SOCIEDADES 2008\ELIGE INTERNET SPA.doc</t>
  </si>
  <si>
    <t>C:\Users\franc\OneDrive\Documentos\MALENTIN KARIME\CESION\RESPALDO LUIS DIAZ\SOCIEDADES 2008\ELIGE INTERNET SpA Extracto.doc</t>
  </si>
  <si>
    <t>C:\Users\franc\OneDrive\Documentos\MALENTIN KARIME\CESION\RESPALDO LUIS DIAZ\SOCIEDADES 2008\E.I.R.L. Extracto.doc</t>
  </si>
  <si>
    <t>C:\Users\franc\OneDrive\Documentos\MALENTIN KARIME\CESION\RESPALDO LUIS DIAZ\SOCIEDADES 2008\DUBERLI GUERRERO E.R.I.L..doc</t>
  </si>
  <si>
    <t>C:\Users\franc\OneDrive\Documentos\MALENTIN KARIME\CESION\RESPALDO LUIS DIAZ\SOCIEDADES 2008\DUBERLI GUERRERO E.I.R.L. Extracto.doc</t>
  </si>
  <si>
    <t>C:\Users\franc\OneDrive\Documentos\MALENTIN KARIME\CESION\RESPALDO LUIS DIAZ\SOCIEDADES 2008\DOMB Y CIA. LTDA. Prot. Dctos.doc</t>
  </si>
  <si>
    <t>C:\Users\franc\OneDrive\Documentos\MALENTIN KARIME\CESION\RESPALDO LUIS DIAZ\SOCIEDADES 2008\DICAVE LTDA. Modif..doc</t>
  </si>
  <si>
    <t>C:\Users\franc\OneDrive\Documentos\MALENTIN KARIME\CESION\RESPALDO LUIS DIAZ\SOCIEDADES 2008\DICAVE LTDA. Modif. 2010.doc</t>
  </si>
  <si>
    <t>C:\Users\franc\OneDrive\Documentos\MALENTIN KARIME\CESION\RESPALDO LUIS DIAZ\SOCIEDADES 2008\DICAVE LTDA. Mod. Extracto 2010.doc</t>
  </si>
  <si>
    <t>C:\Users\franc\OneDrive\Documentos\MALENTIN KARIME\CESION\RESPALDO LUIS DIAZ\SOCIEDADES 2008\DICAVE LTDA. Extracto.doc</t>
  </si>
  <si>
    <t>C:\Users\franc\OneDrive\Documentos\MALENTIN KARIME\CESION\RESPALDO LUIS DIAZ\SOCIEDADES 2008\DELPRO SPA.doc</t>
  </si>
  <si>
    <t>C:\Users\franc\OneDrive\Documentos\MALENTIN KARIME\CESION\RESPALDO LUIS DIAZ\SOCIEDADES 2008\DELPRO SpA Extracto.doc</t>
  </si>
  <si>
    <t>C:\Users\franc\OneDrive\Documentos\MALENTIN KARIME\CESION\RESPALDO LUIS DIAZ\SOCIEDADES 2008\CRISTIAN ESCOBAR E.I.R.L.doc</t>
  </si>
  <si>
    <t>C:\Users\franc\OneDrive\Documentos\MALENTIN KARIME\CESION\RESPALDO LUIS DIAZ\SOCIEDADES 2008\CRISTIAN ESCOBAR E.I.R.L. Extracto.doc</t>
  </si>
  <si>
    <t>C:\Users\franc\OneDrive\Documentos\MALENTIN KARIME\CESION\RESPALDO LUIS DIAZ\SOCIEDADES 2008\COVALSA CENTER LTDA..doc</t>
  </si>
  <si>
    <t>C:\Users\franc\OneDrive\Documentos\MALENTIN KARIME\CESION\RESPALDO LUIS DIAZ\SOCIEDADES 2008\COVALSA CENTER LTDA. Extracto.doc</t>
  </si>
  <si>
    <t>C:\Users\franc\OneDrive\Documentos\MALENTIN KARIME\CESION\RESPALDO LUIS DIAZ\SOCIEDADES 2008\CONTRACTUAL MINERA.doc</t>
  </si>
  <si>
    <t>C:\Users\franc\OneDrive\Documentos\MALENTIN KARIME\CESION\RESPALDO LUIS DIAZ\SOCIEDADES 2008\CONSULTORES DPTIVOS Y REC..doc</t>
  </si>
  <si>
    <t>C:\Users\franc\OneDrive\Documentos\MALENTIN KARIME\CESION\RESPALDO LUIS DIAZ\SOCIEDADES 2008\CONSULTORES DPTIVOS Y R. Extrac..doc</t>
  </si>
  <si>
    <t>C:\Users\franc\OneDrive\Documentos\MALENTIN KARIME\CESION\RESPALDO LUIS DIAZ\SOCIEDADES 2008\CONSULTORA ECOLOGICA DEL NORTE.doc</t>
  </si>
  <si>
    <t>C:\Users\franc\OneDrive\Documentos\MALENTIN KARIME\CESION\RESPALDO LUIS DIAZ\SOCIEDADES 2008\CONSULTORA ECOLOGICA Aporte.doc</t>
  </si>
  <si>
    <t>C:\Users\franc\OneDrive\Documentos\MALENTIN KARIME\CESION\RESPALDO LUIS DIAZ\SOCIEDADES 2008\CONSULT. ECOLOG. DEL NORTE.Ext.doc</t>
  </si>
  <si>
    <t>C:\Users\franc\OneDrive\Documentos\MALENTIN KARIME\CESION\RESPALDO LUIS DIAZ\SOCIEDADES 2008\CONSTRUCTORA LOS RISCOS Modif..doc</t>
  </si>
  <si>
    <t>C:\Users\franc\OneDrive\Documentos\MALENTIN KARIME\CESION\RESPALDO LUIS DIAZ\SOCIEDADES 2008\CONSTRUCTORA GEMA LTD. Modif..doc</t>
  </si>
  <si>
    <t>C:\Users\franc\OneDrive\Documentos\MALENTIN KARIME\CESION\RESPALDO LUIS DIAZ\SOCIEDADES 2008\CONSTRUCTORA GEMA LTD. Modif. Extracto.doc</t>
  </si>
  <si>
    <t>C:\Users\franc\OneDrive\Documentos\MALENTIN KARIME\CESION\RESPALDO LUIS DIAZ\SOCIEDADES 2008\CONSTRUC. STA. CECILIA Aclarac..doc</t>
  </si>
  <si>
    <t>C:\Users\franc\OneDrive\Documentos\MALENTIN KARIME\CESION\RESPALDO LUIS DIAZ\SOCIEDADES 2008\CONSTRUC. LOS RISCOS LTD.  Extr. Modif..doc</t>
  </si>
  <si>
    <t>C:\Users\franc\OneDrive\Documentos\MALENTIN KARIME\CESION\RESPALDO LUIS DIAZ\SOCIEDADES 2008\COMPLEJO F C Y C LTDA. Extracto.doc</t>
  </si>
  <si>
    <t>C:\Users\franc\OneDrive\Documentos\MALENTIN KARIME\CESION\RESPALDO LUIS DIAZ\SOCIEDADES 2008\COMPLEJO F C &amp; C LTDA..doc</t>
  </si>
  <si>
    <t>C:\Users\franc\OneDrive\Documentos\MALENTIN KARIME\CESION\RESPALDO LUIS DIAZ\SOCIEDADES 2008\COMPLAND LTDA. Extracto.doc</t>
  </si>
  <si>
    <t>C:\Users\franc\OneDrive\Documentos\MALENTIN KARIME\CESION\RESPALDO LUIS DIAZ\SOCIEDADES 2008\COMPLAND LTD. Disolucion.doc</t>
  </si>
  <si>
    <t>C:\Users\franc\OneDrive\Documentos\MALENTIN KARIME\CESION\RESPALDO LUIS DIAZ\SOCIEDADES 2008\COMERCIAL GABE LTDA..doc</t>
  </si>
  <si>
    <t>C:\Users\franc\OneDrive\Documentos\MALENTIN KARIME\CESION\RESPALDO LUIS DIAZ\SOCIEDADES 2008\COMERCIAL GABE LTDA. Extracto.doc</t>
  </si>
  <si>
    <t>C:\Users\franc\OneDrive\Documentos\MALENTIN KARIME\CESION\RESPALDO LUIS DIAZ\SOCIEDADES 2008\CLEMENTE FUENTEALBA E.I.R.L..doc</t>
  </si>
  <si>
    <t>C:\Users\franc\OneDrive\Documentos\MALENTIN KARIME\CESION\RESPALDO LUIS DIAZ\SOCIEDADES 2008\CLEMENTE FUENTEALBA E.I.R.L. Extracto.doc</t>
  </si>
  <si>
    <t>C:\Users\franc\OneDrive\Documentos\MALENTIN KARIME\CESION\RESPALDO LUIS DIAZ\SOCIEDADES 2008\CLAUDIO FDEZ. SERV. MINEROS. Extracto.doc</t>
  </si>
  <si>
    <t>C:\Users\franc\OneDrive\Documentos\MALENTIN KARIME\CESION\RESPALDO LUIS DIAZ\SOCIEDADES 2008\CLAUDIO FDEZ. SERV. MINEROS Y CIA..doc</t>
  </si>
  <si>
    <t>C:\Users\franc\OneDrive\Documentos\MALENTIN KARIME\CESION\RESPALDO LUIS DIAZ\SOCIEDADES 2008\CLAUDIA LATORRE.doc</t>
  </si>
  <si>
    <t>C:\Users\franc\OneDrive\Documentos\MALENTIN KARIME\CESION\RESPALDO LUIS DIAZ\SOCIEDADES 2008\CLAUDIA HENRIQUEZ BENAVENTE E.I.R.L..doc</t>
  </si>
  <si>
    <t>C:\Users\franc\OneDrive\Documentos\MALENTIN KARIME\CESION\RESPALDO LUIS DIAZ\SOCIEDADES 2008\CLAUDIA HENRIQUEZ B. E.I.R.L. Extracto.doc</t>
  </si>
  <si>
    <t>C:\Users\franc\OneDrive\Documentos\MALENTIN KARIME\CESION\RESPALDO LUIS DIAZ\SOCIEDADES 2008\CISSO COMERCIAL LTDA..doc</t>
  </si>
  <si>
    <t>C:\Users\franc\OneDrive\Documentos\MALENTIN KARIME\CESION\RESPALDO LUIS DIAZ\SOCIEDADES 2008\CISSO COMERCIAL LTDA. Extracto.doc</t>
  </si>
  <si>
    <t>C:\Users\franc\OneDrive\Documentos\MALENTIN KARIME\CESION\RESPALDO LUIS DIAZ\SOCIEDADES 2008\CESAR DIAZ CORTES. E.R.I.L..doc</t>
  </si>
  <si>
    <t>C:\Users\franc\OneDrive\Documentos\MALENTIN KARIME\CESION\RESPALDO LUIS DIAZ\SOCIEDADES 2008\CESAR DIAZ CORTES. E.I.R.L. Extracto.doc</t>
  </si>
  <si>
    <t>C:\Users\franc\OneDrive\Documentos\MALENTIN KARIME\CESION\RESPALDO LUIS DIAZ\SOCIEDADES 2008\CERTIFICADO MATRIMONIO.doc</t>
  </si>
  <si>
    <t>C:\Users\franc\OneDrive\Documentos\MALENTIN KARIME\CESION\RESPALDO LUIS DIAZ\SOCIEDADES 2008\CENTRO ODONTOLOG. AMBLER LTD..doc</t>
  </si>
  <si>
    <t>C:\Users\franc\OneDrive\Documentos\MALENTIN KARIME\CESION\RESPALDO LUIS DIAZ\SOCIEDADES 2008\CENTRO ODONTOLOG. AMBLER Extracto.doc</t>
  </si>
  <si>
    <t>C:\Users\franc\OneDrive\Documentos\MALENTIN KARIME\CESION\RESPALDO LUIS DIAZ\SOCIEDADES 2008\CEGECAP.MOD.EXT.doc</t>
  </si>
  <si>
    <t>C:\Users\franc\OneDrive\Documentos\MALENTIN KARIME\CESION\RESPALDO LUIS DIAZ\SOCIEDADES 2008\CEGECAP.MOD.doc</t>
  </si>
  <si>
    <t>C:\Users\franc\OneDrive\Documentos\MALENTIN KARIME\CESION\RESPALDO LUIS DIAZ\SOCIEDADES 2008\CEGECAP CONSULTORES.SOC.doc</t>
  </si>
  <si>
    <t>C:\Users\franc\OneDrive\Documentos\MALENTIN KARIME\CESION\RESPALDO LUIS DIAZ\SOCIEDADES 2008\CEGECAP CONSULTORES.EXT.doc</t>
  </si>
  <si>
    <t>C:\Users\franc\OneDrive\Documentos\MALENTIN KARIME\CESION\RESPALDO LUIS DIAZ\SOCIEDADES 2008\CANTA RANA.EXT.doc</t>
  </si>
  <si>
    <t>C:\Users\franc\OneDrive\Documentos\MALENTIN KARIME\CESION\RESPALDO LUIS DIAZ\SOCIEDADES 2008\C.V.C. CONSULTORES LTD..doc</t>
  </si>
  <si>
    <t>C:\Users\franc\OneDrive\Documentos\MALENTIN KARIME\CESION\RESPALDO LUIS DIAZ\SOCIEDADES 2008\C.V.C. CONSULTORES Extracto.doc</t>
  </si>
  <si>
    <t>C:\Users\franc\OneDrive\Documentos\MALENTIN KARIME\CESION\RESPALDO LUIS DIAZ\SOCIEDADES 2008\C V O SERVICIOS E.I.R.L..doc</t>
  </si>
  <si>
    <t>C:\Users\franc\OneDrive\Documentos\MALENTIN KARIME\CESION\RESPALDO LUIS DIAZ\SOCIEDADES 2008\C V O SERVICIOS  E.I.R.L. Extracto.doc</t>
  </si>
  <si>
    <t>C:\Users\franc\OneDrive\Documentos\MALENTIN KARIME\CESION\RESPALDO LUIS DIAZ\SOCIEDADES 2008\BRUNO ECCHER TORRES E.R.I.L..doc</t>
  </si>
  <si>
    <t>C:\Users\franc\OneDrive\Documentos\MALENTIN KARIME\CESION\RESPALDO LUIS DIAZ\SOCIEDADES 2008\Borrador Sociedad.doc</t>
  </si>
  <si>
    <t>C:\Users\franc\OneDrive\Documentos\MALENTIN KARIME\CESION\RESPALDO LUIS DIAZ\SOCIEDADES 2008\Borrador E.I.R.L. Inmobiliaria.doc</t>
  </si>
  <si>
    <t>C:\Users\franc\OneDrive\Documentos\MALENTIN KARIME\CESION\RESPALDO LUIS DIAZ\SOCIEDADES 2008\AVEMOR Modif. Extracto.doc</t>
  </si>
  <si>
    <t>C:\Users\franc\OneDrive\Documentos\MALENTIN KARIME\CESION\RESPALDO LUIS DIAZ\SOCIEDADES 2008\ASESORIAS G Y D LTDA.doc</t>
  </si>
  <si>
    <t>C:\Users\franc\OneDrive\Documentos\MALENTIN KARIME\CESION\RESPALDO LUIS DIAZ\SOCIEDADES 2008\ASERCOMET Y DCS LTDA. Disolución.doc</t>
  </si>
  <si>
    <t>C:\Users\franc\OneDrive\Documentos\MALENTIN KARIME\CESION\RESPALDO LUIS DIAZ\SOCIEDADES 2008\ASERCOMET LTDA. Extracto.doc</t>
  </si>
  <si>
    <t>C:\Users\franc\OneDrive\Documentos\MALENTIN KARIME\CESION\RESPALDO LUIS DIAZ\SOCIEDADES 2008\ASERCOMET LTD..doc</t>
  </si>
  <si>
    <t>C:\Users\franc\OneDrive\Documentos\MALENTIN KARIME\CESION\RESPALDO LUIS DIAZ\SOCIEDADES 2008\ARIDOS Y MINERALES ALVARO CORTES E.I.R.L..doc</t>
  </si>
  <si>
    <t>C:\Users\franc\OneDrive\Documentos\MALENTIN KARIME\CESION\RESPALDO LUIS DIAZ\SOCIEDADES 2008\ARIDOS Y MINERALES ALVARO CORTES E.I.R.L. Extracto.doc</t>
  </si>
  <si>
    <t>C:\Users\franc\OneDrive\Documentos\MALENTIN KARIME\CESION\RESPALDO LUIS DIAZ\SOCIEDADES 2008\ANTONIO GARCIA OCAYO Extracto.doc</t>
  </si>
  <si>
    <t>C:\Users\franc\OneDrive\Documentos\MALENTIN KARIME\CESION\RESPALDO LUIS DIAZ\SOCIEDADES 2008\ANTONIO GARCIA OCAYO E.I.R.L..doc</t>
  </si>
  <si>
    <t>C:\Users\franc\OneDrive\Documentos\MALENTIN KARIME\CESION\RESPALDO LUIS DIAZ\SOCIEDADES 2008\ANEXO SOC. CONTRACTUAL MINERA TALCA.doc</t>
  </si>
  <si>
    <t>C:\Users\franc\OneDrive\Documentos\MALENTIN KARIME\CESION\RESPALDO LUIS DIAZ\SOCIEDADES 2008\ANA BENAVENTE CASTILLO E.I.R.L..doc</t>
  </si>
  <si>
    <t>C:\Users\franc\OneDrive\Documentos\MALENTIN KARIME\CESION\RESPALDO LUIS DIAZ\SOCIEDADES 2008\ANA BENAVENTE C. E.I.R.L. Extracto.doc</t>
  </si>
  <si>
    <t>C:\Users\franc\OneDrive\Documentos\MALENTIN KARIME\CESION\RESPALDO LUIS DIAZ\SOCIEDADES 2008\ALFONSO VICENCIO O. E.I.R.L. Extracto.doc</t>
  </si>
  <si>
    <t>C:\Users\franc\OneDrive\Documentos\MALENTIN KARIME\CESION\RESPALDO LUIS DIAZ\SOCIEDADES 2008\ALFONSO VICENCIO E.R.I.L..doc</t>
  </si>
  <si>
    <t>C:\Users\franc\OneDrive\Documentos\MALENTIN KARIME\CESION\RESPALDO LUIS DIAZ\SOCIEDADES 2008\ALEXIS DIAZ E.I.R.L..doc</t>
  </si>
  <si>
    <t>C:\Users\franc\OneDrive\Documentos\MALENTIN KARIME\CESION\RESPALDO LUIS DIAZ\SOCIEDADES 2008\ALEXIS DIAZ E.I.R.L. Extracto.doc</t>
  </si>
  <si>
    <t>C:\Users\franc\OneDrive\Documentos\MALENTIN KARIME\CESION\RESPALDO LUIS DIAZ\SOCIEDADES 2008\AGUATIERRA.MOD.doc</t>
  </si>
  <si>
    <t>C:\Users\franc\OneDrive\Documentos\MALENTIN KARIME\CESION\RESPALDO LUIS DIAZ\SOCIEDADES 2008\AGUATIERRA.EXT.doc</t>
  </si>
  <si>
    <t>C:\Users\franc\OneDrive\Documentos\MALENTIN KARIME\CESION\RESPALDO LUIS DIAZ\SOCIEDADES 2008\AGUAS ALTO LAS MOLLACAS. Extracto.doc</t>
  </si>
  <si>
    <t>C:\Users\franc\OneDrive\Documentos\MALENTIN KARIME\CESION\RESPALDO LUIS DIAZ\SOCIEDADES 2008\AGUAS ALTO LAS MOLLACAS S.A..doc</t>
  </si>
  <si>
    <t>C:\Users\franc\OneDrive\Documentos\MALENTIN KARIME\CESION\RESPALDO LUIS DIAZ\SOCIEDADES 2008\AGROSERV. SN CARLOS S.A. Extr.doc</t>
  </si>
  <si>
    <t>C:\Users\franc\OneDrive\Documentos\MALENTIN KARIME\CESION\RESPALDO LUIS DIAZ\SOCIEDADES 2008\AGROSERV. SAN CARLOS S.A..doc</t>
  </si>
  <si>
    <t>C:\Users\franc\OneDrive\Documentos\MALENTIN KARIME\CESION\RESPALDO LUIS DIAZ\SOCIEDADES 2008\AGRIVET LTDA..doc</t>
  </si>
  <si>
    <t>C:\Users\franc\OneDrive\Documentos\MALENTIN KARIME\CESION\RESPALDO LUIS DIAZ\SOCIEDADES 2008\AGRIVET LTDA. Extracto.doc</t>
  </si>
  <si>
    <t>C:\Users\franc\OneDrive\Documentos\MALENTIN KARIME\CESION\RESPALDO LUIS DIAZ\SOCIEDADES 2008\AGRIVET LTDA. Aclaración.doc</t>
  </si>
  <si>
    <t>C:\Users\franc\OneDrive\Documentos\MALENTIN KARIME\CESION\RESPALDO LUIS DIAZ\SOCIEDADES 2008\AGRICOLA SANTA LUCIA LTD. Cesión Extracto.doc</t>
  </si>
  <si>
    <t>C:\Users\franc\OneDrive\Documentos\MALENTIN KARIME\CESION\RESPALDO LUIS DIAZ\SOCIEDADES 2008\AGRICOLA SANTA LUCIA  Cesión.doc</t>
  </si>
  <si>
    <t>C:\Users\franc\OneDrive\Documentos\MALENTIN KARIME\CESION\RESPALDO LUIS DIAZ\SOCIEDADES 2008\AGRICOLA ROBERTA LTDA..doc</t>
  </si>
  <si>
    <t>C:\Users\franc\OneDrive\Documentos\MALENTIN KARIME\CESION\RESPALDO LUIS DIAZ\SOCIEDADES 2008\AGRICOLA GO LTDA..doc</t>
  </si>
  <si>
    <t>C:\Users\franc\OneDrive\Documentos\MALENTIN KARIME\CESION\RESPALDO LUIS DIAZ\SOCIEDADES 2008\AGRICOLA DOÑA PATRICIA Aclaración.doc</t>
  </si>
  <si>
    <t>C:\Users\franc\OneDrive\Documentos\MALENTIN KARIME\CESION\RESPALDO LUIS DIAZ\SOCIEDADES 2008\AGRICOLA DOÑA PATRICIA Aclarac. Extracto.doc</t>
  </si>
  <si>
    <t>C:\Users\franc\OneDrive\Documentos\MALENTIN KARIME\CESION\RESPALDO LUIS DIAZ\SOCIEDADES 2008\AGRICOLA ARAYA HERRERO LTDA..doc</t>
  </si>
  <si>
    <t>C:\Users\franc\OneDrive\Documentos\MALENTIN KARIME\CESION\RESPALDO LUIS DIAZ\SOCIEDADES 2008\AGRICOLA ARAYA HERRERO Extracto.doc</t>
  </si>
  <si>
    <t>C:\Users\franc\OneDrive\Documentos\MALENTIN KARIME\CESION\RESPALDO LUIS DIAZ\SOCIEDADES 2008\AGRICOLA AGUSTIN ARAYA Del.Facul.doc</t>
  </si>
  <si>
    <t>C:\Users\franc\OneDrive\Documentos\MALENTIN KARIME\CESION\RESPALDO LUIS DIAZ\SOCIEDADES 2008\AGRIC. MARCELO CORRAL Modif..doc</t>
  </si>
  <si>
    <t>C:\Users\franc\OneDrive\Documentos\MALENTIN KARIME\CESION\RESPALDO LUIS DIAZ\SOCIEDADES 2008\AGR. STA MARTA DE MOSTAZAL Deleg.Fac.II.doc</t>
  </si>
  <si>
    <t>C:\Users\franc\OneDrive\Documentos\MALENTIN KARIME\CESION\RESPALDO LUIS DIAZ\SOCIEDADES 2008\AGR. STA MARTA DE MOSTAZAL Deleg.Fac..doc</t>
  </si>
  <si>
    <t>C:\Users\franc\OneDrive\Documentos\MALENTIN KARIME\CESION\RESPALDO LUIS DIAZ\SOCIEDADES 2008\AGR. ROBERTA LTDA.  Extracto.doc</t>
  </si>
  <si>
    <t>C:\Users\franc\OneDrive\Documentos\MALENTIN KARIME\CESION\RESPALDO LUIS DIAZ\SOCIEDADES 2008\AGR. MARCELO CORRAL Extracto.doc</t>
  </si>
  <si>
    <t>C:\Users\franc\OneDrive\Documentos\MALENTIN KARIME\CESION\RESPALDO LUIS DIAZ\SOCIEDADES 2008\AGR. LOS SAUSALES LTDA. Extracto Saneam..doc</t>
  </si>
  <si>
    <t>C:\Users\franc\OneDrive\Documentos\MALENTIN KARIME\CESION\RESPALDO LUIS DIAZ\SOCIEDADES 2008\AGR. LOS SAUSALES LT. Saneamiento.doc</t>
  </si>
  <si>
    <t>C:\Users\franc\OneDrive\Documentos\MALENTIN KARIME\CESION\RESPALDO LUIS DIAZ\SOCIEDADES 2008\AGR. LOS LLANOS DE LIMARI.EXT.doc</t>
  </si>
  <si>
    <t>C:\Users\franc\OneDrive\Documentos\MALENTIN KARIME\CESION\RESPALDO LUIS DIAZ\SOCIEDADES 2008\AGR. LOS LLANOS DE LIMARI.doc</t>
  </si>
  <si>
    <t>C:\Users\franc\OneDrive\Documentos\MALENTIN KARIME\CESION\RESPALDO LUIS DIAZ\SOCIEDADES 2008\AGR. E INV. JUAN PABLO Modif..doc</t>
  </si>
  <si>
    <t>C:\Users\franc\OneDrive\Documentos\MALENTIN KARIME\CESION\RESPALDO LUIS DIAZ\SOCIEDADES 2008\AGR. E INV. JUAN PABLO Modif. EXTRACTO.doc</t>
  </si>
  <si>
    <t>C:\Users\franc\OneDrive\Documentos\MALENTIN KARIME\CESION\RESPALDO LUIS DIAZ\SERVIDUMBRE\servidumbre.doc</t>
  </si>
  <si>
    <t>C:\Users\franc\OneDrive\Documentos\MALENTIN KARIME\CESION\RESPALDO LUIS DIAZ\SERVIDUMBRE\AGRICOLA EL ARBOLITO.doc</t>
  </si>
  <si>
    <t>C:\Users\franc\OneDrive\Documentos\MALENTIN KARIME\CESION\RESPALDO LUIS DIAZ\SERVIDUMBRE\AGRICOLA EL ARBOLITO Instrucc..doc</t>
  </si>
  <si>
    <t>C:\Users\franc\OneDrive\Documentos\MALENTIN KARIME\CESION\RESPALDO LUIS DIAZ\SERVIDUMBRE\AGRICOLA EL ARBOLITO Borrador.doc</t>
  </si>
  <si>
    <t>C:\Users\franc\OneDrive\Documentos\MALENTIN KARIME\CESION\RESPALDO LUIS DIAZ\SERGIO PERALTA\VILLAONinstrucciones Escritura Villalon Final23-ENERO2008.doc</t>
  </si>
  <si>
    <t>C:\Users\franc\OneDrive\Documentos\MALENTIN KARIME\CESION\RESPALDO LUIS DIAZ\SERGIO PERALTA\villalon Escritura_Villalon_Final[1]22-01-08.doc</t>
  </si>
  <si>
    <t>C:\Users\franc\OneDrive\Documentos\MALENTIN KARIME\CESION\RESPALDO LUIS DIAZ\SERGIO PERALTA\DECLARO BAJO JURAMENTO26-enero2008.doc</t>
  </si>
  <si>
    <t>C:\Users\franc\OneDrive\Documentos\MALENTIN KARIME\CESION\RESPALDO LUIS DIAZ\SERGIO PERALTA\DECLARO BAJO JURAMENTO.doc</t>
  </si>
  <si>
    <t>C:\Users\franc\OneDrive\Documentos\MALENTIN KARIME\CESION\RESPALDO LUIS DIAZ\SERGIO PERALTA\CARMEN VILLALON CASTEX.doc</t>
  </si>
  <si>
    <t>C:\Users\franc\OneDrive\Documentos\MALENTIN KARIME\CESION\RESPALDO LUIS DIAZ\SELIM DABED Y CIA\VERONICA ACUÑA ARAYA Mandato.doc</t>
  </si>
  <si>
    <t>C:\Users\franc\OneDrive\Documentos\MALENTIN KARIME\CESION\RESPALDO LUIS DIAZ\SELIM DABED Y CIA\VERONICA ACUÑA ARAYA Mandato II.doc</t>
  </si>
  <si>
    <t>C:\Users\franc\OneDrive\Documentos\MALENTIN KARIME\CESION\RESPALDO LUIS DIAZ\SELIM DABED Y CIA\STELLA PERRY A. a ROSEDAMA.doc</t>
  </si>
  <si>
    <t>C:\Users\franc\OneDrive\Documentos\MALENTIN KARIME\CESION\RESPALDO LUIS DIAZ\SELIM DABED Y CIA\STELLA PERRY A. a ROSEDAMA Instrucc..doc</t>
  </si>
  <si>
    <t>C:\Users\franc\OneDrive\Documentos\MALENTIN KARIME\CESION\RESPALDO LUIS DIAZ\SELIM DABED Y CIA\SOC. EDUC. MORGADO Y VILCHES Dación.doc</t>
  </si>
  <si>
    <t>C:\Users\franc\OneDrive\Documentos\MALENTIN KARIME\CESION\RESPALDO LUIS DIAZ\SELIM DABED Y CIA\SELIM DABED Y CIA. a TITO MUÑOZ Y OT..doc</t>
  </si>
  <si>
    <t>C:\Users\franc\OneDrive\Documentos\MALENTIN KARIME\CESION\RESPALDO LUIS DIAZ\SELIM DABED Y CIA\SELIM DABED Y CIA. a SOC. CANJE Y M..doc</t>
  </si>
  <si>
    <t>C:\Users\franc\OneDrive\Documentos\MALENTIN KARIME\CESION\RESPALDO LUIS DIAZ\SELIM DABED Y CIA\S. DABED a ALEJANDRO SANTANDER Alz.Prenda.doc</t>
  </si>
  <si>
    <t>C:\Users\franc\OneDrive\Documentos\MALENTIN KARIME\CESION\RESPALDO LUIS DIAZ\SELIM DABED Y CIA\RUBEN BERRIOS A. a S. DABED Prenda.doc</t>
  </si>
  <si>
    <t>C:\Users\franc\OneDrive\Documentos\MALENTIN KARIME\CESION\RESPALDO LUIS DIAZ\SELIM DABED Y CIA\RUBEN BERRIOS A. a S. DABED Extracto.doc</t>
  </si>
  <si>
    <t>C:\Users\franc\OneDrive\Documentos\MALENTIN KARIME\CESION\RESPALDO LUIS DIAZ\SELIM DABED Y CIA\ROBERTO DABED Y OTS. Mandato Gral..doc</t>
  </si>
  <si>
    <t>C:\Users\franc\OneDrive\Documentos\MALENTIN KARIME\CESION\RESPALDO LUIS DIAZ\SELIM DABED Y CIA\PERSONERIA ROBERTO HIJO.doc</t>
  </si>
  <si>
    <t>C:\Users\franc\OneDrive\Documentos\MALENTIN KARIME\CESION\RESPALDO LUIS DIAZ\SELIM DABED Y CIA\OSCAR CORTES CARVAJAL Mandato.doc</t>
  </si>
  <si>
    <t>C:\Users\franc\OneDrive\Documentos\MALENTIN KARIME\CESION\RESPALDO LUIS DIAZ\SELIM DABED Y CIA\OSCAR CORTES C. Término Mandato.doc</t>
  </si>
  <si>
    <t>C:\Users\franc\OneDrive\Documentos\MALENTIN KARIME\CESION\RESPALDO LUIS DIAZ\SELIM DABED Y CIA\OLGA TORO E.I.R.L. Poder 2011.doc</t>
  </si>
  <si>
    <t>C:\Users\franc\OneDrive\Documentos\MALENTIN KARIME\CESION\RESPALDO LUIS DIAZ\SELIM DABED Y CIA\LUIS CORTES JOFRE a S. DABED.doc</t>
  </si>
  <si>
    <t>C:\Users\franc\OneDrive\Documentos\MALENTIN KARIME\CESION\RESPALDO LUIS DIAZ\SELIM DABED Y CIA\LIBERTO ALFARO Y OTRA a ROSEDAMA LTD..doc</t>
  </si>
  <si>
    <t>C:\Users\franc\OneDrive\Documentos\MALENTIN KARIME\CESION\RESPALDO LUIS DIAZ\SELIM DABED Y CIA\LIBERTO ALFARO Y OTRA  Instrucciones.doc</t>
  </si>
  <si>
    <t>C:\Users\franc\OneDrive\Documentos\MALENTIN KARIME\CESION\RESPALDO LUIS DIAZ\SELIM DABED Y CIA\LIBERTO ALFARO Y OT a ROSEDAMA LTD. Definit..doc</t>
  </si>
  <si>
    <t>C:\Users\franc\OneDrive\Documentos\MALENTIN KARIME\CESION\RESPALDO LUIS DIAZ\SELIM DABED Y CIA\JORGE RAMIREZ RODRIGUEZ.doc</t>
  </si>
  <si>
    <t>C:\Users\franc\OneDrive\Documentos\MALENTIN KARIME\CESION\RESPALDO LUIS DIAZ\SELIM DABED Y CIA\JORGE RAMIREZ RODRIGUEZ Mayo 2012.doc</t>
  </si>
  <si>
    <t>C:\Users\franc\OneDrive\Documentos\MALENTIN KARIME\CESION\RESPALDO LUIS DIAZ\SELIM DABED Y CIA\JORGE RAMIREZ RODRIGUEZ Abril 2012.doc</t>
  </si>
  <si>
    <t>C:\Users\franc\OneDrive\Documentos\MALENTIN KARIME\CESION\RESPALDO LUIS DIAZ\SELIM DABED Y CIA\INPROCOL a LOS RISCOS LTDA..doc</t>
  </si>
  <si>
    <t>C:\Users\franc\OneDrive\Documentos\MALENTIN KARIME\CESION\RESPALDO LUIS DIAZ\SELIM DABED Y CIA\INMOBILIARIA LIMARI a TITO M. Y OT.doc</t>
  </si>
  <si>
    <t>C:\Users\franc\OneDrive\Documentos\MALENTIN KARIME\CESION\RESPALDO LUIS DIAZ\SELIM DABED Y CIA\GMO. NUÑEZ a ROSEDAMA LTDA. Promesa Cv..doc</t>
  </si>
  <si>
    <t>C:\Users\franc\OneDrive\Documentos\MALENTIN KARIME\CESION\RESPALDO LUIS DIAZ\SELIM DABED Y CIA\ENCABEZADO NOTARIA.doc</t>
  </si>
  <si>
    <t>C:\Users\franc\OneDrive\Documentos\MALENTIN KARIME\CESION\RESPALDO LUIS DIAZ\SELIM DABED Y CIA\EMPRESAS DABED a LINEA 18 - Privado.doc</t>
  </si>
  <si>
    <t>C:\Users\franc\OneDrive\Documentos\MALENTIN KARIME\CESION\RESPALDO LUIS DIAZ\SELIM DABED Y CIA\DON FELIPE INVERSIONES S.A. Mandato Jud..doc</t>
  </si>
  <si>
    <t>C:\Users\franc\OneDrive\Documentos\MALENTIN KARIME\CESION\RESPALDO LUIS DIAZ\SELIM DABED Y CIA\DANIEL CARVAJAL MONROY Prenda.doc</t>
  </si>
  <si>
    <t>C:\Users\franc\OneDrive\Documentos\MALENTIN KARIME\CESION\RESPALDO LUIS DIAZ\SELIM DABED Y CIA\DALMACIA S.A. a SELIM DABED Rec. Deuda.doc</t>
  </si>
  <si>
    <t>C:\Users\franc\OneDrive\Documentos\MALENTIN KARIME\CESION\RESPALDO LUIS DIAZ\SELIM DABED Y CIA\DALMACIA S.A. a S. DABED Rec. Deuda Jun.2012.doc</t>
  </si>
  <si>
    <t>C:\Users\franc\OneDrive\Documentos\MALENTIN KARIME\CESION\RESPALDO LUIS DIAZ\SELIM DABED Y CIA\DALMACIA S.A. a DOMITILA ANDRADE.doc</t>
  </si>
  <si>
    <t>C:\Users\franc\OneDrive\Documentos\MALENTIN KARIME\CESION\RESPALDO LUIS DIAZ\SELIM DABED Y CIA\CONSTRUC. LOS RISCOS LTDA. Mandato Jud..doc</t>
  </si>
  <si>
    <t>C:\Users\franc\OneDrive\Documentos\MALENTIN KARIME\CESION\RESPALDO LUIS DIAZ\SELIM DABED Y CIA\BLANCA ACHA MENDOZA Hipoteca.doc</t>
  </si>
  <si>
    <t>C:\Users\franc\OneDrive\Documentos\MALENTIN KARIME\CESION\RESPALDO LUIS DIAZ\SELIM DABED Y CIA\BLANCA ACHA MENDOZA Hipoteca Definitiva.doc</t>
  </si>
  <si>
    <t>C:\Users\franc\OneDrive\Documentos\MALENTIN KARIME\CESION\RESPALDO LUIS DIAZ\SELIM DABED Y CIA\AGR. SAN FELIPE ORIENTE Mandato Jud..doc</t>
  </si>
  <si>
    <t>C:\Users\franc\OneDrive\Documentos\MALENTIN KARIME\CESION\RESPALDO LUIS DIAZ\SELIM DABED Y CIA\AGR. LLANO NEGRO a SERGIO OVANDO.doc</t>
  </si>
  <si>
    <t>C:\Users\franc\OneDrive\Documentos\MALENTIN KARIME\CESION\RESPALDO LUIS DIAZ\RESPALDO\Mandatos\abogados\OLMEDO -ALIAGA.doc</t>
  </si>
  <si>
    <t>C:\Users\franc\OneDrive\Documentos\MALENTIN KARIME\CESION\RESPALDO LUIS DIAZ\RESPALDO\Mandatos\abogados\Congelados Malloco.doc</t>
  </si>
  <si>
    <t>C:\Users\franc\OneDrive\Documentos\MALENTIN KARIME\CESION\RESPALDO LUIS DIAZ\RESPALDO\Mandatos\Silvia Adaros y otros.doc</t>
  </si>
  <si>
    <t>C:\Users\franc\OneDrive\Documentos\MALENTIN KARIME\CESION\RESPALDO LUIS DIAZ\RESPALDO\Mandatos\RIVERA VEGA.doc</t>
  </si>
  <si>
    <t>C:\Users\franc\OneDrive\Documentos\MALENTIN KARIME\CESION\RESPALDO LUIS DIAZ\RESPALDO\Mandatos\municipalidad de ovalle.doc</t>
  </si>
  <si>
    <t>C:\Users\franc\OneDrive\Documentos\MALENTIN KARIME\CESION\RESPALDO LUIS DIAZ\RESPALDO\Mandatos\Lilia Tapia.doc</t>
  </si>
  <si>
    <t>C:\Users\franc\OneDrive\Documentos\MALENTIN KARIME\CESION\RESPALDO LUIS DIAZ\RESPALDO\Mandatos\Deisy Ortiz.doc</t>
  </si>
  <si>
    <t>C:\Users\franc\OneDrive\Documentos\MALENTIN KARIME\CESION\RESPALDO LUIS DIAZ\RESPALDO\Declaraciones\Ximena Piñones.doc</t>
  </si>
  <si>
    <t>C:\Users\franc\OneDrive\Documentos\MALENTIN KARIME\CESION\RESPALDO LUIS DIAZ\RESPALDO\Declaraciones\Lidia Godoy.doc</t>
  </si>
  <si>
    <t>C:\Users\franc\OneDrive\Documentos\MALENTIN KARIME\CESION\RESPALDO LUIS DIAZ\RESPALDO\Declaraciones\Iván Pavletic.doc</t>
  </si>
  <si>
    <t>C:\Users\franc\OneDrive\Documentos\MALENTIN KARIME\CESION\RESPALDO LUIS DIAZ\RESPALDO\Corpbanca\Mariano Díaz.doc</t>
  </si>
  <si>
    <t>C:\Users\franc\OneDrive\Documentos\MALENTIN KARIME\CESION\RESPALDO LUIS DIAZ\RESPALDO\Corpbanca\Carrizal.doc</t>
  </si>
  <si>
    <t>C:\Users\franc\OneDrive\Documentos\MALENTIN KARIME\CESION\RESPALDO LUIS DIAZ\RESPALDO\banco de Chile\PRENDA.doc</t>
  </si>
  <si>
    <t>C:\Users\franc\OneDrive\Documentos\MALENTIN KARIME\CESION\RESPALDO LUIS DIAZ\RESPALDO\banco de Chile\jacob.doc</t>
  </si>
  <si>
    <t>C:\Users\franc\OneDrive\Documentos\MALENTIN KARIME\CESION\RESPALDO LUIS DIAZ\RESPALDO\banco de Chile\EXTRACTO BACO DE CHILE ELMILAGRO.doc</t>
  </si>
  <si>
    <t>C:\Users\franc\OneDrive\Documentos\MALENTIN KARIME\CESION\RESPALDO LUIS DIAZ\RESPALDO\AUTOR.COPIA.doc</t>
  </si>
  <si>
    <t>C:\Users\franc\OneDrive\Documentos\MALENTIN KARIME\CESION\RESPALDO LUIS DIAZ\RESPALDO\AUTOR.COPIA marg..doc</t>
  </si>
  <si>
    <t>C:\Users\franc\OneDrive\Documentos\MALENTIN KARIME\CESION\RESPALDO LUIS DIAZ\RESPALDO\arriendo.doc</t>
  </si>
  <si>
    <t>C:\Users\franc\OneDrive\Documentos\MALENTIN KARIME\CESION\RESPALDO LUIS DIAZ\REDUCCIONES\PDTE. V.doc</t>
  </si>
  <si>
    <t>C:\Users\franc\OneDrive\Documentos\MALENTIN KARIME\CESION\RESPALDO LUIS DIAZ\REDUCCIONES\PDTE. IV.doc</t>
  </si>
  <si>
    <t>C:\Users\franc\OneDrive\Documentos\MALENTIN KARIME\CESION\RESPALDO LUIS DIAZ\REDUCCIONES\PDTE III.doc</t>
  </si>
  <si>
    <t>C:\Users\franc\OneDrive\Documentos\MALENTIN KARIME\CESION\RESPALDO LUIS DIAZ\REDUCCIONES\I N F O R M E   DE   T I T U L O S.doc</t>
  </si>
  <si>
    <t>C:\Users\franc\OneDrive\Documentos\MALENTIN KARIME\CESION\RESPALDO LUIS DIAZ\REDUCCIONES\COM. AGR. LAS DAMAS Der. Consuntivo.doc</t>
  </si>
  <si>
    <t>C:\Users\franc\OneDrive\Documentos\MALENTIN KARIME\CESION\RESPALDO LUIS DIAZ\REDUCCIONES\COM. AGR. LAS DAMAS Der. Consuntivo XXXII.doc</t>
  </si>
  <si>
    <t>C:\Users\franc\OneDrive\Documentos\MALENTIN KARIME\CESION\RESPALDO LUIS DIAZ\REDUCCIONES\COM. AGR. LAS DAMAS Der. Consuntivo XXXI.doc</t>
  </si>
  <si>
    <t>C:\Users\franc\OneDrive\Documentos\MALENTIN KARIME\CESION\RESPALDO LUIS DIAZ\REDUCCIONES\COM. AGR. LAS DAMAS Der. Consuntivo XXX.doc</t>
  </si>
  <si>
    <t>C:\Users\franc\OneDrive\Documentos\MALENTIN KARIME\CESION\RESPALDO LUIS DIAZ\REDUCCIONES\COM. AGR. LAS DAMAS Der. Consuntivo XXVIII.doc</t>
  </si>
  <si>
    <t>C:\Users\franc\OneDrive\Documentos\MALENTIN KARIME\CESION\RESPALDO LUIS DIAZ\REDUCCIONES\COM. AGR. LAS DAMAS Der. Consuntivo XXVII.doc</t>
  </si>
  <si>
    <t>C:\Users\franc\OneDrive\Documentos\MALENTIN KARIME\CESION\RESPALDO LUIS DIAZ\REDUCCIONES\COM. AGR. LAS DAMAS Der. Consuntivo XXVI.doc</t>
  </si>
  <si>
    <t>C:\Users\franc\OneDrive\Documentos\MALENTIN KARIME\CESION\RESPALDO LUIS DIAZ\REDUCCIONES\COM. AGR. LAS DAMAS Der. Consuntivo XXV.doc</t>
  </si>
  <si>
    <t>C:\Users\franc\OneDrive\Documentos\MALENTIN KARIME\CESION\RESPALDO LUIS DIAZ\REDUCCIONES\COM. AGR. LAS DAMAS Der. Consuntivo XXIX.doc</t>
  </si>
  <si>
    <t>C:\Users\franc\OneDrive\Documentos\MALENTIN KARIME\CESION\RESPALDO LUIS DIAZ\REDUCCIONES\COM. AGR. LAS DAMAS Der. Consuntivo XXIV.doc</t>
  </si>
  <si>
    <t>C:\Users\franc\OneDrive\Documentos\MALENTIN KARIME\CESION\RESPALDO LUIS DIAZ\REDUCCIONES\COM. AGR. LAS DAMAS Der. Consuntivo XXIII.doc</t>
  </si>
  <si>
    <t>C:\Users\franc\OneDrive\Documentos\MALENTIN KARIME\CESION\RESPALDO LUIS DIAZ\REDUCCIONES\COM. AGR. LAS DAMAS Der. Consuntivo XXII.doc</t>
  </si>
  <si>
    <t>C:\Users\franc\OneDrive\Documentos\MALENTIN KARIME\CESION\RESPALDO LUIS DIAZ\REDUCCIONES\COM. AGR. LAS DAMAS Der. Consuntivo XXI.doc</t>
  </si>
  <si>
    <t>C:\Users\franc\OneDrive\Documentos\MALENTIN KARIME\CESION\RESPALDO LUIS DIAZ\REDUCCIONES\COM. AGR. LAS DAMAS Der. Consuntivo XX.doc</t>
  </si>
  <si>
    <t>C:\Users\franc\OneDrive\Documentos\MALENTIN KARIME\CESION\RESPALDO LUIS DIAZ\REDUCCIONES\COM. AGR. LAS DAMAS Der. Consuntivo XVIII.doc</t>
  </si>
  <si>
    <t>C:\Users\franc\OneDrive\Documentos\MALENTIN KARIME\CESION\RESPALDO LUIS DIAZ\REDUCCIONES\COM. AGR. LAS DAMAS Der. Consuntivo XVII.doc</t>
  </si>
  <si>
    <t>C:\Users\franc\OneDrive\Documentos\MALENTIN KARIME\CESION\RESPALDO LUIS DIAZ\REDUCCIONES\COM. AGR. LAS DAMAS Der. Consuntivo XVI.doc</t>
  </si>
  <si>
    <t>C:\Users\franc\OneDrive\Documentos\MALENTIN KARIME\CESION\RESPALDO LUIS DIAZ\REDUCCIONES\COM. AGR. LAS DAMAS Der. Consuntivo XV.doc</t>
  </si>
  <si>
    <t>C:\Users\franc\OneDrive\Documentos\MALENTIN KARIME\CESION\RESPALDO LUIS DIAZ\REDUCCIONES\COM. AGR. LAS DAMAS Der. Consuntivo XIX.doc</t>
  </si>
  <si>
    <t>C:\Users\franc\OneDrive\Documentos\MALENTIN KARIME\CESION\RESPALDO LUIS DIAZ\REDUCCIONES\COM. AGR. LAS DAMAS Der. Consuntivo XIV.doc</t>
  </si>
  <si>
    <t>C:\Users\franc\OneDrive\Documentos\MALENTIN KARIME\CESION\RESPALDO LUIS DIAZ\REDUCCIONES\COM. AGR. LAS DAMAS Der. Consuntivo XIII.doc</t>
  </si>
  <si>
    <t>C:\Users\franc\OneDrive\Documentos\MALENTIN KARIME\CESION\RESPALDO LUIS DIAZ\REDUCCIONES\COM. AGR. LAS DAMAS Der. Consuntivo XII.doc</t>
  </si>
  <si>
    <t>C:\Users\franc\OneDrive\Documentos\MALENTIN KARIME\CESION\RESPALDO LUIS DIAZ\REDUCCIONES\COM. AGR. LAS DAMAS Der. Consuntivo XI.doc</t>
  </si>
  <si>
    <t>C:\Users\franc\OneDrive\Documentos\MALENTIN KARIME\CESION\RESPALDO LUIS DIAZ\REDUCCIONES\COM. AGR. LAS DAMAS Der. Consuntivo X.doc</t>
  </si>
  <si>
    <t>C:\Users\franc\OneDrive\Documentos\MALENTIN KARIME\CESION\RESPALDO LUIS DIAZ\REDUCCIONES\COM. AGR. LAS DAMAS Der. Consuntivo VIII.doc</t>
  </si>
  <si>
    <t>C:\Users\franc\OneDrive\Documentos\MALENTIN KARIME\CESION\RESPALDO LUIS DIAZ\REDUCCIONES\COM. AGR. LAS DAMAS Der. Consuntivo VII.doc</t>
  </si>
  <si>
    <t>C:\Users\franc\OneDrive\Documentos\MALENTIN KARIME\CESION\RESPALDO LUIS DIAZ\REDUCCIONES\COM. AGR. LAS DAMAS Der. Consuntivo VI.doc</t>
  </si>
  <si>
    <t>C:\Users\franc\OneDrive\Documentos\MALENTIN KARIME\CESION\RESPALDO LUIS DIAZ\REDUCCIONES\COM. AGR. LAS DAMAS Der. Consuntivo V.doc</t>
  </si>
  <si>
    <t>C:\Users\franc\OneDrive\Documentos\MALENTIN KARIME\CESION\RESPALDO LUIS DIAZ\REDUCCIONES\COM. AGR. LAS DAMAS Der. Consuntivo IX.doc</t>
  </si>
  <si>
    <t>C:\Users\franc\OneDrive\Documentos\MALENTIN KARIME\CESION\RESPALDO LUIS DIAZ\REDUCCIONES\COM. AGR. LAS DAMAS Der. Consuntivo IV.doc</t>
  </si>
  <si>
    <t>C:\Users\franc\OneDrive\Documentos\MALENTIN KARIME\CESION\RESPALDO LUIS DIAZ\REDUCCIONES\COM. AGR. LAS DAMAS Der. Consuntivo III.doc</t>
  </si>
  <si>
    <t>C:\Users\franc\OneDrive\Documentos\MALENTIN KARIME\CESION\RESPALDO LUIS DIAZ\REDUCCIONES\COM. AGR. LAS DAMAS Der. Consuntivo II.doc</t>
  </si>
  <si>
    <t>C:\Users\franc\OneDrive\Documentos\MALENTIN KARIME\CESION\RESPALDO LUIS DIAZ\REDUCCIONES\COM. AGR. EL ALTAR II.doc</t>
  </si>
  <si>
    <t>C:\Users\franc\OneDrive\Documentos\MALENTIN KARIME\CESION\RESPALDO LUIS DIAZ\REDUCCIONES\COM. AGR. EL ALTAR Der. Consuntivo.doc</t>
  </si>
  <si>
    <t>C:\Users\franc\OneDrive\Documentos\MALENTIN KARIME\CESION\RESPALDO LUIS DIAZ\REDUCCIONES\COM. AGR. EL ALTAR Der. Consuntivo XXXV.doc</t>
  </si>
  <si>
    <t>C:\Users\franc\OneDrive\Documentos\MALENTIN KARIME\CESION\RESPALDO LUIS DIAZ\REDUCCIONES\COM. AGR. EL ALTAR Der. Consuntivo XXXIV.doc</t>
  </si>
  <si>
    <t>C:\Users\franc\OneDrive\Documentos\MALENTIN KARIME\CESION\RESPALDO LUIS DIAZ\REDUCCIONES\COM. AGR. EL ALTAR Der. Consuntivo XXXIII.doc</t>
  </si>
  <si>
    <t>C:\Users\franc\OneDrive\Documentos\MALENTIN KARIME\CESION\RESPALDO LUIS DIAZ\REDUCCIONES\COM. AGR. EL ALTAR Der. Consuntivo XXXII.doc</t>
  </si>
  <si>
    <t>C:\Users\franc\OneDrive\Documentos\MALENTIN KARIME\CESION\RESPALDO LUIS DIAZ\REDUCCIONES\COM. AGR. EL ALTAR Der. Consuntivo XXXI.doc</t>
  </si>
  <si>
    <t>C:\Users\franc\OneDrive\Documentos\MALENTIN KARIME\CESION\RESPALDO LUIS DIAZ\REDUCCIONES\COM. AGR. EL ALTAR Der. Consuntivo XXX.doc</t>
  </si>
  <si>
    <t>C:\Users\franc\OneDrive\Documentos\MALENTIN KARIME\CESION\RESPALDO LUIS DIAZ\REDUCCIONES\COM. AGR. EL ALTAR Der. Consuntivo XXVIII.doc</t>
  </si>
  <si>
    <t>C:\Users\franc\OneDrive\Documentos\MALENTIN KARIME\CESION\RESPALDO LUIS DIAZ\REDUCCIONES\COM. AGR. EL ALTAR Der. Consuntivo XXVII.doc</t>
  </si>
  <si>
    <t>C:\Users\franc\OneDrive\Documentos\MALENTIN KARIME\CESION\RESPALDO LUIS DIAZ\REDUCCIONES\COM. AGR. EL ALTAR Der. Consuntivo XXVI.doc</t>
  </si>
  <si>
    <t>C:\Users\franc\OneDrive\Documentos\MALENTIN KARIME\CESION\RESPALDO LUIS DIAZ\REDUCCIONES\COM. AGR. EL ALTAR Der. Consuntivo XXV.doc</t>
  </si>
  <si>
    <t>C:\Users\franc\OneDrive\Documentos\MALENTIN KARIME\CESION\RESPALDO LUIS DIAZ\REDUCCIONES\COM. AGR. EL ALTAR Der. Consuntivo XXIX.doc</t>
  </si>
  <si>
    <t>C:\Users\franc\OneDrive\Documentos\MALENTIN KARIME\CESION\RESPALDO LUIS DIAZ\REDUCCIONES\COM. AGR. EL ALTAR Der. Consuntivo XXIV.doc</t>
  </si>
  <si>
    <t>C:\Users\franc\OneDrive\Documentos\MALENTIN KARIME\CESION\RESPALDO LUIS DIAZ\REDUCCIONES\COM. AGR. EL ALTAR Der. Consuntivo XXIII.doc</t>
  </si>
  <si>
    <t>C:\Users\franc\OneDrive\Documentos\MALENTIN KARIME\CESION\RESPALDO LUIS DIAZ\REDUCCIONES\COM. AGR. EL ALTAR Der. Consuntivo XXII.doc</t>
  </si>
  <si>
    <t>C:\Users\franc\OneDrive\Documentos\MALENTIN KARIME\CESION\RESPALDO LUIS DIAZ\REDUCCIONES\COM. AGR. EL ALTAR Der. Consuntivo XXI.doc</t>
  </si>
  <si>
    <t>C:\Users\franc\OneDrive\Documentos\MALENTIN KARIME\CESION\RESPALDO LUIS DIAZ\REDUCCIONES\COM. AGR. EL ALTAR Der. Consuntivo XX.doc</t>
  </si>
  <si>
    <t>C:\Users\franc\OneDrive\Documentos\MALENTIN KARIME\CESION\RESPALDO LUIS DIAZ\REDUCCIONES\COM. AGR. EL ALTAR Der. Consuntivo XVIII.doc</t>
  </si>
  <si>
    <t>C:\Users\franc\OneDrive\Documentos\MALENTIN KARIME\CESION\RESPALDO LUIS DIAZ\REDUCCIONES\COM. AGR. EL ALTAR Der. Consuntivo XVII.doc</t>
  </si>
  <si>
    <t>C:\Users\franc\OneDrive\Documentos\MALENTIN KARIME\CESION\RESPALDO LUIS DIAZ\REDUCCIONES\COM. AGR. EL ALTAR Der. Consuntivo XVI.doc</t>
  </si>
  <si>
    <t>C:\Users\franc\OneDrive\Documentos\MALENTIN KARIME\CESION\RESPALDO LUIS DIAZ\REDUCCIONES\COM. AGR. EL ALTAR Der. Consuntivo XIX.doc</t>
  </si>
  <si>
    <t>C:\Users\franc\OneDrive\Documentos\MALENTIN KARIME\CESION\RESPALDO LUIS DIAZ\REDUCCIONES\COM. AGR. EL ALTAR Der. Consuntivo XIV.doc</t>
  </si>
  <si>
    <t>C:\Users\franc\OneDrive\Documentos\MALENTIN KARIME\CESION\RESPALDO LUIS DIAZ\REDUCCIONES\COM. AGR. EL ALTAR Der. Consuntivo XIII.doc</t>
  </si>
  <si>
    <t>C:\Users\franc\OneDrive\Documentos\MALENTIN KARIME\CESION\RESPALDO LUIS DIAZ\REDUCCIONES\COM. AGR. EL ALTAR Der. Consuntivo XII.doc</t>
  </si>
  <si>
    <t>C:\Users\franc\OneDrive\Documentos\MALENTIN KARIME\CESION\RESPALDO LUIS DIAZ\REDUCCIONES\COM. AGR. EL ALTAR Der. Consuntivo XI.doc</t>
  </si>
  <si>
    <t>C:\Users\franc\OneDrive\Documentos\MALENTIN KARIME\CESION\RESPALDO LUIS DIAZ\REDUCCIONES\COM. AGR. EL ALTAR Der. Consuntivo X.doc</t>
  </si>
  <si>
    <t>C:\Users\franc\OneDrive\Documentos\MALENTIN KARIME\CESION\RESPALDO LUIS DIAZ\REDUCCIONES\COM. AGR. EL ALTAR Der. Consuntivo VIII.doc</t>
  </si>
  <si>
    <t>C:\Users\franc\OneDrive\Documentos\MALENTIN KARIME\CESION\RESPALDO LUIS DIAZ\REDUCCIONES\COM. AGR. EL ALTAR Der. Consuntivo VI.doc</t>
  </si>
  <si>
    <t>C:\Users\franc\OneDrive\Documentos\MALENTIN KARIME\CESION\RESPALDO LUIS DIAZ\REDUCCIONES\COM. AGR. EL ALTAR Der. Consuntivo V.doc</t>
  </si>
  <si>
    <t>C:\Users\franc\OneDrive\Documentos\MALENTIN KARIME\CESION\RESPALDO LUIS DIAZ\REDUCCIONES\COM. AGR. EL ALTAR Der. Consuntivo IX.doc</t>
  </si>
  <si>
    <t>C:\Users\franc\OneDrive\Documentos\MALENTIN KARIME\CESION\RESPALDO LUIS DIAZ\REDUCCIONES\COM. AGR. EL ALTAR Der. Consuntivo IV.doc</t>
  </si>
  <si>
    <t>C:\Users\franc\OneDrive\Documentos\MALENTIN KARIME\CESION\RESPALDO LUIS DIAZ\REDUCCIONES\COM. AGR. EL ALTAR Der. Consuntivo III.doc</t>
  </si>
  <si>
    <t>C:\Users\franc\OneDrive\Documentos\MALENTIN KARIME\CESION\RESPALDO LUIS DIAZ\REDUCCIONES\COM. AGR. EL ALTAR Der. Consuntivo II.doc</t>
  </si>
  <si>
    <t>C:\Users\franc\OneDrive\Documentos\MALENTIN KARIME\CESION\RESPALDO LUIS DIAZ\REDUCCIONES\BERNARDO CORTES- I RIO HURTADO.doc</t>
  </si>
  <si>
    <t>C:\Users\franc\OneDrive\Documentos\MALENTIN KARIME\CESION\RESPALDO LUIS DIAZ\PROTOCOLIZACIONES\SUBSIDIO GUACOLDA PIZARRO.doc</t>
  </si>
  <si>
    <t>C:\Users\franc\OneDrive\Documentos\MALENTIN KARIME\CESION\RESPALDO LUIS DIAZ\PROTOCOLIZACIONES\PROTOCOLIZACION SUBSIDIO.doc</t>
  </si>
  <si>
    <t>C:\Users\franc\OneDrive\Documentos\MALENTIN KARIME\CESION\RESPALDO LUIS DIAZ\PROTOCOLIZACIONES\PROTOCOLIZACION SUBSIDIO YASNA CORTES.doc</t>
  </si>
  <si>
    <t>C:\Users\franc\OneDrive\Documentos\MALENTIN KARIME\CESION\RESPALDO LUIS DIAZ\PROTOCOLIZACIONES\PROTOCOLIZACION  INVENTARIO EXEQUIEL CONTRERAS.doc</t>
  </si>
  <si>
    <t>C:\Users\franc\OneDrive\Documentos\MALENTIN KARIME\CESION\RESPALDO LUIS DIAZ\PROTOCOLIZACIONES\MARIA MERCEDES FLORES(Serviu).doc</t>
  </si>
  <si>
    <t>C:\Users\franc\OneDrive\Documentos\MALENTIN KARIME\CESION\RESPALDO LUIS DIAZ\PROTOCOLIZACIONES\JOSE GALLARDO (Finiquito).doc</t>
  </si>
  <si>
    <t>C:\Users\franc\OneDrive\Documentos\MALENTIN KARIME\CESION\RESPALDO LUIS DIAZ\PROTOCOLIZACIONES\FUNDINA.doc</t>
  </si>
  <si>
    <t>C:\Users\franc\OneDrive\Documentos\MALENTIN KARIME\CESION\RESPALDO LUIS DIAZ\PROTOCOLIZACIONES\firma.doc</t>
  </si>
  <si>
    <t>C:\Users\franc\OneDrive\Documentos\MALENTIN KARIME\CESION\RESPALDO LUIS DIAZ\PROTOCOLIZACIONES\DOCUMENTOS VARIOS HOTELERA  PLAZA TURISMO.doc</t>
  </si>
  <si>
    <t>C:\Users\franc\OneDrive\Documentos\MALENTIN KARIME\CESION\RESPALDO LUIS DIAZ\PROTOCOLIZACIONES\DOCUMENTOS VARIOS AMERICAN.doc</t>
  </si>
  <si>
    <t>C:\Users\franc\OneDrive\Documentos\MALENTIN KARIME\CESION\RESPALDO LUIS DIAZ\PROTOCOLIZACIONES\DOCUMENTOS VARIOS AGRICOLA LOS LEONES S.A.doc</t>
  </si>
  <si>
    <t>C:\Users\franc\OneDrive\Documentos\MALENTIN KARIME\CESION\RESPALDO LUIS DIAZ\PROTOCOLIZACIONES\CARLOS NUÑEZ ALVAREZ(Serviu).doc</t>
  </si>
  <si>
    <t>C:\Users\franc\OneDrive\Documentos\MALENTIN KARIME\CESION\RESPALDO LUIS DIAZ\PROTOCOLIZACIONES\ANGEL ROJAS ARAYA.doc</t>
  </si>
  <si>
    <t>C:\Users\franc\OneDrive\Documentos\MALENTIN KARIME\CESION\RESPALDO LUIS DIAZ\PROTOCOLIZACIONES\ANDREA DIAZ GODOY (drogas).doc</t>
  </si>
  <si>
    <t>C:\Users\franc\OneDrive\Documentos\MALENTIN KARIME\CESION\RESPALDO LUIS DIAZ\PROTOCOLIZACIONES\AMPLIACION INVENTARIO ROSAMEL ESPINOZA.doc</t>
  </si>
  <si>
    <t>C:\Users\franc\OneDrive\Documentos\MALENTIN KARIME\CESION\RESPALDO LUIS DIAZ\PROHIBICIONES 2008\YOLANDA ANTIQUERA C..doc</t>
  </si>
  <si>
    <t>C:\Users\franc\OneDrive\Documentos\MALENTIN KARIME\CESION\RESPALDO LUIS DIAZ\PROHIBICIONES 2008\VICTOR ARAYA CARVAJAL.doc</t>
  </si>
  <si>
    <t>C:\Users\franc\OneDrive\Documentos\MALENTIN KARIME\CESION\RESPALDO LUIS DIAZ\PROHIBICIONES 2008\ROLANDO ROJAS ROJAS.doc</t>
  </si>
  <si>
    <t>C:\Users\franc\OneDrive\Documentos\MALENTIN KARIME\CESION\RESPALDO LUIS DIAZ\PROHIBICIONES 2008\RIENZI MEDALLA OROS.doc</t>
  </si>
  <si>
    <t>C:\Users\franc\OneDrive\Documentos\MALENTIN KARIME\CESION\RESPALDO LUIS DIAZ\PROHIBICIONES 2008\OLGA BUGUEÑO ROJAS.doc</t>
  </si>
  <si>
    <t>C:\Users\franc\OneDrive\Documentos\MALENTIN KARIME\CESION\RESPALDO LUIS DIAZ\PROHIBICIONES 2008\NOTARIO SUPLENTE.doc</t>
  </si>
  <si>
    <t>C:\Users\franc\OneDrive\Documentos\MALENTIN KARIME\CESION\RESPALDO LUIS DIAZ\PROHIBICIONES 2008\MIRTHA ADAROS DIAZ IV-2 Sotaqui.doc</t>
  </si>
  <si>
    <t>C:\Users\franc\OneDrive\Documentos\MALENTIN KARIME\CESION\RESPALDO LUIS DIAZ\PROHIBICIONES 2008\MIRIAM GONZALEZ V. Retazo K R.Htdo.doc</t>
  </si>
  <si>
    <t>C:\Users\franc\OneDrive\Documentos\MALENTIN KARIME\CESION\RESPALDO LUIS DIAZ\PROHIBICIONES 2008\MIGUEL SALINAS C. IV-2 Punitaqui.doc</t>
  </si>
  <si>
    <t>C:\Users\franc\OneDrive\Documentos\MALENTIN KARIME\CESION\RESPALDO LUIS DIAZ\PROHIBICIONES 2008\MARLENE VEGA R. IV-2 Fundina.doc</t>
  </si>
  <si>
    <t>C:\Users\franc\OneDrive\Documentos\MALENTIN KARIME\CESION\RESPALDO LUIS DIAZ\PROHIBICIONES 2008\MARIA MOLINA OMON.doc</t>
  </si>
  <si>
    <t>C:\Users\franc\OneDrive\Documentos\MALENTIN KARIME\CESION\RESPALDO LUIS DIAZ\PROHIBICIONES 2008\MAGALY RIVERA.PRH.doc</t>
  </si>
  <si>
    <t>C:\Users\franc\OneDrive\Documentos\MALENTIN KARIME\CESION\RESPALDO LUIS DIAZ\PROHIBICIONES 2008\JUAN CASTILLO R. Prohib.Dcl.Jurada.doc</t>
  </si>
  <si>
    <t>C:\Users\franc\OneDrive\Documentos\MALENTIN KARIME\CESION\RESPALDO LUIS DIAZ\PROHIBICIONES 2008\ESTER TAPIA CARVAJAL.doc</t>
  </si>
  <si>
    <t>C:\Users\franc\OneDrive\Documentos\MALENTIN KARIME\CESION\RESPALDO LUIS DIAZ\PROHIBICIONES 2008\ENCABEZADO NOTARIO.doc</t>
  </si>
  <si>
    <t>C:\Users\franc\OneDrive\Documentos\MALENTIN KARIME\CESION\RESPALDO LUIS DIAZ\PROHIBICIONES 2008\BENEDICTO CORTES ALFARO.doc</t>
  </si>
  <si>
    <t>C:\Users\franc\OneDrive\Documentos\MALENTIN KARIME\CESION\RESPALDO LUIS DIAZ\PROHIBICIONES 2008\ARNOLDO ARAYA FLORES.doc</t>
  </si>
  <si>
    <t>C:\Users\franc\OneDrive\Documentos\MALENTIN KARIME\CESION\RESPALDO LUIS DIAZ\PROHIBICIONES 2008\ANA ARENAS LEDEZMA Los Copihues.doc</t>
  </si>
  <si>
    <t>C:\Users\franc\OneDrive\Documentos\MALENTIN KARIME\CESION\RESPALDO LUIS DIAZ\PODERES 2008\2008\MARIA MILLALONCO TORRES.doc</t>
  </si>
  <si>
    <t>C:\Users\franc\OneDrive\Documentos\MALENTIN KARIME\CESION\RESPALDO LUIS DIAZ\PODERES 2008\2008\JOHANNA ARDILES VELASQUEZ 2.doc</t>
  </si>
  <si>
    <t>C:\Users\franc\OneDrive\Documentos\MALENTIN KARIME\CESION\RESPALDO LUIS DIAZ\PODERES 2008\2008\JOHANA ARDILES A EDUARDO ARDILES MOLINA.doc</t>
  </si>
  <si>
    <t>C:\Users\franc\OneDrive\Documentos\MALENTIN KARIME\CESION\RESPALDO LUIS DIAZ\PODERES 2008\2008\HUGO SANTANDER AROS A ANGELA ROJAS (VENTA CONYUGE).doc</t>
  </si>
  <si>
    <t>C:\Users\franc\OneDrive\Documentos\MALENTIN KARIME\CESION\RESPALDO LUIS DIAZ\PODERES 2008\2008\CORPORACION -MARIA MILLA VIDAL.doc</t>
  </si>
  <si>
    <t>C:\Users\franc\OneDrive\Documentos\MALENTIN KARIME\CESION\RESPALDO LUIS DIAZ\PODERES 2008\2008\CLAUDIO GALVARINO ROBLES.doc</t>
  </si>
  <si>
    <t>C:\Users\franc\OneDrive\Documentos\MALENTIN KARIME\CESION\RESPALDO LUIS DIAZ\PODERES 2008\2008\ALICIA CUEVAS A SELIM DABED.doc</t>
  </si>
  <si>
    <t>C:\Users\franc\OneDrive\Documentos\MALENTIN KARIME\CESION\RESPALDO LUIS DIAZ\PODERES 2008\ZENON ROJO ALVAREZ Chqs. Panulcillo.doc</t>
  </si>
  <si>
    <t>C:\Users\franc\OneDrive\Documentos\MALENTIN KARIME\CESION\RESPALDO LUIS DIAZ\PODERES 2008\ZENAIDA RAMIREZ C..doc</t>
  </si>
  <si>
    <t>C:\Users\franc\OneDrive\Documentos\MALENTIN KARIME\CESION\RESPALDO LUIS DIAZ\PODERES 2008\YOLANDA PARRA A JORGE ORTIZ (M.VENDER).doc</t>
  </si>
  <si>
    <t>C:\Users\franc\OneDrive\Documentos\MALENTIN KARIME\CESION\RESPALDO LUIS DIAZ\PODERES 2008\XIMENA BACIC ILLANES Indisa.doc</t>
  </si>
  <si>
    <t>C:\Users\franc\OneDrive\Documentos\MALENTIN KARIME\CESION\RESPALDO LUIS DIAZ\PODERES 2008\XIMENA ARAYA A. a ADOLFO LAY.doc</t>
  </si>
  <si>
    <t>C:\Users\franc\OneDrive\Documentos\MALENTIN KARIME\CESION\RESPALDO LUIS DIAZ\PODERES 2008\WILSON CORTES Y OT. Cheq. CAPEL Suces..doc</t>
  </si>
  <si>
    <t>C:\Users\franc\OneDrive\Documentos\MALENTIN KARIME\CESION\RESPALDO LUIS DIAZ\PODERES 2008\WALDA BLANCO V. Vender.doc</t>
  </si>
  <si>
    <t>C:\Users\franc\OneDrive\Documentos\MALENTIN KARIME\CESION\RESPALDO LUIS DIAZ\PODERES 2008\VLADIMIR SABIONCELLO Vender.doc</t>
  </si>
  <si>
    <t>C:\Users\franc\OneDrive\Documentos\MALENTIN KARIME\CESION\RESPALDO LUIS DIAZ\PODERES 2008\VIVIAN GUERRERO A. Poder mutuo vender.doc</t>
  </si>
  <si>
    <t>C:\Users\franc\OneDrive\Documentos\MALENTIN KARIME\CESION\RESPALDO LUIS DIAZ\PODERES 2008\VICTORIA LEMA DELLA TORRE.doc</t>
  </si>
  <si>
    <t>C:\Users\franc\OneDrive\Documentos\MALENTIN KARIME\CESION\RESPALDO LUIS DIAZ\PODERES 2008\VICTOR SOTO TAPIA Y OTS.doc</t>
  </si>
  <si>
    <t>C:\Users\franc\OneDrive\Documentos\MALENTIN KARIME\CESION\RESPALDO LUIS DIAZ\PODERES 2008\VICTOR OJEDA M. Ratif. y Mand.doc</t>
  </si>
  <si>
    <t>C:\Users\franc\OneDrive\Documentos\MALENTIN KARIME\CESION\RESPALDO LUIS DIAZ\PODERES 2008\VICTOR MORALES M. Vender Mina.doc</t>
  </si>
  <si>
    <t>C:\Users\franc\OneDrive\Documentos\MALENTIN KARIME\CESION\RESPALDO LUIS DIAZ\PODERES 2008\VICTOR ANJEL C. Chq.Panulcillo.doc</t>
  </si>
  <si>
    <t>C:\Users\franc\OneDrive\Documentos\MALENTIN KARIME\CESION\RESPALDO LUIS DIAZ\PODERES 2008\VERONICA VEDIA Y OTRO Vender.doc</t>
  </si>
  <si>
    <t>C:\Users\franc\OneDrive\Documentos\MALENTIN KARIME\CESION\RESPALDO LUIS DIAZ\PODERES 2008\VERONICA ROJAS ARAYA Chq..doc</t>
  </si>
  <si>
    <t>C:\Users\franc\OneDrive\Documentos\MALENTIN KARIME\CESION\RESPALDO LUIS DIAZ\PODERES 2008\VERONICA ROJAS A. Chques.doc</t>
  </si>
  <si>
    <t>C:\Users\franc\OneDrive\Documentos\MALENTIN KARIME\CESION\RESPALDO LUIS DIAZ\PODERES 2008\VERONICA MONTENEGRO.POD.doc</t>
  </si>
  <si>
    <t>C:\Users\franc\OneDrive\Documentos\MALENTIN KARIME\CESION\RESPALDO LUIS DIAZ\PODERES 2008\VERONICA MONTENEGRO.doc</t>
  </si>
  <si>
    <t>C:\Users\franc\OneDrive\Documentos\MALENTIN KARIME\CESION\RESPALDO LUIS DIAZ\PODERES 2008\VERONICA MONTENEGRO V.Pod.doc</t>
  </si>
  <si>
    <t>C:\Users\franc\OneDrive\Documentos\MALENTIN KARIME\CESION\RESPALDO LUIS DIAZ\PODERES 2008\VERONICA LOPEZ G. para Hipotecar.doc</t>
  </si>
  <si>
    <t>C:\Users\franc\OneDrive\Documentos\MALENTIN KARIME\CESION\RESPALDO LUIS DIAZ\PODERES 2008\VALENTIN URBINA C. Cta.Cte. BCO.CHILE.doc</t>
  </si>
  <si>
    <t>C:\Users\franc\OneDrive\Documentos\MALENTIN KARIME\CESION\RESPALDO LUIS DIAZ\PODERES 2008\TRANSP. HEISIG Y CIA.  Cta.Cte..doc</t>
  </si>
  <si>
    <t>C:\Users\franc\OneDrive\Documentos\MALENTIN KARIME\CESION\RESPALDO LUIS DIAZ\PODERES 2008\TMR CHILE a JAMES HARRISON Y OTS..doc</t>
  </si>
  <si>
    <t>C:\Users\franc\OneDrive\Documentos\MALENTIN KARIME\CESION\RESPALDO LUIS DIAZ\PODERES 2008\TERESA RODRIGUEZ R Y OTS. Cobrar Cheq.doc</t>
  </si>
  <si>
    <t>C:\Users\franc\OneDrive\Documentos\MALENTIN KARIME\CESION\RESPALDO LUIS DIAZ\PODERES 2008\TERESA FERNANDEZ. Chq.Panulcillo.doc</t>
  </si>
  <si>
    <t>C:\Users\franc\OneDrive\Documentos\MALENTIN KARIME\CESION\RESPALDO LUIS DIAZ\PODERES 2008\SYLVIA SEGOVIA Z. Deleg. y Vender Dchos.doc</t>
  </si>
  <si>
    <t>C:\Users\franc\OneDrive\Documentos\MALENTIN KARIME\CESION\RESPALDO LUIS DIAZ\PODERES 2008\SUC. HERNAN TELLO Y OTROS.doc</t>
  </si>
  <si>
    <t>C:\Users\franc\OneDrive\Documentos\MALENTIN KARIME\CESION\RESPALDO LUIS DIAZ\PODERES 2008\SUC. HERNAN TELLO Y OTROS Definitiva.doc</t>
  </si>
  <si>
    <t>C:\Users\franc\OneDrive\Documentos\MALENTIN KARIME\CESION\RESPALDO LUIS DIAZ\PODERES 2008\SOFIA CAIMANQUE P. Modelo para Comprar.doc</t>
  </si>
  <si>
    <t>C:\Users\franc\OneDrive\Documentos\MALENTIN KARIME\CESION\RESPALDO LUIS DIAZ\PODERES 2008\SOC. RIO NEGRO a IGNACIO FLORES.doc</t>
  </si>
  <si>
    <t>C:\Users\franc\OneDrive\Documentos\MALENTIN KARIME\CESION\RESPALDO LUIS DIAZ\PODERES 2008\SOC. NUEVO NORTE LTD. Cta.Cte..doc</t>
  </si>
  <si>
    <t>C:\Users\franc\OneDrive\Documentos\MALENTIN KARIME\CESION\RESPALDO LUIS DIAZ\PODERES 2008\SOC. MINERA EL COBRE LTD. Vender.doc</t>
  </si>
  <si>
    <t>C:\Users\franc\OneDrive\Documentos\MALENTIN KARIME\CESION\RESPALDO LUIS DIAZ\PODERES 2008\SOC. HDA. MAL PASO Poder Esp.doc</t>
  </si>
  <si>
    <t>C:\Users\franc\OneDrive\Documentos\MALENTIN KARIME\CESION\RESPALDO LUIS DIAZ\PODERES 2008\SOC. EXP. RIO RAPEL Mandato Bco..doc</t>
  </si>
  <si>
    <t>C:\Users\franc\OneDrive\Documentos\MALENTIN KARIME\CESION\RESPALDO LUIS DIAZ\PODERES 2008\SOC. EDUCAC. DALMACIA S.A. Poder.doc</t>
  </si>
  <si>
    <t>C:\Users\franc\OneDrive\Documentos\MALENTIN KARIME\CESION\RESPALDO LUIS DIAZ\PODERES 2008\SOC. COM. EL RELOJ a D. CRUZ.doc</t>
  </si>
  <si>
    <t>C:\Users\franc\OneDrive\Documentos\MALENTIN KARIME\CESION\RESPALDO LUIS DIAZ\PODERES 2008\SOC. AGRODESARROLLO LTD. Cta.Cte..doc</t>
  </si>
  <si>
    <t>C:\Users\franc\OneDrive\Documentos\MALENTIN KARIME\CESION\RESPALDO LUIS DIAZ\PODERES 2008\SOC. AGROC. OVALLE Chqs y V.V..doc</t>
  </si>
  <si>
    <t>C:\Users\franc\OneDrive\Documentos\MALENTIN KARIME\CESION\RESPALDO LUIS DIAZ\PODERES 2008\SOC. AGR. RIO NEGRO LTDA..doc</t>
  </si>
  <si>
    <t>C:\Users\franc\OneDrive\Documentos\MALENTIN KARIME\CESION\RESPALDO LUIS DIAZ\PODERES 2008\SILVIA ARAYA ARAYA A GMO. ARAYA.doc</t>
  </si>
  <si>
    <t>C:\Users\franc\OneDrive\Documentos\MALENTIN KARIME\CESION\RESPALDO LUIS DIAZ\PODERES 2008\SILVIA ADAROS GUTIERREZ.doc</t>
  </si>
  <si>
    <t>C:\Users\franc\OneDrive\Documentos\MALENTIN KARIME\CESION\RESPALDO LUIS DIAZ\PODERES 2008\SERGIO CORTES A. Vender Tierra y Agua.doc</t>
  </si>
  <si>
    <t>C:\Users\franc\OneDrive\Documentos\MALENTIN KARIME\CESION\RESPALDO LUIS DIAZ\PODERES 2008\SERAFIN ESTAY G. Y OTRA.doc</t>
  </si>
  <si>
    <t>C:\Users\franc\OneDrive\Documentos\MALENTIN KARIME\CESION\RESPALDO LUIS DIAZ\PODERES 2008\SELIM DABED Y OTRAS Mand. Bco..doc</t>
  </si>
  <si>
    <t>C:\Users\franc\OneDrive\Documentos\MALENTIN KARIME\CESION\RESPALDO LUIS DIAZ\PODERES 2008\SELIM DABED Y CIA. Revocac..doc</t>
  </si>
  <si>
    <t>C:\Users\franc\OneDrive\Documentos\MALENTIN KARIME\CESION\RESPALDO LUIS DIAZ\PODERES 2008\SELIM DABED Y CIA. Revoc..doc</t>
  </si>
  <si>
    <t>C:\Users\franc\OneDrive\Documentos\MALENTIN KARIME\CESION\RESPALDO LUIS DIAZ\PODERES 2008\SELIM DABED Y CIA. Mand.Bco.doc</t>
  </si>
  <si>
    <t>C:\Users\franc\OneDrive\Documentos\MALENTIN KARIME\CESION\RESPALDO LUIS DIAZ\PODERES 2008\SELIM DABED Y CIA. Mand. Bco..doc</t>
  </si>
  <si>
    <t>C:\Users\franc\OneDrive\Documentos\MALENTIN KARIME\CESION\RESPALDO LUIS DIAZ\PODERES 2008\SELIM DABED a C. ARDILES Y OTRA Mand. Esp..doc</t>
  </si>
  <si>
    <t>C:\Users\franc\OneDrive\Documentos\MALENTIN KARIME\CESION\RESPALDO LUIS DIAZ\PODERES 2008\SARA VARAS GARCIA Vender Ots.doc</t>
  </si>
  <si>
    <t>C:\Users\franc\OneDrive\Documentos\MALENTIN KARIME\CESION\RESPALDO LUIS DIAZ\PODERES 2008\S.L.M. SANTA LAURA UNA Chqs. Panulcillo.doc</t>
  </si>
  <si>
    <t>C:\Users\franc\OneDrive\Documentos\MALENTIN KARIME\CESION\RESPALDO LUIS DIAZ\PODERES 2008\S.L.M. MIRADOR UNO.ESP.doc</t>
  </si>
  <si>
    <t>C:\Users\franc\OneDrive\Documentos\MALENTIN KARIME\CESION\RESPALDO LUIS DIAZ\PODERES 2008\S.L.M. MALAQUITA I.doc</t>
  </si>
  <si>
    <t>C:\Users\franc\OneDrive\Documentos\MALENTIN KARIME\CESION\RESPALDO LUIS DIAZ\PODERES 2008\S.L.M. LA REGALADA Y OTRA.doc</t>
  </si>
  <si>
    <t>C:\Users\franc\OneDrive\Documentos\MALENTIN KARIME\CESION\RESPALDO LUIS DIAZ\PODERES 2008\S.L.M. CRUCERO UNO Contrato Honorarios.doc</t>
  </si>
  <si>
    <t>C:\Users\franc\OneDrive\Documentos\MALENTIN KARIME\CESION\RESPALDO LUIS DIAZ\PODERES 2008\S.L.M. CRUCERO UNO a C. MARCHANT.doc</t>
  </si>
  <si>
    <t>C:\Users\franc\OneDrive\Documentos\MALENTIN KARIME\CESION\RESPALDO LUIS DIAZ\PODERES 2008\S.L.M. CRISTINA UNO Y OTRAS Mandato.doc</t>
  </si>
  <si>
    <t>C:\Users\franc\OneDrive\Documentos\MALENTIN KARIME\CESION\RESPALDO LUIS DIAZ\PODERES 2008\RUBEN RUIZ V. a SELIM DABED.doc</t>
  </si>
  <si>
    <t>C:\Users\franc\OneDrive\Documentos\MALENTIN KARIME\CESION\RESPALDO LUIS DIAZ\PODERES 2008\RUBEN RUIZ V. a SELIM DABED 4.doc</t>
  </si>
  <si>
    <t>C:\Users\franc\OneDrive\Documentos\MALENTIN KARIME\CESION\RESPALDO LUIS DIAZ\PODERES 2008\RUBEN RUIZ V. a SELIM DABED 3.doc</t>
  </si>
  <si>
    <t>C:\Users\franc\OneDrive\Documentos\MALENTIN KARIME\CESION\RESPALDO LUIS DIAZ\PODERES 2008\RUBEN RUIZ V. a SELIM DABED 2.doc</t>
  </si>
  <si>
    <t>C:\Users\franc\OneDrive\Documentos\MALENTIN KARIME\CESION\RESPALDO LUIS DIAZ\PODERES 2008\RUBEN RUIZ a SELIM DABED.doc</t>
  </si>
  <si>
    <t>C:\Users\franc\OneDrive\Documentos\MALENTIN KARIME\CESION\RESPALDO LUIS DIAZ\PODERES 2008\RUBEN RUIZ 2 a SELIM DABED.doc</t>
  </si>
  <si>
    <t>C:\Users\franc\OneDrive\Documentos\MALENTIN KARIME\CESION\RESPALDO LUIS DIAZ\PODERES 2008\RUBEN ARAYA JOFRE V.V. y Chqs.doc</t>
  </si>
  <si>
    <t>C:\Users\franc\OneDrive\Documentos\MALENTIN KARIME\CESION\RESPALDO LUIS DIAZ\PODERES 2008\ROSA CONTADOR Y OTROS.BCO.doc</t>
  </si>
  <si>
    <t>C:\Users\franc\OneDrive\Documentos\MALENTIN KARIME\CESION\RESPALDO LUIS DIAZ\PODERES 2008\ROLANDO CONCHA G. Aut.Cóny.Vender.doc</t>
  </si>
  <si>
    <t>C:\Users\franc\OneDrive\Documentos\MALENTIN KARIME\CESION\RESPALDO LUIS DIAZ\PODERES 2008\ROLANDO CONCHA Aut. a cónyuge.doc</t>
  </si>
  <si>
    <t>C:\Users\franc\OneDrive\Documentos\MALENTIN KARIME\CESION\RESPALDO LUIS DIAZ\PODERES 2008\RODRIGO TELLO.POD.doc</t>
  </si>
  <si>
    <t>C:\Users\franc\OneDrive\Documentos\MALENTIN KARIME\CESION\RESPALDO LUIS DIAZ\PODERES 2008\RODRIGO CABRERA Deleg. Facultades.doc</t>
  </si>
  <si>
    <t>C:\Users\franc\OneDrive\Documentos\MALENTIN KARIME\CESION\RESPALDO LUIS DIAZ\PODERES 2008\RODRIGO BRICEÑO M. Cobrar V.V..doc</t>
  </si>
  <si>
    <t>C:\Users\franc\OneDrive\Documentos\MALENTIN KARIME\CESION\RESPALDO LUIS DIAZ\PODERES 2008\ROBERTO SALAS TREVERTON Y OTS..doc</t>
  </si>
  <si>
    <t>C:\Users\franc\OneDrive\Documentos\MALENTIN KARIME\CESION\RESPALDO LUIS DIAZ\PODERES 2008\ROBERTO CORTES CORRAL  Cta.Cte. BDD.doc</t>
  </si>
  <si>
    <t>C:\Users\franc\OneDrive\Documentos\MALENTIN KARIME\CESION\RESPALDO LUIS DIAZ\PODERES 2008\RICARDO CORRAL  a A. SABIONCELLO.doc</t>
  </si>
  <si>
    <t>C:\Users\franc\OneDrive\Documentos\MALENTIN KARIME\CESION\RESPALDO LUIS DIAZ\PODERES 2008\REGISTRO DE INSTRUMENTOS PUBLICOS.doc</t>
  </si>
  <si>
    <t>C:\Users\franc\OneDrive\Documentos\MALENTIN KARIME\CESION\RESPALDO LUIS DIAZ\PODERES 2008\REBECA MILLA M. Provida.doc</t>
  </si>
  <si>
    <t>C:\Users\franc\OneDrive\Documentos\MALENTIN KARIME\CESION\RESPALDO LUIS DIAZ\PODERES 2008\RAUL ZARRICUETA a LUZ VARAS Provida.doc</t>
  </si>
  <si>
    <t>C:\Users\franc\OneDrive\Documentos\MALENTIN KARIME\CESION\RESPALDO LUIS DIAZ\PODERES 2008\RAUL ROJAS H. Cta.Cte. Bco.Chile.doc</t>
  </si>
  <si>
    <t>C:\Users\franc\OneDrive\Documentos\MALENTIN KARIME\CESION\RESPALDO LUIS DIAZ\PODERES 2008\RAUL PIZARRO MUNDACA Vehículo.doc</t>
  </si>
  <si>
    <t>C:\Users\franc\OneDrive\Documentos\MALENTIN KARIME\CESION\RESPALDO LUIS DIAZ\PODERES 2008\RAMON VELIZ VELIZ. Aut. a cónyuge.doc</t>
  </si>
  <si>
    <t>C:\Users\franc\OneDrive\Documentos\MALENTIN KARIME\CESION\RESPALDO LUIS DIAZ\PODERES 2008\RAMON ROJAS RIVERA.doc</t>
  </si>
  <si>
    <t>C:\Users\franc\OneDrive\Documentos\MALENTIN KARIME\CESION\RESPALDO LUIS DIAZ\PODERES 2008\RAMIRO SEPULVEDA Cta Cte Desarr.doc</t>
  </si>
  <si>
    <t>C:\Users\franc\OneDrive\Documentos\MALENTIN KARIME\CESION\RESPALDO LUIS DIAZ\PODERES 2008\RAMIRO SEPULVEDA a ELIZABETH SEPULVEDA.doc</t>
  </si>
  <si>
    <t>C:\Users\franc\OneDrive\Documentos\MALENTIN KARIME\CESION\RESPALDO LUIS DIAZ\PODERES 2008\PRIMITIVA VASQUEZ O. vender drchos..doc</t>
  </si>
  <si>
    <t>C:\Users\franc\OneDrive\Documentos\MALENTIN KARIME\CESION\RESPALDO LUIS DIAZ\PODERES 2008\PLACIDO HIDALGO C. Adm.Soc.Cony.doc</t>
  </si>
  <si>
    <t>C:\Users\franc\OneDrive\Documentos\MALENTIN KARIME\CESION\RESPALDO LUIS DIAZ\PODERES 2008\PLACIDO ALFARO a YOLANDA V. Provida.doc</t>
  </si>
  <si>
    <t>C:\Users\franc\OneDrive\Documentos\MALENTIN KARIME\CESION\RESPALDO LUIS DIAZ\PODERES 2008\PERSOL S.A. a IRMA SOTO Cta. Cte..doc</t>
  </si>
  <si>
    <t>C:\Users\franc\OneDrive\Documentos\MALENTIN KARIME\CESION\RESPALDO LUIS DIAZ\PODERES 2008\PEDRO SALAS S. Aut. Cónyuge.doc</t>
  </si>
  <si>
    <t>C:\Users\franc\OneDrive\Documentos\MALENTIN KARIME\CESION\RESPALDO LUIS DIAZ\PODERES 2008\PEDRO IBARRA G. Aut. a cónyuge.doc</t>
  </si>
  <si>
    <t>C:\Users\franc\OneDrive\Documentos\MALENTIN KARIME\CESION\RESPALDO LUIS DIAZ\PODERES 2008\PAULINA GALVEZ Y OTRA. Poder Esp..doc</t>
  </si>
  <si>
    <t>C:\Users\franc\OneDrive\Documentos\MALENTIN KARIME\CESION\RESPALDO LUIS DIAZ\PODERES 2008\PAULINA GALVEZ Y CIA. ret. y cobrar V.V..doc</t>
  </si>
  <si>
    <t>C:\Users\franc\OneDrive\Documentos\MALENTIN KARIME\CESION\RESPALDO LUIS DIAZ\PODERES 2008\PAULINA GALVEZ Y CIA. ret. y cobrar V.V. 2012.doc</t>
  </si>
  <si>
    <t>C:\Users\franc\OneDrive\Documentos\MALENTIN KARIME\CESION\RESPALDO LUIS DIAZ\PODERES 2008\PAULA GONZALEZ C. Cta.Cte. BCI.doc</t>
  </si>
  <si>
    <t>C:\Users\franc\OneDrive\Documentos\MALENTIN KARIME\CESION\RESPALDO LUIS DIAZ\PODERES 2008\PATRICIO VEDIA Y OTRA Vender.doc</t>
  </si>
  <si>
    <t>C:\Users\franc\OneDrive\Documentos\MALENTIN KARIME\CESION\RESPALDO LUIS DIAZ\PODERES 2008\PATRICIO SASTRE Vender.doc</t>
  </si>
  <si>
    <t>C:\Users\franc\OneDrive\Documentos\MALENTIN KARIME\CESION\RESPALDO LUIS DIAZ\PODERES 2008\PATRICIO CASTILLO Chqs. Panulcillo.doc</t>
  </si>
  <si>
    <t>C:\Users\franc\OneDrive\Documentos\MALENTIN KARIME\CESION\RESPALDO LUIS DIAZ\PODERES 2008\PATRICIO ARAYA C. a PATRICIO H..doc</t>
  </si>
  <si>
    <t>C:\Users\franc\OneDrive\Documentos\MALENTIN KARIME\CESION\RESPALDO LUIS DIAZ\PODERES 2008\PATRICIO ADAOS a MARIA LIMPERT.doc</t>
  </si>
  <si>
    <t>C:\Users\franc\OneDrive\Documentos\MALENTIN KARIME\CESION\RESPALDO LUIS DIAZ\PODERES 2008\PATRICIA GARCIA F. a XIMENA GARCIA.doc</t>
  </si>
  <si>
    <t>C:\Users\franc\OneDrive\Documentos\MALENTIN KARIME\CESION\RESPALDO LUIS DIAZ\PODERES 2008\PATRICIA ESPINOZA Chq.Panulcillo.doc</t>
  </si>
  <si>
    <t>C:\Users\franc\OneDrive\Documentos\MALENTIN KARIME\CESION\RESPALDO LUIS DIAZ\PODERES 2008\PASCUAL DIAZ a MARIANELLA MORENO.doc</t>
  </si>
  <si>
    <t>C:\Users\franc\OneDrive\Documentos\MALENTIN KARIME\CESION\RESPALDO LUIS DIAZ\PODERES 2008\PASCUAL ARAYA Y OT a E. ELORZA.doc</t>
  </si>
  <si>
    <t>C:\Users\franc\OneDrive\Documentos\MALENTIN KARIME\CESION\RESPALDO LUIS DIAZ\PODERES 2008\PAOLA PEÑAFIEL G. Cta.Cte. BCO.CHILE.doc</t>
  </si>
  <si>
    <t>C:\Users\franc\OneDrive\Documentos\MALENTIN KARIME\CESION\RESPALDO LUIS DIAZ\PODERES 2008\PABLO RIVERA B. otros hered..doc</t>
  </si>
  <si>
    <t>C:\Users\franc\OneDrive\Documentos\MALENTIN KARIME\CESION\RESPALDO LUIS DIAZ\PODERES 2008\PABLO PIZARRO C. Cobrar Serviu.doc</t>
  </si>
  <si>
    <t>C:\Users\franc\OneDrive\Documentos\MALENTIN KARIME\CESION\RESPALDO LUIS DIAZ\PODERES 2008\PABLO GALLARDO ELORZA Vender Minas.doc</t>
  </si>
  <si>
    <t>C:\Users\franc\OneDrive\Documentos\MALENTIN KARIME\CESION\RESPALDO LUIS DIAZ\PODERES 2008\PABLO CORTES C. Chq.Panulcillo.doc</t>
  </si>
  <si>
    <t>C:\Users\franc\OneDrive\Documentos\MALENTIN KARIME\CESION\RESPALDO LUIS DIAZ\PODERES 2008\PABLA FARIAS C. Y OTS. Cheq CAPEL.doc</t>
  </si>
  <si>
    <t>C:\Users\franc\OneDrive\Documentos\MALENTIN KARIME\CESION\RESPALDO LUIS DIAZ\PODERES 2008\OSVALDO GUERRERO A. Panulcillo.doc</t>
  </si>
  <si>
    <t>C:\Users\franc\OneDrive\Documentos\MALENTIN KARIME\CESION\RESPALDO LUIS DIAZ\PODERES 2008\OSCAR VICENCIO CHQ. PANULCILLO.doc</t>
  </si>
  <si>
    <t>C:\Users\franc\OneDrive\Documentos\MALENTIN KARIME\CESION\RESPALDO LUIS DIAZ\PODERES 2008\OSCAR SERRANO ARRAÑO Vender.doc</t>
  </si>
  <si>
    <t>C:\Users\franc\OneDrive\Documentos\MALENTIN KARIME\CESION\RESPALDO LUIS DIAZ\PODERES 2008\OSCAR CORTES CARVAJAL a S. DABED.doc</t>
  </si>
  <si>
    <t>C:\Users\franc\OneDrive\Documentos\MALENTIN KARIME\CESION\RESPALDO LUIS DIAZ\PODERES 2008\ORIEL DEL R. BLANCO Chq.Panulcillo.doc</t>
  </si>
  <si>
    <t>C:\Users\franc\OneDrive\Documentos\MALENTIN KARIME\CESION\RESPALDO LUIS DIAZ\PODERES 2008\OLIVIA VALENZUELA M. Aut. cónyuge vender.doc</t>
  </si>
  <si>
    <t>C:\Users\franc\OneDrive\Documentos\MALENTIN KARIME\CESION\RESPALDO LUIS DIAZ\PODERES 2008\OLGA TORO E.I.R.L. a SELIM DABED.doc</t>
  </si>
  <si>
    <t>C:\Users\franc\OneDrive\Documentos\MALENTIN KARIME\CESION\RESPALDO LUIS DIAZ\PODERES 2008\OLGA TORO E.I.R.L. a S. DABED.doc</t>
  </si>
  <si>
    <t>C:\Users\franc\OneDrive\Documentos\MALENTIN KARIME\CESION\RESPALDO LUIS DIAZ\PODERES 2008\OLGA TORO E.I.R.L. a S. DABED Y CIA.doc</t>
  </si>
  <si>
    <t>C:\Users\franc\OneDrive\Documentos\MALENTIN KARIME\CESION\RESPALDO LUIS DIAZ\PODERES 2008\OLGA TORO E.I.R.L. a S. DABED V.doc</t>
  </si>
  <si>
    <t>C:\Users\franc\OneDrive\Documentos\MALENTIN KARIME\CESION\RESPALDO LUIS DIAZ\PODERES 2008\OLGA TORO E.I.R.L. a S. DABED IV.doc</t>
  </si>
  <si>
    <t>C:\Users\franc\OneDrive\Documentos\MALENTIN KARIME\CESION\RESPALDO LUIS DIAZ\PODERES 2008\OLGA TORO E.I.R.L. a S. DABED III.doc</t>
  </si>
  <si>
    <t>C:\Users\franc\OneDrive\Documentos\MALENTIN KARIME\CESION\RESPALDO LUIS DIAZ\PODERES 2008\OLGA PIZARRO C. comparece cóny..doc</t>
  </si>
  <si>
    <t>C:\Users\franc\OneDrive\Documentos\MALENTIN KARIME\CESION\RESPALDO LUIS DIAZ\PODERES 2008\OLGA MORALES GARRIDO.doc</t>
  </si>
  <si>
    <t>C:\Users\franc\OneDrive\Documentos\MALENTIN KARIME\CESION\RESPALDO LUIS DIAZ\PODERES 2008\NOTARIO SUPLENTE.doc</t>
  </si>
  <si>
    <t>C:\Users\franc\OneDrive\Documentos\MALENTIN KARIME\CESION\RESPALDO LUIS DIAZ\PODERES 2008\NOTARIO SUPL. M. Mettifogo.doc</t>
  </si>
  <si>
    <t>C:\Users\franc\OneDrive\Documentos\MALENTIN KARIME\CESION\RESPALDO LUIS DIAZ\PODERES 2008\NICOLASA IRIBARREN Y OTS..doc</t>
  </si>
  <si>
    <t>C:\Users\franc\OneDrive\Documentos\MALENTIN KARIME\CESION\RESPALDO LUIS DIAZ\PODERES 2008\NICANOR ROJAS DIAZ Vender Tierra y Agua.doc</t>
  </si>
  <si>
    <t>C:\Users\franc\OneDrive\Documentos\MALENTIN KARIME\CESION\RESPALDO LUIS DIAZ\PODERES 2008\NESTOR CONTRERAS. Cobrar Cheques.doc</t>
  </si>
  <si>
    <t>C:\Users\franc\OneDrive\Documentos\MALENTIN KARIME\CESION\RESPALDO LUIS DIAZ\PODERES 2008\NEMESIO GALLARDO E.I.R.L. Cobrar V.V..doc</t>
  </si>
  <si>
    <t>C:\Users\franc\OneDrive\Documentos\MALENTIN KARIME\CESION\RESPALDO LUIS DIAZ\PODERES 2008\NEMESIO GALLARDO E.I.R.L. Cobrar Chq..doc</t>
  </si>
  <si>
    <t>C:\Users\franc\OneDrive\Documentos\MALENTIN KARIME\CESION\RESPALDO LUIS DIAZ\PODERES 2008\NAYARETT ASTORGA DUVE y OTS. Vender.doc</t>
  </si>
  <si>
    <t>C:\Users\franc\OneDrive\Documentos\MALENTIN KARIME\CESION\RESPALDO LUIS DIAZ\PODERES 2008\NATALIA TELCHI R. Cta. Cte..doc</t>
  </si>
  <si>
    <t>C:\Users\franc\OneDrive\Documentos\MALENTIN KARIME\CESION\RESPALDO LUIS DIAZ\PODERES 2008\MOLINA ZORRICUETA M.A. Y OT Cobrar V.V..doc</t>
  </si>
  <si>
    <t>C:\Users\franc\OneDrive\Documentos\MALENTIN KARIME\CESION\RESPALDO LUIS DIAZ\PODERES 2008\MOISES CORTES CORTES Chq.Panulcillo.doc</t>
  </si>
  <si>
    <t>C:\Users\franc\OneDrive\Documentos\MALENTIN KARIME\CESION\RESPALDO LUIS DIAZ\PODERES 2008\MODESTO LEON C. Chqs Panulc..doc</t>
  </si>
  <si>
    <t>C:\Users\franc\OneDrive\Documentos\MALENTIN KARIME\CESION\RESPALDO LUIS DIAZ\PODERES 2008\MODELO VENDER PERT. MINERA.doc</t>
  </si>
  <si>
    <t>C:\Users\franc\OneDrive\Documentos\MALENTIN KARIME\CESION\RESPALDO LUIS DIAZ\PODERES 2008\MODELO Vender Minas.doc</t>
  </si>
  <si>
    <t>C:\Users\franc\OneDrive\Documentos\MALENTIN KARIME\CESION\RESPALDO LUIS DIAZ\PODERES 2008\MODELO Vender Bien Raíz.doc</t>
  </si>
  <si>
    <t>C:\Users\franc\OneDrive\Documentos\MALENTIN KARIME\CESION\RESPALDO LUIS DIAZ\PODERES 2008\MODELO REVOCACION.doc</t>
  </si>
  <si>
    <t>C:\Users\franc\OneDrive\Documentos\MALENTIN KARIME\CESION\RESPALDO LUIS DIAZ\PODERES 2008\MODELO Poder PROVIDA.doc</t>
  </si>
  <si>
    <t>C:\Users\franc\OneDrive\Documentos\MALENTIN KARIME\CESION\RESPALDO LUIS DIAZ\PODERES 2008\MODELO Poder para vender.doc</t>
  </si>
  <si>
    <t>C:\Users\franc\OneDrive\Documentos\MALENTIN KARIME\CESION\RESPALDO LUIS DIAZ\PODERES 2008\MODELO PODER CAPEL.doc</t>
  </si>
  <si>
    <t>C:\Users\franc\OneDrive\Documentos\MALENTIN KARIME\CESION\RESPALDO LUIS DIAZ\PODERES 2008\MODELO PISCO CONTROL.doc</t>
  </si>
  <si>
    <t>C:\Users\franc\OneDrive\Documentos\MALENTIN KARIME\CESION\RESPALDO LUIS DIAZ\PODERES 2008\MODELO para cobrar en CODELCO.doc</t>
  </si>
  <si>
    <t>C:\Users\franc\OneDrive\Documentos\MALENTIN KARIME\CESION\RESPALDO LUIS DIAZ\PODERES 2008\MODELO MANDATO.doc</t>
  </si>
  <si>
    <t>C:\Users\franc\OneDrive\Documentos\MALENTIN KARIME\CESION\RESPALDO LUIS DIAZ\PODERES 2008\MODELO MANDATO CTA. CTE..doc</t>
  </si>
  <si>
    <t>C:\Users\franc\OneDrive\Documentos\MALENTIN KARIME\CESION\RESPALDO LUIS DIAZ\PODERES 2008\MODELO CTA CTE. AMPLIO.doc</t>
  </si>
  <si>
    <t>C:\Users\franc\OneDrive\Documentos\MALENTIN KARIME\CESION\RESPALDO LUIS DIAZ\PODERES 2008\MODELO Cheque CAPEL.doc</t>
  </si>
  <si>
    <t>C:\Users\franc\OneDrive\Documentos\MALENTIN KARIME\CESION\RESPALDO LUIS DIAZ\PODERES 2008\MODELO Cheque CAPEL (Sucesión).doc</t>
  </si>
  <si>
    <t>C:\Users\franc\OneDrive\Documentos\MALENTIN KARIME\CESION\RESPALDO LUIS DIAZ\PODERES 2008\MODELO 2 Para vender.doc</t>
  </si>
  <si>
    <t>C:\Users\franc\OneDrive\Documentos\MALENTIN KARIME\CESION\RESPALDO LUIS DIAZ\PODERES 2008\MINUTA PARA VENDER Carlos Aros y ot.doc</t>
  </si>
  <si>
    <t>C:\Users\franc\OneDrive\Documentos\MALENTIN KARIME\CESION\RESPALDO LUIS DIAZ\PODERES 2008\MINERA CRUZ LTDA. a D. CRUZ.doc</t>
  </si>
  <si>
    <t>C:\Users\franc\OneDrive\Documentos\MALENTIN KARIME\CESION\RESPALDO LUIS DIAZ\PODERES 2008\MINA SAN RAMON Mandato.doc</t>
  </si>
  <si>
    <t>C:\Users\franc\OneDrive\Documentos\MALENTIN KARIME\CESION\RESPALDO LUIS DIAZ\PODERES 2008\MIGUEL TAPIA Modelo Para Vender.doc</t>
  </si>
  <si>
    <t>C:\Users\franc\OneDrive\Documentos\MALENTIN KARIME\CESION\RESPALDO LUIS DIAZ\PODERES 2008\MIGUEL TAPIA L. a CARMEN TAPIA.doc</t>
  </si>
  <si>
    <t>C:\Users\franc\OneDrive\Documentos\MALENTIN KARIME\CESION\RESPALDO LUIS DIAZ\PODERES 2008\MIGUEL TAPIA L. a BENITO TOLEDO.doc</t>
  </si>
  <si>
    <t>C:\Users\franc\OneDrive\Documentos\MALENTIN KARIME\CESION\RESPALDO LUIS DIAZ\PODERES 2008\MIGUEL TAPIA a BENITO TOLEDO.doc</t>
  </si>
  <si>
    <t>C:\Users\franc\OneDrive\Documentos\MALENTIN KARIME\CESION\RESPALDO LUIS DIAZ\PODERES 2008\MIGUEL FIOL Y CIA. LTDA..doc</t>
  </si>
  <si>
    <t>C:\Users\franc\OneDrive\Documentos\MALENTIN KARIME\CESION\RESPALDO LUIS DIAZ\PODERES 2008\MIGUEL CONTRERAS FIBLA Cheq CAPEL.doc</t>
  </si>
  <si>
    <t>C:\Users\franc\OneDrive\Documentos\MALENTIN KARIME\CESION\RESPALDO LUIS DIAZ\PODERES 2008\MICHAELA HEISIG  Cta.Cte. CORPBANCA.doc</t>
  </si>
  <si>
    <t>C:\Users\franc\OneDrive\Documentos\MALENTIN KARIME\CESION\RESPALDO LUIS DIAZ\PODERES 2008\MICHAELA HEISIG  Cta.Cte. BDD.doc</t>
  </si>
  <si>
    <t>C:\Users\franc\OneDrive\Documentos\MALENTIN KARIME\CESION\RESPALDO LUIS DIAZ\PODERES 2008\MERCEDES CORTES L. Cobrar INP y Cta. Rut.doc</t>
  </si>
  <si>
    <t>C:\Users\franc\OneDrive\Documentos\MALENTIN KARIME\CESION\RESPALDO LUIS DIAZ\PODERES 2008\MAURICIO SEPULVEDA a S. DABED.doc</t>
  </si>
  <si>
    <t>C:\Users\franc\OneDrive\Documentos\MALENTIN KARIME\CESION\RESPALDO LUIS DIAZ\PODERES 2008\MARY MICHEA TELLO Y OTS. Poder CAPEL.doc</t>
  </si>
  <si>
    <t>C:\Users\franc\OneDrive\Documentos\MALENTIN KARIME\CESION\RESPALDO LUIS DIAZ\PODERES 2008\MARY MICHEA TELLO Y OTS. Cheq CAPEL.doc</t>
  </si>
  <si>
    <t>C:\Users\franc\OneDrive\Documentos\MALENTIN KARIME\CESION\RESPALDO LUIS DIAZ\PODERES 2008\MARTA TOLEDO R. Cta.Cte BancoEstado.doc</t>
  </si>
  <si>
    <t>C:\Users\franc\OneDrive\Documentos\MALENTIN KARIME\CESION\RESPALDO LUIS DIAZ\PODERES 2008\MARJORIE ITURRIAGA Soc.Cony.Vender.doc</t>
  </si>
  <si>
    <t>C:\Users\franc\OneDrive\Documentos\MALENTIN KARIME\CESION\RESPALDO LUIS DIAZ\PODERES 2008\MARISEL RAMIREZ D. Aut. cónyuge vender.doc</t>
  </si>
  <si>
    <t>C:\Users\franc\OneDrive\Documentos\MALENTIN KARIME\CESION\RESPALDO LUIS DIAZ\PODERES 2008\MARIO HERRERA A. Cta.Cte y depositar.doc</t>
  </si>
  <si>
    <t>C:\Users\franc\OneDrive\Documentos\MALENTIN KARIME\CESION\RESPALDO LUIS DIAZ\PODERES 2008\MARIO CONTRERAS LOPEZ.doc</t>
  </si>
  <si>
    <t>C:\Users\franc\OneDrive\Documentos\MALENTIN KARIME\CESION\RESPALDO LUIS DIAZ\PODERES 2008\MARIO CONTRERAS LOPEZ Rev..doc</t>
  </si>
  <si>
    <t>C:\Users\franc\OneDrive\Documentos\MALENTIN KARIME\CESION\RESPALDO LUIS DIAZ\PODERES 2008\MARIO CONTRERAS L. Revocación.doc</t>
  </si>
  <si>
    <t>C:\Users\franc\OneDrive\Documentos\MALENTIN KARIME\CESION\RESPALDO LUIS DIAZ\PODERES 2008\MARIO CONTRERAS L. Mand.Adm..doc</t>
  </si>
  <si>
    <t>C:\Users\franc\OneDrive\Documentos\MALENTIN KARIME\CESION\RESPALDO LUIS DIAZ\PODERES 2008\MARIANO DIAZ Y CIA. pod. bancario.doc</t>
  </si>
  <si>
    <t>C:\Users\franc\OneDrive\Documentos\MALENTIN KARIME\CESION\RESPALDO LUIS DIAZ\PODERES 2008\MARIA ZEPEDA CORTES.doc</t>
  </si>
  <si>
    <t>C:\Users\franc\OneDrive\Documentos\MALENTIN KARIME\CESION\RESPALDO LUIS DIAZ\PODERES 2008\MARIA TAPIA V. con Sep.Bienes.doc</t>
  </si>
  <si>
    <t>C:\Users\franc\OneDrive\Documentos\MALENTIN KARIME\CESION\RESPALDO LUIS DIAZ\PODERES 2008\MARIA ROSA ANGELICA.doc</t>
  </si>
  <si>
    <t>C:\Users\franc\OneDrive\Documentos\MALENTIN KARIME\CESION\RESPALDO LUIS DIAZ\PODERES 2008\MARIA RAQUEL ALVAREZ.doc</t>
  </si>
  <si>
    <t>C:\Users\franc\OneDrive\Documentos\MALENTIN KARIME\CESION\RESPALDO LUIS DIAZ\PODERES 2008\MARIA MUÑOZ DIAZ. Cheques CAPEL.doc</t>
  </si>
  <si>
    <t>C:\Users\franc\OneDrive\Documentos\MALENTIN KARIME\CESION\RESPALDO LUIS DIAZ\PODERES 2008\MARIA MUNDACA MUNDACA vender St. Limarí.doc</t>
  </si>
  <si>
    <t>C:\Users\franc\OneDrive\Documentos\MALENTIN KARIME\CESION\RESPALDO LUIS DIAZ\PODERES 2008\MARIA LOPEZ VARAS Cta.Cte. Bco.Sant..doc</t>
  </si>
  <si>
    <t>C:\Users\franc\OneDrive\Documentos\MALENTIN KARIME\CESION\RESPALDO LUIS DIAZ\PODERES 2008\MARIA LAGOS OLEA.doc</t>
  </si>
  <si>
    <t>C:\Users\franc\OneDrive\Documentos\MALENTIN KARIME\CESION\RESPALDO LUIS DIAZ\PODERES 2008\MARIA INES NUÑEZ a PAMELA GOLDBAUM Y OTS..doc</t>
  </si>
  <si>
    <t>C:\Users\franc\OneDrive\Documentos\MALENTIN KARIME\CESION\RESPALDO LUIS DIAZ\PODERES 2008\MARIA CORRAL EGUILUZ a A. SABIONCELLO.doc</t>
  </si>
  <si>
    <t>C:\Users\franc\OneDrive\Documentos\MALENTIN KARIME\CESION\RESPALDO LUIS DIAZ\PODERES 2008\MARIA BERNARDITA ASUNCION.doc</t>
  </si>
  <si>
    <t>C:\Users\franc\OneDrive\Documentos\MALENTIN KARIME\CESION\RESPALDO LUIS DIAZ\PODERES 2008\MARGOT CARVAJAL M. Y OTS. Vender.doc</t>
  </si>
  <si>
    <t>C:\Users\franc\OneDrive\Documentos\MALENTIN KARIME\CESION\RESPALDO LUIS DIAZ\PODERES 2008\MARGOT CARVAJAL M. Y OTS. II.doc</t>
  </si>
  <si>
    <t>C:\Users\franc\OneDrive\Documentos\MALENTIN KARIME\CESION\RESPALDO LUIS DIAZ\PODERES 2008\MARGARITA SANTANA.doc</t>
  </si>
  <si>
    <t>C:\Users\franc\OneDrive\Documentos\MALENTIN KARIME\CESION\RESPALDO LUIS DIAZ\PODERES 2008\MARCIA PEREZ R. Aut. a cónyuge vender.doc</t>
  </si>
  <si>
    <t>C:\Users\franc\OneDrive\Documentos\MALENTIN KARIME\CESION\RESPALDO LUIS DIAZ\PODERES 2008\MARCELO JOFRE A. A GMO. ARAYA.doc</t>
  </si>
  <si>
    <t>C:\Users\franc\OneDrive\Documentos\MALENTIN KARIME\CESION\RESPALDO LUIS DIAZ\PODERES 2008\MANUELA RODRIGUEZ R. vender drchos..doc</t>
  </si>
  <si>
    <t>C:\Users\franc\OneDrive\Documentos\MALENTIN KARIME\CESION\RESPALDO LUIS DIAZ\PODERES 2008\MANUEL VARGAS F. Chq. Panulcillo.doc</t>
  </si>
  <si>
    <t>C:\Users\franc\OneDrive\Documentos\MALENTIN KARIME\CESION\RESPALDO LUIS DIAZ\PODERES 2008\MANUEL SEGURA C. Vender.doc</t>
  </si>
  <si>
    <t>C:\Users\franc\OneDrive\Documentos\MALENTIN KARIME\CESION\RESPALDO LUIS DIAZ\PODERES 2008\MANUEL ROMAN CARVAJAL Chq.Panulcillo.doc</t>
  </si>
  <si>
    <t>C:\Users\franc\OneDrive\Documentos\MALENTIN KARIME\CESION\RESPALDO LUIS DIAZ\PODERES 2008\MANUEL ROBLES C.  Dep. a Plazo.doc</t>
  </si>
  <si>
    <t>C:\Users\franc\OneDrive\Documentos\MALENTIN KARIME\CESION\RESPALDO LUIS DIAZ\PODERES 2008\MANUEL BRAVO M. Chq.Panulcillo.doc</t>
  </si>
  <si>
    <t>C:\Users\franc\OneDrive\Documentos\MALENTIN KARIME\CESION\RESPALDO LUIS DIAZ\PODERES 2008\MANTENCION Y C. MINERA LTD. Revocac..doc</t>
  </si>
  <si>
    <t>C:\Users\franc\OneDrive\Documentos\MALENTIN KARIME\CESION\RESPALDO LUIS DIAZ\PODERES 2008\MANTENCION MINERA a R. ZUÑIGA.doc</t>
  </si>
  <si>
    <t>C:\Users\franc\OneDrive\Documentos\MALENTIN KARIME\CESION\RESPALDO LUIS DIAZ\PODERES 2008\MAMERTO MORENO MORENO Autoriz..doc</t>
  </si>
  <si>
    <t>C:\Users\franc\OneDrive\Documentos\MALENTIN KARIME\CESION\RESPALDO LUIS DIAZ\PODERES 2008\MACARENA CONTRERAS ALFARO.doc</t>
  </si>
  <si>
    <t>C:\Users\franc\OneDrive\Documentos\MALENTIN KARIME\CESION\RESPALDO LUIS DIAZ\PODERES 2008\Ma. ANGELICA CARMONA P. Cta.Cte.doc</t>
  </si>
  <si>
    <t>C:\Users\franc\OneDrive\Documentos\MALENTIN KARIME\CESION\RESPALDO LUIS DIAZ\PODERES 2008\LUZMIRA GOMILA E.I.R.L. Santander.doc</t>
  </si>
  <si>
    <t>C:\Users\franc\OneDrive\Documentos\MALENTIN KARIME\CESION\RESPALDO LUIS DIAZ\PODERES 2008\LUZ CORRAL RAVILET Adm.Cta.Cte.doc</t>
  </si>
  <si>
    <t>C:\Users\franc\OneDrive\Documentos\MALENTIN KARIME\CESION\RESPALDO LUIS DIAZ\PODERES 2008\LUZ ALVAREZ JIMENEZ (Minuta).doc</t>
  </si>
  <si>
    <t>C:\Users\franc\OneDrive\Documentos\MALENTIN KARIME\CESION\RESPALDO LUIS DIAZ\PODERES 2008\LUIS ROJAS ALUCEMA Y OTS.doc</t>
  </si>
  <si>
    <t>C:\Users\franc\OneDrive\Documentos\MALENTIN KARIME\CESION\RESPALDO LUIS DIAZ\PODERES 2008\LUIS OLIVARES C. Aut. Cóny. Vender.doc</t>
  </si>
  <si>
    <t>C:\Users\franc\OneDrive\Documentos\MALENTIN KARIME\CESION\RESPALDO LUIS DIAZ\PODERES 2008\LUIS GUERRERO Cobro Pensión.doc</t>
  </si>
  <si>
    <t>C:\Users\franc\OneDrive\Documentos\MALENTIN KARIME\CESION\RESPALDO LUIS DIAZ\PODERES 2008\LUIS CORTES JOFRE a SELIM DABED.doc</t>
  </si>
  <si>
    <t>C:\Users\franc\OneDrive\Documentos\MALENTIN KARIME\CESION\RESPALDO LUIS DIAZ\PODERES 2008\LUIS CORTES C. Bco.Desarr.CAPEL.doc</t>
  </si>
  <si>
    <t>C:\Users\franc\OneDrive\Documentos\MALENTIN KARIME\CESION\RESPALDO LUIS DIAZ\PODERES 2008\LUIS CONTRERAS PEZO Aut.Cóny.Comprar.doc</t>
  </si>
  <si>
    <t>C:\Users\franc\OneDrive\Documentos\MALENTIN KARIME\CESION\RESPALDO LUIS DIAZ\PODERES 2008\LUIS BRAVO C. Chq.Panulcillo.doc</t>
  </si>
  <si>
    <t>C:\Users\franc\OneDrive\Documentos\MALENTIN KARIME\CESION\RESPALDO LUIS DIAZ\PODERES 2008\LUIS ARAYA ALFARO Aut.Vender Cóny.doc</t>
  </si>
  <si>
    <t>C:\Users\franc\OneDrive\Documentos\MALENTIN KARIME\CESION\RESPALDO LUIS DIAZ\PODERES 2008\LORENZO ARAYA COFRE Chq.Panulcillo y Pensiones.doc</t>
  </si>
  <si>
    <t>C:\Users\franc\OneDrive\Documentos\MALENTIN KARIME\CESION\RESPALDO LUIS DIAZ\PODERES 2008\LINO BRAVO U. Chq. Panulcillo.doc</t>
  </si>
  <si>
    <t>C:\Users\franc\OneDrive\Documentos\MALENTIN KARIME\CESION\RESPALDO LUIS DIAZ\PODERES 2008\LATIN A. COPPER a JAMES HARRISON Y OTS..doc</t>
  </si>
  <si>
    <t>C:\Users\franc\OneDrive\Documentos\MALENTIN KARIME\CESION\RESPALDO LUIS DIAZ\PODERES 2008\KRUGUER ZEPEDA PIZARRO Vender Drchos..doc</t>
  </si>
  <si>
    <t>C:\Users\franc\OneDrive\Documentos\MALENTIN KARIME\CESION\RESPALDO LUIS DIAZ\PODERES 2008\KARL CONRADS A. Vender Acc.CAPEL.doc</t>
  </si>
  <si>
    <t>C:\Users\franc\OneDrive\Documentos\MALENTIN KARIME\CESION\RESPALDO LUIS DIAZ\PODERES 2008\KAREN BALCAZAR PIZARRO.doc</t>
  </si>
  <si>
    <t>C:\Users\franc\OneDrive\Documentos\MALENTIN KARIME\CESION\RESPALDO LUIS DIAZ\PODERES 2008\JULIO TORRES A. Mandato.doc</t>
  </si>
  <si>
    <t>C:\Users\franc\OneDrive\Documentos\MALENTIN KARIME\CESION\RESPALDO LUIS DIAZ\PODERES 2008\JULIO TORRES A. Alzar Hip. y Prohib..doc</t>
  </si>
  <si>
    <t>C:\Users\franc\OneDrive\Documentos\MALENTIN KARIME\CESION\RESPALDO LUIS DIAZ\PODERES 2008\JULIO TORRES A. Adm.Soc.Cony.doc</t>
  </si>
  <si>
    <t>C:\Users\franc\OneDrive\Documentos\MALENTIN KARIME\CESION\RESPALDO LUIS DIAZ\PODERES 2008\JULIO TORRES A. Adm.Soc.Cony. Vender.doc</t>
  </si>
  <si>
    <t>C:\Users\franc\OneDrive\Documentos\MALENTIN KARIME\CESION\RESPALDO LUIS DIAZ\PODERES 2008\JULIO MONTERO R. Poder Privado.doc</t>
  </si>
  <si>
    <t>C:\Users\franc\OneDrive\Documentos\MALENTIN KARIME\CESION\RESPALDO LUIS DIAZ\PODERES 2008\JULIA TABORGA G. Adm.Soc.Cony.doc</t>
  </si>
  <si>
    <t>C:\Users\franc\OneDrive\Documentos\MALENTIN KARIME\CESION\RESPALDO LUIS DIAZ\PODERES 2008\JULIA ARAYA ARACENA. Mandato.doc</t>
  </si>
  <si>
    <t>C:\Users\franc\OneDrive\Documentos\MALENTIN KARIME\CESION\RESPALDO LUIS DIAZ\PODERES 2008\JUANA VALDIVIA C. Y OTS. Mand.Adm..doc</t>
  </si>
  <si>
    <t>C:\Users\franc\OneDrive\Documentos\MALENTIN KARIME\CESION\RESPALDO LUIS DIAZ\PODERES 2008\JUANA SANTANDER R. Y OTS. vender.doc</t>
  </si>
  <si>
    <t>C:\Users\franc\OneDrive\Documentos\MALENTIN KARIME\CESION\RESPALDO LUIS DIAZ\PODERES 2008\JUANA ENCINA PAREDES.doc</t>
  </si>
  <si>
    <t>C:\Users\franc\OneDrive\Documentos\MALENTIN KARIME\CESION\RESPALDO LUIS DIAZ\PODERES 2008\JUANA ALFARO MALDONADO vender.doc</t>
  </si>
  <si>
    <t>C:\Users\franc\OneDrive\Documentos\MALENTIN KARIME\CESION\RESPALDO LUIS DIAZ\PODERES 2008\JUANA ALFARO M. Maestranza -vender.doc</t>
  </si>
  <si>
    <t>C:\Users\franc\OneDrive\Documentos\MALENTIN KARIME\CESION\RESPALDO LUIS DIAZ\PODERES 2008\JUAN SANTELICES LUCERO.doc</t>
  </si>
  <si>
    <t>C:\Users\franc\OneDrive\Documentos\MALENTIN KARIME\CESION\RESPALDO LUIS DIAZ\PODERES 2008\JUAN MICHEA TELLO Ch.Capel.doc</t>
  </si>
  <si>
    <t>C:\Users\franc\OneDrive\Documentos\MALENTIN KARIME\CESION\RESPALDO LUIS DIAZ\PODERES 2008\JUAN DIAZ R. Y OTS a ISMAEL DIAZ Provida.doc</t>
  </si>
  <si>
    <t>C:\Users\franc\OneDrive\Documentos\MALENTIN KARIME\CESION\RESPALDO LUIS DIAZ\PODERES 2008\JUAN CONTRERAS Chq. Capel.doc</t>
  </si>
  <si>
    <t>C:\Users\franc\OneDrive\Documentos\MALENTIN KARIME\CESION\RESPALDO LUIS DIAZ\PODERES 2008\JUAN ALAMO MIRANDA a JAIME ALAMO.doc</t>
  </si>
  <si>
    <t>C:\Users\franc\OneDrive\Documentos\MALENTIN KARIME\CESION\RESPALDO LUIS DIAZ\PODERES 2008\JOYCE TAPIA NAREA Y OT..doc</t>
  </si>
  <si>
    <t>C:\Users\franc\OneDrive\Documentos\MALENTIN KARIME\CESION\RESPALDO LUIS DIAZ\PODERES 2008\JOSEFA JAIME C. Poder Resciliar.doc</t>
  </si>
  <si>
    <t>C:\Users\franc\OneDrive\Documentos\MALENTIN KARIME\CESION\RESPALDO LUIS DIAZ\PODERES 2008\JOSE YAÑEZ NUÑEZ a A. SABIONCELLO Comprar.doc</t>
  </si>
  <si>
    <t>C:\Users\franc\OneDrive\Documentos\MALENTIN KARIME\CESION\RESPALDO LUIS DIAZ\PODERES 2008\JOSE GALLEGUILLOS A. Chq. Panulcillo.doc</t>
  </si>
  <si>
    <t>C:\Users\franc\OneDrive\Documentos\MALENTIN KARIME\CESION\RESPALDO LUIS DIAZ\PODERES 2008\JOSE CORTES CORTES Cques.Bco.Chile.doc</t>
  </si>
  <si>
    <t>C:\Users\franc\OneDrive\Documentos\MALENTIN KARIME\CESION\RESPALDO LUIS DIAZ\PODERES 2008\JOSE CODOCEO A. cobro Los Héroes.doc</t>
  </si>
  <si>
    <t>C:\Users\franc\OneDrive\Documentos\MALENTIN KARIME\CESION\RESPALDO LUIS DIAZ\PODERES 2008\JOSE AGUILERA CASTILLO.doc</t>
  </si>
  <si>
    <t>C:\Users\franc\OneDrive\Documentos\MALENTIN KARIME\CESION\RESPALDO LUIS DIAZ\PODERES 2008\JORGELINA ROJAS Acuerdo, Mutuo y Mand..doc</t>
  </si>
  <si>
    <t>C:\Users\franc\OneDrive\Documentos\MALENTIN KARIME\CESION\RESPALDO LUIS DIAZ\PODERES 2008\JORGE RIVERA B. otros hered..doc</t>
  </si>
  <si>
    <t>C:\Users\franc\OneDrive\Documentos\MALENTIN KARIME\CESION\RESPALDO LUIS DIAZ\PODERES 2008\JORGE RAMIREZ R. a SELIM DABED.doc</t>
  </si>
  <si>
    <t>C:\Users\franc\OneDrive\Documentos\MALENTIN KARIME\CESION\RESPALDO LUIS DIAZ\PODERES 2008\JORGE RAMIREZ R. a S. DABED.doc</t>
  </si>
  <si>
    <t>C:\Users\franc\OneDrive\Documentos\MALENTIN KARIME\CESION\RESPALDO LUIS DIAZ\PODERES 2008\JORGE RAMIREZ R. a S. DABED IV.doc</t>
  </si>
  <si>
    <t>C:\Users\franc\OneDrive\Documentos\MALENTIN KARIME\CESION\RESPALDO LUIS DIAZ\PODERES 2008\JORGE RAMIREZ R. a S. DABED III.doc</t>
  </si>
  <si>
    <t>C:\Users\franc\OneDrive\Documentos\MALENTIN KARIME\CESION\RESPALDO LUIS DIAZ\PODERES 2008\JORGE RAMIREZ R. a S. DABED  V.doc</t>
  </si>
  <si>
    <t>C:\Users\franc\OneDrive\Documentos\MALENTIN KARIME\CESION\RESPALDO LUIS DIAZ\PODERES 2008\JORGE MIRANDA VEGA Vender Drchos..doc</t>
  </si>
  <si>
    <t>C:\Users\franc\OneDrive\Documentos\MALENTIN KARIME\CESION\RESPALDO LUIS DIAZ\PODERES 2008\JORGE GUERRERO V. E.I.R.L. Panulcillo.doc</t>
  </si>
  <si>
    <t>C:\Users\franc\OneDrive\Documentos\MALENTIN KARIME\CESION\RESPALDO LUIS DIAZ\PODERES 2008\JORGE GONZALEZ DIAZ Aut. a cónyuge.doc</t>
  </si>
  <si>
    <t>C:\Users\franc\OneDrive\Documentos\MALENTIN KARIME\CESION\RESPALDO LUIS DIAZ\PODERES 2008\JORGE CUEVAS V. Minuta vender.doc</t>
  </si>
  <si>
    <t>C:\Users\franc\OneDrive\Documentos\MALENTIN KARIME\CESION\RESPALDO LUIS DIAZ\PODERES 2008\JORGE CONTRERAS Aut. Cóny. Vender.doc</t>
  </si>
  <si>
    <t>C:\Users\franc\OneDrive\Documentos\MALENTIN KARIME\CESION\RESPALDO LUIS DIAZ\PODERES 2008\JORGE ASTUDILLO J. Chq. Panulc.doc</t>
  </si>
  <si>
    <t>C:\Users\franc\OneDrive\Documentos\MALENTIN KARIME\CESION\RESPALDO LUIS DIAZ\PODERES 2008\JOHN RAPKOCH a JUAN JIMENEZ.doc</t>
  </si>
  <si>
    <t>C:\Users\franc\OneDrive\Documentos\MALENTIN KARIME\CESION\RESPALDO LUIS DIAZ\PODERES 2008\JEANETTE SARMIENTO (cheque enami).doc</t>
  </si>
  <si>
    <t>C:\Users\franc\OneDrive\Documentos\MALENTIN KARIME\CESION\RESPALDO LUIS DIAZ\PODERES 2008\JAIME RENCORET V. Drchos.Hered..doc</t>
  </si>
  <si>
    <t>C:\Users\franc\OneDrive\Documentos\MALENTIN KARIME\CESION\RESPALDO LUIS DIAZ\PODERES 2008\JAIME MONDACA BOU.doc</t>
  </si>
  <si>
    <t>C:\Users\franc\OneDrive\Documentos\MALENTIN KARIME\CESION\RESPALDO LUIS DIAZ\PODERES 2008\J.C. POBLETE V. vender con Sep.Bienes.doc</t>
  </si>
  <si>
    <t>C:\Users\franc\OneDrive\Documentos\MALENTIN KARIME\CESION\RESPALDO LUIS DIAZ\PODERES 2008\IVAN RAMIREZ ARAYA.doc</t>
  </si>
  <si>
    <t>C:\Users\franc\OneDrive\Documentos\MALENTIN KARIME\CESION\RESPALDO LUIS DIAZ\PODERES 2008\ISMELDA ARAYA V. Y OTS. Cheq CAPEL.doc</t>
  </si>
  <si>
    <t>C:\Users\franc\OneDrive\Documentos\MALENTIN KARIME\CESION\RESPALDO LUIS DIAZ\PODERES 2008\INPROCOL LTDA. a SELIM DABED.doc</t>
  </si>
  <si>
    <t>C:\Users\franc\OneDrive\Documentos\MALENTIN KARIME\CESION\RESPALDO LUIS DIAZ\PODERES 2008\INPROCOL LTD. a SELIM DABED.doc</t>
  </si>
  <si>
    <t>C:\Users\franc\OneDrive\Documentos\MALENTIN KARIME\CESION\RESPALDO LUIS DIAZ\PODERES 2008\INPROCOL LTD. a SELIM DABED VII.doc</t>
  </si>
  <si>
    <t>C:\Users\franc\OneDrive\Documentos\MALENTIN KARIME\CESION\RESPALDO LUIS DIAZ\PODERES 2008\INPROCOL LTD. a SELIM DABED VI.doc</t>
  </si>
  <si>
    <t>C:\Users\franc\OneDrive\Documentos\MALENTIN KARIME\CESION\RESPALDO LUIS DIAZ\PODERES 2008\INPROCOL LTD. a SELIM DABED V.doc</t>
  </si>
  <si>
    <t>C:\Users\franc\OneDrive\Documentos\MALENTIN KARIME\CESION\RESPALDO LUIS DIAZ\PODERES 2008\INPROCOL LTD. a SELIM DABED Revocac..doc</t>
  </si>
  <si>
    <t>C:\Users\franc\OneDrive\Documentos\MALENTIN KARIME\CESION\RESPALDO LUIS DIAZ\PODERES 2008\INPROCOL LTD. a SELIM DABED IV.doc</t>
  </si>
  <si>
    <t>C:\Users\franc\OneDrive\Documentos\MALENTIN KARIME\CESION\RESPALDO LUIS DIAZ\PODERES 2008\INPROCOL LTD. a SELIM DABED III.doc</t>
  </si>
  <si>
    <t>C:\Users\franc\OneDrive\Documentos\MALENTIN KARIME\CESION\RESPALDO LUIS DIAZ\PODERES 2008\INPROCOL LTD. a SELIM DABED II.doc</t>
  </si>
  <si>
    <t>C:\Users\franc\OneDrive\Documentos\MALENTIN KARIME\CESION\RESPALDO LUIS DIAZ\PODERES 2008\INPROCOL LTD. a SELIM DABED I.doc</t>
  </si>
  <si>
    <t>C:\Users\franc\OneDrive\Documentos\MALENTIN KARIME\CESION\RESPALDO LUIS DIAZ\PODERES 2008\INMOB. RIVERA Y PARRA Cobrar Bco.Chile.doc</t>
  </si>
  <si>
    <t>C:\Users\franc\OneDrive\Documentos\MALENTIN KARIME\CESION\RESPALDO LUIS DIAZ\PODERES 2008\INGRID EBNER.doc</t>
  </si>
  <si>
    <t>C:\Users\franc\OneDrive\Documentos\MALENTIN KARIME\CESION\RESPALDO LUIS DIAZ\PODERES 2008\INES VARAS CARMONA Y OTS..doc</t>
  </si>
  <si>
    <t>C:\Users\franc\OneDrive\Documentos\MALENTIN KARIME\CESION\RESPALDO LUIS DIAZ\PODERES 2008\INES CONTRERAS.doc</t>
  </si>
  <si>
    <t>C:\Users\franc\OneDrive\Documentos\MALENTIN KARIME\CESION\RESPALDO LUIS DIAZ\PODERES 2008\HUGO TAPIA ANGEL Aut. a cónyuge.doc</t>
  </si>
  <si>
    <t>C:\Users\franc\OneDrive\Documentos\MALENTIN KARIME\CESION\RESPALDO LUIS DIAZ\PODERES 2008\HUGO PINTO ZEPEDA Cta.Cte. BCO.SANTANDER.doc</t>
  </si>
  <si>
    <t>C:\Users\franc\OneDrive\Documentos\MALENTIN KARIME\CESION\RESPALDO LUIS DIAZ\PODERES 2008\HUGO CAMPUSANO P. Chq.Panulcillo.doc</t>
  </si>
  <si>
    <t>C:\Users\franc\OneDrive\Documentos\MALENTIN KARIME\CESION\RESPALDO LUIS DIAZ\PODERES 2008\HUGO BUGUEÑO Cta.Cte BcoChile.doc</t>
  </si>
  <si>
    <t>C:\Users\franc\OneDrive\Documentos\MALENTIN KARIME\CESION\RESPALDO LUIS DIAZ\PODERES 2008\HNOS. PROHENS FIGARI.doc</t>
  </si>
  <si>
    <t>C:\Users\franc\OneDrive\Documentos\MALENTIN KARIME\CESION\RESPALDO LUIS DIAZ\PODERES 2008\HILDA VIDELA TELLO Y OTRO Vender.doc</t>
  </si>
  <si>
    <t>C:\Users\franc\OneDrive\Documentos\MALENTIN KARIME\CESION\RESPALDO LUIS DIAZ\PODERES 2008\HILDA ANJEL C. Chq.Panulcillo.doc</t>
  </si>
  <si>
    <t>C:\Users\franc\OneDrive\Documentos\MALENTIN KARIME\CESION\RESPALDO LUIS DIAZ\PODERES 2008\HERNAN MONDACA Y OTRO vender.doc</t>
  </si>
  <si>
    <t>C:\Users\franc\OneDrive\Documentos\MALENTIN KARIME\CESION\RESPALDO LUIS DIAZ\PODERES 2008\HERNAN FIGUEROA PINTO Y OT.doc</t>
  </si>
  <si>
    <t>C:\Users\franc\OneDrive\Documentos\MALENTIN KARIME\CESION\RESPALDO LUIS DIAZ\PODERES 2008\GUSTAVO BARRAZA J. Ratificación.doc</t>
  </si>
  <si>
    <t>C:\Users\franc\OneDrive\Documentos\MALENTIN KARIME\CESION\RESPALDO LUIS DIAZ\PODERES 2008\GUILLMINA ARAYA C. Aut. a cónyuge vender.doc</t>
  </si>
  <si>
    <t>C:\Users\franc\OneDrive\Documentos\MALENTIN KARIME\CESION\RESPALDO LUIS DIAZ\PODERES 2008\GUILE CODOCEO G. Vender Mina.doc</t>
  </si>
  <si>
    <t>C:\Users\franc\OneDrive\Documentos\MALENTIN KARIME\CESION\RESPALDO LUIS DIAZ\PODERES 2008\GUIDO ADAOS ESQUIVEL Cheques CAPEL.doc</t>
  </si>
  <si>
    <t>C:\Users\franc\OneDrive\Documentos\MALENTIN KARIME\CESION\RESPALDO LUIS DIAZ\PODERES 2008\GUADALUPE ROBLES L. Chques y V.V..doc</t>
  </si>
  <si>
    <t>C:\Users\franc\OneDrive\Documentos\MALENTIN KARIME\CESION\RESPALDO LUIS DIAZ\PODERES 2008\GMO. PIZARRO ARAYA Revocación.doc</t>
  </si>
  <si>
    <t>C:\Users\franc\OneDrive\Documentos\MALENTIN KARIME\CESION\RESPALDO LUIS DIAZ\PODERES 2008\GMO. CONTRERAS C. Y OTS. Mandato Adm..doc</t>
  </si>
  <si>
    <t>C:\Users\franc\OneDrive\Documentos\MALENTIN KARIME\CESION\RESPALDO LUIS DIAZ\PODERES 2008\GLORIA ESPINOZA a W. HONORES Vender.doc</t>
  </si>
  <si>
    <t>C:\Users\franc\OneDrive\Documentos\MALENTIN KARIME\CESION\RESPALDO LUIS DIAZ\PODERES 2008\GIULIETTA LANCELLOTTI.doc</t>
  </si>
  <si>
    <t>C:\Users\franc\OneDrive\Documentos\MALENTIN KARIME\CESION\RESPALDO LUIS DIAZ\PODERES 2008\GILBERTO.doc</t>
  </si>
  <si>
    <t>C:\Users\franc\OneDrive\Documentos\MALENTIN KARIME\CESION\RESPALDO LUIS DIAZ\PODERES 2008\GILBERTO PIZARRO Pensión Credich..doc</t>
  </si>
  <si>
    <t>C:\Users\franc\OneDrive\Documentos\MALENTIN KARIME\CESION\RESPALDO LUIS DIAZ\PODERES 2008\GERMAN PEÑAFIEL G. Cta.Cte. BCO.CHILE.doc</t>
  </si>
  <si>
    <t>C:\Users\franc\OneDrive\Documentos\MALENTIN KARIME\CESION\RESPALDO LUIS DIAZ\PODERES 2008\GABY PIZARRO G. Y OTS. Cheques CAPEL.doc</t>
  </si>
  <si>
    <t>C:\Users\franc\OneDrive\Documentos\MALENTIN KARIME\CESION\RESPALDO LUIS DIAZ\PODERES 2008\GABY CARMONA G. Y OTS. Mand. Adm..doc</t>
  </si>
  <si>
    <t>C:\Users\franc\OneDrive\Documentos\MALENTIN KARIME\CESION\RESPALDO LUIS DIAZ\PODERES 2008\FLORENTINA CORTES B. Vender Drchos..doc</t>
  </si>
  <si>
    <t>C:\Users\franc\OneDrive\Documentos\MALENTIN KARIME\CESION\RESPALDO LUIS DIAZ\PODERES 2008\FELIX MORENO T. Aut.Cóny.Vender.doc</t>
  </si>
  <si>
    <t>C:\Users\franc\OneDrive\Documentos\MALENTIN KARIME\CESION\RESPALDO LUIS DIAZ\PODERES 2008\FDO. DURRUTY A. Adm. y Vender Veh.doc</t>
  </si>
  <si>
    <t>C:\Users\franc\OneDrive\Documentos\MALENTIN KARIME\CESION\RESPALDO LUIS DIAZ\PODERES 2008\FCO.MORALESYCIA.ESP.doc</t>
  </si>
  <si>
    <t>C:\Users\franc\OneDrive\Documentos\MALENTIN KARIME\CESION\RESPALDO LUIS DIAZ\PODERES 2008\FCO. MORALES Y CIA..doc</t>
  </si>
  <si>
    <t>C:\Users\franc\OneDrive\Documentos\MALENTIN KARIME\CESION\RESPALDO LUIS DIAZ\PODERES 2008\FCA. PASTEN ANGEL Y OTS. Cheques CAPEL.doc</t>
  </si>
  <si>
    <t>C:\Users\franc\OneDrive\Documentos\MALENTIN KARIME\CESION\RESPALDO LUIS DIAZ\PODERES 2008\FATME DAIRE ARAYA Y Ot.doc</t>
  </si>
  <si>
    <t>C:\Users\franc\OneDrive\Documentos\MALENTIN KARIME\CESION\RESPALDO LUIS DIAZ\PODERES 2008\ESTRELLA OLMOS B. vender Mina.doc</t>
  </si>
  <si>
    <t>C:\Users\franc\OneDrive\Documentos\MALENTIN KARIME\CESION\RESPALDO LUIS DIAZ\PODERES 2008\ESTER CARIO VIVANCO a A. SABIONCELLO.doc</t>
  </si>
  <si>
    <t>C:\Users\franc\OneDrive\Documentos\MALENTIN KARIME\CESION\RESPALDO LUIS DIAZ\PODERES 2008\ESTELA JULIO PIÑONES y ots Acc.Mras.doc</t>
  </si>
  <si>
    <t>C:\Users\franc\OneDrive\Documentos\MALENTIN KARIME\CESION\RESPALDO LUIS DIAZ\PODERES 2008\ESTEBAN INOSTROZA MULET.doc</t>
  </si>
  <si>
    <t>C:\Users\franc\OneDrive\Documentos\MALENTIN KARIME\CESION\RESPALDO LUIS DIAZ\PODERES 2008\ESTEBAN INOSTROZA Cta.Cte. BCO.CHILE.doc</t>
  </si>
  <si>
    <t>C:\Users\franc\OneDrive\Documentos\MALENTIN KARIME\CESION\RESPALDO LUIS DIAZ\PODERES 2008\ERMELINDA RUIZ Vender Drchos..doc</t>
  </si>
  <si>
    <t>C:\Users\franc\OneDrive\Documentos\MALENTIN KARIME\CESION\RESPALDO LUIS DIAZ\PODERES 2008\ENRIQUE CORTES PIÑONES. Vender Dchos.doc</t>
  </si>
  <si>
    <t>C:\Users\franc\OneDrive\Documentos\MALENTIN KARIME\CESION\RESPALDO LUIS DIAZ\PODERES 2008\ENCABEZADO NOTARIO.doc</t>
  </si>
  <si>
    <t>C:\Users\franc\OneDrive\Documentos\MALENTIN KARIME\CESION\RESPALDO LUIS DIAZ\PODERES 2008\ELVIRA CARMONA S. y otra. Vender.doc</t>
  </si>
  <si>
    <t>C:\Users\franc\OneDrive\Documentos\MALENTIN KARIME\CESION\RESPALDO LUIS DIAZ\PODERES 2008\ELSA BASCUÑAN A. Vender Mina.doc</t>
  </si>
  <si>
    <t>C:\Users\franc\OneDrive\Documentos\MALENTIN KARIME\CESION\RESPALDO LUIS DIAZ\PODERES 2008\ELBA CARMONA SANCHEZ Vender.doc</t>
  </si>
  <si>
    <t>C:\Users\franc\OneDrive\Documentos\MALENTIN KARIME\CESION\RESPALDO LUIS DIAZ\PODERES 2008\EDO. ROJAS ELGUETA Aut. a cónyuge.doc</t>
  </si>
  <si>
    <t>C:\Users\franc\OneDrive\Documentos\MALENTIN KARIME\CESION\RESPALDO LUIS DIAZ\PODERES 2008\EDO. IBARRA GONZALEZ.doc</t>
  </si>
  <si>
    <t>C:\Users\franc\OneDrive\Documentos\MALENTIN KARIME\CESION\RESPALDO LUIS DIAZ\PODERES 2008\EDITH GALLARDO TAPIA Vender.doc</t>
  </si>
  <si>
    <t>C:\Users\franc\OneDrive\Documentos\MALENTIN KARIME\CESION\RESPALDO LUIS DIAZ\PODERES 2008\DORIS LARENAS G. para Arrendar.doc</t>
  </si>
  <si>
    <t>C:\Users\franc\OneDrive\Documentos\MALENTIN KARIME\CESION\RESPALDO LUIS DIAZ\PODERES 2008\DIONISIO ALVAREZ C. Y OTRO.doc</t>
  </si>
  <si>
    <t>C:\Users\franc\OneDrive\Documentos\MALENTIN KARIME\CESION\RESPALDO LUIS DIAZ\PODERES 2008\DICAVE LTDA. Cta.Cte. Santander.doc</t>
  </si>
  <si>
    <t>C:\Users\franc\OneDrive\Documentos\MALENTIN KARIME\CESION\RESPALDO LUIS DIAZ\PODERES 2008\DICAVE LTDA. a DIOMEDES CRUZ.doc</t>
  </si>
  <si>
    <t>C:\Users\franc\OneDrive\Documentos\MALENTIN KARIME\CESION\RESPALDO LUIS DIAZ\PODERES 2008\DELIA GUZMAN O. Aut. cónyuge vender.doc</t>
  </si>
  <si>
    <t>C:\Users\franc\OneDrive\Documentos\MALENTIN KARIME\CESION\RESPALDO LUIS DIAZ\PODERES 2008\DANIELA TRONCOSO Y OTRO p.p..doc</t>
  </si>
  <si>
    <t>C:\Users\franc\OneDrive\Documentos\MALENTIN KARIME\CESION\RESPALDO LUIS DIAZ\PODERES 2008\DANIELA TRONCOSO Y OT.doc</t>
  </si>
  <si>
    <t>C:\Users\franc\OneDrive\Documentos\MALENTIN KARIME\CESION\RESPALDO LUIS DIAZ\PODERES 2008\DANIEL RODRIGUEZ vender agua cóny..doc</t>
  </si>
  <si>
    <t>C:\Users\franc\OneDrive\Documentos\MALENTIN KARIME\CESION\RESPALDO LUIS DIAZ\PODERES 2008\CRISTIAN ITURRA SOBARZO.doc</t>
  </si>
  <si>
    <t>C:\Users\franc\OneDrive\Documentos\MALENTIN KARIME\CESION\RESPALDO LUIS DIAZ\PODERES 2008\CRISTIAN CUELLO ASCUETA.doc</t>
  </si>
  <si>
    <t>C:\Users\franc\OneDrive\Documentos\MALENTIN KARIME\CESION\RESPALDO LUIS DIAZ\PODERES 2008\CRISTIAN CASTILLO R. y Ots Dchos Hered.doc</t>
  </si>
  <si>
    <t>C:\Users\franc\OneDrive\Documentos\MALENTIN KARIME\CESION\RESPALDO LUIS DIAZ\PODERES 2008\COVALSA S.A. a JAIME NUÑEZ.doc</t>
  </si>
  <si>
    <t>C:\Users\franc\OneDrive\Documentos\MALENTIN KARIME\CESION\RESPALDO LUIS DIAZ\PODERES 2008\COVALSA CENTER a CLAUDIA G. Y.doc</t>
  </si>
  <si>
    <t>C:\Users\franc\OneDrive\Documentos\MALENTIN KARIME\CESION\RESPALDO LUIS DIAZ\PODERES 2008\COVALSA CENTER a CLAUDIA G. Y OTROS.doc</t>
  </si>
  <si>
    <t>C:\Users\franc\OneDrive\Documentos\MALENTIN KARIME\CESION\RESPALDO LUIS DIAZ\PODERES 2008\CONSTR. GUILLAVE LTD. a S. DABED.doc</t>
  </si>
  <si>
    <t>C:\Users\franc\OneDrive\Documentos\MALENTIN KARIME\CESION\RESPALDO LUIS DIAZ\PODERES 2008\COMAT LTDA. término de sociedad.doc</t>
  </si>
  <si>
    <t>C:\Users\franc\OneDrive\Documentos\MALENTIN KARIME\CESION\RESPALDO LUIS DIAZ\PODERES 2008\CLARISA CORTES P. Vender Dchos Hered..doc</t>
  </si>
  <si>
    <t>C:\Users\franc\OneDrive\Documentos\MALENTIN KARIME\CESION\RESPALDO LUIS DIAZ\PODERES 2008\CLARA CONEJEROS R. Mandato.doc</t>
  </si>
  <si>
    <t>C:\Users\franc\OneDrive\Documentos\MALENTIN KARIME\CESION\RESPALDO LUIS DIAZ\PODERES 2008\CIA. MINERA PUNITAQUI.doc</t>
  </si>
  <si>
    <t>C:\Users\franc\OneDrive\Documentos\MALENTIN KARIME\CESION\RESPALDO LUIS DIAZ\PODERES 2008\CIA. MINERA PUNITAQUI SCM.doc</t>
  </si>
  <si>
    <t>C:\Users\franc\OneDrive\Documentos\MALENTIN KARIME\CESION\RESPALDO LUIS DIAZ\PODERES 2008\CIA. MINERA PUNITAQUI Delegac..doc</t>
  </si>
  <si>
    <t>C:\Users\franc\OneDrive\Documentos\MALENTIN KARIME\CESION\RESPALDO LUIS DIAZ\PODERES 2008\CIA. MINERA POTRERILLOS a D. CRUZ.doc</t>
  </si>
  <si>
    <t>C:\Users\franc\OneDrive\Documentos\MALENTIN KARIME\CESION\RESPALDO LUIS DIAZ\PODERES 2008\CIA. MINERA DEMETRIO TELLO.doc</t>
  </si>
  <si>
    <t>C:\Users\franc\OneDrive\Documentos\MALENTIN KARIME\CESION\RESPALDO LUIS DIAZ\PODERES 2008\CHARLES JACOBSTHAL Talonarios.doc</t>
  </si>
  <si>
    <t>C:\Users\franc\OneDrive\Documentos\MALENTIN KARIME\CESION\RESPALDO LUIS DIAZ\PODERES 2008\CESAR ROBLES ESPINOZA (B.CHile).doc</t>
  </si>
  <si>
    <t>C:\Users\franc\OneDrive\Documentos\MALENTIN KARIME\CESION\RESPALDO LUIS DIAZ\PODERES 2008\CESAR MIRANDA Chq. Capel.doc</t>
  </si>
  <si>
    <t>C:\Users\franc\OneDrive\Documentos\MALENTIN KARIME\CESION\RESPALDO LUIS DIAZ\PODERES 2008\CESAR MELO MELO. Cobrar SEJ..doc</t>
  </si>
  <si>
    <t>C:\Users\franc\OneDrive\Documentos\MALENTIN KARIME\CESION\RESPALDO LUIS DIAZ\PODERES 2008\CEGECAP LTDA. a CAROLA BARRAZA.doc</t>
  </si>
  <si>
    <t>C:\Users\franc\OneDrive\Documentos\MALENTIN KARIME\CESION\RESPALDO LUIS DIAZ\PODERES 2008\CECILIA MICHEA TAPIA Vender.doc</t>
  </si>
  <si>
    <t>C:\Users\franc\OneDrive\Documentos\MALENTIN KARIME\CESION\RESPALDO LUIS DIAZ\PODERES 2008\CAROLINA GONZALEZ R. Y OTS. Cheque CAPEL.doc</t>
  </si>
  <si>
    <t>C:\Users\franc\OneDrive\Documentos\MALENTIN KARIME\CESION\RESPALDO LUIS DIAZ\PODERES 2008\CAROLINA CASTILLO C. para Comprar.doc</t>
  </si>
  <si>
    <t>C:\Users\franc\OneDrive\Documentos\MALENTIN KARIME\CESION\RESPALDO LUIS DIAZ\PODERES 2008\CARMEN ROJAS V. Y OTS. Cheq CAPEL.doc</t>
  </si>
  <si>
    <t>C:\Users\franc\OneDrive\Documentos\MALENTIN KARIME\CESION\RESPALDO LUIS DIAZ\PODERES 2008\CARMEN ORDENES ZULETA Corporación.doc</t>
  </si>
  <si>
    <t>C:\Users\franc\OneDrive\Documentos\MALENTIN KARIME\CESION\RESPALDO LUIS DIAZ\PODERES 2008\CARMEN ARAYA V. Y OTRA Adm. Indiviso.doc</t>
  </si>
  <si>
    <t>C:\Users\franc\OneDrive\Documentos\MALENTIN KARIME\CESION\RESPALDO LUIS DIAZ\PODERES 2008\CARLOS URBINA M. CTA.CTE..doc</t>
  </si>
  <si>
    <t>C:\Users\franc\OneDrive\Documentos\MALENTIN KARIME\CESION\RESPALDO LUIS DIAZ\PODERES 2008\CARLOS TREVERTON Y OT. a FIDEL TREVERTON.doc</t>
  </si>
  <si>
    <t>C:\Users\franc\OneDrive\Documentos\MALENTIN KARIME\CESION\RESPALDO LUIS DIAZ\PODERES 2008\CARLOS RAFFO J. Y OTRO Revoc..doc</t>
  </si>
  <si>
    <t>C:\Users\franc\OneDrive\Documentos\MALENTIN KARIME\CESION\RESPALDO LUIS DIAZ\PODERES 2008\CARLOS PONCE GARCIA Vender Mina.doc</t>
  </si>
  <si>
    <t>C:\Users\franc\OneDrive\Documentos\MALENTIN KARIME\CESION\RESPALDO LUIS DIAZ\PODERES 2008\CARLOS CARVAJAL CH. Cheqs CAPEL voz y voto.doc</t>
  </si>
  <si>
    <t>C:\Users\franc\OneDrive\Documentos\MALENTIN KARIME\CESION\RESPALDO LUIS DIAZ\PODERES 2008\BLAS ARAYA SIERRA.doc</t>
  </si>
  <si>
    <t>C:\Users\franc\OneDrive\Documentos\MALENTIN KARIME\CESION\RESPALDO LUIS DIAZ\PODERES 2008\BLANCA VALDES C. Mandato.doc</t>
  </si>
  <si>
    <t>C:\Users\franc\OneDrive\Documentos\MALENTIN KARIME\CESION\RESPALDO LUIS DIAZ\PODERES 2008\BERNARDO MUÑOZ CORTES Chq. Capel.doc</t>
  </si>
  <si>
    <t>C:\Users\franc\OneDrive\Documentos\MALENTIN KARIME\CESION\RESPALDO LUIS DIAZ\PODERES 2008\BERNARDO MUÑOZ C. Chq. Capel.doc</t>
  </si>
  <si>
    <t>C:\Users\franc\OneDrive\Documentos\MALENTIN KARIME\CESION\RESPALDO LUIS DIAZ\PODERES 2008\BERNARDO ESCOBAR S. Y OTS. vender.doc</t>
  </si>
  <si>
    <t>C:\Users\franc\OneDrive\Documentos\MALENTIN KARIME\CESION\RESPALDO LUIS DIAZ\PODERES 2008\BERNARDO ANGEL C. Y OTS. a M. INES NUÑEZ.doc</t>
  </si>
  <si>
    <t>C:\Users\franc\OneDrive\Documentos\MALENTIN KARIME\CESION\RESPALDO LUIS DIAZ\PODERES 2008\AUGUSTO GARCIA P. Y OT. a XIMENA GARCIA.doc</t>
  </si>
  <si>
    <t>C:\Users\franc\OneDrive\Documentos\MALENTIN KARIME\CESION\RESPALDO LUIS DIAZ\PODERES 2008\ARTURO VALENZUELA VEGA Vender.doc</t>
  </si>
  <si>
    <t>C:\Users\franc\OneDrive\Documentos\MALENTIN KARIME\CESION\RESPALDO LUIS DIAZ\PODERES 2008\ARTURO GONZALEZ M. y otra.doc</t>
  </si>
  <si>
    <t>C:\Users\franc\OneDrive\Documentos\MALENTIN KARIME\CESION\RESPALDO LUIS DIAZ\PODERES 2008\ARTURO BAEZ C. Firmar Soc..doc</t>
  </si>
  <si>
    <t>C:\Users\franc\OneDrive\Documentos\MALENTIN KARIME\CESION\RESPALDO LUIS DIAZ\PODERES 2008\ARTEMIO ALVARADO C..doc</t>
  </si>
  <si>
    <t>C:\Users\franc\OneDrive\Documentos\MALENTIN KARIME\CESION\RESPALDO LUIS DIAZ\PODERES 2008\ARMANDO DIAZ Chq. CAPEL.doc</t>
  </si>
  <si>
    <t>C:\Users\franc\OneDrive\Documentos\MALENTIN KARIME\CESION\RESPALDO LUIS DIAZ\PODERES 2008\ARISMENIA DEL C. ROJAS vender.doc</t>
  </si>
  <si>
    <t>C:\Users\franc\OneDrive\Documentos\MALENTIN KARIME\CESION\RESPALDO LUIS DIAZ\PODERES 2008\ANJELINA TREVERTON a HENIO CONTRERAS.doc</t>
  </si>
  <si>
    <t>C:\Users\franc\OneDrive\Documentos\MALENTIN KARIME\CESION\RESPALDO LUIS DIAZ\PODERES 2008\ANGEL CASTILLO C. Chq.Panulcillo.doc</t>
  </si>
  <si>
    <t>C:\Users\franc\OneDrive\Documentos\MALENTIN KARIME\CESION\RESPALDO LUIS DIAZ\PODERES 2008\ANDRES FUENTEALBA S. modificar sociedad.doc</t>
  </si>
  <si>
    <t>C:\Users\franc\OneDrive\Documentos\MALENTIN KARIME\CESION\RESPALDO LUIS DIAZ\PODERES 2008\ANDRES FUENTEALBA Modif. Soc. y Vender Acc..doc</t>
  </si>
  <si>
    <t>C:\Users\franc\OneDrive\Documentos\MALENTIN KARIME\CESION\RESPALDO LUIS DIAZ\PODERES 2008\ANA OSORIO GODOY a SELIM DABED.doc</t>
  </si>
  <si>
    <t>C:\Users\franc\OneDrive\Documentos\MALENTIN KARIME\CESION\RESPALDO LUIS DIAZ\PODERES 2008\ANA MARIA OSORIO a S. DABED.doc</t>
  </si>
  <si>
    <t>C:\Users\franc\OneDrive\Documentos\MALENTIN KARIME\CESION\RESPALDO LUIS DIAZ\PODERES 2008\ANA MARIA OSORIO a S. DABED 2010.doc</t>
  </si>
  <si>
    <t>C:\Users\franc\OneDrive\Documentos\MALENTIN KARIME\CESION\RESPALDO LUIS DIAZ\PODERES 2008\ANA MARIA BOU E.I.R.L. Mand. Adm..doc</t>
  </si>
  <si>
    <t>C:\Users\franc\OneDrive\Documentos\MALENTIN KARIME\CESION\RESPALDO LUIS DIAZ\PODERES 2008\ANA CISTERNAS Vender IV-2.doc</t>
  </si>
  <si>
    <t>C:\Users\franc\OneDrive\Documentos\MALENTIN KARIME\CESION\RESPALDO LUIS DIAZ\PODERES 2008\AMINTA ROJAS M. Mand. Adm..doc</t>
  </si>
  <si>
    <t>C:\Users\franc\OneDrive\Documentos\MALENTIN KARIME\CESION\RESPALDO LUIS DIAZ\PODERES 2008\AMADOR DIAZ E. Aut. a cónyuge.doc</t>
  </si>
  <si>
    <t>C:\Users\franc\OneDrive\Documentos\MALENTIN KARIME\CESION\RESPALDO LUIS DIAZ\PODERES 2008\ALICIA CUEVAS SCH. a SELIM DABED.doc</t>
  </si>
  <si>
    <t>C:\Users\franc\OneDrive\Documentos\MALENTIN KARIME\CESION\RESPALDO LUIS DIAZ\PODERES 2008\ALICIA CUEVAS SCH. a S. DABED IV.doc</t>
  </si>
  <si>
    <t>C:\Users\franc\OneDrive\Documentos\MALENTIN KARIME\CESION\RESPALDO LUIS DIAZ\PODERES 2008\ALICIA CUEVAS SCH. a S. DABED III.doc</t>
  </si>
  <si>
    <t>C:\Users\franc\OneDrive\Documentos\MALENTIN KARIME\CESION\RESPALDO LUIS DIAZ\PODERES 2008\ALICIA CUEVAS S. a SELIM DABED.doc</t>
  </si>
  <si>
    <t>C:\Users\franc\OneDrive\Documentos\MALENTIN KARIME\CESION\RESPALDO LUIS DIAZ\PODERES 2008\ALICIA CUEVAS a JORGE RAMIREZ.doc</t>
  </si>
  <si>
    <t>C:\Users\franc\OneDrive\Documentos\MALENTIN KARIME\CESION\RESPALDO LUIS DIAZ\PODERES 2008\ALEJANDRO ORTIZ O. Chq.Panulcillo.doc</t>
  </si>
  <si>
    <t>C:\Users\franc\OneDrive\Documentos\MALENTIN KARIME\CESION\RESPALDO LUIS DIAZ\PODERES 2008\ALDO EGAÑA L. a HUGO VEGA S.I.I..doc</t>
  </si>
  <si>
    <t>C:\Users\franc\OneDrive\Documentos\MALENTIN KARIME\CESION\RESPALDO LUIS DIAZ\PODERES 2008\AGRONOBLE S.A. a JUAN JIMENEZ.doc</t>
  </si>
  <si>
    <t>C:\Users\franc\OneDrive\Documentos\MALENTIN KARIME\CESION\RESPALDO LUIS DIAZ\PODERES 2008\AGRIC. SAN LORENZO.doc</t>
  </si>
  <si>
    <t>C:\Users\franc\OneDrive\Documentos\MALENTIN KARIME\CESION\RESPALDO LUIS DIAZ\PODERES 2008\AGRIC. GONAGRO a JESUS CHIRINO.doc</t>
  </si>
  <si>
    <t>C:\Users\franc\OneDrive\Documentos\MALENTIN KARIME\CESION\RESPALDO LUIS DIAZ\PODERES 2008\AGR. MAPAL LTDA. a LUIS ASENJO Revocación.doc</t>
  </si>
  <si>
    <t>C:\Users\franc\OneDrive\Documentos\MALENTIN KARIME\CESION\RESPALDO LUIS DIAZ\PODERES 2008\AGAPITO CASTILLO Revocacion.doc</t>
  </si>
  <si>
    <t>C:\Users\franc\OneDrive\Documentos\MALENTIN KARIME\CESION\RESPALDO LUIS DIAZ\PODERES 2008\ADOLFO GUERRERO Vender Mina.doc</t>
  </si>
  <si>
    <t>C:\Users\franc\OneDrive\Documentos\MALENTIN KARIME\CESION\RESPALDO LUIS DIAZ\PODERES 2008\ADOLFO GUERRERO A. Vender Mina.doc</t>
  </si>
  <si>
    <t>C:\Users\franc\OneDrive\Documentos\MALENTIN KARIME\CESION\RESPALDO LUIS DIAZ\PODERES 2008\ADELA RAMIREZ R. Vender Mina.doc</t>
  </si>
  <si>
    <t>C:\Users\franc\OneDrive\Documentos\MALENTIN KARIME\CESION\RESPALDO LUIS DIAZ\PODERES 2008\ABIGAIL OLIVARES Y OTRA Vender.doc</t>
  </si>
  <si>
    <t>C:\Users\franc\OneDrive\Documentos\MALENTIN KARIME\CESION\RESPALDO LUIS DIAZ\Mis documentos\VARIOS 2006\YOYITA PRIMERA.REC.doc</t>
  </si>
  <si>
    <t>C:\Users\franc\OneDrive\Documentos\MALENTIN KARIME\CESION\RESPALDO LUIS DIAZ\Mis documentos\VARIOS 2006\VISTA HERMOSA.doc</t>
  </si>
  <si>
    <t>C:\Users\franc\OneDrive\Documentos\MALENTIN KARIME\CESION\RESPALDO LUIS DIAZ\Mis documentos\VARIOS 2006\VIGORENA.doc</t>
  </si>
  <si>
    <t>C:\Users\franc\OneDrive\Documentos\MALENTIN KARIME\CESION\RESPALDO LUIS DIAZ\Mis documentos\VARIOS 2006\VIGORENA 1-5.doc</t>
  </si>
  <si>
    <t>C:\Users\franc\OneDrive\Documentos\MALENTIN KARIME\CESION\RESPALDO LUIS DIAZ\Mis documentos\VARIOS 2006\VICTORIA.doc</t>
  </si>
  <si>
    <t>C:\Users\franc\OneDrive\Documentos\MALENTIN KARIME\CESION\RESPALDO LUIS DIAZ\Mis documentos\VARIOS 2006\TRICOLOR.doc</t>
  </si>
  <si>
    <t>C:\Users\franc\OneDrive\Documentos\MALENTIN KARIME\CESION\RESPALDO LUIS DIAZ\Mis documentos\VARIOS 2006\TRES CRUCES.doc</t>
  </si>
  <si>
    <t>C:\Users\franc\OneDrive\Documentos\MALENTIN KARIME\CESION\RESPALDO LUIS DIAZ\Mis documentos\VARIOS 2006\TRES AMIGOS.doc</t>
  </si>
  <si>
    <t>C:\Users\franc\OneDrive\Documentos\MALENTIN KARIME\CESION\RESPALDO LUIS DIAZ\Mis documentos\VARIOS 2006\TESORO.doc</t>
  </si>
  <si>
    <t>C:\Users\franc\OneDrive\Documentos\MALENTIN KARIME\CESION\RESPALDO LUIS DIAZ\Mis documentos\VARIOS 2006\SOLEDAD.MAN.doc</t>
  </si>
  <si>
    <t>C:\Users\franc\OneDrive\Documentos\MALENTIN KARIME\CESION\RESPALDO LUIS DIAZ\Mis documentos\VARIOS 2006\SOLEDAD.doc</t>
  </si>
  <si>
    <t>C:\Users\franc\OneDrive\Documentos\MALENTIN KARIME\CESION\RESPALDO LUIS DIAZ\Mis documentos\VARIOS 2006\SOLEDAD UNO AL SIETE.doc</t>
  </si>
  <si>
    <t>C:\Users\franc\OneDrive\Documentos\MALENTIN KARIME\CESION\RESPALDO LUIS DIAZ\Mis documentos\VARIOS 2006\SOCAVON.doc</t>
  </si>
  <si>
    <t>C:\Users\franc\OneDrive\Documentos\MALENTIN KARIME\CESION\RESPALDO LUIS DIAZ\Mis documentos\VARIOS 2006\SILVIA.doc</t>
  </si>
  <si>
    <t>C:\Users\franc\OneDrive\Documentos\MALENTIN KARIME\CESION\RESPALDO LUIS DIAZ\Mis documentos\VARIOS 2006\SANTO VESPILIA.doc</t>
  </si>
  <si>
    <t>C:\Users\franc\OneDrive\Documentos\MALENTIN KARIME\CESION\RESPALDO LUIS DIAZ\Mis documentos\VARIOS 2006\SANTAANA.MAN.doc</t>
  </si>
  <si>
    <t>C:\Users\franc\OneDrive\Documentos\MALENTIN KARIME\CESION\RESPALDO LUIS DIAZ\Mis documentos\VARIOS 2006\SANTA TERESITA.doc</t>
  </si>
  <si>
    <t>C:\Users\franc\OneDrive\Documentos\MALENTIN KARIME\CESION\RESPALDO LUIS DIAZ\Mis documentos\VARIOS 2006\SANTA TERESA.doc</t>
  </si>
  <si>
    <t>C:\Users\franc\OneDrive\Documentos\MALENTIN KARIME\CESION\RESPALDO LUIS DIAZ\Mis documentos\VARIOS 2006\SANTA TERESA 1-5.doc</t>
  </si>
  <si>
    <t>C:\Users\franc\OneDrive\Documentos\MALENTIN KARIME\CESION\RESPALDO LUIS DIAZ\Mis documentos\VARIOS 2006\SANTA MARIA.doc</t>
  </si>
  <si>
    <t>C:\Users\franc\OneDrive\Documentos\MALENTIN KARIME\CESION\RESPALDO LUIS DIAZ\Mis documentos\VARIOS 2006\SANTA LUCIA.doc</t>
  </si>
  <si>
    <t>C:\Users\franc\OneDrive\Documentos\MALENTIN KARIME\CESION\RESPALDO LUIS DIAZ\Mis documentos\VARIOS 2006\SANTA JUANITA.doc</t>
  </si>
  <si>
    <t>C:\Users\franc\OneDrive\Documentos\MALENTIN KARIME\CESION\RESPALDO LUIS DIAZ\Mis documentos\VARIOS 2006\SANTA ISABEL.doc</t>
  </si>
  <si>
    <t>C:\Users\franc\OneDrive\Documentos\MALENTIN KARIME\CESION\RESPALDO LUIS DIAZ\Mis documentos\VARIOS 2006\SANTA FRANCISCA.MAN.doc</t>
  </si>
  <si>
    <t>C:\Users\franc\OneDrive\Documentos\MALENTIN KARIME\CESION\RESPALDO LUIS DIAZ\Mis documentos\VARIOS 2006\SANTA EVA UNO AL CINCO.doc</t>
  </si>
  <si>
    <t>C:\Users\franc\OneDrive\Documentos\MALENTIN KARIME\CESION\RESPALDO LUIS DIAZ\Mis documentos\VARIOS 2006\SANTA ESPERANZA.doc</t>
  </si>
  <si>
    <t>C:\Users\franc\OneDrive\Documentos\MALENTIN KARIME\CESION\RESPALDO LUIS DIAZ\Mis documentos\VARIOS 2006\SANTA CECILIA.doc</t>
  </si>
  <si>
    <t>C:\Users\franc\OneDrive\Documentos\MALENTIN KARIME\CESION\RESPALDO LUIS DIAZ\Mis documentos\VARIOS 2006\SANTA ANA2.MAN.doc</t>
  </si>
  <si>
    <t>C:\Users\franc\OneDrive\Documentos\MALENTIN KARIME\CESION\RESPALDO LUIS DIAZ\Mis documentos\VARIOS 2006\SANTA AMALIA.doc</t>
  </si>
  <si>
    <t>C:\Users\franc\OneDrive\Documentos\MALENTIN KARIME\CESION\RESPALDO LUIS DIAZ\Mis documentos\VARIOS 2006\SAN VALENTIN.doc</t>
  </si>
  <si>
    <t>C:\Users\franc\OneDrive\Documentos\MALENTIN KARIME\CESION\RESPALDO LUIS DIAZ\Mis documentos\VARIOS 2006\SAN VALENTIN Rectif..doc</t>
  </si>
  <si>
    <t>C:\Users\franc\OneDrive\Documentos\MALENTIN KARIME\CESION\RESPALDO LUIS DIAZ\Mis documentos\VARIOS 2006\SAN LORENZO.REC.doc</t>
  </si>
  <si>
    <t>C:\Users\franc\OneDrive\Documentos\MALENTIN KARIME\CESION\RESPALDO LUIS DIAZ\Mis documentos\VARIOS 2006\SAN IGNACIO TRES.doc</t>
  </si>
  <si>
    <t>C:\Users\franc\OneDrive\Documentos\MALENTIN KARIME\CESION\RESPALDO LUIS DIAZ\Mis documentos\VARIOS 2006\SAN IGNACIO DOS.doc</t>
  </si>
  <si>
    <t>C:\Users\franc\OneDrive\Documentos\MALENTIN KARIME\CESION\RESPALDO LUIS DIAZ\Mis documentos\VARIOS 2006\SAN IGNACIO CUATRO.doc</t>
  </si>
  <si>
    <t>C:\Users\franc\OneDrive\Documentos\MALENTIN KARIME\CESION\RESPALDO LUIS DIAZ\Mis documentos\VARIOS 2006\SAN FRANCISCO.MAN.doc</t>
  </si>
  <si>
    <t>C:\Users\franc\OneDrive\Documentos\MALENTIN KARIME\CESION\RESPALDO LUIS DIAZ\Mis documentos\VARIOS 2006\SAN FRANCISCO.doc</t>
  </si>
  <si>
    <t>C:\Users\franc\OneDrive\Documentos\MALENTIN KARIME\CESION\RESPALDO LUIS DIAZ\Mis documentos\VARIOS 2006\REGALONA.doc</t>
  </si>
  <si>
    <t>C:\Users\franc\OneDrive\Documentos\MALENTIN KARIME\CESION\RESPALDO LUIS DIAZ\Mis documentos\VARIOS 2006\RECREO.MAN.doc</t>
  </si>
  <si>
    <t>C:\Users\franc\OneDrive\Documentos\MALENTIN KARIME\CESION\RESPALDO LUIS DIAZ\Mis documentos\VARIOS 2006\RANGO.doc</t>
  </si>
  <si>
    <t>C:\Users\franc\OneDrive\Documentos\MALENTIN KARIME\CESION\RESPALDO LUIS DIAZ\Mis documentos\VARIOS 2006\RANGO II.doc</t>
  </si>
  <si>
    <t>C:\Users\franc\OneDrive\Documentos\MALENTIN KARIME\CESION\RESPALDO LUIS DIAZ\Mis documentos\VARIOS 2006\RANGO II 1-20.doc</t>
  </si>
  <si>
    <t>C:\Users\franc\OneDrive\Documentos\MALENTIN KARIME\CESION\RESPALDO LUIS DIAZ\Mis documentos\VARIOS 2006\QDA. LOS LILENES.doc</t>
  </si>
  <si>
    <t>C:\Users\franc\OneDrive\Documentos\MALENTIN KARIME\CESION\RESPALDO LUIS DIAZ\Mis documentos\VARIOS 2006\PUNTA COLORADA.doc</t>
  </si>
  <si>
    <t>C:\Users\franc\OneDrive\Documentos\MALENTIN KARIME\CESION\RESPALDO LUIS DIAZ\Mis documentos\VARIOS 2006\PUNTA ALTA TRES.doc</t>
  </si>
  <si>
    <t>C:\Users\franc\OneDrive\Documentos\MALENTIN KARIME\CESION\RESPALDO LUIS DIAZ\Mis documentos\VARIOS 2006\PUNTA ALTA DOS.doc</t>
  </si>
  <si>
    <t>C:\Users\franc\OneDrive\Documentos\MALENTIN KARIME\CESION\RESPALDO LUIS DIAZ\Mis documentos\VARIOS 2006\PUNTA ALTA CUATRO.doc</t>
  </si>
  <si>
    <t>C:\Users\franc\OneDrive\Documentos\MALENTIN KARIME\CESION\RESPALDO LUIS DIAZ\Mis documentos\VARIOS 2006\PUNTA ALTA CINCO.doc</t>
  </si>
  <si>
    <t>C:\Users\franc\OneDrive\Documentos\MALENTIN KARIME\CESION\RESPALDO LUIS DIAZ\Mis documentos\VARIOS 2006\PORVENIR.doc</t>
  </si>
  <si>
    <t>C:\Users\franc\OneDrive\Documentos\MALENTIN KARIME\CESION\RESPALDO LUIS DIAZ\Mis documentos\VARIOS 2006\PERLA 1 AL 5 Rec..doc</t>
  </si>
  <si>
    <t>C:\Users\franc\OneDrive\Documentos\MALENTIN KARIME\CESION\RESPALDO LUIS DIAZ\Mis documentos\VARIOS 2006\PEDESTAL.doc</t>
  </si>
  <si>
    <t>C:\Users\franc\OneDrive\Documentos\MALENTIN KARIME\CESION\RESPALDO LUIS DIAZ\Mis documentos\VARIOS 2006\NUEVA ESPERANZA.doc</t>
  </si>
  <si>
    <t>C:\Users\franc\OneDrive\Documentos\MALENTIN KARIME\CESION\RESPALDO LUIS DIAZ\Mis documentos\VARIOS 2006\NEGRA ESTER.MAN.doc</t>
  </si>
  <si>
    <t>C:\Users\franc\OneDrive\Documentos\MALENTIN KARIME\CESION\RESPALDO LUIS DIAZ\Mis documentos\VARIOS 2006\MONO BLANCO.doc</t>
  </si>
  <si>
    <t>C:\Users\franc\OneDrive\Documentos\MALENTIN KARIME\CESION\RESPALDO LUIS DIAZ\Mis documentos\VARIOS 2006\MOLLE I.doc</t>
  </si>
  <si>
    <t>C:\Users\franc\OneDrive\Documentos\MALENTIN KARIME\CESION\RESPALDO LUIS DIAZ\Mis documentos\VARIOS 2006\MINAORTIGA.MAN.doc</t>
  </si>
  <si>
    <t>C:\Users\franc\OneDrive\Documentos\MALENTIN KARIME\CESION\RESPALDO LUIS DIAZ\Mis documentos\VARIOS 2006\MINAESTRELLA.MAN.doc</t>
  </si>
  <si>
    <t>C:\Users\franc\OneDrive\Documentos\MALENTIN KARIME\CESION\RESPALDO LUIS DIAZ\Mis documentos\VARIOS 2006\MINACAROL.MAN.doc</t>
  </si>
  <si>
    <t>C:\Users\franc\OneDrive\Documentos\MALENTIN KARIME\CESION\RESPALDO LUIS DIAZ\Mis documentos\VARIOS 2006\MINA VICTORIA 1-10 Rectif..doc</t>
  </si>
  <si>
    <t>C:\Users\franc\OneDrive\Documentos\MALENTIN KARIME\CESION\RESPALDO LUIS DIAZ\Mis documentos\VARIOS 2006\MINA VETARRON.doc</t>
  </si>
  <si>
    <t>C:\Users\franc\OneDrive\Documentos\MALENTIN KARIME\CESION\RESPALDO LUIS DIAZ\Mis documentos\VARIOS 2006\MINA VERDE.doc</t>
  </si>
  <si>
    <t>C:\Users\franc\OneDrive\Documentos\MALENTIN KARIME\CESION\RESPALDO LUIS DIAZ\Mis documentos\VARIOS 2006\MINA TACORA.doc</t>
  </si>
  <si>
    <t>C:\Users\franc\OneDrive\Documentos\MALENTIN KARIME\CESION\RESPALDO LUIS DIAZ\Mis documentos\VARIOS 2006\MINA SANTA TERESA.MAN.doc</t>
  </si>
  <si>
    <t>C:\Users\franc\OneDrive\Documentos\MALENTIN KARIME\CESION\RESPALDO LUIS DIAZ\Mis documentos\VARIOS 2006\MINA SAN LUIS.doc</t>
  </si>
  <si>
    <t>C:\Users\franc\OneDrive\Documentos\MALENTIN KARIME\CESION\RESPALDO LUIS DIAZ\Mis documentos\VARIOS 2006\MINA SAN LUIS II.doc</t>
  </si>
  <si>
    <t>C:\Users\franc\OneDrive\Documentos\MALENTIN KARIME\CESION\RESPALDO LUIS DIAZ\Mis documentos\VARIOS 2006\MINA SAN FABIAN.doc</t>
  </si>
  <si>
    <t>C:\Users\franc\OneDrive\Documentos\MALENTIN KARIME\CESION\RESPALDO LUIS DIAZ\Mis documentos\VARIOS 2006\MINA SAN ANTONIO.doc</t>
  </si>
  <si>
    <t>C:\Users\franc\OneDrive\Documentos\MALENTIN KARIME\CESION\RESPALDO LUIS DIAZ\Mis documentos\VARIOS 2006\MINA ROSARIO.doc</t>
  </si>
  <si>
    <t>C:\Users\franc\OneDrive\Documentos\MALENTIN KARIME\CESION\RESPALDO LUIS DIAZ\Mis documentos\VARIOS 2006\MINA ROSARIO 1-20.doc</t>
  </si>
  <si>
    <t>C:\Users\franc\OneDrive\Documentos\MALENTIN KARIME\CESION\RESPALDO LUIS DIAZ\Mis documentos\VARIOS 2006\MINA REYES.doc</t>
  </si>
  <si>
    <t>C:\Users\franc\OneDrive\Documentos\MALENTIN KARIME\CESION\RESPALDO LUIS DIAZ\Mis documentos\VARIOS 2006\MINA QUEBRADA EL PERAL.doc</t>
  </si>
  <si>
    <t>C:\Users\franc\OneDrive\Documentos\MALENTIN KARIME\CESION\RESPALDO LUIS DIAZ\Mis documentos\VARIOS 2006\MINA PUESTA DE SOL.doc</t>
  </si>
  <si>
    <t>C:\Users\franc\OneDrive\Documentos\MALENTIN KARIME\CESION\RESPALDO LUIS DIAZ\Mis documentos\VARIOS 2006\MINA ODISEA.doc</t>
  </si>
  <si>
    <t>C:\Users\franc\OneDrive\Documentos\MALENTIN KARIME\CESION\RESPALDO LUIS DIAZ\Mis documentos\VARIOS 2006\MINA LOS AMIGOS.doc</t>
  </si>
  <si>
    <t>C:\Users\franc\OneDrive\Documentos\MALENTIN KARIME\CESION\RESPALDO LUIS DIAZ\Mis documentos\VARIOS 2006\MINA LAS VALLAS.doc</t>
  </si>
  <si>
    <t>C:\Users\franc\OneDrive\Documentos\MALENTIN KARIME\CESION\RESPALDO LUIS DIAZ\Mis documentos\VARIOS 2006\MINA LAS MOLLACAS.doc</t>
  </si>
  <si>
    <t>C:\Users\franc\OneDrive\Documentos\MALENTIN KARIME\CESION\RESPALDO LUIS DIAZ\Mis documentos\VARIOS 2006\MINA LA VETA II.doc</t>
  </si>
  <si>
    <t>C:\Users\franc\OneDrive\Documentos\MALENTIN KARIME\CESION\RESPALDO LUIS DIAZ\Mis documentos\VARIOS 2006\MINA LA SUREÑA.doc</t>
  </si>
  <si>
    <t>C:\Users\franc\OneDrive\Documentos\MALENTIN KARIME\CESION\RESPALDO LUIS DIAZ\Mis documentos\VARIOS 2006\MINA LA SUERTE.MAN.doc</t>
  </si>
  <si>
    <t>C:\Users\franc\OneDrive\Documentos\MALENTIN KARIME\CESION\RESPALDO LUIS DIAZ\Mis documentos\VARIOS 2006\MINA LA SUERTE.doc</t>
  </si>
  <si>
    <t>C:\Users\franc\OneDrive\Documentos\MALENTIN KARIME\CESION\RESPALDO LUIS DIAZ\Mis documentos\VARIOS 2006\MINA LA SAN LORENZO.doc</t>
  </si>
  <si>
    <t>C:\Users\franc\OneDrive\Documentos\MALENTIN KARIME\CESION\RESPALDO LUIS DIAZ\Mis documentos\VARIOS 2006\MINA LA QUINA.doc</t>
  </si>
  <si>
    <t>C:\Users\franc\OneDrive\Documentos\MALENTIN KARIME\CESION\RESPALDO LUIS DIAZ\Mis documentos\VARIOS 2006\MINA LA PORRITA.doc</t>
  </si>
  <si>
    <t>C:\Users\franc\OneDrive\Documentos\MALENTIN KARIME\CESION\RESPALDO LUIS DIAZ\Mis documentos\VARIOS 2006\MINA LA PIMIENTA2.MAN.doc</t>
  </si>
  <si>
    <t>C:\Users\franc\OneDrive\Documentos\MALENTIN KARIME\CESION\RESPALDO LUIS DIAZ\Mis documentos\VARIOS 2006\MINA LA PIMIENTA.MAN.doc</t>
  </si>
  <si>
    <t>C:\Users\franc\OneDrive\Documentos\MALENTIN KARIME\CESION\RESPALDO LUIS DIAZ\Mis documentos\VARIOS 2006\MINA LA ORTIGA.doc</t>
  </si>
  <si>
    <t>C:\Users\franc\OneDrive\Documentos\MALENTIN KARIME\CESION\RESPALDO LUIS DIAZ\Mis documentos\VARIOS 2006\MINA LA MURIENTA.doc</t>
  </si>
  <si>
    <t>C:\Users\franc\OneDrive\Documentos\MALENTIN KARIME\CESION\RESPALDO LUIS DIAZ\Mis documentos\VARIOS 2006\MINA LA MURIENTA III.doc</t>
  </si>
  <si>
    <t>C:\Users\franc\OneDrive\Documentos\MALENTIN KARIME\CESION\RESPALDO LUIS DIAZ\Mis documentos\VARIOS 2006\MINA LA MONTOZA.doc</t>
  </si>
  <si>
    <t>C:\Users\franc\OneDrive\Documentos\MALENTIN KARIME\CESION\RESPALDO LUIS DIAZ\Mis documentos\VARIOS 2006\MINA LA JUANITA.doc</t>
  </si>
  <si>
    <t>C:\Users\franc\OneDrive\Documentos\MALENTIN KARIME\CESION\RESPALDO LUIS DIAZ\Mis documentos\VARIOS 2006\MINA LA FLORITA.doc</t>
  </si>
  <si>
    <t>C:\Users\franc\OneDrive\Documentos\MALENTIN KARIME\CESION\RESPALDO LUIS DIAZ\Mis documentos\VARIOS 2006\MINA LA DUDA.doc</t>
  </si>
  <si>
    <t>C:\Users\franc\OneDrive\Documentos\MALENTIN KARIME\CESION\RESPALDO LUIS DIAZ\Mis documentos\VARIOS 2006\MINA LA DOS AMIGOS.doc</t>
  </si>
  <si>
    <t>C:\Users\franc\OneDrive\Documentos\MALENTIN KARIME\CESION\RESPALDO LUIS DIAZ\Mis documentos\VARIOS 2006\MINA LA DESPRECIADA.doc</t>
  </si>
  <si>
    <t>C:\Users\franc\OneDrive\Documentos\MALENTIN KARIME\CESION\RESPALDO LUIS DIAZ\Mis documentos\VARIOS 2006\MINA LA DESPRECIADA 1-5.doc</t>
  </si>
  <si>
    <t>C:\Users\franc\OneDrive\Documentos\MALENTIN KARIME\CESION\RESPALDO LUIS DIAZ\Mis documentos\VARIOS 2006\MINA LA DE REPENTE.doc</t>
  </si>
  <si>
    <t>C:\Users\franc\OneDrive\Documentos\MALENTIN KARIME\CESION\RESPALDO LUIS DIAZ\Mis documentos\VARIOS 2006\MINA LA CHASCONA.doc</t>
  </si>
  <si>
    <t>C:\Users\franc\OneDrive\Documentos\MALENTIN KARIME\CESION\RESPALDO LUIS DIAZ\Mis documentos\VARIOS 2006\MINA LA ATUTEMA.doc</t>
  </si>
  <si>
    <t>C:\Users\franc\OneDrive\Documentos\MALENTIN KARIME\CESION\RESPALDO LUIS DIAZ\Mis documentos\VARIOS 2006\MINA JULIA.doc</t>
  </si>
  <si>
    <t>C:\Users\franc\OneDrive\Documentos\MALENTIN KARIME\CESION\RESPALDO LUIS DIAZ\Mis documentos\VARIOS 2006\MINA JUANITA.doc</t>
  </si>
  <si>
    <t>C:\Users\franc\OneDrive\Documentos\MALENTIN KARIME\CESION\RESPALDO LUIS DIAZ\Mis documentos\VARIOS 2006\MINA ESPERANZA.doc</t>
  </si>
  <si>
    <t>C:\Users\franc\OneDrive\Documentos\MALENTIN KARIME\CESION\RESPALDO LUIS DIAZ\Mis documentos\VARIOS 2006\MINA EL ROSARIO.doc</t>
  </si>
  <si>
    <t>C:\Users\franc\OneDrive\Documentos\MALENTIN KARIME\CESION\RESPALDO LUIS DIAZ\Mis documentos\VARIOS 2006\MINA EL RINCON.doc</t>
  </si>
  <si>
    <t>C:\Users\franc\OneDrive\Documentos\MALENTIN KARIME\CESION\RESPALDO LUIS DIAZ\Mis documentos\VARIOS 2006\MINA EL POZO.MAN.doc</t>
  </si>
  <si>
    <t>C:\Users\franc\OneDrive\Documentos\MALENTIN KARIME\CESION\RESPALDO LUIS DIAZ\Mis documentos\VARIOS 2006\MINA EL PIMIENTO.doc</t>
  </si>
  <si>
    <t>C:\Users\franc\OneDrive\Documentos\MALENTIN KARIME\CESION\RESPALDO LUIS DIAZ\Mis documentos\VARIOS 2006\MINA EL DURAZNO.doc</t>
  </si>
  <si>
    <t>C:\Users\franc\OneDrive\Documentos\MALENTIN KARIME\CESION\RESPALDO LUIS DIAZ\Mis documentos\VARIOS 2006\MINA EL BARRANCO.doc</t>
  </si>
  <si>
    <t>C:\Users\franc\OneDrive\Documentos\MALENTIN KARIME\CESION\RESPALDO LUIS DIAZ\Mis documentos\VARIOS 2006\MINA EL BARRANCO II.doc</t>
  </si>
  <si>
    <t>C:\Users\franc\OneDrive\Documentos\MALENTIN KARIME\CESION\RESPALDO LUIS DIAZ\Mis documentos\VARIOS 2006\MINA CRISTAL.doc</t>
  </si>
  <si>
    <t>C:\Users\franc\OneDrive\Documentos\MALENTIN KARIME\CESION\RESPALDO LUIS DIAZ\Mis documentos\VARIOS 2006\MINA COLORADA CHICA.doc</t>
  </si>
  <si>
    <t>C:\Users\franc\OneDrive\Documentos\MALENTIN KARIME\CESION\RESPALDO LUIS DIAZ\Mis documentos\VARIOS 2006\MINA CARRIZAL.doc</t>
  </si>
  <si>
    <t>C:\Users\franc\OneDrive\Documentos\MALENTIN KARIME\CESION\RESPALDO LUIS DIAZ\Mis documentos\VARIOS 2006\MINA CARMEN.doc</t>
  </si>
  <si>
    <t>C:\Users\franc\OneDrive\Documentos\MALENTIN KARIME\CESION\RESPALDO LUIS DIAZ\Mis documentos\VARIOS 2006\MINA BLANCA.doc</t>
  </si>
  <si>
    <t>C:\Users\franc\OneDrive\Documentos\MALENTIN KARIME\CESION\RESPALDO LUIS DIAZ\Mis documentos\VARIOS 2006\MINA ANDALUZ.doc</t>
  </si>
  <si>
    <t>C:\Users\franc\OneDrive\Documentos\MALENTIN KARIME\CESION\RESPALDO LUIS DIAZ\Mis documentos\VARIOS 2006\MINA ANAIS.doc</t>
  </si>
  <si>
    <t>C:\Users\franc\OneDrive\Documentos\MALENTIN KARIME\CESION\RESPALDO LUIS DIAZ\Mis documentos\VARIOS 2006\MICERINO.doc</t>
  </si>
  <si>
    <t>C:\Users\franc\OneDrive\Documentos\MALENTIN KARIME\CESION\RESPALDO LUIS DIAZ\Mis documentos\VARIOS 2006\MARIA LUISA.doc</t>
  </si>
  <si>
    <t>C:\Users\franc\OneDrive\Documentos\MALENTIN KARIME\CESION\RESPALDO LUIS DIAZ\Mis documentos\VARIOS 2006\MADREDEDIOS.MAN.doc</t>
  </si>
  <si>
    <t>C:\Users\franc\OneDrive\Documentos\MALENTIN KARIME\CESION\RESPALDO LUIS DIAZ\Mis documentos\VARIOS 2006\LUCERO V.doc</t>
  </si>
  <si>
    <t>C:\Users\franc\OneDrive\Documentos\MALENTIN KARIME\CESION\RESPALDO LUIS DIAZ\Mis documentos\VARIOS 2006\LOS TRES AMIGOS Rec..doc</t>
  </si>
  <si>
    <t>C:\Users\franc\OneDrive\Documentos\MALENTIN KARIME\CESION\RESPALDO LUIS DIAZ\Mis documentos\VARIOS 2006\LOS MAITENES.doc</t>
  </si>
  <si>
    <t>C:\Users\franc\OneDrive\Documentos\MALENTIN KARIME\CESION\RESPALDO LUIS DIAZ\Mis documentos\VARIOS 2006\LOS IBACACHES.doc</t>
  </si>
  <si>
    <t>C:\Users\franc\OneDrive\Documentos\MALENTIN KARIME\CESION\RESPALDO LUIS DIAZ\Mis documentos\VARIOS 2006\LOS ELIAS.doc</t>
  </si>
  <si>
    <t>C:\Users\franc\OneDrive\Documentos\MALENTIN KARIME\CESION\RESPALDO LUIS DIAZ\Mis documentos\VARIOS 2006\LOS DOS HNOS.doc</t>
  </si>
  <si>
    <t>C:\Users\franc\OneDrive\Documentos\MALENTIN KARIME\CESION\RESPALDO LUIS DIAZ\Mis documentos\VARIOS 2006\LOS DOS HERMANOS.doc</t>
  </si>
  <si>
    <t>C:\Users\franc\OneDrive\Documentos\MALENTIN KARIME\CESION\RESPALDO LUIS DIAZ\Mis documentos\VARIOS 2006\LOS DOS AMIGOS 1-5 Rectif..doc</t>
  </si>
  <si>
    <t>C:\Users\franc\OneDrive\Documentos\MALENTIN KARIME\CESION\RESPALDO LUIS DIAZ\Mis documentos\VARIOS 2006\LOS BUITRES.doc</t>
  </si>
  <si>
    <t>C:\Users\franc\OneDrive\Documentos\MALENTIN KARIME\CESION\RESPALDO LUIS DIAZ\Mis documentos\VARIOS 2006\LOS BORRACHOS.doc</t>
  </si>
  <si>
    <t>C:\Users\franc\OneDrive\Documentos\MALENTIN KARIME\CESION\RESPALDO LUIS DIAZ\Mis documentos\VARIOS 2006\LOS 7 MACHOS.doc</t>
  </si>
  <si>
    <t>C:\Users\franc\OneDrive\Documentos\MALENTIN KARIME\CESION\RESPALDO LUIS DIAZ\Mis documentos\VARIOS 2006\LOS 4 TORDOS.doc</t>
  </si>
  <si>
    <t>C:\Users\franc\OneDrive\Documentos\MALENTIN KARIME\CESION\RESPALDO LUIS DIAZ\Mis documentos\VARIOS 2006\LOS 3 CACHORROS.doc</t>
  </si>
  <si>
    <t>C:\Users\franc\OneDrive\Documentos\MALENTIN KARIME\CESION\RESPALDO LUIS DIAZ\Mis documentos\VARIOS 2006\LOS 2 AMIGOS.MAN.doc</t>
  </si>
  <si>
    <t>C:\Users\franc\OneDrive\Documentos\MALENTIN KARIME\CESION\RESPALDO LUIS DIAZ\Mis documentos\VARIOS 2006\LOGO.doc</t>
  </si>
  <si>
    <t>C:\Users\franc\OneDrive\Documentos\MALENTIN KARIME\CESION\RESPALDO LUIS DIAZ\Mis documentos\VARIOS 2006\LECHUZA BLANCA SEGUNDA.doc</t>
  </si>
  <si>
    <t>C:\Users\franc\OneDrive\Documentos\MALENTIN KARIME\CESION\RESPALDO LUIS DIAZ\Mis documentos\VARIOS 2006\LAS ÑIPITAS.doc</t>
  </si>
  <si>
    <t>C:\Users\franc\OneDrive\Documentos\MALENTIN KARIME\CESION\RESPALDO LUIS DIAZ\Mis documentos\VARIOS 2006\LAS TRES MARIAS UNA AL VEINTE.doc</t>
  </si>
  <si>
    <t>C:\Users\franc\OneDrive\Documentos\MALENTIN KARIME\CESION\RESPALDO LUIS DIAZ\Mis documentos\VARIOS 2006\LAS PERDICES.doc</t>
  </si>
  <si>
    <t>C:\Users\franc\OneDrive\Documentos\MALENTIN KARIME\CESION\RESPALDO LUIS DIAZ\Mis documentos\VARIOS 2006\LAS MORAS.doc</t>
  </si>
  <si>
    <t>C:\Users\franc\OneDrive\Documentos\MALENTIN KARIME\CESION\RESPALDO LUIS DIAZ\Mis documentos\VARIOS 2006\LAS MOLLACAS UNO.doc</t>
  </si>
  <si>
    <t>C:\Users\franc\OneDrive\Documentos\MALENTIN KARIME\CESION\RESPALDO LUIS DIAZ\Mis documentos\VARIOS 2006\LAS DOCE CABRAS.doc</t>
  </si>
  <si>
    <t>C:\Users\franc\OneDrive\Documentos\MALENTIN KARIME\CESION\RESPALDO LUIS DIAZ\Mis documentos\VARIOS 2006\LAS BRUJAS.doc</t>
  </si>
  <si>
    <t>C:\Users\franc\OneDrive\Documentos\MALENTIN KARIME\CESION\RESPALDO LUIS DIAZ\Mis documentos\VARIOS 2006\LAREINA.MAN.doc</t>
  </si>
  <si>
    <t>C:\Users\franc\OneDrive\Documentos\MALENTIN KARIME\CESION\RESPALDO LUIS DIAZ\Mis documentos\VARIOS 2006\LAPODEROSA.MAN.doc</t>
  </si>
  <si>
    <t>C:\Users\franc\OneDrive\Documentos\MALENTIN KARIME\CESION\RESPALDO LUIS DIAZ\Mis documentos\VARIOS 2006\LAPALOMA3.MAN.doc</t>
  </si>
  <si>
    <t>C:\Users\franc\OneDrive\Documentos\MALENTIN KARIME\CESION\RESPALDO LUIS DIAZ\Mis documentos\VARIOS 2006\LAHUIRO.MAN.doc</t>
  </si>
  <si>
    <t>C:\Users\franc\OneDrive\Documentos\MALENTIN KARIME\CESION\RESPALDO LUIS DIAZ\Mis documentos\VARIOS 2006\LAESPERANZA.MAN.doc</t>
  </si>
  <si>
    <t>C:\Users\franc\OneDrive\Documentos\MALENTIN KARIME\CESION\RESPALDO LUIS DIAZ\Mis documentos\VARIOS 2006\LACANELILLA.MAN.doc</t>
  </si>
  <si>
    <t>C:\Users\franc\OneDrive\Documentos\MALENTIN KARIME\CESION\RESPALDO LUIS DIAZ\Mis documentos\VARIOS 2006\LA YINA.doc</t>
  </si>
  <si>
    <t>C:\Users\franc\OneDrive\Documentos\MALENTIN KARIME\CESION\RESPALDO LUIS DIAZ\Mis documentos\VARIOS 2006\LA VID INMORTAL.doc</t>
  </si>
  <si>
    <t>C:\Users\franc\OneDrive\Documentos\MALENTIN KARIME\CESION\RESPALDO LUIS DIAZ\Mis documentos\VARIOS 2006\LA VICTORIA.doc</t>
  </si>
  <si>
    <t>C:\Users\franc\OneDrive\Documentos\MALENTIN KARIME\CESION\RESPALDO LUIS DIAZ\Mis documentos\VARIOS 2006\LA VEGA.MAN.doc</t>
  </si>
  <si>
    <t>C:\Users\franc\OneDrive\Documentos\MALENTIN KARIME\CESION\RESPALDO LUIS DIAZ\Mis documentos\VARIOS 2006\LA VEGA SECA.doc</t>
  </si>
  <si>
    <t>C:\Users\franc\OneDrive\Documentos\MALENTIN KARIME\CESION\RESPALDO LUIS DIAZ\Mis documentos\VARIOS 2006\LA UNION.doc</t>
  </si>
  <si>
    <t>C:\Users\franc\OneDrive\Documentos\MALENTIN KARIME\CESION\RESPALDO LUIS DIAZ\Mis documentos\VARIOS 2006\LA UNION 1-10.doc</t>
  </si>
  <si>
    <t>C:\Users\franc\OneDrive\Documentos\MALENTIN KARIME\CESION\RESPALDO LUIS DIAZ\Mis documentos\VARIOS 2006\LA SOLITARIA.doc</t>
  </si>
  <si>
    <t>C:\Users\franc\OneDrive\Documentos\MALENTIN KARIME\CESION\RESPALDO LUIS DIAZ\Mis documentos\VARIOS 2006\LA SOCORRO DOS Rectif..doc</t>
  </si>
  <si>
    <t>C:\Users\franc\OneDrive\Documentos\MALENTIN KARIME\CESION\RESPALDO LUIS DIAZ\Mis documentos\VARIOS 2006\LA SAN JAVIER.MAN.doc</t>
  </si>
  <si>
    <t>C:\Users\franc\OneDrive\Documentos\MALENTIN KARIME\CESION\RESPALDO LUIS DIAZ\Mis documentos\VARIOS 2006\LA SALVACION.doc</t>
  </si>
  <si>
    <t>C:\Users\franc\OneDrive\Documentos\MALENTIN KARIME\CESION\RESPALDO LUIS DIAZ\Mis documentos\VARIOS 2006\LA SACRIFICIO.doc</t>
  </si>
  <si>
    <t>C:\Users\franc\OneDrive\Documentos\MALENTIN KARIME\CESION\RESPALDO LUIS DIAZ\Mis documentos\VARIOS 2006\LA RUBIA.doc</t>
  </si>
  <si>
    <t>C:\Users\franc\OneDrive\Documentos\MALENTIN KARIME\CESION\RESPALDO LUIS DIAZ\Mis documentos\VARIOS 2006\LA RON DORADO. Rectif..doc</t>
  </si>
  <si>
    <t>C:\Users\franc\OneDrive\Documentos\MALENTIN KARIME\CESION\RESPALDO LUIS DIAZ\Mis documentos\VARIOS 2006\LA RIQUEZA.doc</t>
  </si>
  <si>
    <t>C:\Users\franc\OneDrive\Documentos\MALENTIN KARIME\CESION\RESPALDO LUIS DIAZ\Mis documentos\VARIOS 2006\LA REINA.doc</t>
  </si>
  <si>
    <t>C:\Users\franc\OneDrive\Documentos\MALENTIN KARIME\CESION\RESPALDO LUIS DIAZ\Mis documentos\VARIOS 2006\LA REGALO.doc</t>
  </si>
  <si>
    <t>C:\Users\franc\OneDrive\Documentos\MALENTIN KARIME\CESION\RESPALDO LUIS DIAZ\Mis documentos\VARIOS 2006\LA RECUPERADA.doc</t>
  </si>
  <si>
    <t>C:\Users\franc\OneDrive\Documentos\MALENTIN KARIME\CESION\RESPALDO LUIS DIAZ\Mis documentos\VARIOS 2006\LA RECUERDO  UNO AL 10.doc</t>
  </si>
  <si>
    <t>C:\Users\franc\OneDrive\Documentos\MALENTIN KARIME\CESION\RESPALDO LUIS DIAZ\Mis documentos\VARIOS 2006\LA QUEMADA BAJA.doc</t>
  </si>
  <si>
    <t>C:\Users\franc\OneDrive\Documentos\MALENTIN KARIME\CESION\RESPALDO LUIS DIAZ\Mis documentos\VARIOS 2006\LA QUEMADA ALTO.doc</t>
  </si>
  <si>
    <t>C:\Users\franc\OneDrive\Documentos\MALENTIN KARIME\CESION\RESPALDO LUIS DIAZ\Mis documentos\VARIOS 2006\LA QDA. DE LAS POZAS.doc</t>
  </si>
  <si>
    <t>C:\Users\franc\OneDrive\Documentos\MALENTIN KARIME\CESION\RESPALDO LUIS DIAZ\Mis documentos\VARIOS 2006\LA PULPICA.doc</t>
  </si>
  <si>
    <t>C:\Users\franc\OneDrive\Documentos\MALENTIN KARIME\CESION\RESPALDO LUIS DIAZ\Mis documentos\VARIOS 2006\LA PRIMA.MAN.doc</t>
  </si>
  <si>
    <t>C:\Users\franc\OneDrive\Documentos\MALENTIN KARIME\CESION\RESPALDO LUIS DIAZ\Mis documentos\VARIOS 2006\LA PORVENIR.doc</t>
  </si>
  <si>
    <t>C:\Users\franc\OneDrive\Documentos\MALENTIN KARIME\CESION\RESPALDO LUIS DIAZ\Mis documentos\VARIOS 2006\LA PORFIADA.doc</t>
  </si>
  <si>
    <t>C:\Users\franc\OneDrive\Documentos\MALENTIN KARIME\CESION\RESPALDO LUIS DIAZ\Mis documentos\VARIOS 2006\LA PODEROZA.doc</t>
  </si>
  <si>
    <t>C:\Users\franc\OneDrive\Documentos\MALENTIN KARIME\CESION\RESPALDO LUIS DIAZ\Mis documentos\VARIOS 2006\LA PERLA.doc</t>
  </si>
  <si>
    <t>C:\Users\franc\OneDrive\Documentos\MALENTIN KARIME\CESION\RESPALDO LUIS DIAZ\Mis documentos\VARIOS 2006\LA PERDIDA.doc</t>
  </si>
  <si>
    <t>C:\Users\franc\OneDrive\Documentos\MALENTIN KARIME\CESION\RESPALDO LUIS DIAZ\Mis documentos\VARIOS 2006\LA PANCHITA.doc</t>
  </si>
  <si>
    <t>C:\Users\franc\OneDrive\Documentos\MALENTIN KARIME\CESION\RESPALDO LUIS DIAZ\Mis documentos\VARIOS 2006\LA PALOMA5.MAN.doc</t>
  </si>
  <si>
    <t>C:\Users\franc\OneDrive\Documentos\MALENTIN KARIME\CESION\RESPALDO LUIS DIAZ\Mis documentos\VARIOS 2006\LA NUEVA ESPERANZA.MAN.doc</t>
  </si>
  <si>
    <t>C:\Users\franc\OneDrive\Documentos\MALENTIN KARIME\CESION\RESPALDO LUIS DIAZ\Mis documentos\VARIOS 2006\LA NOVIA.doc</t>
  </si>
  <si>
    <t>C:\Users\franc\OneDrive\Documentos\MALENTIN KARIME\CESION\RESPALDO LUIS DIAZ\Mis documentos\VARIOS 2006\LA NEGRITA.doc</t>
  </si>
  <si>
    <t>C:\Users\franc\OneDrive\Documentos\MALENTIN KARIME\CESION\RESPALDO LUIS DIAZ\Mis documentos\VARIOS 2006\LA NEGRITA UTM.doc</t>
  </si>
  <si>
    <t>C:\Users\franc\OneDrive\Documentos\MALENTIN KARIME\CESION\RESPALDO LUIS DIAZ\Mis documentos\VARIOS 2006\LA NEGRA BUENA.doc</t>
  </si>
  <si>
    <t>C:\Users\franc\OneDrive\Documentos\MALENTIN KARIME\CESION\RESPALDO LUIS DIAZ\Mis documentos\VARIOS 2006\LA MORENA.doc</t>
  </si>
  <si>
    <t>C:\Users\franc\OneDrive\Documentos\MALENTIN KARIME\CESION\RESPALDO LUIS DIAZ\Mis documentos\VARIOS 2006\LA MIRAMAR.doc</t>
  </si>
  <si>
    <t>C:\Users\franc\OneDrive\Documentos\MALENTIN KARIME\CESION\RESPALDO LUIS DIAZ\Mis documentos\VARIOS 2006\LA MARLENE.doc</t>
  </si>
  <si>
    <t>C:\Users\franc\OneDrive\Documentos\MALENTIN KARIME\CESION\RESPALDO LUIS DIAZ\Mis documentos\VARIOS 2006\LA MARIPOSA.MAN.doc</t>
  </si>
  <si>
    <t>C:\Users\franc\OneDrive\Documentos\MALENTIN KARIME\CESION\RESPALDO LUIS DIAZ\Mis documentos\VARIOS 2006\LA MARAVILLA.doc</t>
  </si>
  <si>
    <t>C:\Users\franc\OneDrive\Documentos\MALENTIN KARIME\CESION\RESPALDO LUIS DIAZ\Mis documentos\VARIOS 2006\LA MALVADA.doc</t>
  </si>
  <si>
    <t>C:\Users\franc\OneDrive\Documentos\MALENTIN KARIME\CESION\RESPALDO LUIS DIAZ\Mis documentos\VARIOS 2006\LA LUCERO.doc</t>
  </si>
  <si>
    <t>C:\Users\franc\OneDrive\Documentos\MALENTIN KARIME\CESION\RESPALDO LUIS DIAZ\Mis documentos\VARIOS 2006\LA LLORONA.doc</t>
  </si>
  <si>
    <t>C:\Users\franc\OneDrive\Documentos\MALENTIN KARIME\CESION\RESPALDO LUIS DIAZ\Mis documentos\VARIOS 2006\LA LECHUZA.MAN.doc</t>
  </si>
  <si>
    <t>C:\Users\franc\OneDrive\Documentos\MALENTIN KARIME\CESION\RESPALDO LUIS DIAZ\Mis documentos\VARIOS 2006\LA INDIA.doc</t>
  </si>
  <si>
    <t>C:\Users\franc\OneDrive\Documentos\MALENTIN KARIME\CESION\RESPALDO LUIS DIAZ\Mis documentos\VARIOS 2006\LA HUANACA.doc</t>
  </si>
  <si>
    <t>C:\Users\franc\OneDrive\Documentos\MALENTIN KARIME\CESION\RESPALDO LUIS DIAZ\Mis documentos\VARIOS 2006\LA HIGUERITA.doc</t>
  </si>
  <si>
    <t>C:\Users\franc\OneDrive\Documentos\MALENTIN KARIME\CESION\RESPALDO LUIS DIAZ\Mis documentos\VARIOS 2006\LA HERENCIA.doc</t>
  </si>
  <si>
    <t>C:\Users\franc\OneDrive\Documentos\MALENTIN KARIME\CESION\RESPALDO LUIS DIAZ\Mis documentos\VARIOS 2006\LA FRANCESCA.doc</t>
  </si>
  <si>
    <t>C:\Users\franc\OneDrive\Documentos\MALENTIN KARIME\CESION\RESPALDO LUIS DIAZ\Mis documentos\VARIOS 2006\LA FORTUNA.doc</t>
  </si>
  <si>
    <t>C:\Users\franc\OneDrive\Documentos\MALENTIN KARIME\CESION\RESPALDO LUIS DIAZ\Mis documentos\VARIOS 2006\LA FORTUNA 1-20.doc</t>
  </si>
  <si>
    <t>C:\Users\franc\OneDrive\Documentos\MALENTIN KARIME\CESION\RESPALDO LUIS DIAZ\Mis documentos\VARIOS 2006\LA FORTUNA 1-10.doc</t>
  </si>
  <si>
    <t>C:\Users\franc\OneDrive\Documentos\MALENTIN KARIME\CESION\RESPALDO LUIS DIAZ\Mis documentos\VARIOS 2006\LA FORTUNA 1 AL 20.doc</t>
  </si>
  <si>
    <t>C:\Users\franc\OneDrive\Documentos\MALENTIN KARIME\CESION\RESPALDO LUIS DIAZ\Mis documentos\VARIOS 2006\LA ESPERANZA UNO.doc</t>
  </si>
  <si>
    <t>C:\Users\franc\OneDrive\Documentos\MALENTIN KARIME\CESION\RESPALDO LUIS DIAZ\Mis documentos\VARIOS 2006\LA ESPERANZA 1-10.doc</t>
  </si>
  <si>
    <t>C:\Users\franc\OneDrive\Documentos\MALENTIN KARIME\CESION\RESPALDO LUIS DIAZ\Mis documentos\VARIOS 2006\LA ESCONDIDAII.MAN.doc</t>
  </si>
  <si>
    <t>C:\Users\franc\OneDrive\Documentos\MALENTIN KARIME\CESION\RESPALDO LUIS DIAZ\Mis documentos\VARIOS 2006\LA ESCONDIDA.doc</t>
  </si>
  <si>
    <t>C:\Users\franc\OneDrive\Documentos\MALENTIN KARIME\CESION\RESPALDO LUIS DIAZ\Mis documentos\VARIOS 2006\LA DESPRECIADA.MAN.doc</t>
  </si>
  <si>
    <t>C:\Users\franc\OneDrive\Documentos\MALENTIN KARIME\CESION\RESPALDO LUIS DIAZ\Mis documentos\VARIOS 2006\LA DESPRECIADA.doc</t>
  </si>
  <si>
    <t>C:\Users\franc\OneDrive\Documentos\MALENTIN KARIME\CESION\RESPALDO LUIS DIAZ\Mis documentos\VARIOS 2006\LA DESPRECIADA 1-5.MAN.doc</t>
  </si>
  <si>
    <t>C:\Users\franc\OneDrive\Documentos\MALENTIN KARIME\CESION\RESPALDO LUIS DIAZ\Mis documentos\VARIOS 2006\LA DESPRECIADA 1-20.doc</t>
  </si>
  <si>
    <t>C:\Users\franc\OneDrive\Documentos\MALENTIN KARIME\CESION\RESPALDO LUIS DIAZ\Mis documentos\VARIOS 2006\LA DESPRECIADA 1-10.doc</t>
  </si>
  <si>
    <t>C:\Users\franc\OneDrive\Documentos\MALENTIN KARIME\CESION\RESPALDO LUIS DIAZ\Mis documentos\VARIOS 2006\LA DESPRECIADA 1 AL 5.doc</t>
  </si>
  <si>
    <t>C:\Users\franc\OneDrive\Documentos\MALENTIN KARIME\CESION\RESPALDO LUIS DIAZ\Mis documentos\VARIOS 2006\LA DESPRECIADA 1 AL 5 Man.doc</t>
  </si>
  <si>
    <t>C:\Users\franc\OneDrive\Documentos\MALENTIN KARIME\CESION\RESPALDO LUIS DIAZ\Mis documentos\VARIOS 2006\LA DESPRECIADA 1 AL 20.doc</t>
  </si>
  <si>
    <t>C:\Users\franc\OneDrive\Documentos\MALENTIN KARIME\CESION\RESPALDO LUIS DIAZ\Mis documentos\VARIOS 2006\LA CUESTA.doc</t>
  </si>
  <si>
    <t>C:\Users\franc\OneDrive\Documentos\MALENTIN KARIME\CESION\RESPALDO LUIS DIAZ\Mis documentos\VARIOS 2006\LA CUBANITA.doc</t>
  </si>
  <si>
    <t>C:\Users\franc\OneDrive\Documentos\MALENTIN KARIME\CESION\RESPALDO LUIS DIAZ\Mis documentos\VARIOS 2006\LA CRUCERO.doc</t>
  </si>
  <si>
    <t>C:\Users\franc\OneDrive\Documentos\MALENTIN KARIME\CESION\RESPALDO LUIS DIAZ\Mis documentos\VARIOS 2006\LA CREA.doc</t>
  </si>
  <si>
    <t>C:\Users\franc\OneDrive\Documentos\MALENTIN KARIME\CESION\RESPALDO LUIS DIAZ\Mis documentos\VARIOS 2006\LA COLMENA.doc</t>
  </si>
  <si>
    <t>C:\Users\franc\OneDrive\Documentos\MALENTIN KARIME\CESION\RESPALDO LUIS DIAZ\Mis documentos\VARIOS 2006\LA CHICOCA.doc</t>
  </si>
  <si>
    <t>C:\Users\franc\OneDrive\Documentos\MALENTIN KARIME\CESION\RESPALDO LUIS DIAZ\Mis documentos\VARIOS 2006\LA CHICA DOS.doc</t>
  </si>
  <si>
    <t>C:\Users\franc\OneDrive\Documentos\MALENTIN KARIME\CESION\RESPALDO LUIS DIAZ\Mis documentos\VARIOS 2006\LA CENIZA.doc</t>
  </si>
  <si>
    <t>C:\Users\franc\OneDrive\Documentos\MALENTIN KARIME\CESION\RESPALDO LUIS DIAZ\Mis documentos\VARIOS 2006\LA CARRIZALINA.doc</t>
  </si>
  <si>
    <t>C:\Users\franc\OneDrive\Documentos\MALENTIN KARIME\CESION\RESPALDO LUIS DIAZ\Mis documentos\VARIOS 2006\LA CARIÑITO.MAN.doc</t>
  </si>
  <si>
    <t>C:\Users\franc\OneDrive\Documentos\MALENTIN KARIME\CESION\RESPALDO LUIS DIAZ\Mis documentos\VARIOS 2006\LA CANELILLA.doc</t>
  </si>
  <si>
    <t>C:\Users\franc\OneDrive\Documentos\MALENTIN KARIME\CESION\RESPALDO LUIS DIAZ\Mis documentos\VARIOS 2006\LA CALETA DE COBRE.doc</t>
  </si>
  <si>
    <t>C:\Users\franc\OneDrive\Documentos\MALENTIN KARIME\CESION\RESPALDO LUIS DIAZ\Mis documentos\VARIOS 2006\LA BLANCA.doc</t>
  </si>
  <si>
    <t>C:\Users\franc\OneDrive\Documentos\MALENTIN KARIME\CESION\RESPALDO LUIS DIAZ\Mis documentos\VARIOS 2006\LA BLANCA II.doc</t>
  </si>
  <si>
    <t>C:\Users\franc\OneDrive\Documentos\MALENTIN KARIME\CESION\RESPALDO LUIS DIAZ\Mis documentos\VARIOS 2006\LA BLANCA 1 - 5.doc</t>
  </si>
  <si>
    <t>C:\Users\franc\OneDrive\Documentos\MALENTIN KARIME\CESION\RESPALDO LUIS DIAZ\Mis documentos\VARIOS 2006\LA BENDICION.doc</t>
  </si>
  <si>
    <t>C:\Users\franc\OneDrive\Documentos\MALENTIN KARIME\CESION\RESPALDO LUIS DIAZ\Mis documentos\VARIOS 2006\LA ATUTEMA.MAN.doc</t>
  </si>
  <si>
    <t>C:\Users\franc\OneDrive\Documentos\MALENTIN KARIME\CESION\RESPALDO LUIS DIAZ\Mis documentos\VARIOS 2006\LA AMOLANA PRIMERA.doc</t>
  </si>
  <si>
    <t>C:\Users\franc\OneDrive\Documentos\MALENTIN KARIME\CESION\RESPALDO LUIS DIAZ\Mis documentos\VARIOS 2006\LA ALEJANA.doc</t>
  </si>
  <si>
    <t>C:\Users\franc\OneDrive\Documentos\MALENTIN KARIME\CESION\RESPALDO LUIS DIAZ\Mis documentos\VARIOS 2006\LA ALEJANA SEGUNDA.doc</t>
  </si>
  <si>
    <t>C:\Users\franc\OneDrive\Documentos\MALENTIN KARIME\CESION\RESPALDO LUIS DIAZ\Mis documentos\VARIOS 2006\LA ABANDONADA.MAN.doc</t>
  </si>
  <si>
    <t>C:\Users\franc\OneDrive\Documentos\MALENTIN KARIME\CESION\RESPALDO LUIS DIAZ\Mis documentos\VARIOS 2006\KINO.doc</t>
  </si>
  <si>
    <t>C:\Users\franc\OneDrive\Documentos\MALENTIN KARIME\CESION\RESPALDO LUIS DIAZ\Mis documentos\VARIOS 2006\IRMITA III.doc</t>
  </si>
  <si>
    <t>C:\Users\franc\OneDrive\Documentos\MALENTIN KARIME\CESION\RESPALDO LUIS DIAZ\Mis documentos\VARIOS 2006\HUEVILES 1 AL 20.doc</t>
  </si>
  <si>
    <t>C:\Users\franc\OneDrive\Documentos\MALENTIN KARIME\CESION\RESPALDO LUIS DIAZ\Mis documentos\VARIOS 2006\GUAYACAN.doc</t>
  </si>
  <si>
    <t>C:\Users\franc\OneDrive\Documentos\MALENTIN KARIME\CESION\RESPALDO LUIS DIAZ\Mis documentos\VARIOS 2006\GRICELL.doc</t>
  </si>
  <si>
    <t>C:\Users\franc\OneDrive\Documentos\MALENTIN KARIME\CESION\RESPALDO LUIS DIAZ\Mis documentos\VARIOS 2006\FORTUNA.doc</t>
  </si>
  <si>
    <t>C:\Users\franc\OneDrive\Documentos\MALENTIN KARIME\CESION\RESPALDO LUIS DIAZ\Mis documentos\VARIOS 2006\FLOR DE LAS FLORES.MAN.doc</t>
  </si>
  <si>
    <t>C:\Users\franc\OneDrive\Documentos\MALENTIN KARIME\CESION\RESPALDO LUIS DIAZ\Mis documentos\VARIOS 2006\EXTRACTO MENSURA.doc</t>
  </si>
  <si>
    <t>C:\Users\franc\OneDrive\Documentos\MALENTIN KARIME\CESION\RESPALDO LUIS DIAZ\Mis documentos\VARIOS 2006\ESPERANZA.doc</t>
  </si>
  <si>
    <t>C:\Users\franc\OneDrive\Documentos\MALENTIN KARIME\CESION\RESPALDO LUIS DIAZ\Mis documentos\VARIOS 2006\ESPERANZA TRES.doc</t>
  </si>
  <si>
    <t>C:\Users\franc\OneDrive\Documentos\MALENTIN KARIME\CESION\RESPALDO LUIS DIAZ\Mis documentos\VARIOS 2006\ESPERANZA DOS.doc</t>
  </si>
  <si>
    <t>C:\Users\franc\OneDrive\Documentos\MALENTIN KARIME\CESION\RESPALDO LUIS DIAZ\Mis documentos\VARIOS 2006\ESCORIALES.doc</t>
  </si>
  <si>
    <t>C:\Users\franc\OneDrive\Documentos\MALENTIN KARIME\CESION\RESPALDO LUIS DIAZ\Mis documentos\VARIOS 2006\ESCONDIDA TERCERA.doc</t>
  </si>
  <si>
    <t>C:\Users\franc\OneDrive\Documentos\MALENTIN KARIME\CESION\RESPALDO LUIS DIAZ\Mis documentos\VARIOS 2006\ENCUENTRO 1-20 Rectif..doc</t>
  </si>
  <si>
    <t>C:\Users\franc\OneDrive\Documentos\MALENTIN KARIME\CESION\RESPALDO LUIS DIAZ\Mis documentos\VARIOS 2006\EL PECHEN.doc</t>
  </si>
  <si>
    <t>C:\Users\franc\OneDrive\Documentos\MALENTIN KARIME\CESION\RESPALDO LUIS DIAZ\Mis documentos\VARIOS 2006\EL MAURO.MAN.doc</t>
  </si>
  <si>
    <t>C:\Users\franc\OneDrive\Documentos\MALENTIN KARIME\CESION\RESPALDO LUIS DIAZ\Mis documentos\VARIOS 2006\EL MANTO.doc</t>
  </si>
  <si>
    <t>C:\Users\franc\OneDrive\Documentos\MALENTIN KARIME\CESION\RESPALDO LUIS DIAZ\Mis documentos\VARIOS 2006\EL MAITEN.doc</t>
  </si>
  <si>
    <t>C:\Users\franc\OneDrive\Documentos\MALENTIN KARIME\CESION\RESPALDO LUIS DIAZ\Mis documentos\VARIOS 2006\EL HOYO DEL TECO.doc</t>
  </si>
  <si>
    <t>C:\Users\franc\OneDrive\Documentos\MALENTIN KARIME\CESION\RESPALDO LUIS DIAZ\Mis documentos\VARIOS 2006\EL ESPINO.doc</t>
  </si>
  <si>
    <t>C:\Users\franc\OneDrive\Documentos\MALENTIN KARIME\CESION\RESPALDO LUIS DIAZ\Mis documentos\VARIOS 2006\EL DORADO 4 Ext.doc</t>
  </si>
  <si>
    <t>C:\Users\franc\OneDrive\Documentos\MALENTIN KARIME\CESION\RESPALDO LUIS DIAZ\Mis documentos\VARIOS 2006\EL DORADO 2. Ext.doc</t>
  </si>
  <si>
    <t>C:\Users\franc\OneDrive\Documentos\MALENTIN KARIME\CESION\RESPALDO LUIS DIAZ\Mis documentos\VARIOS 2006\EL COBRE.doc</t>
  </si>
  <si>
    <t>C:\Users\franc\OneDrive\Documentos\MALENTIN KARIME\CESION\RESPALDO LUIS DIAZ\Mis documentos\VARIOS 2006\EL CASTILLO.doc</t>
  </si>
  <si>
    <t>C:\Users\franc\OneDrive\Documentos\MALENTIN KARIME\CESION\RESPALDO LUIS DIAZ\Mis documentos\VARIOS 2006\EL BRUJO.MAN.doc</t>
  </si>
  <si>
    <t>C:\Users\franc\OneDrive\Documentos\MALENTIN KARIME\CESION\RESPALDO LUIS DIAZ\Mis documentos\VARIOS 2006\DOS AMIGOS.doc</t>
  </si>
  <si>
    <t>C:\Users\franc\OneDrive\Documentos\MALENTIN KARIME\CESION\RESPALDO LUIS DIAZ\Mis documentos\VARIOS 2006\DESCUBRIMIENTOS.AUT.doc</t>
  </si>
  <si>
    <t>C:\Users\franc\OneDrive\Documentos\MALENTIN KARIME\CESION\RESPALDO LUIS DIAZ\Mis documentos\VARIOS 2006\DESCUBRIDORA NUEVA.doc</t>
  </si>
  <si>
    <t>C:\Users\franc\OneDrive\Documentos\MALENTIN KARIME\CESION\RESPALDO LUIS DIAZ\Mis documentos\VARIOS 2006\DELICIA.MAN.doc</t>
  </si>
  <si>
    <t>C:\Users\franc\OneDrive\Documentos\MALENTIN KARIME\CESION\RESPALDO LUIS DIAZ\Mis documentos\VARIOS 2006\CUCHUFLETA.REC.doc</t>
  </si>
  <si>
    <t>C:\Users\franc\OneDrive\Documentos\MALENTIN KARIME\CESION\RESPALDO LUIS DIAZ\Mis documentos\VARIOS 2006\CRISTIANE.doc</t>
  </si>
  <si>
    <t>C:\Users\franc\OneDrive\Documentos\MALENTIN KARIME\CESION\RESPALDO LUIS DIAZ\Mis documentos\VARIOS 2006\COSITA.doc</t>
  </si>
  <si>
    <t>C:\Users\franc\OneDrive\Documentos\MALENTIN KARIME\CESION\RESPALDO LUIS DIAZ\Mis documentos\VARIOS 2006\CONSTANZA.REC.doc</t>
  </si>
  <si>
    <t>C:\Users\franc\OneDrive\Documentos\MALENTIN KARIME\CESION\RESPALDO LUIS DIAZ\Mis documentos\VARIOS 2006\CONSTANZA.MAN.doc</t>
  </si>
  <si>
    <t>C:\Users\franc\OneDrive\Documentos\MALENTIN KARIME\CESION\RESPALDO LUIS DIAZ\Mis documentos\VARIOS 2006\CITACION LUCITANIA.doc</t>
  </si>
  <si>
    <t>C:\Users\franc\OneDrive\Documentos\MALENTIN KARIME\CESION\RESPALDO LUIS DIAZ\Mis documentos\VARIOS 2006\CHACAYCITO.doc</t>
  </si>
  <si>
    <t>C:\Users\franc\OneDrive\Documentos\MALENTIN KARIME\CESION\RESPALDO LUIS DIAZ\Mis documentos\VARIOS 2006\CERROBLANCO.MAN.doc</t>
  </si>
  <si>
    <t>C:\Users\franc\OneDrive\Documentos\MALENTIN KARIME\CESION\RESPALDO LUIS DIAZ\Mis documentos\VARIOS 2006\CARMELITA.doc</t>
  </si>
  <si>
    <t>C:\Users\franc\OneDrive\Documentos\MALENTIN KARIME\CESION\RESPALDO LUIS DIAZ\Mis documentos\VARIOS 2006\CARMELITA Y EL ESPINO.doc</t>
  </si>
  <si>
    <t>C:\Users\franc\OneDrive\Documentos\MALENTIN KARIME\CESION\RESPALDO LUIS DIAZ\Mis documentos\VARIOS 2006\CARDITA UNO.doc</t>
  </si>
  <si>
    <t>C:\Users\franc\OneDrive\Documentos\MALENTIN KARIME\CESION\RESPALDO LUIS DIAZ\Mis documentos\VARIOS 2006\CANTA RANA.MAN.doc</t>
  </si>
  <si>
    <t>C:\Users\franc\OneDrive\Documentos\MALENTIN KARIME\CESION\RESPALDO LUIS DIAZ\Mis documentos\VARIOS 2006\BUENA SUERTE UNO AL VEINTE.doc</t>
  </si>
  <si>
    <t>C:\Users\franc\OneDrive\Documentos\MALENTIN KARIME\CESION\RESPALDO LUIS DIAZ\Mis documentos\VARIOS 2006\BLANCO Y NEGRO.doc</t>
  </si>
  <si>
    <t>C:\Users\franc\OneDrive\Documentos\MALENTIN KARIME\CESION\RESPALDO LUIS DIAZ\Mis documentos\VARIOS 2006\ALTO MOLLE.doc</t>
  </si>
  <si>
    <t>C:\Users\franc\OneDrive\Documentos\MALENTIN KARIME\CESION\RESPALDO LUIS DIAZ\Mis documentos\VARIOS 2006\ALTAMIRA LAS VINCHUCAS.doc</t>
  </si>
  <si>
    <t>C:\Users\franc\OneDrive\Documentos\MALENTIN KARIME\CESION\RESPALDO LUIS DIAZ\Mis documentos\VARIOS 2006\ALEJANDRA.doc</t>
  </si>
  <si>
    <t>C:\Users\franc\OneDrive\Documentos\MALENTIN KARIME\CESION\RESPALDO LUIS DIAZ\Mis documentos\VARIOS 2006\AGUA EL ESPINO.doc</t>
  </si>
  <si>
    <t>C:\Users\franc\OneDrive\Documentos\MALENTIN KARIME\CESION\RESPALDO LUIS DIAZ\Mis documentos\VARIOS 2006\AGUA DE LA ROSA.doc</t>
  </si>
  <si>
    <t>C:\Users\franc\OneDrive\Documentos\MALENTIN KARIME\CESION\RESPALDO LUIS DIAZ\Mis documentos\VARIOS 2006\ABANDONADA.doc</t>
  </si>
  <si>
    <t>C:\Users\franc\OneDrive\Documentos\MALENTIN KARIME\CESION\RESPALDO LUIS DIAZ\Mis documentos\VARIOS 2006\ABANDONADA 1-10.doc</t>
  </si>
  <si>
    <t>C:\Users\franc\OneDrive\Documentos\MALENTIN KARIME\CESION\RESPALDO LUIS DIAZ\Mis documentos\TATIANA HECKERSDORF\SERVIU.doc</t>
  </si>
  <si>
    <t>C:\Users\franc\OneDrive\Documentos\MALENTIN KARIME\CESION\RESPALDO LUIS DIAZ\Mis documentos\TATIANA HECKERSDORF\SERVIU.alfonso palta.doc</t>
  </si>
  <si>
    <t>C:\Users\franc\OneDrive\Documentos\MALENTIN KARIME\CESION\RESPALDO LUIS DIAZ\Mis documentos\TATIANA HECKERSDORF\SERVIU 2.doc</t>
  </si>
  <si>
    <t>C:\Users\franc\OneDrive\Documentos\MALENTIN KARIME\CESION\RESPALDO LUIS DIAZ\Mis documentos\TATIANA HECKERSDORF\revoca patricia julia - j polanco.doc</t>
  </si>
  <si>
    <t>C:\Users\franc\OneDrive\Documentos\MALENTIN KARIME\CESION\RESPALDO LUIS DIAZ\Mis documentos\TATIANA HECKERSDORF\revoca lucia donoso - j polanco.doc</t>
  </si>
  <si>
    <t>C:\Users\franc\OneDrive\Documentos\MALENTIN KARIME\CESION\RESPALDO LUIS DIAZ\Mis documentos\TATIANA HECKERSDORF\renta vitalicia - lucia donoso.doc</t>
  </si>
  <si>
    <t>C:\Users\franc\OneDrive\Documentos\MALENTIN KARIME\CESION\RESPALDO LUIS DIAZ\Mis documentos\TATIANA HECKERSDORF\PROT. RESOLUCION GOBERNACIÓN.doc</t>
  </si>
  <si>
    <t>C:\Users\franc\OneDrive\Documentos\MALENTIN KARIME\CESION\RESPALDO LUIS DIAZ\Mis documentos\TATIANA HECKERSDORF\PROT. ALCONES.doc</t>
  </si>
  <si>
    <t>C:\Users\franc\OneDrive\Documentos\MALENTIN KARIME\CESION\RESPALDO LUIS DIAZ\Mis documentos\TATIANA HECKERSDORF\PROT. ALCONES. asamblea doc.doc</t>
  </si>
  <si>
    <t>C:\Users\franc\OneDrive\Documentos\MALENTIN KARIME\CESION\RESPALDO LUIS DIAZ\Mis documentos\TATIANA HECKERSDORF\PARCELA 58 JUAN AGUSTIN.doc</t>
  </si>
  <si>
    <t>C:\Users\franc\OneDrive\Documentos\MALENTIN KARIME\CESION\RESPALDO LUIS DIAZ\Mis documentos\TATIANA HECKERSDORF\MODELO REVOCACION.doc</t>
  </si>
  <si>
    <t>C:\Users\franc\OneDrive\Documentos\MALENTIN KARIME\CESION\RESPALDO LUIS DIAZ\Mis documentos\TATIANA HECKERSDORF\MODELO NOTARIO SUPLENTE.doc</t>
  </si>
  <si>
    <t>C:\Users\franc\OneDrive\Documentos\MALENTIN KARIME\CESION\RESPALDO LUIS DIAZ\Mis documentos\TATIANA HECKERSDORF\MANDATO JUDICIAL.doc</t>
  </si>
  <si>
    <t>C:\Users\franc\OneDrive\Documentos\MALENTIN KARIME\CESION\RESPALDO LUIS DIAZ\Mis documentos\TATIANA HECKERSDORF\MANDATO ESPECIAL.doc</t>
  </si>
  <si>
    <t>C:\Users\franc\OneDrive\Documentos\MALENTIN KARIME\CESION\RESPALDO LUIS DIAZ\Mis documentos\TATIANA HECKERSDORF\MANDATO BANCO CHILE.doc</t>
  </si>
  <si>
    <t>C:\Users\franc\OneDrive\Documentos\MALENTIN KARIME\CESION\RESPALDO LUIS DIAZ\Mis documentos\TATIANA HECKERSDORF\lucia donoso - compra a veronica.doc</t>
  </si>
  <si>
    <t>C:\Users\franc\OneDrive\Documentos\MALENTIN KARIME\CESION\RESPALDO LUIS DIAZ\Mis documentos\TATIANA HECKERSDORF\Juan Araya Molina.alz prod.Lt 36, Hj 36.doc</t>
  </si>
  <si>
    <t>C:\Users\franc\OneDrive\Documentos\MALENTIN KARIME\CESION\RESPALDO LUIS DIAZ\Mis documentos\TATIANA HECKERSDORF\Juan Araya Molina.alz prod.doc</t>
  </si>
  <si>
    <t>C:\Users\franc\OneDrive\Documentos\MALENTIN KARIME\CESION\RESPALDO LUIS DIAZ\Mis documentos\TATIANA HECKERSDORF\Juan Araya Molina.alz prod Lt 58.doc</t>
  </si>
  <si>
    <t>C:\Users\franc\OneDrive\Documentos\MALENTIN KARIME\CESION\RESPALDO LUIS DIAZ\Mis documentos\TATIANA HECKERSDORF\IRMA CAMPUSANO ROJAS.doc</t>
  </si>
  <si>
    <t>C:\Users\franc\OneDrive\Documentos\MALENTIN KARIME\CESION\RESPALDO LUIS DIAZ\Mis documentos\TATIANA HECKERSDORF\FIRMAS.AUTORIZACION.doc</t>
  </si>
  <si>
    <t>C:\Users\franc\OneDrive\Documentos\MALENTIN KARIME\CESION\RESPALDO LUIS DIAZ\Mis documentos\TATIANA HECKERSDORF\FIRMA SERVIU AUT..doc</t>
  </si>
  <si>
    <t>C:\Users\franc\OneDrive\Documentos\MALENTIN KARIME\CESION\RESPALDO LUIS DIAZ\Mis documentos\TATIANA HECKERSDORF\DERECHO REAL.doc</t>
  </si>
  <si>
    <t>C:\Users\franc\OneDrive\Documentos\MALENTIN KARIME\CESION\RESPALDO LUIS DIAZ\Mis documentos\TATIANA HECKERSDORF\COPIAS.AUT.doc</t>
  </si>
  <si>
    <t>C:\Users\franc\OneDrive\Documentos\MALENTIN KARIME\CESION\RESPALDO LUIS DIAZ\Mis documentos\TATIANA HECKERSDORF\COPIAS AUTORIZ..doc</t>
  </si>
  <si>
    <t>C:\Users\franc\OneDrive\Documentos\MALENTIN KARIME\CESION\RESPALDO LUIS DIAZ\Mis documentos\TATIANA HECKERSDORF\COMITE AGUA P. CERRILLOS DE TAMAYA.doc</t>
  </si>
  <si>
    <t>C:\Users\franc\OneDrive\Documentos\MALENTIN KARIME\CESION\RESPALDO LUIS DIAZ\Mis documentos\TATIANA HECKERSDORF\AUTORIZACION FIRMA SERVIU.doc</t>
  </si>
  <si>
    <t>C:\Users\franc\OneDrive\Documentos\MALENTIN KARIME\CESION\RESPALDO LUIS DIAZ\Mis documentos\TATIANA HECKERSDORF\Atilano Cid y otra a Eliana Crespo.doc</t>
  </si>
  <si>
    <t>C:\Users\franc\OneDrive\Documentos\MALENTIN KARIME\CESION\RESPALDO LUIS DIAZ\Mis documentos\TATIANA HECKERSDORF\ARMANDO SALAMANCA.doc</t>
  </si>
  <si>
    <t>C:\Users\franc\OneDrive\Documentos\MALENTIN KARIME\CESION\RESPALDO LUIS DIAZ\Mis documentos\TATIANA HECKERSDORF\ANDREA DÍAZ GODOY.doc</t>
  </si>
  <si>
    <t>C:\Users\franc\OneDrive\Documentos\MALENTIN KARIME\CESION\RESPALDO LUIS DIAZ\Mis documentos\TATIANA HECKERSDORF\ALZAMIENTO SERVIU.doc</t>
  </si>
  <si>
    <t>C:\Users\franc\OneDrive\Documentos\MALENTIN KARIME\CESION\RESPALDO LUIS DIAZ\Mis documentos\TATIANA HECKERSDORF\Agustín Araya Molina.doc</t>
  </si>
  <si>
    <t>C:\Users\franc\OneDrive\Documentos\MALENTIN KARIME\CESION\RESPALDO LUIS DIAZ\Mis documentos\TATIANA HECKERSDORF\Agustín Araya Molina-Hj 36 y Lt 36.doc</t>
  </si>
  <si>
    <t>C:\Users\franc\OneDrive\Documentos\MALENTIN KARIME\CESION\RESPALDO LUIS DIAZ\Mis documentos\TATIANA HECKERSDORF\AGUSTIN ARAYA MOLINA.doc</t>
  </si>
  <si>
    <t>C:\Users\franc\OneDrive\Documentos\MALENTIN KARIME\CESION\RESPALDO LUIS DIAZ\Mis documentos\TATIANA HECKERSDORF\ACTA2.AUT.doc</t>
  </si>
  <si>
    <t>C:\Users\franc\OneDrive\Documentos\MALENTIN KARIME\CESION\RESPALDO LUIS DIAZ\Mis documentos\TATIANA HECKERSDORF\ACTA.AUT.doc</t>
  </si>
  <si>
    <t>C:\Users\franc\OneDrive\Documentos\MALENTIN KARIME\CESION\RESPALDO LUIS DIAZ\Mis documentos\Sobre.doc</t>
  </si>
  <si>
    <t>C:\Users\franc\OneDrive\Documentos\MALENTIN KARIME\CESION\RESPALDO LUIS DIAZ\Mis documentos\Sin efecto.doc</t>
  </si>
  <si>
    <t>C:\Users\franc\OneDrive\Documentos\MALENTIN KARIME\CESION\RESPALDO LUIS DIAZ\Mis documentos\PROPIEDAD MINAS AUT..doc</t>
  </si>
  <si>
    <t>C:\Users\franc\OneDrive\Documentos\MALENTIN KARIME\CESION\RESPALDO LUIS DIAZ\Mis documentos\PLANOS.AUT.doc</t>
  </si>
  <si>
    <t>C:\Users\franc\OneDrive\Documentos\MALENTIN KARIME\CESION\RESPALDO LUIS DIAZ\Mis documentos\PAGO IMPUESTO.doc</t>
  </si>
  <si>
    <t>C:\Users\franc\OneDrive\Documentos\MALENTIN KARIME\CESION\RESPALDO LUIS DIAZ\Mis documentos\NuevoDocumento de Microsoft Word.doc</t>
  </si>
  <si>
    <t>C:\Users\franc\OneDrive\Documentos\MALENTIN KARIME\CESION\RESPALDO LUIS DIAZ\Mis documentos\NOMBRES.doc</t>
  </si>
  <si>
    <t>C:\Users\franc\OneDrive\Documentos\MALENTIN KARIME\CESION\RESPALDO LUIS DIAZ\Mis documentos\MANIFESTACION.AUT.doc</t>
  </si>
  <si>
    <t>C:\Users\franc\OneDrive\Documentos\MALENTIN KARIME\CESION\RESPALDO LUIS DIAZ\Mis documentos\FIRMAS AUTORIZADAS Munic. Rio H..doc</t>
  </si>
  <si>
    <t>C:\Users\franc\OneDrive\Documentos\MALENTIN KARIME\CESION\RESPALDO LUIS DIAZ\Mis documentos\FIRMAS AUTORIZADAS III.doc</t>
  </si>
  <si>
    <t>C:\Users\franc\OneDrive\Documentos\MALENTIN KARIME\CESION\RESPALDO LUIS DIAZ\Mis documentos\FIRMAS AUTORIZADAS Dabed y Rosedama Ltda..doc</t>
  </si>
  <si>
    <t>C:\Users\franc\OneDrive\Documentos\MALENTIN KARIME\CESION\RESPALDO LUIS DIAZ\Mis documentos\FIRMAS AUTORIZADAS CIA. D. TELLO.doc</t>
  </si>
  <si>
    <t>C:\Users\franc\OneDrive\Documentos\MALENTIN KARIME\CESION\RESPALDO LUIS DIAZ\Mis documentos\FIRMAS AUTORIZADAS BANCO CHILE.doc</t>
  </si>
  <si>
    <t>C:\Users\franc\OneDrive\Documentos\MALENTIN KARIME\CESION\RESPALDO LUIS DIAZ\Mis documentos\FIRMAS AUTORIZADAS Arr..doc</t>
  </si>
  <si>
    <t>C:\Users\franc\OneDrive\Documentos\MALENTIN KARIME\CESION\RESPALDO LUIS DIAZ\Mis documentos\FIRMAS AUTORIZADAS 2.doc</t>
  </si>
  <si>
    <t>C:\Users\franc\OneDrive\Documentos\MALENTIN KARIME\CESION\RESPALDO LUIS DIAZ\Mis documentos\FIRMAS AUTORIZADAS 2 Represent..doc</t>
  </si>
  <si>
    <t>C:\Users\franc\OneDrive\Documentos\MALENTIN KARIME\CESION\RESPALDO LUIS DIAZ\Mis documentos\FIRMAS AUT. BANCO SANTANDER.doc</t>
  </si>
  <si>
    <t>C:\Users\franc\OneDrive\Documentos\MALENTIN KARIME\CESION\RESPALDO LUIS DIAZ\Mis documentos\FIRMA SERVIU.AUT.doc</t>
  </si>
  <si>
    <t>C:\Users\franc\OneDrive\Documentos\MALENTIN KARIME\CESION\RESPALDO LUIS DIAZ\Mis documentos\FIRMA SERVIU.Aut. Supl..doc</t>
  </si>
  <si>
    <t>C:\Users\franc\OneDrive\Documentos\MALENTIN KARIME\CESION\RESPALDO LUIS DIAZ\Mis documentos\FIRMA INDAP.AUT.doc</t>
  </si>
  <si>
    <t>C:\Users\franc\OneDrive\Documentos\MALENTIN KARIME\CESION\RESPALDO LUIS DIAZ\Mis documentos\FIRMA AUTORIZADA.doc</t>
  </si>
  <si>
    <t>C:\Users\franc\OneDrive\Documentos\MALENTIN KARIME\CESION\RESPALDO LUIS DIAZ\Mis documentos\FIRMA AUTORIZADA Sercotec.doc</t>
  </si>
  <si>
    <t>C:\Users\franc\OneDrive\Documentos\MALENTIN KARIME\CESION\RESPALDO LUIS DIAZ\Mis documentos\FIRMA AUTORIZADA Letra.doc</t>
  </si>
  <si>
    <t>C:\Users\franc\OneDrive\Documentos\MALENTIN KARIME\CESION\RESPALDO LUIS DIAZ\Mis documentos\FIRMA AUTORIZADA Fco. Corona.doc</t>
  </si>
  <si>
    <t>C:\Users\franc\OneDrive\Documentos\MALENTIN KARIME\CESION\RESPALDO LUIS DIAZ\Mis documentos\FIRMA AUTORIZADA BANCO CHILE.doc</t>
  </si>
  <si>
    <t>C:\Users\franc\OneDrive\Documentos\MALENTIN KARIME\CESION\RESPALDO LUIS DIAZ\Mis documentos\FIRMA AUTORIZ. p.p..doc</t>
  </si>
  <si>
    <t>C:\Users\franc\OneDrive\Documentos\MALENTIN KARIME\CESION\RESPALDO LUIS DIAZ\Mis documentos\FIRMA AUTORIZ. p.p. quien dice representar.doc</t>
  </si>
  <si>
    <t>C:\Users\franc\OneDrive\Documentos\MALENTIN KARIME\CESION\RESPALDO LUIS DIAZ\Mis documentos\FIRMA AUTORIZ. p.p. Personas CAPEL.doc</t>
  </si>
  <si>
    <t>C:\Users\franc\OneDrive\Documentos\MALENTIN KARIME\CESION\RESPALDO LUIS DIAZ\Mis documentos\FIRMA AUTORIZ. p.p. Alcalde R. H..doc</t>
  </si>
  <si>
    <t>C:\Users\franc\OneDrive\Documentos\MALENTIN KARIME\CESION\RESPALDO LUIS DIAZ\Mis documentos\FIRMA AUT. Y PAGO IMPTO..doc</t>
  </si>
  <si>
    <t>C:\Users\franc\OneDrive\Documentos\MALENTIN KARIME\CESION\RESPALDO LUIS DIAZ\Mis documentos\FIRMA AUT. PERSONERIA ANGOSTURA LTD..doc</t>
  </si>
  <si>
    <t>C:\Users\franc\OneDrive\Documentos\MALENTIN KARIME\CESION\RESPALDO LUIS DIAZ\Mis documentos\FIRMA AUT. CON PERSONERIA.doc</t>
  </si>
  <si>
    <t>C:\Users\franc\OneDrive\Documentos\MALENTIN KARIME\CESION\RESPALDO LUIS DIAZ\Mis documentos\ESCRITURA2.AUT.doc</t>
  </si>
  <si>
    <t>C:\Users\franc\OneDrive\Documentos\MALENTIN KARIME\CESION\RESPALDO LUIS DIAZ\Mis documentos\ESCRITURA.AUT.doc</t>
  </si>
  <si>
    <t>C:\Users\franc\OneDrive\Documentos\MALENTIN KARIME\CESION\RESPALDO LUIS DIAZ\Mis documentos\ESCRITURA AUT. Mandato Vigencia.doc</t>
  </si>
  <si>
    <t>C:\Users\franc\OneDrive\Documentos\MALENTIN KARIME\CESION\RESPALDO LUIS DIAZ\Mis documentos\ESCRITURA AUT. con Vigencia.doc</t>
  </si>
  <si>
    <t>C:\Users\franc\OneDrive\Documentos\MALENTIN KARIME\CESION\RESPALDO LUIS DIAZ\Mis documentos\DCTO. PROTOCOLIZ. Autorizado.doc</t>
  </si>
  <si>
    <t>C:\Users\franc\OneDrive\Documentos\MALENTIN KARIME\CESION\RESPALDO LUIS DIAZ\Mis documentos\COPIAS2.AUT.doc</t>
  </si>
  <si>
    <t>C:\Users\franc\OneDrive\Documentos\MALENTIN KARIME\CESION\RESPALDO LUIS DIAZ\Mis documentos\COPIA2.AUT.doc</t>
  </si>
  <si>
    <t>C:\Users\franc\OneDrive\Documentos\MALENTIN KARIME\CESION\RESPALDO LUIS DIAZ\Mis documentos\COPIA.AUT.doc</t>
  </si>
  <si>
    <t>C:\Users\franc\OneDrive\Documentos\MALENTIN KARIME\CESION\RESPALDO LUIS DIAZ\Mis documentos\CERTIFICO.doc</t>
  </si>
  <si>
    <t>C:\Users\franc\OneDrive\Documentos\MALENTIN KARIME\CESION\RESPALDO LUIS DIAZ\Mis documentos\CARTA CON LOGO.doc</t>
  </si>
  <si>
    <t>C:\Users\franc\OneDrive\Documentos\MALENTIN KARIME\CESION\RESPALDO LUIS DIAZ\Mis documentos\BANCO CHILE.doc</t>
  </si>
  <si>
    <t>C:\Users\franc\OneDrive\Documentos\MALENTIN KARIME\CESION\RESPALDO LUIS DIAZ\Mis documentos\AUTORIZ. DIGITO PULGAR.doc</t>
  </si>
  <si>
    <t>C:\Users\franc\OneDrive\Documentos\MALENTIN KARIME\CESION\RESPALDO LUIS DIAZ\Mis documentos\ACTAS. Autoriz..doc</t>
  </si>
  <si>
    <t>C:\Users\franc\OneDrive\Documentos\MALENTIN KARIME\CESION\RESPALDO LUIS DIAZ\Mis documentos\ACTA Autoriz. Anexa.doc</t>
  </si>
  <si>
    <t>C:\Users\franc\OneDrive\Documentos\MALENTIN KARIME\CESION\RESPALDO LUIS DIAZ\Sobre Solomon Ltda..doc</t>
  </si>
  <si>
    <t>C:\Users\franc\OneDrive\Documentos\MALENTIN KARIME\CESION\RESPALDO LUIS DIAZ\Sobre Francisco Corona.doc</t>
  </si>
  <si>
    <t>C:\Users\franc\OneDrive\Documentos\MALENTIN KARIME\CESION\RESPALDO LUIS DIAZ\Sobre Fco. Saavedra.doc</t>
  </si>
  <si>
    <t>C:\Users\franc\OneDrive\Documentos\MALENTIN KARIME\CESION\RESPALDO LUIS DIAZ\Sobre CIBERGESTION.doc</t>
  </si>
  <si>
    <t>C:\Users\franc\OneDrive\Documentos\MALENTIN KARIME\CESION\RESPALDO LUIS DIAZ\Sin efecto Certif. Medico.doc</t>
  </si>
  <si>
    <t>C:\Users\franc\OneDrive\Documentos\MALENTIN KARIME\CESION\RESPALDO LUIS DIAZ\PAGARE A PLAZO.doc</t>
  </si>
  <si>
    <t>C:\Users\franc\OneDrive\Documentos\MALENTIN KARIME\CESION\RESPALDO LUIS DIAZ\Firma a ruego.doc</t>
  </si>
  <si>
    <t>C:\Users\franc\OneDrive\Documentos\MALENTIN KARIME\CESION\RESPALDO LUIS DIAZ\DOCUMENTO AL MARGEN.doc</t>
  </si>
  <si>
    <t>C:\Users\franc\OneDrive\Documentos\MALENTIN KARIME\CESION\RESPALDO LUIS DIAZ\Carta SERCOTEC.doc</t>
  </si>
  <si>
    <t>C:\Users\franc\OneDrive\Documentos\MALENTIN KARIME\CESION\RESPALDO LUIS DIAZ\autorizac pagare.doc</t>
  </si>
  <si>
    <t>C:\Users\franc\OneDrive\Documentos\MALENTIN KARIME\CESION\HEREDITARIOS\2021\HUGO CORTES IBACACHE cesion maria ibacachedoc.doc</t>
  </si>
  <si>
    <t>C:\Users\franc\OneDrive\Documentos\MALENTIN KARIME\CESION\HEREDITARIOS\2021\HUGO CORTES IBACACHE cesion carlos cortes.doc</t>
  </si>
  <si>
    <t>C:\Users\franc\OneDrive\Documentos\MALENTIN KARIME\CESION\HEREDITARIOS\2017\SUCESION PIZARRO.doc</t>
  </si>
  <si>
    <t>C:\Users\franc\OneDrive\Documentos\MALENTIN KARIME\CESION\HEREDITARIOS\2017\SUCESION MARIN.doc</t>
  </si>
  <si>
    <t>C:\Users\franc\OneDrive\Documentos\MALENTIN KARIME\CESION\HEREDITARIOS\2017\SUCESION Cortes Arancibia 2018.doc</t>
  </si>
  <si>
    <t>C:\Users\franc\OneDrive\Documentos\MALENTIN KARIME\CESION\HEREDITARIOS\2017\MIGUEL URRUTIA ACUÑA y Nadia Soto Vallejos 2018.doc</t>
  </si>
  <si>
    <t>C:\Users\franc\OneDrive\Documentos\MALENTIN KARIME\CESION\HEREDITARIOS\2017\LAURA ROJAS VILLARROEL cesionaria 2018.doc</t>
  </si>
  <si>
    <t>C:\Users\franc\OneDrive\Documentos\MALENTIN KARIME\CESION\HEREDITARIOS\2017\ERIKA BERRIOS A JUANA CONTULIANO.doc</t>
  </si>
  <si>
    <t>C:\Users\franc\OneDrive\Documentos\MALENTIN KARIME\CESION\HEREDITARIOS\2017\ENRIQUE PEREZ A YORKA PEREZ 2018.doc</t>
  </si>
  <si>
    <t>C:\Users\franc\OneDrive\Documentos\MALENTIN KARIME\CESION\HEREDITARIOS\2017\DAVID DIAZ SILVA A Sandra Diaz Silva.doc</t>
  </si>
  <si>
    <t>C:\Users\franc\OneDrive\Documentos\MALENTIN KARIME\CESION\HEREDITARIOS\2017\CARLOS LORCA GUERRA.doc</t>
  </si>
  <si>
    <t>C:\Users\franc\OneDrive\Documentos\MALENTIN KARIME\CESION\HEREDITARIOS\2017\BELLA ALBANEZ A OLGA CORTES minuta.doc</t>
  </si>
  <si>
    <t>C:\Users\franc\OneDrive\Documentos\MALENTIN KARIME\CESION\HEREDITARIOS\2017\ANA ORTIZ GARCIA.doc</t>
  </si>
  <si>
    <t>C:\Users\franc\OneDrive\Documentos\MALENTIN KARIME\CESION\HEREDITARIOS\WILFREDO VALENCIA GODOY A Jovina Valencia Agosto 13.doc</t>
  </si>
  <si>
    <t>C:\Users\franc\OneDrive\Documentos\MALENTIN KARIME\CESION\HEREDITARIOS\SUCESION RIVERA RIVERA.doc</t>
  </si>
  <si>
    <t>C:\Users\franc\OneDrive\Documentos\MALENTIN KARIME\CESION\HEREDITARIOS\SUCESION PLAZA RIOS II Parte.doc</t>
  </si>
  <si>
    <t>C:\Users\franc\OneDrive\Documentos\MALENTIN KARIME\CESION\HEREDITARIOS\SUCESION PLAZA RIOS 2015.doc</t>
  </si>
  <si>
    <t>C:\Users\franc\OneDrive\Documentos\MALENTIN KARIME\CESION\HEREDITARIOS\sucesion JUVENALIA MAITA.doc</t>
  </si>
  <si>
    <t>C:\Users\franc\OneDrive\Documentos\MALENTIN KARIME\CESION\HEREDITARIOS\SUCESION CORTES CORTES 2015.doc</t>
  </si>
  <si>
    <t>C:\Users\franc\OneDrive\Documentos\MALENTIN KARIME\CESION\HEREDITARIOS\SUCESION CORTES CORTES 2015 poder.doc</t>
  </si>
  <si>
    <t>C:\Users\franc\OneDrive\Documentos\MALENTIN KARIME\CESION\HEREDITARIOS\RUTH PARRA MARIN.doc</t>
  </si>
  <si>
    <t>C:\Users\franc\OneDrive\Documentos\MALENTIN KARIME\CESION\HEREDITARIOS\RODRIGO RIVERA A AGUSTINA RIVERA minuta 2018.doc</t>
  </si>
  <si>
    <t>C:\Users\franc\OneDrive\Documentos\MALENTIN KARIME\CESION\HEREDITARIOS\RODRIGO RIVERA A AGUSTINA RIVERA minuta 2018 2.doc</t>
  </si>
  <si>
    <t>C:\Users\franc\OneDrive\Documentos\MALENTIN KARIME\CESION\HEREDITARIOS\PRIMITIVO CORTES A Ruben Cortes.doc</t>
  </si>
  <si>
    <t>C:\Users\franc\OneDrive\Documentos\MALENTIN KARIME\CESION\HEREDITARIOS\OSCAR CASTILLO ESPINOSA.doc</t>
  </si>
  <si>
    <t>C:\Users\franc\OneDrive\Documentos\MALENTIN KARIME\CESION\HEREDITARIOS\MARTA DIGNA SAGUA CORTES.doc</t>
  </si>
  <si>
    <t>C:\Users\franc\OneDrive\Documentos\MALENTIN KARIME\CESION\HEREDITARIOS\MARIA TAPIA CODOCEO A JESSICA DIAZ minuta.doc</t>
  </si>
  <si>
    <t>C:\Users\franc\OneDrive\Documentos\MALENTIN KARIME\CESION\HEREDITARIOS\LUISA CORTES VALENZUELA Minuta C. Ardiles.doc</t>
  </si>
  <si>
    <t>C:\Users\franc\OneDrive\Documentos\MALENTIN KARIME\CESION\HEREDITARIOS\ELIZABETH SEGOVIA Y OTRO.doc</t>
  </si>
  <si>
    <t>C:\Users\franc\OneDrive\Documentos\MALENTIN KARIME\CESION\HEREDITARIOS\CRUZ PIZARRO VEGA A JULIO GALLEGUILLOS.doc</t>
  </si>
  <si>
    <t>C:\Users\franc\OneDrive\Documentos\MALENTIN KARIME\CESION\HEREDITARIOS\BLANCA CARVAJAL A ROSA CARVAJAL2015.doc</t>
  </si>
  <si>
    <t>C:\Users\franc\OneDrive\Documentos\MALENTIN KARIME\CESION\HEREDITARIOS\AVELINA GAMBOA ROJAS.doc</t>
  </si>
  <si>
    <t>C:\Users\franc\OneDrive\Documentos\MALENTIN KARIME\CESION\HEREDITARIOS\ANA CORTES CORTES.doc</t>
  </si>
  <si>
    <t>C:\Users\franc\OneDrive\Documentos\MALENTIN KARIME\CESION\CDAD\VIRGINIA ALBANEZ A Gladys Cortes 2017.doc</t>
  </si>
  <si>
    <t>C:\Users\franc\OneDrive\Documentos\MALENTIN KARIME\CESION\CDAD\VICTOR MANUEL CARVAJAL conyuge CUARTO CAJON.doc</t>
  </si>
  <si>
    <t>C:\Users\franc\OneDrive\Documentos\MALENTIN KARIME\CESION\CDAD\VALENTIN CONTRERAS.doc</t>
  </si>
  <si>
    <t>C:\Users\franc\OneDrive\Documentos\MALENTIN KARIME\CESION\CDAD\VALENTIN CONTRERAS A ESTRELLA ARAYA 2018.doc</t>
  </si>
  <si>
    <t>C:\Users\franc\OneDrive\Documentos\MALENTIN KARIME\CESION\CDAD\VALENTIN CONTRERAS 2018.doc</t>
  </si>
  <si>
    <t>C:\Users\franc\OneDrive\Documentos\MALENTIN KARIME\CESION\CDAD\SUCESION ROJAS CISTERNAS.doc</t>
  </si>
  <si>
    <t>C:\Users\franc\OneDrive\Documentos\MALENTIN KARIME\CESION\CDAD\SUCESION GOMEZ BARRAZA Manquehua.doc</t>
  </si>
  <si>
    <t>C:\Users\franc\OneDrive\Documentos\MALENTIN KARIME\CESION\CDAD\SUCESION CORTES Ago 2017.doc</t>
  </si>
  <si>
    <t>C:\Users\franc\OneDrive\Documentos\MALENTIN KARIME\CESION\CDAD\SONIA CUELLO VARAS conyuge Punitaqui.doc</t>
  </si>
  <si>
    <t>C:\Users\franc\OneDrive\Documentos\MALENTIN KARIME\CESION\CDAD\SILVIA PIZARRO BURROES.doc</t>
  </si>
  <si>
    <t>C:\Users\franc\OneDrive\Documentos\MALENTIN KARIME\CESION\CDAD\SHEILA CARMEN OSSANDON ROJAS el altar.doc</t>
  </si>
  <si>
    <t>C:\Users\franc\OneDrive\Documentos\MALENTIN KARIME\CESION\CDAD\SANTOS OYARCE ARAYA.doc</t>
  </si>
  <si>
    <t>C:\Users\franc\OneDrive\Documentos\MALENTIN KARIME\CESION\CDAD\PEDRO PABLINO CARVAJAL CARVAJAL  conyuge CUARTO CAJON.doc</t>
  </si>
  <si>
    <t>C:\Users\franc\OneDrive\Documentos\MALENTIN KARIME\CESION\CDAD\PEDRO BRITO CASTILLO El altar.doc</t>
  </si>
  <si>
    <t>C:\Users\franc\OneDrive\Documentos\MALENTIN KARIME\CESION\CDAD\PATRICIA DORIA A RAUL DORIA 2021.doc</t>
  </si>
  <si>
    <t>C:\Users\franc\OneDrive\Documentos\MALENTIN KARIME\CESION\CDAD\MODELO CLAUDIO Cesion Comunidad.doc</t>
  </si>
  <si>
    <t>C:\Users\franc\OneDrive\Documentos\MALENTIN KARIME\CESION\CDAD\María Bruna  a Maria Ofelia Olivares2018.doc</t>
  </si>
  <si>
    <t>C:\Users\franc\OneDrive\Documentos\MALENTIN KARIME\CESION\CDAD\MARIA OLIVARES A María Bruna 2018.doc</t>
  </si>
  <si>
    <t>C:\Users\franc\OneDrive\Documentos\MALENTIN KARIME\CESION\CDAD\MANUEL LANAS COLLADO Potrerillo A.doc</t>
  </si>
  <si>
    <t>C:\Users\franc\OneDrive\Documentos\MALENTIN KARIME\CESION\CDAD\LUISA BARRAZA CASTRO a ADELMO BARRAZA.doc</t>
  </si>
  <si>
    <t>C:\Users\franc\OneDrive\Documentos\MALENTIN KARIME\CESION\CDAD\LUIS VEAS VEGA.doc</t>
  </si>
  <si>
    <t>C:\Users\franc\OneDrive\Documentos\MALENTIN KARIME\CESION\CDAD\KAREN LUTTGUES por poder.doc</t>
  </si>
  <si>
    <t>C:\Users\franc\OneDrive\Documentos\MALENTIN KARIME\CESION\CDAD\JULIO LUTTGUES MARTINEZ A Brayan Luttgues.doc</t>
  </si>
  <si>
    <t>C:\Users\franc\OneDrive\Documentos\MALENTIN KARIME\CESION\CDAD\JUAN ULLOA LOPEZ A YASSER ULLOA Los Trigos.doc</t>
  </si>
  <si>
    <t>C:\Users\franc\OneDrive\Documentos\MALENTIN KARIME\CESION\CDAD\JUAN ROJAS DIAZ.doc</t>
  </si>
  <si>
    <t>C:\Users\franc\OneDrive\Documentos\MALENTIN KARIME\CESION\CDAD\JUAN ROJAS DIAZ SUC autoc.doc</t>
  </si>
  <si>
    <t>C:\Users\franc\OneDrive\Documentos\MALENTIN KARIME\CESION\CDAD\JERMAN ACUÑA A JAVIER AROS.doc</t>
  </si>
  <si>
    <t>C:\Users\franc\OneDrive\Documentos\MALENTIN KARIME\CESION\CDAD\JEANETTE JOFRE VEAS Minuta Paty Alucema.doc</t>
  </si>
  <si>
    <t>C:\Users\franc\OneDrive\Documentos\MALENTIN KARIME\CESION\CDAD\JAIME CARMONA A NELSON HONORES Los Maitenes.doc</t>
  </si>
  <si>
    <t>C:\Users\franc\OneDrive\Documentos\MALENTIN KARIME\CESION\CDAD\HERMELINDO CORTES ARAYA 2018 y constancia.doc</t>
  </si>
  <si>
    <t>C:\Users\franc\OneDrive\Documentos\MALENTIN KARIME\CESION\CDAD\GUIDO CORTES A YIRLEN CERDA Potrerillo ALto.doc</t>
  </si>
  <si>
    <t>C:\Users\franc\OneDrive\Documentos\MALENTIN KARIME\CESION\CDAD\GUACOLDA MALUENDA GONZALEZ A Carlos Siles.doc</t>
  </si>
  <si>
    <t>C:\Users\franc\OneDrive\Documentos\MALENTIN KARIME\CESION\CDAD\Fresia Carvajal a Carlos Tello (fenandez veliz).doc</t>
  </si>
  <si>
    <t>C:\Users\franc\OneDrive\Documentos\MALENTIN KARIME\CESION\CDAD\ERMELINDA ASTUDILLO AGUILERA Con goce.doc</t>
  </si>
  <si>
    <t>C:\Users\franc\OneDrive\Documentos\MALENTIN KARIME\CESION\CDAD\ERMELINDA ASTUDILLO AGUILERA Con goce final.doc</t>
  </si>
  <si>
    <t>C:\Users\franc\OneDrive\Documentos\MALENTIN KARIME\CESION\CDAD\ELIANA OLIVARES A JAVIER OLIVARES 2017 Potrerillo Alto.doc</t>
  </si>
  <si>
    <t>C:\Users\franc\OneDrive\Documentos\MALENTIN KARIME\CESION\CDAD\DESSY EGAÑA VIDELA.doc</t>
  </si>
  <si>
    <t>C:\Users\franc\OneDrive\Documentos\MALENTIN KARIME\CESION\CDAD\DAVINA CAMPUSANO ALVARADO Y David Campusano El Durazno.doc</t>
  </si>
  <si>
    <t>C:\Users\franc\OneDrive\Documentos\MALENTIN KARIME\CESION\CDAD\CARLOS ACUÑA  VEGA Y RICARDO ACUÑA punitaqui.doc</t>
  </si>
  <si>
    <t>C:\Users\franc\OneDrive\Documentos\MALENTIN KARIME\CESION\CDAD\ANIBAL FLORES ARAYA Cuarto Cajón.doc</t>
  </si>
  <si>
    <t>C:\Users\franc\OneDrive\Documentos\MALENTIN KARIME\CESION\CDAD\ANGEL ERLINDA CARMEN PASTEN.doc</t>
  </si>
  <si>
    <t>C:\Users\franc\OneDrive\Documentos\MALENTIN KARIME\CESION\CDAD\AMANDA BARRAZA BARRAZA.doc</t>
  </si>
  <si>
    <t>C:\Users\franc\OneDrive\Documentos\MALENTIN KARIME\CESION\CDAD\AMANDA BARRAZA BARRAZA (Autoguardado).doc</t>
  </si>
  <si>
    <t>C:\Users\franc\OneDrive\Documentos\MALENTIN KARIME\CESION\CDAD\ALEX FIORENTINO A Nelson Vivanco.doc</t>
  </si>
  <si>
    <t>C:\Users\franc\OneDrive\Documentos\MALENTIN KARIME\CESION\CDAD\ADRIAN ARAYA VALDIVA A MARIA PIZARRO Cdad El Espinal.doc</t>
  </si>
  <si>
    <t>C:\Users\franc\OneDrive\Documentos\MALENTIN KARIME\CESION\PEDRO TORRES A RUBEN SIERRA.doc</t>
  </si>
  <si>
    <t>C:\Users\franc\OneDrive\Documentos\MALENTIN KARIME\CESION\PEDRO TORRES A RUBEN SIERRA Mandato.doc</t>
  </si>
  <si>
    <t>C:\Users\franc\OneDrive\Documentos\MALENTIN KARIME\CESION\PEDRO TORRES A RUBEN SIERRA Durruty.doc</t>
  </si>
  <si>
    <t>C:\Users\franc\OneDrive\Documentos\MALENTIN KARIME\CESION\GUILLERMO TORREALBA.doc</t>
  </si>
  <si>
    <t>C:\Users\franc\OneDrive\Documentos\MALENTIN KARIME\CESION\CONSTRUCTORA MUNDACA A CAROLINA ZAPATA Minuta Cesion Litigio.doc</t>
  </si>
  <si>
    <t>C:\Users\franc\OneDrive\Documentos\MALENTIN KARIME\CERRO CAMPANARIO\SOCIEDAD CERRO CAMPANARIODECLARACION.doc</t>
  </si>
  <si>
    <t>C:\Users\franc\OneDrive\Documentos\MALENTIN KARIME\CERRO CAMPANARIO\CV Molina de Higuera Araya Flores.doc II-2.doc</t>
  </si>
  <si>
    <t>C:\Users\franc\OneDrive\Documentos\MALENTIN KARIME\CDAD HUATULAME\MIRTO CORTES ROBLES.doc</t>
  </si>
  <si>
    <t>C:\Users\franc\OneDrive\Documentos\MALENTIN KARIME\CDAD HUATULAME\Autorizo la firma de don MATÍAS LUIS PABLO FERNANDEZ PLUSS.doc</t>
  </si>
  <si>
    <t>C:\Users\franc\OneDrive\Documentos\MALENTIN KARIME\CANCELACION\2021\HECTOR MALUENDA cancelacion.doc</t>
  </si>
  <si>
    <t>C:\Users\franc\OneDrive\Documentos\MALENTIN KARIME\CANCELACION\2021\ESTERMELINDA VALDIVIA Y 2 Ñ.doc</t>
  </si>
  <si>
    <t>C:\Users\franc\OneDrive\Documentos\MALENTIN KARIME\CANCELACION\2021\ESTERMELINDA VALDIVIA Y 2 N.doc</t>
  </si>
  <si>
    <t>C:\Users\franc\OneDrive\Documentos\MALENTIN KARIME\CANCELACION\2021\DEYSA  VERAGUA A Jorge Peñaloza.doc</t>
  </si>
  <si>
    <t>C:\Users\franc\OneDrive\Documentos\MALENTIN KARIME\CANCELACION\2014\WALDA GARCIA COFRE Cancelación.doc</t>
  </si>
  <si>
    <t>C:\Users\franc\OneDrive\Documentos\MALENTIN KARIME\CANCELACION\2014\SYLVIA ELENA ALVAREZ A Verónica Guerrero.doc</t>
  </si>
  <si>
    <t>C:\Users\franc\OneDrive\Documentos\MALENTIN KARIME\CANCELACION\2014\ISABEL OPAZO DONOSO Cancelación.doc</t>
  </si>
  <si>
    <t>C:\Users\franc\OneDrive\Documentos\MALENTIN KARIME\CANCELACION\2014\EDUARDO HERRERA MARQUEZ.doc</t>
  </si>
  <si>
    <t>C:\Users\franc\OneDrive\Documentos\MALENTIN KARIME\CANCELACION\2014\BELLA ALBANEZ Y OLGA CORTES cancelacion.doc</t>
  </si>
  <si>
    <t>C:\Users\franc\OneDrive\Documentos\MALENTIN KARIME\CANCELACION\SOCIEDAD AGRICOLA DIOGENES ROJAS Y CIA.doc</t>
  </si>
  <si>
    <t>C:\Users\franc\OneDrive\Documentos\MALENTIN KARIME\CANCELACION\RODRIGO ALCAYAGA ROMERO Cancelacion.doc</t>
  </si>
  <si>
    <t>C:\Users\franc\OneDrive\Documentos\MALENTIN KARIME\CANCELACION\RENATO PEÑAFIEL OLIVARES.doc</t>
  </si>
  <si>
    <t>C:\Users\franc\OneDrive\Documentos\MALENTIN KARIME\CANCELACION\PRISCILA ARAYA NARANJO.doc</t>
  </si>
  <si>
    <t>C:\Users\franc\OneDrive\Documentos\MALENTIN KARIME\CANCELACION\NOLVIA ALVARADO CORTES Cancelacion.doc</t>
  </si>
  <si>
    <t>C:\Users\franc\OneDrive\Documentos\MALENTIN KARIME\CANCELACION\MOISES VARAS RAMIREZ Cancelacion.doc</t>
  </si>
  <si>
    <t>C:\Users\franc\OneDrive\Documentos\MALENTIN KARIME\CANCELACION\MARIA ROJAS A PATRICIO CORTES.doc</t>
  </si>
  <si>
    <t>C:\Users\franc\OneDrive\Documentos\MALENTIN KARIME\CANCELACION\MARIA ANGELICA CLAUSSEN RODRIGUEZ.doc</t>
  </si>
  <si>
    <t>C:\Users\franc\OneDrive\Documentos\MALENTIN KARIME\CANCELACION\MARIA ANGEL ARTAL Cancelacion.doc</t>
  </si>
  <si>
    <t>C:\Users\franc\OneDrive\Documentos\MALENTIN KARIME\CANCELACION\MANUEL ROBLES ARAYA.doc</t>
  </si>
  <si>
    <t>C:\Users\franc\OneDrive\Documentos\MALENTIN KARIME\CANCELACION\JUAN SEGUNDO GONZALEZ ASENSI Cancelacion.doc</t>
  </si>
  <si>
    <t>C:\Users\franc\OneDrive\Documentos\MALENTIN KARIME\CANCELACION\JUAN ANTONIO ACUÑA CASTRO.doc</t>
  </si>
  <si>
    <t>C:\Users\franc\OneDrive\Documentos\MALENTIN KARIME\CANCELACION\ARNOLDO ARAYA PINOÑEZ Cancelacion.doc</t>
  </si>
  <si>
    <t>C:\Users\franc\OneDrive\Documentos\MALENTIN KARIME\CANCELACION\ANGELO CARVAJAL CARVAJAL.doc</t>
  </si>
  <si>
    <t>C:\Users\franc\OneDrive\Documentos\MALENTIN KARIME\CAJudicial\2021\ERIC MUNDACA ARAYA Corporacion.doc</t>
  </si>
  <si>
    <t>C:\Users\franc\OneDrive\Documentos\MALENTIN KARIME\CAJudicial\2018\SEGUNDO ORTEGA RAMIREZ 2018.docx</t>
  </si>
  <si>
    <t>C:\Users\franc\OneDrive\Documentos\MALENTIN KARIME\CAJudicial\2018\MILTA CASTILLO VEGA.doc</t>
  </si>
  <si>
    <t>C:\Users\franc\OneDrive\Documentos\MALENTIN KARIME\CAJudicial\2018\MANDATO especial  Adriana Lehuen- CORREGIDO (1).docx</t>
  </si>
  <si>
    <t>C:\Users\franc\OneDrive\Documentos\MALENTIN KARIME\CAJudicial\2018\ELENA BRICEÑO y CARLOS GONZALEZ Reduccion.doc</t>
  </si>
  <si>
    <t>C:\Users\franc\OneDrive\Documentos\MALENTIN KARIME\CAJudicial\2018\BRUNO TORRES TORRES Y OTRA.doc</t>
  </si>
  <si>
    <t>C:\Users\franc\OneDrive\Documentos\MALENTIN KARIME\CAJudicial\2017\MARIO CARVAJAL A Rodrigo Acevedo.doc</t>
  </si>
  <si>
    <t>C:\Users\franc\OneDrive\Documentos\MALENTIN KARIME\CAJudicial\2017\LUIS RIVERA CASTELLANOS 2017.doc</t>
  </si>
  <si>
    <t>C:\Users\franc\OneDrive\Documentos\MALENTIN KARIME\CAJudicial\2017\DAVID MILLA DE LA RIVERA Corp.doc</t>
  </si>
  <si>
    <t>C:\Users\franc\OneDrive\Documentos\MALENTIN KARIME\CAJudicial\2016\JESSENIA PEREZ VALENZUELA.doc</t>
  </si>
  <si>
    <t>C:\Users\franc\OneDrive\Documentos\MALENTIN KARIME\CAJudicial\2015\VIVIANA GALLARDO ARAYA Mandato.doc</t>
  </si>
  <si>
    <t>C:\Users\franc\OneDrive\Documentos\MALENTIN KARIME\CAJudicial\2015\SERGIO GALLEGUILLOS  Rectificacion.doc</t>
  </si>
  <si>
    <t>C:\Users\franc\OneDrive\Documentos\MALENTIN KARIME\CAJudicial\2015\SANDRA PEÑA NOLAN Agosto 15.doc</t>
  </si>
  <si>
    <t>C:\Users\franc\OneDrive\Documentos\MALENTIN KARIME\CAJudicial\2015\PEDRO PEREZ.doc</t>
  </si>
  <si>
    <t>C:\Users\franc\OneDrive\Documentos\MALENTIN KARIME\CAJudicial\2015\PATRICIA GALLEGUILLOS.doc</t>
  </si>
  <si>
    <t>C:\Users\franc\OneDrive\Documentos\MALENTIN KARIME\CAJudicial\2015\OSCAR FAVREAU Mandato Julio 15.docx</t>
  </si>
  <si>
    <t>C:\Users\franc\OneDrive\Documentos\MALENTIN KARIME\CAJudicial\2015\OSCAR FAVREAU BRITO MANDATO Julio 15.doc</t>
  </si>
  <si>
    <t>C:\Users\franc\OneDrive\Documentos\MALENTIN KARIME\CAJudicial\2015\ORNELLA GOMEZ TORRES.doc</t>
  </si>
  <si>
    <t>C:\Users\franc\OneDrive\Documentos\MALENTIN KARIME\CAJudicial\2015\MONICA ROJAS RIVERA Y CLAUDIA CORTES Transacción Oct 15.doc</t>
  </si>
  <si>
    <t>C:\Users\franc\OneDrive\Documentos\MALENTIN KARIME\CAJudicial\2015\MALVINA GODOY Nov.doc</t>
  </si>
  <si>
    <t>C:\Users\franc\OneDrive\Documentos\MALENTIN KARIME\CAJudicial\2015\KAREN HONORES Mandato.doc</t>
  </si>
  <si>
    <t>C:\Users\franc\OneDrive\Documentos\MALENTIN KARIME\CAJudicial\2015\JUAN RAMOS RAMOS Mandato 2015.doc</t>
  </si>
  <si>
    <t>C:\Users\franc\OneDrive\Documentos\MALENTIN KARIME\CAJudicial\2015\JUAN ARAYA ROJAS.doc</t>
  </si>
  <si>
    <t>C:\Users\franc\OneDrive\Documentos\MALENTIN KARIME\CAJudicial\2015\JOSE LUIS ANDRADE.doc</t>
  </si>
  <si>
    <t>C:\Users\franc\OneDrive\Documentos\MALENTIN KARIME\CAJudicial\2015\JOHANNA ARAYA RIVERA.doc</t>
  </si>
  <si>
    <t>C:\Users\franc\OneDrive\Documentos\MALENTIN KARIME\CAJudicial\2015\FREZIA VALDIVIA ROSAS.doc</t>
  </si>
  <si>
    <t>C:\Users\franc\OneDrive\Documentos\MALENTIN KARIME\CAJudicial\2015\ERNESTO CORTES CAMPUSANO.doc</t>
  </si>
  <si>
    <t>C:\Users\franc\OneDrive\Documentos\MALENTIN KARIME\CAJudicial\2015\CLAUDIA DAVILA A Eduardo Diaz.doc</t>
  </si>
  <si>
    <t>C:\Users\franc\OneDrive\Documentos\MALENTIN KARIME\CAJudicial\2015\BENILDA HENOTT.doc</t>
  </si>
  <si>
    <t>C:\Users\franc\OneDrive\Documentos\MALENTIN KARIME\CAJudicial\2014\VICTOR ASTUDILLO ROBLES Mandato.doc</t>
  </si>
  <si>
    <t>C:\Users\franc\OneDrive\Documentos\MALENTIN KARIME\CAJudicial\2014\SANDRA ROMERO YEVENES Diciemb.doc</t>
  </si>
  <si>
    <t>C:\Users\franc\OneDrive\Documentos\MALENTIN KARIME\CAJudicial\2014\SAMUEL CASTILLO CASTILLO Mandato.doc</t>
  </si>
  <si>
    <t>C:\Users\franc\OneDrive\Documentos\MALENTIN KARIME\CAJudicial\2014\ORNELLA CASTRO Mandato.doc</t>
  </si>
  <si>
    <t>C:\Users\franc\OneDrive\Documentos\MALENTIN KARIME\CAJudicial\2014\NELDA ARAYA CARVAJAL Mandato Divorcio Modelo.doc</t>
  </si>
  <si>
    <t>C:\Users\franc\OneDrive\Documentos\MALENTIN KARIME\CAJudicial\2014\MARIA TERESA CONTRERAS ESCOBAR Mandato.docx</t>
  </si>
  <si>
    <t>C:\Users\franc\OneDrive\Documentos\MALENTIN KARIME\CAJudicial\2014\MARIA ANDRADE A M Diaz Mandato.doc</t>
  </si>
  <si>
    <t>C:\Users\franc\OneDrive\Documentos\MALENTIN KARIME\CAJudicial\2014\JOSE CORTES CASTILLO Dic.doc</t>
  </si>
  <si>
    <t>C:\Users\franc\OneDrive\Documentos\MALENTIN KARIME\CAJudicial\2014\HUGO CORTES ROJAS Corporacion redacc not.doc</t>
  </si>
  <si>
    <t>C:\Users\franc\OneDrive\Documentos\MALENTIN KARIME\CAJudicial\2014\FRANCISCO JAVIER CASTILLO JOPIA Mandato 10.doc</t>
  </si>
  <si>
    <t>C:\Users\franc\OneDrive\Documentos\MALENTIN KARIME\CAJudicial\2014\ELENA PARRA BAHAMONDES.doc</t>
  </si>
  <si>
    <t>C:\Users\franc\OneDrive\Documentos\MALENTIN KARIME\CAJudicial\2014\DAYANA TELLO ALMENDARES Mjudicial.doc</t>
  </si>
  <si>
    <t>C:\Users\franc\OneDrive\Documentos\MALENTIN KARIME\CAJudicial\2014\CAMILO CRUZ C.doc</t>
  </si>
  <si>
    <t>C:\Users\franc\OneDrive\Documentos\MALENTIN KARIME\CAJudicial\YASNA CORTES LEMUS Octu 13.docx</t>
  </si>
  <si>
    <t>C:\Users\franc\OneDrive\Documentos\MALENTIN KARIME\CAJudicial\ROSA CONTRERAS CUELLO.doc</t>
  </si>
  <si>
    <t>C:\Users\franc\OneDrive\Documentos\MALENTIN KARIME\CAJudicial\RODRIGO PAYEROS.doc</t>
  </si>
  <si>
    <t>C:\Users\franc\OneDrive\Documentos\MALENTIN KARIME\CAJudicial\RODRIGO CASTILLO Mandato judicial.doc</t>
  </si>
  <si>
    <t>C:\Users\franc\OneDrive\Documentos\MALENTIN KARIME\CAJudicial\RICARDO ACOSTA Agosto 13.doc</t>
  </si>
  <si>
    <t>C:\Users\franc\OneDrive\Documentos\MALENTIN KARIME\CAJudicial\Renuncia Ganacialies georgina ramírez-1.doc</t>
  </si>
  <si>
    <t>C:\Users\franc\OneDrive\Documentos\MALENTIN KARIME\CAJudicial\NOLFA MARAMBIO CAYO  Liquidacion DIc 13.doc</t>
  </si>
  <si>
    <t>C:\Users\franc\OneDrive\Documentos\MALENTIN KARIME\CAJudicial\NOBELMO PIZARRO AVALOS.docx</t>
  </si>
  <si>
    <t>C:\Users\franc\OneDrive\Documentos\MALENTIN KARIME\CAJudicial\NANCY VALENCIA GUERRERO.doc</t>
  </si>
  <si>
    <t>C:\Users\franc\OneDrive\Documentos\MALENTIN KARIME\CAJudicial\MARICELA CASTILLO ROJAS Mandato Dic..doc</t>
  </si>
  <si>
    <t>C:\Users\franc\OneDrive\Documentos\MALENTIN KARIME\CAJudicial\MAGALY VALDIVIA VARAS.doc</t>
  </si>
  <si>
    <t>C:\Users\franc\OneDrive\Documentos\MALENTIN KARIME\CAJudicial\LUIS TABILO y Sandra Contreras Liquidacion Feb 14.doc</t>
  </si>
  <si>
    <t>C:\Users\franc\OneDrive\Documentos\MALENTIN KARIME\CAJudicial\LUCY PIZARRO GONZALEZ.doc</t>
  </si>
  <si>
    <t>C:\Users\franc\OneDrive\Documentos\MALENTIN KARIME\CAJudicial\Liquidacion sociedad conyugal sandra contreras alvarez corregida.doc</t>
  </si>
  <si>
    <t>C:\Users\franc\OneDrive\Documentos\MALENTIN KARIME\CAJudicial\JUAN MUÑOZ ARAYA Corporacion 2021.doc</t>
  </si>
  <si>
    <t>C:\Users\franc\OneDrive\Documentos\MALENTIN KARIME\CAJudicial\JACINTA ARAYA A NELSON MUÑOZ.doc</t>
  </si>
  <si>
    <t>C:\Users\franc\OneDrive\Documentos\MALENTIN KARIME\CAJudicial\GRINELDO TAPIA CANGANA Cesion Octubre 13.doc</t>
  </si>
  <si>
    <t>C:\Users\franc\OneDrive\Documentos\MALENTIN KARIME\CAJudicial\GRACIELA DIAZ 2020.docx</t>
  </si>
  <si>
    <t>C:\Users\franc\OneDrive\Documentos\MALENTIN KARIME\CAJudicial\GEORGINA RAMIREZRenuncia Ganacialies.doc</t>
  </si>
  <si>
    <t>C:\Users\franc\OneDrive\Documentos\MALENTIN KARIME\CAJudicial\ELVIS ALFARO GOMEZ Mandato Julio 2013.doc</t>
  </si>
  <si>
    <t>C:\Users\franc\OneDrive\Documentos\MALENTIN KARIME\CAJudicial\DAYSI ROJAS ROAJS.doc</t>
  </si>
  <si>
    <t>C:\Users\franc\OneDrive\Documentos\MALENTIN KARIME\CAJudicial\CESAR ESPINOSA PEÑA mandato Dic 13.doc</t>
  </si>
  <si>
    <t>C:\Users\franc\OneDrive\Documentos\MALENTIN KARIME\CAJudicial\CELINDA JERALDO ROJAS Agosto 13.doc</t>
  </si>
  <si>
    <t>C:\Users\franc\OneDrive\Documentos\MALENTIN KARIME\CAJudicial\CELINDA JERALDO ROJAS Agosto 13 correjido.doc</t>
  </si>
  <si>
    <t>C:\Users\franc\OneDrive\Documentos\MALENTIN KARIME\CAJudicial\CARLOS TAPIA CANGANA Cesion Octubre 13.doc</t>
  </si>
  <si>
    <t>C:\Users\franc\OneDrive\Documentos\MALENTIN KARIME\CAJudicial\CALOS BIRKNER SOLARI.docx</t>
  </si>
  <si>
    <t>C:\Users\franc\OneDrive\Documentos\MALENTIN KARIME\CAJudicial\BERTA GUERRERO AGUILERA.doc</t>
  </si>
  <si>
    <t>C:\Users\franc\OneDrive\Documentos\MALENTIN KARIME\CAJudicial\BENJAMIN ANGEL ROMERO.doc</t>
  </si>
  <si>
    <t>C:\Users\franc\OneDrive\Documentos\MALENTIN KARIME\BOMBEROS\melii\MELY\VARIOS\FOJAS.-.doc</t>
  </si>
  <si>
    <t>C:\Users\franc\OneDrive\Documentos\MALENTIN KARIME\BOMBEROS\melii\MELY\VARIOS\CARTA TESTAMENTO ABRIL-2014.doc</t>
  </si>
  <si>
    <t>C:\Users\franc\OneDrive\Documentos\MALENTIN KARIME\BOMBEROS\melii\MELY\VARIOS\CARTA ALZAMIENTO SERVIU- C. DE BIENES.doc</t>
  </si>
  <si>
    <t>C:\Users\franc\OneDrive\Documentos\MALENTIN KARIME\BOMBEROS\melii\MELY\VARIOS\Autr Firma COMPRAVENTA Y PROHIBICION S.I.SUBS. HABIT..doc</t>
  </si>
  <si>
    <t>C:\Users\franc\OneDrive\Documentos\MALENTIN KARIME\BOMBEROS\melii\MELY\VARIOS\Autr Firma COMPRAVENTA Y PROHIBICION S.I.SUBS. HABIT. CLEMENTE FUENTEALBA.doc</t>
  </si>
  <si>
    <t>C:\Users\franc\OneDrive\Documentos\MALENTIN KARIME\BOMBEROS\melii\MELY\VARIOS\AUTORIZACION ESCRITURAS CON VIGENCIA VERT..doc</t>
  </si>
  <si>
    <t>C:\Users\franc\OneDrive\Documentos\MALENTIN KARIME\BOMBEROS\melii\MELY\VARIOS\AUT. FIRMAS DECLARACION NO PARENTESCO.doc</t>
  </si>
  <si>
    <t>C:\Users\franc\OneDrive\Documentos\MALENTIN KARIME\BOMBEROS\melii\MELY\VARIOS\AUT. FIRMAS DECLARACION CLEMENTE FUENTEALBA.doc</t>
  </si>
  <si>
    <t>C:\Users\franc\OneDrive\Documentos\MALENTIN KARIME\BOMBEROS\melii\MELY\REDUCCION\COMUNIDAD ALCONES II.doc</t>
  </si>
  <si>
    <t>C:\Users\franc\OneDrive\Documentos\MALENTIN KARIME\BOMBEROS\melii\MELY\RECTIFICACIONES\RECTIFICATORIA WASHINGTON ALTAMIRANO.doc</t>
  </si>
  <si>
    <t>C:\Users\franc\OneDrive\Documentos\MALENTIN KARIME\BOMBEROS\melii\MELY\RECTIFICACIONES\ORIETA CISTERNAS PLAZA.doc</t>
  </si>
  <si>
    <t>C:\Users\franc\OneDrive\Documentos\MALENTIN KARIME\BOMBEROS\melii\MELY\RECTIFICACIONES\AGRICOLA SAN MARCOS S.A. COMERCIAL.doc</t>
  </si>
  <si>
    <t>C:\Users\franc\OneDrive\Documentos\MALENTIN KARIME\BOMBEROS\melii\MELY\PROTOCOLIZACIONES\PROP. PUBL. MUNICIPALIDAD\MODIFICACION CTTO\SOC. COM. MATCH POINT.doc</t>
  </si>
  <si>
    <t>C:\Users\franc\OneDrive\Documentos\MALENTIN KARIME\BOMBEROS\melii\MELY\PROTOCOLIZACIONES\JUNTA DE VECINOS N°26 HUATULAME.doc</t>
  </si>
  <si>
    <t>C:\Users\franc\OneDrive\Documentos\MALENTIN KARIME\BOMBEROS\melii\MELY\PROTOCOLIZACIONES\JAIRO MARTINEZ CUADRA.doc</t>
  </si>
  <si>
    <t>C:\Users\franc\OneDrive\Documentos\MALENTIN KARIME\BOMBEROS\melii\MELY\PROTOCOLIZACIONES\INVENTARIO ADOLFO LAY.doc</t>
  </si>
  <si>
    <t>C:\Users\franc\OneDrive\Documentos\MALENTIN KARIME\BOMBEROS\melii\MELY\PROTOCOLIZACIONES\IMPOR. Y EXPOR COMSAT LTDA..doc</t>
  </si>
  <si>
    <t>C:\Users\franc\OneDrive\Documentos\MALENTIN KARIME\BOMBEROS\melii\MELY\PROTOCOLIZACIONES\Hoja Anexa de Actas.doc</t>
  </si>
  <si>
    <t>C:\Users\franc\OneDrive\Documentos\MALENTIN KARIME\BOMBEROS\melii\MELY\PROTOCOLIZACIONES\FRANCISCO ZEPEDA RODRIGUEZ a FABIOLA VALENZUELA GARCIA (OVALLE-casado).doc</t>
  </si>
  <si>
    <t>C:\Users\franc\OneDrive\Documentos\MALENTIN KARIME\BOMBEROS\melii\MELY\PROTOCOLIZACIONES\FABIOLA VALENZUELA GARCIA.doc</t>
  </si>
  <si>
    <t>C:\Users\franc\OneDrive\Documentos\MALENTIN KARIME\BOMBEROS\melii\MELY\PROTOCOLIZACIONES\EDSON SEGOVIA CAMPOS.doc</t>
  </si>
  <si>
    <t>C:\Users\franc\OneDrive\Documentos\MALENTIN KARIME\BOMBEROS\melii\MELY\PROTOCOLIZACIONES\CVTA Y PROHIBICION CLEMENTE FUENTEALBA.doc</t>
  </si>
  <si>
    <t>C:\Users\franc\OneDrive\Documentos\MALENTIN KARIME\BOMBEROS\melii\MELY\PROTOCOLIZACIONES\CONSTRUCTORA SAN FERNANDO  modif. propuesta.doc</t>
  </si>
  <si>
    <t>C:\Users\franc\OneDrive\Documentos\MALENTIN KARIME\BOMBEROS\melii\MELY\PROTOCOLIZACIONES\COMUNIDAD LA COIPA.doc</t>
  </si>
  <si>
    <t>C:\Users\franc\OneDrive\Documentos\MALENTIN KARIME\BOMBEROS\melii\MELY\PROTOCOLIZACIONES\COMUNIDAD LA COIPA ACTA N°37.doc</t>
  </si>
  <si>
    <t>C:\Users\franc\OneDrive\Documentos\MALENTIN KARIME\BOMBEROS\melii\MELY\PROTOCOLIZACIONES\COMUNIDAD AGRICOLA LOS MAITENES DE SERON.doc</t>
  </si>
  <si>
    <t>C:\Users\franc\OneDrive\Documentos\MALENTIN KARIME\BOMBEROS\melii\MELY\PROTOCOLIZACIONES\COMITE DE A.P.R. LA TORRE Y LAS SOSSAS.doc</t>
  </si>
  <si>
    <t>C:\Users\franc\OneDrive\Documentos\MALENTIN KARIME\BOMBEROS\melii\MELY\PROTOCOLIZACIONES\CLUB DEPORTIVO DE RAYUELA OVALLE.doc</t>
  </si>
  <si>
    <t>C:\Users\franc\OneDrive\Documentos\MALENTIN KARIME\BOMBEROS\melii\MELY\PROTOCOLIZACIONES\certificacion C.F. PROTOCOLIZACION.doc</t>
  </si>
  <si>
    <t>C:\Users\franc\OneDrive\Documentos\MALENTIN KARIME\BOMBEROS\melii\MELY\PROTOCOLIZACIONES\certificacion C.F. PROTOCOLIZACION horizontal.doc</t>
  </si>
  <si>
    <t>C:\Users\franc\OneDrive\Documentos\MALENTIN KARIME\BOMBEROS\melii\MELY\PROTOCOLIZACIONES\certificacion C.F. PROTOCOLIZACION horizontal inferior.doc</t>
  </si>
  <si>
    <t>C:\Users\franc\OneDrive\Documentos\MALENTIN KARIME\BOMBEROS\melii\MELY\PROTOCOLIZACIONES\ASOC. GREMIAL TAXIS COLECT. RUTAPAL.doc</t>
  </si>
  <si>
    <t>C:\Users\franc\OneDrive\Documentos\MALENTIN KARIME\BOMBEROS\melii\MELY\PROMESAS\FERNANDO LOPEZ A DANILA BARRAZA.doc</t>
  </si>
  <si>
    <t>C:\Users\franc\OneDrive\Documentos\MALENTIN KARIME\BOMBEROS\melii\MELY\P.A.U\COMPLEMENTACION PATRICIA ALFARO.doc</t>
  </si>
  <si>
    <t>C:\Users\franc\OneDrive\Documentos\MALENTIN KARIME\BOMBEROS\melii\MELY\NOTAS AL MARGEN\RECT. ALZAMIENTO BCO ESTADO.doc</t>
  </si>
  <si>
    <t>C:\Users\franc\OneDrive\Documentos\MALENTIN KARIME\BOMBEROS\melii\MELY\NOTAS AL MARGEN\RECT. ALZAMIENTO BCO ESTADO matriz.doc</t>
  </si>
  <si>
    <t>C:\Users\franc\OneDrive\Documentos\MALENTIN KARIME\BOMBEROS\melii\MELY\NOTAS AL MARGEN\nota al margen matriz DE RECT.doc</t>
  </si>
  <si>
    <t>C:\Users\franc\OneDrive\Documentos\MALENTIN KARIME\BOMBEROS\melii\MELY\NOTAS AL MARGEN\nota al margen matriz DE MODIF. ACLARAC. Y RECTIF..doc</t>
  </si>
  <si>
    <t>C:\Users\franc\OneDrive\Documentos\MALENTIN KARIME\BOMBEROS\melii\MELY\NOTAS AL MARGEN\nota al margen matriz DE compl pau.doc</t>
  </si>
  <si>
    <t>C:\Users\franc\OneDrive\Documentos\MALENTIN KARIME\BOMBEROS\melii\MELY\NOTAS AL MARGEN\nota al margen matriz DE ACLARAC. Y RECTIF..doc</t>
  </si>
  <si>
    <t>C:\Users\franc\OneDrive\Documentos\MALENTIN KARIME\BOMBEROS\melii\MELY\NOTAS AL MARGEN\nota al margen de rect.doc</t>
  </si>
  <si>
    <t>C:\Users\franc\OneDrive\Documentos\MALENTIN KARIME\BOMBEROS\melii\MELY\NOTAS AL MARGEN\nota al margen de MODIF. ACLARAC. Y RECTIF..doc</t>
  </si>
  <si>
    <t>C:\Users\franc\OneDrive\Documentos\MALENTIN KARIME\BOMBEROS\melii\MELY\NOTAS AL MARGEN\nota al margen de compl PAU.doc</t>
  </si>
  <si>
    <t>C:\Users\franc\OneDrive\Documentos\MALENTIN KARIME\BOMBEROS\melii\MELY\NOTAS AL MARGEN\nota al margen de ACLARAC. Y RECTIF..doc</t>
  </si>
  <si>
    <t>C:\Users\franc\OneDrive\Documentos\MALENTIN KARIME\BOMBEROS\melii\MELY\MODELO NOTARIOS\PATRICIA ALFARO ULLOA.doc</t>
  </si>
  <si>
    <t>C:\Users\franc\OneDrive\Documentos\MALENTIN KARIME\BOMBEROS\melii\MELY\MODELO NOTARIOS\MODELO NOTARIO SUPLENTE.doc</t>
  </si>
  <si>
    <t>C:\Users\franc\OneDrive\Documentos\MALENTIN KARIME\BOMBEROS\melii\MELY\MODELO NOTARIOS\MODELO NOTARIO RCA.doc</t>
  </si>
  <si>
    <t>C:\Users\franc\OneDrive\Documentos\MALENTIN KARIME\BOMBEROS\melii\MELY\MODELO NOTARIOS\JOYCE RALLIN TAPIA.doc</t>
  </si>
  <si>
    <t>C:\Users\franc\OneDrive\Documentos\MALENTIN KARIME\BOMBEROS\melii\MELY\MODELO NOTARIOS\HERNAN PEREZ DUARTE.doc</t>
  </si>
  <si>
    <t>C:\Users\franc\OneDrive\Documentos\MALENTIN KARIME\BOMBEROS\melii\MELY\MODELO NOTARIOS\ANDREA RODRIGUEZ SUAZO.doc</t>
  </si>
  <si>
    <t>C:\Users\franc\OneDrive\Documentos\MALENTIN KARIME\BOMBEROS\melii\MELY\MANDATOS\SOLEDAD FARR\S.L.M.MINA SAN RAMON UNO DE SECTOR DE HUALLILLINGA.doc</t>
  </si>
  <si>
    <t>C:\Users\franc\OneDrive\Documentos\MALENTIN KARIME\BOMBEROS\melii\MELY\MANDATOS\SOLEDAD FARR\MAX  AGUIRRE ROJAS.doc</t>
  </si>
  <si>
    <t>C:\Users\franc\OneDrive\Documentos\MALENTIN KARIME\BOMBEROS\melii\MELY\MANDATOS\REVOCACION\COMUNIDAD AGRICOLA ALCONES.doc</t>
  </si>
  <si>
    <t>C:\Users\franc\OneDrive\Documentos\MALENTIN KARIME\BOMBEROS\melii\MELY\MANDATOS\MARIA ISABEL MALUENDA\BARBARA CORTES ROJAS.doc</t>
  </si>
  <si>
    <t>C:\Users\franc\OneDrive\Documentos\MALENTIN KARIME\BOMBEROS\melii\MELY\MANDATOS\MARCO JURIN RAKELA\ALEJANDRA ROBERTSON VEAS.doc</t>
  </si>
  <si>
    <t>C:\Users\franc\OneDrive\Documentos\MALENTIN KARIME\BOMBEROS\melii\MELY\MANDATOS\JUAN PABLO CORRAL\MANUEL LANAS NUÑEZ.doc</t>
  </si>
  <si>
    <t>C:\Users\franc\OneDrive\Documentos\MALENTIN KARIME\BOMBEROS\melii\MELY\MANDATOS\HERNAN PEREZ DUARTE\SERGIO ESCOBAR.doc</t>
  </si>
  <si>
    <t>C:\Users\franc\OneDrive\Documentos\MALENTIN KARIME\BOMBEROS\melii\MELY\MANDATOS\HERNAN PEREZ DUARTE\MAURICIO FABRES MEDINA.doc</t>
  </si>
  <si>
    <t>C:\Users\franc\OneDrive\Documentos\MALENTIN KARIME\BOMBEROS\melii\MELY\MANDATOS\HERNAN PEREZ DUARTE\HERNAN MALEBRAN.doc</t>
  </si>
  <si>
    <t>C:\Users\franc\OneDrive\Documentos\MALENTIN KARIME\BOMBEROS\melii\MELY\MANDATOS\CRISTIAN ZEPEDA RODRIGUEZ\VILA MONDACA SEGOBIA.doc</t>
  </si>
  <si>
    <t>C:\Users\franc\OneDrive\Documentos\MALENTIN KARIME\BOMBEROS\melii\MELY\MANDATOS\CLAUDIO ARDILES ARAYA\WILDA OSSANDON.docx</t>
  </si>
  <si>
    <t>C:\Users\franc\OneDrive\Documentos\MALENTIN KARIME\BOMBEROS\melii\MELY\MANDATOS\CAROLINA ADAOS VALENZUELA\MARCO ADAOS VALENZUELA.doc</t>
  </si>
  <si>
    <t>C:\Users\franc\OneDrive\Documentos\MALENTIN KARIME\BOMBEROS\melii\MELY\MANDATOS\ANDRES AGUILERA Y OTRO\CRISTIAN ROSAS RUIZ.doc</t>
  </si>
  <si>
    <t>C:\Users\franc\OneDrive\Documentos\MALENTIN KARIME\BOMBEROS\melii\MELY\MANDATOS\PABLO ALVAREZ LATORRE A FELIPE ALAMO BARRIOS.doc</t>
  </si>
  <si>
    <t>C:\Users\franc\OneDrive\Documentos\MALENTIN KARIME\BOMBEROS\melii\MELY\MANDATOS\MANDATO GENERAL.doc</t>
  </si>
  <si>
    <t>C:\Users\franc\OneDrive\Documentos\MALENTIN KARIME\BOMBEROS\melii\MELY\MANDATOS\MANDATO CARLO SILVA.doc</t>
  </si>
  <si>
    <t>C:\Users\franc\OneDrive\Documentos\MALENTIN KARIME\BOMBEROS\melii\MELY\DGA\JORGE CAMPOS MANQUEZ.doc</t>
  </si>
  <si>
    <t>C:\Users\franc\OneDrive\Documentos\MALENTIN KARIME\BOMBEROS\melii\MELY\DGA\GRIMALDINA VERGARA PEREZ.doc</t>
  </si>
  <si>
    <t>C:\Users\franc\OneDrive\Documentos\MALENTIN KARIME\BOMBEROS\melii\MELY\COMPRAVENTA\VTA DERECHOS COMUNIDAD.doc</t>
  </si>
  <si>
    <t>C:\Users\franc\OneDrive\Documentos\MALENTIN KARIME\BOMBEROS\melii\MELY\COMPRAVENTA\SABIONCELLO -- MALUENDA GALLARDO.doc</t>
  </si>
  <si>
    <t>C:\Users\franc\OneDrive\Documentos\MALENTIN KARIME\BOMBEROS\melii\MELY\COMPRAVENTA\HAYDEE ROJAS A JUAN ROBLES.doc</t>
  </si>
  <si>
    <t>C:\Users\franc\OneDrive\Documentos\MALENTIN KARIME\BOMBEROS\melii\MELY\COMPRAVENTA\CV VEGA VEGA.doc</t>
  </si>
  <si>
    <t>C:\Users\franc\OneDrive\Documentos\MALENTIN KARIME\BOMBEROS\melii\MELY\CESION DERECHOS HEREDITARIOS\FERNANDO SANCHES CESION DER. HERED..doc</t>
  </si>
  <si>
    <t>C:\Users\franc\OneDrive\Documentos\MALENTIN KARIME\BOMBEROS\melii\MELY\CESION DERECHOS HEREDITARIOS\BRENDA CORTES ALFARO CESION DE DER. HERED..doc</t>
  </si>
  <si>
    <t>C:\Users\franc\OneDrive\Documentos\MALENTIN KARIME\BOMBEROS\melii\MELY\CANCELACION PRECIO\CANCELACION DEMETRIO TELLO.doc</t>
  </si>
  <si>
    <t>C:\Users\franc\OneDrive\Documentos\MALENTIN KARIME\BOMBEROS\melii\MELY\ALZAMIENTOS\MIGUEL OSSA VICUÑA\II BIMESTRE\WLADIMIR CASTILLO NUÑEZ.doc</t>
  </si>
  <si>
    <t>C:\Users\franc\OneDrive\Documentos\MALENTIN KARIME\BOMBEROS\melii\MELY\ALZAMIENTOS\ALEJANDRO GYSLING POBLETE\III BIMESTRE\SERGIO SALINAS MANZANO.doc</t>
  </si>
  <si>
    <t>C:\Users\franc\OneDrive\Documentos\MALENTIN KARIME\BOMBEROS\melii\MELY\ALZAMIENTOS\ALEJANDRO GYSLING POBLETE\III BIMESTRE\KETTY VEGA JORQUERA.doc</t>
  </si>
  <si>
    <t>C:\Users\franc\OneDrive\Documentos\MALENTIN KARIME\BOMBEROS\melii\MELY\ALZAMIENTOS\ALEJANDRO GYSLING POBLETE\III BIMESTRE\GUILLERMO CLAVERIA GAETE.doc</t>
  </si>
  <si>
    <t>C:\Users\franc\OneDrive\Documentos\MALENTIN KARIME\BOMBEROS\melii\MELY\ALZAMIENTOS\ALEJANDRO GYSLING POBLETE\III BIMESTRE\ERICA DIAZ VELIZ.doc</t>
  </si>
  <si>
    <t>C:\Users\franc\OneDrive\Documentos\MALENTIN KARIME\BOMBEROS\melii\MELY\ALZAMIENTOS\ALEJANDRO GYSLING POBLETE\II BIMESTRE\VIVIANA ESCOBAR OLIVARES.doc</t>
  </si>
  <si>
    <t>C:\Users\franc\OneDrive\Documentos\MALENTIN KARIME\BOMBEROS\melii\MELY\ALZAMIENTOS\ALEJANDRO GYSLING POBLETE\II BIMESTRE\VIVIANA ARAYA VILLARROEL.doc</t>
  </si>
  <si>
    <t>C:\Users\franc\OneDrive\Documentos\MALENTIN KARIME\BOMBEROS\melii\MELY\ALZAMIENTOS\ALEJANDRO GYSLING POBLETE\II BIMESTRE\ULISES RIVADENEIRA CUEVAS.doc</t>
  </si>
  <si>
    <t>C:\Users\franc\OneDrive\Documentos\MALENTIN KARIME\BOMBEROS\melii\MELY\ALZAMIENTOS\ALEJANDRO GYSLING POBLETE\II BIMESTRE\SANDRA PIÑONES VALDIVIA.doc</t>
  </si>
  <si>
    <t>C:\Users\franc\OneDrive\Documentos\MALENTIN KARIME\BOMBEROS\melii\MELY\ALZAMIENTOS\ALEJANDRO GYSLING POBLETE\II BIMESTRE\ROSA ACOSTA VIDELA.doc</t>
  </si>
  <si>
    <t>C:\Users\franc\OneDrive\Documentos\MALENTIN KARIME\BOMBEROS\melii\MELY\ALZAMIENTOS\ALEJANDRO GYSLING POBLETE\II BIMESTRE\ROMELIO GALLEGUILLOS CORTES.doc</t>
  </si>
  <si>
    <t>C:\Users\franc\OneDrive\Documentos\MALENTIN KARIME\BOMBEROS\melii\MELY\ALZAMIENTOS\ALEJANDRO GYSLING POBLETE\II BIMESTRE\RODOLFO OLIVARES FREDES.doc</t>
  </si>
  <si>
    <t>C:\Users\franc\OneDrive\Documentos\MALENTIN KARIME\BOMBEROS\melii\MELY\ALZAMIENTOS\ALEJANDRO GYSLING POBLETE\II BIMESTRE\RAUL CARVAJAL CARVAJAL.doc</t>
  </si>
  <si>
    <t>C:\Users\franc\OneDrive\Documentos\MALENTIN KARIME\BOMBEROS\melii\MELY\ALZAMIENTOS\ALEJANDRO GYSLING POBLETE\II BIMESTRE\PATRICIA CARVAJAL BERRIOS.doc</t>
  </si>
  <si>
    <t>C:\Users\franc\OneDrive\Documentos\MALENTIN KARIME\BOMBEROS\melii\MELY\ALZAMIENTOS\ALEJANDRO GYSLING POBLETE\II BIMESTRE\OLGA ZEGERS SAN MARTIN.doc</t>
  </si>
  <si>
    <t>C:\Users\franc\OneDrive\Documentos\MALENTIN KARIME\BOMBEROS\melii\MELY\ALZAMIENTOS\ALEJANDRO GYSLING POBLETE\II BIMESTRE\NELIDA MUTARELLO VERGARA.doc</t>
  </si>
  <si>
    <t>C:\Users\franc\OneDrive\Documentos\MALENTIN KARIME\BOMBEROS\melii\MELY\ALZAMIENTOS\ALEJANDRO GYSLING POBLETE\II BIMESTRE\MISAEL SASSO RODRIGUEZ.doc</t>
  </si>
  <si>
    <t>C:\Users\franc\OneDrive\Documentos\MALENTIN KARIME\BOMBEROS\melii\MELY\ALZAMIENTOS\ALEJANDRO GYSLING POBLETE\II BIMESTRE\MAURICIO ARAYA GONZALEZ.doc</t>
  </si>
  <si>
    <t>C:\Users\franc\OneDrive\Documentos\MALENTIN KARIME\BOMBEROS\melii\MELY\ALZAMIENTOS\ALEJANDRO GYSLING POBLETE\II BIMESTRE\MARIA LEON  LUCO.doc</t>
  </si>
  <si>
    <t>C:\Users\franc\OneDrive\Documentos\MALENTIN KARIME\BOMBEROS\melii\MELY\ALZAMIENTOS\ALEJANDRO GYSLING POBLETE\II BIMESTRE\MARCO CARVAJAL ORTIZ.doc</t>
  </si>
  <si>
    <t>C:\Users\franc\OneDrive\Documentos\MALENTIN KARIME\BOMBEROS\melii\MELY\ALZAMIENTOS\ALEJANDRO GYSLING POBLETE\II BIMESTRE\MARCIA OLIVARES CAMUS.doc</t>
  </si>
  <si>
    <t>C:\Users\franc\OneDrive\Documentos\MALENTIN KARIME\BOMBEROS\melii\MELY\ALZAMIENTOS\ALEJANDRO GYSLING POBLETE\II BIMESTRE\MACARENA ZEPEDA AGUIRRE.doc</t>
  </si>
  <si>
    <t>C:\Users\franc\OneDrive\Documentos\MALENTIN KARIME\BOMBEROS\melii\MELY\ALZAMIENTOS\ALEJANDRO GYSLING POBLETE\II BIMESTRE\LUIS ALVAREZ JOPIA.doc</t>
  </si>
  <si>
    <t>C:\Users\franc\OneDrive\Documentos\MALENTIN KARIME\BOMBEROS\melii\MELY\ALZAMIENTOS\ALEJANDRO GYSLING POBLETE\II BIMESTRE\LAURA ASTUDILLO ROJAS.doc</t>
  </si>
  <si>
    <t>C:\Users\franc\OneDrive\Documentos\MALENTIN KARIME\BOMBEROS\melii\MELY\ALZAMIENTOS\ALEJANDRO GYSLING POBLETE\II BIMESTRE\JUAN ADAOS PIZARRO.doc</t>
  </si>
  <si>
    <t>C:\Users\franc\OneDrive\Documentos\MALENTIN KARIME\BOMBEROS\melii\MELY\ALZAMIENTOS\ALEJANDRO GYSLING POBLETE\II BIMESTRE\JOEL INOSTROZA SALAZAR.doc</t>
  </si>
  <si>
    <t>C:\Users\franc\OneDrive\Documentos\MALENTIN KARIME\BOMBEROS\melii\MELY\ALZAMIENTOS\ALEJANDRO GYSLING POBLETE\II BIMESTRE\IRENE ARACENA ARAYA.doc</t>
  </si>
  <si>
    <t>C:\Users\franc\OneDrive\Documentos\MALENTIN KARIME\BOMBEROS\melii\MELY\ALZAMIENTOS\ALEJANDRO GYSLING POBLETE\II BIMESTRE\HUMBERTO HERRERA GONZALEZ.doc</t>
  </si>
  <si>
    <t>C:\Users\franc\OneDrive\Documentos\MALENTIN KARIME\BOMBEROS\melii\MELY\ALZAMIENTOS\ALEJANDRO GYSLING POBLETE\II BIMESTRE\HECTOR VEGA CHACANA.doc</t>
  </si>
  <si>
    <t>C:\Users\franc\OneDrive\Documentos\MALENTIN KARIME\BOMBEROS\melii\MELY\ALZAMIENTOS\ALEJANDRO GYSLING POBLETE\II BIMESTRE\HECTOR ORLANDO GOMEZ.doc</t>
  </si>
  <si>
    <t>C:\Users\franc\OneDrive\Documentos\MALENTIN KARIME\BOMBEROS\melii\MELY\ALZAMIENTOS\ALEJANDRO GYSLING POBLETE\II BIMESTRE\CLAUDIA CARMONA ALVAREZ.doc</t>
  </si>
  <si>
    <t>C:\Users\franc\OneDrive\Documentos\MALENTIN KARIME\BOMBEROS\melii\MELY\ALZAMIENTOS\ALEJANDRO GYSLING POBLETE\II BIMESTRE\ALICIA CARVAJAL MOLINA.doc</t>
  </si>
  <si>
    <t>C:\Users\franc\OneDrive\Documentos\MALENTIN KARIME\BOMBEROS\melii\MELY\ALZAMIENTOS\RECTIFICACION ALZAMIENTO.doc</t>
  </si>
  <si>
    <t>C:\Users\franc\OneDrive\Documentos\MALENTIN KARIME\BOMBEROS\melii\MELY\ALZAMIENTOS\RECTIF. LUISA CORTES ASTUDILLO.doc</t>
  </si>
  <si>
    <t>C:\Users\franc\OneDrive\Documentos\MALENTIN KARIME\BOMBEROS\melii\MELY\PRORROGA Y RECTIFICACION ALEGRIA.doc</t>
  </si>
  <si>
    <t>C:\Users\franc\OneDrive\Documentos\MALENTIN KARIME\BOMBEROS\melii\MELY\PACTO DE DIVISION HEREDITARIOS.doc</t>
  </si>
  <si>
    <t>C:\Users\franc\OneDrive\Documentos\MALENTIN KARIME\BOMBEROS\melii\MELY\P A G A R É.doc</t>
  </si>
  <si>
    <t>C:\Users\franc\OneDrive\Documentos\MALENTIN KARIME\BOMBEROS\melii\MELY\OLGA BUGUEÑO MUÑOZ.doc</t>
  </si>
  <si>
    <t>C:\Users\franc\OneDrive\Documentos\MALENTIN KARIME\BOMBEROS\melii\MELY\DOMICILIO.doc</t>
  </si>
  <si>
    <t>C:\Users\franc\OneDrive\Documentos\MALENTIN KARIME\BOMBEROS\melii\MELY\DERECHO REAL DE USO COMUNIDAD.doc</t>
  </si>
  <si>
    <t>C:\Users\franc\OneDrive\Documentos\MALENTIN KARIME\BOMBEROS\melii\MELY\CONTRATO ARRENDAMIENTO Y APROV. DE AGUAS.doc</t>
  </si>
  <si>
    <t>C:\Users\franc\OneDrive\Documentos\MALENTIN KARIME\BOMBEROS\melii\MELY\COMPL. AGRIC. FUENSANTA LTDA A AGRIC. TRES CASAS LTDA.doc</t>
  </si>
  <si>
    <t>C:\Users\franc\OneDrive\Documentos\MALENTIN KARIME\BOMBEROS\melii\MELY\COM. AGRIC. PUNITAQUI-- NARANJO TABILO.doc</t>
  </si>
  <si>
    <t>C:\Users\franc\OneDrive\Documentos\MALENTIN KARIME\BOMBEROS\BOMBEROS 8º COMPAÑIA OVALLE  FS 82 v.doc</t>
  </si>
  <si>
    <t>C:\Users\franc\OneDrive\Documentos\MALENTIN KARIME\BOMBEROS\BOMBEROS 7º COMPAÑIA OVALLE  FS 89 v.doc</t>
  </si>
  <si>
    <t>C:\Users\franc\OneDrive\Documentos\MALENTIN KARIME\BOMBEROS\AUTORIZA COPIA.doc</t>
  </si>
  <si>
    <t>C:\Users\franc\OneDrive\Documentos\MALENTIN KARIME\BIENES MUEBLES\SILVIA CERDA MADRID a FRANCISCO TORREJON Bienes Muebles.doc</t>
  </si>
  <si>
    <t>C:\Users\franc\OneDrive\Documentos\MALENTIN KARIME\BIENES MUEBLES\Inventario[1].doc</t>
  </si>
  <si>
    <t>C:\Users\franc\OneDrive\Documentos\MALENTIN KARIME\BIENES MUEBLES\INVENTARIO MENAJE DE FAMILIA DEL SOLAR.doc</t>
  </si>
  <si>
    <t>C:\Users\franc\OneDrive\Documentos\MALENTIN KARIME\BIENES MUEBLES\EDUARDO SELEME con Leonardo Fredes.doc</t>
  </si>
  <si>
    <t>C:\Users\franc\OneDrive\Documentos\MALENTIN KARIME\BIENES MUEBLES\CRISTINA FUENTES A LUCY CORTES.doc</t>
  </si>
  <si>
    <t>C:\Users\franc\OneDrive\Documentos\MALENTIN KARIME\BIENES MUEBLES\ARTURO LAGUNA A ANGELINA GUZMAN.doc</t>
  </si>
  <si>
    <t>C:\Users\franc\OneDrive\Documentos\MALENTIN KARIME\BCI\CARLOS URETA CORTES Alz.doc</t>
  </si>
  <si>
    <t>C:\Users\franc\OneDrive\Documentos\MALENTIN KARIME\BANCO SCOTIABANK\HIPOTECA\RAMON LUNA Rectificacion.doc</t>
  </si>
  <si>
    <t>C:\Users\franc\OneDrive\Documentos\MALENTIN KARIME\BANCO SCOTIABANK\HIPOTECA\RAMON LUNA Rectificacion visto bueno BCI.doc</t>
  </si>
  <si>
    <t>C:\Users\franc\OneDrive\Documentos\MALENTIN KARIME\BANCO SCOTIABANK\HIPOTECA\RAMON LUNA instrucciones.doc</t>
  </si>
  <si>
    <t>C:\Users\franc\OneDrive\Documentos\MALENTIN KARIME\BANCO SCOTIABANK\HIPOTECA\RAMON LUNA escritura.doc</t>
  </si>
  <si>
    <t>C:\Users\franc\OneDrive\Documentos\MALENTIN KARIME\BANCO SCOTIABANK\HIPOTECA\RAMON LUNA escritura FINAL.doc</t>
  </si>
  <si>
    <t>C:\Users\franc\OneDrive\Documentos\MALENTIN KARIME\BANCO SCOTIABANK\HIPOTECA\RAMON LUNA escritura FINAL visto bueno.doc</t>
  </si>
  <si>
    <t>C:\Users\franc\OneDrive\Documentos\MALENTIN KARIME\BANCO SCOTIABANK\HIPOTECA\RAMON LUNA Abogado.doc</t>
  </si>
  <si>
    <t>C:\Users\franc\OneDrive\Documentos\MALENTIN KARIME\BANCO SCOTIABANK\AREA LEASING\Uberlinda Cortes Robles2017.doc</t>
  </si>
  <si>
    <t>C:\Users\franc\OneDrive\Documentos\MALENTIN KARIME\BANCO SCOTIABANK\AREA LEASING\CORMAR LTDA..doc</t>
  </si>
  <si>
    <t>C:\Users\franc\OneDrive\Documentos\MALENTIN KARIME\BANCO SCOTIABANK\VALLE TULAHUEN Prenda.doc</t>
  </si>
  <si>
    <t>C:\Users\franc\OneDrive\Documentos\MALENTIN KARIME\BANCO SCOTIABANK\TADEO CASTAÑON Alzamiento.doc</t>
  </si>
  <si>
    <t>C:\Users\franc\OneDrive\Documentos\MALENTIN KARIME\BANCO SCOTIABANK\SALVADOR CASTILLO HONORES Prenda Marzo.doc</t>
  </si>
  <si>
    <t>C:\Users\franc\OneDrive\Documentos\MALENTIN KARIME\BANCO SCOTIABANK\Pedro Muñoz Cisternas y otra.doc</t>
  </si>
  <si>
    <t>C:\Users\franc\OneDrive\Documentos\MALENTIN KARIME\BANCO SCOTIABANK\Pedro Muñoz Cisternas y otra C RESGUARDO.doc</t>
  </si>
  <si>
    <t>C:\Users\franc\OneDrive\Documentos\MALENTIN KARIME\BANCO SCOTIABANK\PABLO CORRAL RIVEROS.doc</t>
  </si>
  <si>
    <t>C:\Users\franc\OneDrive\Documentos\MALENTIN KARIME\BANCO SCOTIABANK\OGUER CAMPUSANO PINTO Prenda.doc</t>
  </si>
  <si>
    <t>C:\Users\franc\OneDrive\Documentos\MALENTIN KARIME\BANCO SCOTIABANK\modelo ALZAMIENTO 2013.doc</t>
  </si>
  <si>
    <t>C:\Users\franc\OneDrive\Documentos\MALENTIN KARIME\BANCO SCOTIABANK\MARIA HERNANDEZ ORELLANA Alza.doc</t>
  </si>
  <si>
    <t>C:\Users\franc\OneDrive\Documentos\MALENTIN KARIME\BANCO SCOTIABANK\JUAN DIAZ BUGUEÑO Alzamiento.doc</t>
  </si>
  <si>
    <t>C:\Users\franc\OneDrive\Documentos\MALENTIN KARIME\BANCO SCOTIABANK\GABRIEL JIMENEZ ROJAS.doc</t>
  </si>
  <si>
    <t>C:\Users\franc\OneDrive\Documentos\MALENTIN KARIME\BANCO SCOTIABANK\GABRIEL JIMENEZ ROJAS carta Resguardo.doc</t>
  </si>
  <si>
    <t>C:\Users\franc\OneDrive\Documentos\MALENTIN KARIME\BANCO SCOTIABANK\FITO MENDEZ Alzamiento.doc</t>
  </si>
  <si>
    <t>C:\Users\franc\OneDrive\Documentos\MALENTIN KARIME\BANCO SCOTIABANK\F 24BRIAN RIVAS.doc</t>
  </si>
  <si>
    <t>C:\Users\franc\OneDrive\Documentos\MALENTIN KARIME\BANCO SCOTIABANK\F 24 GABRIEL JIMENEZ.doc</t>
  </si>
  <si>
    <t>C:\Users\franc\OneDrive\Documentos\MALENTIN KARIME\BANCO SCOTIABANK\DOBLE M Y PEDRO MUNOZ Y OTRA.doc</t>
  </si>
  <si>
    <t>C:\Users\franc\OneDrive\Documentos\MALENTIN KARIME\BANCO SCOTIABANK\CRISTINA BARRAZA FLORES Prenda.doc</t>
  </si>
  <si>
    <t>C:\Users\franc\OneDrive\Documentos\MALENTIN KARIME\BANCO SCOTIABANK\CONSTRUCCIONES Y RIEGO S.A..doc</t>
  </si>
  <si>
    <t>C:\Users\franc\OneDrive\Documentos\MALENTIN KARIME\BANCO SCOTIABANK\CLARA CONEJEROS ROMERO Alza.doc</t>
  </si>
  <si>
    <t>C:\Users\franc\OneDrive\Documentos\MALENTIN KARIME\BANCO SCOTIABANK\ALICIA GALLEGUILLOS.doc</t>
  </si>
  <si>
    <t>C:\Users\franc\OneDrive\Documentos\MALENTIN KARIME\BANCO SCOTIABANK\AGROIND Y COMERC ALBERTO AGUIRRE Alzam.doc</t>
  </si>
  <si>
    <t>C:\Users\franc\OneDrive\Documentos\MALENTIN KARIME\BANCO SCOTIABANK\ABIGAIL SEGOVIA MIRANDA.doc</t>
  </si>
  <si>
    <t>C:\Users\franc\OneDrive\Documentos\MALENTIN KARIME\BANCO SANTANDER\2018\RODRIGO ROJAS ZEPEDA Cvta cambio y cambio del banco alzante.doc</t>
  </si>
  <si>
    <t>C:\Users\franc\OneDrive\Documentos\MALENTIN KARIME\BANCO SANTANDER\2018\RODRIGO ROJAS ZEPEDA Cvta cambio de agente.doc</t>
  </si>
  <si>
    <t>C:\Users\franc\OneDrive\Documentos\MALENTIN KARIME\BANCO SANTANDER\2018\RODRIGO ROJAS ZEPEDA Cvga.doc</t>
  </si>
  <si>
    <t>C:\Users\franc\OneDrive\Documentos\MALENTIN KARIME\BANCO SANTANDER\2018\ROBERTO PABLO MENESES GONZALEZ escritura FFGG (VR).doc</t>
  </si>
  <si>
    <t>C:\Users\franc\OneDrive\Documentos\MALENTIN KARIME\BANCO SANTANDER\2018\ROBERTO PABLO MENESES GONZALEZ escritura FFGG (VR) con cambios agente.doc</t>
  </si>
  <si>
    <t>C:\Users\franc\OneDrive\Documentos\MALENTIN KARIME\BANCO SANTANDER\2018\ROBERTO MENESES GONZALES  Vivienda (VR).doc</t>
  </si>
  <si>
    <t>C:\Users\franc\OneDrive\Documentos\MALENTIN KARIME\BANCO SANTANDER\2018\ROBERTO MENESES GONZALES  Vivienda (VR) cambio de agente.doc</t>
  </si>
  <si>
    <t>C:\Users\franc\OneDrive\Documentos\MALENTIN KARIME\BANCO SANTANDER\2018\Meneses Gonzalez, Roberto Pablo - Vivienda (VR).doc</t>
  </si>
  <si>
    <t>C:\Users\franc\OneDrive\Documentos\MALENTIN KARIME\BANCO SANTANDER\2018\Meneses Gonzalez, Roberto Pablo - FFGG (VR).doc</t>
  </si>
  <si>
    <t>C:\Users\franc\OneDrive\Documentos\MALENTIN KARIME\BANCO SANTANDER\2018\firma.doc</t>
  </si>
  <si>
    <t>C:\Users\franc\OneDrive\Documentos\MALENTIN KARIME\BANCO SANTANDER\2018\F 24 ALOJA.doc</t>
  </si>
  <si>
    <t>C:\Users\franc\OneDrive\Documentos\MALENTIN KARIME\BANCO SANTANDER\2018\BORRADOR. ALOJA EXPRESA SpA. 76.558.147-8.doc</t>
  </si>
  <si>
    <t>C:\Users\franc\OneDrive\Documentos\MALENTIN KARIME\BANCO SANTANDER\2018\ALOJA EXPRESS SPA.doc</t>
  </si>
  <si>
    <t>C:\Users\franc\OneDrive\Documentos\MALENTIN KARIME\BANCO SANTANDER\2017\VELIZ ADONES Carlos CIUDAD DEL ENCANTO I TASA FIJA SUBSIDIO.doc</t>
  </si>
  <si>
    <t>C:\Users\franc\OneDrive\Documentos\MALENTIN KARIME\BANCO SANTANDER\2017\Varas Segovia, Juan Ramon (VR).doc</t>
  </si>
  <si>
    <t>C:\Users\franc\OneDrive\Documentos\MALENTIN KARIME\BANCO SANTANDER\2017\TELLO URRUTIA Jessica CIUDAD DEL ENCANTO I TASA FIJA SUBSIDIO.doc</t>
  </si>
  <si>
    <t>C:\Users\franc\OneDrive\Documentos\MALENTIN KARIME\BANCO SANTANDER\2017\MARIO TAPIA A Inmobiliaria Limari.doc</t>
  </si>
  <si>
    <t>C:\Users\franc\OneDrive\Documentos\MALENTIN KARIME\BANCO SANTANDER\2017\JUAN VARAS SEGOVIA.doc</t>
  </si>
  <si>
    <t>C:\Users\franc\OneDrive\Documentos\MALENTIN KARIME\BANCO SANTANDER\2017\JESSICA TELLO URRUTIA Armas.doc</t>
  </si>
  <si>
    <t>C:\Users\franc\OneDrive\Documentos\MALENTIN KARIME\BANCO SANTANDER\2017\GUSTAVO POZO Escritura.doc</t>
  </si>
  <si>
    <t>C:\Users\franc\OneDrive\Documentos\MALENTIN KARIME\BANCO SANTANDER\2017\CVM tasa fija Jessica Tello-Inmob. Cuidad El Encanto I.pdf</t>
  </si>
  <si>
    <t>C:\Users\franc\OneDrive\Documentos\MALENTIN KARIME\BANCO SANTANDER\2017\CVM e Hipoteca Carlos Véliz - Inmob. Ciudad del Encanto I.pdf</t>
  </si>
  <si>
    <t>C:\Users\franc\OneDrive\Documentos\MALENTIN KARIME\BANCO SANTANDER\2016\PATRICIO E POLANCO DABED Alza.doc</t>
  </si>
  <si>
    <t>C:\Users\franc\OneDrive\Documentos\MALENTIN KARIME\BANCO SANTANDER\2016\JOSE RODRIGUEZ FLORES para visto bueno.doc</t>
  </si>
  <si>
    <t>C:\Users\franc\OneDrive\Documentos\MALENTIN KARIME\BANCO SANTANDER\2016\JOSE RODRIGUEZ FLORES Banco Santander.doc</t>
  </si>
  <si>
    <t>C:\Users\franc\OneDrive\Documentos\MALENTIN KARIME\BANCO SANTANDER\2015\RIO LIMARI Y Omar Carvajal.doc</t>
  </si>
  <si>
    <t>C:\Users\franc\OneDrive\Documentos\MALENTIN KARIME\BANCO SANTANDER\2015\RIO LIMARI Y Jorge Tello Aranda.doc</t>
  </si>
  <si>
    <t>C:\Users\franc\OneDrive\Documentos\MALENTIN KARIME\BANCO SANTANDER\2015\RIO LIMARI Y Bernardo Veliz.doc</t>
  </si>
  <si>
    <t>C:\Users\franc\OneDrive\Documentos\MALENTIN KARIME\BANCO SANTANDER\2015\RIO LIMARI modelo.doc</t>
  </si>
  <si>
    <t>C:\Users\franc\OneDrive\Documentos\MALENTIN KARIME\BANCO SANTANDER\2015\Omar Carvajal.doc</t>
  </si>
  <si>
    <t>C:\Users\franc\OneDrive\Documentos\MALENTIN KARIME\BANCO SANTANDER\2015\OMAR CARVAJAL Visto Bueno.doc</t>
  </si>
  <si>
    <t>C:\Users\franc\OneDrive\Documentos\MALENTIN KARIME\BANCO SANTANDER\2015\OMAR CARVAJAL JUNIO ESCRITURA.doc</t>
  </si>
  <si>
    <t>C:\Users\franc\OneDrive\Documentos\MALENTIN KARIME\BANCO SANTANDER\2015\OMAR CARVAJAL JUNIO ESCRITURA visto bueno.doc</t>
  </si>
  <si>
    <t>C:\Users\franc\OneDrive\Documentos\MALENTIN KARIME\BANCO SANTANDER\2015\OMAR CARVAJAL JUNIO Borrador.doc</t>
  </si>
  <si>
    <t>C:\Users\franc\OneDrive\Documentos\MALENTIN KARIME\BANCO SANTANDER\2015\OMAR CARVAJAL CASTRO Carta Resguardo 2015 Junio.doc</t>
  </si>
  <si>
    <t>C:\Users\franc\OneDrive\Documentos\MALENTIN KARIME\BANCO SANTANDER\2015\JORGE TELLO ARANDA  Visto Bueno.doc</t>
  </si>
  <si>
    <t>C:\Users\franc\OneDrive\Documentos\MALENTIN KARIME\BANCO SANTANDER\2015\JORGE TELLO ARANDA  Visto Bueno con Correcciones de regreso.doc</t>
  </si>
  <si>
    <t>C:\Users\franc\OneDrive\Documentos\MALENTIN KARIME\BANCO SANTANDER\2015\F 24 Jose Rodriguezdoc.doc</t>
  </si>
  <si>
    <t>C:\Users\franc\OneDrive\Documentos\MALENTIN KARIME\BANCO SANTANDER\2015\F 24 Jorge Tello.doc</t>
  </si>
  <si>
    <t>C:\Users\franc\OneDrive\Documentos\MALENTIN KARIME\BANCO SANTANDER\2015\F 24 Bernardo Veliz.doc</t>
  </si>
  <si>
    <t>C:\Users\franc\OneDrive\Documentos\MALENTIN KARIME\BANCO SANTANDER\2015\COVALSA Aclarcion hipoteca.doc</t>
  </si>
  <si>
    <t>C:\Users\franc\OneDrive\Documentos\MALENTIN KARIME\BANCO SANTANDER\2015\Carta Resguardo JORGE TELLO ARANDA.doc</t>
  </si>
  <si>
    <t>C:\Users\franc\OneDrive\Documentos\MALENTIN KARIME\BANCO SANTANDER\2015\Carta Resguardo BERNARDO VELIZ CASTRO.doc</t>
  </si>
  <si>
    <t>C:\Users\franc\OneDrive\Documentos\MALENTIN KARIME\BANCO SANTANDER\2015\CANTA RANA Y TALQUILLA Fianza 2015.doc</t>
  </si>
  <si>
    <t>C:\Users\franc\OneDrive\Documentos\MALENTIN KARIME\BANCO SANTANDER\2015\Bernardo Veliz.doc</t>
  </si>
  <si>
    <t>C:\Users\franc\OneDrive\Documentos\MALENTIN KARIME\BANCO SANTANDER\2015\BERNARDO VELIZ  Visto Bueno.doc</t>
  </si>
  <si>
    <t>C:\Users\franc\OneDrive\Documentos\MALENTIN KARIME\BANCO SANTANDER\2015\BERNARDO VELIZ  Visto Bueno correcciones de la abogada.doc</t>
  </si>
  <si>
    <t>C:\Users\franc\OneDrive\Documentos\MALENTIN KARIME\BANCO SANTANDER\2014\SERVICIOS Caffarena e.i.r.l. FIANZA Y CODEUDA SOLIDARIA  01.12.14.doc</t>
  </si>
  <si>
    <t>C:\Users\franc\OneDrive\Documentos\MALENTIN KARIME\BANCO SANTANDER\2014\ROBERTO VEGA ALCAYAGA LOTE 4.doc</t>
  </si>
  <si>
    <t>C:\Users\franc\OneDrive\Documentos\MALENTIN KARIME\BANCO SANTANDER\2014\personeria SANTANDER.doc</t>
  </si>
  <si>
    <t>C:\Users\franc\OneDrive\Documentos\MALENTIN KARIME\BANCO SANTANDER\2014\MARIA PEÑAFIEL SALAS Maria Ines.doc</t>
  </si>
  <si>
    <t>C:\Users\franc\OneDrive\Documentos\MALENTIN KARIME\BANCO SANTANDER\2014\LUIS PROHENS VILLALON Alzamiento Correjido.docx</t>
  </si>
  <si>
    <t>C:\Users\franc\OneDrive\Documentos\MALENTIN KARIME\BANCO SANTANDER\2014\JUAN OCIEL PORTILLA ALBURQUENQUE - FIANZA (1).doc</t>
  </si>
  <si>
    <t>C:\Users\franc\OneDrive\Documentos\MALENTIN KARIME\BANCO SANTANDER\2014\JUAN OCIEL PORTILLA ALBURQUENQUE - FIANZA (1) visto bueno.doc</t>
  </si>
  <si>
    <t>C:\Users\franc\OneDrive\Documentos\MALENTIN KARIME\BANCO SANTANDER\2014\HUGO ARAYA LARRAIN Maria Ines.doc</t>
  </si>
  <si>
    <t>C:\Users\franc\OneDrive\Documentos\MALENTIN KARIME\BANCO SANTANDER\2014\FIANZA Maria Paz Julio 14.doc</t>
  </si>
  <si>
    <t>C:\Users\franc\OneDrive\Documentos\MALENTIN KARIME\BANCO SANTANDER\2014\CLAUDIO CONTRERAS RAMIREZ, SUPERMERCADO Fianza Final Nueva.doc</t>
  </si>
  <si>
    <t>C:\Users\franc\OneDrive\Documentos\MALENTIN KARIME\BANCO SANTANDER\2014\CLAUDIO CONTRERAS RAMIREZ Supermercado y BANCO SANTADER Julio 14.doc</t>
  </si>
  <si>
    <t>C:\Users\franc\OneDrive\Documentos\MALENTIN KARIME\BANCO SANTANDER\2014\CLAUDIO CONTRERAS RAMIREZ Supermercado y BANCO SANTADER  NUEVA DE OCTUBRE.doc</t>
  </si>
  <si>
    <t>C:\Users\franc\OneDrive\Documentos\MALENTIN KARIME\BANCO SANTANDER\2014\CLAUDIO CONTRERAS RAMIREZ Supermercado NUEVA DE OCTUBRE.doc</t>
  </si>
  <si>
    <t>C:\Users\franc\OneDrive\Documentos\MALENTIN KARIME\BANCO SANTANDER\2014\CLAUDIO CONTRERAS RAMIREZ Fianza.doc</t>
  </si>
  <si>
    <t>C:\Users\franc\OneDrive\Documentos\MALENTIN KARIME\BANCO SANTANDER\2014\CARLOS ROJAS SALINAS  26.11.14 FIANZA.doc</t>
  </si>
  <si>
    <t>C:\Users\franc\OneDrive\Documentos\MALENTIN KARIME\BANCO SANTANDER\William Escobar FIANZA Y CODEUDA SOLIDARIA.doc</t>
  </si>
  <si>
    <t>C:\Users\franc\OneDrive\Documentos\MALENTIN KARIME\BANCO SANTANDER\ROBERTO VEGA ALCAYAGA Fianza Oct 13.doc</t>
  </si>
  <si>
    <t>C:\Users\franc\OneDrive\Documentos\MALENTIN KARIME\BANCO SANTANDER\PERSONERIAS BCI OVALLE 2012.doc</t>
  </si>
  <si>
    <t>C:\Users\franc\OneDrive\Documentos\MALENTIN KARIME\BANCO SANTANDER\PERSONERIAS   BCI    OVALLE 2014.doc</t>
  </si>
  <si>
    <t>C:\Users\franc\OneDrive\Documentos\MALENTIN KARIME\BANCO SANTANDER\PATRICIA ARAYA PIZARRO Fianza.doc</t>
  </si>
  <si>
    <t>C:\Users\franc\OneDrive\Documentos\MALENTIN KARIME\BANCO SANTANDER\minuta.doc</t>
  </si>
  <si>
    <t>C:\Users\franc\OneDrive\Documentos\MALENTIN KARIME\BANCO SANTANDER\MARIA INES Complementacion.doc</t>
  </si>
  <si>
    <t>C:\Users\franc\OneDrive\Documentos\MALENTIN KARIME\BANCO SANTANDER\MARIA INES Aclaracion Arriendo.doc</t>
  </si>
  <si>
    <t>C:\Users\franc\OneDrive\Documentos\MALENTIN KARIME\BANCO SANTANDER\JACQUELINE CASTRO Aclaracion M Ines.doc</t>
  </si>
  <si>
    <t>C:\Users\franc\OneDrive\Documentos\MALENTIN KARIME\BANCO SANTANDER\HUGO CORDOVA OYABAN HIPOTECA  visto bueno.doc</t>
  </si>
  <si>
    <t>C:\Users\franc\OneDrive\Documentos\MALENTIN KARIME\BANCO SANTANDER\HUGO CORDOVA OYABAN HIPOTECA  16.09.13.doc</t>
  </si>
  <si>
    <t>C:\Users\franc\OneDrive\Documentos\MALENTIN KARIME\BANCO SANTANDER\HIPOTECA  16.09.13.doc</t>
  </si>
  <si>
    <t>C:\Users\franc\OneDrive\Documentos\MALENTIN KARIME\BANCO SANTANDER\FRANCISCO RODRIGUEZ RODRIGUEZ.doc</t>
  </si>
  <si>
    <t>C:\Users\franc\OneDrive\Documentos\MALENTIN KARIME\BANCO SANTANDER\FRANCISCO JAVIER UBILLA MARTINEZ_FIANZA_Y_CODEUDA_SOLIDARIA (1)fnal.doc</t>
  </si>
  <si>
    <t>C:\Users\franc\OneDrive\Documentos\MALENTIN KARIME\BANCO SANTANDER\FRANCISCO JAVIER UBILLA MARTINEZ_FIANZA_Y_CODEUDA_SOLIDARIA (1)fnal revision.doc</t>
  </si>
  <si>
    <t>C:\Users\franc\OneDrive\Documentos\MALENTIN KARIME\BANCO SANTANDER\FRANCISCO JAVIER UBILLA MARTINEZ_FIANZA_Y_CODEUDA_SOLIDARIA (1).doc</t>
  </si>
  <si>
    <t>C:\Users\franc\OneDrive\Documentos\MALENTIN KARIME\BANCO SANTANDER\FIANZA Y CODEUDA SOLIDARIA 30.09.13.doc</t>
  </si>
  <si>
    <t>C:\Users\franc\OneDrive\Documentos\MALENTIN KARIME\BANCO SANTANDER\F24 Roberto Meneses Gonzalez.doc</t>
  </si>
  <si>
    <t>C:\Users\franc\OneDrive\Documentos\MALENTIN KARIME\BANCO SANTANDER\F24 Juan varas segovia.doc</t>
  </si>
  <si>
    <t>C:\Users\franc\OneDrive\Documentos\MALENTIN KARIME\BANCO SANTANDER\CONSTANZA DE LOS ANGELES eirl.doc</t>
  </si>
  <si>
    <t>C:\Users\franc\OneDrive\Documentos\MALENTIN KARIME\BANCO SANTANDER\CLAUDIO CONTRERAS RAMIREZ Fianza.doc</t>
  </si>
  <si>
    <t>C:\Users\franc\OneDrive\Documentos\MALENTIN KARIME\BANCO SANTANDER\AGRICOLA Y FRIGORIFICO SANTA ADRIANA prenda.doc</t>
  </si>
  <si>
    <t>C:\Users\franc\OneDrive\Documentos\MALENTIN KARIME\BANCO SANTANDER\AGRICOLA Y FRIGORIFICO SANTA ADRIANA instrucciones.doc</t>
  </si>
  <si>
    <t>C:\Users\franc\OneDrive\Documentos\MALENTIN KARIME\BANCO SANTANDER\AGRICOLA Y FRIGORIFICO SANTA ADRIANA Hipoteca.doc</t>
  </si>
  <si>
    <t>C:\Users\franc\OneDrive\Documentos\MALENTIN KARIME\BANCO SANTANDER\AGRICOLA Y FRIGORIFICO SANTA ADRIANA Hipoteca Aclaracion.doc</t>
  </si>
  <si>
    <t>C:\Users\franc\OneDrive\Documentos\MALENTIN KARIME\BANCO ESTADO\promesas\RIGOBERTO COLLAO ALANIZ.doc</t>
  </si>
  <si>
    <t>C:\Users\franc\OneDrive\Documentos\MALENTIN KARIME\BANCO ESTADO\promesas\PEDRO ANTONIO COLLAO ALANIZ.doc</t>
  </si>
  <si>
    <t>C:\Users\franc\OneDrive\Documentos\MALENTIN KARIME\BANCO ESTADO\promesas\LUIS ERNESTO COLLAO FLORES.doc</t>
  </si>
  <si>
    <t>C:\Users\franc\OneDrive\Documentos\MALENTIN KARIME\BANCO ESTADO\promesas\JUAN MAURICIO RAMÍREZ COLLAO.doc</t>
  </si>
  <si>
    <t>C:\Users\franc\OneDrive\Documentos\MALENTIN KARIME\BANCO ESTADO\promesas\HUGO ALBERTO COLLAO ALANIZ.doc</t>
  </si>
  <si>
    <t>C:\Users\franc\OneDrive\Documentos\MALENTIN KARIME\BANCO ESTADO\promesas\CHRISTIAN ERNESTO COLLAO VALENZUELA.doc</t>
  </si>
  <si>
    <t>C:\Users\franc\OneDrive\Documentos\MALENTIN KARIME\BANCO ESTADO\ALZAMIENTO\MARIO ARAYA VEGA Prenda Alz 2018.doc</t>
  </si>
  <si>
    <t>C:\Users\franc\OneDrive\Documentos\MALENTIN KARIME\BANCO ESTADO\ALZAMIENTO\LILIAN MIRANDA H.doc</t>
  </si>
  <si>
    <t>C:\Users\franc\OneDrive\Documentos\MALENTIN KARIME\BANCO ESTADO\ALZAMIENTO\GABRIEL PIZARRO PIZARRO nuevo2017.doc</t>
  </si>
  <si>
    <t>C:\Users\franc\OneDrive\Documentos\MALENTIN KARIME\BANCO ESTADO\ALZAMIENTO\GABRIEL PIZARRO PIZARRO 2017.doc</t>
  </si>
  <si>
    <t>C:\Users\franc\OneDrive\Documentos\MALENTIN KARIME\BANCO ESTADO\ALZAMIENTO\CHRISTIAN AGUIRRE BASULTO 2018.doc</t>
  </si>
  <si>
    <t>C:\Users\franc\OneDrive\Documentos\MALENTIN KARIME\BANCO ESTADO\ALZAMIENTO\ALINA ARDILES.doc</t>
  </si>
  <si>
    <t>C:\Users\franc\OneDrive\Documentos\MALENTIN KARIME\BANCO ESTADO\2012 DEPTO ESCRITURAS fata\NOTARIA 2009\YO\cmhtf hfpc.doc</t>
  </si>
  <si>
    <t>C:\Users\franc\OneDrive\Documentos\MALENTIN KARIME\BANCO ESTADO\2012 DEPTO ESCRITURAS fata\NOTARIA 2009\VTR\RICARDO RISI  TERMINO ARRIENDO.doc</t>
  </si>
  <si>
    <t>C:\Users\franc\OneDrive\Documentos\MALENTIN KARIME\BANCO ESTADO\2012 DEPTO ESCRITURAS fata\NOTARIA 2009\VTR\PODER ESPECIAL.doc</t>
  </si>
  <si>
    <t>C:\Users\franc\OneDrive\Documentos\MALENTIN KARIME\BANCO ESTADO\2012 DEPTO ESCRITURAS fata\NOTARIA 2009\VTR\DECLARACION.DOC</t>
  </si>
  <si>
    <t>C:\Users\franc\OneDrive\Documentos\MALENTIN KARIME\BANCO ESTADO\2012 DEPTO ESCRITURAS fata\NOTARIA 2009\VTR\ARRENDAMIENTO - COM. EL POTRERO.doc</t>
  </si>
  <si>
    <t>C:\Users\franc\OneDrive\Documentos\MALENTIN KARIME\BANCO ESTADO\2012 DEPTO ESCRITURAS fata\NOTARIA 2009\VIVACOP\SERGIO CANIHUANTE  PET.doc</t>
  </si>
  <si>
    <t>C:\Users\franc\OneDrive\Documentos\MALENTIN KARIME\BANCO ESTADO\2012 DEPTO ESCRITURAS fata\NOTARIA 2009\VIVACOP\OSCAR CORTES CORTES.doc</t>
  </si>
  <si>
    <t>C:\Users\franc\OneDrive\Documentos\MALENTIN KARIME\BANCO ESTADO\2012 DEPTO ESCRITURAS fata\NOTARIA 2009\VIVACOP\MARIA CONTRERAS VEGA.doc</t>
  </si>
  <si>
    <t>C:\Users\franc\OneDrive\Documentos\MALENTIN KARIME\BANCO ESTADO\2012 DEPTO ESCRITURAS fata\NOTARIA 2009\VERONICA FALCONE - TRINIDAD EXPORT\Yolanda -Parc1.doc</t>
  </si>
  <si>
    <t>C:\Users\franc\OneDrive\Documentos\MALENTIN KARIME\BANCO ESTADO\2012 DEPTO ESCRITURAS fata\NOTARIA 2009\VERONICA FALCONE - TRINIDAD EXPORT\Yolanda - Parc.doc</t>
  </si>
  <si>
    <t>C:\Users\franc\OneDrive\Documentos\MALENTIN KARIME\BANCO ESTADO\2012 DEPTO ESCRITURAS fata\NOTARIA 2009\VERONICA FALCONE - TRINIDAD EXPORT\Yolanda - Aguas Camarico.doc</t>
  </si>
  <si>
    <t>C:\Users\franc\OneDrive\Documentos\MALENTIN KARIME\BANCO ESTADO\2012 DEPTO ESCRITURAS fata\NOTARIA 2009\VERONICA FALCONE - TRINIDAD EXPORT\Victoria - Parc.dos.doc</t>
  </si>
  <si>
    <t>C:\Users\franc\OneDrive\Documentos\MALENTIN KARIME\BANCO ESTADO\2012 DEPTO ESCRITURAS fata\NOTARIA 2009\VERONICA FALCONE - TRINIDAD EXPORT\SOC. RALIN LIMITADA.doc</t>
  </si>
  <si>
    <t>C:\Users\franc\OneDrive\Documentos\MALENTIN KARIME\BANCO ESTADO\2012 DEPTO ESCRITURAS fata\NOTARIA 2009\VERONICA FALCONE - TRINIDAD EXPORT\San Jorge - Reserva.doc</t>
  </si>
  <si>
    <t>C:\Users\franc\OneDrive\Documentos\MALENTIN KARIME\BANCO ESTADO\2012 DEPTO ESCRITURAS fata\NOTARIA 2009\VERONICA FALCONE - TRINIDAD EXPORT\San Jorge - Parc.doc</t>
  </si>
  <si>
    <t>C:\Users\franc\OneDrive\Documentos\MALENTIN KARIME\BANCO ESTADO\2012 DEPTO ESCRITURAS fata\NOTARIA 2009\VERONICA FALCONE - TRINIDAD EXPORT\San Jorge - Aguas Cogot.doc</t>
  </si>
  <si>
    <t>C:\Users\franc\OneDrive\Documentos\MALENTIN KARIME\BANCO ESTADO\2012 DEPTO ESCRITURAS fata\NOTARIA 2009\VERONICA FALCONE - TRINIDAD EXPORT\Ralín  extracto psd.doc</t>
  </si>
  <si>
    <t>C:\Users\franc\OneDrive\Documentos\MALENTIN KARIME\BANCO ESTADO\2012 DEPTO ESCRITURAS fata\NOTARIA 2009\VERONICA FALCONE - TRINIDAD EXPORT\La Mireya - Parc.doc</t>
  </si>
  <si>
    <t>C:\Users\franc\OneDrive\Documentos\MALENTIN KARIME\BANCO ESTADO\2012 DEPTO ESCRITURAS fata\NOTARIA 2009\VERONICA CERDA\RECTIFICACION.doc</t>
  </si>
  <si>
    <t>C:\Users\franc\OneDrive\Documentos\MALENTIN KARIME\BANCO ESTADO\2012 DEPTO ESCRITURAS fata\NOTARIA 2009\VERONICA CERDA\BERNARDO LEON PARTICION}.doc</t>
  </si>
  <si>
    <t>C:\Users\franc\OneDrive\Documentos\MALENTIN KARIME\BANCO ESTADO\2012 DEPTO ESCRITURAS fata\NOTARIA 2009\VEHICULOS PRIVADOS\EDUARDO HERNANDEZ.doc</t>
  </si>
  <si>
    <t>C:\Users\franc\OneDrive\Documentos\MALENTIN KARIME\BANCO ESTADO\2012 DEPTO ESCRITURAS fata\NOTARIA 2009\VARIOS\WILSON GONZALEZ A JUAN CODOCEO.- JULIO 2010.doc</t>
  </si>
  <si>
    <t>C:\Users\franc\OneDrive\Documentos\MALENTIN KARIME\BANCO ESTADO\2012 DEPTO ESCRITURAS fata\NOTARIA 2009\VARIOS\VISITA OCULAR.doc</t>
  </si>
  <si>
    <t>C:\Users\franc\OneDrive\Documentos\MALENTIN KARIME\BANCO ESTADO\2012 DEPTO ESCRITURAS fata\NOTARIA 2009\VARIOS\venta nicho.doc</t>
  </si>
  <si>
    <t>C:\Users\franc\OneDrive\Documentos\MALENTIN KARIME\BANCO ESTADO\2012 DEPTO ESCRITURAS fata\NOTARIA 2009\VARIOS\VEHICULO FUERA PAIS.doc</t>
  </si>
  <si>
    <t>C:\Users\franc\OneDrive\Documentos\MALENTIN KARIME\BANCO ESTADO\2012 DEPTO ESCRITURAS fata\NOTARIA 2009\VARIOS\TIO LINO.doc</t>
  </si>
  <si>
    <t>C:\Users\franc\OneDrive\Documentos\MALENTIN KARIME\BANCO ESTADO\2012 DEPTO ESCRITURAS fata\NOTARIA 2009\VARIOS\testigo (firma).doc</t>
  </si>
  <si>
    <t>C:\Users\franc\OneDrive\Documentos\MALENTIN KARIME\BANCO ESTADO\2012 DEPTO ESCRITURAS fata\NOTARIA 2009\VARIOS\TERMINO ARRIENDOP.doc</t>
  </si>
  <si>
    <t>C:\Users\franc\OneDrive\Documentos\MALENTIN KARIME\BANCO ESTADO\2012 DEPTO ESCRITURAS fata\NOTARIA 2009\VARIOS\TASACION SOBRE ALIMENTOS.doc</t>
  </si>
  <si>
    <t>C:\Users\franc\OneDrive\Documentos\MALENTIN KARIME\BANCO ESTADO\2012 DEPTO ESCRITURAS fata\NOTARIA 2009\VARIOS\SUC. JUAN BAUTISTA (CONTROL PISQUERO).doc</t>
  </si>
  <si>
    <t>C:\Users\franc\OneDrive\Documentos\MALENTIN KARIME\BANCO ESTADO\2012 DEPTO ESCRITURAS fata\NOTARIA 2009\VARIOS\SUBARRIENDO MIGUEL TAPIA.doc</t>
  </si>
  <si>
    <t>C:\Users\franc\OneDrive\Documentos\MALENTIN KARIME\BANCO ESTADO\2012 DEPTO ESCRITURAS fata\NOTARIA 2009\VARIOS\SOLICITUD ALZAMIENTO PROH. SERVIU.doc</t>
  </si>
  <si>
    <t>C:\Users\franc\OneDrive\Documentos\MALENTIN KARIME\BANCO ESTADO\2012 DEPTO ESCRITURAS fata\NOTARIA 2009\VARIOS\SOCIEDAD DE HECHO.doc</t>
  </si>
  <si>
    <t>C:\Users\franc\OneDrive\Documentos\MALENTIN KARIME\BANCO ESTADO\2012 DEPTO ESCRITURAS fata\NOTARIA 2009\VARIOS\SOCIEDAD DE HECHO Cyntia.doc</t>
  </si>
  <si>
    <t>C:\Users\franc\OneDrive\Documentos\MALENTIN KARIME\BANCO ESTADO\2012 DEPTO ESCRITURAS fata\NOTARIA 2009\VARIOS\SOC. LA GREDA A INVERS. BOSMAN.doc</t>
  </si>
  <si>
    <t>C:\Users\franc\OneDrive\Documentos\MALENTIN KARIME\BANCO ESTADO\2012 DEPTO ESCRITURAS fata\NOTARIA 2009\VARIOS\SOBRE.doc</t>
  </si>
  <si>
    <t>C:\Users\franc\OneDrive\Documentos\MALENTIN KARIME\BANCO ESTADO\2012 DEPTO ESCRITURAS fata\NOTARIA 2009\VARIOS\SLM GRICELL A VICTOR VERGARA.doc</t>
  </si>
  <si>
    <t>C:\Users\franc\OneDrive\Documentos\MALENTIN KARIME\BANCO ESTADO\2012 DEPTO ESCRITURAS fata\NOTARIA 2009\VARIOS\SEPARACION BIENES.doc</t>
  </si>
  <si>
    <t>C:\Users\franc\OneDrive\Documentos\MALENTIN KARIME\BANCO ESTADO\2012 DEPTO ESCRITURAS fata\NOTARIA 2009\VARIOS\RESUMEN LIBRO.doc</t>
  </si>
  <si>
    <t>C:\Users\franc\OneDrive\Documentos\MALENTIN KARIME\BANCO ESTADO\2012 DEPTO ESCRITURAS fata\NOTARIA 2009\VARIOS\RESCILIACION CONTRATO DE ARRENDQMIENOT.doc</t>
  </si>
  <si>
    <t>C:\Users\franc\OneDrive\Documentos\MALENTIN KARIME\BANCO ESTADO\2012 DEPTO ESCRITURAS fata\NOTARIA 2009\VARIOS\RECIBO JANI.doc</t>
  </si>
  <si>
    <t>C:\Users\franc\OneDrive\Documentos\MALENTIN KARIME\BANCO ESTADO\2012 DEPTO ESCRITURAS fata\NOTARIA 2009\VARIOS\RECIBO INSTRUCCIONES.doc</t>
  </si>
  <si>
    <t>C:\Users\franc\OneDrive\Documentos\MALENTIN KARIME\BANCO ESTADO\2012 DEPTO ESCRITURAS fata\NOTARIA 2009\VARIOS\RECIBO DE DINERO.doc</t>
  </si>
  <si>
    <t>C:\Users\franc\OneDrive\Documentos\MALENTIN KARIME\BANCO ESTADO\2012 DEPTO ESCRITURAS fata\NOTARIA 2009\VARIOS\RECIBO DE DINERO ANDRES SUAREZ.doc</t>
  </si>
  <si>
    <t>C:\Users\franc\OneDrive\Documentos\MALENTIN KARIME\BANCO ESTADO\2012 DEPTO ESCRITURAS fata\NOTARIA 2009\VARIOS\RECIBO DE ARRIENDO.doc</t>
  </si>
  <si>
    <t>C:\Users\franc\OneDrive\Documentos\MALENTIN KARIME\BANCO ESTADO\2012 DEPTO ESCRITURAS fata\NOTARIA 2009\VARIOS\RALIN.doc</t>
  </si>
  <si>
    <t>C:\Users\franc\OneDrive\Documentos\MALENTIN KARIME\BANCO ESTADO\2012 DEPTO ESCRITURAS fata\NOTARIA 2009\VARIOS\PROTOCOLIZADO AUTORIZACION.doc</t>
  </si>
  <si>
    <t>C:\Users\franc\OneDrive\Documentos\MALENTIN KARIME\BANCO ESTADO\2012 DEPTO ESCRITURAS fata\NOTARIA 2009\VARIOS\PROTOCOLIZADO AUTORIZACION (LEGAJO.doc</t>
  </si>
  <si>
    <t>C:\Users\franc\OneDrive\Documentos\MALENTIN KARIME\BANCO ESTADO\2012 DEPTO ESCRITURAS fata\NOTARIA 2009\VARIOS\PODER SIMPLE.doc</t>
  </si>
  <si>
    <t>C:\Users\franc\OneDrive\Documentos\MALENTIN KARIME\BANCO ESTADO\2012 DEPTO ESCRITURAS fata\NOTARIA 2009\VARIOS\PODER SIMPLE Y AUTORIZACION.doc</t>
  </si>
  <si>
    <t>C:\Users\franc\OneDrive\Documentos\MALENTIN KARIME\BANCO ESTADO\2012 DEPTO ESCRITURAS fata\NOTARIA 2009\VARIOS\PODER SII PATRICIO PINTO Y OTROS.doc</t>
  </si>
  <si>
    <t>C:\Users\franc\OneDrive\Documentos\MALENTIN KARIME\BANCO ESTADO\2012 DEPTO ESCRITURAS fata\NOTARIA 2009\VARIOS\PODER SII carmen gloria pinto.doc</t>
  </si>
  <si>
    <t>C:\Users\franc\OneDrive\Documentos\MALENTIN KARIME\BANCO ESTADO\2012 DEPTO ESCRITURAS fata\NOTARIA 2009\VARIOS\PODER MINAS.doc</t>
  </si>
  <si>
    <t>C:\Users\franc\OneDrive\Documentos\MALENTIN KARIME\BANCO ESTADO\2012 DEPTO ESCRITURAS fata\NOTARIA 2009\VARIOS\PODER MARIO ARACENA.doc</t>
  </si>
  <si>
    <t>C:\Users\franc\OneDrive\Documentos\MALENTIN KARIME\BANCO ESTADO\2012 DEPTO ESCRITURAS fata\NOTARIA 2009\VARIOS\PODER  VENTA DE VEHICULO Cyntia.doc</t>
  </si>
  <si>
    <t>C:\Users\franc\OneDrive\Documentos\MALENTIN KARIME\BANCO ESTADO\2012 DEPTO ESCRITURAS fata\NOTARIA 2009\VARIOS\PERSONERIA BANCO SANTANDER.doc</t>
  </si>
  <si>
    <t>C:\Users\franc\OneDrive\Documentos\MALENTIN KARIME\BANCO ESTADO\2012 DEPTO ESCRITURAS fata\NOTARIA 2009\VARIOS\PERSONERIA BANCO CHILE.doc</t>
  </si>
  <si>
    <t>C:\Users\franc\OneDrive\Documentos\MALENTIN KARIME\BANCO ESTADO\2012 DEPTO ESCRITURAS fata\NOTARIA 2009\VARIOS\PATRICIO PINTO SOLO.doc</t>
  </si>
  <si>
    <t>C:\Users\franc\OneDrive\Documentos\MALENTIN KARIME\BANCO ESTADO\2012 DEPTO ESCRITURAS fata\NOTARIA 2009\VARIOS\PATRICIO PINTO AUTORIZACION.doc</t>
  </si>
  <si>
    <t>C:\Users\franc\OneDrive\Documentos\MALENTIN KARIME\BANCO ESTADO\2012 DEPTO ESCRITURAS fata\NOTARIA 2009\VARIOS\PAGO IMPUESTO MARUBENI.doc</t>
  </si>
  <si>
    <t>C:\Users\franc\OneDrive\Documentos\MALENTIN KARIME\BANCO ESTADO\2012 DEPTO ESCRITURAS fata\NOTARIA 2009\VARIOS\PAGARE TIO LINO.doc</t>
  </si>
  <si>
    <t>C:\Users\franc\OneDrive\Documentos\MALENTIN KARIME\BANCO ESTADO\2012 DEPTO ESCRITURAS fata\NOTARIA 2009\VARIOS\PAGARE ROXANA LARRONDO.doc</t>
  </si>
  <si>
    <t>C:\Users\franc\OneDrive\Documentos\MALENTIN KARIME\BANCO ESTADO\2012 DEPTO ESCRITURAS fata\NOTARIA 2009\VARIOS\PAGare modelo.doc</t>
  </si>
  <si>
    <t>C:\Users\franc\OneDrive\Documentos\MALENTIN KARIME\BANCO ESTADO\2012 DEPTO ESCRITURAS fata\NOTARIA 2009\VARIOS\PAGARE A PLAZO.doc</t>
  </si>
  <si>
    <t>C:\Users\franc\OneDrive\Documentos\MALENTIN KARIME\BANCO ESTADO\2012 DEPTO ESCRITURAS fata\NOTARIA 2009\VARIOS\PAGARE A LA VISTA.doc</t>
  </si>
  <si>
    <t>C:\Users\franc\OneDrive\Documentos\MALENTIN KARIME\BANCO ESTADO\2012 DEPTO ESCRITURAS fata\NOTARIA 2009\VARIOS\notificacion.doc</t>
  </si>
  <si>
    <t>C:\Users\franc\OneDrive\Documentos\MALENTIN KARIME\BANCO ESTADO\2012 DEPTO ESCRITURAS fata\NOTARIA 2009\VARIOS\notificacion LOGROS.doc</t>
  </si>
  <si>
    <t>C:\Users\franc\OneDrive\Documentos\MALENTIN KARIME\BANCO ESTADO\2012 DEPTO ESCRITURAS fata\NOTARIA 2009\VARIOS\notificacion 2.doc</t>
  </si>
  <si>
    <t>C:\Users\franc\OneDrive\Documentos\MALENTIN KARIME\BANCO ESTADO\2012 DEPTO ESCRITURAS fata\NOTARIA 2009\VARIOS\nota al margen.doc</t>
  </si>
  <si>
    <t>C:\Users\franc\OneDrive\Documentos\MALENTIN KARIME\BANCO ESTADO\2012 DEPTO ESCRITURAS fata\NOTARIA 2009\VARIOS\nota al margen RATIFICACION.doc</t>
  </si>
  <si>
    <t>C:\Users\franc\OneDrive\Documentos\MALENTIN KARIME\BANCO ESTADO\2012 DEPTO ESCRITURAS fata\NOTARIA 2009\VARIOS\nota al margen impuesto vehiculo.doc</t>
  </si>
  <si>
    <t>C:\Users\franc\OneDrive\Documentos\MALENTIN KARIME\BANCO ESTADO\2012 DEPTO ESCRITURAS fata\NOTARIA 2009\VARIOS\nota al margen 1.doc</t>
  </si>
  <si>
    <t>C:\Users\franc\OneDrive\Documentos\MALENTIN KARIME\BANCO ESTADO\2012 DEPTO ESCRITURAS fata\NOTARIA 2009\VARIOS\MODELO  FORMULARIO 24 MUTUO A LA VISTA.doc</t>
  </si>
  <si>
    <t>C:\Users\franc\OneDrive\Documentos\MALENTIN KARIME\BANCO ESTADO\2012 DEPTO ESCRITURAS fata\NOTARIA 2009\VARIOS\MODELO   FORMULARIO  24.doc</t>
  </si>
  <si>
    <t>C:\Users\franc\OneDrive\Documentos\MALENTIN KARIME\BANCO ESTADO\2012 DEPTO ESCRITURAS fata\NOTARIA 2009\VARIOS\MODELO   FORMULARIO  24 NORA.doc</t>
  </si>
  <si>
    <t>C:\Users\franc\OneDrive\Documentos\MALENTIN KARIME\BANCO ESTADO\2012 DEPTO ESCRITURAS fata\NOTARIA 2009\VARIOS\MODELO   FORMULARIO  24 MAURICIO.doc</t>
  </si>
  <si>
    <t>C:\Users\franc\OneDrive\Documentos\MALENTIN KARIME\BANCO ESTADO\2012 DEPTO ESCRITURAS fata\NOTARIA 2009\VARIOS\MODELO   FORMULARIO  24  TRES.doc</t>
  </si>
  <si>
    <t>C:\Users\franc\OneDrive\Documentos\MALENTIN KARIME\BANCO ESTADO\2012 DEPTO ESCRITURAS fata\NOTARIA 2009\VARIOS\MODELO   FORMULARIO  24  DOS.doc</t>
  </si>
  <si>
    <t>C:\Users\franc\OneDrive\Documentos\MALENTIN KARIME\BANCO ESTADO\2012 DEPTO ESCRITURAS fata\NOTARIA 2009\VARIOS\MIRIAM VILLALOBOS (DEC).doc</t>
  </si>
  <si>
    <t>C:\Users\franc\OneDrive\Documentos\MALENTIN KARIME\BANCO ESTADO\2012 DEPTO ESCRITURAS fata\NOTARIA 2009\VARIOS\Minuta Eliana Gomez Conservador Bienes Raíces.doc</t>
  </si>
  <si>
    <t>C:\Users\franc\OneDrive\Documentos\MALENTIN KARIME\BANCO ESTADO\2012 DEPTO ESCRITURAS fata\NOTARIA 2009\VARIOS\minuta al conservador.doc</t>
  </si>
  <si>
    <t>C:\Users\franc\OneDrive\Documentos\MALENTIN KARIME\BANCO ESTADO\2012 DEPTO ESCRITURAS fata\NOTARIA 2009\VARIOS\minuta al conservador VERANEO PACIFICO.doc</t>
  </si>
  <si>
    <t>C:\Users\franc\OneDrive\Documentos\MALENTIN KARIME\BANCO ESTADO\2012 DEPTO ESCRITURAS fata\NOTARIA 2009\VARIOS\minuta al conservador PEDRO BARRIOS.doc</t>
  </si>
  <si>
    <t>C:\Users\franc\OneDrive\Documentos\MALENTIN KARIME\BANCO ESTADO\2012 DEPTO ESCRITURAS fata\NOTARIA 2009\VARIOS\minuta al conservador ELDA ORTIZ PARDIÑA.doc</t>
  </si>
  <si>
    <t>C:\Users\franc\OneDrive\Documentos\MALENTIN KARIME\BANCO ESTADO\2012 DEPTO ESCRITURAS fata\NOTARIA 2009\VARIOS\minuta al conservador AGRICOLA ALIRO PINTO.doc</t>
  </si>
  <si>
    <t>C:\Users\franc\OneDrive\Documentos\MALENTIN KARIME\BANCO ESTADO\2012 DEPTO ESCRITURAS fata\NOTARIA 2009\VARIOS\MIGUEL TAPIA Y OTROS A JOSE M TELLO (RESCILIACION.doc</t>
  </si>
  <si>
    <t>C:\Users\franc\OneDrive\Documentos\MALENTIN KARIME\BANCO ESTADO\2012 DEPTO ESCRITURAS fata\NOTARIA 2009\VARIOS\MIGUEL SALINAS A WILSON SALINAS (ARRIENDO MINAS).doc</t>
  </si>
  <si>
    <t>C:\Users\franc\OneDrive\Documentos\MALENTIN KARIME\BANCO ESTADO\2012 DEPTO ESCRITURAS fata\NOTARIA 2009\VARIOS\MERCEDES PIZARRO A LUIS MUNDACA (CONTROL).doc</t>
  </si>
  <si>
    <t>C:\Users\franc\OneDrive\Documentos\MALENTIN KARIME\BANCO ESTADO\2012 DEPTO ESCRITURAS fata\NOTARIA 2009\VARIOS\MARLENE PIZARRO A AMIGO.doc</t>
  </si>
  <si>
    <t>C:\Users\franc\OneDrive\Documentos\MALENTIN KARIME\BANCO ESTADO\2012 DEPTO ESCRITURAS fata\NOTARIA 2009\VARIOS\MARIO RAMIREZ A JUAN CONTRATO OBRA.doc</t>
  </si>
  <si>
    <t>C:\Users\franc\OneDrive\Documentos\MALENTIN KARIME\BANCO ESTADO\2012 DEPTO ESCRITURAS fata\NOTARIA 2009\VARIOS\MARIO RAMIREZ A JUAN BARRAZA.doc</t>
  </si>
  <si>
    <t>C:\Users\franc\OneDrive\Documentos\MALENTIN KARIME\BANCO ESTADO\2012 DEPTO ESCRITURAS fata\NOTARIA 2009\VARIOS\maria barraza.doc</t>
  </si>
  <si>
    <t>C:\Users\franc\OneDrive\Documentos\MALENTIN KARIME\BANCO ESTADO\2012 DEPTO ESCRITURAS fata\NOTARIA 2009\VARIOS\MANUEL POZO.doc</t>
  </si>
  <si>
    <t>C:\Users\franc\OneDrive\Documentos\MALENTIN KARIME\BANCO ESTADO\2012 DEPTO ESCRITURAS fata\NOTARIA 2009\VARIOS\LUIS ARAYA A JUAN BARRAZA.- NOVIEMBRE 2010.doc</t>
  </si>
  <si>
    <t>C:\Users\franc\OneDrive\Documentos\MALENTIN KARIME\BANCO ESTADO\2012 DEPTO ESCRITURAS fata\NOTARIA 2009\VARIOS\LIMARI TRADING S.A. SII.doc</t>
  </si>
  <si>
    <t>C:\Users\franc\OneDrive\Documentos\MALENTIN KARIME\BANCO ESTADO\2012 DEPTO ESCRITURAS fata\NOTARIA 2009\VARIOS\LEY 19840 BCO ESTADO.doc</t>
  </si>
  <si>
    <t>C:\Users\franc\OneDrive\Documentos\MALENTIN KARIME\BANCO ESTADO\2012 DEPTO ESCRITURAS fata\NOTARIA 2009\VARIOS\JORGE QUIROZ AUT. SII.doc</t>
  </si>
  <si>
    <t>C:\Users\franc\OneDrive\Documentos\MALENTIN KARIME\BANCO ESTADO\2012 DEPTO ESCRITURAS fata\NOTARIA 2009\VARIOS\JORGE ARACENA.doc</t>
  </si>
  <si>
    <t>C:\Users\franc\OneDrive\Documentos\MALENTIN KARIME\BANCO ESTADO\2012 DEPTO ESCRITURAS fata\NOTARIA 2009\VARIOS\JORGE ARACENA  A LUIS CORTES (COPPELIA UNO).doc</t>
  </si>
  <si>
    <t>C:\Users\franc\OneDrive\Documentos\MALENTIN KARIME\BANCO ESTADO\2012 DEPTO ESCRITURAS fata\NOTARIA 2009\VARIOS\ISABEL ALDUNATE.doc</t>
  </si>
  <si>
    <t>C:\Users\franc\OneDrive\Documentos\MALENTIN KARIME\BANCO ESTADO\2012 DEPTO ESCRITURAS fata\NOTARIA 2009\VARIOS\IMPUESTO VEHICULO FINAL.doc</t>
  </si>
  <si>
    <t>C:\Users\franc\OneDrive\Documentos\MALENTIN KARIME\BANCO ESTADO\2012 DEPTO ESCRITURAS fata\NOTARIA 2009\VARIOS\impuesto margen izq.doc</t>
  </si>
  <si>
    <t>C:\Users\franc\OneDrive\Documentos\MALENTIN KARIME\BANCO ESTADO\2012 DEPTO ESCRITURAS fata\NOTARIA 2009\VARIOS\HUGO VALDIVIA.doc</t>
  </si>
  <si>
    <t>C:\Users\franc\OneDrive\Documentos\MALENTIN KARIME\BANCO ESTADO\2012 DEPTO ESCRITURAS fata\NOTARIA 2009\VARIOS\HOTELERA PLAZA TURISMO -  SII.doc</t>
  </si>
  <si>
    <t>C:\Users\franc\OneDrive\Documentos\MALENTIN KARIME\BANCO ESTADO\2012 DEPTO ESCRITURAS fata\NOTARIA 2009\VARIOS\HOTELERA AMERICAN  -  SII.doc</t>
  </si>
  <si>
    <t>C:\Users\franc\OneDrive\Documentos\MALENTIN KARIME\BANCO ESTADO\2012 DEPTO ESCRITURAS fata\NOTARIA 2009\VARIOS\HOJA INSCRIPCIONES.doc</t>
  </si>
  <si>
    <t>C:\Users\franc\OneDrive\Documentos\MALENTIN KARIME\BANCO ESTADO\2012 DEPTO ESCRITURAS fata\NOTARIA 2009\VARIOS\HOJA BANCO CORPBANCA.doc</t>
  </si>
  <si>
    <t>C:\Users\franc\OneDrive\Documentos\MALENTIN KARIME\BANCO ESTADO\2012 DEPTO ESCRITURAS fata\NOTARIA 2009\VARIOS\HIPOLITO JOPIA.doc</t>
  </si>
  <si>
    <t>C:\Users\franc\OneDrive\Documentos\MALENTIN KARIME\BANCO ESTADO\2012 DEPTO ESCRITURAS fata\NOTARIA 2009\VARIOS\GASTOS HERNAN.doc</t>
  </si>
  <si>
    <t>C:\Users\franc\OneDrive\Documentos\MALENTIN KARIME\BANCO ESTADO\2012 DEPTO ESCRITURAS fata\NOTARIA 2009\VARIOS\GABRIEL MORENO.doc</t>
  </si>
  <si>
    <t>C:\Users\franc\OneDrive\Documentos\MALENTIN KARIME\BANCO ESTADO\2012 DEPTO ESCRITURAS fata\NOTARIA 2009\VARIOS\GABRIEL MORENO DOS.doc</t>
  </si>
  <si>
    <t>C:\Users\franc\OneDrive\Documentos\MALENTIN KARIME\BANCO ESTADO\2012 DEPTO ESCRITURAS fata\NOTARIA 2009\VARIOS\fotos.doc</t>
  </si>
  <si>
    <t>C:\Users\franc\OneDrive\Documentos\MALENTIN KARIME\BANCO ESTADO\2012 DEPTO ESCRITURAS fata\NOTARIA 2009\VARIOS\Formulario para Testamentos[1].doc</t>
  </si>
  <si>
    <t>C:\Users\franc\OneDrive\Documentos\MALENTIN KARIME\BANCO ESTADO\2012 DEPTO ESCRITURAS fata\NOTARIA 2009\VARIOS\FIRMAS RENE MARIN.doc</t>
  </si>
  <si>
    <t>C:\Users\franc\OneDrive\Documentos\MALENTIN KARIME\BANCO ESTADO\2012 DEPTO ESCRITURAS fata\NOTARIA 2009\VARIOS\FIRMAS MARIA GODOY (MUNI) Y CONTRATISTA.doc</t>
  </si>
  <si>
    <t>C:\Users\franc\OneDrive\Documentos\MALENTIN KARIME\BANCO ESTADO\2012 DEPTO ESCRITURAS fata\NOTARIA 2009\VARIOS\FIRMAS E IMPUESTO.doc</t>
  </si>
  <si>
    <t>C:\Users\franc\OneDrive\Documentos\MALENTIN KARIME\BANCO ESTADO\2012 DEPTO ESCRITURAS fata\NOTARIA 2009\VARIOS\FINIQUITO COMPLETO.doc</t>
  </si>
  <si>
    <t>C:\Users\franc\OneDrive\Documentos\MALENTIN KARIME\BANCO ESTADO\2012 DEPTO ESCRITURAS fata\NOTARIA 2009\VARIOS\FCO. SAAVEDRA CARTA.doc</t>
  </si>
  <si>
    <t>C:\Users\franc\OneDrive\Documentos\MALENTIN KARIME\BANCO ESTADO\2012 DEPTO ESCRITURAS fata\NOTARIA 2009\VARIOS\ESCORIA.doc</t>
  </si>
  <si>
    <t>C:\Users\franc\OneDrive\Documentos\MALENTIN KARIME\BANCO ESTADO\2012 DEPTO ESCRITURAS fata\NOTARIA 2009\VARIOS\ENTREGA CHEQUES INSTRUCCIONES.doc</t>
  </si>
  <si>
    <t>C:\Users\franc\OneDrive\Documentos\MALENTIN KARIME\BANCO ESTADO\2012 DEPTO ESCRITURAS fata\NOTARIA 2009\VARIOS\ENAMI.doc</t>
  </si>
  <si>
    <t>C:\Users\franc\OneDrive\Documentos\MALENTIN KARIME\BANCO ESTADO\2012 DEPTO ESCRITURAS fata\NOTARIA 2009\VARIOS\El Notario que suscribe.doc</t>
  </si>
  <si>
    <t>C:\Users\franc\OneDrive\Documentos\MALENTIN KARIME\BANCO ESTADO\2012 DEPTO ESCRITURAS fata\NOTARIA 2009\VARIOS\EDGARDO SAUD SII.doc</t>
  </si>
  <si>
    <t>C:\Users\franc\OneDrive\Documentos\MALENTIN KARIME\BANCO ESTADO\2012 DEPTO ESCRITURAS fata\NOTARIA 2009\VARIOS\DORA VILLAR.doc</t>
  </si>
  <si>
    <t>C:\Users\franc\OneDrive\Documentos\MALENTIN KARIME\BANCO ESTADO\2012 DEPTO ESCRITURAS fata\NOTARIA 2009\VARIOS\DORA VILLAR A SOC. XENIT NOV. 2007.doc</t>
  </si>
  <si>
    <t>C:\Users\franc\OneDrive\Documentos\MALENTIN KARIME\BANCO ESTADO\2012 DEPTO ESCRITURAS fata\NOTARIA 2009\VARIOS\DORA VILLAR A PEDRO FIGUEROA.doc</t>
  </si>
  <si>
    <t>C:\Users\franc\OneDrive\Documentos\MALENTIN KARIME\BANCO ESTADO\2012 DEPTO ESCRITURAS fata\NOTARIA 2009\VARIOS\DORA VILLAR A ARNOLDO GONZALEZ.doc</t>
  </si>
  <si>
    <t>C:\Users\franc\OneDrive\Documentos\MALENTIN KARIME\BANCO ESTADO\2012 DEPTO ESCRITURAS fata\NOTARIA 2009\VARIOS\DORA VILLA A XENIT.doc</t>
  </si>
  <si>
    <t>C:\Users\franc\OneDrive\Documentos\MALENTIN KARIME\BANCO ESTADO\2012 DEPTO ESCRITURAS fata\NOTARIA 2009\VARIOS\Doc1.doc</t>
  </si>
  <si>
    <t>C:\Users\franc\OneDrive\Documentos\MALENTIN KARIME\BANCO ESTADO\2012 DEPTO ESCRITURAS fata\NOTARIA 2009\VARIOS\DECLARACION NO PARENTESCO.doc</t>
  </si>
  <si>
    <t>C:\Users\franc\OneDrive\Documentos\MALENTIN KARIME\BANCO ESTADO\2012 DEPTO ESCRITURAS fata\NOTARIA 2009\VARIOS\DECLARACION DE REPUDIO.doc</t>
  </si>
  <si>
    <t>C:\Users\franc\OneDrive\Documentos\MALENTIN KARIME\BANCO ESTADO\2012 DEPTO ESCRITURAS fata\NOTARIA 2009\VARIOS\DECLARACION art. 260.doc</t>
  </si>
  <si>
    <t>C:\Users\franc\OneDrive\Documentos\MALENTIN KARIME\BANCO ESTADO\2012 DEPTO ESCRITURAS fata\NOTARIA 2009\VARIOS\DECLARA SERVIU.doc</t>
  </si>
  <si>
    <t>C:\Users\franc\OneDrive\Documentos\MALENTIN KARIME\BANCO ESTADO\2012 DEPTO ESCRITURAS fata\NOTARIA 2009\VARIOS\DECLARA PRIVADA.doc</t>
  </si>
  <si>
    <t>C:\Users\franc\OneDrive\Documentos\MALENTIN KARIME\BANCO ESTADO\2012 DEPTO ESCRITURAS fata\NOTARIA 2009\VARIOS\DECLARA JUAN CARLOS COMUNIDAD ALCONES.doc</t>
  </si>
  <si>
    <t>C:\Users\franc\OneDrive\Documentos\MALENTIN KARIME\BANCO ESTADO\2012 DEPTO ESCRITURAS fata\NOTARIA 2009\VARIOS\DECLARA JUAN  (JAVIERA).doc</t>
  </si>
  <si>
    <t>C:\Users\franc\OneDrive\Documentos\MALENTIN KARIME\BANCO ESTADO\2012 DEPTO ESCRITURAS fata\NOTARIA 2009\VARIOS\DECLARA IVAN (MARIA).doc</t>
  </si>
  <si>
    <t>C:\Users\franc\OneDrive\Documentos\MALENTIN KARIME\BANCO ESTADO\2012 DEPTO ESCRITURAS fata\NOTARIA 2009\VARIOS\DECLARA 4.doc</t>
  </si>
  <si>
    <t>C:\Users\franc\OneDrive\Documentos\MALENTIN KARIME\BANCO ESTADO\2012 DEPTO ESCRITURAS fata\NOTARIA 2009\VARIOS\DEC SERVIU.doc</t>
  </si>
  <si>
    <t>C:\Users\franc\OneDrive\Documentos\MALENTIN KARIME\BANCO ESTADO\2012 DEPTO ESCRITURAS fata\NOTARIA 2009\VARIOS\DEC SERVIU  MAURICIO MARIN.doc</t>
  </si>
  <si>
    <t>C:\Users\franc\OneDrive\Documentos\MALENTIN KARIME\BANCO ESTADO\2012 DEPTO ESCRITURAS fata\NOTARIA 2009\VARIOS\CURRI.doc</t>
  </si>
  <si>
    <t>C:\Users\franc\OneDrive\Documentos\MALENTIN KARIME\BANCO ESTADO\2012 DEPTO ESCRITURAS fata\NOTARIA 2009\VARIOS\CURRI mio.doc</t>
  </si>
  <si>
    <t>C:\Users\franc\OneDrive\Documentos\MALENTIN KARIME\BANCO ESTADO\2012 DEPTO ESCRITURAS fata\NOTARIA 2009\VARIOS\CURRI mario.doc</t>
  </si>
  <si>
    <t>C:\Users\franc\OneDrive\Documentos\MALENTIN KARIME\BANCO ESTADO\2012 DEPTO ESCRITURAS fata\NOTARIA 2009\VARIOS\CURRI JUAN.doc</t>
  </si>
  <si>
    <t>C:\Users\franc\OneDrive\Documentos\MALENTIN KARIME\BANCO ESTADO\2012 DEPTO ESCRITURAS fata\NOTARIA 2009\VARIOS\CURRI ELLY.doc</t>
  </si>
  <si>
    <t>C:\Users\franc\OneDrive\Documentos\MALENTIN KARIME\BANCO ESTADO\2012 DEPTO ESCRITURAS fata\NOTARIA 2009\VARIOS\CURRI CAROLA.doc</t>
  </si>
  <si>
    <t>C:\Users\franc\OneDrive\Documentos\MALENTIN KARIME\BANCO ESTADO\2012 DEPTO ESCRITURAS fata\NOTARIA 2009\VARIOS\CURRI ALEJANDRO.doc</t>
  </si>
  <si>
    <t>C:\Users\franc\OneDrive\Documentos\MALENTIN KARIME\BANCO ESTADO\2012 DEPTO ESCRITURAS fata\NOTARIA 2009\VARIOS\CUENTA CONSTRUCTORA ARKON LTDA.doc</t>
  </si>
  <si>
    <t>C:\Users\franc\OneDrive\Documentos\MALENTIN KARIME\BANCO ESTADO\2012 DEPTO ESCRITURAS fata\NOTARIA 2009\VARIOS\COMPRAVENTA SOMBRA.doc</t>
  </si>
  <si>
    <t>C:\Users\franc\OneDrive\Documentos\MALENTIN KARIME\BANCO ESTADO\2012 DEPTO ESCRITURAS fata\NOTARIA 2009\VARIOS\COMODATO SOTAQUI.doc</t>
  </si>
  <si>
    <t>C:\Users\franc\OneDrive\Documentos\MALENTIN KARIME\BANCO ESTADO\2012 DEPTO ESCRITURAS fata\NOTARIA 2009\VARIOS\COMODATO FUNDINA.doc</t>
  </si>
  <si>
    <t>C:\Users\franc\OneDrive\Documentos\MALENTIN KARIME\BANCO ESTADO\2012 DEPTO ESCRITURAS fata\NOTARIA 2009\VARIOS\COMITE CAMPO LINDO.doc</t>
  </si>
  <si>
    <t>C:\Users\franc\OneDrive\Documentos\MALENTIN KARIME\BANCO ESTADO\2012 DEPTO ESCRITURAS fata\NOTARIA 2009\VARIOS\Colocó ante mí su impresión.doc</t>
  </si>
  <si>
    <t>C:\Users\franc\OneDrive\Documentos\MALENTIN KARIME\BANCO ESTADO\2012 DEPTO ESCRITURAS fata\NOTARIA 2009\VARIOS\CITACION.doc</t>
  </si>
  <si>
    <t>C:\Users\franc\OneDrive\Documentos\MALENTIN KARIME\BANCO ESTADO\2012 DEPTO ESCRITURAS fata\NOTARIA 2009\VARIOS\CERTIFICADO PRE ROLES.doc</t>
  </si>
  <si>
    <t>C:\Users\franc\OneDrive\Documentos\MALENTIN KARIME\BANCO ESTADO\2012 DEPTO ESCRITURAS fata\NOTARIA 2009\VARIOS\CERTIFICADO MATRIMONIO.doc</t>
  </si>
  <si>
    <t>C:\Users\franc\OneDrive\Documentos\MALENTIN KARIME\BANCO ESTADO\2012 DEPTO ESCRITURAS fata\NOTARIA 2009\VARIOS\CERTIFICADO JUAN CARLOS COMUNIDAD ALCONES.doc</t>
  </si>
  <si>
    <t>C:\Users\franc\OneDrive\Documentos\MALENTIN KARIME\BANCO ESTADO\2012 DEPTO ESCRITURAS fata\NOTARIA 2009\VARIOS\CERTIFICADO INDAP.doc</t>
  </si>
  <si>
    <t>C:\Users\franc\OneDrive\Documentos\MALENTIN KARIME\BANCO ESTADO\2012 DEPTO ESCRITURAS fata\NOTARIA 2009\VARIOS\CERTIFICADO COMUNERO (COM. ALCONES.doc</t>
  </si>
  <si>
    <t>C:\Users\franc\OneDrive\Documentos\MALENTIN KARIME\BANCO ESTADO\2012 DEPTO ESCRITURAS fata\NOTARIA 2009\VARIOS\CERTIFICA ACTAS COVALSA.doc</t>
  </si>
  <si>
    <t>C:\Users\franc\OneDrive\Documentos\MALENTIN KARIME\BANCO ESTADO\2012 DEPTO ESCRITURAS fata\NOTARIA 2009\VARIOS\CERTIFI. PROVISORIO.doc</t>
  </si>
  <si>
    <t>C:\Users\franc\OneDrive\Documentos\MALENTIN KARIME\BANCO ESTADO\2012 DEPTO ESCRITURAS fata\NOTARIA 2009\VARIOS\CERTIFI. AVALUO (INTERNET).doc</t>
  </si>
  <si>
    <t>C:\Users\franc\OneDrive\Documentos\MALENTIN KARIME\BANCO ESTADO\2012 DEPTO ESCRITURAS fata\NOTARIA 2009\VARIOS\CERTIFI NO REGISTRA DEUDA.doc</t>
  </si>
  <si>
    <t>C:\Users\franc\OneDrive\Documentos\MALENTIN KARIME\BANCO ESTADO\2012 DEPTO ESCRITURAS fata\NOTARIA 2009\VARIOS\CERTIFI DEUDA.doc</t>
  </si>
  <si>
    <t>C:\Users\franc\OneDrive\Documentos\MALENTIN KARIME\BANCO ESTADO\2012 DEPTO ESCRITURAS fata\NOTARIA 2009\VARIOS\certifc. ACTAS COVALSA.doc</t>
  </si>
  <si>
    <t>C:\Users\franc\OneDrive\Documentos\MALENTIN KARIME\BANCO ESTADO\2012 DEPTO ESCRITURAS fata\NOTARIA 2009\VARIOS\CARTA VERONICA VELIZ.doc</t>
  </si>
  <si>
    <t>C:\Users\franc\OneDrive\Documentos\MALENTIN KARIME\BANCO ESTADO\2012 DEPTO ESCRITURAS fata\NOTARIA 2009\VARIOS\CARTA TRIBUNAL.doc</t>
  </si>
  <si>
    <t>C:\Users\franc\OneDrive\Documentos\MALENTIN KARIME\BANCO ESTADO\2012 DEPTO ESCRITURAS fata\NOTARIA 2009\VARIOS\CARTA TESTAMENTOS.doc</t>
  </si>
  <si>
    <t>C:\Users\franc\OneDrive\Documentos\MALENTIN KARIME\BANCO ESTADO\2012 DEPTO ESCRITURAS fata\NOTARIA 2009\VARIOS\CARTA SOLOMON.doc</t>
  </si>
  <si>
    <t>C:\Users\franc\OneDrive\Documentos\MALENTIN KARIME\BANCO ESTADO\2012 DEPTO ESCRITURAS fata\NOTARIA 2009\VARIOS\CARTA SIMPLE.doc</t>
  </si>
  <si>
    <t>C:\Users\franc\OneDrive\Documentos\MALENTIN KARIME\BANCO ESTADO\2012 DEPTO ESCRITURAS fata\NOTARIA 2009\VARIOS\CARTA PODER.doc</t>
  </si>
  <si>
    <t>C:\Users\franc\OneDrive\Documentos\MALENTIN KARIME\BANCO ESTADO\2012 DEPTO ESCRITURAS fata\NOTARIA 2009\VARIOS\CARTA MARUBENI.doc</t>
  </si>
  <si>
    <t>C:\Users\franc\OneDrive\Documentos\MALENTIN KARIME\BANCO ESTADO\2012 DEPTO ESCRITURAS fata\NOTARIA 2009\VARIOS\CARTA JUZGADO.doc</t>
  </si>
  <si>
    <t>C:\Users\franc\OneDrive\Documentos\MALENTIN KARIME\BANCO ESTADO\2012 DEPTO ESCRITURAS fata\NOTARIA 2009\VARIOS\CARTA JORGE ARACENA.doc</t>
  </si>
  <si>
    <t>C:\Users\franc\OneDrive\Documentos\MALENTIN KARIME\BANCO ESTADO\2012 DEPTO ESCRITURAS fata\NOTARIA 2009\VARIOS\CARTA HERNAN.doc</t>
  </si>
  <si>
    <t>C:\Users\franc\OneDrive\Documentos\MALENTIN KARIME\BANCO ESTADO\2012 DEPTO ESCRITURAS fata\NOTARIA 2009\VARIOS\CARTA FRANCISCO SAAVEDRA.doc</t>
  </si>
  <si>
    <t>C:\Users\franc\OneDrive\Documentos\MALENTIN KARIME\BANCO ESTADO\2012 DEPTO ESCRITURAS fata\NOTARIA 2009\VARIOS\CARTA DIARIO.doc</t>
  </si>
  <si>
    <t>C:\Users\franc\OneDrive\Documentos\MALENTIN KARIME\BANCO ESTADO\2012 DEPTO ESCRITURAS fata\NOTARIA 2009\VARIOS\CARTA DE PRENDA SIN DESPLAZAMINETO 1.doc</t>
  </si>
  <si>
    <t>C:\Users\franc\OneDrive\Documentos\MALENTIN KARIME\BANCO ESTADO\2012 DEPTO ESCRITURAS fata\NOTARIA 2009\VARIOS\CARTA CORTE APELACIONES.doc</t>
  </si>
  <si>
    <t>C:\Users\franc\OneDrive\Documentos\MALENTIN KARIME\BANCO ESTADO\2012 DEPTO ESCRITURAS fata\NOTARIA 2009\VARIOS\CARTA ARCHIVERO JUDICIAL.doc</t>
  </si>
  <si>
    <t>C:\Users\franc\OneDrive\Documentos\MALENTIN KARIME\BANCO ESTADO\2012 DEPTO ESCRITURAS fata\NOTARIA 2009\VARIOS\CARTA 2.doc</t>
  </si>
  <si>
    <t>C:\Users\franc\OneDrive\Documentos\MALENTIN KARIME\BANCO ESTADO\2012 DEPTO ESCRITURAS fata\NOTARIA 2009\VARIOS\CARMENCITA BUGUEÑO.doc</t>
  </si>
  <si>
    <t>C:\Users\franc\OneDrive\Documentos\MALENTIN KARIME\BANCO ESTADO\2012 DEPTO ESCRITURAS fata\NOTARIA 2009\VARIOS\CARMEN PINTO AUTORIZACION SII.doc</t>
  </si>
  <si>
    <t>C:\Users\franc\OneDrive\Documentos\MALENTIN KARIME\BANCO ESTADO\2012 DEPTO ESCRITURAS fata\NOTARIA 2009\VARIOS\CARMEN PINTO A PATRICIO PINTO ARRIENDO.doc</t>
  </si>
  <si>
    <t>C:\Users\franc\OneDrive\Documentos\MALENTIN KARIME\BANCO ESTADO\2012 DEPTO ESCRITURAS fata\NOTARIA 2009\VARIOS\CALENDARIO DE VACACIONES 2008.doc</t>
  </si>
  <si>
    <t>C:\Users\franc\OneDrive\Documentos\MALENTIN KARIME\BANCO ESTADO\2012 DEPTO ESCRITURAS fata\NOTARIA 2009\VARIOS\BOLETAS PENDIENTES PAGO.doc</t>
  </si>
  <si>
    <t>C:\Users\franc\OneDrive\Documentos\MALENTIN KARIME\BANCO ESTADO\2012 DEPTO ESCRITURAS fata\NOTARIA 2009\VARIOS\AVISO PROMESA.doc</t>
  </si>
  <si>
    <t>C:\Users\franc\OneDrive\Documentos\MALENTIN KARIME\BANCO ESTADO\2012 DEPTO ESCRITURAS fata\NOTARIA 2009\VARIOS\AVISO PROMESA II.doc</t>
  </si>
  <si>
    <t>C:\Users\franc\OneDrive\Documentos\MALENTIN KARIME\BANCO ESTADO\2012 DEPTO ESCRITURAS fata\NOTARIA 2009\VARIOS\Autorizo la firma de don JOSE IVAN JUAREZ ECHEVERRIA.doc</t>
  </si>
  <si>
    <t>C:\Users\franc\OneDrive\Documentos\MALENTIN KARIME\BANCO ESTADO\2012 DEPTO ESCRITURAS fata\NOTARIA 2009\VARIOS\AUTORIZO FIRMA BCI.doc</t>
  </si>
  <si>
    <t>C:\Users\franc\OneDrive\Documentos\MALENTIN KARIME\BANCO ESTADO\2012 DEPTO ESCRITURAS fata\NOTARIA 2009\VARIOS\AUTORIZACION.doc</t>
  </si>
  <si>
    <t>C:\Users\franc\OneDrive\Documentos\MALENTIN KARIME\BANCO ESTADO\2012 DEPTO ESCRITURAS fata\NOTARIA 2009\VARIOS\AUTORIZACION propiedad minera.doc</t>
  </si>
  <si>
    <t>C:\Users\franc\OneDrive\Documentos\MALENTIN KARIME\BANCO ESTADO\2012 DEPTO ESCRITURAS fata\NOTARIA 2009\VARIOS\AUTORIZACION HANALI BARRANTES.doc</t>
  </si>
  <si>
    <t>C:\Users\franc\OneDrive\Documentos\MALENTIN KARIME\BANCO ESTADO\2012 DEPTO ESCRITURAS fata\NOTARIA 2009\VARIOS\AUTORIZACION firmas.doc</t>
  </si>
  <si>
    <t>C:\Users\franc\OneDrive\Documentos\MALENTIN KARIME\BANCO ESTADO\2012 DEPTO ESCRITURAS fata\NOTARIA 2009\VARIOS\AUTORIZACION FIRMA MARIA GODOY.doc</t>
  </si>
  <si>
    <t>C:\Users\franc\OneDrive\Documentos\MALENTIN KARIME\BANCO ESTADO\2012 DEPTO ESCRITURAS fata\NOTARIA 2009\VARIOS\AUTORIZACION FIRMA LIDIA ZAPATA MUNI.doc</t>
  </si>
  <si>
    <t>C:\Users\franc\OneDrive\Documentos\MALENTIN KARIME\BANCO ESTADO\2012 DEPTO ESCRITURAS fata\NOTARIA 2009\VARIOS\AUTORIZACION FIRMA ELIAS ALAMO SOC..doc</t>
  </si>
  <si>
    <t>C:\Users\franc\OneDrive\Documentos\MALENTIN KARIME\BANCO ESTADO\2012 DEPTO ESCRITURAS fata\NOTARIA 2009\VARIOS\AUTORIZACION firma  PATRICIO PINTO - AGRICOLA ALIRO PINTO.doc</t>
  </si>
  <si>
    <t>C:\Users\franc\OneDrive\Documentos\MALENTIN KARIME\BANCO ESTADO\2012 DEPTO ESCRITURAS fata\NOTARIA 2009\VARIOS\AUTORIZACION FINIQUITOS.doc</t>
  </si>
  <si>
    <t>C:\Users\franc\OneDrive\Documentos\MALENTIN KARIME\BANCO ESTADO\2012 DEPTO ESCRITURAS fata\NOTARIA 2009\VARIOS\AUTORIZACION ESCRITRUAS.doc</t>
  </si>
  <si>
    <t>C:\Users\franc\OneDrive\Documentos\MALENTIN KARIME\BANCO ESTADO\2012 DEPTO ESCRITURAS fata\NOTARIA 2009\VARIOS\AUTORIZACION ESCRITRUAS CON VIGENCIA.doc</t>
  </si>
  <si>
    <t>C:\Users\franc\OneDrive\Documentos\MALENTIN KARIME\BANCO ESTADO\2012 DEPTO ESCRITURAS fata\NOTARIA 2009\VARIOS\AUTORIZACION DIARIO.doc</t>
  </si>
  <si>
    <t>C:\Users\franc\OneDrive\Documentos\MALENTIN KARIME\BANCO ESTADO\2012 DEPTO ESCRITURAS fata\NOTARIA 2009\VARIOS\AUTORIZACION DIARIO digital.doc</t>
  </si>
  <si>
    <t>C:\Users\franc\OneDrive\Documentos\MALENTIN KARIME\BANCO ESTADO\2012 DEPTO ESCRITURAS fata\NOTARIA 2009\VARIOS\AUTORIZACION DESCUBRIMIENTO.doc</t>
  </si>
  <si>
    <t>C:\Users\franc\OneDrive\Documentos\MALENTIN KARIME\BANCO ESTADO\2012 DEPTO ESCRITURAS fata\NOTARIA 2009\VARIOS\AUTORIZACION DERECHO REAL DE USO (BS. NAC).doc</t>
  </si>
  <si>
    <t>C:\Users\franc\OneDrive\Documentos\MALENTIN KARIME\BANCO ESTADO\2012 DEPTO ESCRITURAS fata\NOTARIA 2009\VARIOS\AUTORIZACION COMUNERO (COM. ALCONES.doc</t>
  </si>
  <si>
    <t>C:\Users\franc\OneDrive\Documentos\MALENTIN KARIME\BANCO ESTADO\2012 DEPTO ESCRITURAS fata\NOTARIA 2009\VARIOS\AUTORIZACION  - DECLARACION.doc</t>
  </si>
  <si>
    <t>C:\Users\franc\OneDrive\Documentos\MALENTIN KARIME\BANCO ESTADO\2012 DEPTO ESCRITURAS fata\NOTARIA 2009\VARIOS\AUTORIZ. FIRMAS BDD.doc</t>
  </si>
  <si>
    <t>C:\Users\franc\OneDrive\Documentos\MALENTIN KARIME\BANCO ESTADO\2012 DEPTO ESCRITURAS fata\NOTARIA 2009\VARIOS\AUTORIZ. FIRMA PABLO MUÑOZ.doc</t>
  </si>
  <si>
    <t>C:\Users\franc\OneDrive\Documentos\MALENTIN KARIME\BANCO ESTADO\2012 DEPTO ESCRITURAS fata\NOTARIA 2009\VARIOS\AUTORIZ. FIRMA BASILIO AGUIRRE.doc</t>
  </si>
  <si>
    <t>C:\Users\franc\OneDrive\Documentos\MALENTIN KARIME\BANCO ESTADO\2012 DEPTO ESCRITURAS fata\NOTARIA 2009\VARIOS\AUTORIZ JULIO MONTERO.doc</t>
  </si>
  <si>
    <t>C:\Users\franc\OneDrive\Documentos\MALENTIN KARIME\BANCO ESTADO\2012 DEPTO ESCRITURAS fata\NOTARIA 2009\VARIOS\AUTORIZ FIRMA PROHENS.doc</t>
  </si>
  <si>
    <t>C:\Users\franc\OneDrive\Documentos\MALENTIN KARIME\BANCO ESTADO\2012 DEPTO ESCRITURAS fata\NOTARIA 2009\VARIOS\AUTORIZ FIRMA ALEXIS.doc</t>
  </si>
  <si>
    <t>C:\Users\franc\OneDrive\Documentos\MALENTIN KARIME\BANCO ESTADO\2012 DEPTO ESCRITURAS fata\NOTARIA 2009\VARIOS\AUTORIZ DESCUB MARGEN.doc</t>
  </si>
  <si>
    <t>C:\Users\franc\OneDrive\Documentos\MALENTIN KARIME\BANCO ESTADO\2012 DEPTO ESCRITURAS fata\NOTARIA 2009\VARIOS\AUTORIZ 2.doc</t>
  </si>
  <si>
    <t>C:\Users\franc\OneDrive\Documentos\MALENTIN KARIME\BANCO ESTADO\2012 DEPTO ESCRITURAS fata\NOTARIA 2009\VARIOS\AUDALO SOTO A ELIAS IBACACHE.doc</t>
  </si>
  <si>
    <t>C:\Users\franc\OneDrive\Documentos\MALENTIN KARIME\BANCO ESTADO\2012 DEPTO ESCRITURAS fata\NOTARIA 2009\VARIOS\ARRIENDO PATRICIO PINTO.doc</t>
  </si>
  <si>
    <t>C:\Users\franc\OneDrive\Documentos\MALENTIN KARIME\BANCO ESTADO\2012 DEPTO ESCRITURAS fata\NOTARIA 2009\VARIOS\ARRIENDO MINERO MIGUEL TAPIA.doc</t>
  </si>
  <si>
    <t>C:\Users\franc\OneDrive\Documentos\MALENTIN KARIME\BANCO ESTADO\2012 DEPTO ESCRITURAS fata\NOTARIA 2009\VARIOS\ARRIENDO MINERO MIGUEL TAPIA SAN MIGUEL 1-20.doc</t>
  </si>
  <si>
    <t>C:\Users\franc\OneDrive\Documentos\MALENTIN KARIME\BANCO ESTADO\2012 DEPTO ESCRITURAS fata\NOTARIA 2009\VARIOS\ARRIENDO MINERO BACHITO 1 AL 10.doc</t>
  </si>
  <si>
    <t>C:\Users\franc\OneDrive\Documentos\MALENTIN KARIME\BANCO ESTADO\2012 DEPTO ESCRITURAS fata\NOTARIA 2009\VARIOS\ARRIENDO MINERO BACHITO 1 AL 10 a PABLO DA COSTA MORALES.doc</t>
  </si>
  <si>
    <t>C:\Users\franc\OneDrive\Documentos\MALENTIN KARIME\BANCO ESTADO\2012 DEPTO ESCRITURAS fata\NOTARIA 2009\VARIOS\ARR. CASA COMPLETO NORITA.doc</t>
  </si>
  <si>
    <t>C:\Users\franc\OneDrive\Documentos\MALENTIN KARIME\BANCO ESTADO\2012 DEPTO ESCRITURAS fata\NOTARIA 2009\VARIOS\ARR. CASA COMPLETO JANI.doc</t>
  </si>
  <si>
    <t>C:\Users\franc\OneDrive\Documentos\MALENTIN KARIME\BANCO ESTADO\2012 DEPTO ESCRITURAS fata\NOTARIA 2009\VARIOS\ARR. CASA COMPLETO ANDRES.doc</t>
  </si>
  <si>
    <t>C:\Users\franc\OneDrive\Documentos\MALENTIN KARIME\BANCO ESTADO\2012 DEPTO ESCRITURAS fata\NOTARIA 2009\VARIOS\ANEXO  JUAN.doc</t>
  </si>
  <si>
    <t>C:\Users\franc\OneDrive\Documentos\MALENTIN KARIME\BANCO ESTADO\2012 DEPTO ESCRITURAS fata\NOTARIA 2009\VARIOS\ALEXIS DIAZ (SII).doc</t>
  </si>
  <si>
    <t>C:\Users\franc\OneDrive\Documentos\MALENTIN KARIME\BANCO ESTADO\2012 DEPTO ESCRITURAS fata\NOTARIA 2009\VARIOS\AGRICOLA LOS LEONES SII.doc</t>
  </si>
  <si>
    <t>C:\Users\franc\OneDrive\Documentos\MALENTIN KARIME\BANCO ESTADO\2012 DEPTO ESCRITURAS fata\NOTARIA 2009\VARIOS\AGREGA YASNA.doc</t>
  </si>
  <si>
    <t>C:\Users\franc\OneDrive\Documentos\MALENTIN KARIME\BANCO ESTADO\2012 DEPTO ESCRITURAS fata\NOTARIA 2009\VARIOS\AGREGA PATENTE MITSUI.doc</t>
  </si>
  <si>
    <t>C:\Users\franc\OneDrive\Documentos\MALENTIN KARIME\BANCO ESTADO\2012 DEPTO ESCRITURAS fata\NOTARIA 2009\VARIOS\AGREGA IMPUESTO.doc</t>
  </si>
  <si>
    <t>C:\Users\franc\OneDrive\Documentos\MALENTIN KARIME\BANCO ESTADO\2012 DEPTO ESCRITURAS fata\NOTARIA 2009\VARIOS\AGREGA IMPUESTO VEHICULO.doc</t>
  </si>
  <si>
    <t>C:\Users\franc\OneDrive\Documentos\MALENTIN KARIME\BANCO ESTADO\2012 DEPTO ESCRITURAS fata\NOTARIA 2009\VARIOS\AGREGA IMPUESTO PAGARE.doc</t>
  </si>
  <si>
    <t>C:\Users\franc\OneDrive\Documentos\MALENTIN KARIME\BANCO ESTADO\2012 DEPTO ESCRITURAS fata\NOTARIA 2009\VARIOS\AGREGA IMPUESTO MUTUO.doc</t>
  </si>
  <si>
    <t>C:\Users\franc\OneDrive\Documentos\MALENTIN KARIME\BANCO ESTADO\2012 DEPTO ESCRITURAS fata\NOTARIA 2009\VARIOS\AGREGA IMPUESTO MARUBENI.doc</t>
  </si>
  <si>
    <t>C:\Users\franc\OneDrive\Documentos\MALENTIN KARIME\BANCO ESTADO\2012 DEPTO ESCRITURAS fata\NOTARIA 2009\VARIOS\AGREGA IMPUESTO MARUBENI FINAL.doc</t>
  </si>
  <si>
    <t>C:\Users\franc\OneDrive\Documentos\MALENTIN KARIME\BANCO ESTADO\2012 DEPTO ESCRITURAS fata\NOTARIA 2009\VARIOS\AGREGA IMPUESTO enmendado.doc</t>
  </si>
  <si>
    <t>C:\Users\franc\OneDrive\Documentos\MALENTIN KARIME\BANCO ESTADO\2012 DEPTO ESCRITURAS fata\NOTARIA 2009\VARIOS\AGREGA IMPUESTO AL MARGEN.doc</t>
  </si>
  <si>
    <t>C:\Users\franc\OneDrive\Documentos\MALENTIN KARIME\BANCO ESTADO\2012 DEPTO ESCRITURAS fata\NOTARIA 2009\VARIOS\agrega dos.doc</t>
  </si>
  <si>
    <t>C:\Users\franc\OneDrive\Documentos\MALENTIN KARIME\BANCO ESTADO\2012 DEPTO ESCRITURAS fata\NOTARIA 2009\VARIOS\AGREGA CERTIFICADOS ULTIMOS.doc</t>
  </si>
  <si>
    <t>C:\Users\franc\OneDrive\Documentos\MALENTIN KARIME\BANCO ESTADO\2012 DEPTO ESCRITURAS fata\NOTARIA 2009\VARIOS\AGREGA CERTIFICADO.doc</t>
  </si>
  <si>
    <t>C:\Users\franc\OneDrive\Documentos\MALENTIN KARIME\BANCO ESTADO\2012 DEPTO ESCRITURAS fata\NOTARIA 2009\VARIOS\AGREGA CERTIFICADO PAGO CONTRIB..doc</t>
  </si>
  <si>
    <t>C:\Users\franc\OneDrive\Documentos\MALENTIN KARIME\BANCO ESTADO\2012 DEPTO ESCRITURAS fata\NOTARIA 2009\VARIOS\AGREGA CERTIFICADO matrimonio normal.doc</t>
  </si>
  <si>
    <t>C:\Users\franc\OneDrive\Documentos\MALENTIN KARIME\BANCO ESTADO\2012 DEPTO ESCRITURAS fata\NOTARIA 2009\VARIOS\AGREGA CERTIFICADO matrimonio internet.doc</t>
  </si>
  <si>
    <t>C:\Users\franc\OneDrive\Documentos\MALENTIN KARIME\BANCO ESTADO\2012 DEPTO ESCRITURAS fata\NOTARIA 2009\VARIOS\AGREGA CERTIFICADO 20130 BCO. SANTANDER.doc</t>
  </si>
  <si>
    <t>C:\Users\franc\OneDrive\Documentos\MALENTIN KARIME\BANCO ESTADO\2012 DEPTO ESCRITURAS fata\NOTARIA 2009\VARIOS\AGREGA CERTIFICADO  aguas ASOC. CANALISTAD.doc</t>
  </si>
  <si>
    <t>C:\Users\franc\OneDrive\Documentos\MALENTIN KARIME\BANCO ESTADO\2012 DEPTO ESCRITURAS fata\NOTARIA 2009\VARIOS\AGREGA certific.doc</t>
  </si>
  <si>
    <t>C:\Users\franc\OneDrive\Documentos\MALENTIN KARIME\BANCO ESTADO\2012 DEPTO ESCRITURAS fata\NOTARIA 2009\VARIOS\AGREGA CERTI. VEHICULO.doc</t>
  </si>
  <si>
    <t>C:\Users\franc\OneDrive\Documentos\MALENTIN KARIME\BANCO ESTADO\2012 DEPTO ESCRITURAS fata\NOTARIA 2009\VARIOS\AGREGA CERT. FORMULAIRO 30.doc</t>
  </si>
  <si>
    <t>C:\Users\franc\OneDrive\Documentos\MALENTIN KARIME\BANCO ESTADO\2012 DEPTO ESCRITURAS fata\NOTARIA 2009\VARIOS\ACUERDO REPARATORIO.doc</t>
  </si>
  <si>
    <t>C:\Users\franc\OneDrive\Documentos\MALENTIN KARIME\BANCO ESTADO\2012 DEPTO ESCRITURAS fata\NOTARIA 2009\VARIOS\ACTA VISITA.doc</t>
  </si>
  <si>
    <t>C:\Users\franc\OneDrive\Documentos\MALENTIN KARIME\BANCO ESTADO\2012 DEPTO ESCRITURAS fata\NOTARIA 2009\VARIOS\ACTA VISITA ANUAL.doc</t>
  </si>
  <si>
    <t>C:\Users\franc\OneDrive\Documentos\MALENTIN KARIME\BANCO ESTADO\2012 DEPTO ESCRITURAS fata\NOTARIA 2009\VALLECITO\MARIA ALUCEMA Y OTROS A ANDRES MORALES.doc</t>
  </si>
  <si>
    <t>C:\Users\franc\OneDrive\Documentos\MALENTIN KARIME\BANCO ESTADO\2012 DEPTO ESCRITURAS fata\NOTARIA 2009\VALLECITO\Instruc notario Fundo Vallecito.doc</t>
  </si>
  <si>
    <t>C:\Users\franc\OneDrive\Documentos\MALENTIN KARIME\BANCO ESTADO\2012 DEPTO ESCRITURAS fata\NOTARIA 2009\USUFRUCTO\LUIS PIZARRO ROJAS A VALENTINO.doc</t>
  </si>
  <si>
    <t>C:\Users\franc\OneDrive\Documentos\MALENTIN KARIME\BANCO ESTADO\2012 DEPTO ESCRITURAS fata\NOTARIA 2009\USUFRUCTO\HUGO VALDIVIA A SUS PADRES.doc</t>
  </si>
  <si>
    <t>C:\Users\franc\OneDrive\Documentos\MALENTIN KARIME\BANCO ESTADO\2012 DEPTO ESCRITURAS fata\NOTARIA 2009\USUFRUCTO\CRISTIAN ESQUIVEL.doc</t>
  </si>
  <si>
    <t>C:\Users\franc\OneDrive\Documentos\MALENTIN KARIME\BANCO ESTADO\2012 DEPTO ESCRITURAS fata\NOTARIA 2009\UNIFRUTTI\UNI AGRI SANTA ROSA JULIO 2009.doc</t>
  </si>
  <si>
    <t>C:\Users\franc\OneDrive\Documentos\MALENTIN KARIME\BANCO ESTADO\2012 DEPTO ESCRITURAS fata\NOTARIA 2009\UNIFRUTTI\UNI AGRI SANTA ROSA JULIO 2008.doc</t>
  </si>
  <si>
    <t>C:\Users\franc\OneDrive\Documentos\MALENTIN KARIME\BANCO ESTADO\2012 DEPTO ESCRITURAS fata\NOTARIA 2009\UNIFRUTTI\UNI AGRI NUEVA AURORA.doc</t>
  </si>
  <si>
    <t>C:\Users\franc\OneDrive\Documentos\MALENTIN KARIME\BANCO ESTADO\2012 DEPTO ESCRITURAS fata\NOTARIA 2009\UNIFRUTTI\UNI AGRI LAS REPRESAS.doc</t>
  </si>
  <si>
    <t>C:\Users\franc\OneDrive\Documentos\MALENTIN KARIME\BANCO ESTADO\2012 DEPTO ESCRITURAS fata\NOTARIA 2009\UNIFRUTTI\UNI AGRI EL TREBOL.doc</t>
  </si>
  <si>
    <t>C:\Users\franc\OneDrive\Documentos\MALENTIN KARIME\BANCO ESTADO\2012 DEPTO ESCRITURAS fata\NOTARIA 2009\UNIFRUTTI\SUC. ORDENES A UNIFRUTTI.doc</t>
  </si>
  <si>
    <t>C:\Users\franc\OneDrive\Documentos\MALENTIN KARIME\BANCO ESTADO\2012 DEPTO ESCRITURAS fata\NOTARIA 2009\UNIFRUTTI\SIBERIA  ABRIL 2009.doc</t>
  </si>
  <si>
    <t>C:\Users\franc\OneDrive\Documentos\MALENTIN KARIME\BANCO ESTADO\2012 DEPTO ESCRITURAS fata\NOTARIA 2009\UNIFRUTTI\NUEVA AURORA ABRIL 2009.doc</t>
  </si>
  <si>
    <t>C:\Users\franc\OneDrive\Documentos\MALENTIN KARIME\BANCO ESTADO\2012 DEPTO ESCRITURAS fata\NOTARIA 2009\UNIFRUTTI\LISTADO PAGO SUC. ORDENES.doc</t>
  </si>
  <si>
    <t>C:\Users\franc\OneDrive\Documentos\MALENTIN KARIME\BANCO ESTADO\2012 DEPTO ESCRITURAS fata\NOTARIA 2009\UNIFRUTTI\LAS REPRESAS  ABRIL 2009.doc</t>
  </si>
  <si>
    <t>C:\Users\franc\OneDrive\Documentos\MALENTIN KARIME\BANCO ESTADO\2012 DEPTO ESCRITURAS fata\NOTARIA 2009\UNIFRUTTI\LA COIPA  ABRIL 2009.doc</t>
  </si>
  <si>
    <t>C:\Users\franc\OneDrive\Documentos\MALENTIN KARIME\BANCO ESTADO\2012 DEPTO ESCRITURAS fata\NOTARIA 2009\UNIFRUTTI\JOSE ARACENA A UNIAGRI (AGUAS).doc</t>
  </si>
  <si>
    <t>C:\Users\franc\OneDrive\Documentos\MALENTIN KARIME\BANCO ESTADO\2012 DEPTO ESCRITURAS fata\NOTARIA 2009\UNIFRUTTI\INSTRUC. GLORIA CORTES.doc</t>
  </si>
  <si>
    <t>C:\Users\franc\OneDrive\Documentos\MALENTIN KARIME\BANCO ESTADO\2012 DEPTO ESCRITURAS fata\NOTARIA 2009\UNIFRUTTI\GLORIA CORTES A UNIAGRI (AGUAS).doc</t>
  </si>
  <si>
    <t>C:\Users\franc\OneDrive\Documentos\MALENTIN KARIME\BANCO ESTADO\2012 DEPTO ESCRITURAS fata\NOTARIA 2009\UNIFRUTTI\FUNDO SANTA ROSA ABRIL 2009.doc</t>
  </si>
  <si>
    <t>C:\Users\franc\OneDrive\Documentos\MALENTIN KARIME\BANCO ESTADO\2012 DEPTO ESCRITURAS fata\NOTARIA 2009\UNIFRUTTI\FUNDO CHACARILLAS ABRIL 2009 (2).doc</t>
  </si>
  <si>
    <t>C:\Users\franc\OneDrive\Documentos\MALENTIN KARIME\BANCO ESTADO\2012 DEPTO ESCRITURAS fata\NOTARIA 2009\UNIFRUTTI\fotos.doc</t>
  </si>
  <si>
    <t>C:\Users\franc\OneDrive\Documentos\MALENTIN KARIME\BANCO ESTADO\2012 DEPTO ESCRITURAS fata\NOTARIA 2009\UNIFRUTTI\foto (1).doc</t>
  </si>
  <si>
    <t>C:\Users\franc\OneDrive\Documentos\MALENTIN KARIME\BANCO ESTADO\2012 DEPTO ESCRITURAS fata\NOTARIA 2009\UNIFRUTTI\CHAÑARAL ALTO ABRIL 2009.doc</t>
  </si>
  <si>
    <t>C:\Users\franc\OneDrive\Documentos\MALENTIN KARIME\BANCO ESTADO\2012 DEPTO ESCRITURAS fata\NOTARIA 2009\UNIFRUTTI\CHACARILLAS JULIO 2009.doc</t>
  </si>
  <si>
    <t>C:\Users\franc\OneDrive\Documentos\MALENTIN KARIME\BANCO ESTADO\2012 DEPTO ESCRITURAS fata\NOTARIA 2009\UNIFRUTTI\CHACARILLAS ABRIL 2009.doc</t>
  </si>
  <si>
    <t>C:\Users\franc\OneDrive\Documentos\MALENTIN KARIME\BANCO ESTADO\2012 DEPTO ESCRITURAS fata\NOTARIA 2009\UNIFRUTTI\Carta-Instrucción-Compra-Aguas-OrdenesOK.doc</t>
  </si>
  <si>
    <t>C:\Users\franc\OneDrive\Documentos\MALENTIN KARIME\BANCO ESTADO\2012 DEPTO ESCRITURAS fata\NOTARIA 2009\UNIFRUTTI\Carta-Instrucción-Compra-Aguas-Corral.doc</t>
  </si>
  <si>
    <t>C:\Users\franc\OneDrive\Documentos\MALENTIN KARIME\BANCO ESTADO\2012 DEPTO ESCRITURAS fata\NOTARIA 2009\UNIFRUTTI\Carta-Instrucción-Compra-Aguas-Aracena.doc</t>
  </si>
  <si>
    <t>C:\Users\franc\OneDrive\Documentos\MALENTIN KARIME\BANCO ESTADO\2012 DEPTO ESCRITURAS fata\NOTARIA 2009\UNIFRUTTI\ANTONIO CORRAL MOREY (AGUAS).doc</t>
  </si>
  <si>
    <t>C:\Users\franc\OneDrive\Documentos\MALENTIN KARIME\BANCO ESTADO\2012 DEPTO ESCRITURAS fata\NOTARIA 2009\UNIFRUTTI\ACTAS UNIAGRI- CAMARICO.doc</t>
  </si>
  <si>
    <t>C:\Users\franc\OneDrive\Documentos\MALENTIN KARIME\BANCO ESTADO\2012 DEPTO ESCRITURAS fata\NOTARIA 2009\UNIFRUTTI\ACTAS UNI-AGRI.doc</t>
  </si>
  <si>
    <t>C:\Users\franc\OneDrive\Documentos\MALENTIN KARIME\BANCO ESTADO\2012 DEPTO ESCRITURAS fata\NOTARIA 2009\UNIFRUTTI\ACTAS UNI-AGRI NUEVA AURORA (2 CUARTELES).doc</t>
  </si>
  <si>
    <t>C:\Users\franc\OneDrive\Documentos\MALENTIN KARIME\BANCO ESTADO\2012 DEPTO ESCRITURAS fata\NOTARIA 2009\UNIFRUTTI\ACTAS UNI-AGRI LA ISLA.doc</t>
  </si>
  <si>
    <t>C:\Users\franc\OneDrive\Documentos\MALENTIN KARIME\BANCO ESTADO\2012 DEPTO ESCRITURAS fata\NOTARIA 2009\UNIFRUTTI\ACTAS UNI-AGRI LA CHACARILLA.doc</t>
  </si>
  <si>
    <t>C:\Users\franc\OneDrive\Documentos\MALENTIN KARIME\BANCO ESTADO\2012 DEPTO ESCRITURAS fata\NOTARIA 2009\UNIFRUTTI\ACTAS UNI-AGRI HUANILLA  MAYO 2008.doc</t>
  </si>
  <si>
    <t>C:\Users\franc\OneDrive\Documentos\MALENTIN KARIME\BANCO ESTADO\2012 DEPTO ESCRITURAS fata\NOTARIA 2009\UNIFRUTTI\ACTAS UNI-AGRI CHACARILLAS  MAYO 2008.doc</t>
  </si>
  <si>
    <t>C:\Users\franc\OneDrive\Documentos\MALENTIN KARIME\BANCO ESTADO\2012 DEPTO ESCRITURAS fata\NOTARIA 2009\UNIFRUTTI\ACTAS UNI-AGRI 3.doc</t>
  </si>
  <si>
    <t>C:\Users\franc\OneDrive\Documentos\MALENTIN KARIME\BANCO ESTADO\2012 DEPTO ESCRITURAS fata\NOTARIA 2009\UNIFRUTTI\ACTAS UNI-AGRI 2.doc</t>
  </si>
  <si>
    <t>C:\Users\franc\OneDrive\Documentos\MALENTIN KARIME\BANCO ESTADO\2012 DEPTO ESCRITURAS fata\NOTARIA 2009\UNIFRUTTI\ACTAS UNI-AGRI 09 05 2008.doc</t>
  </si>
  <si>
    <t>C:\Users\franc\OneDrive\Documentos\MALENTIN KARIME\BANCO ESTADO\2012 DEPTO ESCRITURAS fata\NOTARIA 2009\UNIFRUTTI\ACTAS UNI-AGRI  LA COIPA.doc</t>
  </si>
  <si>
    <t>C:\Users\franc\OneDrive\Documentos\MALENTIN KARIME\BANCO ESTADO\2012 DEPTO ESCRITURAS fata\NOTARIA 2009\UNIFRUTTI\ACTAS UNI-AGRI  6.doc</t>
  </si>
  <si>
    <t>C:\Users\franc\OneDrive\Documentos\MALENTIN KARIME\BANCO ESTADO\2012 DEPTO ESCRITURAS fata\NOTARIA 2009\UNIFRUTTI\ACTAS UNI-AGRI  5.doc</t>
  </si>
  <si>
    <t>C:\Users\franc\OneDrive\Documentos\MALENTIN KARIME\BANCO ESTADO\2012 DEPTO ESCRITURAS fata\NOTARIA 2009\UNIFRUTTI\ACTAS UNI-AGRI  4.doc</t>
  </si>
  <si>
    <t>C:\Users\franc\OneDrive\Documentos\MALENTIN KARIME\BANCO ESTADO\2012 DEPTO ESCRITURAS fata\NOTARIA 2009\UNIFRUTTI\ACTA PREDIO SANTA ROAS.doc</t>
  </si>
  <si>
    <t>C:\Users\franc\OneDrive\Documentos\MALENTIN KARIME\BANCO ESTADO\2012 DEPTO ESCRITURAS fata\NOTARIA 2009\UNIFRUTTI\ACTA PREDIO LAS REPRESAS.doc</t>
  </si>
  <si>
    <t>C:\Users\franc\OneDrive\Documentos\MALENTIN KARIME\BANCO ESTADO\2012 DEPTO ESCRITURAS fata\NOTARIA 2009\UNIFRUTTI\ACTA PREDIO LAS REPRESAS JULIO 2009.doc</t>
  </si>
  <si>
    <t>C:\Users\franc\OneDrive\Documentos\MALENTIN KARIME\BANCO ESTADO\2012 DEPTO ESCRITURAS fata\NOTARIA 2009\UNIFRUTTI\ACTA PREDIO CHACARILLAS.doc</t>
  </si>
  <si>
    <t>C:\Users\franc\OneDrive\Documentos\MALENTIN KARIME\BANCO ESTADO\2012 DEPTO ESCRITURAS fata\NOTARIA 2009\UNIFRUTTI\ACTA LA COIPA SECTORES 11, 12 Y 13.doc</t>
  </si>
  <si>
    <t>C:\Users\franc\OneDrive\Documentos\MALENTIN KARIME\BANCO ESTADO\2012 DEPTO ESCRITURAS fata\NOTARIA 2009\UNIFRUTTI\ACTA HUANILLA CUARTELES 21,23, 24 Y 25.doc</t>
  </si>
  <si>
    <t>C:\Users\franc\OneDrive\Documentos\MALENTIN KARIME\BANCO ESTADO\2012 DEPTO ESCRITURAS fata\NOTARIA 2009\UNIFRUTTI\ACTA FUNDO PREDIO TUQUI  NOVIEMBRE 2008.doc</t>
  </si>
  <si>
    <t>C:\Users\franc\OneDrive\Documentos\MALENTIN KARIME\BANCO ESTADO\2012 DEPTO ESCRITURAS fata\NOTARIA 2009\UNIFRUTTI\ACTA FUNDO NUEVA AURORA (AGOSTO 2008).doc</t>
  </si>
  <si>
    <t>C:\Users\franc\OneDrive\Documentos\MALENTIN KARIME\BANCO ESTADO\2012 DEPTO ESCRITURAS fata\NOTARIA 2009\UNIFRUTTI\ACTA EL TREBOL.doc</t>
  </si>
  <si>
    <t>C:\Users\franc\OneDrive\Documentos\MALENTIN KARIME\BANCO ESTADO\2012 DEPTO ESCRITURAS fata\NOTARIA 2009\UNIFRUTTI\ACTA CITRICOS  CLEMENTINAS.doc</t>
  </si>
  <si>
    <t>C:\Users\franc\OneDrive\Documentos\MALENTIN KARIME\BANCO ESTADO\2012 DEPTO ESCRITURAS fata\NOTARIA 2009\UNIFRUTTI\ACTA CITRICOS  CLEMENTINAS (7,8,9,10.doc</t>
  </si>
  <si>
    <t>C:\Users\franc\OneDrive\Documentos\MALENTIN KARIME\BANCO ESTADO\2012 DEPTO ESCRITURAS fata\NOTARIA 2009\UNIFRUTTI\ACTA CAMARICO.doc</t>
  </si>
  <si>
    <t>C:\Users\franc\OneDrive\Documentos\MALENTIN KARIME\BANCO ESTADO\2012 DEPTO ESCRITURAS fata\NOTARIA 2009\UNIFRUTTI\ACTA 2.doc</t>
  </si>
  <si>
    <t>C:\Users\franc\OneDrive\Documentos\MALENTIN KARIME\BANCO ESTADO\2012 DEPTO ESCRITURAS fata\NOTARIA 2009\TRANSACCION\TOMAS CERDA A MARNIE DINAMARCA.doc</t>
  </si>
  <si>
    <t>C:\Users\franc\OneDrive\Documentos\MALENTIN KARIME\BANCO ESTADO\2012 DEPTO ESCRITURAS fata\NOTARIA 2009\TRANSACCION\PEDRO OLIVARES BCO.doc</t>
  </si>
  <si>
    <t>C:\Users\franc\OneDrive\Documentos\MALENTIN KARIME\BANCO ESTADO\2012 DEPTO ESCRITURAS fata\NOTARIA 2009\TRANSACCION\MODELO TRANSACCION.doc</t>
  </si>
  <si>
    <t>C:\Users\franc\OneDrive\Documentos\MALENTIN KARIME\BANCO ESTADO\2012 DEPTO ESCRITURAS fata\NOTARIA 2009\TRANSACCION\CONSUELO CALDERON A PABLO DANKE.doc</t>
  </si>
  <si>
    <t>C:\Users\franc\OneDrive\Documentos\MALENTIN KARIME\BANCO ESTADO\2012 DEPTO ESCRITURAS fata\NOTARIA 2009\TESTAMENTOS\SATURNINO CAQUEO TRONCOSO.doc</t>
  </si>
  <si>
    <t>C:\Users\franc\OneDrive\Documentos\MALENTIN KARIME\BANCO ESTADO\2012 DEPTO ESCRITURAS fata\NOTARIA 2009\TESTAMENTOS\MODELO.doc</t>
  </si>
  <si>
    <t>C:\Users\franc\OneDrive\Documentos\MALENTIN KARIME\BANCO ESTADO\2012 DEPTO ESCRITURAS fata\NOTARIA 2009\TESTAMENTOS\MODELO TESTAMENTO.doc</t>
  </si>
  <si>
    <t>C:\Users\franc\OneDrive\Documentos\MALENTIN KARIME\BANCO ESTADO\2012 DEPTO ESCRITURAS fata\NOTARIA 2009\TESTAMENTOS\LUISA SEGURA.doc</t>
  </si>
  <si>
    <t>C:\Users\franc\OneDrive\Documentos\MALENTIN KARIME\BANCO ESTADO\2012 DEPTO ESCRITURAS fata\NOTARIA 2009\TESTAMENTOS\ELENA OGALDE ARAYA.doc</t>
  </si>
  <si>
    <t>C:\Users\franc\OneDrive\Documentos\MALENTIN KARIME\BANCO ESTADO\2012 DEPTO ESCRITURAS fata\NOTARIA 2009\TESTAMENTOS\BELLA GARCIA.doc</t>
  </si>
  <si>
    <t>C:\Users\franc\OneDrive\Documentos\MALENTIN KARIME\BANCO ESTADO\2012 DEPTO ESCRITURAS fata\NOTARIA 2009\TESTAMENTOS\ANA RUTH ROJAS  JIMENEZ.doc</t>
  </si>
  <si>
    <t>C:\Users\franc\OneDrive\Documentos\MALENTIN KARIME\BANCO ESTADO\2012 DEPTO ESCRITURAS fata\NOTARIA 2009\SUMINISTRO AGUA\INMOBILIAIRA RENACER A JOSE MIGUEL ZEPEDA.doc</t>
  </si>
  <si>
    <t>C:\Users\franc\OneDrive\Documentos\MALENTIN KARIME\BANCO ESTADO\2012 DEPTO ESCRITURAS fata\NOTARIA 2009\SOCIEDAD DE HECHO\FUAD ALAMO.doc</t>
  </si>
  <si>
    <t>C:\Users\franc\OneDrive\Documentos\MALENTIN KARIME\BANCO ESTADO\2012 DEPTO ESCRITURAS fata\NOTARIA 2009\SOCIEDAD\SOLEDAD FARR TAPIA Y OTRA.doc</t>
  </si>
  <si>
    <t>C:\Users\franc\OneDrive\Documentos\MALENTIN KARIME\BANCO ESTADO\2012 DEPTO ESCRITURAS fata\NOTARIA 2009\SOCIEDAD\SOCIEDAD OVALLE.doc</t>
  </si>
  <si>
    <t>C:\Users\franc\OneDrive\Documentos\MALENTIN KARIME\BANCO ESTADO\2012 DEPTO ESCRITURAS fata\NOTARIA 2009\SOCIEDAD\SOCIEDAD ORTIZ Y DIAZ LTDA. EXTRACTO.doc</t>
  </si>
  <si>
    <t>C:\Users\franc\OneDrive\Documentos\MALENTIN KARIME\BANCO ESTADO\2012 DEPTO ESCRITURAS fata\NOTARIA 2009\SOCIEDAD\SOC. VILLA AMANECER.doc</t>
  </si>
  <si>
    <t>C:\Users\franc\OneDrive\Documentos\MALENTIN KARIME\BANCO ESTADO\2012 DEPTO ESCRITURAS fata\NOTARIA 2009\SOCIEDAD\SOC. OVASER (NIÑOS BANCO).doc</t>
  </si>
  <si>
    <t>C:\Users\franc\OneDrive\Documentos\MALENTIN KARIME\BANCO ESTADO\2012 DEPTO ESCRITURAS fata\NOTARIA 2009\SOCIEDAD\SOC. HNOS MILLAHUALA.doc</t>
  </si>
  <si>
    <t>C:\Users\franc\OneDrive\Documentos\MALENTIN KARIME\BANCO ESTADO\2012 DEPTO ESCRITURAS fata\NOTARIA 2009\SOCIEDAD\SOC. DESARROLLO Y CAPAC. LABORAL (JOSE HERNANDEZ).doc</t>
  </si>
  <si>
    <t>C:\Users\franc\OneDrive\Documentos\MALENTIN KARIME\BANCO ESTADO\2012 DEPTO ESCRITURAS fata\NOTARIA 2009\SOCIEDAD\SOC. DESARROLLO Y CAP. LABORAL EXTRACTO.doc</t>
  </si>
  <si>
    <t>C:\Users\franc\OneDrive\Documentos\MALENTIN KARIME\BANCO ESTADO\2012 DEPTO ESCRITURAS fata\NOTARIA 2009\SOCIEDAD\RODRIGO BRAVO Y CIA. LTDA..doc</t>
  </si>
  <si>
    <t>C:\Users\franc\OneDrive\Documentos\MALENTIN KARIME\BANCO ESTADO\2012 DEPTO ESCRITURAS fata\NOTARIA 2009\SOCIEDAD\RODRIGO BRAVO EXTRACTO.doc</t>
  </si>
  <si>
    <t>C:\Users\franc\OneDrive\Documentos\MALENTIN KARIME\BANCO ESTADO\2012 DEPTO ESCRITURAS fata\NOTARIA 2009\SOCIEDAD\PICHASCA EXTRACTO.doc</t>
  </si>
  <si>
    <t>C:\Users\franc\OneDrive\Documentos\MALENTIN KARIME\BANCO ESTADO\2012 DEPTO ESCRITURAS fata\NOTARIA 2009\SOCIEDAD\OVATRUZ COMERCIAL.doc</t>
  </si>
  <si>
    <t>C:\Users\franc\OneDrive\Documentos\MALENTIN KARIME\BANCO ESTADO\2012 DEPTO ESCRITURAS fata\NOTARIA 2009\SOCIEDAD\MONICA GALLARDO E HIJOS (ROMELIO GAJARDO).doc</t>
  </si>
  <si>
    <t>C:\Users\franc\OneDrive\Documentos\MALENTIN KARIME\BANCO ESTADO\2012 DEPTO ESCRITURAS fata\NOTARIA 2009\SOCIEDAD\MODELO SOCIEDAD.doc</t>
  </si>
  <si>
    <t>C:\Users\franc\OneDrive\Documentos\MALENTIN KARIME\BANCO ESTADO\2012 DEPTO ESCRITURAS fata\NOTARIA 2009\SOCIEDAD\MODELO SOC. CONTRACTUAL MINERA.doc</t>
  </si>
  <si>
    <t>C:\Users\franc\OneDrive\Documentos\MALENTIN KARIME\BANCO ESTADO\2012 DEPTO ESCRITURAS fata\NOTARIA 2009\SOCIEDAD\MODELO SOC-.doc</t>
  </si>
  <si>
    <t>C:\Users\franc\OneDrive\Documentos\MALENTIN KARIME\BANCO ESTADO\2012 DEPTO ESCRITURAS fata\NOTARIA 2009\SOCIEDAD\MODELO EXTRACTO E.I.R.L.doc</t>
  </si>
  <si>
    <t>C:\Users\franc\OneDrive\Documentos\MALENTIN KARIME\BANCO ESTADO\2012 DEPTO ESCRITURAS fata\NOTARIA 2009\SOCIEDAD\LUIS CASTRO FRANCO E.I.R.L. (AB. AGUSTO CABRERA.doc</t>
  </si>
  <si>
    <t>C:\Users\franc\OneDrive\Documentos\MALENTIN KARIME\BANCO ESTADO\2012 DEPTO ESCRITURAS fata\NOTARIA 2009\SOCIEDAD\LUIS CASTRO FRANCO (RESCILIACION).doc</t>
  </si>
  <si>
    <t>C:\Users\franc\OneDrive\Documentos\MALENTIN KARIME\BANCO ESTADO\2012 DEPTO ESCRITURAS fata\NOTARIA 2009\SOCIEDAD\LIS CASTRO FRANCO - EXTRACTO.doc</t>
  </si>
  <si>
    <t>C:\Users\franc\OneDrive\Documentos\MALENTIN KARIME\BANCO ESTADO\2012 DEPTO ESCRITURAS fata\NOTARIA 2009\SOCIEDAD\JULIA CORTES.doc</t>
  </si>
  <si>
    <t>C:\Users\franc\OneDrive\Documentos\MALENTIN KARIME\BANCO ESTADO\2012 DEPTO ESCRITURAS fata\NOTARIA 2009\SOCIEDAD\JULIA CORTES EXTRACTO.doc</t>
  </si>
  <si>
    <t>C:\Users\franc\OneDrive\Documentos\MALENTIN KARIME\BANCO ESTADO\2012 DEPTO ESCRITURAS fata\NOTARIA 2009\SOCIEDAD\JULIA CORTES 2.doc</t>
  </si>
  <si>
    <t>C:\Users\franc\OneDrive\Documentos\MALENTIN KARIME\BANCO ESTADO\2012 DEPTO ESCRITURAS fata\NOTARIA 2009\SOCIEDAD\GERMAN GUZMAN.doc</t>
  </si>
  <si>
    <t>C:\Users\franc\OneDrive\Documentos\MALENTIN KARIME\BANCO ESTADO\2012 DEPTO ESCRITURAS fata\NOTARIA 2009\SOCIEDAD\GERMAN GUZMAN  EXTRACTO.doc</t>
  </si>
  <si>
    <t>C:\Users\franc\OneDrive\Documentos\MALENTIN KARIME\BANCO ESTADO\2012 DEPTO ESCRITURAS fata\NOTARIA 2009\SOCIEDAD\FORMA INVERSIONES.doc</t>
  </si>
  <si>
    <t>C:\Users\franc\OneDrive\Documentos\MALENTIN KARIME\BANCO ESTADO\2012 DEPTO ESCRITURAS fata\NOTARIA 2009\SOCIEDAD\EXTRACTOsociedad VILLA AMANECERok.doc</t>
  </si>
  <si>
    <t>C:\Users\franc\OneDrive\Documentos\MALENTIN KARIME\BANCO ESTADO\2012 DEPTO ESCRITURAS fata\NOTARIA 2009\SOCIEDAD\EXTRACTO SOCIEDAD ANCESTRAL DISEÑO LIMITADA.doc</t>
  </si>
  <si>
    <t>C:\Users\franc\OneDrive\Documentos\MALENTIN KARIME\BANCO ESTADO\2012 DEPTO ESCRITURAS fata\NOTARIA 2009\SOCIEDAD\EXTRACTO ROMELIO GAJARDO[1].doc</t>
  </si>
  <si>
    <t>C:\Users\franc\OneDrive\Documentos\MALENTIN KARIME\BANCO ESTADO\2012 DEPTO ESCRITURAS fata\NOTARIA 2009\SOCIEDAD\EXTRACTO niños banco.doc</t>
  </si>
  <si>
    <t>C:\Users\franc\OneDrive\Documentos\MALENTIN KARIME\BANCO ESTADO\2012 DEPTO ESCRITURAS fata\NOTARIA 2009\SOCIEDAD\EXTRACTO FORMA2.doc</t>
  </si>
  <si>
    <t>C:\Users\franc\OneDrive\Documentos\MALENTIN KARIME\BANCO ESTADO\2012 DEPTO ESCRITURAS fata\NOTARIA 2009\SOCIEDAD\extracto de espaciotrans limitada.doc</t>
  </si>
  <si>
    <t>C:\Users\franc\OneDrive\Documentos\MALENTIN KARIME\BANCO ESTADO\2012 DEPTO ESCRITURAS fata\NOTARIA 2009\SOCIEDAD\EXTRACTO CORNELIO PORTILLA.doc</t>
  </si>
  <si>
    <t>C:\Users\franc\OneDrive\Documentos\MALENTIN KARIME\BANCO ESTADO\2012 DEPTO ESCRITURAS fata\NOTARIA 2009\SOCIEDAD\ESPACIO TRANS  (BORIS MONARDEZ).doc</t>
  </si>
  <si>
    <t>C:\Users\franc\OneDrive\Documentos\MALENTIN KARIME\BANCO ESTADO\2012 DEPTO ESCRITURAS fata\NOTARIA 2009\SOCIEDAD\CORNELIO PORTILLA E.I.R.L..doc</t>
  </si>
  <si>
    <t>C:\Users\franc\OneDrive\Documentos\MALENTIN KARIME\BANCO ESTADO\2012 DEPTO ESCRITURAS fata\NOTARIA 2009\SOCIEDAD\CONSTITUCION DE SOC, LTDA. ZAVALA Y MONTALVAN.doc</t>
  </si>
  <si>
    <t>C:\Users\franc\OneDrive\Documentos\MALENTIN KARIME\BANCO ESTADO\2012 DEPTO ESCRITURAS fata\NOTARIA 2009\SOCIEDAD\COMERCIAL LAS TINAJAS EXTRACTO (MODIFICAC).doc</t>
  </si>
  <si>
    <t>C:\Users\franc\OneDrive\Documentos\MALENTIN KARIME\BANCO ESTADO\2012 DEPTO ESCRITURAS fata\NOTARIA 2009\SOCIEDAD\COMERCIAL LAS TINAJAS (MODIF. SOC).doc</t>
  </si>
  <si>
    <t>C:\Users\franc\OneDrive\Documentos\MALENTIN KARIME\BANCO ESTADO\2012 DEPTO ESCRITURAS fata\NOTARIA 2009\SOCIEDAD\BOSS CONSULTORES CIA LTDA  (BCO. PARIS.doc</t>
  </si>
  <si>
    <t>C:\Users\franc\OneDrive\Documentos\MALENTIN KARIME\BANCO ESTADO\2012 DEPTO ESCRITURAS fata\NOTARIA 2009\SOCIEDAD\ASESORIAS GEOMINERAS.doc</t>
  </si>
  <si>
    <t>C:\Users\franc\OneDrive\Documentos\MALENTIN KARIME\BANCO ESTADO\2012 DEPTO ESCRITURAS fata\NOTARIA 2009\SOCIEDAD\ANCESTRAL LTDA.doc</t>
  </si>
  <si>
    <t>C:\Users\franc\OneDrive\Documentos\MALENTIN KARIME\BANCO ESTADO\2012 DEPTO ESCRITURAS fata\NOTARIA 2009\SOCIEDAD\AGRICOLA SANTA MARTA EXTRACTO.doc</t>
  </si>
  <si>
    <t>C:\Users\franc\OneDrive\Documentos\MALENTIN KARIME\BANCO ESTADO\2012 DEPTO ESCRITURAS fata\NOTARIA 2009\SOC. VERANEO PACIFICO\RODRIGO CORTES OYANADEL.doc</t>
  </si>
  <si>
    <t>C:\Users\franc\OneDrive\Documentos\MALENTIN KARIME\BANCO ESTADO\2012 DEPTO ESCRITURAS fata\NOTARIA 2009\SOC. VERANEO PACIFICO\INES PIERATTINI A LUIS DONOSO.doc</t>
  </si>
  <si>
    <t>C:\Users\franc\OneDrive\Documentos\MALENTIN KARIME\BANCO ESTADO\2012 DEPTO ESCRITURAS fata\NOTARIA 2009\SOC. VERANEO PACIFICO\HUMBERTO DONOSO A JUAN TORRES E IRIS VEGA.doc</t>
  </si>
  <si>
    <t>C:\Users\franc\OneDrive\Documentos\MALENTIN KARIME\BANCO ESTADO\2012 DEPTO ESCRITURAS fata\NOTARIA 2009\SOC. VERANEO PACIFICO\HERMANOS ALVARADO PROMESA.doc</t>
  </si>
  <si>
    <t>C:\Users\franc\OneDrive\Documentos\MALENTIN KARIME\BANCO ESTADO\2012 DEPTO ESCRITURAS fata\NOTARIA 2009\SOC. VERANEO PACIFICO\HERMANOS ALVARADO COMPRAVENTA.doc</t>
  </si>
  <si>
    <t>C:\Users\franc\OneDrive\Documentos\MALENTIN KARIME\BANCO ESTADO\2012 DEPTO ESCRITURAS fata\NOTARIA 2009\SOC. VERANEO PACIFICO\HANALI BARRANTES (AGUAS) 2.doc</t>
  </si>
  <si>
    <t>C:\Users\franc\OneDrive\Documentos\MALENTIN KARIME\BANCO ESTADO\2012 DEPTO ESCRITURAS fata\NOTARIA 2009\SOC. VERANEO PACIFICO\HANALI BARRANTES (AGUAS) 1.doc</t>
  </si>
  <si>
    <t>C:\Users\franc\OneDrive\Documentos\MALENTIN KARIME\BANCO ESTADO\2012 DEPTO ESCRITURAS fata\NOTARIA 2009\SOC. VERANEO PACIFICO\FELIX SANTANDER.doc</t>
  </si>
  <si>
    <t>C:\Users\franc\OneDrive\Documentos\MALENTIN KARIME\BANCO ESTADO\2012 DEPTO ESCRITURAS fata\NOTARIA 2009\SOC. VERANEO PACIFICO\CARMEN DONOSO TELLO.doc</t>
  </si>
  <si>
    <t>C:\Users\franc\OneDrive\Documentos\MALENTIN KARIME\BANCO ESTADO\2012 DEPTO ESCRITURAS fata\NOTARIA 2009\SOC. VERANEO PACIFICO\CARLOS BARRA SOTO.doc</t>
  </si>
  <si>
    <t>C:\Users\franc\OneDrive\Documentos\MALENTIN KARIME\BANCO ESTADO\2012 DEPTO ESCRITURAS fata\NOTARIA 2009\SERGIO PERALTA\VISION ESTRATEGICA LTDA. (SOCIEDAD JULIO MONTERO).doc</t>
  </si>
  <si>
    <t>C:\Users\franc\OneDrive\Documentos\MALENTIN KARIME\BANCO ESTADO\2012 DEPTO ESCRITURAS fata\NOTARIA 2009\SERGIO PERALTA\RATIFICACION CLAUDIO FERNANDEZ}.doc</t>
  </si>
  <si>
    <t>C:\Users\franc\OneDrive\Documentos\MALENTIN KARIME\BANCO ESTADO\2012 DEPTO ESCRITURAS fata\NOTARIA 2009\SERGIO PERALTA\extractoMONTERO 2 ORGANISMO TEC 26-08-09[mejorado][1]UV-2[1].doc</t>
  </si>
  <si>
    <t>C:\Users\franc\OneDrive\Documentos\MALENTIN KARIME\BANCO ESTADO\2012 DEPTO ESCRITURAS fata\NOTARIA 2009\SERGIO PERALTA\extracto MONTERO UNO 28-08-09[mejorado][1]uv-2[1].doc</t>
  </si>
  <si>
    <t>C:\Users\franc\OneDrive\Documentos\MALENTIN KARIME\BANCO ESTADO\2012 DEPTO ESCRITURAS fata\NOTARIA 2009\SERGIO PERALTA\EMPRENDIMIENTO LIMITADA (SOCIEDAD JULIO MONTERO).doc</t>
  </si>
  <si>
    <t>C:\Users\franc\OneDrive\Documentos\MALENTIN KARIME\BANCO ESTADO\2012 DEPTO ESCRITURAS fata\NOTARIA 2009\SERGIO PERALTA\EGLANTINA MUNDACA (CESION DERECHOS).doc</t>
  </si>
  <si>
    <t>C:\Users\franc\OneDrive\Documentos\MALENTIN KARIME\BANCO ESTADO\2012 DEPTO ESCRITURAS fata\NOTARIA 2009\SERGIO PERALTA\CLAUDIA HENRIQUEZ A ARKON (CTTO. CONSTRUC).doc</t>
  </si>
  <si>
    <t>C:\Users\franc\OneDrive\Documentos\MALENTIN KARIME\BANCO ESTADO\2012 DEPTO ESCRITURAS fata\NOTARIA 2009\SERGIO PERALTA\CAROLINA CARVAJAL A SERGIO PERALTA (MANDATO JUDICIAL).doc</t>
  </si>
  <si>
    <t>C:\Users\franc\OneDrive\Documentos\MALENTIN KARIME\BANCO ESTADO\2012 DEPTO ESCRITURAS fata\NOTARIA 2009\SERGIO PERALTA\AMIGO DE DON RODRIGO.doc</t>
  </si>
  <si>
    <t>C:\Users\franc\OneDrive\Documentos\MALENTIN KARIME\BANCO ESTADO\2012 DEPTO ESCRITURAS fata\NOTARIA 2009\SERGIO GALLEGUILLOS\USUFRUCTO CARMENCITA BLANCO.doc</t>
  </si>
  <si>
    <t>C:\Users\franc\OneDrive\Documentos\MALENTIN KARIME\BANCO ESTADO\2012 DEPTO ESCRITURAS fata\NOTARIA 2009\SERGIO GALLEGUILLOS\BENERANDA MONARDEZ A ANA PINILLA (LULU).doc</t>
  </si>
  <si>
    <t>C:\Users\franc\OneDrive\Documentos\MALENTIN KARIME\BANCO ESTADO\2012 DEPTO ESCRITURAS fata\NOTARIA 2009\SEPARACION DE BIENES\RODOLFO ARAYA Y ELLY CORTES.doc</t>
  </si>
  <si>
    <t>C:\Users\franc\OneDrive\Documentos\MALENTIN KARIME\BANCO ESTADO\2012 DEPTO ESCRITURAS fata\NOTARIA 2009\SEPARACION DE BIENES\MIGUEL FARIAS Y JANET ARAYA.doc</t>
  </si>
  <si>
    <t>C:\Users\franc\OneDrive\Documentos\MALENTIN KARIME\BANCO ESTADO\2012 DEPTO ESCRITURAS fata\NOTARIA 2009\SEPARACION DE BIENES\EDGARDO SAUD Y ROSA CORTES.doc</t>
  </si>
  <si>
    <t>C:\Users\franc\OneDrive\Documentos\MALENTIN KARIME\BANCO ESTADO\2012 DEPTO ESCRITURAS fata\NOTARIA 2009\SAMUEL ROJO\HIPOTECA SAMUEL ROJO A ESSO.doc</t>
  </si>
  <si>
    <t>C:\Users\franc\OneDrive\Documentos\MALENTIN KARIME\BANCO ESTADO\2012 DEPTO ESCRITURAS fata\NOTARIA 2009\ROSITA DIAZ\WILMA BARRAZA  (JULIO).doc</t>
  </si>
  <si>
    <t>C:\Users\franc\OneDrive\Documentos\MALENTIN KARIME\BANCO ESTADO\2012 DEPTO ESCRITURAS fata\NOTARIA 2009\ROSITA DIAZ\VIOLETA MENA (JULIO).doc</t>
  </si>
  <si>
    <t>C:\Users\franc\OneDrive\Documentos\MALENTIN KARIME\BANCO ESTADO\2012 DEPTO ESCRITURAS fata\NOTARIA 2009\ROSITA DIAZ\VICTOR CORTES  (JULIO).doc</t>
  </si>
  <si>
    <t>C:\Users\franc\OneDrive\Documentos\MALENTIN KARIME\BANCO ESTADO\2012 DEPTO ESCRITURAS fata\NOTARIA 2009\ROSITA DIAZ\ULISES ROJAS  (JULIO).doc</t>
  </si>
  <si>
    <t>C:\Users\franc\OneDrive\Documentos\MALENTIN KARIME\BANCO ESTADO\2012 DEPTO ESCRITURAS fata\NOTARIA 2009\ROSITA DIAZ\SUSANA LEMUS.doc</t>
  </si>
  <si>
    <t>C:\Users\franc\OneDrive\Documentos\MALENTIN KARIME\BANCO ESTADO\2012 DEPTO ESCRITURAS fata\NOTARIA 2009\ROSITA DIAZ\SILVERIO CONTRERAS (JULIO).doc</t>
  </si>
  <si>
    <t>C:\Users\franc\OneDrive\Documentos\MALENTIN KARIME\BANCO ESTADO\2012 DEPTO ESCRITURAS fata\NOTARIA 2009\ROSITA DIAZ\SERGIO CORREA.doc</t>
  </si>
  <si>
    <t>C:\Users\franc\OneDrive\Documentos\MALENTIN KARIME\BANCO ESTADO\2012 DEPTO ESCRITURAS fata\NOTARIA 2009\ROSITA DIAZ\SERGIO CARVAJAL PONCE  (JULIO).doc</t>
  </si>
  <si>
    <t>C:\Users\franc\OneDrive\Documentos\MALENTIN KARIME\BANCO ESTADO\2012 DEPTO ESCRITURAS fata\NOTARIA 2009\ROSITA DIAZ\SANDRA TAPIA.doc</t>
  </si>
  <si>
    <t>C:\Users\franc\OneDrive\Documentos\MALENTIN KARIME\BANCO ESTADO\2012 DEPTO ESCRITURAS fata\NOTARIA 2009\ROSITA DIAZ\ROBERTO ALEGRE.doc</t>
  </si>
  <si>
    <t>C:\Users\franc\OneDrive\Documentos\MALENTIN KARIME\BANCO ESTADO\2012 DEPTO ESCRITURAS fata\NOTARIA 2009\ROSITA DIAZ\RICARDO CORTES.doc</t>
  </si>
  <si>
    <t>C:\Users\franc\OneDrive\Documentos\MALENTIN KARIME\BANCO ESTADO\2012 DEPTO ESCRITURAS fata\NOTARIA 2009\ROSITA DIAZ\RICARDO COLLAO (JULIO).doc</t>
  </si>
  <si>
    <t>C:\Users\franc\OneDrive\Documentos\MALENTIN KARIME\BANCO ESTADO\2012 DEPTO ESCRITURAS fata\NOTARIA 2009\ROSITA DIAZ\RICARDO ALFARO (JULIO).doc</t>
  </si>
  <si>
    <t>C:\Users\franc\OneDrive\Documentos\MALENTIN KARIME\BANCO ESTADO\2012 DEPTO ESCRITURAS fata\NOTARIA 2009\ROSITA DIAZ\RAUL PIZARRO ARAYA.doc</t>
  </si>
  <si>
    <t>C:\Users\franc\OneDrive\Documentos\MALENTIN KARIME\BANCO ESTADO\2012 DEPTO ESCRITURAS fata\NOTARIA 2009\ROSITA DIAZ\RAUL CORTES (JULIO).doc</t>
  </si>
  <si>
    <t>C:\Users\franc\OneDrive\Documentos\MALENTIN KARIME\BANCO ESTADO\2012 DEPTO ESCRITURAS fata\NOTARIA 2009\ROSITA DIAZ\RAIMUNDO ROJAS  (JULIO).doc</t>
  </si>
  <si>
    <t>C:\Users\franc\OneDrive\Documentos\MALENTIN KARIME\BANCO ESTADO\2012 DEPTO ESCRITURAS fata\NOTARIA 2009\ROSITA DIAZ\PEDRO ADONIS SIERRA.doc</t>
  </si>
  <si>
    <t>C:\Users\franc\OneDrive\Documentos\MALENTIN KARIME\BANCO ESTADO\2012 DEPTO ESCRITURAS fata\NOTARIA 2009\ROSITA DIAZ\PAULINA CASANOVA (JULIO).doc</t>
  </si>
  <si>
    <t>C:\Users\franc\OneDrive\Documentos\MALENTIN KARIME\BANCO ESTADO\2012 DEPTO ESCRITURAS fata\NOTARIA 2009\ROSITA DIAZ\PATRICIO VELIZ (JULIO).doc</t>
  </si>
  <si>
    <t>C:\Users\franc\OneDrive\Documentos\MALENTIN KARIME\BANCO ESTADO\2012 DEPTO ESCRITURAS fata\NOTARIA 2009\ROSITA DIAZ\PATRICIO CARVAJAL (JULIO).doc</t>
  </si>
  <si>
    <t>C:\Users\franc\OneDrive\Documentos\MALENTIN KARIME\BANCO ESTADO\2012 DEPTO ESCRITURAS fata\NOTARIA 2009\ROSITA DIAZ\PATRICIA PONCE.doc</t>
  </si>
  <si>
    <t>C:\Users\franc\OneDrive\Documentos\MALENTIN KARIME\BANCO ESTADO\2012 DEPTO ESCRITURAS fata\NOTARIA 2009\ROSITA DIAZ\PAOLA PEREZ (JULIO).doc</t>
  </si>
  <si>
    <t>C:\Users\franc\OneDrive\Documentos\MALENTIN KARIME\BANCO ESTADO\2012 DEPTO ESCRITURAS fata\NOTARIA 2009\ROSITA DIAZ\OSCAR ROJAS.doc</t>
  </si>
  <si>
    <t>C:\Users\franc\OneDrive\Documentos\MALENTIN KARIME\BANCO ESTADO\2012 DEPTO ESCRITURAS fata\NOTARIA 2009\ROSITA DIAZ\OSCAR ROJAS (JULIO).doc</t>
  </si>
  <si>
    <t>C:\Users\franc\OneDrive\Documentos\MALENTIN KARIME\BANCO ESTADO\2012 DEPTO ESCRITURAS fata\NOTARIA 2009\ROSITA DIAZ\OSCAR PIÑONES.doc</t>
  </si>
  <si>
    <t>C:\Users\franc\OneDrive\Documentos\MALENTIN KARIME\BANCO ESTADO\2012 DEPTO ESCRITURAS fata\NOTARIA 2009\ROSITA DIAZ\OSCAR CORTES CORTES.doc</t>
  </si>
  <si>
    <t>C:\Users\franc\OneDrive\Documentos\MALENTIN KARIME\BANCO ESTADO\2012 DEPTO ESCRITURAS fata\NOTARIA 2009\ROSITA DIAZ\OSCAR CORTES (JULIO).doc</t>
  </si>
  <si>
    <t>C:\Users\franc\OneDrive\Documentos\MALENTIN KARIME\BANCO ESTADO\2012 DEPTO ESCRITURAS fata\NOTARIA 2009\ROSITA DIAZ\ORIETA CHACANA  (JULIO).doc</t>
  </si>
  <si>
    <t>C:\Users\franc\OneDrive\Documentos\MALENTIN KARIME\BANCO ESTADO\2012 DEPTO ESCRITURAS fata\NOTARIA 2009\ROSITA DIAZ\OMAR CAMPOS (JULIO).doc</t>
  </si>
  <si>
    <t>C:\Users\franc\OneDrive\Documentos\MALENTIN KARIME\BANCO ESTADO\2012 DEPTO ESCRITURAS fata\NOTARIA 2009\ROSITA DIAZ\NILO SANTIBAÑEZ ZAPATA.doc</t>
  </si>
  <si>
    <t>C:\Users\franc\OneDrive\Documentos\MALENTIN KARIME\BANCO ESTADO\2012 DEPTO ESCRITURAS fata\NOTARIA 2009\ROSITA DIAZ\NELSON SANDOVAL ROJAS.doc</t>
  </si>
  <si>
    <t>C:\Users\franc\OneDrive\Documentos\MALENTIN KARIME\BANCO ESTADO\2012 DEPTO ESCRITURAS fata\NOTARIA 2009\ROSITA DIAZ\MISAEL TAPIA.doc</t>
  </si>
  <si>
    <t>C:\Users\franc\OneDrive\Documentos\MALENTIN KARIME\BANCO ESTADO\2012 DEPTO ESCRITURAS fata\NOTARIA 2009\ROSITA DIAZ\MISAEL TAPIA  (JULIO).doc</t>
  </si>
  <si>
    <t>C:\Users\franc\OneDrive\Documentos\MALENTIN KARIME\BANCO ESTADO\2012 DEPTO ESCRITURAS fata\NOTARIA 2009\ROSITA DIAZ\MIGUEL ARAYA  (JULIO).doc</t>
  </si>
  <si>
    <t>C:\Users\franc\OneDrive\Documentos\MALENTIN KARIME\BANCO ESTADO\2012 DEPTO ESCRITURAS fata\NOTARIA 2009\ROSITA DIAZ\MERCEDES ZEPEDA (JULIO).doc</t>
  </si>
  <si>
    <t>C:\Users\franc\OneDrive\Documentos\MALENTIN KARIME\BANCO ESTADO\2012 DEPTO ESCRITURAS fata\NOTARIA 2009\ROSITA DIAZ\MELISA RODRIGUEZ   (JULIO).doc</t>
  </si>
  <si>
    <t>C:\Users\franc\OneDrive\Documentos\MALENTIN KARIME\BANCO ESTADO\2012 DEPTO ESCRITURAS fata\NOTARIA 2009\ROSITA DIAZ\MAURICIO ZEPEDA  (JULIO).doc</t>
  </si>
  <si>
    <t>C:\Users\franc\OneDrive\Documentos\MALENTIN KARIME\BANCO ESTADO\2012 DEPTO ESCRITURAS fata\NOTARIA 2009\ROSITA DIAZ\MARTIN ORDENES (JULIO).doc</t>
  </si>
  <si>
    <t>C:\Users\franc\OneDrive\Documentos\MALENTIN KARIME\BANCO ESTADO\2012 DEPTO ESCRITURAS fata\NOTARIA 2009\ROSITA DIAZ\MARIO MUTARELLO (JULIO).doc</t>
  </si>
  <si>
    <t>C:\Users\franc\OneDrive\Documentos\MALENTIN KARIME\BANCO ESTADO\2012 DEPTO ESCRITURAS fata\NOTARIA 2009\ROSITA DIAZ\MARIO ECHEVERRIA TAPIA.doc</t>
  </si>
  <si>
    <t>C:\Users\franc\OneDrive\Documentos\MALENTIN KARIME\BANCO ESTADO\2012 DEPTO ESCRITURAS fata\NOTARIA 2009\ROSITA DIAZ\MARIA VELIZ ROJAS.doc</t>
  </si>
  <si>
    <t>C:\Users\franc\OneDrive\Documentos\MALENTIN KARIME\BANCO ESTADO\2012 DEPTO ESCRITURAS fata\NOTARIA 2009\ROSITA DIAZ\MARIA CONTRERAS VEAS  (JULIO).doc</t>
  </si>
  <si>
    <t>C:\Users\franc\OneDrive\Documentos\MALENTIN KARIME\BANCO ESTADO\2012 DEPTO ESCRITURAS fata\NOTARIA 2009\ROSITA DIAZ\MARIA AVILA AVILA.doc</t>
  </si>
  <si>
    <t>C:\Users\franc\OneDrive\Documentos\MALENTIN KARIME\BANCO ESTADO\2012 DEPTO ESCRITURAS fata\NOTARIA 2009\ROSITA DIAZ\MARGARITA SILVA (JULIO).doc</t>
  </si>
  <si>
    <t>C:\Users\franc\OneDrive\Documentos\MALENTIN KARIME\BANCO ESTADO\2012 DEPTO ESCRITURAS fata\NOTARIA 2009\ROSITA DIAZ\MARCELO JIMENEZ (JULIO).doc</t>
  </si>
  <si>
    <t>C:\Users\franc\OneDrive\Documentos\MALENTIN KARIME\BANCO ESTADO\2012 DEPTO ESCRITURAS fata\NOTARIA 2009\ROSITA DIAZ\MARCELA MUÑOZ MOLINA.doc</t>
  </si>
  <si>
    <t>C:\Users\franc\OneDrive\Documentos\MALENTIN KARIME\BANCO ESTADO\2012 DEPTO ESCRITURAS fata\NOTARIA 2009\ROSITA DIAZ\LUIS PEREZ.doc</t>
  </si>
  <si>
    <t>C:\Users\franc\OneDrive\Documentos\MALENTIN KARIME\BANCO ESTADO\2012 DEPTO ESCRITURAS fata\NOTARIA 2009\ROSITA DIAZ\LUIS PEREZ CONTRERS.doc</t>
  </si>
  <si>
    <t>C:\Users\franc\OneDrive\Documentos\MALENTIN KARIME\BANCO ESTADO\2012 DEPTO ESCRITURAS fata\NOTARIA 2009\ROSITA DIAZ\LORENA CORTES  (JULIO).doc</t>
  </si>
  <si>
    <t>C:\Users\franc\OneDrive\Documentos\MALENTIN KARIME\BANCO ESTADO\2012 DEPTO ESCRITURAS fata\NOTARIA 2009\ROSITA DIAZ\LEONEL ALFARO.doc</t>
  </si>
  <si>
    <t>C:\Users\franc\OneDrive\Documentos\MALENTIN KARIME\BANCO ESTADO\2012 DEPTO ESCRITURAS fata\NOTARIA 2009\ROSITA DIAZ\JULIO RAMOS.doc</t>
  </si>
  <si>
    <t>C:\Users\franc\OneDrive\Documentos\MALENTIN KARIME\BANCO ESTADO\2012 DEPTO ESCRITURAS fata\NOTARIA 2009\ROSITA DIAZ\JUAN VEGA MONDACA.doc</t>
  </si>
  <si>
    <t>C:\Users\franc\OneDrive\Documentos\MALENTIN KARIME\BANCO ESTADO\2012 DEPTO ESCRITURAS fata\NOTARIA 2009\ROSITA DIAZ\JUAN TAPIA BARRERA (JULIO).doc</t>
  </si>
  <si>
    <t>C:\Users\franc\OneDrive\Documentos\MALENTIN KARIME\BANCO ESTADO\2012 DEPTO ESCRITURAS fata\NOTARIA 2009\ROSITA DIAZ\JOSE TAPIA (JULIO).doc</t>
  </si>
  <si>
    <t>C:\Users\franc\OneDrive\Documentos\MALENTIN KARIME\BANCO ESTADO\2012 DEPTO ESCRITURAS fata\NOTARIA 2009\ROSITA DIAZ\JOSE BARRAZA ARAYA.doc</t>
  </si>
  <si>
    <t>C:\Users\franc\OneDrive\Documentos\MALENTIN KARIME\BANCO ESTADO\2012 DEPTO ESCRITURAS fata\NOTARIA 2009\ROSITA DIAZ\JOSE AGUILERA (JULIO).doc</t>
  </si>
  <si>
    <t>C:\Users\franc\OneDrive\Documentos\MALENTIN KARIME\BANCO ESTADO\2012 DEPTO ESCRITURAS fata\NOTARIA 2009\ROSITA DIAZ\JIMENA ARAYA (JULIO).doc</t>
  </si>
  <si>
    <t>C:\Users\franc\OneDrive\Documentos\MALENTIN KARIME\BANCO ESTADO\2012 DEPTO ESCRITURAS fata\NOTARIA 2009\ROSITA DIAZ\JIMENA ARAYA  (JULIO).doc</t>
  </si>
  <si>
    <t>C:\Users\franc\OneDrive\Documentos\MALENTIN KARIME\BANCO ESTADO\2012 DEPTO ESCRITURAS fata\NOTARIA 2009\ROSITA DIAZ\JESSICA ARAYA (JULIO).doc</t>
  </si>
  <si>
    <t>C:\Users\franc\OneDrive\Documentos\MALENTIN KARIME\BANCO ESTADO\2012 DEPTO ESCRITURAS fata\NOTARIA 2009\ROSITA DIAZ\JEISY GALLARDO OSSANDON.doc</t>
  </si>
  <si>
    <t>C:\Users\franc\OneDrive\Documentos\MALENTIN KARIME\BANCO ESTADO\2012 DEPTO ESCRITURAS fata\NOTARIA 2009\ROSITA DIAZ\IVAN VEGA (JULIO).doc</t>
  </si>
  <si>
    <t>C:\Users\franc\OneDrive\Documentos\MALENTIN KARIME\BANCO ESTADO\2012 DEPTO ESCRITURAS fata\NOTARIA 2009\ROSITA DIAZ\IRENE ARACENA.doc</t>
  </si>
  <si>
    <t>C:\Users\franc\OneDrive\Documentos\MALENTIN KARIME\BANCO ESTADO\2012 DEPTO ESCRITURAS fata\NOTARIA 2009\ROSITA DIAZ\INGRID CASTILLO (JULIO).doc</t>
  </si>
  <si>
    <t>C:\Users\franc\OneDrive\Documentos\MALENTIN KARIME\BANCO ESTADO\2012 DEPTO ESCRITURAS fata\NOTARIA 2009\ROSITA DIAZ\HUMBERTO RODRIGUEZ (JULIO).doc</t>
  </si>
  <si>
    <t>C:\Users\franc\OneDrive\Documentos\MALENTIN KARIME\BANCO ESTADO\2012 DEPTO ESCRITURAS fata\NOTARIA 2009\ROSITA DIAZ\HUGO CORDOVA GALLARDO.doc</t>
  </si>
  <si>
    <t>C:\Users\franc\OneDrive\Documentos\MALENTIN KARIME\BANCO ESTADO\2012 DEPTO ESCRITURAS fata\NOTARIA 2009\ROSITA DIAZ\GUILLERMO VIDAURRE (JULIO).doc</t>
  </si>
  <si>
    <t>C:\Users\franc\OneDrive\Documentos\MALENTIN KARIME\BANCO ESTADO\2012 DEPTO ESCRITURAS fata\NOTARIA 2009\ROSITA DIAZ\GREGORIO PEREZ.doc</t>
  </si>
  <si>
    <t>C:\Users\franc\OneDrive\Documentos\MALENTIN KARIME\BANCO ESTADO\2012 DEPTO ESCRITURAS fata\NOTARIA 2009\ROSITA DIAZ\GREGORIO PEREZ (JULIO).doc</t>
  </si>
  <si>
    <t>C:\Users\franc\OneDrive\Documentos\MALENTIN KARIME\BANCO ESTADO\2012 DEPTO ESCRITURAS fata\NOTARIA 2009\ROSITA DIAZ\GARY CARVAJAL   (JULIO).doc</t>
  </si>
  <si>
    <t>C:\Users\franc\OneDrive\Documentos\MALENTIN KARIME\BANCO ESTADO\2012 DEPTO ESCRITURAS fata\NOTARIA 2009\ROSITA DIAZ\GABRIEL SARMIENTO.doc</t>
  </si>
  <si>
    <t>C:\Users\franc\OneDrive\Documentos\MALENTIN KARIME\BANCO ESTADO\2012 DEPTO ESCRITURAS fata\NOTARIA 2009\ROSITA DIAZ\FRESIA BECERRA.doc</t>
  </si>
  <si>
    <t>C:\Users\franc\OneDrive\Documentos\MALENTIN KARIME\BANCO ESTADO\2012 DEPTO ESCRITURAS fata\NOTARIA 2009\ROSITA DIAZ\FIDEL LEYTON (JULIO).doc</t>
  </si>
  <si>
    <t>C:\Users\franc\OneDrive\Documentos\MALENTIN KARIME\BANCO ESTADO\2012 DEPTO ESCRITURAS fata\NOTARIA 2009\ROSITA DIAZ\FABIOLA CISTERNAS.doc</t>
  </si>
  <si>
    <t>C:\Users\franc\OneDrive\Documentos\MALENTIN KARIME\BANCO ESTADO\2012 DEPTO ESCRITURAS fata\NOTARIA 2009\ROSITA DIAZ\ETHEL BRAVO.doc</t>
  </si>
  <si>
    <t>C:\Users\franc\OneDrive\Documentos\MALENTIN KARIME\BANCO ESTADO\2012 DEPTO ESCRITURAS fata\NOTARIA 2009\ROSITA DIAZ\ESCRITURA REFINANCIAMIENTO PET.doc</t>
  </si>
  <si>
    <t>C:\Users\franc\OneDrive\Documentos\MALENTIN KARIME\BANCO ESTADO\2012 DEPTO ESCRITURAS fata\NOTARIA 2009\ROSITA DIAZ\ELIZABETH CONTRERAS  (JULIO).doc</t>
  </si>
  <si>
    <t>C:\Users\franc\OneDrive\Documentos\MALENTIN KARIME\BANCO ESTADO\2012 DEPTO ESCRITURAS fata\NOTARIA 2009\ROSITA DIAZ\EDUARDO OLIVARES (JULIO).doc</t>
  </si>
  <si>
    <t>C:\Users\franc\OneDrive\Documentos\MALENTIN KARIME\BANCO ESTADO\2012 DEPTO ESCRITURAS fata\NOTARIA 2009\ROSITA DIAZ\EDUARDO CORTES (JULIO).doc</t>
  </si>
  <si>
    <t>C:\Users\franc\OneDrive\Documentos\MALENTIN KARIME\BANCO ESTADO\2012 DEPTO ESCRITURAS fata\NOTARIA 2009\ROSITA DIAZ\EDITH BONILLA (JULIO).doc</t>
  </si>
  <si>
    <t>C:\Users\franc\OneDrive\Documentos\MALENTIN KARIME\BANCO ESTADO\2012 DEPTO ESCRITURAS fata\NOTARIA 2009\ROSITA DIAZ\DOMITILA DIAZ.doc</t>
  </si>
  <si>
    <t>C:\Users\franc\OneDrive\Documentos\MALENTIN KARIME\BANCO ESTADO\2012 DEPTO ESCRITURAS fata\NOTARIA 2009\ROSITA DIAZ\DOMITILA DIAZ  (JULIO).doc</t>
  </si>
  <si>
    <t>C:\Users\franc\OneDrive\Documentos\MALENTIN KARIME\BANCO ESTADO\2012 DEPTO ESCRITURAS fata\NOTARIA 2009\ROSITA DIAZ\DIGNA JIMENEZ EGAÑA.doc</t>
  </si>
  <si>
    <t>C:\Users\franc\OneDrive\Documentos\MALENTIN KARIME\BANCO ESTADO\2012 DEPTO ESCRITURAS fata\NOTARIA 2009\ROSITA DIAZ\DEYCE CASTILLO  (JULIO).doc</t>
  </si>
  <si>
    <t>C:\Users\franc\OneDrive\Documentos\MALENTIN KARIME\BANCO ESTADO\2012 DEPTO ESCRITURAS fata\NOTARIA 2009\ROSITA DIAZ\DAVID MARIN (JULIO)+.doc</t>
  </si>
  <si>
    <t>C:\Users\franc\OneDrive\Documentos\MALENTIN KARIME\BANCO ESTADO\2012 DEPTO ESCRITURAS fata\NOTARIA 2009\ROSITA DIAZ\DAVID JIMENEZ  (JULIO).doc</t>
  </si>
  <si>
    <t>C:\Users\franc\OneDrive\Documentos\MALENTIN KARIME\BANCO ESTADO\2012 DEPTO ESCRITURAS fata\NOTARIA 2009\ROSITA DIAZ\DARWIN RIVERA.doc</t>
  </si>
  <si>
    <t>C:\Users\franc\OneDrive\Documentos\MALENTIN KARIME\BANCO ESTADO\2012 DEPTO ESCRITURAS fata\NOTARIA 2009\ROSITA DIAZ\DARWIN MALEBRAN.doc</t>
  </si>
  <si>
    <t>C:\Users\franc\OneDrive\Documentos\MALENTIN KARIME\BANCO ESTADO\2012 DEPTO ESCRITURAS fata\NOTARIA 2009\ROSITA DIAZ\DANIEL TORRES (JULIO).doc</t>
  </si>
  <si>
    <t>C:\Users\franc\OneDrive\Documentos\MALENTIN KARIME\BANCO ESTADO\2012 DEPTO ESCRITURAS fata\NOTARIA 2009\ROSITA DIAZ\CRISTIAN JARA.doc</t>
  </si>
  <si>
    <t>C:\Users\franc\OneDrive\Documentos\MALENTIN KARIME\BANCO ESTADO\2012 DEPTO ESCRITURAS fata\NOTARIA 2009\ROSITA DIAZ\CLAUDIA NUÑEZ  (JULIO).doc</t>
  </si>
  <si>
    <t>C:\Users\franc\OneDrive\Documentos\MALENTIN KARIME\BANCO ESTADO\2012 DEPTO ESCRITURAS fata\NOTARIA 2009\ROSITA DIAZ\CLAUDIA IBAÑEZ (JULIO).doc</t>
  </si>
  <si>
    <t>C:\Users\franc\OneDrive\Documentos\MALENTIN KARIME\BANCO ESTADO\2012 DEPTO ESCRITURAS fata\NOTARIA 2009\ROSITA DIAZ\CESAR DIAZ  (JULIO).doc</t>
  </si>
  <si>
    <t>C:\Users\franc\OneDrive\Documentos\MALENTIN KARIME\BANCO ESTADO\2012 DEPTO ESCRITURAS fata\NOTARIA 2009\ROSITA DIAZ\CAROLINA MALDONADOL (JULIO).doc</t>
  </si>
  <si>
    <t>C:\Users\franc\OneDrive\Documentos\MALENTIN KARIME\BANCO ESTADO\2012 DEPTO ESCRITURAS fata\NOTARIA 2009\ROSITA DIAZ\CARMEN FAJARDO  (JULIO).doc</t>
  </si>
  <si>
    <t>C:\Users\franc\OneDrive\Documentos\MALENTIN KARIME\BANCO ESTADO\2012 DEPTO ESCRITURAS fata\NOTARIA 2009\ROSITA DIAZ\CARMEN CASTILLO  (JULIO).doc</t>
  </si>
  <si>
    <t>C:\Users\franc\OneDrive\Documentos\MALENTIN KARIME\BANCO ESTADO\2012 DEPTO ESCRITURAS fata\NOTARIA 2009\ROSITA DIAZ\CARLOS TELLO  (JULIO).doc</t>
  </si>
  <si>
    <t>C:\Users\franc\OneDrive\Documentos\MALENTIN KARIME\BANCO ESTADO\2012 DEPTO ESCRITURAS fata\NOTARIA 2009\ROSITA DIAZ\CARLOS LEON (JULIO ).doc</t>
  </si>
  <si>
    <t>C:\Users\franc\OneDrive\Documentos\MALENTIN KARIME\BANCO ESTADO\2012 DEPTO ESCRITURAS fata\NOTARIA 2009\ROSITA DIAZ\BERNARDA GALLEGUILLOS (JULIO).doc</t>
  </si>
  <si>
    <t>C:\Users\franc\OneDrive\Documentos\MALENTIN KARIME\BANCO ESTADO\2012 DEPTO ESCRITURAS fata\NOTARIA 2009\ROSITA DIAZ\BENITO ALFARO  (JULIO).doc</t>
  </si>
  <si>
    <t>C:\Users\franc\OneDrive\Documentos\MALENTIN KARIME\BANCO ESTADO\2012 DEPTO ESCRITURAS fata\NOTARIA 2009\ROSITA DIAZ\AURELIA CARVAJAL  (JULIO).doc</t>
  </si>
  <si>
    <t>C:\Users\franc\OneDrive\Documentos\MALENTIN KARIME\BANCO ESTADO\2012 DEPTO ESCRITURAS fata\NOTARIA 2009\ROSITA DIAZ\ARNOLDO CORTES  (JULIO).doc</t>
  </si>
  <si>
    <t>C:\Users\franc\OneDrive\Documentos\MALENTIN KARIME\BANCO ESTADO\2012 DEPTO ESCRITURAS fata\NOTARIA 2009\ROSITA DIAZ\ANA TELLO (JULIO).doc</t>
  </si>
  <si>
    <t>C:\Users\franc\OneDrive\Documentos\MALENTIN KARIME\BANCO ESTADO\2012 DEPTO ESCRITURAS fata\NOTARIA 2009\ROSITA DIAZ\ANA ARAYA PERINES.doc</t>
  </si>
  <si>
    <t>C:\Users\franc\OneDrive\Documentos\MALENTIN KARIME\BANCO ESTADO\2012 DEPTO ESCRITURAS fata\NOTARIA 2009\ROSITA DIAZ\ALEXANDRA ARAYA (JULIO).doc</t>
  </si>
  <si>
    <t>C:\Users\franc\OneDrive\Documentos\MALENTIN KARIME\BANCO ESTADO\2012 DEPTO ESCRITURAS fata\NOTARIA 2009\ROSITA DIAZ\ALEX ROJAS MIRANDA.doc</t>
  </si>
  <si>
    <t>C:\Users\franc\OneDrive\Documentos\MALENTIN KARIME\BANCO ESTADO\2012 DEPTO ESCRITURAS fata\NOTARIA 2009\ROSITA DIAZ\ALEX LOPEZ (JULIO).doc</t>
  </si>
  <si>
    <t>C:\Users\franc\OneDrive\Documentos\MALENTIN KARIME\BANCO ESTADO\2012 DEPTO ESCRITURAS fata\NOTARIA 2009\ROSITA DIAZ\ADELINA SALAZAR  (JULIO).doc</t>
  </si>
  <si>
    <t>C:\Users\franc\OneDrive\Documentos\MALENTIN KARIME\BANCO ESTADO\2012 DEPTO ESCRITURAS fata\NOTARIA 2009\ROSITA DIAZ\ABRAHAM MALEBRAN  (JULIO).doc</t>
  </si>
  <si>
    <t>C:\Users\franc\OneDrive\Documentos\MALENTIN KARIME\BANCO ESTADO\2012 DEPTO ESCRITURAS fata\NOTARIA 2009\ROSITA DIAZ\ABELARDO LOPEZ   (JULIO).doc</t>
  </si>
  <si>
    <t>C:\Users\franc\OneDrive\Documentos\MALENTIN KARIME\BANCO ESTADO\2012 DEPTO ESCRITURAS fata\NOTARIA 2009\ROMUALDO HERNANDEZ ABOGADO\GABRIELA JOPIA A SUS HIJOS CV CON USUFRUCTO.doc</t>
  </si>
  <si>
    <t>C:\Users\franc\OneDrive\Documentos\MALENTIN KARIME\BANCO ESTADO\2012 DEPTO ESCRITURAS fata\NOTARIA 2009\ROMUALDO HERNANDEZ ABOGADO\GABRIELA JOPIA  - CESION.doc</t>
  </si>
  <si>
    <t>C:\Users\franc\OneDrive\Documentos\MALENTIN KARIME\BANCO ESTADO\2012 DEPTO ESCRITURAS fata\NOTARIA 2009\RODRIGO ORTIZ\MARISOL CASTRO ACUERDO.doc</t>
  </si>
  <si>
    <t>C:\Users\franc\OneDrive\Documentos\MALENTIN KARIME\BANCO ESTADO\2012 DEPTO ESCRITURAS fata\NOTARIA 2009\RODRIGO ORTIZ\MARISOL CASTRO (MANDATO).doc</t>
  </si>
  <si>
    <t>C:\Users\franc\OneDrive\Documentos\MALENTIN KARIME\BANCO ESTADO\2012 DEPTO ESCRITURAS fata\NOTARIA 2009\ROBERTO VEGA\TRANSPORTES OVALLE A ROBERTO VEGA C..doc</t>
  </si>
  <si>
    <t>C:\Users\franc\OneDrive\Documentos\MALENTIN KARIME\BANCO ESTADO\2012 DEPTO ESCRITURAS fata\NOTARIA 2009\ROBERTO VEGA\SOCIEDAD VALLE NORTE (LUIS SORUCO).doc</t>
  </si>
  <si>
    <t>C:\Users\franc\OneDrive\Documentos\MALENTIN KARIME\BANCO ESTADO\2012 DEPTO ESCRITURAS fata\NOTARIA 2009\ROBERTO VEGA\SOC. VALLE DEL NORTE  EXTRACTO.doc</t>
  </si>
  <si>
    <t>C:\Users\franc\OneDrive\Documentos\MALENTIN KARIME\BANCO ESTADO\2012 DEPTO ESCRITURAS fata\NOTARIA 2009\ROBERTO VEGA\SOC. SANTA JULIA A ROBERTO CORTES.doc</t>
  </si>
  <si>
    <t>C:\Users\franc\OneDrive\Documentos\MALENTIN KARIME\BANCO ESTADO\2012 DEPTO ESCRITURAS fata\NOTARIA 2009\ROBERTO VEGA\SOC. MITIMAE A SOC. ALFALFARES.doc</t>
  </si>
  <si>
    <t>C:\Users\franc\OneDrive\Documentos\MALENTIN KARIME\BANCO ESTADO\2012 DEPTO ESCRITURAS fata\NOTARIA 2009\ROBERTO VEGA\SOC. MITIMAE A SOC. ALFALAFARES (INSTRUCCIONES).doc</t>
  </si>
  <si>
    <t>C:\Users\franc\OneDrive\Documentos\MALENTIN KARIME\BANCO ESTADO\2012 DEPTO ESCRITURAS fata\NOTARIA 2009\ROBERTO VEGA\SOC. MITIMAE A SOC. ALFALAFARES (INSTRUCCIONES) nuevas.doc</t>
  </si>
  <si>
    <t>C:\Users\franc\OneDrive\Documentos\MALENTIN KARIME\BANCO ESTADO\2012 DEPTO ESCRITURAS fata\NOTARIA 2009\ROBERTO VEGA\SOC. INCOVEG  A ROBERTO VEGA  (MANDATO JUDICIAL).doc</t>
  </si>
  <si>
    <t>C:\Users\franc\OneDrive\Documentos\MALENTIN KARIME\BANCO ESTADO\2012 DEPTO ESCRITURAS fata\NOTARIA 2009\ROBERTO VEGA\SOC. ALFALFARES A ROBERTO VEGA  (MANDATO JUDICIAL).doc</t>
  </si>
  <si>
    <t>C:\Users\franc\OneDrive\Documentos\MALENTIN KARIME\BANCO ESTADO\2012 DEPTO ESCRITURAS fata\NOTARIA 2009\ROBERTO VEGA\SOC. AGRIVET LTDA (FELIPE CORTES DIAZ Y HNO).doc</t>
  </si>
  <si>
    <t>C:\Users\franc\OneDrive\Documentos\MALENTIN KARIME\BANCO ESTADO\2012 DEPTO ESCRITURAS fata\NOTARIA 2009\ROBERTO VEGA\ROBERTO VEGA ALCAYAGA A ROBERTO VEGA C. (MANDATO JUDICIAL).doc</t>
  </si>
  <si>
    <t>C:\Users\franc\OneDrive\Documentos\MALENTIN KARIME\BANCO ESTADO\2012 DEPTO ESCRITURAS fata\NOTARIA 2009\ROBERTO VEGA\ROBERTO VEGA A SELEM DAIRE (ACLARACION).doc</t>
  </si>
  <si>
    <t>C:\Users\franc\OneDrive\Documentos\MALENTIN KARIME\BANCO ESTADO\2012 DEPTO ESCRITURAS fata\NOTARIA 2009\ROBERTO VEGA\ROBERTO VEGA A ALFALFARES A ROBERTO VEGA.doc</t>
  </si>
  <si>
    <t>C:\Users\franc\OneDrive\Documentos\MALENTIN KARIME\BANCO ESTADO\2012 DEPTO ESCRITURAS fata\NOTARIA 2009\ROBERTO VEGA\RICARDO TELLO TAPIA A RICARDO TELLO VEGA (CV).doc</t>
  </si>
  <si>
    <t>C:\Users\franc\OneDrive\Documentos\MALENTIN KARIME\BANCO ESTADO\2012 DEPTO ESCRITURAS fata\NOTARIA 2009\ROBERTO VEGA\RENA MIRANDA Y OTR. A ROBERTO VEGA.doc</t>
  </si>
  <si>
    <t>C:\Users\franc\OneDrive\Documentos\MALENTIN KARIME\BANCO ESTADO\2012 DEPTO ESCRITURAS fata\NOTARIA 2009\ROBERTO VEGA\RAUL SAUVAGEOT Y SYLVIA DIAZ (LIQ. SOC. CONYUGALdefinitiva junio 2009.doc</t>
  </si>
  <si>
    <t>C:\Users\franc\OneDrive\Documentos\MALENTIN KARIME\BANCO ESTADO\2012 DEPTO ESCRITURAS fata\NOTARIA 2009\ROBERTO VEGA\RAUL SAUVAGEOT Y SYLVIA DIAZ (LIQ. SOC. CONYUGAL).doc</t>
  </si>
  <si>
    <t>C:\Users\franc\OneDrive\Documentos\MALENTIN KARIME\BANCO ESTADO\2012 DEPTO ESCRITURAS fata\NOTARIA 2009\ROBERTO VEGA\RAUL SAUVAGEOT Y SYLVIA DIAZ (LIQ. SOC. CONYUGAL finasl.doc</t>
  </si>
  <si>
    <t>C:\Users\franc\OneDrive\Documentos\MALENTIN KARIME\BANCO ESTADO\2012 DEPTO ESCRITURAS fata\NOTARIA 2009\ROBERTO VEGA\RAUL SAUVAGEOT DIAZ (LIQUIDACION SOC. CONYUGAL).doc</t>
  </si>
  <si>
    <t>C:\Users\franc\OneDrive\Documentos\MALENTIN KARIME\BANCO ESTADO\2012 DEPTO ESCRITURAS fata\NOTARIA 2009\ROBERTO VEGA\PRUDELIA PIZARRO (RENUNCIA HERENCIA).doc</t>
  </si>
  <si>
    <t>C:\Users\franc\OneDrive\Documentos\MALENTIN KARIME\BANCO ESTADO\2012 DEPTO ESCRITURAS fata\NOTARIA 2009\ROBERTO VEGA\PODER SII.doc</t>
  </si>
  <si>
    <t>C:\Users\franc\OneDrive\Documentos\MALENTIN KARIME\BANCO ESTADO\2012 DEPTO ESCRITURAS fata\NOTARIA 2009\ROBERTO VEGA\PAULINA GALVEZ ACLARATORIA.doc</t>
  </si>
  <si>
    <t>C:\Users\franc\OneDrive\Documentos\MALENTIN KARIME\BANCO ESTADO\2012 DEPTO ESCRITURAS fata\NOTARIA 2009\ROBERTO VEGA\PAULINA GALVEZ - HUGO GALVEZ.doc</t>
  </si>
  <si>
    <t>C:\Users\franc\OneDrive\Documentos\MALENTIN KARIME\BANCO ESTADO\2012 DEPTO ESCRITURAS fata\NOTARIA 2009\ROBERTO VEGA\MARIO RAMIREZ Y OTROS A ROBERTO VEGA ALCAYAGA.doc</t>
  </si>
  <si>
    <t>C:\Users\franc\OneDrive\Documentos\MALENTIN KARIME\BANCO ESTADO\2012 DEPTO ESCRITURAS fata\NOTARIA 2009\ROBERTO VEGA\MANDATO JUDICIAL CORTES JILES.doc</t>
  </si>
  <si>
    <t>C:\Users\franc\OneDrive\Documentos\MALENTIN KARIME\BANCO ESTADO\2012 DEPTO ESCRITURAS fata\NOTARIA 2009\ROBERTO VEGA\MANDATO ALFALFARES.doc</t>
  </si>
  <si>
    <t>C:\Users\franc\OneDrive\Documentos\MALENTIN KARIME\BANCO ESTADO\2012 DEPTO ESCRITURAS fata\NOTARIA 2009\ROBERTO VEGA\JOSE SORUCO (RECTIFICACION).doc</t>
  </si>
  <si>
    <t>C:\Users\franc\OneDrive\Documentos\MALENTIN KARIME\BANCO ESTADO\2012 DEPTO ESCRITURAS fata\NOTARIA 2009\ROBERTO VEGA\INMOBILIARIA CHACON A ROBERTO VEGA (AGUAS).doc</t>
  </si>
  <si>
    <t>C:\Users\franc\OneDrive\Documentos\MALENTIN KARIME\BANCO ESTADO\2012 DEPTO ESCRITURAS fata\NOTARIA 2009\ROBERTO VEGA\HUGO GALVEZ A CRISTIAN GALVEZ.doc</t>
  </si>
  <si>
    <t>C:\Users\franc\OneDrive\Documentos\MALENTIN KARIME\BANCO ESTADO\2012 DEPTO ESCRITURAS fata\NOTARIA 2009\ROBERTO VEGA\HUGO GALVEZ ( RECTIFICATORIA).doc</t>
  </si>
  <si>
    <t>C:\Users\franc\OneDrive\Documentos\MALENTIN KARIME\BANCO ESTADO\2012 DEPTO ESCRITURAS fata\NOTARIA 2009\ROBERTO VEGA\HECTOR GUZMAN A ROBERTO VEGA.doc</t>
  </si>
  <si>
    <t>C:\Users\franc\OneDrive\Documentos\MALENTIN KARIME\BANCO ESTADO\2012 DEPTO ESCRITURAS fata\NOTARIA 2009\ROBERTO VEGA\FRANCISCO JIMENEZ (MANDATO JUDICIAL).doc</t>
  </si>
  <si>
    <t>C:\Users\franc\OneDrive\Documentos\MALENTIN KARIME\BANCO ESTADO\2012 DEPTO ESCRITURAS fata\NOTARIA 2009\ROBERTO VEGA\EXTRACTO.doc</t>
  </si>
  <si>
    <t>C:\Users\franc\OneDrive\Documentos\MALENTIN KARIME\BANCO ESTADO\2012 DEPTO ESCRITURAS fata\NOTARIA 2009\ROBERTO VEGA\ELSA BUGUEÑO TESTAMENTO.doc</t>
  </si>
  <si>
    <t>C:\Users\franc\OneDrive\Documentos\MALENTIN KARIME\BANCO ESTADO\2012 DEPTO ESCRITURAS fata\NOTARIA 2009\ROBERTO VEGA\COMPRAVENTA mod.doc</t>
  </si>
  <si>
    <t>C:\Users\franc\OneDrive\Documentos\MALENTIN KARIME\BANCO ESTADO\2012 DEPTO ESCRITURAS fata\NOTARIA 2009\ROBERTO VEGA\CESION DERECHOS GONZALEZ CALLEJAS.doc</t>
  </si>
  <si>
    <t>C:\Users\franc\OneDrive\Documentos\MALENTIN KARIME\BANCO ESTADO\2012 DEPTO ESCRITURAS fata\NOTARIA 2009\ROBERTO VEGA\CECILIA VERGARA - MANDATO JUDICIAL.doc</t>
  </si>
  <si>
    <t>C:\Users\franc\OneDrive\Documentos\MALENTIN KARIME\BANCO ESTADO\2012 DEPTO ESCRITURAS fata\NOTARIA 2009\ROBERTO VEGA\CARMEN VILLALON A SOC. ALFALFARES.doc</t>
  </si>
  <si>
    <t>C:\Users\franc\OneDrive\Documentos\MALENTIN KARIME\BANCO ESTADO\2012 DEPTO ESCRITURAS fata\NOTARIA 2009\ROBERTO VEGA\ASOC. DUEÑOS DE CAMIONES A SOC. TRANSP. OVALLE (ACLARA).doc</t>
  </si>
  <si>
    <t>C:\Users\franc\OneDrive\Documentos\MALENTIN KARIME\BANCO ESTADO\2012 DEPTO ESCRITURAS fata\NOTARIA 2009\ROBERTO VEGA\ARRIENDO AGUAS ROBERTO VEGA A ALFALFARES.doc</t>
  </si>
  <si>
    <t>C:\Users\franc\OneDrive\Documentos\MALENTIN KARIME\BANCO ESTADO\2012 DEPTO ESCRITURAS fata\NOTARIA 2009\ROBERTO VEGA\ACTA TRANSP. OVALLE.doc</t>
  </si>
  <si>
    <t>C:\Users\franc\OneDrive\Documentos\MALENTIN KARIME\BANCO ESTADO\2012 DEPTO ESCRITURAS fata\NOTARIA 2009\ROBERTO VEGA\ACLARATORIA ADRIANA ALUCEMA A CESAR MUÑOZ.doc</t>
  </si>
  <si>
    <t>C:\Users\franc\OneDrive\Documentos\MALENTIN KARIME\BANCO ESTADO\2012 DEPTO ESCRITURAS fata\NOTARIA 2009\ROBERTO VEGA\(DACION EN PAGO).doc</t>
  </si>
  <si>
    <t>C:\Users\franc\OneDrive\Documentos\MALENTIN KARIME\BANCO ESTADO\2012 DEPTO ESCRITURAS fata\NOTARIA 2009\RIO BLANCO\OSCAR ANDRADES.doc</t>
  </si>
  <si>
    <t>C:\Users\franc\OneDrive\Documentos\MALENTIN KARIME\BANCO ESTADO\2012 DEPTO ESCRITURAS fata\NOTARIA 2009\RIO BLANCO\OSCAR ANDRADE.doc</t>
  </si>
  <si>
    <t>C:\Users\franc\OneDrive\Documentos\MALENTIN KARIME\BANCO ESTADO\2012 DEPTO ESCRITURAS fata\NOTARIA 2009\REVOCACION\PATRICIA VALDERRAMA (TESTAMENTO).doc</t>
  </si>
  <si>
    <t>C:\Users\franc\OneDrive\Documentos\MALENTIN KARIME\BANCO ESTADO\2012 DEPTO ESCRITURAS fata\NOTARIA 2009\REVOCACION\MARIA RODRIGUEZ A JULIO POLANCO.doc</t>
  </si>
  <si>
    <t>C:\Users\franc\OneDrive\Documentos\MALENTIN KARIME\BANCO ESTADO\2012 DEPTO ESCRITURAS fata\NOTARIA 2009\REVOCACION\LILIANA ALFARO A CLAUDIO ARDILES.doc</t>
  </si>
  <si>
    <t>C:\Users\franc\OneDrive\Documentos\MALENTIN KARIME\BANCO ESTADO\2012 DEPTO ESCRITURAS fata\NOTARIA 2009\REVOCACION\LEONARDO VELIZ A INGRID MARIN.doc</t>
  </si>
  <si>
    <t>C:\Users\franc\OneDrive\Documentos\MALENTIN KARIME\BANCO ESTADO\2012 DEPTO ESCRITURAS fata\NOTARIA 2009\REVOCACION\FLORIDA RAMOS BARRAZA.doc</t>
  </si>
  <si>
    <t>C:\Users\franc\OneDrive\Documentos\MALENTIN KARIME\BANCO ESTADO\2012 DEPTO ESCRITURAS fata\NOTARIA 2009\REVOCACION\EDOMILIA ALFARO (TESTAMENTO).doc</t>
  </si>
  <si>
    <t>C:\Users\franc\OneDrive\Documentos\MALENTIN KARIME\BANCO ESTADO\2012 DEPTO ESCRITURAS fata\NOTARIA 2009\REVOCACION\AGRICOLA AGUSTIN ARAYA A CLAUDIO ARDILES.doc</t>
  </si>
  <si>
    <t>C:\Users\franc\OneDrive\Documentos\MALENTIN KARIME\BANCO ESTADO\2012 DEPTO ESCRITURAS fata\NOTARIA 2009\RESCILIACION\SOC. AGRICOLA MITIMAE A ALFALFARES.doc</t>
  </si>
  <si>
    <t>C:\Users\franc\OneDrive\Documentos\MALENTIN KARIME\BANCO ESTADO\2012 DEPTO ESCRITURAS fata\NOTARIA 2009\RESCILIACION\OSVALDO PARRA A FCO. GONZALEZ (HALCON 1-10).doc</t>
  </si>
  <si>
    <t>C:\Users\franc\OneDrive\Documentos\MALENTIN KARIME\BANCO ESTADO\2012 DEPTO ESCRITURAS fata\NOTARIA 2009\RESCILIACION\MIGUEL TAPIA Y OTRO A JORGE CUELLO (ARRIENDO).doc</t>
  </si>
  <si>
    <t>C:\Users\franc\OneDrive\Documentos\MALENTIN KARIME\BANCO ESTADO\2012 DEPTO ESCRITURAS fata\NOTARIA 2009\RESCILIACION\MATILDE CORTES A JESSICA LOPEZ (DERECHO EN COMUNIDAD).doc</t>
  </si>
  <si>
    <t>C:\Users\franc\OneDrive\Documentos\MALENTIN KARIME\BANCO ESTADO\2012 DEPTO ESCRITURAS fata\NOTARIA 2009\RESCILIACION\MARIA TELLO A RODRIGO GUZMAN (PROMESA).doc</t>
  </si>
  <si>
    <t>C:\Users\franc\OneDrive\Documentos\MALENTIN KARIME\BANCO ESTADO\2012 DEPTO ESCRITURAS fata\NOTARIA 2009\RESCILIACION\MANUEL BRAVO A SOC. DON CARLOS (SALEM).doc</t>
  </si>
  <si>
    <t>C:\Users\franc\OneDrive\Documentos\MALENTIN KARIME\BANCO ESTADO\2012 DEPTO ESCRITURAS fata\NOTARIA 2009\RESCILIACION\JUAN ADAOS Y OTROS A  WILLIAM (COMPRAVENTA SIN INSCIRP).doc</t>
  </si>
  <si>
    <t>C:\Users\franc\OneDrive\Documentos\MALENTIN KARIME\BANCO ESTADO\2012 DEPTO ESCRITURAS fata\NOTARIA 2009\RESCILIACION\JORGE ARACENA A JORGE CUELLO (ARRIENDO) PRIVADO.doc</t>
  </si>
  <si>
    <t>C:\Users\franc\OneDrive\Documentos\MALENTIN KARIME\BANCO ESTADO\2012 DEPTO ESCRITURAS fata\NOTARIA 2009\RESCILIACION\INVERSIONES MORALES.doc</t>
  </si>
  <si>
    <t>C:\Users\franc\OneDrive\Documentos\MALENTIN KARIME\BANCO ESTADO\2012 DEPTO ESCRITURAS fata\NOTARIA 2009\RESCILIACION\GABRIEL A GALINDO VELIZ (COMPRAVENTA SIN INSCIRP).doc</t>
  </si>
  <si>
    <t>C:\Users\franc\OneDrive\Documentos\MALENTIN KARIME\BANCO ESTADO\2012 DEPTO ESCRITURAS fata\NOTARIA 2009\RESCILIACION\EUGENIO DARRIGRANDE A JUAN GUTIERREZ.doc</t>
  </si>
  <si>
    <t>C:\Users\franc\OneDrive\Documentos\MALENTIN KARIME\BANCO ESTADO\2012 DEPTO ESCRITURAS fata\NOTARIA 2009\RESCILIACION\ALICIDES LISBOA A SOC. MINERA DON CARLOS (ARRIENDO).doc</t>
  </si>
  <si>
    <t>C:\Users\franc\OneDrive\Documentos\MALENTIN KARIME\BANCO ESTADO\2012 DEPTO ESCRITURAS fata\NOTARIA 2009\REPUDIO\PABLO MELO.doc</t>
  </si>
  <si>
    <t>C:\Users\franc\OneDrive\Documentos\MALENTIN KARIME\BANCO ESTADO\2012 DEPTO ESCRITURAS fata\NOTARIA 2009\REPUDIO\ANGEL SEGOVIA.doc</t>
  </si>
  <si>
    <t>C:\Users\franc\OneDrive\Documentos\MALENTIN KARIME\BANCO ESTADO\2012 DEPTO ESCRITURAS fata\NOTARIA 2009\RENUNCIA GANANCIALES\MA LORETO CAMPOS.doc</t>
  </si>
  <si>
    <t>C:\Users\franc\OneDrive\Documentos\MALENTIN KARIME\BANCO ESTADO\2012 DEPTO ESCRITURAS fata\NOTARIA 2009\RENUNCIA GANANCIALES\CLAUDIO CASTILLO.doc</t>
  </si>
  <si>
    <t>C:\Users\franc\OneDrive\Documentos\MALENTIN KARIME\BANCO ESTADO\2012 DEPTO ESCRITURAS fata\NOTARIA 2009\RENDICION\LUIS ROJAS A MINERA MARUJA.doc</t>
  </si>
  <si>
    <t>C:\Users\franc\OneDrive\Documentos\MALENTIN KARIME\BANCO ESTADO\2012 DEPTO ESCRITURAS fata\NOTARIA 2009\REMATES\REMATE EL CHAVO UNA.doc</t>
  </si>
  <si>
    <t>C:\Users\franc\OneDrive\Documentos\MALENTIN KARIME\BANCO ESTADO\2012 DEPTO ESCRITURAS fata\NOTARIA 2009\REMATES\MINAS.doc</t>
  </si>
  <si>
    <t>C:\Users\franc\OneDrive\Documentos\MALENTIN KARIME\BANCO ESTADO\2012 DEPTO ESCRITURAS fata\NOTARIA 2009\REMATES\CUEVAS.doc</t>
  </si>
  <si>
    <t>C:\Users\franc\OneDrive\Documentos\MALENTIN KARIME\BANCO ESTADO\2012 DEPTO ESCRITURAS fata\NOTARIA 2009\REGLAMENTO CO-PROPIEDAD\REGLAMENTO Loteo Alto La Chimba.doc</t>
  </si>
  <si>
    <t>C:\Users\franc\OneDrive\Documentos\MALENTIN KARIME\BANCO ESTADO\2012 DEPTO ESCRITURAS fata\NOTARIA 2009\REDUCCION\VALLE_LIMARI_AUMENTO_K[1].doc</t>
  </si>
  <si>
    <t>C:\Users\franc\OneDrive\Documentos\MALENTIN KARIME\BANCO ESTADO\2012 DEPTO ESCRITURAS fata\NOTARIA 2009\REDUCCION\ROSITA DE PUNITAQUI.doc</t>
  </si>
  <si>
    <t>C:\Users\franc\OneDrive\Documentos\MALENTIN KARIME\BANCO ESTADO\2012 DEPTO ESCRITURAS fata\NOTARIA 2009\REDUCCION\RESOLUCION MODIFICACION (COLOMBRES).doc</t>
  </si>
  <si>
    <t>C:\Users\franc\OneDrive\Documentos\MALENTIN KARIME\BANCO ESTADO\2012 DEPTO ESCRITURAS fata\NOTARIA 2009\REDUCCION\PICKERT ARQUITECTOS S.A..doc</t>
  </si>
  <si>
    <t>C:\Users\franc\OneDrive\Documentos\MALENTIN KARIME\BANCO ESTADO\2012 DEPTO ESCRITURAS fata\NOTARIA 2009\REDUCCION\PICKERT ARQUITECTOS S.A. FINAL.doc</t>
  </si>
  <si>
    <t>C:\Users\franc\OneDrive\Documentos\MALENTIN KARIME\BANCO ESTADO\2012 DEPTO ESCRITURAS fata\NOTARIA 2009\REDUCCION\PERMISO EDIFICACION.doc</t>
  </si>
  <si>
    <t>C:\Users\franc\OneDrive\Documentos\MALENTIN KARIME\BANCO ESTADO\2012 DEPTO ESCRITURAS fata\NOTARIA 2009\REDUCCION\PERMISO EDIFICACION  PROY. INMOBILIARIOS.doc</t>
  </si>
  <si>
    <t>C:\Users\franc\OneDrive\Documentos\MALENTIN KARIME\BANCO ESTADO\2012 DEPTO ESCRITURAS fata\NOTARIA 2009\REDUCCION\OCHOTIERRAS (RONALD CUELLAR).doc</t>
  </si>
  <si>
    <t>C:\Users\franc\OneDrive\Documentos\MALENTIN KARIME\BANCO ESTADO\2012 DEPTO ESCRITURAS fata\NOTARIA 2009\REDUCCION\JUNTA VIGILANCIA RIO HUATULAME.doc</t>
  </si>
  <si>
    <t>C:\Users\franc\OneDrive\Documentos\MALENTIN KARIME\BANCO ESTADO\2012 DEPTO ESCRITURAS fata\NOTARIA 2009\REDUCCION\DECRETO 239 FUNDO CHAÑARAL BAJO SUR.doc</t>
  </si>
  <si>
    <t>C:\Users\franc\OneDrive\Documentos\MALENTIN KARIME\BANCO ESTADO\2012 DEPTO ESCRITURAS fata\NOTARIA 2009\REDUCCION\CLUB DEPORTIVO MAGALLANES (SOTAQUI) - CHILE DEPORTES.doc</t>
  </si>
  <si>
    <t>C:\Users\franc\OneDrive\Documentos\MALENTIN KARIME\BANCO ESTADO\2012 DEPTO ESCRITURAS fata\NOTARIA 2009\REDUCCION\CERTIFICADO AUTORIZ MUNICI (EUGENIO CORTES CAROCA).doc</t>
  </si>
  <si>
    <t>C:\Users\franc\OneDrive\Documentos\MALENTIN KARIME\BANCO ESTADO\2012 DEPTO ESCRITURAS fata\NOTARIA 2009\REDUCCION\BOMBEROS OVALLE.doc</t>
  </si>
  <si>
    <t>C:\Users\franc\OneDrive\Documentos\MALENTIN KARIME\BANCO ESTADO\2012 DEPTO ESCRITURAS fata\NOTARIA 2009\REDUCCION\ACTA MATRIZ TALQUILLA.doc</t>
  </si>
  <si>
    <t>C:\Users\franc\OneDrive\Documentos\MALENTIN KARIME\BANCO ESTADO\2012 DEPTO ESCRITURAS fata\NOTARIA 2009\REDUCCION\ACTA JUNTA ASOC. CANAL EMBALSE COGOTI.doc</t>
  </si>
  <si>
    <t>C:\Users\franc\OneDrive\Documentos\MALENTIN KARIME\BANCO ESTADO\2012 DEPTO ESCRITURAS fata\NOTARIA 2009\REDUCCION\ACTA JUNTA ASOC. CANAL EMBALSE COGOTI  LIBRO.doc</t>
  </si>
  <si>
    <t>C:\Users\franc\OneDrive\Documentos\MALENTIN KARIME\BANCO ESTADO\2012 DEPTO ESCRITURAS fata\NOTARIA 2009\REDUCCION\ACTA INVERSIONES TALQUILLA.doc</t>
  </si>
  <si>
    <t>C:\Users\franc\OneDrive\Documentos\MALENTIN KARIME\BANCO ESTADO\2012 DEPTO ESCRITURAS fata\NOTARIA 2009\REDUCCION\ACTA EXPORTADORA VALLE LIMARI.doc</t>
  </si>
  <si>
    <t>C:\Users\franc\OneDrive\Documentos\MALENTIN KARIME\BANCO ESTADO\2012 DEPTO ESCRITURAS fata\NOTARIA 2009\REDUCCION\ACTA DOÑA ADRIANA (ARTIGUES)Ç.doc</t>
  </si>
  <si>
    <t>C:\Users\franc\OneDrive\Documentos\MALENTIN KARIME\BANCO ESTADO\2012 DEPTO ESCRITURAS fata\NOTARIA 2009\RECTIFICACION\VERONICA MELLA.doc</t>
  </si>
  <si>
    <t>C:\Users\franc\OneDrive\Documentos\MALENTIN KARIME\BANCO ESTADO\2012 DEPTO ESCRITURAS fata\NOTARIA 2009\RECTIFICACION\SOCIEDAD VERANEO PACIVICO.doc</t>
  </si>
  <si>
    <t>C:\Users\franc\OneDrive\Documentos\MALENTIN KARIME\BANCO ESTADO\2012 DEPTO ESCRITURAS fata\NOTARIA 2009\RECTIFICACION\SERGIO CORTES.doc</t>
  </si>
  <si>
    <t>C:\Users\franc\OneDrive\Documentos\MALENTIN KARIME\BANCO ESTADO\2012 DEPTO ESCRITURAS fata\NOTARIA 2009\RECTIFICACION\Rodrigo Mundaca Munda.doc</t>
  </si>
  <si>
    <t>C:\Users\franc\OneDrive\Documentos\MALENTIN KARIME\BANCO ESTADO\2012 DEPTO ESCRITURAS fata\NOTARIA 2009\RECTIFICACION\RIGOBERTO GUTIERREZ (OSSANDON).doc</t>
  </si>
  <si>
    <t>C:\Users\franc\OneDrive\Documentos\MALENTIN KARIME\BANCO ESTADO\2012 DEPTO ESCRITURAS fata\NOTARIA 2009\RECTIFICACION\RICARDO JARA A ELIZABETH PIZARRO.doc</t>
  </si>
  <si>
    <t>C:\Users\franc\OneDrive\Documentos\MALENTIN KARIME\BANCO ESTADO\2012 DEPTO ESCRITURAS fata\NOTARIA 2009\RECTIFICACION\RECTIFICACION COMPRAVENTA TIA SUSANA.doc</t>
  </si>
  <si>
    <t>C:\Users\franc\OneDrive\Documentos\MALENTIN KARIME\BANCO ESTADO\2012 DEPTO ESCRITURAS fata\NOTARIA 2009\RECTIFICACION\RECT. ESCRITURA CONSULTORA.doc</t>
  </si>
  <si>
    <t>C:\Users\franc\OneDrive\Documentos\MALENTIN KARIME\BANCO ESTADO\2012 DEPTO ESCRITURAS fata\NOTARIA 2009\RECTIFICACION\PEDRO MANZANO JAIME.doc</t>
  </si>
  <si>
    <t>C:\Users\franc\OneDrive\Documentos\MALENTIN KARIME\BANCO ESTADO\2012 DEPTO ESCRITURAS fata\NOTARIA 2009\RECTIFICACION\PATRICIA ALFARO.doc</t>
  </si>
  <si>
    <t>C:\Users\franc\OneDrive\Documentos\MALENTIN KARIME\BANCO ESTADO\2012 DEPTO ESCRITURAS fata\NOTARIA 2009\RECTIFICACION\MISAEL RODRIGUEZ.doc</t>
  </si>
  <si>
    <t>C:\Users\franc\OneDrive\Documentos\MALENTIN KARIME\BANCO ESTADO\2012 DEPTO ESCRITURAS fata\NOTARIA 2009\RECTIFICACION\MIGUEL GODOY (ESTADO CIVIL).doc</t>
  </si>
  <si>
    <t>C:\Users\franc\OneDrive\Documentos\MALENTIN KARIME\BANCO ESTADO\2012 DEPTO ESCRITURAS fata\NOTARIA 2009\RECTIFICACION\JORGE VERGARA (DERECHO REAL).doc</t>
  </si>
  <si>
    <t>C:\Users\franc\OneDrive\Documentos\MALENTIN KARIME\BANCO ESTADO\2012 DEPTO ESCRITURAS fata\NOTARIA 2009\RECTIFICACION\I N F O R M E   DE   T I T U L O S.doc</t>
  </si>
  <si>
    <t>C:\Users\franc\OneDrive\Documentos\MALENTIN KARIME\BANCO ESTADO\2012 DEPTO ESCRITURAS fata\NOTARIA 2009\RECTIFICACION\FORTUNATO GONZALEZ A JOSE VEGA (DOMINIO).doc</t>
  </si>
  <si>
    <t>C:\Users\franc\OneDrive\Documentos\MALENTIN KARIME\BANCO ESTADO\2012 DEPTO ESCRITURAS fata\NOTARIA 2009\RECTIFICACION\Ema Jaramillo y Claudia ALvarez.DOC</t>
  </si>
  <si>
    <t>C:\Users\franc\OneDrive\Documentos\MALENTIN KARIME\BANCO ESTADO\2012 DEPTO ESCRITURAS fata\NOTARIA 2009\RECTIFICACION\EMA JARAMILLO A CLAUDIA ALVAREZ Y OTRA.doc</t>
  </si>
  <si>
    <t>C:\Users\franc\OneDrive\Documentos\MALENTIN KARIME\BANCO ESTADO\2012 DEPTO ESCRITURAS fata\NOTARIA 2009\RECTIFICACION\ANA MARIA MONDACA BOU A INMOB, LOS LAGOS.doc</t>
  </si>
  <si>
    <t>C:\Users\franc\OneDrive\Documentos\MALENTIN KARIME\BANCO ESTADO\2012 DEPTO ESCRITURAS fata\NOTARIA 2009\RECTIFICACION\ANA LEMUS (REC DESLIDNES).doc</t>
  </si>
  <si>
    <t>C:\Users\franc\OneDrive\Documentos\MALENTIN KARIME\BANCO ESTADO\2012 DEPTO ESCRITURAS fata\NOTARIA 2009\RECTIFICACION\ALDO CARVAJAL.doc</t>
  </si>
  <si>
    <t>C:\Users\franc\OneDrive\Documentos\MALENTIN KARIME\BANCO ESTADO\2012 DEPTO ESCRITURAS fata\NOTARIA 2009\RECTIFICACION\ADELINA PIZARRO Y OTR. NELSON PIZARRO ARAYA.doc</t>
  </si>
  <si>
    <t>C:\Users\franc\OneDrive\Documentos\MALENTIN KARIME\BANCO ESTADO\2012 DEPTO ESCRITURAS fata\NOTARIA 2009\RECTIFICACION\ADELINA PIZARRO Y OTR. JORGE PIZARRO.doc</t>
  </si>
  <si>
    <t>C:\Users\franc\OneDrive\Documentos\MALENTIN KARIME\BANCO ESTADO\2012 DEPTO ESCRITURAS fata\NOTARIA 2009\RECTIFICACION\ADELINA PIZARRO Y OTR. ADELINA PIZARRO.doc</t>
  </si>
  <si>
    <t>C:\Users\franc\OneDrive\Documentos\MALENTIN KARIME\BANCO ESTADO\2012 DEPTO ESCRITURAS fata\NOTARIA 2009\RECONOCIMIENTO DEUDA\MARIO ARACENA CARVAJAL.doc</t>
  </si>
  <si>
    <t>C:\Users\franc\OneDrive\Documentos\MALENTIN KARIME\BANCO ESTADO\2012 DEPTO ESCRITURAS fata\NOTARIA 2009\RECONOCIMIENTO DEUDA\LUIS ULLOA.doc</t>
  </si>
  <si>
    <t>C:\Users\franc\OneDrive\Documentos\MALENTIN KARIME\BANCO ESTADO\2012 DEPTO ESCRITURAS fata\NOTARIA 2009\RAUL SALAMANCA\SOC. LAS MERCEDEES A ENAMI.doc</t>
  </si>
  <si>
    <t>C:\Users\franc\OneDrive\Documentos\MALENTIN KARIME\BANCO ESTADO\2012 DEPTO ESCRITURAS fata\NOTARIA 2009\RAUL SALAMANCA\SOC. GLOCESA LTDA..doc</t>
  </si>
  <si>
    <t>C:\Users\franc\OneDrive\Documentos\MALENTIN KARIME\BANCO ESTADO\2012 DEPTO ESCRITURAS fata\NOTARIA 2009\RAUL SALAMANCA\SOC. FELIXAN LTDA..doc</t>
  </si>
  <si>
    <t>C:\Users\franc\OneDrive\Documentos\MALENTIN KARIME\BANCO ESTADO\2012 DEPTO ESCRITURAS fata\NOTARIA 2009\RAUL SALAMANCA\SOC. CERRILLOS A RODRIGO HERRERA (SERVIDUM).doc</t>
  </si>
  <si>
    <t>C:\Users\franc\OneDrive\Documentos\MALENTIN KARIME\BANCO ESTADO\2012 DEPTO ESCRITURAS fata\NOTARIA 2009\RAUL SALAMANCA\SOC. CANTA RANA S.A. A MARCELA DIEZ (TRANSCCION EXTRAJDICIAL.doc</t>
  </si>
  <si>
    <t>C:\Users\franc\OneDrive\Documentos\MALENTIN KARIME\BANCO ESTADO\2012 DEPTO ESCRITURAS fata\NOTARIA 2009\RAUL SALAMANCA\soc fELIXAN LTDa. FINAL.doc</t>
  </si>
  <si>
    <t>C:\Users\franc\OneDrive\Documentos\MALENTIN KARIME\BANCO ESTADO\2012 DEPTO ESCRITURAS fata\NOTARIA 2009\RAUL SALAMANCA\ORIEL CISTERNAS A SOC. RENOVADA DE INVERS (HERRADURA).doc</t>
  </si>
  <si>
    <t>C:\Users\franc\OneDrive\Documentos\MALENTIN KARIME\BANCO ESTADO\2012 DEPTO ESCRITURAS fata\NOTARIA 2009\RAUL SALAMANCA\ORIEL CISTERNAS A SOC. RENOV. DE INVERS. (ROCIO).doc</t>
  </si>
  <si>
    <t>C:\Users\franc\OneDrive\Documentos\MALENTIN KARIME\BANCO ESTADO\2012 DEPTO ESCRITURAS fata\NOTARIA 2009\RAUL SALAMANCA\ORIEL CISTERNAS A SOC. RENOV. DE INVERS. (ESPERANZA).doc</t>
  </si>
  <si>
    <t>C:\Users\franc\OneDrive\Documentos\MALENTIN KARIME\BANCO ESTADO\2012 DEPTO ESCRITURAS fata\NOTARIA 2009\RAUL SALAMANCA\ORIEL CISTERNAS A SOC. RENOV. DE INVERS. (DANY).doc</t>
  </si>
  <si>
    <t>C:\Users\franc\OneDrive\Documentos\MALENTIN KARIME\BANCO ESTADO\2012 DEPTO ESCRITURAS fata\NOTARIA 2009\RAUL SALAMANCA\ORIEL CISTERNAS A SOC. RENOV. DE INVERS. (ARRIENDO MINERO).doc</t>
  </si>
  <si>
    <t>C:\Users\franc\OneDrive\Documentos\MALENTIN KARIME\BANCO ESTADO\2012 DEPTO ESCRITURAS fata\NOTARIA 2009\RAUL SALAMANCA\MINERA RUMAY LTDA.Ç.doc</t>
  </si>
  <si>
    <t>C:\Users\franc\OneDrive\Documentos\MALENTIN KARIME\BANCO ESTADO\2012 DEPTO ESCRITURAS fata\NOTARIA 2009\RAUL SALAMANCA\MINERA RUMAY EXTRACTO.doc</t>
  </si>
  <si>
    <t>C:\Users\franc\OneDrive\Documentos\MALENTIN KARIME\BANCO ESTADO\2012 DEPTO ESCRITURAS fata\NOTARIA 2009\RAUL SALAMANCA\MARIA INES FIGARI A ALCIDES NIN DE CARDONA.doc</t>
  </si>
  <si>
    <t>C:\Users\franc\OneDrive\Documentos\MALENTIN KARIME\BANCO ESTADO\2012 DEPTO ESCRITURAS fata\NOTARIA 2009\RAUL SALAMANCA\MANDATO poder quiebra dos.doc</t>
  </si>
  <si>
    <t>C:\Users\franc\OneDrive\Documentos\MALENTIN KARIME\BANCO ESTADO\2012 DEPTO ESCRITURAS fata\NOTARIA 2009\RAUL SALAMANCA\FELIX CORTES Y AUTOM. Y MINERA REM.doc</t>
  </si>
  <si>
    <t>C:\Users\franc\OneDrive\Documentos\MALENTIN KARIME\BANCO ESTADO\2012 DEPTO ESCRITURAS fata\NOTARIA 2009\RAUL SALAMANCA\EXTRACTO hermanos cisternas.doc</t>
  </si>
  <si>
    <t>C:\Users\franc\OneDrive\Documentos\MALENTIN KARIME\BANCO ESTADO\2012 DEPTO ESCRITURAS fata\NOTARIA 2009\RAUL SALAMANCA\AUGUSTO MUÑOZ A RAMON MUÑOZ (SIN INSCRIP).doc</t>
  </si>
  <si>
    <t>C:\Users\franc\OneDrive\Documentos\MALENTIN KARIME\BANCO ESTADO\2012 DEPTO ESCRITURAS fata\NOTARIA 2009\RAUL CORTES OSSANDON\SOCIEDAD ECORED.doc</t>
  </si>
  <si>
    <t>C:\Users\franc\OneDrive\Documentos\MALENTIN KARIME\BANCO ESTADO\2012 DEPTO ESCRITURAS fata\NOTARIA 2009\RATIFICACION\SOC. CERRO CAMPANARIO (MANUEL CORTES).doc</t>
  </si>
  <si>
    <t>C:\Users\franc\OneDrive\Documentos\MALENTIN KARIME\BANCO ESTADO\2012 DEPTO ESCRITURAS fata\NOTARIA 2009\RATIFICACION\NEFTALI GONZALEZ.doc</t>
  </si>
  <si>
    <t>C:\Users\franc\OneDrive\Documentos\MALENTIN KARIME\BANCO ESTADO\2012 DEPTO ESCRITURAS fata\NOTARIA 2009\RATIFICACION\MIGUEL VELIZ Y OTRO A SUS CONYUGES.doc</t>
  </si>
  <si>
    <t>C:\Users\franc\OneDrive\Documentos\MALENTIN KARIME\BANCO ESTADO\2012 DEPTO ESCRITURAS fata\NOTARIA 2009\RATIFICACION\ELIANA ARAYA.doc</t>
  </si>
  <si>
    <t>C:\Users\franc\OneDrive\Documentos\MALENTIN KARIME\BANCO ESTADO\2012 DEPTO ESCRITURAS fata\NOTARIA 2009\RATIFICACION\DARWING ROJAS A SANDRA MILLA.doc</t>
  </si>
  <si>
    <t>C:\Users\franc\OneDrive\Documentos\MALENTIN KARIME\BANCO ESTADO\2012 DEPTO ESCRITURAS fata\NOTARIA 2009\RATIFICACION\ADELINA HUENCHUÑIR (CONYUGE) RATIFICACION.doc</t>
  </si>
  <si>
    <t>C:\Users\franc\OneDrive\Documentos\MALENTIN KARIME\BANCO ESTADO\2012 DEPTO ESCRITURAS fata\NOTARIA 2009\RAMON LUIS\instr cvta casa libertad.doc</t>
  </si>
  <si>
    <t>C:\Users\franc\OneDrive\Documentos\MALENTIN KARIME\BANCO ESTADO\2012 DEPTO ESCRITURAS fata\NOTARIA 2009\RAMON LUIS\EDUARDO CORTES A PEDRO SEGUNDO MUÑOZ.doc</t>
  </si>
  <si>
    <t>C:\Users\franc\OneDrive\Documentos\MALENTIN KARIME\BANCO ESTADO\2012 DEPTO ESCRITURAS fata\NOTARIA 2009\RAMON LUIS\COMITE TAMAYA.doc</t>
  </si>
  <si>
    <t>C:\Users\franc\OneDrive\Documentos\MALENTIN KARIME\BANCO ESTADO\2012 DEPTO ESCRITURAS fata\NOTARIA 2009\PROTOCOLIZA\INDAP\LILI CALDERON.doc</t>
  </si>
  <si>
    <t>C:\Users\franc\OneDrive\Documentos\MALENTIN KARIME\BANCO ESTADO\2012 DEPTO ESCRITURAS fata\NOTARIA 2009\PROTOCOLIZA\INDAP\EDMUNDO ARAYA (INDAP).doc</t>
  </si>
  <si>
    <t>C:\Users\franc\OneDrive\Documentos\MALENTIN KARIME\BANCO ESTADO\2012 DEPTO ESCRITURAS fata\NOTARIA 2009\PROTOCOLIZA\declaracion droga\PAULINA PLAZA SANTIBAÑEZ.doc</t>
  </si>
  <si>
    <t>C:\Users\franc\OneDrive\Documentos\MALENTIN KARIME\BANCO ESTADO\2012 DEPTO ESCRITURAS fata\NOTARIA 2009\PROTOCOLIZA\declaracion droga\Paola Carvajal Valenzuela.doc</t>
  </si>
  <si>
    <t>C:\Users\franc\OneDrive\Documentos\MALENTIN KARIME\BANCO ESTADO\2012 DEPTO ESCRITURAS fata\NOTARIA 2009\PROTOCOLIZA\BOMBEROS\Tercera Compañia FS 67.doc</t>
  </si>
  <si>
    <t>C:\Users\franc\OneDrive\Documentos\MALENTIN KARIME\BANCO ESTADO\2012 DEPTO ESCRITURAS fata\NOTARIA 2009\PROTOCOLIZA\BOMBEROS\Cuerpo de Bomberos Ovalle SUPERINTENDENCIA.doc</t>
  </si>
  <si>
    <t>C:\Users\franc\OneDrive\Documentos\MALENTIN KARIME\BANCO ESTADO\2012 DEPTO ESCRITURAS fata\NOTARIA 2009\PROTOCOLIZA\BOMBEROS\Cuerpo de Bomberos Ovalle SUPERINTENDENCIA FS 56.doc</t>
  </si>
  <si>
    <t>C:\Users\franc\OneDrive\Documentos\MALENTIN KARIME\BANCO ESTADO\2012 DEPTO ESCRITURAS fata\NOTARIA 2009\PROTOCOLIZA\BOMBEROS\CUERPO DE BOMBEROS DE OVALLE.doc</t>
  </si>
  <si>
    <t>C:\Users\franc\OneDrive\Documentos\MALENTIN KARIME\BANCO ESTADO\2012 DEPTO ESCRITURAS fata\NOTARIA 2009\PROTOCOLIZA\BOMBEROS\CUERPO DE BOMBEROS DE OVA.doc</t>
  </si>
  <si>
    <t>C:\Users\franc\OneDrive\Documentos\MALENTIN KARIME\BANCO ESTADO\2012 DEPTO ESCRITURAS fata\NOTARIA 2009\PROTOCOLIZA\BOMBEROS\CUERPO DE BOMBEROS DE OVA........doc</t>
  </si>
  <si>
    <t>C:\Users\franc\OneDrive\Documentos\MALENTIN KARIME\BANCO ESTADO\2012 DEPTO ESCRITURAS fata\NOTARIA 2009\PROTOCOLIZA\BOMBEROS\CERT.COPIAS.doc</t>
  </si>
  <si>
    <t>C:\Users\franc\OneDrive\Documentos\MALENTIN KARIME\BANCO ESTADO\2012 DEPTO ESCRITURAS fata\NOTARIA 2009\PROTOCOLIZA\BOMBEROS\CERT.COPIAS BOM 8 CIA.doc</t>
  </si>
  <si>
    <t>C:\Users\franc\OneDrive\Documentos\MALENTIN KARIME\BANCO ESTADO\2012 DEPTO ESCRITURAS fata\NOTARIA 2009\PROTOCOLIZA\BOMBEROS\CERT COPIA SUPERINTENDENCIA.doc</t>
  </si>
  <si>
    <t>C:\Users\franc\OneDrive\Documentos\MALENTIN KARIME\BANCO ESTADO\2012 DEPTO ESCRITURAS fata\NOTARIA 2009\PROTOCOLIZA\BOMBEROS\CERT COPIA BOMBEROS agrega.doc</t>
  </si>
  <si>
    <t>C:\Users\franc\OneDrive\Documentos\MALENTIN KARIME\BANCO ESTADO\2012 DEPTO ESCRITURAS fata\NOTARIA 2009\PROTOCOLIZA\BOMBEROS\BOMBEROS FS 63 5 cia.doc</t>
  </si>
  <si>
    <t>C:\Users\franc\OneDrive\Documentos\MALENTIN KARIME\BANCO ESTADO\2012 DEPTO ESCRITURAS fata\NOTARIA 2009\PROTOCOLIZA\BOMBEROS\BOMBEROS FS 44.doc</t>
  </si>
  <si>
    <t>C:\Users\franc\OneDrive\Documentos\MALENTIN KARIME\BANCO ESTADO\2012 DEPTO ESCRITURAS fata\NOTARIA 2009\PROTOCOLIZA\BOMBEROS\BOMBEROS FS 29 8 cia.doc</t>
  </si>
  <si>
    <t>C:\Users\franc\OneDrive\Documentos\MALENTIN KARIME\BANCO ESTADO\2012 DEPTO ESCRITURAS fata\NOTARIA 2009\PROTOCOLIZA\BOMBEROS\BOMBEROS FS 09 8 cia.doc</t>
  </si>
  <si>
    <t>C:\Users\franc\OneDrive\Documentos\MALENTIN KARIME\BANCO ESTADO\2012 DEPTO ESCRITURAS fata\NOTARIA 2009\PROTOCOLIZA\2009\SORTEO AGRO SERVICIOS.doc</t>
  </si>
  <si>
    <t>C:\Users\franc\OneDrive\Documentos\MALENTIN KARIME\BANCO ESTADO\2012 DEPTO ESCRITURAS fata\NOTARIA 2009\PROTOCOLIZA\2009\SINDICATO TRABAJADORES FERIA LIBRE.doc</t>
  </si>
  <si>
    <t>C:\Users\franc\OneDrive\Documentos\MALENTIN KARIME\BANCO ESTADO\2012 DEPTO ESCRITURAS fata\NOTARIA 2009\PROTOCOLIZA\2009\REUNION EXTRAORDINARIA (COMODATO) (JUAN CARLOS).doc</t>
  </si>
  <si>
    <t>C:\Users\franc\OneDrive\Documentos\MALENTIN KARIME\BANCO ESTADO\2012 DEPTO ESCRITURAS fata\NOTARIA 2009\PROTOCOLIZA\2009\PROT. ALZAMIENTO Y CANCELACION elba.doc</t>
  </si>
  <si>
    <t>C:\Users\franc\OneDrive\Documentos\MALENTIN KARIME\BANCO ESTADO\2012 DEPTO ESCRITURAS fata\NOTARIA 2009\PROTOCOLIZA\2009\PROT. ALZAMIENTO CAPEL ELBA.doc</t>
  </si>
  <si>
    <t>C:\Users\franc\OneDrive\Documentos\MALENTIN KARIME\BANCO ESTADO\2012 DEPTO ESCRITURAS fata\NOTARIA 2009\PROTOCOLIZA\2009\PROT. ACTA SOC. LA RECOLETA (ELBA).doc</t>
  </si>
  <si>
    <t>C:\Users\franc\OneDrive\Documentos\MALENTIN KARIME\BANCO ESTADO\2012 DEPTO ESCRITURAS fata\NOTARIA 2009\PROTOCOLIZA\2009\INV. DAVID RIVERA (DON GONZALO).doc</t>
  </si>
  <si>
    <t>C:\Users\franc\OneDrive\Documentos\MALENTIN KARIME\BANCO ESTADO\2012 DEPTO ESCRITURAS fata\NOTARIA 2009\PROTOCOLIZA\2009\COMITE PRO CASA VILLA FLOR DEL NORTE.doc</t>
  </si>
  <si>
    <t>C:\Users\franc\OneDrive\Documentos\MALENTIN KARIME\BANCO ESTADO\2012 DEPTO ESCRITURAS fata\NOTARIA 2009\PROTOCOLIZA\2009\COMITE PRO CASA VILLA FLOR DEL NORTE 2.doc</t>
  </si>
  <si>
    <t>C:\Users\franc\OneDrive\Documentos\MALENTIN KARIME\BANCO ESTADO\2012 DEPTO ESCRITURAS fata\NOTARIA 2009\PROTOCOLIZA\2009\CARLOS BUGUEÑO (INDAP).doc</t>
  </si>
  <si>
    <t>C:\Users\franc\OneDrive\Documentos\MALENTIN KARIME\BANCO ESTADO\2012 DEPTO ESCRITURAS fata\NOTARIA 2009\PROTOCOLIZA\2009\BASILIO AGUIRRE (MEJORAMIENTOS SISTEMA AGUAS.doc</t>
  </si>
  <si>
    <t>C:\Users\franc\OneDrive\Documentos\MALENTIN KARIME\BANCO ESTADO\2012 DEPTO ESCRITURAS fata\NOTARIA 2009\PROTOCOLIZA\2009\BASILIO AGUIRRE (MEJORAMIENTOS SISTEMA AGUAS EL SAUCE NOV, 2009.doc</t>
  </si>
  <si>
    <t>C:\Users\franc\OneDrive\Documentos\MALENTIN KARIME\BANCO ESTADO\2012 DEPTO ESCRITURAS fata\NOTARIA 2009\PROTOCOLIZA\2009\BASILIO AGUIRRE (MEJORAMIENTOS SISTEMA AGUAS COLLIGUAY.- 18 NOV, 2009.doc</t>
  </si>
  <si>
    <t>C:\Users\franc\OneDrive\Documentos\MALENTIN KARIME\BANCO ESTADO\2012 DEPTO ESCRITURAS fata\NOTARIA 2009\PROTOCOLIZA\2009\BASILIO AGUIRRE (MEJORAMIENTOS SISTEMA AGUAS andacollo).doc</t>
  </si>
  <si>
    <t>C:\Users\franc\OneDrive\Documentos\MALENTIN KARIME\BANCO ESTADO\2012 DEPTO ESCRITURAS fata\NOTARIA 2009\PROTOCOLIZA\2009\BASILIO AGUIRRE (MEJORAMIENTOS SISTEMA AGUAS  RURAL DE PICHASCA, HORCON, DIC.- 2009.doc</t>
  </si>
  <si>
    <t>C:\Users\franc\OneDrive\Documentos\MALENTIN KARIME\BANCO ESTADO\2012 DEPTO ESCRITURAS fata\NOTARIA 2009\PROTOCOLIZA\2009\BASILIO AGUIRRE (LIQUIDACION FINAL).doc</t>
  </si>
  <si>
    <t>C:\Users\franc\OneDrive\Documentos\MALENTIN KARIME\BANCO ESTADO\2012 DEPTO ESCRITURAS fata\NOTARIA 2009\PROTOCOLIZA\2009\BASILIO AGUIRRE (LIQUIDACION FINAL) 3.doc</t>
  </si>
  <si>
    <t>C:\Users\franc\OneDrive\Documentos\MALENTIN KARIME\BANCO ESTADO\2012 DEPTO ESCRITURAS fata\NOTARIA 2009\PROTOCOLIZA\2009\BASILIO AGUIRRE (LIQUIDACION FINAL)  2.doc</t>
  </si>
  <si>
    <t>C:\Users\franc\OneDrive\Documentos\MALENTIN KARIME\BANCO ESTADO\2012 DEPTO ESCRITURAS fata\NOTARIA 2009\PROTOCOLIZA\2009\BASILIO AGUIRRE (construccion noria viñita alta.doc</t>
  </si>
  <si>
    <t>C:\Users\franc\OneDrive\Documentos\MALENTIN KARIME\BANCO ESTADO\2012 DEPTO ESCRITURAS fata\NOTARIA 2009\PROTOCOLIZA\2009\ACTA ENTREGA GOCE SINGULAR SRA. MARGARITA (JUAN CARLOS).doc</t>
  </si>
  <si>
    <t>C:\Users\franc\OneDrive\Documentos\MALENTIN KARIME\BANCO ESTADO\2012 DEPTO ESCRITURAS fata\NOTARIA 2009\PROTOCOLIZA\2009\ACTA CENTRO PADRES JARDIN LOS CHICHARRITAS.doc</t>
  </si>
  <si>
    <t>C:\Users\franc\OneDrive\Documentos\MALENTIN KARIME\BANCO ESTADO\2012 DEPTO ESCRITURAS fata\NOTARIA 2009\PROTOCOLIZA\2008\FONDO SOLIDARIO\MARIA VALLEJOS A CLAUDIO OLIVARES.doc</t>
  </si>
  <si>
    <t>C:\Users\franc\OneDrive\Documentos\MALENTIN KARIME\BANCO ESTADO\2012 DEPTO ESCRITURAS fata\NOTARIA 2009\PROTOCOLIZA\2008\FONDO SOLIDARIO\LUIS JAIME A SANDRA ANDRADE.doc</t>
  </si>
  <si>
    <t>C:\Users\franc\OneDrive\Documentos\MALENTIN KARIME\BANCO ESTADO\2012 DEPTO ESCRITURAS fata\NOTARIA 2009\PROTOCOLIZA\2008\FONDO SOLIDARIO\JULIA CASTRO A LUCY CONTRERAS.doc</t>
  </si>
  <si>
    <t>C:\Users\franc\OneDrive\Documentos\MALENTIN KARIME\BANCO ESTADO\2012 DEPTO ESCRITURAS fata\NOTARIA 2009\PROTOCOLIZA\2008\FONDO SOLIDARIO\firma 2.doc</t>
  </si>
  <si>
    <t>C:\Users\franc\OneDrive\Documentos\MALENTIN KARIME\BANCO ESTADO\2012 DEPTO ESCRITURAS fata\NOTARIA 2009\PROTOCOLIZA\2008\SOLANGE MALDONADO.doc</t>
  </si>
  <si>
    <t>C:\Users\franc\OneDrive\Documentos\MALENTIN KARIME\BANCO ESTADO\2012 DEPTO ESCRITURAS fata\NOTARIA 2009\PROTOCOLIZA\2008\SOC. VERANEO PACIFICO.doc</t>
  </si>
  <si>
    <t>C:\Users\franc\OneDrive\Documentos\MALENTIN KARIME\BANCO ESTADO\2012 DEPTO ESCRITURAS fata\NOTARIA 2009\PROTOCOLIZA\2008\SOC. TECNOCITRUS (CARLOS BUGUEÑO).doc</t>
  </si>
  <si>
    <t>C:\Users\franc\OneDrive\Documentos\MALENTIN KARIME\BANCO ESTADO\2012 DEPTO ESCRITURAS fata\NOTARIA 2009\PROTOCOLIZA\2008\SOC. CARRIZAL (LINO HERNANDEZ).doc</t>
  </si>
  <si>
    <t>C:\Users\franc\OneDrive\Documentos\MALENTIN KARIME\BANCO ESTADO\2012 DEPTO ESCRITURAS fata\NOTARIA 2009\PROTOCOLIZA\2008\SOC. CARACHILLA.doc</t>
  </si>
  <si>
    <t>C:\Users\franc\OneDrive\Documentos\MALENTIN KARIME\BANCO ESTADO\2012 DEPTO ESCRITURAS fata\NOTARIA 2009\PROTOCOLIZA\2008\MAURICIO MARIN (RESOLUCION).doc</t>
  </si>
  <si>
    <t>C:\Users\franc\OneDrive\Documentos\MALENTIN KARIME\BANCO ESTADO\2012 DEPTO ESCRITURAS fata\NOTARIA 2009\PROTOCOLIZA\2008\INVERSIONES LAS PALOMAS LIMTADA.doc</t>
  </si>
  <si>
    <t>C:\Users\franc\OneDrive\Documentos\MALENTIN KARIME\BANCO ESTADO\2012 DEPTO ESCRITURAS fata\NOTARIA 2009\PROTOCOLIZA\2008\INPROCOL - I MUNICIPALIDAD OVALLE.doc</t>
  </si>
  <si>
    <t>C:\Users\franc\OneDrive\Documentos\MALENTIN KARIME\BANCO ESTADO\2012 DEPTO ESCRITURAS fata\NOTARIA 2009\PROTOCOLIZA\2008\INMOBILIARIA JOFRE S.A..doc</t>
  </si>
  <si>
    <t>C:\Users\franc\OneDrive\Documentos\MALENTIN KARIME\BANCO ESTADO\2012 DEPTO ESCRITURAS fata\NOTARIA 2009\PROTOCOLIZA\2008\CLUB DIABETICOS DON PANCHITO.doc</t>
  </si>
  <si>
    <t>C:\Users\franc\OneDrive\Documentos\MALENTIN KARIME\BANCO ESTADO\2012 DEPTO ESCRITURAS fata\NOTARIA 2009\PROTOCOLIZA\2008\AUTORIZ. FIRMAS CVI 174 (PATRICIA).doc</t>
  </si>
  <si>
    <t>C:\Users\franc\OneDrive\Documentos\MALENTIN KARIME\BANCO ESTADO\2012 DEPTO ESCRITURAS fata\NOTARIA 2009\PROTOCOLIZA\2008\AUTORIZ. FIRMAS CVI 174 (PATRICIA) 2.doc</t>
  </si>
  <si>
    <t>C:\Users\franc\OneDrive\Documentos\MALENTIN KARIME\BANCO ESTADO\2012 DEPTO ESCRITURAS fata\NOTARIA 2009\PROTOCOLIZA\2008\ARRENDAMIENTO ERASMO CORTES A MARIO RIVERA.doc</t>
  </si>
  <si>
    <t>C:\Users\franc\OneDrive\Documentos\MALENTIN KARIME\BANCO ESTADO\2012 DEPTO ESCRITURAS fata\NOTARIA 2009\PROTOCOLIZA\2008\ALCONES JUNTA GENERAL COMUNEROS.doc</t>
  </si>
  <si>
    <t>C:\Users\franc\OneDrive\Documentos\MALENTIN KARIME\BANCO ESTADO\2012 DEPTO ESCRITURAS fata\NOTARIA 2009\PROTOCOLIZA\2008\ALCONES ELECCION DIRECTIVA.doc</t>
  </si>
  <si>
    <t>C:\Users\franc\OneDrive\Documentos\MALENTIN KARIME\BANCO ESTADO\2012 DEPTO ESCRITURAS fata\NOTARIA 2009\PROTOCOLIZA\2007\TOMAS ROMAN ARAYA A COSME MORALES (Vehiculo).doc</t>
  </si>
  <si>
    <t>C:\Users\franc\OneDrive\Documentos\MALENTIN KARIME\BANCO ESTADO\2012 DEPTO ESCRITURAS fata\NOTARIA 2009\PROTOCOLIZA\2007\ROSA GONZALEZ INVENTARIO.doc</t>
  </si>
  <si>
    <t>C:\Users\franc\OneDrive\Documentos\MALENTIN KARIME\BANCO ESTADO\2012 DEPTO ESCRITURAS fata\NOTARIA 2009\PROTOCOLIZA\2007\E.I.R.L SERVICIOS AGRICOLA MARCOS ARANDA.doc</t>
  </si>
  <si>
    <t>C:\Users\franc\OneDrive\Documentos\MALENTIN KARIME\BANCO ESTADO\2012 DEPTO ESCRITURAS fata\NOTARIA 2009\PROTOCOLIZA\2007\COMITE MI FUTURA CASITA.doc</t>
  </si>
  <si>
    <t>C:\Users\franc\OneDrive\Documentos\MALENTIN KARIME\BANCO ESTADO\2012 DEPTO ESCRITURAS fata\NOTARIA 2009\PROTOCOLIZA\2007\Club DE SUBOFICIALES.doc</t>
  </si>
  <si>
    <t>C:\Users\franc\OneDrive\Documentos\MALENTIN KARIME\BANCO ESTADO\2012 DEPTO ESCRITURAS fata\NOTARIA 2009\PROTOCOLIZA\2007\CIRCULO DE SUBOFICIALES.doc</t>
  </si>
  <si>
    <t>C:\Users\franc\OneDrive\Documentos\MALENTIN KARIME\BANCO ESTADO\2012 DEPTO ESCRITURAS fata\NOTARIA 2009\PROTOCOLIZA\2007\ANTONIO SABIONCELLO (PODER ESPECIAL).doc</t>
  </si>
  <si>
    <t>C:\Users\franc\OneDrive\Documentos\MALENTIN KARIME\BANCO ESTADO\2012 DEPTO ESCRITURAS fata\NOTARIA 2009\PROTOCOLIZA\2007\AGRICOLA CHAÑARAL BAJO NORTE.doc</t>
  </si>
  <si>
    <t>C:\Users\franc\OneDrive\Documentos\MALENTIN KARIME\BANCO ESTADO\2012 DEPTO ESCRITURAS fata\NOTARIA 2009\PROTOCOLIZA\YACONI ACTA.doc</t>
  </si>
  <si>
    <t>C:\Users\franc\OneDrive\Documentos\MALENTIN KARIME\BANCO ESTADO\2012 DEPTO ESCRITURAS fata\NOTARIA 2009\PROTOCOLIZA\WILLIGIS STEGMEIER  (MARCELO).doc</t>
  </si>
  <si>
    <t>C:\Users\franc\OneDrive\Documentos\MALENTIN KARIME\BANCO ESTADO\2012 DEPTO ESCRITURAS fata\NOTARIA 2009\PROTOCOLIZA\SOCIEDAD VERANEO PACIFICO.doc</t>
  </si>
  <si>
    <t>C:\Users\franc\OneDrive\Documentos\MALENTIN KARIME\BANCO ESTADO\2012 DEPTO ESCRITURAS fata\NOTARIA 2009\PROTOCOLIZA\SOC. SIGLO XXI (Juan Robles 20-07-2007.doc</t>
  </si>
  <si>
    <t>C:\Users\franc\OneDrive\Documentos\MALENTIN KARIME\BANCO ESTADO\2012 DEPTO ESCRITURAS fata\NOTARIA 2009\PROTOCOLIZA\SATURNINO OSSANDON (INV. ).doc</t>
  </si>
  <si>
    <t>C:\Users\franc\OneDrive\Documentos\MALENTIN KARIME\BANCO ESTADO\2012 DEPTO ESCRITURAS fata\NOTARIA 2009\PROTOCOLIZA\PROTOCO. CLAUDIO ARDILES NOTARIO SUPLENTE.doc</t>
  </si>
  <si>
    <t>C:\Users\franc\OneDrive\Documentos\MALENTIN KARIME\BANCO ESTADO\2012 DEPTO ESCRITURAS fata\NOTARIA 2009\PROTOCOLIZA\PROTOC. NOMBRAMIENTO ADOLFO LAY.doc</t>
  </si>
  <si>
    <t>C:\Users\franc\OneDrive\Documentos\MALENTIN KARIME\BANCO ESTADO\2012 DEPTO ESCRITURAS fata\NOTARIA 2009\PROTOCOLIZA\PROTO. NOMB. NOTARIO MARIA MEDINA 1.doc</t>
  </si>
  <si>
    <t>C:\Users\franc\OneDrive\Documentos\MALENTIN KARIME\BANCO ESTADO\2012 DEPTO ESCRITURAS fata\NOTARIA 2009\PROTOCOLIZA\PROTO. NOMB. NOTARIO MALIO METTIFOGO.doc</t>
  </si>
  <si>
    <t>C:\Users\franc\OneDrive\Documentos\MALENTIN KARIME\BANCO ESTADO\2012 DEPTO ESCRITURAS fata\NOTARIA 2009\PROTOCOLIZA\PROTO. NOMB. NOTARIO GIOVANNA DOSSI.doc</t>
  </si>
  <si>
    <t>C:\Users\franc\OneDrive\Documentos\MALENTIN KARIME\BANCO ESTADO\2012 DEPTO ESCRITURAS fata\NOTARIA 2009\PROTOCOLIZA\PROTO. NOMB. NOTARIO GIOVANNA DOSSI 3.doc</t>
  </si>
  <si>
    <t>C:\Users\franc\OneDrive\Documentos\MALENTIN KARIME\BANCO ESTADO\2012 DEPTO ESCRITURAS fata\NOTARIA 2009\PROTOCOLIZA\PROTO. NOMB. NOTARIO GIOVANNA DOSSI 2.doc</t>
  </si>
  <si>
    <t>C:\Users\franc\OneDrive\Documentos\MALENTIN KARIME\BANCO ESTADO\2012 DEPTO ESCRITURAS fata\NOTARIA 2009\PROTOCOLIZA\prohibicion serviu formulario.doc</t>
  </si>
  <si>
    <t>C:\Users\franc\OneDrive\Documentos\MALENTIN KARIME\BANCO ESTADO\2012 DEPTO ESCRITURAS fata\NOTARIA 2009\PROTOCOLIZA\PATRICIO JORQUERA.doc</t>
  </si>
  <si>
    <t>C:\Users\franc\OneDrive\Documentos\MALENTIN KARIME\BANCO ESTADO\2012 DEPTO ESCRITURAS fata\NOTARIA 2009\PROTOCOLIZA\PATRICIA ROJAS (INVENTARIO).doc</t>
  </si>
  <si>
    <t>C:\Users\franc\OneDrive\Documentos\MALENTIN KARIME\BANCO ESTADO\2012 DEPTO ESCRITURAS fata\NOTARIA 2009\PROTOCOLIZA\PASCUALA ARANCIBIA (RECTIFICACION INVENT).doc</t>
  </si>
  <si>
    <t>C:\Users\franc\OneDrive\Documentos\MALENTIN KARIME\BANCO ESTADO\2012 DEPTO ESCRITURAS fata\NOTARIA 2009\PROTOCOLIZA\MIGUEL TAPIA.doc</t>
  </si>
  <si>
    <t>C:\Users\franc\OneDrive\Documentos\MALENTIN KARIME\BANCO ESTADO\2012 DEPTO ESCRITURAS fata\NOTARIA 2009\PROTOCOLIZA\LIMARI TRADING S..A.doc</t>
  </si>
  <si>
    <t>C:\Users\franc\OneDrive\Documentos\MALENTIN KARIME\BANCO ESTADO\2012 DEPTO ESCRITURAS fata\NOTARIA 2009\PROTOCOLIZA\JUVENAL GALINDO (INDAP).doc</t>
  </si>
  <si>
    <t>C:\Users\franc\OneDrive\Documentos\MALENTIN KARIME\BANCO ESTADO\2012 DEPTO ESCRITURAS fata\NOTARIA 2009\PROTOCOLIZA\JUVENAL GALINDO     2 (INDAP).doc</t>
  </si>
  <si>
    <t>C:\Users\franc\OneDrive\Documentos\MALENTIN KARIME\BANCO ESTADO\2012 DEPTO ESCRITURAS fata\NOTARIA 2009\PROTOCOLIZA\JUAN CARLOS.doc</t>
  </si>
  <si>
    <t>C:\Users\franc\OneDrive\Documentos\MALENTIN KARIME\BANCO ESTADO\2012 DEPTO ESCRITURAS fata\NOTARIA 2009\PROTOCOLIZA\JOSE JIMENEZ (INVENTARIO).doc</t>
  </si>
  <si>
    <t>C:\Users\franc\OneDrive\Documentos\MALENTIN KARIME\BANCO ESTADO\2012 DEPTO ESCRITURAS fata\NOTARIA 2009\PROTOCOLIZA\JOSE JIMENEZ ( SEGUNDO INVENTARIO).doc</t>
  </si>
  <si>
    <t>C:\Users\franc\OneDrive\Documentos\MALENTIN KARIME\BANCO ESTADO\2012 DEPTO ESCRITURAS fata\NOTARIA 2009\PROTOCOLIZA\INVENTARIO PIZARRO ZEBALLOS.doc</t>
  </si>
  <si>
    <t>C:\Users\franc\OneDrive\Documentos\MALENTIN KARIME\BANCO ESTADO\2012 DEPTO ESCRITURAS fata\NOTARIA 2009\PROTOCOLIZA\inventario Miguel Toledo Diaz.doc</t>
  </si>
  <si>
    <t>C:\Users\franc\OneDrive\Documentos\MALENTIN KARIME\BANCO ESTADO\2012 DEPTO ESCRITURAS fata\NOTARIA 2009\PROTOCOLIZA\Inventario Marcia Pizarro.doc</t>
  </si>
  <si>
    <t>C:\Users\franc\OneDrive\Documentos\MALENTIN KARIME\BANCO ESTADO\2012 DEPTO ESCRITURAS fata\NOTARIA 2009\PROTOCOLIZA\INVENT. MARIA PIZARRO (CORPORACION).doc</t>
  </si>
  <si>
    <t>C:\Users\franc\OneDrive\Documentos\MALENTIN KARIME\BANCO ESTADO\2012 DEPTO ESCRITURAS fata\NOTARIA 2009\PROTOCOLIZA\INVENT. CONCEPCION MARTINEZ (DON GONZALO).doc</t>
  </si>
  <si>
    <t>C:\Users\franc\OneDrive\Documentos\MALENTIN KARIME\BANCO ESTADO\2012 DEPTO ESCRITURAS fata\NOTARIA 2009\PROTOCOLIZA\INVEGON PROT. SOC.doc</t>
  </si>
  <si>
    <t>C:\Users\franc\OneDrive\Documentos\MALENTIN KARIME\BANCO ESTADO\2012 DEPTO ESCRITURAS fata\NOTARIA 2009\PROTOCOLIZA\IMARI.doc</t>
  </si>
  <si>
    <t>C:\Users\franc\OneDrive\Documentos\MALENTIN KARIME\BANCO ESTADO\2012 DEPTO ESCRITURAS fata\NOTARIA 2009\PROTOCOLIZA\HUGO DE LA RIVERA.doc</t>
  </si>
  <si>
    <t>C:\Users\franc\OneDrive\Documentos\MALENTIN KARIME\BANCO ESTADO\2012 DEPTO ESCRITURAS fata\NOTARIA 2009\PROTOCOLIZA\HOJA ANEXA.doc</t>
  </si>
  <si>
    <t>C:\Users\franc\OneDrive\Documentos\MALENTIN KARIME\BANCO ESTADO\2012 DEPTO ESCRITURAS fata\NOTARIA 2009\PROTOCOLIZA\GOTA DE LECHE.doc</t>
  </si>
  <si>
    <t>C:\Users\franc\OneDrive\Documentos\MALENTIN KARIME\BANCO ESTADO\2012 DEPTO ESCRITURAS fata\NOTARIA 2009\PROTOCOLIZA\GONART LIMITADA.doc</t>
  </si>
  <si>
    <t>C:\Users\franc\OneDrive\Documentos\MALENTIN KARIME\BANCO ESTADO\2012 DEPTO ESCRITURAS fata\NOTARIA 2009\PROTOCOLIZA\GONAGRO PROT SOC.doc</t>
  </si>
  <si>
    <t>C:\Users\franc\OneDrive\Documentos\MALENTIN KARIME\BANCO ESTADO\2012 DEPTO ESCRITURAS fata\NOTARIA 2009\PROTOCOLIZA\FIN PROTOCOLIZADO.doc</t>
  </si>
  <si>
    <t>C:\Users\franc\OneDrive\Documentos\MALENTIN KARIME\BANCO ESTADO\2012 DEPTO ESCRITURAS fata\NOTARIA 2009\PROTOCOLIZA\FERNANDO PEÑAFIEL  DECLARACION PATRIMONIO.doc</t>
  </si>
  <si>
    <t>C:\Users\franc\OneDrive\Documentos\MALENTIN KARIME\BANCO ESTADO\2012 DEPTO ESCRITURAS fata\NOTARIA 2009\PROTOCOLIZA\FALLECIMIENTO JOSE JIMENEZ HEREDIA.doc</t>
  </si>
  <si>
    <t>C:\Users\franc\OneDrive\Documentos\MALENTIN KARIME\BANCO ESTADO\2012 DEPTO ESCRITURAS fata\NOTARIA 2009\PROTOCOLIZA\EDMUNDO ARAYA (INDAP).doc</t>
  </si>
  <si>
    <t>C:\Users\franc\OneDrive\Documentos\MALENTIN KARIME\BANCO ESTADO\2012 DEPTO ESCRITURAS fata\NOTARIA 2009\PROTOCOLIZA\DECLARACION MARCELO BUSTOS.doc</t>
  </si>
  <si>
    <t>C:\Users\franc\OneDrive\Documentos\MALENTIN KARIME\BANCO ESTADO\2012 DEPTO ESCRITURAS fata\NOTARIA 2009\PROTOCOLIZA\DAVID AMABLE NAVEA (AMPLIACION INVENT).doc</t>
  </si>
  <si>
    <t>C:\Users\franc\OneDrive\Documentos\MALENTIN KARIME\BANCO ESTADO\2012 DEPTO ESCRITURAS fata\NOTARIA 2009\PROTOCOLIZA\CUARTEL GENERAL BOMBEROS.doc</t>
  </si>
  <si>
    <t>C:\Users\franc\OneDrive\Documentos\MALENTIN KARIME\BANCO ESTADO\2012 DEPTO ESCRITURAS fata\NOTARIA 2009\PROTOCOLIZA\CRUZ COLORADA.doc</t>
  </si>
  <si>
    <t>C:\Users\franc\OneDrive\Documentos\MALENTIN KARIME\BANCO ESTADO\2012 DEPTO ESCRITURAS fata\NOTARIA 2009\PROTOCOLIZA\copia prot.doc</t>
  </si>
  <si>
    <t>C:\Users\franc\OneDrive\Documentos\MALENTIN KARIME\BANCO ESTADO\2012 DEPTO ESCRITURAS fata\NOTARIA 2009\PROTOCOLIZA\COMUNIDAD LOS TRIGOS (ELECCION DIRECTIVA).doc</t>
  </si>
  <si>
    <t>C:\Users\franc\OneDrive\Documentos\MALENTIN KARIME\BANCO ESTADO\2012 DEPTO ESCRITURAS fata\NOTARIA 2009\PROTOCOLIZA\COMUNIDAD LOS MAITENES.doc</t>
  </si>
  <si>
    <t>C:\Users\franc\OneDrive\Documentos\MALENTIN KARIME\BANCO ESTADO\2012 DEPTO ESCRITURAS fata\NOTARIA 2009\PROTOCOLIZA\COMUNIDAD INGA PICHASCA.doc</t>
  </si>
  <si>
    <t>C:\Users\franc\OneDrive\Documentos\MALENTIN KARIME\BANCO ESTADO\2012 DEPTO ESCRITURAS fata\NOTARIA 2009\PROTOCOLIZA\COMUNIDAD INCA PICHASCA FINAL.doc</t>
  </si>
  <si>
    <t>C:\Users\franc\OneDrive\Documentos\MALENTIN KARIME\BANCO ESTADO\2012 DEPTO ESCRITURAS fata\NOTARIA 2009\PROTOCOLIZA\COMUNIDAD CERRO BLANCO (DIRECTIVA).doc</t>
  </si>
  <si>
    <t>C:\Users\franc\OneDrive\Documentos\MALENTIN KARIME\BANCO ESTADO\2012 DEPTO ESCRITURAS fata\NOTARIA 2009\PROTOCOLIZA\COMUNIDAD AGUAS CANAL ROMERAL.doc</t>
  </si>
  <si>
    <t>C:\Users\franc\OneDrive\Documentos\MALENTIN KARIME\BANCO ESTADO\2012 DEPTO ESCRITURAS fata\NOTARIA 2009\PROTOCOLIZA\COMUNIDAD AGUAS CANAL MANZANO.doc</t>
  </si>
  <si>
    <t>C:\Users\franc\OneDrive\Documentos\MALENTIN KARIME\BANCO ESTADO\2012 DEPTO ESCRITURAS fata\NOTARIA 2009\PROTOCOLIZA\COMUNIDAD AGUAS CANAL MANZANO 2.doc</t>
  </si>
  <si>
    <t>C:\Users\franc\OneDrive\Documentos\MALENTIN KARIME\BANCO ESTADO\2012 DEPTO ESCRITURAS fata\NOTARIA 2009\PROTOCOLIZA\COMUN. AGUAS CANAL POBLACION MIALQUI (C. BUGUEÑO).doc</t>
  </si>
  <si>
    <t>C:\Users\franc\OneDrive\Documentos\MALENTIN KARIME\BANCO ESTADO\2012 DEPTO ESCRITURAS fata\NOTARIA 2009\PROTOCOLIZA\CMTE DE ADELANTO San Antonio.doc</t>
  </si>
  <si>
    <t>C:\Users\franc\OneDrive\Documentos\MALENTIN KARIME\BANCO ESTADO\2012 DEPTO ESCRITURAS fata\NOTARIA 2009\PROTOCOLIZA\BOMBEROS.doc</t>
  </si>
  <si>
    <t>C:\Users\franc\OneDrive\Documentos\MALENTIN KARIME\BANCO ESTADO\2012 DEPTO ESCRITURAS fata\NOTARIA 2009\PROTOCOLIZA\AUTORIZA PROTOCOLO.doc</t>
  </si>
  <si>
    <t>C:\Users\franc\OneDrive\Documentos\MALENTIN KARIME\BANCO ESTADO\2012 DEPTO ESCRITURAS fata\NOTARIA 2009\PROTOCOLIZA\AUTORIZA LIBRO.doc</t>
  </si>
  <si>
    <t>C:\Users\franc\OneDrive\Documentos\MALENTIN KARIME\BANCO ESTADO\2012 DEPTO ESCRITURAS fata\NOTARIA 2009\PROTOCOLIZA\AMPLIACION INVENTARIO.doc</t>
  </si>
  <si>
    <t>C:\Users\franc\OneDrive\Documentos\MALENTIN KARIME\BANCO ESTADO\2012 DEPTO ESCRITURAS fata\NOTARIA 2009\PROTOCOLIZA\ALZAMIENTO INDAP.doc</t>
  </si>
  <si>
    <t>C:\Users\franc\OneDrive\Documentos\MALENTIN KARIME\BANCO ESTADO\2012 DEPTO ESCRITURAS fata\NOTARIA 2009\PROTOCOLIZA\ALCONES REUNION EXTRAOR (COMODATO).doc</t>
  </si>
  <si>
    <t>C:\Users\franc\OneDrive\Documentos\MALENTIN KARIME\BANCO ESTADO\2012 DEPTO ESCRITURAS fata\NOTARIA 2009\PROTOCOLIZA\ALCONES REUNION DIRECTORIO.doc</t>
  </si>
  <si>
    <t>C:\Users\franc\OneDrive\Documentos\MALENTIN KARIME\BANCO ESTADO\2012 DEPTO ESCRITURAS fata\NOTARIA 2009\PROTOCOLIZA\ALCONES JUNTA GENERAL (JULIO 2006).doc</t>
  </si>
  <si>
    <t>C:\Users\franc\OneDrive\Documentos\MALENTIN KARIME\BANCO ESTADO\2012 DEPTO ESCRITURAS fata\NOTARIA 2009\PROTOCOLIZA\ALCONES AUTORIZA.doc</t>
  </si>
  <si>
    <t>C:\Users\franc\OneDrive\Documentos\MALENTIN KARIME\BANCO ESTADO\2012 DEPTO ESCRITURAS fata\NOTARIA 2009\PROTOCOLIZA\ALCONES ACTA ACUERDO.doc</t>
  </si>
  <si>
    <t>C:\Users\franc\OneDrive\Documentos\MALENTIN KARIME\BANCO ESTADO\2012 DEPTO ESCRITURAS fata\NOTARIA 2009\PROTOCOLIZA\ALCONES ACTA 28 nov..doc</t>
  </si>
  <si>
    <t>C:\Users\franc\OneDrive\Documentos\MALENTIN KARIME\BANCO ESTADO\2012 DEPTO ESCRITURAS fata\NOTARIA 2009\PROTOCOLIZA\ALCONES ACTA 22 DE NOV. 2006.doc</t>
  </si>
  <si>
    <t>C:\Users\franc\OneDrive\Documentos\MALENTIN KARIME\BANCO ESTADO\2012 DEPTO ESCRITURAS fata\NOTARIA 2009\PROTOCOLIZA\ALCONES 24 ABRIL 2006 AUT. BANCO.doc</t>
  </si>
  <si>
    <t>C:\Users\franc\OneDrive\Documentos\MALENTIN KARIME\BANCO ESTADO\2012 DEPTO ESCRITURAS fata\NOTARIA 2009\PROTOCOLIZA\ALCONES 21 abril 2006.doc</t>
  </si>
  <si>
    <t>C:\Users\franc\OneDrive\Documentos\MALENTIN KARIME\BANCO ESTADO\2012 DEPTO ESCRITURAS fata\NOTARIA 2009\PROTOCOLIZA\ALCONES 20 MARZO 2006.doc</t>
  </si>
  <si>
    <t>C:\Users\franc\OneDrive\Documentos\MALENTIN KARIME\BANCO ESTADO\2012 DEPTO ESCRITURAS fata\NOTARIA 2009\PROTOCOLIZA\ALCONES (JUAN CARLOS).doc</t>
  </si>
  <si>
    <t>C:\Users\franc\OneDrive\Documentos\MALENTIN KARIME\BANCO ESTADO\2012 DEPTO ESCRITURAS fata\NOTARIA 2009\PROTOCOLIZA\ALCONES  poder energia.doc</t>
  </si>
  <si>
    <t>C:\Users\franc\OneDrive\Documentos\MALENTIN KARIME\BANCO ESTADO\2012 DEPTO ESCRITURAS fata\NOTARIA 2009\PROTOCOLIZA\ACTA AUTORIZ. 31.07.2006.doc</t>
  </si>
  <si>
    <t>C:\Users\franc\OneDrive\Documentos\MALENTIN KARIME\BANCO ESTADO\2012 DEPTO ESCRITURAS fata\NOTARIA 2009\PROTOCOLIZA\ACTA AUTORIZ.  dos   31.07.2006.doc</t>
  </si>
  <si>
    <t>C:\Users\franc\OneDrive\Documentos\MALENTIN KARIME\BANCO ESTADO\2012 DEPTO ESCRITURAS fata\NOTARIA 2009\PROTOCOLIZA\ACTA ACUERDO ARRIENDO ASAMBLEA.doc</t>
  </si>
  <si>
    <t>C:\Users\franc\OneDrive\Documentos\MALENTIN KARIME\BANCO ESTADO\2012 DEPTO ESCRITURAS fata\NOTARIA 2009\PROTOCOLIZA\ACTA ....... BERNARDO ESCALANTE.doc</t>
  </si>
  <si>
    <t>C:\Users\franc\OneDrive\Documentos\MALENTIN KARIME\BANCO ESTADO\2012 DEPTO ESCRITURAS fata\NOTARIA 2009\PROMESAS\WILSON SALINAS A SU HIJO (VEHICULO).doc</t>
  </si>
  <si>
    <t>C:\Users\franc\OneDrive\Documentos\MALENTIN KARIME\BANCO ESTADO\2012 DEPTO ESCRITURAS fata\NOTARIA 2009\PROMESAS\VICTOR RAVANAL Y OTR. A OSCAR ANGEL.doc</t>
  </si>
  <si>
    <t>C:\Users\franc\OneDrive\Documentos\MALENTIN KARIME\BANCO ESTADO\2012 DEPTO ESCRITURAS fata\NOTARIA 2009\PROMESAS\VICTOR PIZARRO A WALDO CARMONA (VEHICULO).doc</t>
  </si>
  <si>
    <t>C:\Users\franc\OneDrive\Documentos\MALENTIN KARIME\BANCO ESTADO\2012 DEPTO ESCRITURAS fata\NOTARIA 2009\PROMESAS\VICTOR MONARDES A ANYELA CISTERNAS  (VEHICULO).doc</t>
  </si>
  <si>
    <t>C:\Users\franc\OneDrive\Documentos\MALENTIN KARIME\BANCO ESTADO\2012 DEPTO ESCRITURAS fata\NOTARIA 2009\PROMESAS\VERONICA CORTES A MARIA BARRAZA (ABO. ANGELICA MARIN).doc</t>
  </si>
  <si>
    <t>C:\Users\franc\OneDrive\Documentos\MALENTIN KARIME\BANCO ESTADO\2012 DEPTO ESCRITURAS fata\NOTARIA 2009\PROMESAS\TULIO ALFARO A JAIME TAPIA (CASA).doc</t>
  </si>
  <si>
    <t>C:\Users\franc\OneDrive\Documentos\MALENTIN KARIME\BANCO ESTADO\2012 DEPTO ESCRITURAS fata\NOTARIA 2009\PROMESAS\SUC. SANTANDER A JORGE GOMILA Y OTROS.doc</t>
  </si>
  <si>
    <t>C:\Users\franc\OneDrive\Documentos\MALENTIN KARIME\BANCO ESTADO\2012 DEPTO ESCRITURAS fata\NOTARIA 2009\PROMESAS\SUC. ARDILES VALLEJOS A ANA DIAZ.doc</t>
  </si>
  <si>
    <t>C:\Users\franc\OneDrive\Documentos\MALENTIN KARIME\BANCO ESTADO\2012 DEPTO ESCRITURAS fata\NOTARIA 2009\PROMESAS\SOC. MOV. DE TIERRAS A MARIO ARAYA B..doc</t>
  </si>
  <si>
    <t>C:\Users\franc\OneDrive\Documentos\MALENTIN KARIME\BANCO ESTADO\2012 DEPTO ESCRITURAS fata\NOTARIA 2009\PROMESAS\SILVIO JERALDO A RAUL VEGA (CASA CON PAGARE).doc</t>
  </si>
  <si>
    <t>C:\Users\franc\OneDrive\Documentos\MALENTIN KARIME\BANCO ESTADO\2012 DEPTO ESCRITURAS fata\NOTARIA 2009\PROMESAS\PROMESA PRIVADO Edgardo Pizarro Burrows a  MERCEDES GUERRERO OLIVARES.doc</t>
  </si>
  <si>
    <t>C:\Users\franc\OneDrive\Documentos\MALENTIN KARIME\BANCO ESTADO\2012 DEPTO ESCRITURAS fata\NOTARIA 2009\PROMESAS\PROMESA CV MARIO DIAZ SANDRA DIAZ.doc</t>
  </si>
  <si>
    <t>C:\Users\franc\OneDrive\Documentos\MALENTIN KARIME\BANCO ESTADO\2012 DEPTO ESCRITURAS fata\NOTARIA 2009\PROMESAS\PROMESA COMPRAVENTA RUTH 19-03-06.doc</t>
  </si>
  <si>
    <t>C:\Users\franc\OneDrive\Documentos\MALENTIN KARIME\BANCO ESTADO\2012 DEPTO ESCRITURAS fata\NOTARIA 2009\PROMESAS\PEDRO BARRERA A ORIEL PERINES EIRL.doc</t>
  </si>
  <si>
    <t>C:\Users\franc\OneDrive\Documentos\MALENTIN KARIME\BANCO ESTADO\2012 DEPTO ESCRITURAS fata\NOTARIA 2009\PROMESAS\PATRICIO GONZALEZ A GUILLERMO ROJAS.doc</t>
  </si>
  <si>
    <t>C:\Users\franc\OneDrive\Documentos\MALENTIN KARIME\BANCO ESTADO\2012 DEPTO ESCRITURAS fata\NOTARIA 2009\PROMESAS\PATRICIA GIMENEZ A ELDA OLIVARES.doc</t>
  </si>
  <si>
    <t>C:\Users\franc\OneDrive\Documentos\MALENTIN KARIME\BANCO ESTADO\2012 DEPTO ESCRITURAS fata\NOTARIA 2009\PROMESAS\OSCAR ORTIZ A NELLY GALLARDO.doc</t>
  </si>
  <si>
    <t>C:\Users\franc\OneDrive\Documentos\MALENTIN KARIME\BANCO ESTADO\2012 DEPTO ESCRITURAS fata\NOTARIA 2009\PROMESAS\ORFELINA RODRIGUEZ Y OTROS A CARLOS DIAZ.doc</t>
  </si>
  <si>
    <t>C:\Users\franc\OneDrive\Documentos\MALENTIN KARIME\BANCO ESTADO\2012 DEPTO ESCRITURAS fata\NOTARIA 2009\PROMESAS\OMAR VELIZ A JUAN CARVAJAL (VEHICULO).doc</t>
  </si>
  <si>
    <t>C:\Users\franc\OneDrive\Documentos\MALENTIN KARIME\BANCO ESTADO\2012 DEPTO ESCRITURAS fata\NOTARIA 2009\PROMESAS\OLIMPIA CORTES A RAUL TORRES.doc</t>
  </si>
  <si>
    <t>C:\Users\franc\OneDrive\Documentos\MALENTIN KARIME\BANCO ESTADO\2012 DEPTO ESCRITURAS fata\NOTARIA 2009\PROMESAS\MONICA TELLO A JOSE LOPEZ  (VEHICULO).doc</t>
  </si>
  <si>
    <t>C:\Users\franc\OneDrive\Documentos\MALENTIN KARIME\BANCO ESTADO\2012 DEPTO ESCRITURAS fata\NOTARIA 2009\PROMESAS\MODELO MAURICIO.doc</t>
  </si>
  <si>
    <t>C:\Users\franc\OneDrive\Documentos\MALENTIN KARIME\BANCO ESTADO\2012 DEPTO ESCRITURAS fata\NOTARIA 2009\PROMESAS\MIRTHA ADAROS A CARLOS SCHNETTLER.doc</t>
  </si>
  <si>
    <t>C:\Users\franc\OneDrive\Documentos\MALENTIN KARIME\BANCO ESTADO\2012 DEPTO ESCRITURAS fata\NOTARIA 2009\PROMESAS\MARINA MONTERO A JAIME PROHENS  (AGUAS).doc</t>
  </si>
  <si>
    <t>C:\Users\franc\OneDrive\Documentos\MALENTIN KARIME\BANCO ESTADO\2012 DEPTO ESCRITURAS fata\NOTARIA 2009\PROMESAS\Maria Tello Acuña a RODRIGO GUZMAN.doc</t>
  </si>
  <si>
    <t>C:\Users\franc\OneDrive\Documentos\MALENTIN KARIME\BANCO ESTADO\2012 DEPTO ESCRITURAS fata\NOTARIA 2009\PROMESAS\MARIA HENRIQUEZ Y OTRAS A AGRICOLA LA FLORIDA.doc</t>
  </si>
  <si>
    <t>C:\Users\franc\OneDrive\Documentos\MALENTIN KARIME\BANCO ESTADO\2012 DEPTO ESCRITURAS fata\NOTARIA 2009\PROMESAS\MARIA FARFAN A ...........doc</t>
  </si>
  <si>
    <t>C:\Users\franc\OneDrive\Documentos\MALENTIN KARIME\BANCO ESTADO\2012 DEPTO ESCRITURAS fata\NOTARIA 2009\PROMESAS\MARIA EGAÑA A JAIME ARDILES.doc</t>
  </si>
  <si>
    <t>C:\Users\franc\OneDrive\Documentos\MALENTIN KARIME\BANCO ESTADO\2012 DEPTO ESCRITURAS fata\NOTARIA 2009\PROMESAS\MARIA CASTRO A SERGIO RIVERA.doc</t>
  </si>
  <si>
    <t>C:\Users\franc\OneDrive\Documentos\MALENTIN KARIME\BANCO ESTADO\2012 DEPTO ESCRITURAS fata\NOTARIA 2009\PROMESAS\MARIA ARAYA A VIVIANA ORTIZ.doc</t>
  </si>
  <si>
    <t>C:\Users\franc\OneDrive\Documentos\MALENTIN KARIME\BANCO ESTADO\2012 DEPTO ESCRITURAS fata\NOTARIA 2009\PROMESAS\MANUEL CISTERNAS A ROSA PASTEN (CASA) ART 150.doc</t>
  </si>
  <si>
    <t>C:\Users\franc\OneDrive\Documentos\MALENTIN KARIME\BANCO ESTADO\2012 DEPTO ESCRITURAS fata\NOTARIA 2009\PROMESAS\LUIS ARAYA A RAMIRO TELLO.doc</t>
  </si>
  <si>
    <t>C:\Users\franc\OneDrive\Documentos\MALENTIN KARIME\BANCO ESTADO\2012 DEPTO ESCRITURAS fata\NOTARIA 2009\PROMESAS\LEONOR MUÑOZ A MAGALI GALLARDO.doc</t>
  </si>
  <si>
    <t>C:\Users\franc\OneDrive\Documentos\MALENTIN KARIME\BANCO ESTADO\2012 DEPTO ESCRITURAS fata\NOTARIA 2009\PROMESAS\JUAN SELEME A CESAR JUAREZ  (VEHICULO).doc</t>
  </si>
  <si>
    <t>C:\Users\franc\OneDrive\Documentos\MALENTIN KARIME\BANCO ESTADO\2012 DEPTO ESCRITURAS fata\NOTARIA 2009\PROMESAS\JUAN GARCIA A JULIO VELASQUEZ.doc</t>
  </si>
  <si>
    <t>C:\Users\franc\OneDrive\Documentos\MALENTIN KARIME\BANCO ESTADO\2012 DEPTO ESCRITURAS fata\NOTARIA 2009\PROMESAS\JUAN DIAZ A RENE PALAVECINOS.doc</t>
  </si>
  <si>
    <t>C:\Users\franc\OneDrive\Documentos\MALENTIN KARIME\BANCO ESTADO\2012 DEPTO ESCRITURAS fata\NOTARIA 2009\PROMESAS\JUAN DIAZ A DAVID ROJAS.doc</t>
  </si>
  <si>
    <t>C:\Users\franc\OneDrive\Documentos\MALENTIN KARIME\BANCO ESTADO\2012 DEPTO ESCRITURAS fata\NOTARIA 2009\PROMESAS\JUAN CORTES A ANA CASTILLO  (VEHICULO).doc</t>
  </si>
  <si>
    <t>C:\Users\franc\OneDrive\Documentos\MALENTIN KARIME\BANCO ESTADO\2012 DEPTO ESCRITURAS fata\NOTARIA 2009\PROMESAS\JOSE JOPIA A SERV. TELEMARKETING LTDA.doc</t>
  </si>
  <si>
    <t>C:\Users\franc\OneDrive\Documentos\MALENTIN KARIME\BANCO ESTADO\2012 DEPTO ESCRITURAS fata\NOTARIA 2009\PROMESAS\JAIME VILLALOBOS A EMELINA PALAVECINOS.doc</t>
  </si>
  <si>
    <t>C:\Users\franc\OneDrive\Documentos\MALENTIN KARIME\BANCO ESTADO\2012 DEPTO ESCRITURAS fata\NOTARIA 2009\PROMESAS\HERNAN ARRIAZA A GMO. ARRIAZA  (VEHICULO).doc</t>
  </si>
  <si>
    <t>C:\Users\franc\OneDrive\Documentos\MALENTIN KARIME\BANCO ESTADO\2012 DEPTO ESCRITURAS fata\NOTARIA 2009\PROMESAS\GONZALO GUERRERO (MINAS).doc</t>
  </si>
  <si>
    <t>C:\Users\franc\OneDrive\Documentos\MALENTIN KARIME\BANCO ESTADO\2012 DEPTO ESCRITURAS fata\NOTARIA 2009\PROMESAS\FRANCISCO NIÑO A TRANS. YCY CIA. LTADA..doc</t>
  </si>
  <si>
    <t>C:\Users\franc\OneDrive\Documentos\MALENTIN KARIME\BANCO ESTADO\2012 DEPTO ESCRITURAS fata\NOTARIA 2009\PROMESAS\FANNY MOROSO A ELEAZAR CARVAJAL (VEHICULO).doc</t>
  </si>
  <si>
    <t>C:\Users\franc\OneDrive\Documentos\MALENTIN KARIME\BANCO ESTADO\2012 DEPTO ESCRITURAS fata\NOTARIA 2009\PROMESAS\ESTEBAN ESPEJO A SILVIA PIZARRO  (VEHICULO) PRIVADO.doc</t>
  </si>
  <si>
    <t>C:\Users\franc\OneDrive\Documentos\MALENTIN KARIME\BANCO ESTADO\2012 DEPTO ESCRITURAS fata\NOTARIA 2009\PROMESAS\ERNESTO MUÑOZ A NORA TABILO  (VEHICULO) ABRIL 2009.doc</t>
  </si>
  <si>
    <t>C:\Users\franc\OneDrive\Documentos\MALENTIN KARIME\BANCO ESTADO\2012 DEPTO ESCRITURAS fata\NOTARIA 2009\PROMESAS\ENRIQUE BEZMALINOVIC A LUIS LOYOLA (VEHICULO).doc</t>
  </si>
  <si>
    <t>C:\Users\franc\OneDrive\Documentos\MALENTIN KARIME\BANCO ESTADO\2012 DEPTO ESCRITURAS fata\NOTARIA 2009\PROMESAS\ELIZABETH DURAN A GRACIELA ESPINOSA  (VEHICULO).doc</t>
  </si>
  <si>
    <t>C:\Users\franc\OneDrive\Documentos\MALENTIN KARIME\BANCO ESTADO\2012 DEPTO ESCRITURAS fata\NOTARIA 2009\PROMESAS\ELIANA ARAYA VIDELA A ALCIDES GONZALEZ.doc</t>
  </si>
  <si>
    <t>C:\Users\franc\OneDrive\Documentos\MALENTIN KARIME\BANCO ESTADO\2012 DEPTO ESCRITURAS fata\NOTARIA 2009\PROMESAS\ELENA GALLEGUILLOS A FILOMENA CASTILLO.doc</t>
  </si>
  <si>
    <t>C:\Users\franc\OneDrive\Documentos\MALENTIN KARIME\BANCO ESTADO\2012 DEPTO ESCRITURAS fata\NOTARIA 2009\PROMESAS\ELENA GALLEGUILLOS - FILOMENA CASTILLO (P. ALFARO.doc</t>
  </si>
  <si>
    <t>C:\Users\franc\OneDrive\Documentos\MALENTIN KARIME\BANCO ESTADO\2012 DEPTO ESCRITURAS fata\NOTARIA 2009\PROMESAS\ELDA ORTIZ A JUAN RAMOS (SUBDIVISION).doc</t>
  </si>
  <si>
    <t>C:\Users\franc\OneDrive\Documentos\MALENTIN KARIME\BANCO ESTADO\2012 DEPTO ESCRITURAS fata\NOTARIA 2009\PROMESAS\EDUARDO CASTILLO A KARINA OLIVARES.doc</t>
  </si>
  <si>
    <t>C:\Users\franc\OneDrive\Documentos\MALENTIN KARIME\BANCO ESTADO\2012 DEPTO ESCRITURAS fata\NOTARIA 2009\PROMESAS\DANIEL TAPIA A RAUL DORIA.doc</t>
  </si>
  <si>
    <t>C:\Users\franc\OneDrive\Documentos\MALENTIN KARIME\BANCO ESTADO\2012 DEPTO ESCRITURAS fata\NOTARIA 2009\PROMESAS\DANIEL TAPIA A RAUL DORI.doc</t>
  </si>
  <si>
    <t>C:\Users\franc\OneDrive\Documentos\MALENTIN KARIME\BANCO ESTADO\2012 DEPTO ESCRITURAS fata\NOTARIA 2009\PROMESAS\CRISTIAN RAMIREZ A RENE ESPINOZA (VEHICULO).doc</t>
  </si>
  <si>
    <t>C:\Users\franc\OneDrive\Documentos\MALENTIN KARIME\BANCO ESTADO\2012 DEPTO ESCRITURAS fata\NOTARIA 2009\PROMESAS\CRISTIAN GUERRERO A BENEDICTO MUNDACA (VEHICULO).doc</t>
  </si>
  <si>
    <t>C:\Users\franc\OneDrive\Documentos\MALENTIN KARIME\BANCO ESTADO\2012 DEPTO ESCRITURAS fata\NOTARIA 2009\PROMESAS\CARMEN MONARDES A GULLERMINA VILLALOBOS.doc</t>
  </si>
  <si>
    <t>C:\Users\franc\OneDrive\Documentos\MALENTIN KARIME\BANCO ESTADO\2012 DEPTO ESCRITURAS fata\NOTARIA 2009\PROMESAS\CARLOS TELLO A JULIO CALDERON (VEHICULO).doc</t>
  </si>
  <si>
    <t>C:\Users\franc\OneDrive\Documentos\MALENTIN KARIME\BANCO ESTADO\2012 DEPTO ESCRITURAS fata\NOTARIA 2009\PROMESAS\CARLOS HIDALGO A ANA DIAZ  (VEHICULO).doc</t>
  </si>
  <si>
    <t>C:\Users\franc\OneDrive\Documentos\MALENTIN KARIME\BANCO ESTADO\2012 DEPTO ESCRITURAS fata\NOTARIA 2009\PROMESAS\BERNARDO IBACACHE A PABLO ROBLES.doc</t>
  </si>
  <si>
    <t>C:\Users\franc\OneDrive\Documentos\MALENTIN KARIME\BANCO ESTADO\2012 DEPTO ESCRITURAS fata\NOTARIA 2009\PROMESAS\BERNARDO IBACACHE A PABLO ROBLES (VEHICULO).doc</t>
  </si>
  <si>
    <t>C:\Users\franc\OneDrive\Documentos\MALENTIN KARIME\BANCO ESTADO\2012 DEPTO ESCRITURAS fata\NOTARIA 2009\PROMESAS\ARRIENDO ALCONES.doc</t>
  </si>
  <si>
    <t>C:\Users\franc\OneDrive\Documentos\MALENTIN KARIME\BANCO ESTADO\2012 DEPTO ESCRITURAS fata\NOTARIA 2009\PROMESAS\ARMANDO ZAMBRA A RAUL MARTINEZ.doc</t>
  </si>
  <si>
    <t>C:\Users\franc\OneDrive\Documentos\MALENTIN KARIME\BANCO ESTADO\2012 DEPTO ESCRITURAS fata\NOTARIA 2009\PROMESAS\ANITA CORTES Y OTROS A ENRIQUE BRAVO Y OTRO.doc</t>
  </si>
  <si>
    <t>C:\Users\franc\OneDrive\Documentos\MALENTIN KARIME\BANCO ESTADO\2012 DEPTO ESCRITURAS fata\NOTARIA 2009\PROMESAS\ANICETO GUTIERREZ A MOISES VARAS  (VEHICULO).doc</t>
  </si>
  <si>
    <t>C:\Users\franc\OneDrive\Documentos\MALENTIN KARIME\BANCO ESTADO\2012 DEPTO ESCRITURAS fata\NOTARIA 2009\PROMESAS\ANDRES OLIVARES A BERTA GUERRERO.doc</t>
  </si>
  <si>
    <t>C:\Users\franc\OneDrive\Documentos\MALENTIN KARIME\BANCO ESTADO\2012 DEPTO ESCRITURAS fata\NOTARIA 2009\PROMESAS\AGRICOLA LAS TINAJAS A GILBERTO CARMONA (VEHICULO).doc</t>
  </si>
  <si>
    <t>C:\Users\franc\OneDrive\Documentos\MALENTIN KARIME\BANCO ESTADO\2012 DEPTO ESCRITURAS fata\NOTARIA 2009\PROHIBICION\VIVIANA JIMENEZ A SERVIU.doc</t>
  </si>
  <si>
    <t>C:\Users\franc\OneDrive\Documentos\MALENTIN KARIME\BANCO ESTADO\2012 DEPTO ESCRITURAS fata\NOTARIA 2009\PROHIBICION\TERESA ADONES (SOLA).doc</t>
  </si>
  <si>
    <t>C:\Users\franc\OneDrive\Documentos\MALENTIN KARIME\BANCO ESTADO\2012 DEPTO ESCRITURAS fata\NOTARIA 2009\PROHIBICION\ROSARIO ANTIQUERA.doc</t>
  </si>
  <si>
    <t>C:\Users\franc\OneDrive\Documentos\MALENTIN KARIME\BANCO ESTADO\2012 DEPTO ESCRITURAS fata\NOTARIA 2009\PROHIBICION\RITA GOMEZ A SERVIU.doc</t>
  </si>
  <si>
    <t>C:\Users\franc\OneDrive\Documentos\MALENTIN KARIME\BANCO ESTADO\2012 DEPTO ESCRITURAS fata\NOTARIA 2009\PROHIBICION\PROHIBICION.doc</t>
  </si>
  <si>
    <t>C:\Users\franc\OneDrive\Documentos\MALENTIN KARIME\BANCO ESTADO\2012 DEPTO ESCRITURAS fata\NOTARIA 2009\PROHIBICION\PEDRO ARAYA A SERVIU.doc</t>
  </si>
  <si>
    <t>C:\Users\franc\OneDrive\Documentos\MALENTIN KARIME\BANCO ESTADO\2012 DEPTO ESCRITURAS fata\NOTARIA 2009\PROHIBICION\PATRICIA ESCOBAR.doc</t>
  </si>
  <si>
    <t>C:\Users\franc\OneDrive\Documentos\MALENTIN KARIME\BANCO ESTADO\2012 DEPTO ESCRITURAS fata\NOTARIA 2009\PROHIBICION\MODELO NOTARIO.doc</t>
  </si>
  <si>
    <t>C:\Users\franc\OneDrive\Documentos\MALENTIN KARIME\BANCO ESTADO\2012 DEPTO ESCRITURAS fata\NOTARIA 2009\PROHIBICION\MERCEDES ALVAREZ.doc</t>
  </si>
  <si>
    <t>C:\Users\franc\OneDrive\Documentos\MALENTIN KARIME\BANCO ESTADO\2012 DEPTO ESCRITURAS fata\NOTARIA 2009\PROHIBICION\MARCELINO LEON CORTES.doc</t>
  </si>
  <si>
    <t>C:\Users\franc\OneDrive\Documentos\MALENTIN KARIME\BANCO ESTADO\2012 DEPTO ESCRITURAS fata\NOTARIA 2009\PROHIBICION\LUIS PLAZA CUELLO.doc</t>
  </si>
  <si>
    <t>C:\Users\franc\OneDrive\Documentos\MALENTIN KARIME\BANCO ESTADO\2012 DEPTO ESCRITURAS fata\NOTARIA 2009\PROHIBICION\LORETO AHUMADA  (SOLA).doc</t>
  </si>
  <si>
    <t>C:\Users\franc\OneDrive\Documentos\MALENTIN KARIME\BANCO ESTADO\2012 DEPTO ESCRITURAS fata\NOTARIA 2009\PROHIBICION\LEONOR ROBLES.doc</t>
  </si>
  <si>
    <t>C:\Users\franc\OneDrive\Documentos\MALENTIN KARIME\BANCO ESTADO\2012 DEPTO ESCRITURAS fata\NOTARIA 2009\PROHIBICION\LAURA ROJAS Y CONYUGE JRALDO.doc</t>
  </si>
  <si>
    <t>C:\Users\franc\OneDrive\Documentos\MALENTIN KARIME\BANCO ESTADO\2012 DEPTO ESCRITURAS fata\NOTARIA 2009\PROHIBICION\JULIO OLIVARES A SERVIU 25-04-2007.doc</t>
  </si>
  <si>
    <t>C:\Users\franc\OneDrive\Documentos\MALENTIN KARIME\BANCO ESTADO\2012 DEPTO ESCRITURAS fata\NOTARIA 2009\PROHIBICION\JUANA TOLEDO[1].doc</t>
  </si>
  <si>
    <t>C:\Users\franc\OneDrive\Documentos\MALENTIN KARIME\BANCO ESTADO\2012 DEPTO ESCRITURAS fata\NOTARIA 2009\PROHIBICION\JUAN GAHONA A SERVIU.doc</t>
  </si>
  <si>
    <t>C:\Users\franc\OneDrive\Documentos\MALENTIN KARIME\BANCO ESTADO\2012 DEPTO ESCRITURAS fata\NOTARIA 2009\PROHIBICION\JORGE ZARATE A SERVIU.doc</t>
  </si>
  <si>
    <t>C:\Users\franc\OneDrive\Documentos\MALENTIN KARIME\BANCO ESTADO\2012 DEPTO ESCRITURAS fata\NOTARIA 2009\PROHIBICION\JACINTO TORO A SERVIU.doc</t>
  </si>
  <si>
    <t>C:\Users\franc\OneDrive\Documentos\MALENTIN KARIME\BANCO ESTADO\2012 DEPTO ESCRITURAS fata\NOTARIA 2009\PROHIBICION\IVAN HIDALGO Y CONYUGE.doc</t>
  </si>
  <si>
    <t>C:\Users\franc\OneDrive\Documentos\MALENTIN KARIME\BANCO ESTADO\2012 DEPTO ESCRITURAS fata\NOTARIA 2009\PROHIBICION\HILDERGARD CUBILLOS.doc</t>
  </si>
  <si>
    <t>C:\Users\franc\OneDrive\Documentos\MALENTIN KARIME\BANCO ESTADO\2012 DEPTO ESCRITURAS fata\NOTARIA 2009\PROHIBICION\HERNAN GODOY.doc</t>
  </si>
  <si>
    <t>C:\Users\franc\OneDrive\Documentos\MALENTIN KARIME\BANCO ESTADO\2012 DEPTO ESCRITURAS fata\NOTARIA 2009\PROHIBICION\GUILLERMINA URQUETA (SOLA).doc</t>
  </si>
  <si>
    <t>C:\Users\franc\OneDrive\Documentos\MALENTIN KARIME\BANCO ESTADO\2012 DEPTO ESCRITURAS fata\NOTARIA 2009\PROHIBICION\GLADYS GALLARDO.doc</t>
  </si>
  <si>
    <t>C:\Users\franc\OneDrive\Documentos\MALENTIN KARIME\BANCO ESTADO\2012 DEPTO ESCRITURAS fata\NOTARIA 2009\PROHIBICION\FERNANDO LEIVA.doc</t>
  </si>
  <si>
    <t>C:\Users\franc\OneDrive\Documentos\MALENTIN KARIME\BANCO ESTADO\2012 DEPTO ESCRITURAS fata\NOTARIA 2009\PROHIBICION\DAVID ROJAS.doc</t>
  </si>
  <si>
    <t>C:\Users\franc\OneDrive\Documentos\MALENTIN KARIME\BANCO ESTADO\2012 DEPTO ESCRITURAS fata\NOTARIA 2009\PROHIBICION\COMITE PRO CASA VILLA ESPERANZA A SERVIU.doc</t>
  </si>
  <si>
    <t>C:\Users\franc\OneDrive\Documentos\MALENTIN KARIME\BANCO ESTADO\2012 DEPTO ESCRITURAS fata\NOTARIA 2009\PROHIBICION\CLODOMIRO URQUIETA Y CONYUGE.doc</t>
  </si>
  <si>
    <t>C:\Users\franc\OneDrive\Documentos\MALENTIN KARIME\BANCO ESTADO\2012 DEPTO ESCRITURAS fata\NOTARIA 2009\PROHIBICION\carlos larrondo y graciela julio.doc</t>
  </si>
  <si>
    <t>C:\Users\franc\OneDrive\Documentos\MALENTIN KARIME\BANCO ESTADO\2012 DEPTO ESCRITURAS fata\NOTARIA 2009\PROHIBICION\ANA ARENAS A SERVIU.doc</t>
  </si>
  <si>
    <t>C:\Users\franc\OneDrive\Documentos\MALENTIN KARIME\BANCO ESTADO\2012 DEPTO ESCRITURAS fata\NOTARIA 2009\PROHIBICION\ALEJANDRO IBAÑEZ A SERVIU.doc</t>
  </si>
  <si>
    <t>C:\Users\franc\OneDrive\Documentos\MALENTIN KARIME\BANCO ESTADO\2012 DEPTO ESCRITURAS fata\NOTARIA 2009\PROHENS\RAFAEL PROHENS Y CIA. LTDA. MANDATO ESPECIAL.doc</t>
  </si>
  <si>
    <t>C:\Users\franc\OneDrive\Documentos\MALENTIN KARIME\BANCO ESTADO\2012 DEPTO ESCRITURAS fata\NOTARIA 2009\PROHENS\MODIFIC. EST. RAFAEL PROHENS Y CIA..doc</t>
  </si>
  <si>
    <t>C:\Users\franc\OneDrive\Documentos\MALENTIN KARIME\BANCO ESTADO\2012 DEPTO ESCRITURAS fata\NOTARIA 2009\PROHENS\MARIA FIGARI A AGRICOLA PROFI LTDA..doc</t>
  </si>
  <si>
    <t>C:\Users\franc\OneDrive\Documentos\MALENTIN KARIME\BANCO ESTADO\2012 DEPTO ESCRITURAS fata\NOTARIA 2009\PROHENS\extracto Rafael Prohens.doc</t>
  </si>
  <si>
    <t>C:\Users\franc\OneDrive\Documentos\MALENTIN KARIME\BANCO ESTADO\2012 DEPTO ESCRITURAS fata\NOTARIA 2009\PRENDAS SIN DESPLAZAMIENTO\LOS LLANOS DE LIMARI A SOC. AGRIC. COM. LTDA..doc</t>
  </si>
  <si>
    <t>C:\Users\franc\OneDrive\Documentos\MALENTIN KARIME\BANCO ESTADO\2012 DEPTO ESCRITURAS fata\NOTARIA 2009\PRENDA SIN DESPLAZAMIENTO\TOMAS ARDILES A EPYSA LTDA. (PRENDA INDUSTRIAL).doc</t>
  </si>
  <si>
    <t>C:\Users\franc\OneDrive\Documentos\MALENTIN KARIME\BANCO ESTADO\2012 DEPTO ESCRITURAS fata\NOTARIA 2009\PRENDA SIN DESPLAZAMIENTO\SOC. MINERA BOYENS LTDA..doc</t>
  </si>
  <si>
    <t>C:\Users\franc\OneDrive\Documentos\MALENTIN KARIME\BANCO ESTADO\2012 DEPTO ESCRITURAS fata\NOTARIA 2009\PRENDA SIN DESPLAZAMIENTO\SOC. MINERA BOYENS LTDA. FINAS.doc</t>
  </si>
  <si>
    <t>C:\Users\franc\OneDrive\Documentos\MALENTIN KARIME\BANCO ESTADO\2012 DEPTO ESCRITURAS fata\NOTARIA 2009\PRENDA SIN DESPLAZAMIENTO\SOC. BOYENS CON ORIEL PERINES (PARTICULAR).doc</t>
  </si>
  <si>
    <t>C:\Users\franc\OneDrive\Documentos\MALENTIN KARIME\BANCO ESTADO\2012 DEPTO ESCRITURAS fata\NOTARIA 2009\PRENDA SIN DESPLAZAMIENTO\MARCO ADAOS A AGRICOLA EL TREBOL.doc</t>
  </si>
  <si>
    <t>C:\Users\franc\OneDrive\Documentos\MALENTIN KARIME\BANCO ESTADO\2012 DEPTO ESCRITURAS fata\NOTARIA 2009\PRENDA SIN DESPLAZAMIENTO\MARCO ADAOS A AGRICOLA EL TREBOL (PARTICULAR).doc</t>
  </si>
  <si>
    <t>C:\Users\franc\OneDrive\Documentos\MALENTIN KARIME\BANCO ESTADO\2012 DEPTO ESCRITURAS fata\NOTARIA 2009\PRENDA SIN DESPLAZAMIENTO\JUAN MARAMBIO A COPEVAL.doc</t>
  </si>
  <si>
    <t>C:\Users\franc\OneDrive\Documentos\MALENTIN KARIME\BANCO ESTADO\2012 DEPTO ESCRITURAS fata\NOTARIA 2009\PRENDA SIN DESPLAZAMIENTO\HUGO HENRIQUEZ A AGRICOLA EL TREBOL.doc</t>
  </si>
  <si>
    <t>C:\Users\franc\OneDrive\Documentos\MALENTIN KARIME\BANCO ESTADO\2012 DEPTO ESCRITURAS fata\NOTARIA 2009\PRENDA SIN DESPLAZAMIENTO\HUGO HENRIQUEZ A AGRICOLA EL TREBOL (PARTICULAR).doc</t>
  </si>
  <si>
    <t>C:\Users\franc\OneDrive\Documentos\MALENTIN KARIME\BANCO ESTADO\2012 DEPTO ESCRITURAS fata\NOTARIA 2009\PRENDA SIN DESPLAZAMIENTO\EXTRACTO JUAN MARAMBIO A COPEVAL.doc</t>
  </si>
  <si>
    <t>C:\Users\franc\OneDrive\Documentos\MALENTIN KARIME\BANCO ESTADO\2012 DEPTO ESCRITURAS fata\NOTARIA 2009\PERMUTA\Samuel Rojo a Ricardo ALlende.doc</t>
  </si>
  <si>
    <t>C:\Users\franc\OneDrive\Documentos\MALENTIN KARIME\BANCO ESTADO\2012 DEPTO ESCRITURAS fata\NOTARIA 2009\PERMUTA\Samuel Rojo a Ricardo ALlende 2.doc</t>
  </si>
  <si>
    <t>C:\Users\franc\OneDrive\Documentos\MALENTIN KARIME\BANCO ESTADO\2012 DEPTO ESCRITURAS fata\NOTARIA 2009\PERMUTA\Samuel Rojo a Ricardo ALlende 2 (1).doc</t>
  </si>
  <si>
    <t>C:\Users\franc\OneDrive\Documentos\MALENTIN KARIME\BANCO ESTADO\2012 DEPTO ESCRITURAS fata\NOTARIA 2009\PERMUTA\Samuel Rojo a Ricardo ALlende (1).doc</t>
  </si>
  <si>
    <t>C:\Users\franc\OneDrive\Documentos\MALENTIN KARIME\BANCO ESTADO\2012 DEPTO ESCRITURAS fata\NOTARIA 2009\PATRICIA ALFARO\NICOLASA IRIBARREN Y OT. A HOWAR MUÑOZ.doc</t>
  </si>
  <si>
    <t>C:\Users\franc\OneDrive\Documentos\MALENTIN KARIME\BANCO ESTADO\2012 DEPTO ESCRITURAS fata\NOTARIA 2009\PATRICIA ALFARO\HUGO CORTES Y OTRO (SUBDIVISION).doc</t>
  </si>
  <si>
    <t>C:\Users\franc\OneDrive\Documentos\MALENTIN KARIME\BANCO ESTADO\2012 DEPTO ESCRITURAS fata\NOTARIA 2009\PATRICIA ALFARO\COMPLEMENTACION MIRNA.doc</t>
  </si>
  <si>
    <t>C:\Users\franc\OneDrive\Documentos\MALENTIN KARIME\BANCO ESTADO\2012 DEPTO ESCRITURAS fata\NOTARIA 2009\PATRICIA ALFARO\COMPLEMENTACION HUGO CORTES.doc</t>
  </si>
  <si>
    <t>C:\Users\franc\OneDrive\Documentos\MALENTIN KARIME\BANCO ESTADO\2012 DEPTO ESCRITURAS fata\NOTARIA 2009\PATRICIA ALFARO\COMODATO COM AGRICOLA POTRERILLO A CLUB DEP. UNION JUVENTUD.doc</t>
  </si>
  <si>
    <t>C:\Users\franc\OneDrive\Documentos\MALENTIN KARIME\BANCO ESTADO\2012 DEPTO ESCRITURAS fata\NOTARIA 2009\PATRICIA ALFARO\comodato club de rodeo.doc</t>
  </si>
  <si>
    <t>C:\Users\franc\OneDrive\Documentos\MALENTIN KARIME\BANCO ESTADO\2012 DEPTO ESCRITURAS fata\NOTARIA 2009\PATRICIA ALFARO\COM. AGRICOLA POTRERILLO A CLUB ADULTO MAYOR.doc</t>
  </si>
  <si>
    <t>C:\Users\franc\OneDrive\Documentos\MALENTIN KARIME\BANCO ESTADO\2012 DEPTO ESCRITURAS fata\NOTARIA 2009\OSCAR LUZA\ZUNILDA JULIO Y OTRAS A EDUARDO JULIO (MARZO 2009).doc</t>
  </si>
  <si>
    <t>C:\Users\franc\OneDrive\Documentos\MALENTIN KARIME\BANCO ESTADO\2012 DEPTO ESCRITURAS fata\NOTARIA 2009\OSCAR LUZA\ZUNILDA JULIO Y OTRAS A EDUARDO JULIO (MARZO 2009) (1).doc</t>
  </si>
  <si>
    <t>C:\Users\franc\OneDrive\Documentos\MALENTIN KARIME\BANCO ESTADO\2012 DEPTO ESCRITURAS fata\NOTARIA 2009\OSCAR LUZA\ZUNILDA JULIO PIÑONES Y OT. A EDO. JULIO.doc</t>
  </si>
  <si>
    <t>C:\Users\franc\OneDrive\Documentos\MALENTIN KARIME\BANCO ESTADO\2012 DEPTO ESCRITURAS fata\NOTARIA 2009\OSCAR LUZA\ZUNILDA JULIO PIÑONES Y OT. A EDO. JULIO (1).doc</t>
  </si>
  <si>
    <t>C:\Users\franc\OneDrive\Documentos\MALENTIN KARIME\BANCO ESTADO\2012 DEPTO ESCRITURAS fata\NOTARIA 2009\OSCAR LUZA\MARIA ARAYA A JORGE CASTILLO.doc</t>
  </si>
  <si>
    <t>C:\Users\franc\OneDrive\Documentos\MALENTIN KARIME\BANCO ESTADO\2012 DEPTO ESCRITURAS fata\NOTARIA 2009\OSCAR LUZA\MARIA ARAYA A JORGE CASTILLO (1).doc</t>
  </si>
  <si>
    <t>C:\Users\franc\OneDrive\Documentos\MALENTIN KARIME\BANCO ESTADO\2012 DEPTO ESCRITURAS fata\NOTARIA 2009\OSCAR LUZA\JOSE JOPIA A SICTEL.doc</t>
  </si>
  <si>
    <t>C:\Users\franc\OneDrive\Documentos\MALENTIN KARIME\BANCO ESTADO\2012 DEPTO ESCRITURAS fata\NOTARIA 2009\OSCAR LUZA\JOSE JOPIA A SICTEL (1).doc</t>
  </si>
  <si>
    <t>C:\Users\franc\OneDrive\Documentos\MALENTIN KARIME\BANCO ESTADO\2012 DEPTO ESCRITURAS fata\NOTARIA 2009\OSCAR LUZA\JOSE ARAYA A JORGE CASTILLO  (CESION).doc</t>
  </si>
  <si>
    <t>C:\Users\franc\OneDrive\Documentos\MALENTIN KARIME\BANCO ESTADO\2012 DEPTO ESCRITURAS fata\NOTARIA 2009\OSCAR LUZA\JOSE ARAYA A JORGE CASTILLO  (CESION) (1).doc</t>
  </si>
  <si>
    <t>C:\Users\franc\OneDrive\Documentos\MALENTIN KARIME\BANCO ESTADO\2012 DEPTO ESCRITURAS fata\NOTARIA 2009\OSCAR LUZA\EDUARDO JULIO PIÑONES.doc</t>
  </si>
  <si>
    <t>C:\Users\franc\OneDrive\Documentos\MALENTIN KARIME\BANCO ESTADO\2012 DEPTO ESCRITURAS fata\NOTARIA 2009\OSCAR LUZA\EDUARDO JULIO PIÑONES (1).doc</t>
  </si>
  <si>
    <t>C:\Users\franc\OneDrive\Documentos\MALENTIN KARIME\BANCO ESTADO\2012 DEPTO ESCRITURAS fata\NOTARIA 2009\MUTUOS\WILSON ZEPEDA A RODRIGO ZEPEDA.doc</t>
  </si>
  <si>
    <t>C:\Users\franc\OneDrive\Documentos\MALENTIN KARIME\BANCO ESTADO\2012 DEPTO ESCRITURAS fata\NOTARIA 2009\MUTUOS\TERESA GONZALEZ A MANUEL VERGARA.doc</t>
  </si>
  <si>
    <t>C:\Users\franc\OneDrive\Documentos\MALENTIN KARIME\BANCO ESTADO\2012 DEPTO ESCRITURAS fata\NOTARIA 2009\MUTUOS\SECUNDINO VERGARA A AMANDA VERGARA.doc</t>
  </si>
  <si>
    <t>C:\Users\franc\OneDrive\Documentos\MALENTIN KARIME\BANCO ESTADO\2012 DEPTO ESCRITURAS fata\NOTARIA 2009\MUTUOS\MODELO MUTUO A LA VISTA.doc</t>
  </si>
  <si>
    <t>C:\Users\franc\OneDrive\Documentos\MALENTIN KARIME\BANCO ESTADO\2012 DEPTO ESCRITURAS fata\NOTARIA 2009\MUTUOS\MARIO VEGA A CRISTIANN VEGA.doc</t>
  </si>
  <si>
    <t>C:\Users\franc\OneDrive\Documentos\MALENTIN KARIME\BANCO ESTADO\2012 DEPTO ESCRITURAS fata\NOTARIA 2009\MUTUOS\MARDOQUEO BITRAN A SOC. AGRIC. LOS TILOS LTDA.doc</t>
  </si>
  <si>
    <t>C:\Users\franc\OneDrive\Documentos\MALENTIN KARIME\BANCO ESTADO\2012 DEPTO ESCRITURAS fata\NOTARIA 2009\MUTUOS\LORENZO ORMEÑO A GMO. ORMEÑO.doc</t>
  </si>
  <si>
    <t>C:\Users\franc\OneDrive\Documentos\MALENTIN KARIME\BANCO ESTADO\2012 DEPTO ESCRITURAS fata\NOTARIA 2009\MUTUOS\LILIANA ALFARO A JUAN PAULO.doc</t>
  </si>
  <si>
    <t>C:\Users\franc\OneDrive\Documentos\MALENTIN KARIME\BANCO ESTADO\2012 DEPTO ESCRITURAS fata\NOTARIA 2009\MUTUOS\JUAN PIZARRO A JUAN PIZARRO ( HIJO).doc</t>
  </si>
  <si>
    <t>C:\Users\franc\OneDrive\Documentos\MALENTIN KARIME\BANCO ESTADO\2012 DEPTO ESCRITURAS fata\NOTARIA 2009\MUTUOS\JUAN PIZARRO A JUAN PIZARRO ( HIJO)   2.doc</t>
  </si>
  <si>
    <t>C:\Users\franc\OneDrive\Documentos\MALENTIN KARIME\BANCO ESTADO\2012 DEPTO ESCRITURAS fata\NOTARIA 2009\MUTUOS\JUAN ARAYA SALFATE A SEGUNDO GARCIA (privado).doc</t>
  </si>
  <si>
    <t>C:\Users\franc\OneDrive\Documentos\MALENTIN KARIME\BANCO ESTADO\2012 DEPTO ESCRITURAS fata\NOTARIA 2009\MUTUOS\JORGE QUIROZ A JORGE RODRIGO.doc</t>
  </si>
  <si>
    <t>C:\Users\franc\OneDrive\Documentos\MALENTIN KARIME\BANCO ESTADO\2012 DEPTO ESCRITURAS fata\NOTARIA 2009\MUTUOS\JORGE QUIROZ A JORGE RAYMUNDO.doc</t>
  </si>
  <si>
    <t>C:\Users\franc\OneDrive\Documentos\MALENTIN KARIME\BANCO ESTADO\2012 DEPTO ESCRITURAS fata\NOTARIA 2009\MUTUOS\JORGE QUIROZ A JORGE GUILLERMO.doc</t>
  </si>
  <si>
    <t>C:\Users\franc\OneDrive\Documentos\MALENTIN KARIME\BANCO ESTADO\2012 DEPTO ESCRITURAS fata\NOTARIA 2009\MUTUOS\JORGE QUIROZ A GRACIELA.doc</t>
  </si>
  <si>
    <t>C:\Users\franc\OneDrive\Documentos\MALENTIN KARIME\BANCO ESTADO\2012 DEPTO ESCRITURAS fata\NOTARIA 2009\MUTUOS\JORGE QUIROZ A CLAUDIA.doc</t>
  </si>
  <si>
    <t>C:\Users\franc\OneDrive\Documentos\MALENTIN KARIME\BANCO ESTADO\2012 DEPTO ESCRITURAS fata\NOTARIA 2009\MUTUOS\JORGE QUIROZ A CARMENCITA.doc</t>
  </si>
  <si>
    <t>C:\Users\franc\OneDrive\Documentos\MALENTIN KARIME\BANCO ESTADO\2012 DEPTO ESCRITURAS fata\NOTARIA 2009\MUTUOS\ELSA TELLO A WILMA BARRAZA.doc</t>
  </si>
  <si>
    <t>C:\Users\franc\OneDrive\Documentos\MALENTIN KARIME\BANCO ESTADO\2012 DEPTO ESCRITURAS fata\NOTARIA 2009\MUTUOS\CIPRIANO MIRANDA A FELIX GUERRERO.doc</t>
  </si>
  <si>
    <t>C:\Users\franc\OneDrive\Documentos\MALENTIN KARIME\BANCO ESTADO\2012 DEPTO ESCRITURAS fata\NOTARIA 2009\MUTUOS\CARLOS CODOCEDO A SU HIJA.doc</t>
  </si>
  <si>
    <t>C:\Users\franc\OneDrive\Documentos\MALENTIN KARIME\BANCO ESTADO\2012 DEPTO ESCRITURAS fata\NOTARIA 2009\MUTUOS\ARIEL PALACIOS A SU  HIJA.doc</t>
  </si>
  <si>
    <t>C:\Users\franc\OneDrive\Documentos\MALENTIN KARIME\BANCO ESTADO\2012 DEPTO ESCRITURAS fata\NOTARIA 2009\MUTUOS\ANIBAL RIVERA A CONSTANZA BUGUEÑO.doc</t>
  </si>
  <si>
    <t>C:\Users\franc\OneDrive\Documentos\MALENTIN KARIME\BANCO ESTADO\2012 DEPTO ESCRITURAS fata\NOTARIA 2009\MUNICIPALIDAD RIO HURTADO\SSHH CLUB DEPORTIVO SAMO ALTO - JUAN GONZALEZ.doc</t>
  </si>
  <si>
    <t>C:\Users\franc\OneDrive\Documentos\MALENTIN KARIME\BANCO ESTADO\2012 DEPTO ESCRITURAS fata\NOTARIA 2009\MUNICIPALIDAD RIO HURTADO\SEDE SOCIAL LA HUERTA - JUAN GONZALEZ.doc</t>
  </si>
  <si>
    <t>C:\Users\franc\OneDrive\Documentos\MALENTIN KARIME\BANCO ESTADO\2012 DEPTO ESCRITURAS fata\NOTARIA 2009\MUNICIPALIDAD RIO HURTADO\REPOSICION SALON USO MULTIPLE.doc</t>
  </si>
  <si>
    <t>C:\Users\franc\OneDrive\Documentos\MALENTIN KARIME\BANCO ESTADO\2012 DEPTO ESCRITURAS fata\NOTARIA 2009\MUNICIPALIDAD RIO HURTADO\REPOSICION SALON - BASILIO AGUIRRE.doc</t>
  </si>
  <si>
    <t>C:\Users\franc\OneDrive\Documentos\MALENTIN KARIME\BANCO ESTADO\2012 DEPTO ESCRITURAS fata\NOTARIA 2009\MUNICIPALIDAD RIO HURTADO\REPOSICION INTERNADO.doc</t>
  </si>
  <si>
    <t>C:\Users\franc\OneDrive\Documentos\MALENTIN KARIME\BANCO ESTADO\2012 DEPTO ESCRITURAS fata\NOTARIA 2009\MUNICIPALIDAD RIO HURTADO\POSTA TABAQUEROS  - JUAN GONZALEZ.doc</t>
  </si>
  <si>
    <t>C:\Users\franc\OneDrive\Documentos\MALENTIN KARIME\BANCO ESTADO\2012 DEPTO ESCRITURAS fata\NOTARIA 2009\MUNICIPALIDAD RIO HURTADO\PISCINA ROMERAL.doc</t>
  </si>
  <si>
    <t>C:\Users\franc\OneDrive\Documentos\MALENTIN KARIME\BANCO ESTADO\2012 DEPTO ESCRITURAS fata\NOTARIA 2009\MUNICIPALIDAD RIO HURTADO\NORMALIZACION ESCUELA LA HUERTA - JUAN GONZALEZ.doc</t>
  </si>
  <si>
    <t>C:\Users\franc\OneDrive\Documentos\MALENTIN KARIME\BANCO ESTADO\2012 DEPTO ESCRITURAS fata\NOTARIA 2009\MUNICIPALIDAD RIO HURTADO\MULTICANCHA SECTOR LA AGUADA - JUAN GONZALEZ.doc</t>
  </si>
  <si>
    <t>C:\Users\franc\OneDrive\Documentos\MALENTIN KARIME\BANCO ESTADO\2012 DEPTO ESCRITURAS fata\NOTARIA 2009\MUNICIPALIDAD RIO HURTADO\MULTICANCHA INTERNADO  - BASILIO AGUIRRE NOV. 2009.doc</t>
  </si>
  <si>
    <t>C:\Users\franc\OneDrive\Documentos\MALENTIN KARIME\BANCO ESTADO\2012 DEPTO ESCRITURAS fata\NOTARIA 2009\MUNICIPALIDAD RIO HURTADO\MULTICANCHA AMANECER - BASILIO AGUIRRE.doc</t>
  </si>
  <si>
    <t>C:\Users\franc\OneDrive\Documentos\MALENTIN KARIME\BANCO ESTADO\2012 DEPTO ESCRITURAS fata\NOTARIA 2009\MUNICIPALIDAD RIO HURTADO\MODIFICA. CONTRATO RIO LIMARI.doc</t>
  </si>
  <si>
    <t>C:\Users\franc\OneDrive\Documentos\MALENTIN KARIME\BANCO ESTADO\2012 DEPTO ESCRITURAS fata\NOTARIA 2009\MUNICIPALIDAD RIO HURTADO\MODIFICA. CONTRATO MAURICIO MARIN.doc</t>
  </si>
  <si>
    <t>C:\Users\franc\OneDrive\Documentos\MALENTIN KARIME\BANCO ESTADO\2012 DEPTO ESCRITURAS fata\NOTARIA 2009\MUNICIPALIDAD RIO HURTADO\MODIFICA COMPLEJO HUAMPULLA.doc</t>
  </si>
  <si>
    <t>C:\Users\franc\OneDrive\Documentos\MALENTIN KARIME\BANCO ESTADO\2012 DEPTO ESCRITURAS fata\NOTARIA 2009\MUNICIPALIDAD RIO HURTADO\MODIFI. REPOSION INTERNADO HURTADO.doc</t>
  </si>
  <si>
    <t>C:\Users\franc\OneDrive\Documentos\MALENTIN KARIME\BANCO ESTADO\2012 DEPTO ESCRITURAS fata\NOTARIA 2009\MUNICIPALIDAD RIO HURTADO\JUAN ALUCEMA (CONT. CONSTT).doc</t>
  </si>
  <si>
    <t>C:\Users\franc\OneDrive\Documentos\MALENTIN KARIME\BANCO ESTADO\2012 DEPTO ESCRITURAS fata\NOTARIA 2009\MUNICIPALIDAD RIO HURTADO\JOSE ALAMO TUMA A COMITE SOL NACIENTE.doc</t>
  </si>
  <si>
    <t>C:\Users\franc\OneDrive\Documentos\MALENTIN KARIME\BANCO ESTADO\2012 DEPTO ESCRITURAS fata\NOTARIA 2009\MUNICIPALIDAD RIO HURTADO\INPROCOL MODIFICACION.doc</t>
  </si>
  <si>
    <t>C:\Users\franc\OneDrive\Documentos\MALENTIN KARIME\BANCO ESTADO\2012 DEPTO ESCRITURAS fata\NOTARIA 2009\MUNICIPALIDAD RIO HURTADO\INPROCOL 3RA MODIFICACION.doc</t>
  </si>
  <si>
    <t>C:\Users\franc\OneDrive\Documentos\MALENTIN KARIME\BANCO ESTADO\2012 DEPTO ESCRITURAS fata\NOTARIA 2009\MUNICIPALIDAD RIO HURTADO\FUNDINA (JUAN ALUCEMA).doc</t>
  </si>
  <si>
    <t>C:\Users\franc\OneDrive\Documentos\MALENTIN KARIME\BANCO ESTADO\2012 DEPTO ESCRITURAS fata\NOTARIA 2009\MUNICIPALIDAD RIO HURTADO\ESTRELLA AZUL CLUB DEPORTIVO - CHILEDEPORTES.doc</t>
  </si>
  <si>
    <t>C:\Users\franc\OneDrive\Documentos\MALENTIN KARIME\BANCO ESTADO\2012 DEPTO ESCRITURAS fata\NOTARIA 2009\MUNICIPALIDAD RIO HURTADO\ESCUELA MINILLAS  - BASILIO AGUIRRE JUNIO 2009.doc</t>
  </si>
  <si>
    <t>C:\Users\franc\OneDrive\Documentos\MALENTIN KARIME\BANCO ESTADO\2012 DEPTO ESCRITURAS fata\NOTARIA 2009\MUNICIPALIDAD RIO HURTADO\ESCUELA HIJOS DEL CHAÑAR  - BASILIO AGUIRRE JUNIO 2009.doc</t>
  </si>
  <si>
    <t>C:\Users\franc\OneDrive\Documentos\MALENTIN KARIME\BANCO ESTADO\2012 DEPTO ESCRITURAS fata\NOTARIA 2009\MUNICIPALIDAD RIO HURTADO\ESC. TABAQUEROS - JUAN GONZALEZ.doc</t>
  </si>
  <si>
    <t>C:\Users\franc\OneDrive\Documentos\MALENTIN KARIME\BANCO ESTADO\2012 DEPTO ESCRITURAS fata\NOTARIA 2009\MUNICIPALIDAD RIO HURTADO\ESC. SERON - BASILIO AGUIRRE.doc</t>
  </si>
  <si>
    <t>C:\Users\franc\OneDrive\Documentos\MALENTIN KARIME\BANCO ESTADO\2012 DEPTO ESCRITURAS fata\NOTARIA 2009\MUNICIPALIDAD RIO HURTADO\ESC. MAITENES - JUAN GONZALEZ.doc</t>
  </si>
  <si>
    <t>C:\Users\franc\OneDrive\Documentos\MALENTIN KARIME\BANCO ESTADO\2012 DEPTO ESCRITURAS fata\NOTARIA 2009\MUNICIPALIDAD RIO HURTADO\ESC. HUAMPULLA - JUAN GONZALEZ.doc</t>
  </si>
  <si>
    <t>C:\Users\franc\OneDrive\Documentos\MALENTIN KARIME\BANCO ESTADO\2012 DEPTO ESCRITURAS fata\NOTARIA 2009\MUNICIPALIDAD RIO HURTADO\ESC. AMANECER - BASILIO AGUIRRE.doc</t>
  </si>
  <si>
    <t>C:\Users\franc\OneDrive\Documentos\MALENTIN KARIME\BANCO ESTADO\2012 DEPTO ESCRITURAS fata\NOTARIA 2009\MUNICIPALIDAD RIO HURTADO\ESC VADO MORRILLOS  - JUAN GONZALEZ JUNIO 2009.doc</t>
  </si>
  <si>
    <t>C:\Users\franc\OneDrive\Documentos\MALENTIN KARIME\BANCO ESTADO\2012 DEPTO ESCRITURAS fata\NOTARIA 2009\MUNICIPALIDAD RIO HURTADO\ESC LAS BREAS - BASILIO AGUIRRE.doc</t>
  </si>
  <si>
    <t>C:\Users\franc\OneDrive\Documentos\MALENTIN KARIME\BANCO ESTADO\2012 DEPTO ESCRITURAS fata\NOTARIA 2009\MUNICIPALIDAD RIO HURTADO\EL ROMERAL (JUAN ALUCEMA).doc</t>
  </si>
  <si>
    <t>C:\Users\franc\OneDrive\Documentos\MALENTIN KARIME\BANCO ESTADO\2012 DEPTO ESCRITURAS fata\NOTARIA 2009\MUNICIPALIDAD RIO HURTADO\CONSTRUC. OFICINAS PUBLICAS - RICARDO CASTILLA.doc</t>
  </si>
  <si>
    <t>C:\Users\franc\OneDrive\Documentos\MALENTIN KARIME\BANCO ESTADO\2012 DEPTO ESCRITURAS fata\NOTARIA 2009\MUNICIPALIDAD RIO HURTADO\COMPLEJO HUAMPULLA.doc</t>
  </si>
  <si>
    <t>C:\Users\franc\OneDrive\Documentos\MALENTIN KARIME\BANCO ESTADO\2012 DEPTO ESCRITURAS fata\NOTARIA 2009\MUNICIPALIDAD RIO HURTADO\COMPLEJO HUAMPULLA (MODIFICA.doc</t>
  </si>
  <si>
    <t>C:\Users\franc\OneDrive\Documentos\MALENTIN KARIME\BANCO ESTADO\2012 DEPTO ESCRITURAS fata\NOTARIA 2009\MUNICIPALIDAD RIO HURTADO\CHILEDEPORTES.doc</t>
  </si>
  <si>
    <t>C:\Users\franc\OneDrive\Documentos\MALENTIN KARIME\BANCO ESTADO\2012 DEPTO ESCRITURAS fata\NOTARIA 2009\MUNICIPALIDAD RIO HURTADO\CHILEDEPORTES   FINAL.doc</t>
  </si>
  <si>
    <t>C:\Users\franc\OneDrive\Documentos\MALENTIN KARIME\BANCO ESTADO\2012 DEPTO ESCRITURAS fata\NOTARIA 2009\MUNICIPALIDAD RIO HURTADO\autorizacion  MAURICIO MARIN.doc</t>
  </si>
  <si>
    <t>C:\Users\franc\OneDrive\Documentos\MALENTIN KARIME\BANCO ESTADO\2012 DEPTO ESCRITURAS fata\NOTARIA 2009\MUNICIPALIDAD RIO HURTADO\AUTORIZ FIRMA.doc</t>
  </si>
  <si>
    <t>C:\Users\franc\OneDrive\Documentos\MALENTIN KARIME\BANCO ESTADO\2012 DEPTO ESCRITURAS fata\NOTARIA 2009\MUNICIPALIDAD RIO HURTADO\4TA MODIFICACION RENE MARIN.doc</t>
  </si>
  <si>
    <t>C:\Users\franc\OneDrive\Documentos\MALENTIN KARIME\BANCO ESTADO\2012 DEPTO ESCRITURAS fata\NOTARIA 2009\MUNICIPALIDAD RIO HURTADO\3era MODIFICACION MAURICIO MARIN.doc</t>
  </si>
  <si>
    <t>C:\Users\franc\OneDrive\Documentos\MALENTIN KARIME\BANCO ESTADO\2012 DEPTO ESCRITURAS fata\NOTARIA 2009\MUNICIPALIDAD DE OVALLE\REPOSICION ESCUELA GUARDIAMARINA.doc</t>
  </si>
  <si>
    <t>C:\Users\franc\OneDrive\Documentos\MALENTIN KARIME\BANCO ESTADO\2012 DEPTO ESCRITURAS fata\NOTARIA 2009\MUNICIPALIDAD DE OVALLE\PROTOCOLIZACION CONTRATO BERNARDO CORTES.doc</t>
  </si>
  <si>
    <t>C:\Users\franc\OneDrive\Documentos\MALENTIN KARIME\BANCO ESTADO\2012 DEPTO ESCRITURAS fata\NOTARIA 2009\MUNICIPALIDAD DE OVALLE\MUNICIP.  A FABRICIO ROJAS  (MANDATO JUDICIAL).doc</t>
  </si>
  <si>
    <t>C:\Users\franc\OneDrive\Documentos\MALENTIN KARIME\BANCO ESTADO\2012 DEPTO ESCRITURAS fata\NOTARIA 2009\MUNICIPALIDAD DE OVALLE\MODIF. CONST. SEDE COM. VILLA LA PAZ - SAMUEL VILLARROEL.doc</t>
  </si>
  <si>
    <t>C:\Users\franc\OneDrive\Documentos\MALENTIN KARIME\BANCO ESTADO\2012 DEPTO ESCRITURAS fata\NOTARIA 2009\MUNICIPALIDAD DE OVALLE\MODIF. CONST. CHARLESBURG - SAMUEL VILLARROEL.doc</t>
  </si>
  <si>
    <t>C:\Users\franc\OneDrive\Documentos\MALENTIN KARIME\BANCO ESTADO\2012 DEPTO ESCRITURAS fata\NOTARIA 2009\MUNICIPALIDAD DE OVALLE\INMOBILIRIA COLOMBRES A COMITE (RECTIFICACION).doc</t>
  </si>
  <si>
    <t>C:\Users\franc\OneDrive\Documentos\MALENTIN KARIME\BANCO ESTADO\2012 DEPTO ESCRITURAS fata\NOTARIA 2009\MUNICIPALIDAD DE OVALLE\escrit solteros.doc</t>
  </si>
  <si>
    <t>C:\Users\franc\OneDrive\Documentos\MALENTIN KARIME\BANCO ESTADO\2012 DEPTO ESCRITURAS fata\NOTARIA 2009\MUNICIPALIDAD DE OVALLE\escrit casados.doc</t>
  </si>
  <si>
    <t>C:\Users\franc\OneDrive\Documentos\MALENTIN KARIME\BANCO ESTADO\2012 DEPTO ESCRITURAS fata\NOTARIA 2009\MUNICIPALIDAD DE OVALLE\escrit casadas.doc</t>
  </si>
  <si>
    <t>C:\Users\franc\OneDrive\Documentos\MALENTIN KARIME\BANCO ESTADO\2012 DEPTO ESCRITURAS fata\NOTARIA 2009\MUNICIPALIDAD DE OVALLE\CONTRATO CON COMSA DE CHILE S.A..doc</t>
  </si>
  <si>
    <t>C:\Users\franc\OneDrive\Documentos\MALENTIN KARIME\BANCO ESTADO\2012 DEPTO ESCRITURAS fata\NOTARIA 2009\MUNICIPALIDAD DE OVALLE\COMPAÑIA AMERICANA MULTISERVICIOS  (TRANSACCION).doc</t>
  </si>
  <si>
    <t>C:\Users\franc\OneDrive\Documentos\MALENTIN KARIME\BANCO ESTADO\2012 DEPTO ESCRITURAS fata\NOTARIA 2009\MUNICIPALIDAD DE OVALLE\CHILEDEPORTES A MUNICIPALIDAD (CENDYR).doc</t>
  </si>
  <si>
    <t>C:\Users\franc\OneDrive\Documentos\MALENTIN KARIME\BANCO ESTADO\2012 DEPTO ESCRITURAS fata\NOTARIA 2009\MUNICIPALIDAD DE OVALLE\BERNARDO CORTES (AGOSTO 2007).doc</t>
  </si>
  <si>
    <t>C:\Users\franc\OneDrive\Documentos\MALENTIN KARIME\BANCO ESTADO\2012 DEPTO ESCRITURAS fata\NOTARIA 2009\MUNICIPALIDAD DE OVALLE\ASOCIACION FUTBOL RURAL A  CHILEDEPORTES.doc</t>
  </si>
  <si>
    <t>C:\Users\franc\OneDrive\Documentos\MALENTIN KARIME\BANCO ESTADO\2012 DEPTO ESCRITURAS fata\NOTARIA 2009\MUNICIPALIDAD DE OVALLE\Anexo_Obras_Complementarias_Ovalle[1].doc</t>
  </si>
  <si>
    <t>C:\Users\franc\OneDrive\Documentos\MALENTIN KARIME\BANCO ESTADO\2012 DEPTO ESCRITURAS fata\NOTARIA 2009\MUNICIPALIDAD DE OVALLE\AMPLIACION ESCUELA MUSIA.doc</t>
  </si>
  <si>
    <t>C:\Users\franc\OneDrive\Documentos\MALENTIN KARIME\BANCO ESTADO\2012 DEPTO ESCRITURAS fata\NOTARIA 2009\MUNICIPALIDAD DE OVALLE\ALZAMIENTOJUANA ADAOS.doc</t>
  </si>
  <si>
    <t>C:\Users\franc\OneDrive\Documentos\MALENTIN KARIME\BANCO ESTADO\2012 DEPTO ESCRITURAS fata\NOTARIA 2009\MUNICIPALIDAD DE OVALLE\ALZAMIENTO MARTA LOBOS.doc</t>
  </si>
  <si>
    <t>C:\Users\franc\OneDrive\Documentos\MALENTIN KARIME\BANCO ESTADO\2012 DEPTO ESCRITURAS fata\NOTARIA 2009\MUNICIPALIDAD DE OVALLE\ALZAMIENTO FABIOLA CONTRERAS.doc</t>
  </si>
  <si>
    <t>C:\Users\franc\OneDrive\Documentos\MALENTIN KARIME\BANCO ESTADO\2012 DEPTO ESCRITURAS fata\NOTARIA 2009\MODIFICACION\WILSON YAÑEZ.doc</t>
  </si>
  <si>
    <t>C:\Users\franc\OneDrive\Documentos\MALENTIN KARIME\BANCO ESTADO\2012 DEPTO ESCRITURAS fata\NOTARIA 2009\MODIFICACION\MIGUEL SALINAS PLANTA PROCESADORA JUAN SALINAS.doc</t>
  </si>
  <si>
    <t>C:\Users\franc\OneDrive\Documentos\MALENTIN KARIME\BANCO ESTADO\2012 DEPTO ESCRITURAS fata\NOTARIA 2009\MODIFICACION\CONTRATO DE PROMESA.- LEONOR MUÑOZ A MAGALI GALLARDO.doc</t>
  </si>
  <si>
    <t>C:\Users\franc\OneDrive\Documentos\MALENTIN KARIME\BANCO ESTADO\2012 DEPTO ESCRITURAS fata\NOTARIA 2009\MODIFICACION\CALENDARIO PAGOS.doc</t>
  </si>
  <si>
    <t>C:\Users\franc\OneDrive\Documentos\MALENTIN KARIME\BANCO ESTADO\2012 DEPTO ESCRITURAS fata\NOTARIA 2009\MITSUI\WILLIAMS ENCINA.doc</t>
  </si>
  <si>
    <t>C:\Users\franc\OneDrive\Documentos\MALENTIN KARIME\BANCO ESTADO\2012 DEPTO ESCRITURAS fata\NOTARIA 2009\MITSUI\VICTOR FUENTES.doc</t>
  </si>
  <si>
    <t>C:\Users\franc\OneDrive\Documentos\MALENTIN KARIME\BANCO ESTADO\2012 DEPTO ESCRITURAS fata\NOTARIA 2009\MITSUI\VERONICA TAPIA MORALES.doc</t>
  </si>
  <si>
    <t>C:\Users\franc\OneDrive\Documentos\MALENTIN KARIME\BANCO ESTADO\2012 DEPTO ESCRITURAS fata\NOTARIA 2009\MITSUI\ULISES ROJAS ORTIZ.doc</t>
  </si>
  <si>
    <t>C:\Users\franc\OneDrive\Documentos\MALENTIN KARIME\BANCO ESTADO\2012 DEPTO ESCRITURAS fata\NOTARIA 2009\MITSUI\TITO COLLAO.doc</t>
  </si>
  <si>
    <t>C:\Users\franc\OneDrive\Documentos\MALENTIN KARIME\BANCO ESTADO\2012 DEPTO ESCRITURAS fata\NOTARIA 2009\MITSUI\TITO COLLAO CORTES 2.doc</t>
  </si>
  <si>
    <t>C:\Users\franc\OneDrive\Documentos\MALENTIN KARIME\BANCO ESTADO\2012 DEPTO ESCRITURAS fata\NOTARIA 2009\MITSUI\SEBASTIAN SUAZO LOPZ.doc</t>
  </si>
  <si>
    <t>C:\Users\franc\OneDrive\Documentos\MALENTIN KARIME\BANCO ESTADO\2012 DEPTO ESCRITURAS fata\NOTARIA 2009\MITSUI\SEBASTIAN GARCIA.doc</t>
  </si>
  <si>
    <t>C:\Users\franc\OneDrive\Documentos\MALENTIN KARIME\BANCO ESTADO\2012 DEPTO ESCRITURAS fata\NOTARIA 2009\MITSUI\RODOLFO HENRIQUEZ.doc</t>
  </si>
  <si>
    <t>C:\Users\franc\OneDrive\Documentos\MALENTIN KARIME\BANCO ESTADO\2012 DEPTO ESCRITURAS fata\NOTARIA 2009\MITSUI\RENATO RIVERA.doc</t>
  </si>
  <si>
    <t>C:\Users\franc\OneDrive\Documentos\MALENTIN KARIME\BANCO ESTADO\2012 DEPTO ESCRITURAS fata\NOTARIA 2009\MITSUI\RAFAEL CASTELLANOS ARCE.doc</t>
  </si>
  <si>
    <t>C:\Users\franc\OneDrive\Documentos\MALENTIN KARIME\BANCO ESTADO\2012 DEPTO ESCRITURAS fata\NOTARIA 2009\MITSUI\PEDRO VEGA Y OTRO.doc</t>
  </si>
  <si>
    <t>C:\Users\franc\OneDrive\Documentos\MALENTIN KARIME\BANCO ESTADO\2012 DEPTO ESCRITURAS fata\NOTARIA 2009\MITSUI\PEDRO ROJAS   (M. METTIFOGO).doc</t>
  </si>
  <si>
    <t>C:\Users\franc\OneDrive\Documentos\MALENTIN KARIME\BANCO ESTADO\2012 DEPTO ESCRITURAS fata\NOTARIA 2009\MITSUI\PATRICIA ZUMARAN.doc</t>
  </si>
  <si>
    <t>C:\Users\franc\OneDrive\Documentos\MALENTIN KARIME\BANCO ESTADO\2012 DEPTO ESCRITURAS fata\NOTARIA 2009\MITSUI\PATRICIA ACOSTA.doc</t>
  </si>
  <si>
    <t>C:\Users\franc\OneDrive\Documentos\MALENTIN KARIME\BANCO ESTADO\2012 DEPTO ESCRITURAS fata\NOTARIA 2009\MITSUI\PAMELA ROJAS CORTES.doc</t>
  </si>
  <si>
    <t>C:\Users\franc\OneDrive\Documentos\MALENTIN KARIME\BANCO ESTADO\2012 DEPTO ESCRITURAS fata\NOTARIA 2009\MITSUI\NOLVIA JOFRE TAPIA.doc</t>
  </si>
  <si>
    <t>C:\Users\franc\OneDrive\Documentos\MALENTIN KARIME\BANCO ESTADO\2012 DEPTO ESCRITURAS fata\NOTARIA 2009\MITSUI\MODELO PODER.doc</t>
  </si>
  <si>
    <t>C:\Users\franc\OneDrive\Documentos\MALENTIN KARIME\BANCO ESTADO\2012 DEPTO ESCRITURAS fata\NOTARIA 2009\MITSUI\MODELO MANDATO PRIVADO.doc</t>
  </si>
  <si>
    <t>C:\Users\franc\OneDrive\Documentos\MALENTIN KARIME\BANCO ESTADO\2012 DEPTO ESCRITURAS fata\NOTARIA 2009\MITSUI\MAURICIO ARAYA.doc</t>
  </si>
  <si>
    <t>C:\Users\franc\OneDrive\Documentos\MALENTIN KARIME\BANCO ESTADO\2012 DEPTO ESCRITURAS fata\NOTARIA 2009\MITSUI\MARIA MARIN PONCE.doc</t>
  </si>
  <si>
    <t>C:\Users\franc\OneDrive\Documentos\MALENTIN KARIME\BANCO ESTADO\2012 DEPTO ESCRITURAS fata\NOTARIA 2009\MITSUI\MARGARITA LOPEZ FERREIRA.doc</t>
  </si>
  <si>
    <t>C:\Users\franc\OneDrive\Documentos\MALENTIN KARIME\BANCO ESTADO\2012 DEPTO ESCRITURAS fata\NOTARIA 2009\MITSUI\LAURA BARRAZA ALUCEMA.doc</t>
  </si>
  <si>
    <t>C:\Users\franc\OneDrive\Documentos\MALENTIN KARIME\BANCO ESTADO\2012 DEPTO ESCRITURAS fata\NOTARIA 2009\MITSUI\JUAN MARAMBIO Y OTRA.doc</t>
  </si>
  <si>
    <t>C:\Users\franc\OneDrive\Documentos\MALENTIN KARIME\BANCO ESTADO\2012 DEPTO ESCRITURAS fata\NOTARIA 2009\MITSUI\JOSE ROJAS RODRIGUEZ (AGOSTO 2008).doc</t>
  </si>
  <si>
    <t>C:\Users\franc\OneDrive\Documentos\MALENTIN KARIME\BANCO ESTADO\2012 DEPTO ESCRITURAS fata\NOTARIA 2009\MITSUI\JORGE PLAZA.doc</t>
  </si>
  <si>
    <t>C:\Users\franc\OneDrive\Documentos\MALENTIN KARIME\BANCO ESTADO\2012 DEPTO ESCRITURAS fata\NOTARIA 2009\MITSUI\JAVIER VERGARA (SEP. 2008).doc</t>
  </si>
  <si>
    <t>C:\Users\franc\OneDrive\Documentos\MALENTIN KARIME\BANCO ESTADO\2012 DEPTO ESCRITURAS fata\NOTARIA 2009\MITSUI\GUILLERMO VALDES.doc</t>
  </si>
  <si>
    <t>C:\Users\franc\OneDrive\Documentos\MALENTIN KARIME\BANCO ESTADO\2012 DEPTO ESCRITURAS fata\NOTARIA 2009\MITSUI\FEDERICO AGUILERA (SIN INSCRIP).doc</t>
  </si>
  <si>
    <t>C:\Users\franc\OneDrive\Documentos\MALENTIN KARIME\BANCO ESTADO\2012 DEPTO ESCRITURAS fata\NOTARIA 2009\MITSUI\EDUARDO ROBLES GUERRERO.doc</t>
  </si>
  <si>
    <t>C:\Users\franc\OneDrive\Documentos\MALENTIN KARIME\BANCO ESTADO\2012 DEPTO ESCRITURAS fata\NOTARIA 2009\MITSUI\CAROLINA CONTRERAS.doc</t>
  </si>
  <si>
    <t>C:\Users\franc\OneDrive\Documentos\MALENTIN KARIME\BANCO ESTADO\2012 DEPTO ESCRITURAS fata\NOTARIA 2009\MITSUI\CARLOS RAMOS ALIAGA (M. METTIFOGO).doc</t>
  </si>
  <si>
    <t>C:\Users\franc\OneDrive\Documentos\MALENTIN KARIME\BANCO ESTADO\2012 DEPTO ESCRITURAS fata\NOTARIA 2009\MITSUI\BENJAMIN ZEPEDA.doc</t>
  </si>
  <si>
    <t>C:\Users\franc\OneDrive\Documentos\MALENTIN KARIME\BANCO ESTADO\2012 DEPTO ESCRITURAS fata\NOTARIA 2009\MITSUI\BENILDA MUNDACA.doc</t>
  </si>
  <si>
    <t>C:\Users\franc\OneDrive\Documentos\MALENTIN KARIME\BANCO ESTADO\2012 DEPTO ESCRITURAS fata\NOTARIA 2009\MITSUI\Autorizo la firma.doc</t>
  </si>
  <si>
    <t>C:\Users\franc\OneDrive\Documentos\MALENTIN KARIME\BANCO ESTADO\2012 DEPTO ESCRITURAS fata\NOTARIA 2009\MITSUI\Autorizo la firma  2.doc</t>
  </si>
  <si>
    <t>C:\Users\franc\OneDrive\Documentos\MALENTIN KARIME\BANCO ESTADO\2012 DEPTO ESCRITURAS fata\NOTARIA 2009\MITSUI\ALICIA ZEBALLOS ORTIZ.doc</t>
  </si>
  <si>
    <t>C:\Users\franc\OneDrive\Documentos\MALENTIN KARIME\BANCO ESTADO\2012 DEPTO ESCRITURAS fata\NOTARIA 2009\MITSUI\ALEJANDRO LOPEZ  (SIN INSCRIP).doc</t>
  </si>
  <si>
    <t>C:\Users\franc\OneDrive\Documentos\MALENTIN KARIME\BANCO ESTADO\2012 DEPTO ESCRITURAS fata\NOTARIA 2009\MITSUI\ALEJANDRO BOU.doc</t>
  </si>
  <si>
    <t>C:\Users\franc\OneDrive\Documentos\MALENTIN KARIME\BANCO ESTADO\2012 DEPTO ESCRITURAS fata\NOTARIA 2009\MINAS 2007\INSCRIPCION\STA RITA UNO. Junta Acc. PROHIBICION.doc</t>
  </si>
  <si>
    <t>C:\Users\franc\OneDrive\Documentos\MALENTIN KARIME\BANCO ESTADO\2012 DEPTO ESCRITURAS fata\NOTARIA 2009\MINAS 2007\INSCRIPCION\STA RITA PROHIBICION (OPCION COMPRA).doc</t>
  </si>
  <si>
    <t>C:\Users\franc\OneDrive\Documentos\MALENTIN KARIME\BANCO ESTADO\2012 DEPTO ESCRITURAS fata\NOTARIA 2009\MINAS 2007\INSCRIPCION\STA RITA OPCION DE COMPRA.doc</t>
  </si>
  <si>
    <t>C:\Users\franc\OneDrive\Documentos\MALENTIN KARIME\BANCO ESTADO\2012 DEPTO ESCRITURAS fata\NOTARIA 2009\MINAS 2007\INSCRIPCION\COMPAÑIA MINERA PUNITAQUI.doc</t>
  </si>
  <si>
    <t>C:\Users\franc\OneDrive\Documentos\MALENTIN KARIME\BANCO ESTADO\2012 DEPTO ESCRITURAS fata\NOTARIA 2009\MINAS 2007\CERTIFICADOS\VICTORIA IV      1-300.doc</t>
  </si>
  <si>
    <t>C:\Users\franc\OneDrive\Documentos\MALENTIN KARIME\BANCO ESTADO\2012 DEPTO ESCRITURAS fata\NOTARIA 2009\MINAS 2007\CERTIFICADOS\VICTORIA III   1-300.doc</t>
  </si>
  <si>
    <t>C:\Users\franc\OneDrive\Documentos\MALENTIN KARIME\BANCO ESTADO\2012 DEPTO ESCRITURAS fata\NOTARIA 2009\MINAS 2007\CERTIFICADOS\VICTORIA II   1-300.doc</t>
  </si>
  <si>
    <t>C:\Users\franc\OneDrive\Documentos\MALENTIN KARIME\BANCO ESTADO\2012 DEPTO ESCRITURAS fata\NOTARIA 2009\MINAS 2007\CERTIFICADOS\VICTORIA I  1-300.doc</t>
  </si>
  <si>
    <t>C:\Users\franc\OneDrive\Documentos\MALENTIN KARIME\BANCO ESTADO\2012 DEPTO ESCRITURAS fata\NOTARIA 2009\MINAS 2007\CERTIFICADOS\VICTORIA  VIII      1-200.doc</t>
  </si>
  <si>
    <t>C:\Users\franc\OneDrive\Documentos\MALENTIN KARIME\BANCO ESTADO\2012 DEPTO ESCRITURAS fata\NOTARIA 2009\MINAS 2007\CERTIFICADOS\VICTORIA  VII      1-200.doc</t>
  </si>
  <si>
    <t>C:\Users\franc\OneDrive\Documentos\MALENTIN KARIME\BANCO ESTADO\2012 DEPTO ESCRITURAS fata\NOTARIA 2009\MINAS 2007\CERTIFICADOS\VICTORIA  VI      1-200.doc</t>
  </si>
  <si>
    <t>C:\Users\franc\OneDrive\Documentos\MALENTIN KARIME\BANCO ESTADO\2012 DEPTO ESCRITURAS fata\NOTARIA 2009\MINAS 2007\CERTIFICADOS\VICTORIA  V      1-300.doc</t>
  </si>
  <si>
    <t>C:\Users\franc\OneDrive\Documentos\MALENTIN KARIME\BANCO ESTADO\2012 DEPTO ESCRITURAS fata\NOTARIA 2009\MINAS 2007\CERTIFICADOS\VICTORIA  IX      1-100.doc</t>
  </si>
  <si>
    <t>C:\Users\franc\OneDrive\Documentos\MALENTIN KARIME\BANCO ESTADO\2012 DEPTO ESCRITURAS fata\NOTARIA 2009\MINAS 2007\CERTIFICADOS\NUEVA DALMACIA (MANIFESTCION).doc</t>
  </si>
  <si>
    <t>C:\Users\franc\OneDrive\Documentos\MALENTIN KARIME\BANCO ESTADO\2012 DEPTO ESCRITURAS fata\NOTARIA 2009\MINAS 2007\CERTIFICADOS\GABRIEL VIII  1-16.doc</t>
  </si>
  <si>
    <t>C:\Users\franc\OneDrive\Documentos\MALENTIN KARIME\BANCO ESTADO\2012 DEPTO ESCRITURAS fata\NOTARIA 2009\MINAS 2007\CERTIFICADOS\GABRIEL VII 1-32.doc</t>
  </si>
  <si>
    <t>C:\Users\franc\OneDrive\Documentos\MALENTIN KARIME\BANCO ESTADO\2012 DEPTO ESCRITURAS fata\NOTARIA 2009\MINAS 2007\CERTIFICADOS\GABRIEL VI    concesion de exploracion.doc</t>
  </si>
  <si>
    <t>C:\Users\franc\OneDrive\Documentos\MALENTIN KARIME\BANCO ESTADO\2012 DEPTO ESCRITURAS fata\NOTARIA 2009\MINAS 2007\CERTIFICADOS\GABRIEL V concesion de exploracion.doc</t>
  </si>
  <si>
    <t>C:\Users\franc\OneDrive\Documentos\MALENTIN KARIME\BANCO ESTADO\2012 DEPTO ESCRITURAS fata\NOTARIA 2009\MINAS 2007\CERTIFICADOS\GABRIEL IV concesion de exploracion.doc</t>
  </si>
  <si>
    <t>C:\Users\franc\OneDrive\Documentos\MALENTIN KARIME\BANCO ESTADO\2012 DEPTO ESCRITURAS fata\NOTARIA 2009\MINAS 2007\CERTIFICADOS\GABRIEL III  1-300.doc</t>
  </si>
  <si>
    <t>C:\Users\franc\OneDrive\Documentos\MALENTIN KARIME\BANCO ESTADO\2012 DEPTO ESCRITURAS fata\NOTARIA 2009\MINAS 2007\CERTIFICADOS\GABRIEL II  1-200.doc</t>
  </si>
  <si>
    <t>C:\Users\franc\OneDrive\Documentos\MALENTIN KARIME\BANCO ESTADO\2012 DEPTO ESCRITURAS fata\NOTARIA 2009\MINAS 2007\CERTIFICADOS\GABRIEL I 1-200.doc</t>
  </si>
  <si>
    <t>C:\Users\franc\OneDrive\Documentos\MALENTIN KARIME\BANCO ESTADO\2012 DEPTO ESCRITURAS fata\NOTARIA 2009\MINAS 2007\CERTIFICADOS\DALMACIA III C   1-60.doc</t>
  </si>
  <si>
    <t>C:\Users\franc\OneDrive\Documentos\MALENTIN KARIME\BANCO ESTADO\2012 DEPTO ESCRITURAS fata\NOTARIA 2009\MINAS 2007\CERTIFICADOS\DALMACIA III B   1-80.doc</t>
  </si>
  <si>
    <t>C:\Users\franc\OneDrive\Documentos\MALENTIN KARIME\BANCO ESTADO\2012 DEPTO ESCRITURAS fata\NOTARIA 2009\MINAS 2007\CERTIFICADOS\DALMACIA III A   1-60.doc</t>
  </si>
  <si>
    <t>C:\Users\franc\OneDrive\Documentos\MALENTIN KARIME\BANCO ESTADO\2012 DEPTO ESCRITURAS fata\NOTARIA 2009\MINAS 2007\CERTIFICADOS\DALMACIA II     1-100.doc</t>
  </si>
  <si>
    <t>C:\Users\franc\OneDrive\Documentos\MALENTIN KARIME\BANCO ESTADO\2012 DEPTO ESCRITURAS fata\NOTARIA 2009\MINAS 2007\CERTIFICADOS\ANA LUISA III CONCESION EXPLORACION.doc</t>
  </si>
  <si>
    <t>C:\Users\franc\OneDrive\Documentos\MALENTIN KARIME\BANCO ESTADO\2012 DEPTO ESCRITURAS fata\NOTARIA 2009\MINAS 2007\CERTIFICADOS\ANA LUISA II  1-300.doc</t>
  </si>
  <si>
    <t>C:\Users\franc\OneDrive\Documentos\MALENTIN KARIME\BANCO ESTADO\2012 DEPTO ESCRITURAS fata\NOTARIA 2009\MINAS 2007\CERTIFICADOS\ANA LUISA I  1-200.doc</t>
  </si>
  <si>
    <t>C:\Users\franc\OneDrive\Documentos\MALENTIN KARIME\BANCO ESTADO\2012 DEPTO ESCRITURAS fata\NOTARIA 2009\MINAS 2007\ARRENDAMIENTOS\ELADIO EGAÑA A JUAN DURAN.doc</t>
  </si>
  <si>
    <t>C:\Users\franc\OneDrive\Documentos\MALENTIN KARIME\BANCO ESTADO\2012 DEPTO ESCRITURAS fata\NOTARIA 2009\MINAS 2007\VICTORIA III      1-300.DOC</t>
  </si>
  <si>
    <t>C:\Users\franc\OneDrive\Documentos\MALENTIN KARIME\BANCO ESTADO\2012 DEPTO ESCRITURAS fata\NOTARIA 2009\MINAS 2007\VICTORIA II    1-300.DOC</t>
  </si>
  <si>
    <t>C:\Users\franc\OneDrive\Documentos\MALENTIN KARIME\BANCO ESTADO\2012 DEPTO ESCRITURAS fata\NOTARIA 2009\MINAS 2007\VICTORIA I 1-300.DOC</t>
  </si>
  <si>
    <t>C:\Users\franc\OneDrive\Documentos\MALENTIN KARIME\BANCO ESTADO\2012 DEPTO ESCRITURAS fata\NOTARIA 2009\MINAS 2007\VICTORIA  IV      1-300.DOC</t>
  </si>
  <si>
    <t>C:\Users\franc\OneDrive\Documentos\MALENTIN KARIME\BANCO ESTADO\2012 DEPTO ESCRITURAS fata\NOTARIA 2009\MINAS 2007\VICTORIA   VIII    1-200.DOC</t>
  </si>
  <si>
    <t>C:\Users\franc\OneDrive\Documentos\MALENTIN KARIME\BANCO ESTADO\2012 DEPTO ESCRITURAS fata\NOTARIA 2009\MINAS 2007\VICTORIA   VII    1-200.DOC</t>
  </si>
  <si>
    <t>C:\Users\franc\OneDrive\Documentos\MALENTIN KARIME\BANCO ESTADO\2012 DEPTO ESCRITURAS fata\NOTARIA 2009\MINAS 2007\VICTORIA   VI    1-200.DOC</t>
  </si>
  <si>
    <t>C:\Users\franc\OneDrive\Documentos\MALENTIN KARIME\BANCO ESTADO\2012 DEPTO ESCRITURAS fata\NOTARIA 2009\MINAS 2007\VICTORIA   V    1-300.DOC</t>
  </si>
  <si>
    <t>C:\Users\franc\OneDrive\Documentos\MALENTIN KARIME\BANCO ESTADO\2012 DEPTO ESCRITURAS fata\NOTARIA 2009\MINAS 2007\VICTORIA   IX    1-100.DOC</t>
  </si>
  <si>
    <t>C:\Users\franc\OneDrive\Documentos\MALENTIN KARIME\BANCO ESTADO\2012 DEPTO ESCRITURAS fata\NOTARIA 2009\MINAS 2007\STA. RITA OPCION DE COMPRA.doc</t>
  </si>
  <si>
    <t>C:\Users\franc\OneDrive\Documentos\MALENTIN KARIME\BANCO ESTADO\2012 DEPTO ESCRITURAS fata\NOTARIA 2009\MINAS 2007\STA. RITA OPCION DE COMPRA  ULTIMA OK.doc</t>
  </si>
  <si>
    <t>C:\Users\franc\OneDrive\Documentos\MALENTIN KARIME\BANCO ESTADO\2012 DEPTO ESCRITURAS fata\NOTARIA 2009\MINAS 2007\STA. RITA OPCION DE COMPRA  FINAL.doc</t>
  </si>
  <si>
    <t>C:\Users\franc\OneDrive\Documentos\MALENTIN KARIME\BANCO ESTADO\2012 DEPTO ESCRITURAS fata\NOTARIA 2009\MINAS 2007\STA RITA UNO. Junta Acc. PROHIBICION.doc</t>
  </si>
  <si>
    <t>C:\Users\franc\OneDrive\Documentos\MALENTIN KARIME\BANCO ESTADO\2012 DEPTO ESCRITURAS fata\NOTARIA 2009\MINAS 2007\SGODMS-15817-v1-Punitaqui__Inscripción_Mandato_a_nombre_propio.DOC</t>
  </si>
  <si>
    <t>C:\Users\franc\OneDrive\Documentos\MALENTIN KARIME\BANCO ESTADO\2012 DEPTO ESCRITURAS fata\NOTARIA 2009\MINAS 2007\S.L.M. VIGORENA UNO (ARRENDAMIENTO).doc</t>
  </si>
  <si>
    <t>C:\Users\franc\OneDrive\Documentos\MALENTIN KARIME\BANCO ESTADO\2012 DEPTO ESCRITURAS fata\NOTARIA 2009\MINAS 2007\OSCAR LEON a PETER WANDE Manif..doc</t>
  </si>
  <si>
    <t>C:\Users\franc\OneDrive\Documentos\MALENTIN KARIME\BANCO ESTADO\2012 DEPTO ESCRITURAS fata\NOTARIA 2009\MINAS 2007\INSTRUCCIONES STA. RITA.doc</t>
  </si>
  <si>
    <t>C:\Users\franc\OneDrive\Documentos\MALENTIN KARIME\BANCO ESTADO\2012 DEPTO ESCRITURAS fata\NOTARIA 2009\MINAS 2007\GABRIEL VIII  1-16.DOC</t>
  </si>
  <si>
    <t>C:\Users\franc\OneDrive\Documentos\MALENTIN KARIME\BANCO ESTADO\2012 DEPTO ESCRITURAS fata\NOTARIA 2009\MINAS 2007\GABRIEL VII 1-32.DOC</t>
  </si>
  <si>
    <t>C:\Users\franc\OneDrive\Documentos\MALENTIN KARIME\BANCO ESTADO\2012 DEPTO ESCRITURAS fata\NOTARIA 2009\MINAS 2007\GABRIEL IV.DOC</t>
  </si>
  <si>
    <t>C:\Users\franc\OneDrive\Documentos\MALENTIN KARIME\BANCO ESTADO\2012 DEPTO ESCRITURAS fata\NOTARIA 2009\MINAS 2007\GABRIEL   VI.DOC</t>
  </si>
  <si>
    <t>C:\Users\franc\OneDrive\Documentos\MALENTIN KARIME\BANCO ESTADO\2012 DEPTO ESCRITURAS fata\NOTARIA 2009\MINAS 2007\GABRIEL   V.DOC</t>
  </si>
  <si>
    <t>C:\Users\franc\OneDrive\Documentos\MALENTIN KARIME\BANCO ESTADO\2012 DEPTO ESCRITURAS fata\NOTARIA 2009\MINAS 2007\GABRIEL   III  1-300.DOC</t>
  </si>
  <si>
    <t>C:\Users\franc\OneDrive\Documentos\MALENTIN KARIME\BANCO ESTADO\2012 DEPTO ESCRITURAS fata\NOTARIA 2009\MINAS 2007\GABRIEL   II  1-200.DOC</t>
  </si>
  <si>
    <t>C:\Users\franc\OneDrive\Documentos\MALENTIN KARIME\BANCO ESTADO\2012 DEPTO ESCRITURAS fata\NOTARIA 2009\MINAS 2007\GABRIEL   I  1-200.DOC</t>
  </si>
  <si>
    <t>C:\Users\franc\OneDrive\Documentos\MALENTIN KARIME\BANCO ESTADO\2012 DEPTO ESCRITURAS fata\NOTARIA 2009\MINAS 2007\DELTA 9 2DO. JUZGADO - PERITO HUGO GARRIDO.doc</t>
  </si>
  <si>
    <t>C:\Users\franc\OneDrive\Documentos\MALENTIN KARIME\BANCO ESTADO\2012 DEPTO ESCRITURAS fata\NOTARIA 2009\MINAS 2007\DELTA 9 1ER JUZGADO - PERITO HUGO GARRIDO.doc</t>
  </si>
  <si>
    <t>C:\Users\franc\OneDrive\Documentos\MALENTIN KARIME\BANCO ESTADO\2012 DEPTO ESCRITURAS fata\NOTARIA 2009\MINAS 2007\DALMACIA III  B  1- 80.DOC</t>
  </si>
  <si>
    <t>C:\Users\franc\OneDrive\Documentos\MALENTIN KARIME\BANCO ESTADO\2012 DEPTO ESCRITURAS fata\NOTARIA 2009\MINAS 2007\DALMACIA III   C  1- 60.DOC</t>
  </si>
  <si>
    <t>C:\Users\franc\OneDrive\Documentos\MALENTIN KARIME\BANCO ESTADO\2012 DEPTO ESCRITURAS fata\NOTARIA 2009\MINAS 2007\DALMACIA III   A  1- 60.DOC</t>
  </si>
  <si>
    <t>C:\Users\franc\OneDrive\Documentos\MALENTIN KARIME\BANCO ESTADO\2012 DEPTO ESCRITURAS fata\NOTARIA 2009\MINAS 2007\DALMACIA II   1-100.DOC</t>
  </si>
  <si>
    <t>C:\Users\franc\OneDrive\Documentos\MALENTIN KARIME\BANCO ESTADO\2012 DEPTO ESCRITURAS fata\NOTARIA 2009\MINAS 2007\CINABRIO ( 1 ACCION).DOC</t>
  </si>
  <si>
    <t>C:\Users\franc\OneDrive\Documentos\MALENTIN KARIME\BANCO ESTADO\2012 DEPTO ESCRITURAS fata\NOTARIA 2009\MINAS 2007\AUTORIZACION COPIAS MINERAS.doc</t>
  </si>
  <si>
    <t>C:\Users\franc\OneDrive\Documentos\MALENTIN KARIME\BANCO ESTADO\2012 DEPTO ESCRITURAS fata\NOTARIA 2009\MINAS 2007\ARRIENDO MINA VIGORENA UNO DE EL CERRO VIGORENA.doc</t>
  </si>
  <si>
    <t>C:\Users\franc\OneDrive\Documentos\MALENTIN KARIME\BANCO ESTADO\2012 DEPTO ESCRITURAS fata\NOTARIA 2009\MINAS 2007\ANA LUISA III.DOC</t>
  </si>
  <si>
    <t>C:\Users\franc\OneDrive\Documentos\MALENTIN KARIME\BANCO ESTADO\2012 DEPTO ESCRITURAS fata\NOTARIA 2009\MINAS 2007\ANA LUISA II   1-300.DOC</t>
  </si>
  <si>
    <t>C:\Users\franc\OneDrive\Documentos\MALENTIN KARIME\BANCO ESTADO\2012 DEPTO ESCRITURAS fata\NOTARIA 2009\MINAS 2007\ANA LUISA I   1-200.DOC</t>
  </si>
  <si>
    <t>C:\Users\franc\OneDrive\Documentos\MALENTIN KARIME\BANCO ESTADO\2012 DEPTO ESCRITURAS fata\NOTARIA 2009\MIGUEL TAPIA\MODIF CONTRATO HERNAN ARAYA.doc</t>
  </si>
  <si>
    <t>C:\Users\franc\OneDrive\Documentos\MALENTIN KARIME\BANCO ESTADO\2012 DEPTO ESCRITURAS fata\NOTARIA 2009\MERCEDES VALDIVIA\COMUNIDAD MONTE PATRIA A EVA VALDIVIA.doc</t>
  </si>
  <si>
    <t>C:\Users\franc\OneDrive\Documentos\MALENTIN KARIME\BANCO ESTADO\2012 DEPTO ESCRITURAS fata\NOTARIA 2009\MERCEDES VALDIVIA\COMPLEMENTACION MONTE PATRIA EVA VALDIVIA (oCT. 2009).doc</t>
  </si>
  <si>
    <t>C:\Users\franc\OneDrive\Documentos\MALENTIN KARIME\BANCO ESTADO\2012 DEPTO ESCRITURAS fata\NOTARIA 2009\MAURICIO MARIN\WILSON AROS LOTE 4 MZ 2.doc</t>
  </si>
  <si>
    <t>C:\Users\franc\OneDrive\Documentos\MALENTIN KARIME\BANCO ESTADO\2012 DEPTO ESCRITURAS fata\NOTARIA 2009\MAURICIO MARIN\UBERLINDA ROBLES  LOTE 3 MZ. 4.doc</t>
  </si>
  <si>
    <t>C:\Users\franc\OneDrive\Documentos\MALENTIN KARIME\BANCO ESTADO\2012 DEPTO ESCRITURAS fata\NOTARIA 2009\MAURICIO MARIN\SARA ROJAS LOTE 6 MZ. 5.doc</t>
  </si>
  <si>
    <t>C:\Users\franc\OneDrive\Documentos\MALENTIN KARIME\BANCO ESTADO\2012 DEPTO ESCRITURAS fata\NOTARIA 2009\MAURICIO MARIN\ROSA HIDALGO LOTE 3 MZ 2.doc</t>
  </si>
  <si>
    <t>C:\Users\franc\OneDrive\Documentos\MALENTIN KARIME\BANCO ESTADO\2012 DEPTO ESCRITURAS fata\NOTARIA 2009\MAURICIO MARIN\ROSA CORTES CORTES LOTE 13 MZ 2.doc</t>
  </si>
  <si>
    <t>C:\Users\franc\OneDrive\Documentos\MALENTIN KARIME\BANCO ESTADO\2012 DEPTO ESCRITURAS fata\NOTARIA 2009\MAURICIO MARIN\ROLANDO PASTEN LOTE 8 MZ 2.doc</t>
  </si>
  <si>
    <t>C:\Users\franc\OneDrive\Documentos\MALENTIN KARIME\BANCO ESTADO\2012 DEPTO ESCRITURAS fata\NOTARIA 2009\MAURICIO MARIN\RODRIGO MUNDACA SITIO 4 MZ. 3.doc</t>
  </si>
  <si>
    <t>C:\Users\franc\OneDrive\Documentos\MALENTIN KARIME\BANCO ESTADO\2012 DEPTO ESCRITURAS fata\NOTARIA 2009\MAURICIO MARIN\Pagare[1]  CONSTRUMART.doc</t>
  </si>
  <si>
    <t>C:\Users\franc\OneDrive\Documentos\MALENTIN KARIME\BANCO ESTADO\2012 DEPTO ESCRITURAS fata\NOTARIA 2009\MAURICIO MARIN\MODELO CON SUBSIDIO.doc</t>
  </si>
  <si>
    <t>C:\Users\franc\OneDrive\Documentos\MALENTIN KARIME\BANCO ESTADO\2012 DEPTO ESCRITURAS fata\NOTARIA 2009\MAURICIO MARIN\MODELO CAMPO LINDO SIN SUBSIDIO.doc</t>
  </si>
  <si>
    <t>C:\Users\franc\OneDrive\Documentos\MALENTIN KARIME\BANCO ESTADO\2012 DEPTO ESCRITURAS fata\NOTARIA 2009\MAURICIO MARIN\MARITZA TIRADO LOTE 2 MZ 5.doc</t>
  </si>
  <si>
    <t>C:\Users\franc\OneDrive\Documentos\MALENTIN KARIME\BANCO ESTADO\2012 DEPTO ESCRITURAS fata\NOTARIA 2009\MAURICIO MARIN\MARIANELA PARRA LOTE 4 MZ 5.doc</t>
  </si>
  <si>
    <t>C:\Users\franc\OneDrive\Documentos\MALENTIN KARIME\BANCO ESTADO\2012 DEPTO ESCRITURAS fata\NOTARIA 2009\MAURICIO MARIN\MARIA ARREDONDO LOTE 6 MZ 2.doc</t>
  </si>
  <si>
    <t>C:\Users\franc\OneDrive\Documentos\MALENTIN KARIME\BANCO ESTADO\2012 DEPTO ESCRITURAS fata\NOTARIA 2009\MAURICIO MARIN\MARGARITA CARVAJAL LOTE 12 MZ 2.doc</t>
  </si>
  <si>
    <t>C:\Users\franc\OneDrive\Documentos\MALENTIN KARIME\BANCO ESTADO\2012 DEPTO ESCRITURAS fata\NOTARIA 2009\MAURICIO MARIN\MARCOS MOYA LOTE 1 MZ. 5.doc</t>
  </si>
  <si>
    <t>C:\Users\franc\OneDrive\Documentos\MALENTIN KARIME\BANCO ESTADO\2012 DEPTO ESCRITURAS fata\NOTARIA 2009\MAURICIO MARIN\MANUELA ROBLES LOTE 2 MZ. 2.doc</t>
  </si>
  <si>
    <t>C:\Users\franc\OneDrive\Documentos\MALENTIN KARIME\BANCO ESTADO\2012 DEPTO ESCRITURAS fata\NOTARIA 2009\MAURICIO MARIN\MANUEL CORTES SITIO 5 MZ 3.doc</t>
  </si>
  <si>
    <t>C:\Users\franc\OneDrive\Documentos\MALENTIN KARIME\BANCO ESTADO\2012 DEPTO ESCRITURAS fata\NOTARIA 2009\MAURICIO MARIN\MANUEL CORTES LOTE 5 MZ. 2.doc</t>
  </si>
  <si>
    <t>C:\Users\franc\OneDrive\Documentos\MALENTIN KARIME\BANCO ESTADO\2012 DEPTO ESCRITURAS fata\NOTARIA 2009\MAURICIO MARIN\MANUEL CARVAJAL.doc</t>
  </si>
  <si>
    <t>C:\Users\franc\OneDrive\Documentos\MALENTIN KARIME\BANCO ESTADO\2012 DEPTO ESCRITURAS fata\NOTARIA 2009\MAURICIO MARIN\LUIS CORTES LOTE 1 MZ 1.doc</t>
  </si>
  <si>
    <t>C:\Users\franc\OneDrive\Documentos\MALENTIN KARIME\BANCO ESTADO\2012 DEPTO ESCRITURAS fata\NOTARIA 2009\MAURICIO MARIN\JUANA ANTIVILO LOTE 9 MZ 2.doc</t>
  </si>
  <si>
    <t>C:\Users\franc\OneDrive\Documentos\MALENTIN KARIME\BANCO ESTADO\2012 DEPTO ESCRITURAS fata\NOTARIA 2009\MAURICIO MARIN\ISOLINA ROBLE SITIO 3 MZ. 3.doc</t>
  </si>
  <si>
    <t>C:\Users\franc\OneDrive\Documentos\MALENTIN KARIME\BANCO ESTADO\2012 DEPTO ESCRITURAS fata\NOTARIA 2009\MAURICIO MARIN\HUGO CORTES SITIO 6 MZ 3.doc</t>
  </si>
  <si>
    <t>C:\Users\franc\OneDrive\Documentos\MALENTIN KARIME\BANCO ESTADO\2012 DEPTO ESCRITURAS fata\NOTARIA 2009\MAURICIO MARIN\HUGO ARAYA LOTE 1 mz 2.doc</t>
  </si>
  <si>
    <t>C:\Users\franc\OneDrive\Documentos\MALENTIN KARIME\BANCO ESTADO\2012 DEPTO ESCRITURAS fata\NOTARIA 2009\MAURICIO MARIN\HERNAN CERDA LOTE 5 MZ. 1.doc</t>
  </si>
  <si>
    <t>C:\Users\franc\OneDrive\Documentos\MALENTIN KARIME\BANCO ESTADO\2012 DEPTO ESCRITURAS fata\NOTARIA 2009\MAURICIO MARIN\FRESIA SAAVEDRA SITIO1 MZ. 3.doc</t>
  </si>
  <si>
    <t>C:\Users\franc\OneDrive\Documentos\MALENTIN KARIME\BANCO ESTADO\2012 DEPTO ESCRITURAS fata\NOTARIA 2009\MAURICIO MARIN\FREDDY TORO  LOTE 4 MZ. 4.doc</t>
  </si>
  <si>
    <t>C:\Users\franc\OneDrive\Documentos\MALENTIN KARIME\BANCO ESTADO\2012 DEPTO ESCRITURAS fata\NOTARIA 2009\MAURICIO MARIN\FELISA ARAYA BAHAMONDES LOTE 4 MZ. 1.doc</t>
  </si>
  <si>
    <t>C:\Users\franc\OneDrive\Documentos\MALENTIN KARIME\BANCO ESTADO\2012 DEPTO ESCRITURAS fata\NOTARIA 2009\MAURICIO MARIN\ERIC BARRAZA LOTE 5 MZ. 4.doc</t>
  </si>
  <si>
    <t>C:\Users\franc\OneDrive\Documentos\MALENTIN KARIME\BANCO ESTADO\2012 DEPTO ESCRITURAS fata\NOTARIA 2009\MAURICIO MARIN\EMA ARAYA LOTE 5 MZ. 5.doc</t>
  </si>
  <si>
    <t>C:\Users\franc\OneDrive\Documentos\MALENTIN KARIME\BANCO ESTADO\2012 DEPTO ESCRITURAS fata\NOTARIA 2009\MAURICIO MARIN\ELMO BARRAZA LOTE 2 MZ 1.doc</t>
  </si>
  <si>
    <t>C:\Users\franc\OneDrive\Documentos\MALENTIN KARIME\BANCO ESTADO\2012 DEPTO ESCRITURAS fata\NOTARIA 2009\MAURICIO MARIN\ELISEO BARRAZA LOTE 14 MZ 2.doc</t>
  </si>
  <si>
    <t>C:\Users\franc\OneDrive\Documentos\MALENTIN KARIME\BANCO ESTADO\2012 DEPTO ESCRITURAS fata\NOTARIA 2009\MAURICIO MARIN\DUVITZA DELGADO LOTE 7 MZ 2.doc</t>
  </si>
  <si>
    <t>C:\Users\franc\OneDrive\Documentos\MALENTIN KARIME\BANCO ESTADO\2012 DEPTO ESCRITURAS fata\NOTARIA 2009\MAURICIO MARIN\DIAMANTINA ALUCEMA LOTE 3 MZ 1.doc</t>
  </si>
  <si>
    <t>C:\Users\franc\OneDrive\Documentos\MALENTIN KARIME\BANCO ESTADO\2012 DEPTO ESCRITURAS fata\NOTARIA 2009\MAURICIO MARIN\DALIBOR ARAYA PIÑONES SITIO 2 MZ 3.doc</t>
  </si>
  <si>
    <t>C:\Users\franc\OneDrive\Documentos\MALENTIN KARIME\BANCO ESTADO\2012 DEPTO ESCRITURAS fata\NOTARIA 2009\MAURICIO MARIN\CONTRATO DE CONSTRUCCION.doc</t>
  </si>
  <si>
    <t>C:\Users\franc\OneDrive\Documentos\MALENTIN KARIME\BANCO ESTADO\2012 DEPTO ESCRITURAS fata\NOTARIA 2009\MAURICIO MARIN\CESAR MUNDACA LOTE 3  MZ 5.doc</t>
  </si>
  <si>
    <t>C:\Users\franc\OneDrive\Documentos\MALENTIN KARIME\BANCO ESTADO\2012 DEPTO ESCRITURAS fata\NOTARIA 2009\MAURICIO MARIN\ARCHIVALDO CORTES LOTE 11 MZ 2.doc</t>
  </si>
  <si>
    <t>C:\Users\franc\OneDrive\Documentos\MALENTIN KARIME\BANCO ESTADO\2012 DEPTO ESCRITURAS fata\NOTARIA 2009\MAURICIO MARIN\ANA VILLAR  LOTE 1 MZ. 4.doc</t>
  </si>
  <si>
    <t>C:\Users\franc\OneDrive\Documentos\MALENTIN KARIME\BANCO ESTADO\2012 DEPTO ESCRITURAS fata\NOTARIA 2009\MAURICIO MARIN\amado lazo lote 6  mz 1.doc</t>
  </si>
  <si>
    <t>C:\Users\franc\OneDrive\Documentos\MALENTIN KARIME\BANCO ESTADO\2012 DEPTO ESCRITURAS fata\NOTARIA 2009\MAURICIO MARIN\ALEXIS MOYA SITIO 2 MZ 4.doc</t>
  </si>
  <si>
    <t>C:\Users\franc\OneDrive\Documentos\MALENTIN KARIME\BANCO ESTADO\2012 DEPTO ESCRITURAS fata\NOTARIA 2009\MAURICIO MARIN\ALEJANDRO LAZO LOTE 10 MZ 2.doc</t>
  </si>
  <si>
    <t>C:\Users\franc\OneDrive\Documentos\MALENTIN KARIME\BANCO ESTADO\2012 DEPTO ESCRITURAS fata\NOTARIA 2009\MATRICES INSTRUMENTOS PRIVADOS\VEHICULOS\CONTRATO VEHICULO.doc</t>
  </si>
  <si>
    <t>C:\Users\franc\OneDrive\Documentos\MALENTIN KARIME\BANCO ESTADO\2012 DEPTO ESCRITURAS fata\NOTARIA 2009\MATRICES INSTRUMENTOS PRIVADOS\VEHICULOS\CONTRATO VEHICULO x.doc</t>
  </si>
  <si>
    <t>C:\Users\franc\OneDrive\Documentos\MALENTIN KARIME\BANCO ESTADO\2012 DEPTO ESCRITURAS fata\NOTARIA 2009\MATRICES INSTRUMENTOS PRIVADOS\VEHICULOS\COMPRAVENTA.doc</t>
  </si>
  <si>
    <t>C:\Users\franc\OneDrive\Documentos\MALENTIN KARIME\BANCO ESTADO\2012 DEPTO ESCRITURAS fata\NOTARIA 2009\MATRICES INSTRUMENTOS PRIVADOS\VEHICULOS\COMPRAVENTA VEHICULO CON LETRAS.doc</t>
  </si>
  <si>
    <t>C:\Users\franc\OneDrive\Documentos\MALENTIN KARIME\BANCO ESTADO\2012 DEPTO ESCRITURAS fata\NOTARIA 2009\MATRICES INSTRUMENTOS PRIVADOS\VEHICULOS\COMPRAVENTA 13-3.doc</t>
  </si>
  <si>
    <t>C:\Users\franc\OneDrive\Documentos\MALENTIN KARIME\BANCO ESTADO\2012 DEPTO ESCRITURAS fata\NOTARIA 2009\MATRICES INSTRUMENTOS PRIVADOS\VEHICULOS\COMPRAVENTA 02.doc</t>
  </si>
  <si>
    <t>C:\Users\franc\OneDrive\Documentos\MALENTIN KARIME\BANCO ESTADO\2012 DEPTO ESCRITURAS fata\NOTARIA 2009\MATRICES INSTRUMENTOS PRIVADOS\VEHICULOS\BASE VEHICULOS.doc</t>
  </si>
  <si>
    <t>C:\Users\franc\OneDrive\Documentos\MALENTIN KARIME\BANCO ESTADO\2012 DEPTO ESCRITURAS fata\NOTARIA 2009\MATRICES INSTRUMENTOS PRIVADOS\varios\PAGARES\PAGARE A PLAZO.doc</t>
  </si>
  <si>
    <t>C:\Users\franc\OneDrive\Documentos\MALENTIN KARIME\BANCO ESTADO\2012 DEPTO ESCRITURAS fata\NOTARIA 2009\MATRICES INSTRUMENTOS PRIVADOS\varios\VARIOS.doc</t>
  </si>
  <si>
    <t>C:\Users\franc\OneDrive\Documentos\MALENTIN KARIME\BANCO ESTADO\2012 DEPTO ESCRITURAS fata\NOTARIA 2009\MATRICES INSTRUMENTOS PRIVADOS\varios\timbraje.cabrera..doc</t>
  </si>
  <si>
    <t>C:\Users\franc\OneDrive\Documentos\MALENTIN KARIME\BANCO ESTADO\2012 DEPTO ESCRITURAS fata\NOTARIA 2009\MATRICES INSTRUMENTOS PRIVADOS\varios\Siniestro Pichidangui para el seguro 03-08-04.doc</t>
  </si>
  <si>
    <t>C:\Users\franc\OneDrive\Documentos\MALENTIN KARIME\BANCO ESTADO\2012 DEPTO ESCRITURAS fata\NOTARIA 2009\MATRICES INSTRUMENTOS PRIVADOS\varios\REPERTORIO Nº.doc</t>
  </si>
  <si>
    <t>C:\Users\franc\OneDrive\Documentos\MALENTIN KARIME\BANCO ESTADO\2012 DEPTO ESCRITURAS fata\NOTARIA 2009\MATRICES INSTRUMENTOS PRIVADOS\varios\REP AUTOS.xls</t>
  </si>
  <si>
    <t>C:\Users\franc\OneDrive\Documentos\MALENTIN KARIME\BANCO ESTADO\2012 DEPTO ESCRITURAS fata\NOTARIA 2009\MATRICES INSTRUMENTOS PRIVADOS\varios\REGISTRO DE INSTRUMENTOS PUBLICOS.doc</t>
  </si>
  <si>
    <t>C:\Users\franc\OneDrive\Documentos\MALENTIN KARIME\BANCO ESTADO\2012 DEPTO ESCRITURAS fata\NOTARIA 2009\MATRICES INSTRUMENTOS PRIVADOS\varios\RECIBO DOCUMENTO.doc</t>
  </si>
  <si>
    <t>C:\Users\franc\OneDrive\Documentos\MALENTIN KARIME\BANCO ESTADO\2012 DEPTO ESCRITURAS fata\NOTARIA 2009\MATRICES INSTRUMENTOS PRIVADOS\varios\Recibo de dinero.doc</t>
  </si>
  <si>
    <t>C:\Users\franc\OneDrive\Documentos\MALENTIN KARIME\BANCO ESTADO\2012 DEPTO ESCRITURAS fata\NOTARIA 2009\MATRICES INSTRUMENTOS PRIVADOS\varios\protesto..doc</t>
  </si>
  <si>
    <t>C:\Users\franc\OneDrive\Documentos\MALENTIN KARIME\BANCO ESTADO\2012 DEPTO ESCRITURAS fata\NOTARIA 2009\MATRICES INSTRUMENTOS PRIVADOS\varios\Postulación.doc</t>
  </si>
  <si>
    <t>C:\Users\franc\OneDrive\Documentos\MALENTIN KARIME\BANCO ESTADO\2012 DEPTO ESCRITURAS fata\NOTARIA 2009\MATRICES INSTRUMENTOS PRIVADOS\varios\Plantilla.doc</t>
  </si>
  <si>
    <t>C:\Users\franc\OneDrive\Documentos\MALENTIN KARIME\BANCO ESTADO\2012 DEPTO ESCRITURAS fata\NOTARIA 2009\MATRICES INSTRUMENTOS PRIVADOS\varios\permiso Notario.doc</t>
  </si>
  <si>
    <t>C:\Users\franc\OneDrive\Documentos\MALENTIN KARIME\BANCO ESTADO\2012 DEPTO ESCRITURAS fata\NOTARIA 2009\MATRICES INSTRUMENTOS PRIVADOS\varios\PERMISO IIL.doc</t>
  </si>
  <si>
    <t>C:\Users\franc\OneDrive\Documentos\MALENTIN KARIME\BANCO ESTADO\2012 DEPTO ESCRITURAS fata\NOTARIA 2009\MATRICES INSTRUMENTOS PRIVADOS\varios\PAGARE.doc</t>
  </si>
  <si>
    <t>C:\Users\franc\OneDrive\Documentos\MALENTIN KARIME\BANCO ESTADO\2012 DEPTO ESCRITURAS fata\NOTARIA 2009\MATRICES INSTRUMENTOS PRIVADOS\varios\Oficio remite protocolo.doc</t>
  </si>
  <si>
    <t>C:\Users\franc\OneDrive\Documentos\MALENTIN KARIME\BANCO ESTADO\2012 DEPTO ESCRITURAS fata\NOTARIA 2009\MATRICES INSTRUMENTOS PRIVADOS\varios\Notario.AD HOC..doc</t>
  </si>
  <si>
    <t>C:\Users\franc\OneDrive\Documentos\MALENTIN KARIME\BANCO ESTADO\2012 DEPTO ESCRITURAS fata\NOTARIA 2009\MATRICES INSTRUMENTOS PRIVADOS\varios\Notario Adhoc.doc</t>
  </si>
  <si>
    <t>C:\Users\franc\OneDrive\Documentos\MALENTIN KARIME\BANCO ESTADO\2012 DEPTO ESCRITURAS fata\NOTARIA 2009\MATRICES INSTRUMENTOS PRIVADOS\varios\MUTUO.doc</t>
  </si>
  <si>
    <t>C:\Users\franc\OneDrive\Documentos\MALENTIN KARIME\BANCO ESTADO\2012 DEPTO ESCRITURAS fata\NOTARIA 2009\MATRICES INSTRUMENTOS PRIVADOS\varios\lomos..doc</t>
  </si>
  <si>
    <t>C:\Users\franc\OneDrive\Documentos\MALENTIN KARIME\BANCO ESTADO\2012 DEPTO ESCRITURAS fata\NOTARIA 2009\MATRICES INSTRUMENTOS PRIVADOS\varios\LOMO.doc</t>
  </si>
  <si>
    <t>C:\Users\franc\OneDrive\Documentos\MALENTIN KARIME\BANCO ESTADO\2012 DEPTO ESCRITURAS fata\NOTARIA 2009\MATRICES INSTRUMENTOS PRIVADOS\varios\lista.notar..doc</t>
  </si>
  <si>
    <t>C:\Users\franc\OneDrive\Documentos\MALENTIN KARIME\BANCO ESTADO\2012 DEPTO ESCRITURAS fata\NOTARIA 2009\MATRICES INSTRUMENTOS PRIVADOS\varios\LIQUIDACION..xls</t>
  </si>
  <si>
    <t>C:\Users\franc\OneDrive\Documentos\MALENTIN KARIME\BANCO ESTADO\2012 DEPTO ESCRITURAS fata\NOTARIA 2009\MATRICES INSTRUMENTOS PRIVADOS\varios\LIQUIDA.ROSS..xls</t>
  </si>
  <si>
    <t>C:\Users\franc\OneDrive\Documentos\MALENTIN KARIME\BANCO ESTADO\2012 DEPTO ESCRITURAS fata\NOTARIA 2009\MATRICES INSTRUMENTOS PRIVADOS\varios\LIBROS.xls</t>
  </si>
  <si>
    <t>C:\Users\franc\OneDrive\Documentos\MALENTIN KARIME\BANCO ESTADO\2012 DEPTO ESCRITURAS fata\NOTARIA 2009\MATRICES INSTRUMENTOS PRIVADOS\varios\letras.doc</t>
  </si>
  <si>
    <t>C:\Users\franc\OneDrive\Documentos\MALENTIN KARIME\BANCO ESTADO\2012 DEPTO ESCRITURAS fata\NOTARIA 2009\MATRICES INSTRUMENTOS PRIVADOS\varios\INVENTARIO.xls</t>
  </si>
  <si>
    <t>C:\Users\franc\OneDrive\Documentos\MALENTIN KARIME\BANCO ESTADO\2012 DEPTO ESCRITURAS fata\NOTARIA 2009\MATRICES INSTRUMENTOS PRIVADOS\varios\INVENTARIO.doc</t>
  </si>
  <si>
    <t>C:\Users\franc\OneDrive\Documentos\MALENTIN KARIME\BANCO ESTADO\2012 DEPTO ESCRITURAS fata\NOTARIA 2009\MATRICES INSTRUMENTOS PRIVADOS\varios\INVEN. LIBROS.xls</t>
  </si>
  <si>
    <t>C:\Users\franc\OneDrive\Documentos\MALENTIN KARIME\BANCO ESTADO\2012 DEPTO ESCRITURAS fata\NOTARIA 2009\MATRICES INSTRUMENTOS PRIVADOS\varios\INSTRUCC.51.doc</t>
  </si>
  <si>
    <t>C:\Users\franc\OneDrive\Documentos\MALENTIN KARIME\BANCO ESTADO\2012 DEPTO ESCRITURAS fata\NOTARIA 2009\MATRICES INSTRUMENTOS PRIVADOS\varios\INFORME.doc</t>
  </si>
  <si>
    <t>C:\Users\franc\OneDrive\Documentos\MALENTIN KARIME\BANCO ESTADO\2012 DEPTO ESCRITURAS fata\NOTARIA 2009\MATRICES INSTRUMENTOS PRIVADOS\varios\INDICE.sept.octu.03..xls</t>
  </si>
  <si>
    <t>C:\Users\franc\OneDrive\Documentos\MALENTIN KARIME\BANCO ESTADO\2012 DEPTO ESCRITURAS fata\NOTARIA 2009\MATRICES INSTRUMENTOS PRIVADOS\varios\INDICE.2004.2..xls</t>
  </si>
  <si>
    <t>C:\Users\franc\OneDrive\Documentos\MALENTIN KARIME\BANCO ESTADO\2012 DEPTO ESCRITURAS fata\NOTARIA 2009\MATRICES INSTRUMENTOS PRIVADOS\varios\INDICE.2004..xls</t>
  </si>
  <si>
    <t>C:\Users\franc\OneDrive\Documentos\MALENTIN KARIME\BANCO ESTADO\2012 DEPTO ESCRITURAS fata\NOTARIA 2009\MATRICES INSTRUMENTOS PRIVADOS\varios\HONORARIOS.doc</t>
  </si>
  <si>
    <t>C:\Users\franc\OneDrive\Documentos\MALENTIN KARIME\BANCO ESTADO\2012 DEPTO ESCRITURAS fata\NOTARIA 2009\MATRICES INSTRUMENTOS PRIVADOS\varios\firma pagaré.doc</t>
  </si>
  <si>
    <t>C:\Users\franc\OneDrive\Documentos\MALENTIN KARIME\BANCO ESTADO\2012 DEPTO ESCRITURAS fata\NOTARIA 2009\MATRICES INSTRUMENTOS PRIVADOS\varios\FALTA DE FIRMA.doc</t>
  </si>
  <si>
    <t>C:\Users\franc\OneDrive\Documentos\MALENTIN KARIME\BANCO ESTADO\2012 DEPTO ESCRITURAS fata\NOTARIA 2009\MATRICES INSTRUMENTOS PRIVADOS\varios\FALTA CONTRIBUCION.doc</t>
  </si>
  <si>
    <t>C:\Users\franc\OneDrive\Documentos\MALENTIN KARIME\BANCO ESTADO\2012 DEPTO ESCRITURAS fata\NOTARIA 2009\MATRICES INSTRUMENTOS PRIVADOS\varios\ELECCION DE CONCEJALES DECL. JURADA.doc</t>
  </si>
  <si>
    <t>C:\Users\franc\OneDrive\Documentos\MALENTIN KARIME\BANCO ESTADO\2012 DEPTO ESCRITURAS fata\NOTARIA 2009\MATRICES INSTRUMENTOS PRIVADOS\varios\ELECCION DE ALCALDE DECLARACION JURADA.doc</t>
  </si>
  <si>
    <t>C:\Users\franc\OneDrive\Documentos\MALENTIN KARIME\BANCO ESTADO\2012 DEPTO ESCRITURAS fata\NOTARIA 2009\MATRICES INSTRUMENTOS PRIVADOS\varios\COMPROBANTES.doc</t>
  </si>
  <si>
    <t>C:\Users\franc\OneDrive\Documentos\MALENTIN KARIME\BANCO ESTADO\2012 DEPTO ESCRITURAS fata\NOTARIA 2009\MATRICES INSTRUMENTOS PRIVADOS\varios\Certificado.9..doc</t>
  </si>
  <si>
    <t>C:\Users\franc\OneDrive\Documentos\MALENTIN KARIME\BANCO ESTADO\2012 DEPTO ESCRITURAS fata\NOTARIA 2009\MATRICES INSTRUMENTOS PRIVADOS\varios\CERTIFICADO CHOQUE.doc</t>
  </si>
  <si>
    <t>C:\Users\franc\OneDrive\Documentos\MALENTIN KARIME\BANCO ESTADO\2012 DEPTO ESCRITURAS fata\NOTARIA 2009\MATRICES INSTRUMENTOS PRIVADOS\varios\Certificado 5.doc</t>
  </si>
  <si>
    <t>C:\Users\franc\OneDrive\Documentos\MALENTIN KARIME\BANCO ESTADO\2012 DEPTO ESCRITURAS fata\NOTARIA 2009\MATRICES INSTRUMENTOS PRIVADOS\varios\CERTIFICACION DE CIERRE.doc</t>
  </si>
  <si>
    <t>C:\Users\franc\OneDrive\Documentos\MALENTIN KARIME\BANCO ESTADO\2012 DEPTO ESCRITURAS fata\NOTARIA 2009\MATRICES INSTRUMENTOS PRIVADOS\varios\CERTIFICACION DE APERTURA DE REPERTORIO.doc</t>
  </si>
  <si>
    <t>C:\Users\franc\OneDrive\Documentos\MALENTIN KARIME\BANCO ESTADO\2012 DEPTO ESCRITURAS fata\NOTARIA 2009\MATRICES INSTRUMENTOS PRIVADOS\varios\certif. cierre.2004..doc</t>
  </si>
  <si>
    <t>C:\Users\franc\OneDrive\Documentos\MALENTIN KARIME\BANCO ESTADO\2012 DEPTO ESCRITURAS fata\NOTARIA 2009\MATRICES INSTRUMENTOS PRIVADOS\varios\certif. cierre..doc</t>
  </si>
  <si>
    <t>C:\Users\franc\OneDrive\Documentos\MALENTIN KARIME\BANCO ESTADO\2012 DEPTO ESCRITURAS fata\NOTARIA 2009\MATRICES INSTRUMENTOS PRIVADOS\varios\arancel.xls</t>
  </si>
  <si>
    <t>C:\Users\franc\OneDrive\Documentos\MALENTIN KARIME\BANCO ESTADO\2012 DEPTO ESCRITURAS fata\NOTARIA 2009\MATRICES INSTRUMENTOS PRIVADOS\varios\ACTA OCULAR.doc</t>
  </si>
  <si>
    <t>C:\Users\franc\OneDrive\Documentos\MALENTIN KARIME\BANCO ESTADO\2012 DEPTO ESCRITURAS fata\NOTARIA 2009\MATRICES INSTRUMENTOS PRIVADOS\varios\ACTA DE VISITA.doc</t>
  </si>
  <si>
    <t>C:\Users\franc\OneDrive\Documentos\MALENTIN KARIME\BANCO ESTADO\2012 DEPTO ESCRITURAS fata\NOTARIA 2009\MATRICES INSTRUMENTOS PRIVADOS\varios\ACTA DE VISITA ANUAL.doc</t>
  </si>
  <si>
    <t>C:\Users\franc\OneDrive\Documentos\MALENTIN KARIME\BANCO ESTADO\2012 DEPTO ESCRITURAS fata\NOTARIA 2009\MATRICES INSTRUMENTOS PRIVADOS\varios\abogado.doc</t>
  </si>
  <si>
    <t>C:\Users\franc\OneDrive\Documentos\MALENTIN KARIME\BANCO ESTADO\2012 DEPTO ESCRITURAS fata\NOTARIA 2009\MATRICES INSTRUMENTOS PRIVADOS\publicas\protocolización.doc</t>
  </si>
  <si>
    <t>C:\Users\franc\OneDrive\Documentos\MALENTIN KARIME\BANCO ESTADO\2012 DEPTO ESCRITURAS fata\NOTARIA 2009\MATRICES INSTRUMENTOS PRIVADOS\publicas\extracto sociedad.doc</t>
  </si>
  <si>
    <t>C:\Users\franc\OneDrive\Documentos\MALENTIN KARIME\BANCO ESTADO\2012 DEPTO ESCRITURAS fata\NOTARIA 2009\MATRICES INSTRUMENTOS PRIVADOS\publicas\EXTRACTO DE PRENDA SIN DESPLAZAMIENTO.doc</t>
  </si>
  <si>
    <t>C:\Users\franc\OneDrive\Documentos\MALENTIN KARIME\BANCO ESTADO\2012 DEPTO ESCRITURAS fata\NOTARIA 2009\MATRICES INSTRUMENTOS PRIVADOS\publicas\constitucion sociedad.doc</t>
  </si>
  <si>
    <t>C:\Users\franc\OneDrive\Documentos\MALENTIN KARIME\BANCO ESTADO\2012 DEPTO ESCRITURAS fata\NOTARIA 2009\MATRICES INSTRUMENTOS PRIVADOS\publicas\compraventa mutuo hip letras.doc</t>
  </si>
  <si>
    <t>C:\Users\franc\OneDrive\Documentos\MALENTIN KARIME\BANCO ESTADO\2012 DEPTO ESCRITURAS fata\NOTARIA 2009\MATRICES INSTRUMENTOS PRIVADOS\poderes\Universidad.doc</t>
  </si>
  <si>
    <t>C:\Users\franc\OneDrive\Documentos\MALENTIN KARIME\BANCO ESTADO\2012 DEPTO ESCRITURAS fata\NOTARIA 2009\MATRICES INSTRUMENTOS PRIVADOS\poderes\TERESA.doc</t>
  </si>
  <si>
    <t>C:\Users\franc\OneDrive\Documentos\MALENTIN KARIME\BANCO ESTADO\2012 DEPTO ESCRITURAS fata\NOTARIA 2009\MATRICES INSTRUMENTOS PRIVADOS\poderes\TERESA DOS.doc</t>
  </si>
  <si>
    <t>C:\Users\franc\OneDrive\Documentos\MALENTIN KARIME\BANCO ESTADO\2012 DEPTO ESCRITURAS fata\NOTARIA 2009\MATRICES INSTRUMENTOS PRIVADOS\poderes\SERVICIO SALUD.doc</t>
  </si>
  <si>
    <t>C:\Users\franc\OneDrive\Documentos\MALENTIN KARIME\BANCO ESTADO\2012 DEPTO ESCRITURAS fata\NOTARIA 2009\MATRICES INSTRUMENTOS PRIVADOS\poderes\poder.domicilio..doc</t>
  </si>
  <si>
    <t>C:\Users\franc\OneDrive\Documentos\MALENTIN KARIME\BANCO ESTADO\2012 DEPTO ESCRITURAS fata\NOTARIA 2009\MATRICES INSTRUMENTOS PRIVADOS\poderes\poder.cementerio.doc</t>
  </si>
  <si>
    <t>C:\Users\franc\OneDrive\Documentos\MALENTIN KARIME\BANCO ESTADO\2012 DEPTO ESCRITURAS fata\NOTARIA 2009\MATRICES INSTRUMENTOS PRIVADOS\poderes\Poder Vender auto.doc</t>
  </si>
  <si>
    <t>C:\Users\franc\OneDrive\Documentos\MALENTIN KARIME\BANCO ESTADO\2012 DEPTO ESCRITURAS fata\NOTARIA 2009\MATRICES INSTRUMENTOS PRIVADOS\poderes\poder universidad.doc</t>
  </si>
  <si>
    <t>C:\Users\franc\OneDrive\Documentos\MALENTIN KARIME\BANCO ESTADO\2012 DEPTO ESCRITURAS fata\NOTARIA 2009\MATRICES INSTRUMENTOS PRIVADOS\poderes\Poder Televía.doc</t>
  </si>
  <si>
    <t>C:\Users\franc\OneDrive\Documentos\MALENTIN KARIME\BANCO ESTADO\2012 DEPTO ESCRITURAS fata\NOTARIA 2009\MATRICES INSTRUMENTOS PRIVADOS\poderes\poder simple.doc</t>
  </si>
  <si>
    <t>C:\Users\franc\OneDrive\Documentos\MALENTIN KARIME\BANCO ESTADO\2012 DEPTO ESCRITURAS fata\NOTARIA 2009\MATRICES INSTRUMENTOS PRIVADOS\poderes\Poder SII.doc</t>
  </si>
  <si>
    <t>C:\Users\franc\OneDrive\Documentos\MALENTIN KARIME\BANCO ESTADO\2012 DEPTO ESCRITURAS fata\NOTARIA 2009\MATRICES INSTRUMENTOS PRIVADOS\poderes\poder serviu.doc</t>
  </si>
  <si>
    <t>C:\Users\franc\OneDrive\Documentos\MALENTIN KARIME\BANCO ESTADO\2012 DEPTO ESCRITURAS fata\NOTARIA 2009\MATRICES INSTRUMENTOS PRIVADOS\poderes\poder MARIO RAMIREZ.doc</t>
  </si>
  <si>
    <t>C:\Users\franc\OneDrive\Documentos\MALENTIN KARIME\BANCO ESTADO\2012 DEPTO ESCRITURAS fata\NOTARIA 2009\MATRICES INSTRUMENTOS PRIVADOS\poderes\Poder JORGE QUIROZ.doc</t>
  </si>
  <si>
    <t>C:\Users\franc\OneDrive\Documentos\MALENTIN KARIME\BANCO ESTADO\2012 DEPTO ESCRITURAS fata\NOTARIA 2009\MATRICES INSTRUMENTOS PRIVADOS\poderes\Poder instalar negocio.doc</t>
  </si>
  <si>
    <t>C:\Users\franc\OneDrive\Documentos\MALENTIN KARIME\BANCO ESTADO\2012 DEPTO ESCRITURAS fata\NOTARIA 2009\MATRICES INSTRUMENTOS PRIVADOS\poderes\poder freddy cortes.doc</t>
  </si>
  <si>
    <t>C:\Users\franc\OneDrive\Documentos\MALENTIN KARIME\BANCO ESTADO\2012 DEPTO ESCRITURAS fata\NOTARIA 2009\MATRICES INSTRUMENTOS PRIVADOS\poderes\Poder Entel.doc</t>
  </si>
  <si>
    <t>C:\Users\franc\OneDrive\Documentos\MALENTIN KARIME\BANCO ESTADO\2012 DEPTO ESCRITURAS fata\NOTARIA 2009\MATRICES INSTRUMENTOS PRIVADOS\poderes\Poder Cambiar cheques.doc</t>
  </si>
  <si>
    <t>C:\Users\franc\OneDrive\Documentos\MALENTIN KARIME\BANCO ESTADO\2012 DEPTO ESCRITURAS fata\NOTARIA 2009\MATRICES INSTRUMENTOS PRIVADOS\poderes\Poder Bienes Nac.doc</t>
  </si>
  <si>
    <t>C:\Users\franc\OneDrive\Documentos\MALENTIN KARIME\BANCO ESTADO\2012 DEPTO ESCRITURAS fata\NOTARIA 2009\MATRICES INSTRUMENTOS PRIVADOS\poderes\poder BCO. SANTANDER.doc</t>
  </si>
  <si>
    <t>C:\Users\franc\OneDrive\Documentos\MALENTIN KARIME\BANCO ESTADO\2012 DEPTO ESCRITURAS fata\NOTARIA 2009\MATRICES INSTRUMENTOS PRIVADOS\poderes\Poder Bancario simple.doc</t>
  </si>
  <si>
    <t>C:\Users\franc\OneDrive\Documentos\MALENTIN KARIME\BANCO ESTADO\2012 DEPTO ESCRITURAS fata\NOTARIA 2009\MATRICES INSTRUMENTOS PRIVADOS\poderes\Poder aumento cupo.doc</t>
  </si>
  <si>
    <t>C:\Users\franc\OneDrive\Documentos\MALENTIN KARIME\BANCO ESTADO\2012 DEPTO ESCRITURAS fata\NOTARIA 2009\MATRICES INSTRUMENTOS PRIVADOS\poderes\para arrendar.doc</t>
  </si>
  <si>
    <t>C:\Users\franc\OneDrive\Documentos\MALENTIN KARIME\BANCO ESTADO\2012 DEPTO ESCRITURAS fata\NOTARIA 2009\MATRICES INSTRUMENTOS PRIVADOS\poderes\operar cta cte.doc</t>
  </si>
  <si>
    <t>C:\Users\franc\OneDrive\Documentos\MALENTIN KARIME\BANCO ESTADO\2012 DEPTO ESCRITURAS fata\NOTARIA 2009\MATRICES INSTRUMENTOS PRIVADOS\poderes\JAIME ALAMO.doc</t>
  </si>
  <si>
    <t>C:\Users\franc\OneDrive\Documentos\MALENTIN KARIME\BANCO ESTADO\2012 DEPTO ESCRITURAS fata\NOTARIA 2009\MATRICES INSTRUMENTOS PRIVADOS\poderes\ELIANA ARAYA.doc</t>
  </si>
  <si>
    <t>C:\Users\franc\OneDrive\Documentos\MALENTIN KARIME\BANCO ESTADO\2012 DEPTO ESCRITURAS fata\NOTARIA 2009\MATRICES INSTRUMENTOS PRIVADOS\poderes\cobro seguro de vida.doc</t>
  </si>
  <si>
    <t>C:\Users\franc\OneDrive\Documentos\MALENTIN KARIME\BANCO ESTADO\2012 DEPTO ESCRITURAS fata\NOTARIA 2009\MATRICES INSTRUMENTOS PRIVADOS\poderes\cobro cheques.doc</t>
  </si>
  <si>
    <t>C:\Users\franc\OneDrive\Documentos\MALENTIN KARIME\BANCO ESTADO\2012 DEPTO ESCRITURAS fata\NOTARIA 2009\MATRICES INSTRUMENTOS PRIVADOS\poderes\cobro cheques ULLOA.doc</t>
  </si>
  <si>
    <t>C:\Users\franc\OneDrive\Documentos\MALENTIN KARIME\BANCO ESTADO\2012 DEPTO ESCRITURAS fata\NOTARIA 2009\MATRICES INSTRUMENTOS PRIVADOS\poderes\cobro cheque girador determinado.doc</t>
  </si>
  <si>
    <t>C:\Users\franc\OneDrive\Documentos\MALENTIN KARIME\BANCO ESTADO\2012 DEPTO ESCRITURAS fata\NOTARIA 2009\MATRICES INSTRUMENTOS PRIVADOS\poderes\CARTA.barraza..doc</t>
  </si>
  <si>
    <t>C:\Users\franc\OneDrive\Documentos\MALENTIN KARIME\BANCO ESTADO\2012 DEPTO ESCRITURAS fata\NOTARIA 2009\MATRICES INSTRUMENTOS PRIVADOS\poderes\CARTA. CUEVAS.doc</t>
  </si>
  <si>
    <t>C:\Users\franc\OneDrive\Documentos\MALENTIN KARIME\BANCO ESTADO\2012 DEPTO ESCRITURAS fata\NOTARIA 2009\MATRICES INSTRUMENTOS PRIVADOS\poderes\4-03 poder cobro arriendo.doc</t>
  </si>
  <si>
    <t>C:\Users\franc\OneDrive\Documentos\MALENTIN KARIME\BANCO ESTADO\2012 DEPTO ESCRITURAS fata\NOTARIA 2009\MATRICES INSTRUMENTOS PRIVADOS\laboral\renuncia voluntaria.doc</t>
  </si>
  <si>
    <t>C:\Users\franc\OneDrive\Documentos\MALENTIN KARIME\BANCO ESTADO\2012 DEPTO ESCRITURAS fata\NOTARIA 2009\MATRICES INSTRUMENTOS PRIVADOS\laboral\CONTRATO DE TRABAJO.doc</t>
  </si>
  <si>
    <t>C:\Users\franc\OneDrive\Documentos\MALENTIN KARIME\BANCO ESTADO\2012 DEPTO ESCRITURAS fata\NOTARIA 2009\MATRICES INSTRUMENTOS PRIVADOS\laboral\CONTRATO DE TRABAJO II.doc</t>
  </si>
  <si>
    <t>C:\Users\franc\OneDrive\Documentos\MALENTIN KARIME\BANCO ESTADO\2012 DEPTO ESCRITURAS fata\NOTARIA 2009\MATRICES INSTRUMENTOS PRIVADOS\laboral\CARTA RENUNCIA.doc</t>
  </si>
  <si>
    <t>C:\Users\franc\OneDrive\Documentos\MALENTIN KARIME\BANCO ESTADO\2012 DEPTO ESCRITURAS fata\NOTARIA 2009\MATRICES INSTRUMENTOS PRIVADOS\INFORMES\TESTAMENTOS.doc</t>
  </si>
  <si>
    <t>C:\Users\franc\OneDrive\Documentos\MALENTIN KARIME\BANCO ESTADO\2012 DEPTO ESCRITURAS fata\NOTARIA 2009\MATRICES INSTRUMENTOS PRIVADOS\INFORMES\TESTAMENTOS REGISTRO CIVIL.doc</t>
  </si>
  <si>
    <t>C:\Users\franc\OneDrive\Documentos\MALENTIN KARIME\BANCO ESTADO\2012 DEPTO ESCRITURAS fata\NOTARIA 2009\MATRICES INSTRUMENTOS PRIVADOS\INFORMES\REPÉRTORIO.doc</t>
  </si>
  <si>
    <t>C:\Users\franc\OneDrive\Documentos\MALENTIN KARIME\BANCO ESTADO\2012 DEPTO ESCRITURAS fata\NOTARIA 2009\MATRICES INSTRUMENTOS PRIVADOS\INFORMES\REGISTRO FIRMA.doc</t>
  </si>
  <si>
    <t>C:\Users\franc\OneDrive\Documentos\MALENTIN KARIME\BANCO ESTADO\2012 DEPTO ESCRITURAS fata\NOTARIA 2009\MATRICES INSTRUMENTOS PRIVADOS\INFORMES\FINIQUITOS.doc</t>
  </si>
  <si>
    <t>C:\Users\franc\OneDrive\Documentos\MALENTIN KARIME\BANCO ESTADO\2012 DEPTO ESCRITURAS fata\NOTARIA 2009\MATRICES INSTRUMENTOS PRIVADOS\INFORMES\CORRECCION BOLETIN.doc</t>
  </si>
  <si>
    <t>C:\Users\franc\OneDrive\Documentos\MALENTIN KARIME\BANCO ESTADO\2012 DEPTO ESCRITURAS fata\NOTARIA 2009\MATRICES INSTRUMENTOS PRIVADOS\INFORMES\BOLETIN.doc</t>
  </si>
  <si>
    <t>C:\Users\franc\OneDrive\Documentos\MALENTIN KARIME\BANCO ESTADO\2012 DEPTO ESCRITURAS fata\NOTARIA 2009\MATRICES INSTRUMENTOS PRIVADOS\INFORMES\BOLETIN ARGUEYO.doc</t>
  </si>
  <si>
    <t>C:\Users\franc\OneDrive\Documentos\MALENTIN KARIME\BANCO ESTADO\2012 DEPTO ESCRITURAS fata\NOTARIA 2009\MATRICES INSTRUMENTOS PRIVADOS\declaracion jurada\SOLTERIA MAURICIO.doc</t>
  </si>
  <si>
    <t>C:\Users\franc\OneDrive\Documentos\MALENTIN KARIME\BANCO ESTADO\2012 DEPTO ESCRITURAS fata\NOTARIA 2009\MATRICES INSTRUMENTOS PRIVADOS\declaracion jurada\renta villouta 7-3.doc</t>
  </si>
  <si>
    <t>C:\Users\franc\OneDrive\Documentos\MALENTIN KARIME\BANCO ESTADO\2012 DEPTO ESCRITURAS fata\NOTARIA 2009\MATRICES INSTRUMENTOS PRIVADOS\declaracion jurada\perdida todos documentos.doc</t>
  </si>
  <si>
    <t>C:\Users\franc\OneDrive\Documentos\MALENTIN KARIME\BANCO ESTADO\2012 DEPTO ESCRITURAS fata\NOTARIA 2009\MATRICES INSTRUMENTOS PRIVADOS\declaracion jurada\perdida permiso circulacion 13-3.doc</t>
  </si>
  <si>
    <t>C:\Users\franc\OneDrive\Documentos\MALENTIN KARIME\BANCO ESTADO\2012 DEPTO ESCRITURAS fata\NOTARIA 2009\MATRICES INSTRUMENTOS PRIVADOS\declaracion jurada\perdida licencia conducir.doc</t>
  </si>
  <si>
    <t>C:\Users\franc\OneDrive\Documentos\MALENTIN KARIME\BANCO ESTADO\2012 DEPTO ESCRITURAS fata\NOTARIA 2009\MATRICES INSTRUMENTOS PRIVADOS\declaracion jurada\Perdida de cheque.doc</t>
  </si>
  <si>
    <t>C:\Users\franc\OneDrive\Documentos\MALENTIN KARIME\BANCO ESTADO\2012 DEPTO ESCRITURAS fata\NOTARIA 2009\MATRICES INSTRUMENTOS PRIVADOS\declaracion jurada\perdida cheque.doc</t>
  </si>
  <si>
    <t>C:\Users\franc\OneDrive\Documentos\MALENTIN KARIME\BANCO ESTADO\2012 DEPTO ESCRITURAS fata\NOTARIA 2009\MATRICES INSTRUMENTOS PRIVADOS\declaracion jurada\perdida certif analisis de gases.doc</t>
  </si>
  <si>
    <t>C:\Users\franc\OneDrive\Documentos\MALENTIN KARIME\BANCO ESTADO\2012 DEPTO ESCRITURAS fata\NOTARIA 2009\MATRICES INSTRUMENTOS PRIVADOS\declaracion jurada\perdida cedula.doc</t>
  </si>
  <si>
    <t>C:\Users\franc\OneDrive\Documentos\MALENTIN KARIME\BANCO ESTADO\2012 DEPTO ESCRITURAS fata\NOTARIA 2009\MATRICES INSTRUMENTOS PRIVADOS\declaracion jurada\obtencion patente alcoholes.doc</t>
  </si>
  <si>
    <t>C:\Users\franc\OneDrive\Documentos\MALENTIN KARIME\BANCO ESTADO\2012 DEPTO ESCRITURAS fata\NOTARIA 2009\MATRICES INSTRUMENTOS PRIVADOS\declaracion jurada\no circulacion vehiculo.doc</t>
  </si>
  <si>
    <t>C:\Users\franc\OneDrive\Documentos\MALENTIN KARIME\BANCO ESTADO\2012 DEPTO ESCRITURAS fata\NOTARIA 2009\MATRICES INSTRUMENTOS PRIVADOS\declaracion jurada\no circulacion vehiculo 11-3.doc</t>
  </si>
  <si>
    <t>C:\Users\franc\OneDrive\Documentos\MALENTIN KARIME\BANCO ESTADO\2012 DEPTO ESCRITURAS fata\NOTARIA 2009\MATRICES INSTRUMENTOS PRIVADOS\declaracion jurada\Declaración 220km.doc</t>
  </si>
  <si>
    <t>C:\Users\franc\OneDrive\Documentos\MALENTIN KARIME\BANCO ESTADO\2012 DEPTO ESCRITURAS fata\NOTARIA 2009\MATRICES INSTRUMENTOS PRIVADOS\declaracion jurada\DECLARACION revision tecnica.doc</t>
  </si>
  <si>
    <t>C:\Users\franc\OneDrive\Documentos\MALENTIN KARIME\BANCO ESTADO\2012 DEPTO ESCRITURAS fata\NOTARIA 2009\MATRICES INSTRUMENTOS PRIVADOS\declaracion jurada\Declaracion renta.doc</t>
  </si>
  <si>
    <t>C:\Users\franc\OneDrive\Documentos\MALENTIN KARIME\BANCO ESTADO\2012 DEPTO ESCRITURAS fata\NOTARIA 2009\MATRICES INSTRUMENTOS PRIVADOS\declaracion jurada\DECLARACION JURADA SOLTERIA.doc</t>
  </si>
  <si>
    <t>C:\Users\franc\OneDrive\Documentos\MALENTIN KARIME\BANCO ESTADO\2012 DEPTO ESCRITURAS fata\NOTARIA 2009\MATRICES INSTRUMENTOS PRIVADOS\declaracion jurada\DECLARACION JURADA FIRMO ANTE MI.doc</t>
  </si>
  <si>
    <t>C:\Users\franc\OneDrive\Documentos\MALENTIN KARIME\BANCO ESTADO\2012 DEPTO ESCRITURAS fata\NOTARIA 2009\MATRICES INSTRUMENTOS PRIVADOS\declaracion jurada\DECLARACION JURADA FIRMA AUTORIZADA.doc</t>
  </si>
  <si>
    <t>C:\Users\franc\OneDrive\Documentos\MALENTIN KARIME\BANCO ESTADO\2012 DEPTO ESCRITURAS fata\NOTARIA 2009\MATRICES INSTRUMENTOS PRIVADOS\declaracion jurada\DECLARACION JURADA DE TESTIGOS.doc</t>
  </si>
  <si>
    <t>C:\Users\franc\OneDrive\Documentos\MALENTIN KARIME\BANCO ESTADO\2012 DEPTO ESCRITURAS fata\NOTARIA 2009\MATRICES INSTRUMENTOS PRIVADOS\declaracion jurada\DECLARA. formato.doc</t>
  </si>
  <si>
    <t>C:\Users\franc\OneDrive\Documentos\MALENTIN KARIME\BANCO ESTADO\2012 DEPTO ESCRITURAS fata\NOTARIA 2009\MATRICES INSTRUMENTOS PRIVADOS\declaracion jurada\DECLAR.Permiso Circ..doc</t>
  </si>
  <si>
    <t>C:\Users\franc\OneDrive\Documentos\MALENTIN KARIME\BANCO ESTADO\2012 DEPTO ESCRITURAS fata\NOTARIA 2009\MATRICES INSTRUMENTOS PRIVADOS\declaracion jurada\DECLAR.motor..doc</t>
  </si>
  <si>
    <t>C:\Users\franc\OneDrive\Documentos\MALENTIN KARIME\BANCO ESTADO\2012 DEPTO ESCRITURAS fata\NOTARIA 2009\MATRICES INSTRUMENTOS PRIVADOS\declaracion jurada\DECLAR.cheque..doc</t>
  </si>
  <si>
    <t>C:\Users\franc\OneDrive\Documentos\MALENTIN KARIME\BANCO ESTADO\2012 DEPTO ESCRITURAS fata\NOTARIA 2009\MATRICES INSTRUMENTOS PRIVADOS\declaracion jurada\DECLAR.carro de arrastre.doc</t>
  </si>
  <si>
    <t>C:\Users\franc\OneDrive\Documentos\MALENTIN KARIME\BANCO ESTADO\2012 DEPTO ESCRITURAS fata\NOTARIA 2009\MATRICES INSTRUMENTOS PRIVADOS\declaracion jurada\DECLAR. gastos estudios..doc</t>
  </si>
  <si>
    <t>C:\Users\franc\OneDrive\Documentos\MALENTIN KARIME\BANCO ESTADO\2012 DEPTO ESCRITURAS fata\NOTARIA 2009\MATRICES INSTRUMENTOS PRIVADOS\declaracion jurada\DECLAR. domicilio..doc</t>
  </si>
  <si>
    <t>C:\Users\franc\OneDrive\Documentos\MALENTIN KARIME\BANCO ESTADO\2012 DEPTO ESCRITURAS fata\NOTARIA 2009\MATRICES INSTRUMENTOS PRIVADOS\declaracion jurada\DECLA.Revisión..doc</t>
  </si>
  <si>
    <t>C:\Users\franc\OneDrive\Documentos\MALENTIN KARIME\BANCO ESTADO\2012 DEPTO ESCRITURAS fata\NOTARIA 2009\MATRICES INSTRUMENTOS PRIVADOS\declaracion jurada\DECLA.contruccion bote.doc</t>
  </si>
  <si>
    <t>C:\Users\franc\OneDrive\Documentos\MALENTIN KARIME\BANCO ESTADO\2012 DEPTO ESCRITURAS fata\NOTARIA 2009\MATRICES INSTRUMENTOS PRIVADOS\declaracion jurada\Decla sobre estado familiar.doc</t>
  </si>
  <si>
    <t>C:\Users\franc\OneDrive\Documentos\MALENTIN KARIME\BANCO ESTADO\2012 DEPTO ESCRITURAS fata\NOTARIA 2009\MATRICES INSTRUMENTOS PRIVADOS\declaracion jurada\Decl. solteria.doc</t>
  </si>
  <si>
    <t>C:\Users\franc\OneDrive\Documentos\MALENTIN KARIME\BANCO ESTADO\2012 DEPTO ESCRITURAS fata\NOTARIA 2009\MATRICES INSTRUMENTOS PRIVADOS\declaracion jurada\Decl. renta.doc</t>
  </si>
  <si>
    <t>C:\Users\franc\OneDrive\Documentos\MALENTIN KARIME\BANCO ESTADO\2012 DEPTO ESCRITURAS fata\NOTARIA 2009\MATRICES INSTRUMENTOS PRIVADOS\declaracion jurada\Decl. remuneración traslado.doc</t>
  </si>
  <si>
    <t>C:\Users\franc\OneDrive\Documentos\MALENTIN KARIME\BANCO ESTADO\2012 DEPTO ESCRITURAS fata\NOTARIA 2009\MATRICES INSTRUMENTOS PRIVADOS\declaracion jurada\Decl. allegada.doc</t>
  </si>
  <si>
    <t>C:\Users\franc\OneDrive\Documentos\MALENTIN KARIME\BANCO ESTADO\2012 DEPTO ESCRITURAS fata\NOTARIA 2009\MATRICES INSTRUMENTOS PRIVADOS\declaracion jurada\cesantia.doc</t>
  </si>
  <si>
    <t>C:\Users\franc\OneDrive\Documentos\MALENTIN KARIME\BANCO ESTADO\2012 DEPTO ESCRITURAS fata\NOTARIA 2009\MATRICES INSTRUMENTOS PRIVADOS\declaracion jurada\cede sin coste vivienda.doc</t>
  </si>
  <si>
    <t>C:\Users\franc\OneDrive\Documentos\MALENTIN KARIME\BANCO ESTADO\2012 DEPTO ESCRITURAS fata\NOTARIA 2009\MATRICES INSTRUMENTOS PRIVADOS\declaracion jurada\carro hechizo.doc</t>
  </si>
  <si>
    <t>C:\Users\franc\OneDrive\Documentos\MALENTIN KARIME\BANCO ESTADO\2012 DEPTO ESCRITURAS fata\NOTARIA 2009\MATRICES INSTRUMENTOS PRIVADOS\declaracion jurada\autoriza sin coste.doc</t>
  </si>
  <si>
    <t>C:\Users\franc\OneDrive\Documentos\MALENTIN KARIME\BANCO ESTADO\2012 DEPTO ESCRITURAS fata\NOTARIA 2009\MATRICES INSTRUMENTOS PRIVADOS\declaracion jurada\asignacion familiar.doc</t>
  </si>
  <si>
    <t>C:\Users\franc\OneDrive\Documentos\MALENTIN KARIME\BANCO ESTADO\2012 DEPTO ESCRITURAS fata\NOTARIA 2009\MATRICES INSTRUMENTOS PRIVADOS\contratos\venta escopeta.doc</t>
  </si>
  <si>
    <t>C:\Users\franc\OneDrive\Documentos\MALENTIN KARIME\BANCO ESTADO\2012 DEPTO ESCRITURAS fata\NOTARIA 2009\MATRICES INSTRUMENTOS PRIVADOS\contratos\SUBROGACION DE ARRIENDO.doc</t>
  </si>
  <si>
    <t>C:\Users\franc\OneDrive\Documentos\MALENTIN KARIME\BANCO ESTADO\2012 DEPTO ESCRITURAS fata\NOTARIA 2009\MATRICES INSTRUMENTOS PRIVADOS\contratos\RESCILIACION DE CONTRATO DE VEHICULO.doc</t>
  </si>
  <si>
    <t>C:\Users\franc\OneDrive\Documentos\MALENTIN KARIME\BANCO ESTADO\2012 DEPTO ESCRITURAS fata\NOTARIA 2009\MATRICES INSTRUMENTOS PRIVADOS\contratos\prorroga arriendo.doc</t>
  </si>
  <si>
    <t>C:\Users\franc\OneDrive\Documentos\MALENTIN KARIME\BANCO ESTADO\2012 DEPTO ESCRITURAS fata\NOTARIA 2009\MATRICES INSTRUMENTOS PRIVADOS\contratos\PROMESA JIMENA FERNANDEZ.doc</t>
  </si>
  <si>
    <t>C:\Users\franc\OneDrive\Documentos\MALENTIN KARIME\BANCO ESTADO\2012 DEPTO ESCRITURAS fata\NOTARIA 2009\MATRICES INSTRUMENTOS PRIVADOS\contratos\PROMESA FRESIA GAETE PARC.14.doc</t>
  </si>
  <si>
    <t>C:\Users\franc\OneDrive\Documentos\MALENTIN KARIME\BANCO ESTADO\2012 DEPTO ESCRITURAS fata\NOTARIA 2009\MATRICES INSTRUMENTOS PRIVADOS\contratos\prestacion de servicios.doc</t>
  </si>
  <si>
    <t>C:\Users\franc\OneDrive\Documentos\MALENTIN KARIME\BANCO ESTADO\2012 DEPTO ESCRITURAS fata\NOTARIA 2009\MATRICES INSTRUMENTOS PRIVADOS\contratos\prestacion de servicio.doc</t>
  </si>
  <si>
    <t>C:\Users\franc\OneDrive\Documentos\MALENTIN KARIME\BANCO ESTADO\2012 DEPTO ESCRITURAS fata\NOTARIA 2009\MATRICES INSTRUMENTOS PRIVADOS\contratos\prestacion de ser.doc</t>
  </si>
  <si>
    <t>C:\Users\franc\OneDrive\Documentos\MALENTIN KARIME\BANCO ESTADO\2012 DEPTO ESCRITURAS fata\NOTARIA 2009\MATRICES INSTRUMENTOS PRIVADOS\contratos\POSTACIÓN.doc</t>
  </si>
  <si>
    <t>C:\Users\franc\OneDrive\Documentos\MALENTIN KARIME\BANCO ESTADO\2012 DEPTO ESCRITURAS fata\NOTARIA 2009\MATRICES INSTRUMENTOS PRIVADOS\contratos\mandato judicial.doc</t>
  </si>
  <si>
    <t>C:\Users\franc\OneDrive\Documentos\MALENTIN KARIME\BANCO ESTADO\2012 DEPTO ESCRITURAS fata\NOTARIA 2009\MATRICES INSTRUMENTOS PRIVADOS\contratos\Mandato General Amplio.doc</t>
  </si>
  <si>
    <t>C:\Users\franc\OneDrive\Documentos\MALENTIN KARIME\BANCO ESTADO\2012 DEPTO ESCRITURAS fata\NOTARIA 2009\MATRICES INSTRUMENTOS PRIVADOS\contratos\mandato de venta huente.doc</t>
  </si>
  <si>
    <t>C:\Users\franc\OneDrive\Documentos\MALENTIN KARIME\BANCO ESTADO\2012 DEPTO ESCRITURAS fata\NOTARIA 2009\MATRICES INSTRUMENTOS PRIVADOS\contratos\forestación.01.doc</t>
  </si>
  <si>
    <t>C:\Users\franc\OneDrive\Documentos\MALENTIN KARIME\BANCO ESTADO\2012 DEPTO ESCRITURAS fata\NOTARIA 2009\MATRICES INSTRUMENTOS PRIVADOS\contratos\Dacion en pago y compraventa.doc</t>
  </si>
  <si>
    <t>C:\Users\franc\OneDrive\Documentos\MALENTIN KARIME\BANCO ESTADO\2012 DEPTO ESCRITURAS fata\NOTARIA 2009\MATRICES INSTRUMENTOS PRIVADOS\contratos\contrato arriendo simple.doc</t>
  </si>
  <si>
    <t>C:\Users\franc\OneDrive\Documentos\MALENTIN KARIME\BANCO ESTADO\2012 DEPTO ESCRITURAS fata\NOTARIA 2009\MATRICES INSTRUMENTOS PRIVADOS\contratos\COMPRAVENTA VEHICULO USADO.doc</t>
  </si>
  <si>
    <t>C:\Users\franc\OneDrive\Documentos\MALENTIN KARIME\BANCO ESTADO\2012 DEPTO ESCRITURAS fata\NOTARIA 2009\MATRICES INSTRUMENTOS PRIVADOS\contratos\Compraventa sitio.doc</t>
  </si>
  <si>
    <t>C:\Users\franc\OneDrive\Documentos\MALENTIN KARIME\BANCO ESTADO\2012 DEPTO ESCRITURAS fata\NOTARIA 2009\MATRICES INSTRUMENTOS PRIVADOS\contratos\compraventa establecim comercio c pat alcohol.doc</t>
  </si>
  <si>
    <t>C:\Users\franc\OneDrive\Documentos\MALENTIN KARIME\BANCO ESTADO\2012 DEPTO ESCRITURAS fata\NOTARIA 2009\MATRICES INSTRUMENTOS PRIVADOS\contratos\compraventa bote.doc</t>
  </si>
  <si>
    <t>C:\Users\franc\OneDrive\Documentos\MALENTIN KARIME\BANCO ESTADO\2012 DEPTO ESCRITURAS fata\NOTARIA 2009\MATRICES INSTRUMENTOS PRIVADOS\contratos\COMPRAVENTA BIENES MUEBLES USADOS.doc</t>
  </si>
  <si>
    <t>C:\Users\franc\OneDrive\Documentos\MALENTIN KARIME\BANCO ESTADO\2012 DEPTO ESCRITURAS fata\NOTARIA 2009\MATRICES INSTRUMENTOS PRIVADOS\contratos\ARRIENDO.doc</t>
  </si>
  <si>
    <t>C:\Users\franc\OneDrive\Documentos\MALENTIN KARIME\BANCO ESTADO\2012 DEPTO ESCRITURAS fata\NOTARIA 2009\MATRICES INSTRUMENTOS PRIVADOS\contratos\arriendo predio agricola.doc</t>
  </si>
  <si>
    <t>C:\Users\franc\OneDrive\Documentos\MALENTIN KARIME\BANCO ESTADO\2012 DEPTO ESCRITURAS fata\NOTARIA 2009\MATRICES INSTRUMENTOS PRIVADOS\contratos\arriendo particular.doc</t>
  </si>
  <si>
    <t>C:\Users\franc\OneDrive\Documentos\MALENTIN KARIME\BANCO ESTADO\2012 DEPTO ESCRITURAS fata\NOTARIA 2009\MATRICES INSTRUMENTOS PRIVADOS\contratos\Arriendo casa.doc</t>
  </si>
  <si>
    <t>C:\Users\franc\OneDrive\Documentos\MALENTIN KARIME\BANCO ESTADO\2012 DEPTO ESCRITURAS fata\NOTARIA 2009\MATRICES INSTRUMENTOS PRIVADOS\contratos\Ariendo inmueble1.doc</t>
  </si>
  <si>
    <t>C:\Users\franc\OneDrive\Documentos\MALENTIN KARIME\BANCO ESTADO\2012 DEPTO ESCRITURAS fata\NOTARIA 2009\MATRICES INSTRUMENTOS PRIVADOS\contratos\Ariendo inmueble.doc</t>
  </si>
  <si>
    <t>C:\Users\franc\OneDrive\Documentos\MALENTIN KARIME\BANCO ESTADO\2012 DEPTO ESCRITURAS fata\NOTARIA 2009\MATRICES INSTRUMENTOS PRIVADOS\contratos\ALZAMIENTO DE PRENDA.doc</t>
  </si>
  <si>
    <t>C:\Users\franc\OneDrive\Documentos\MALENTIN KARIME\BANCO ESTADO\2012 DEPTO ESCRITURAS fata\NOTARIA 2009\MATRICES INSTRUMENTOS PRIVADOS\certificados\ESTADO CIVIL.doc</t>
  </si>
  <si>
    <t>C:\Users\franc\OneDrive\Documentos\MALENTIN KARIME\BANCO ESTADO\2012 DEPTO ESCRITURAS fata\NOTARIA 2009\MATRICES INSTRUMENTOS PRIVADOS\certificados\CERTIFICADO protesto pagare.doc</t>
  </si>
  <si>
    <t>C:\Users\franc\OneDrive\Documentos\MALENTIN KARIME\BANCO ESTADO\2012 DEPTO ESCRITURAS fata\NOTARIA 2009\MATRICES INSTRUMENTOS PRIVADOS\certificados\CERTIFICADO DE ESTADO CIVIL Y SUPERVIVENCIA.doc</t>
  </si>
  <si>
    <t>C:\Users\franc\OneDrive\Documentos\MALENTIN KARIME\BANCO ESTADO\2012 DEPTO ESCRITURAS fata\NOTARIA 2009\MATRICES INSTRUMENTOS PRIVADOS\autorizaciones\trabajo menor.doc</t>
  </si>
  <si>
    <t>C:\Users\franc\OneDrive\Documentos\MALENTIN KARIME\BANCO ESTADO\2012 DEPTO ESCRITURAS fata\NOTARIA 2009\MATRICES INSTRUMENTOS PRIVADOS\autorizaciones\trabajo menor 13-3.doc</t>
  </si>
  <si>
    <t>C:\Users\franc\OneDrive\Documentos\MALENTIN KARIME\BANCO ESTADO\2012 DEPTO ESCRITURAS fata\NOTARIA 2009\MATRICES INSTRUMENTOS PRIVADOS\autorizaciones\trabajo menor 13-3 02.doc</t>
  </si>
  <si>
    <t>C:\Users\franc\OneDrive\Documentos\MALENTIN KARIME\BANCO ESTADO\2012 DEPTO ESCRITURAS fata\NOTARIA 2009\MATRICES INSTRUMENTOS PRIVADOS\autorizaciones\salida país.doc</t>
  </si>
  <si>
    <t>C:\Users\franc\OneDrive\Documentos\MALENTIN KARIME\BANCO ESTADO\2012 DEPTO ESCRITURAS fata\NOTARIA 2009\MATRICES INSTRUMENTOS PRIVADOS\autorizaciones\salida país aut juzgado.doc</t>
  </si>
  <si>
    <t>C:\Users\franc\OneDrive\Documentos\MALENTIN KARIME\BANCO ESTADO\2012 DEPTO ESCRITURAS fata\NOTARIA 2009\MATRICES INSTRUMENTOS PRIVADOS\autorizaciones\salida país 14-03.doc</t>
  </si>
  <si>
    <t>C:\Users\franc\OneDrive\Documentos\MALENTIN KARIME\BANCO ESTADO\2012 DEPTO ESCRITURAS fata\NOTARIA 2009\MATRICES INSTRUMENTOS PRIVADOS\autorizaciones\exhumación.doc</t>
  </si>
  <si>
    <t>C:\Users\franc\OneDrive\Documentos\MALENTIN KARIME\BANCO ESTADO\2012 DEPTO ESCRITURAS fata\NOTARIA 2009\MATRICES INSTRUMENTOS PRIVADOS\autorizaciones\AUTORIZACION TRABAJO MENOR.doc</t>
  </si>
  <si>
    <t>C:\Users\franc\OneDrive\Documentos\MALENTIN KARIME\BANCO ESTADO\2012 DEPTO ESCRITURAS fata\NOTARIA 2009\MATRICES INSTRUMENTOS PRIVADOS\autorizaciones\autorizacion GALVARINO VIORKLUMDS.doc</t>
  </si>
  <si>
    <t>C:\Users\franc\OneDrive\Documentos\MALENTIN KARIME\BANCO ESTADO\2012 DEPTO ESCRITURAS fata\NOTARIA 2009\MATRICES INSTRUMENTOS PRIVADOS\autorizaciones\AUTORIZA ESCRITURAS.doc</t>
  </si>
  <si>
    <t>C:\Users\franc\OneDrive\Documentos\MALENTIN KARIME\BANCO ESTADO\2012 DEPTO ESCRITURAS fata\NOTARIA 2009\MATRICES INSTRUMENTOS PRIVADOS\autorizaciones\AUTOR. automov..doc</t>
  </si>
  <si>
    <t>C:\Users\franc\OneDrive\Documentos\MALENTIN KARIME\BANCO ESTADO\2012 DEPTO ESCRITURAS fata\NOTARIA 2009\MATRICES INSTRUMENTOS PRIVADOS\autorizaciones\Autor menor.doc</t>
  </si>
  <si>
    <t>C:\Users\franc\OneDrive\Documentos\MALENTIN KARIME\BANCO ESTADO\2012 DEPTO ESCRITURAS fata\NOTARIA 2009\MATRICES INSTRUMENTOS PRIVADOS\autorizaciones\Autor futbol.doc</t>
  </si>
  <si>
    <t>C:\Users\franc\OneDrive\Documentos\MALENTIN KARIME\BANCO ESTADO\2012 DEPTO ESCRITURAS fata\NOTARIA 2009\MATRICES INSTRUMENTOS PRIVADOS\autorizaciones\Autor bodega.doc</t>
  </si>
  <si>
    <t>C:\Users\franc\OneDrive\Documentos\MALENTIN KARIME\BANCO ESTADO\2012 DEPTO ESCRITURAS fata\NOTARIA 2009\MATRICES INSTRUMENTOS PRIVADOS\autorizaciones\Adosarse.doc</t>
  </si>
  <si>
    <t>C:\Users\franc\OneDrive\Documentos\MALENTIN KARIME\BANCO ESTADO\2012 DEPTO ESCRITURAS fata\NOTARIA 2009\MATRICES INSTRUMENTOS PRIVADOS\autorizaciones\ADOSAMIENTO.doc</t>
  </si>
  <si>
    <t>C:\Users\franc\OneDrive\Documentos\MALENTIN KARIME\BANCO ESTADO\2012 DEPTO ESCRITURAS fata\NOTARIA 2009\MASFIN\ROBINSON PIZARRO.doc</t>
  </si>
  <si>
    <t>C:\Users\franc\OneDrive\Documentos\MALENTIN KARIME\BANCO ESTADO\2012 DEPTO ESCRITURAS fata\NOTARIA 2009\MASFIN\EXTRACTO ROBINSON PIZARRO.doc</t>
  </si>
  <si>
    <t>C:\Users\franc\OneDrive\Documentos\MALENTIN KARIME\BANCO ESTADO\2012 DEPTO ESCRITURAS fata\NOTARIA 2009\MARUBENI\RUBEN RUIZ VILLARROEL.doc</t>
  </si>
  <si>
    <t>C:\Users\franc\OneDrive\Documentos\MALENTIN KARIME\BANCO ESTADO\2012 DEPTO ESCRITURAS fata\NOTARIA 2009\MARUBENI\RUBEN RUIZ EXTRACTO.doc</t>
  </si>
  <si>
    <t>C:\Users\franc\OneDrive\Documentos\MALENTIN KARIME\BANCO ESTADO\2012 DEPTO ESCRITURAS fata\NOTARIA 2009\MARUBENI\PAA VICTOR DANIEL HERRERA MUÑOZ.doc</t>
  </si>
  <si>
    <t>C:\Users\franc\OneDrive\Documentos\MALENTIN KARIME\BANCO ESTADO\2012 DEPTO ESCRITURAS fata\NOTARIA 2009\MARUBENI\nota marginal.doc</t>
  </si>
  <si>
    <t>C:\Users\franc\OneDrive\Documentos\MALENTIN KARIME\BANCO ESTADO\2012 DEPTO ESCRITURAS fata\NOTARIA 2009\MARUBENI\MODELO NOTARIO.doc</t>
  </si>
  <si>
    <t>C:\Users\franc\OneDrive\Documentos\MALENTIN KARIME\BANCO ESTADO\2012 DEPTO ESCRITURAS fata\NOTARIA 2009\MARUBENI\MODELO   FORMULARIO  24.doc</t>
  </si>
  <si>
    <t>C:\Users\franc\OneDrive\Documentos\MALENTIN KARIME\BANCO ESTADO\2012 DEPTO ESCRITURAS fata\NOTARIA 2009\MARUBENI\MARIO ESPINOZA PASTEN.doc</t>
  </si>
  <si>
    <t>C:\Users\franc\OneDrive\Documentos\MALENTIN KARIME\BANCO ESTADO\2012 DEPTO ESCRITURAS fata\NOTARIA 2009\MARUBENI\MARIO ESPINOZA PASTEN  EXTRACTO.doc</t>
  </si>
  <si>
    <t>C:\Users\franc\OneDrive\Documentos\MALENTIN KARIME\BANCO ESTADO\2012 DEPTO ESCRITURAS fata\NOTARIA 2009\MARUBENI\LUIS VARGAS.doc</t>
  </si>
  <si>
    <t>C:\Users\franc\OneDrive\Documentos\MALENTIN KARIME\BANCO ESTADO\2012 DEPTO ESCRITURAS fata\NOTARIA 2009\MARUBENI\LUIS VARGAS EXTRACTO.doc</t>
  </si>
  <si>
    <t>C:\Users\franc\OneDrive\Documentos\MALENTIN KARIME\BANCO ESTADO\2012 DEPTO ESCRITURAS fata\NOTARIA 2009\MARUBENI\JUAN VEAS EXTRC.doc</t>
  </si>
  <si>
    <t>C:\Users\franc\OneDrive\Documentos\MALENTIN KARIME\BANCO ESTADO\2012 DEPTO ESCRITURAS fata\NOTARIA 2009\MARUBENI\JUAN VEAS DIAZ.doc</t>
  </si>
  <si>
    <t>C:\Users\franc\OneDrive\Documentos\MALENTIN KARIME\BANCO ESTADO\2012 DEPTO ESCRITURAS fata\NOTARIA 2009\MARUBENI\JOSE TOMAS FLORES.doc</t>
  </si>
  <si>
    <t>C:\Users\franc\OneDrive\Documentos\MALENTIN KARIME\BANCO ESTADO\2012 DEPTO ESCRITURAS fata\NOTARIA 2009\MARUBENI\JOSE FLORES EXT.doc</t>
  </si>
  <si>
    <t>C:\Users\franc\OneDrive\Documentos\MALENTIN KARIME\BANCO ESTADO\2012 DEPTO ESCRITURAS fata\NOTARIA 2009\MARUBENI\GUILLERMO ARAYA Y MARIA VEGA.doc</t>
  </si>
  <si>
    <t>C:\Users\franc\OneDrive\Documentos\MALENTIN KARIME\BANCO ESTADO\2012 DEPTO ESCRITURAS fata\NOTARIA 2009\MARUBENI\GUILLERMO ARAYA EXTRACTO.doc</t>
  </si>
  <si>
    <t>C:\Users\franc\OneDrive\Documentos\MALENTIN KARIME\BANCO ESTADO\2012 DEPTO ESCRITURAS fata\NOTARIA 2009\MARUBENI\GAMAL ROJAS.doc</t>
  </si>
  <si>
    <t>C:\Users\franc\OneDrive\Documentos\MALENTIN KARIME\BANCO ESTADO\2012 DEPTO ESCRITURAS fata\NOTARIA 2009\MARUBENI\GAMAL ROJAS EXT.doc</t>
  </si>
  <si>
    <t>C:\Users\franc\OneDrive\Documentos\MALENTIN KARIME\BANCO ESTADO\2012 DEPTO ESCRITURAS fata\NOTARIA 2009\MARUBENI\GAMAL ROJAS EXT  (2).doc</t>
  </si>
  <si>
    <t>C:\Users\franc\OneDrive\Documentos\MALENTIN KARIME\BANCO ESTADO\2012 DEPTO ESCRITURAS fata\NOTARIA 2009\MARUBENI\GAMAL ROJAS (2).doc</t>
  </si>
  <si>
    <t>C:\Users\franc\OneDrive\Documentos\MALENTIN KARIME\BANCO ESTADO\2012 DEPTO ESCRITURAS fata\NOTARIA 2009\MARUBENI\FERNANDO PEÑAFIEL.doc</t>
  </si>
  <si>
    <t>C:\Users\franc\OneDrive\Documentos\MALENTIN KARIME\BANCO ESTADO\2012 DEPTO ESCRITURAS fata\NOTARIA 2009\MARUBENI\FERNANDO PEÑAFIEL  EXT.doc</t>
  </si>
  <si>
    <t>C:\Users\franc\OneDrive\Documentos\MALENTIN KARIME\BANCO ESTADO\2012 DEPTO ESCRITURAS fata\NOTARIA 2009\MARUBENI\EXTRACTO VICTOR HERRERA.doc</t>
  </si>
  <si>
    <t>C:\Users\franc\OneDrive\Documentos\MALENTIN KARIME\BANCO ESTADO\2012 DEPTO ESCRITURAS fata\NOTARIA 2009\MARUBENI\ERCILIA CISTERNAS.doc</t>
  </si>
  <si>
    <t>C:\Users\franc\OneDrive\Documentos\MALENTIN KARIME\BANCO ESTADO\2012 DEPTO ESCRITURAS fata\NOTARIA 2009\MARUBENI\ERCILIA CISTERNAS EXTRACTO.doc</t>
  </si>
  <si>
    <t>C:\Users\franc\OneDrive\Documentos\MALENTIN KARIME\BANCO ESTADO\2012 DEPTO ESCRITURAS fata\NOTARIA 2009\MARUBENI\ERCILIA CELESTINA CISTERNAS GARCIA INICIAL.doc</t>
  </si>
  <si>
    <t>C:\Users\franc\OneDrive\Documentos\MALENTIN KARIME\BANCO ESTADO\2012 DEPTO ESCRITURAS fata\NOTARIA 2009\MARUBENI\CLAUDIA PEREZ.doc</t>
  </si>
  <si>
    <t>C:\Users\franc\OneDrive\Documentos\MALENTIN KARIME\BANCO ESTADO\2012 DEPTO ESCRITURAS fata\NOTARIA 2009\MARUBENI\CLAUDIA PEREZ EXTRACTO.doc</t>
  </si>
  <si>
    <t>C:\Users\franc\OneDrive\Documentos\MALENTIN KARIME\BANCO ESTADO\2012 DEPTO ESCRITURAS fata\NOTARIA 2009\MARUBENI\carta marubeni.doc</t>
  </si>
  <si>
    <t>C:\Users\franc\OneDrive\Documentos\MALENTIN KARIME\BANCO ESTADO\2012 DEPTO ESCRITURAS fata\NOTARIA 2009\MARUBENI\ADOLFO MONTENEGRO.doc</t>
  </si>
  <si>
    <t>C:\Users\franc\OneDrive\Documentos\MALENTIN KARIME\BANCO ESTADO\2012 DEPTO ESCRITURAS fata\NOTARIA 2009\MARUBENI\ADOLFO MONTENEGRO EXTRACTO.doc</t>
  </si>
  <si>
    <t>C:\Users\franc\OneDrive\Documentos\MALENTIN KARIME\BANCO ESTADO\2012 DEPTO ESCRITURAS fata\NOTARIA 2009\MARIA INES NUÑEZ\VICTOR ARIAS (ALZAMIENTO BANEFE).doc</t>
  </si>
  <si>
    <t>C:\Users\franc\OneDrive\Documentos\MALENTIN KARIME\BANCO ESTADO\2012 DEPTO ESCRITURAS fata\NOTARIA 2009\MARIA INES NUÑEZ\VENTA UVAS RIO RAPEL.doc</t>
  </si>
  <si>
    <t>C:\Users\franc\OneDrive\Documentos\MALENTIN KARIME\BANCO ESTADO\2012 DEPTO ESCRITURAS fata\NOTARIA 2009\MARIA INES NUÑEZ\SOCIEDAD SANTA MARTA LIMITADA.doc</t>
  </si>
  <si>
    <t>C:\Users\franc\OneDrive\Documentos\MALENTIN KARIME\BANCO ESTADO\2012 DEPTO ESCRITURAS fata\NOTARIA 2009\MARIA INES NUÑEZ\ROSA ESPINOZA A EUGENIA ARRIAGADA.doc</t>
  </si>
  <si>
    <t>C:\Users\franc\OneDrive\Documentos\MALENTIN KARIME\BANCO ESTADO\2012 DEPTO ESCRITURAS fata\NOTARIA 2009\MARIA INES NUÑEZ\ROSA ESPINOSA A EUGENIA ARRIAGADA.doc</t>
  </si>
  <si>
    <t>C:\Users\franc\OneDrive\Documentos\MALENTIN KARIME\BANCO ESTADO\2012 DEPTO ESCRITURAS fata\NOTARIA 2009\MARIA INES NUÑEZ\RAMONA ANGEL RENUNCIA DERECHO RAL.doc</t>
  </si>
  <si>
    <t>C:\Users\franc\OneDrive\Documentos\MALENTIN KARIME\BANCO ESTADO\2012 DEPTO ESCRITURAS fata\NOTARIA 2009\MARIA INES NUÑEZ\MANUEL LOPEZ Y OTROS A ALEXIS CORTES.doc</t>
  </si>
  <si>
    <t>C:\Users\franc\OneDrive\Documentos\MALENTIN KARIME\BANCO ESTADO\2012 DEPTO ESCRITURAS fata\NOTARIA 2009\MARIA INES NUÑEZ\JUAN PORTILLA A SOC. ABRILOT.doc</t>
  </si>
  <si>
    <t>C:\Users\franc\OneDrive\Documentos\MALENTIN KARIME\BANCO ESTADO\2012 DEPTO ESCRITURAS fata\NOTARIA 2009\MARIA INES NUÑEZ\HERIBERTO ANGEL A SOC. PEREIRO.doc</t>
  </si>
  <si>
    <t>C:\Users\franc\OneDrive\Documentos\MALENTIN KARIME\BANCO ESTADO\2012 DEPTO ESCRITURAS fata\NOTARIA 2009\MARIA INES NUÑEZ\GILDA ANGEL CORTES A SOC. PEREIRO.doc</t>
  </si>
  <si>
    <t>C:\Users\franc\OneDrive\Documentos\MALENTIN KARIME\BANCO ESTADO\2012 DEPTO ESCRITURAS fata\NOTARIA 2009\MARIA INES NUÑEZ\AGRICOLA CANTA RANA  - BCO. SANTAN (ALZAMITN.doc</t>
  </si>
  <si>
    <t>C:\Users\franc\OneDrive\Documentos\MALENTIN KARIME\BANCO ESTADO\2012 DEPTO ESCRITURAS fata\NOTARIA 2009\MANUEL CORTES\modelo  (DACION EN PAGO).doc</t>
  </si>
  <si>
    <t>C:\Users\franc\OneDrive\Documentos\MALENTIN KARIME\BANCO ESTADO\2012 DEPTO ESCRITURAS fata\NOTARIA 2009\MANUEL CORTES\MANUEL CORTES A SERGIO CORTES (DACION EN PAGO).doc</t>
  </si>
  <si>
    <t>C:\Users\franc\OneDrive\Documentos\MALENTIN KARIME\BANCO ESTADO\2012 DEPTO ESCRITURAS fata\NOTARIA 2009\MANUEL CORTES\MANUEL CORTES A BELMOR ROJAS.doc</t>
  </si>
  <si>
    <t>C:\Users\franc\OneDrive\Documentos\MALENTIN KARIME\BANCO ESTADO\2012 DEPTO ESCRITURAS fata\NOTARIA 2009\MANUEL CORTES\COMERCIAL LUBBA A SANDRA ALVAREZ (MUTUO9.doc</t>
  </si>
  <si>
    <t>C:\Users\franc\OneDrive\Documentos\MALENTIN KARIME\BANCO ESTADO\2012 DEPTO ESCRITURAS fata\NOTARIA 2009\MANUEL CORTES\COMERCIAL LUBBA A SANDRA ALVAREZ  DEFINIT.doc</t>
  </si>
  <si>
    <t>C:\Users\franc\OneDrive\Documentos\MALENTIN KARIME\BANCO ESTADO\2012 DEPTO ESCRITURAS fata\NOTARIA 2009\MANUEL CORTES\CESION DE DERECHOS MANUEL CORTES A SU HERMANA (FINAL).doc</t>
  </si>
  <si>
    <t>C:\Users\franc\OneDrive\Documentos\MALENTIN KARIME\BANCO ESTADO\2012 DEPTO ESCRITURAS fata\NOTARIA 2009\MANLIO METTIFOGO\SOCIEDAD ANTARES.doc</t>
  </si>
  <si>
    <t>C:\Users\franc\OneDrive\Documentos\MALENTIN KARIME\BANCO ESTADO\2012 DEPTO ESCRITURAS fata\NOTARIA 2009\MANLIO METTIFOGO\SOC. ROBLES GUERRERO RESCILIACION.doc</t>
  </si>
  <si>
    <t>C:\Users\franc\OneDrive\Documentos\MALENTIN KARIME\BANCO ESTADO\2012 DEPTO ESCRITURAS fata\NOTARIA 2009\MANLIO METTIFOGO\SOC. ENRIQUE CORTES Y CIA. LITDA.doc</t>
  </si>
  <si>
    <t>C:\Users\franc\OneDrive\Documentos\MALENTIN KARIME\BANCO ESTADO\2012 DEPTO ESCRITURAS fata\NOTARIA 2009\MANLIO METTIFOGO\SOC. ANTARES  EXTRACTO.doc</t>
  </si>
  <si>
    <t>C:\Users\franc\OneDrive\Documentos\MALENTIN KARIME\BANCO ESTADO\2012 DEPTO ESCRITURAS fata\NOTARIA 2009\MANLIO METTIFOGO\SEBASTIAN LARA Judicial.doc</t>
  </si>
  <si>
    <t>C:\Users\franc\OneDrive\Documentos\MALENTIN KARIME\BANCO ESTADO\2012 DEPTO ESCRITURAS fata\NOTARIA 2009\MANLIO METTIFOGO\SAUL ACOSTA A SUS PADRES.doc</t>
  </si>
  <si>
    <t>C:\Users\franc\OneDrive\Documentos\MALENTIN KARIME\BANCO ESTADO\2012 DEPTO ESCRITURAS fata\NOTARIA 2009\MANLIO METTIFOGO\ROSARIO ANTIQUERA Y OTROS.doc</t>
  </si>
  <si>
    <t>C:\Users\franc\OneDrive\Documentos\MALENTIN KARIME\BANCO ESTADO\2012 DEPTO ESCRITURAS fata\NOTARIA 2009\MANLIO METTIFOGO\REPUDIACION HERENCIA ANA ARAYA ROJAS.doc</t>
  </si>
  <si>
    <t>C:\Users\franc\OneDrive\Documentos\MALENTIN KARIME\BANCO ESTADO\2012 DEPTO ESCRITURAS fata\NOTARIA 2009\MANLIO METTIFOGO\PATRICIO GALLEGUILLOS LARA A LUIS PIZARRO (VTA).doc</t>
  </si>
  <si>
    <t>C:\Users\franc\OneDrive\Documentos\MALENTIN KARIME\BANCO ESTADO\2012 DEPTO ESCRITURAS fata\NOTARIA 2009\MANLIO METTIFOGO\NORA MUÑOZ A JAIRO.doc</t>
  </si>
  <si>
    <t>C:\Users\franc\OneDrive\Documentos\MALENTIN KARIME\BANCO ESTADO\2012 DEPTO ESCRITURAS fata\NOTARIA 2009\MANLIO METTIFOGO\NANCY CERVA (TRANSACCION.doc</t>
  </si>
  <si>
    <t>C:\Users\franc\OneDrive\Documentos\MALENTIN KARIME\BANCO ESTADO\2012 DEPTO ESCRITURAS fata\NOTARIA 2009\MANLIO METTIFOGO\MANDATO JUDICIAL COM. EL POTRERO.doc</t>
  </si>
  <si>
    <t>C:\Users\franc\OneDrive\Documentos\MALENTIN KARIME\BANCO ESTADO\2012 DEPTO ESCRITURAS fata\NOTARIA 2009\MANLIO METTIFOGO\LUIS AREYUNA CORTES E.I.R.L..doc</t>
  </si>
  <si>
    <t>C:\Users\franc\OneDrive\Documentos\MALENTIN KARIME\BANCO ESTADO\2012 DEPTO ESCRITURAS fata\NOTARIA 2009\MANLIO METTIFOGO\JORGE CORTES GONZALEZ.doc</t>
  </si>
  <si>
    <t>C:\Users\franc\OneDrive\Documentos\MALENTIN KARIME\BANCO ESTADO\2012 DEPTO ESCRITURAS fata\NOTARIA 2009\MANLIO METTIFOGO\FREDDY ROJAS SEP. Y LIQU. DE SOC. CONYUGA.doc</t>
  </si>
  <si>
    <t>C:\Users\franc\OneDrive\Documentos\MALENTIN KARIME\BANCO ESTADO\2012 DEPTO ESCRITURAS fata\NOTARIA 2009\MANLIO METTIFOGO\EXTRACTO_E.I.R.L_areyuna[1].doc</t>
  </si>
  <si>
    <t>C:\Users\franc\OneDrive\Documentos\MALENTIN KARIME\BANCO ESTADO\2012 DEPTO ESCRITURAS fata\NOTARIA 2009\MANLIO METTIFOGO\EDO GALLARDO A ALICIA ROJAS PROMESA.doc</t>
  </si>
  <si>
    <t>C:\Users\franc\OneDrive\Documentos\MALENTIN KARIME\BANCO ESTADO\2012 DEPTO ESCRITURAS fata\NOTARIA 2009\MANLIO METTIFOGO\COMUNIDAD EL POTRERO CON  PEDRO CORTES.doc</t>
  </si>
  <si>
    <t>C:\Users\franc\OneDrive\Documentos\MALENTIN KARIME\BANCO ESTADO\2012 DEPTO ESCRITURAS fata\NOTARIA 2009\MANLIO METTIFOGO\COM. BUENOS AIRES A SOC. DEL OLIVAR S.A. (PROMESA).doc</t>
  </si>
  <si>
    <t>C:\Users\franc\OneDrive\Documentos\MALENTIN KARIME\BANCO ESTADO\2012 DEPTO ESCRITURAS fata\NOTARIA 2009\MANLIO METTIFOGO\CASACUBERTA (RECTIFIACION.doc</t>
  </si>
  <si>
    <t>C:\Users\franc\OneDrive\Documentos\MALENTIN KARIME\BANCO ESTADO\2012 DEPTO ESCRITURAS fata\NOTARIA 2009\MANLIO METTIFOGO\ANTIQUERA Y OTROS modificado.doc</t>
  </si>
  <si>
    <t>C:\Users\franc\OneDrive\Documentos\MALENTIN KARIME\BANCO ESTADO\2012 DEPTO ESCRITURAS fata\NOTARIA 2009\MANLIO METTIFOGO\AMANDA INAREJO (CESION DE DERECHOS).doc</t>
  </si>
  <si>
    <t>C:\Users\franc\OneDrive\Documentos\MALENTIN KARIME\BANCO ESTADO\2012 DEPTO ESCRITURAS fata\NOTARIA 2009\MANLIO METTIFOGO\ALFREDO ROJAS A LUIS ROJAS CVENTA.doc</t>
  </si>
  <si>
    <t>C:\Users\franc\OneDrive\Documentos\MALENTIN KARIME\BANCO ESTADO\2012 DEPTO ESCRITURAS fata\NOTARIA 2009\MANLIO METTIFOGO\ALFREDO ROJAS A LUIS ROJAS (ARRENDAMIENTO).doc</t>
  </si>
  <si>
    <t>C:\Users\franc\OneDrive\Documentos\MALENTIN KARIME\BANCO ESTADO\2012 DEPTO ESCRITURAS fata\NOTARIA 2009\MANDATOS PRIVADOS\YESENIA ECHEVERRIA Y OTROS  (SANTIAGO).doc</t>
  </si>
  <si>
    <t>C:\Users\franc\OneDrive\Documentos\MALENTIN KARIME\BANCO ESTADO\2012 DEPTO ESCRITURAS fata\NOTARIA 2009\MANDATOS PRIVADOS\TERESA PIZARRO  (SANTIAGO).doc</t>
  </si>
  <si>
    <t>C:\Users\franc\OneDrive\Documentos\MALENTIN KARIME\BANCO ESTADO\2012 DEPTO ESCRITURAS fata\NOTARIA 2009\MANDATOS JUDICIALES 2006\MANDATOS EXONERADOS (VICTOR ROSAS)\TOMAS CASTILLO MUÑOZ.doc</t>
  </si>
  <si>
    <t>C:\Users\franc\OneDrive\Documentos\MALENTIN KARIME\BANCO ESTADO\2012 DEPTO ESCRITURAS fata\NOTARIA 2009\MANDATOS JUDICIALES 2006\MANDATOS EXONERADOS (VICTOR ROSAS)\NOELFA PIZARRO.doc</t>
  </si>
  <si>
    <t>C:\Users\franc\OneDrive\Documentos\MALENTIN KARIME\BANCO ESTADO\2012 DEPTO ESCRITURAS fata\NOTARIA 2009\MANDATOS JUDICIALES 2006\MANDATOS EXONERADOS (VICTOR ROSAS)\JOSE LEYTON LEYTON (EXONERADO).doc</t>
  </si>
  <si>
    <t>C:\Users\franc\OneDrive\Documentos\MALENTIN KARIME\BANCO ESTADO\2012 DEPTO ESCRITURAS fata\NOTARIA 2009\MANDATOS JUDICIALES 2006\MANDATOS EXONERADOS (VICTOR ROSAS)\JOSE ABURTO CEA.doc</t>
  </si>
  <si>
    <t>C:\Users\franc\OneDrive\Documentos\MALENTIN KARIME\BANCO ESTADO\2012 DEPTO ESCRITURAS fata\NOTARIA 2009\MANDATOS JUDICIALES 2006\MANDATOS EXONERADOS (VICTOR ROSAS)\JORGE CAMPUSANO GONZALEZ.doc</t>
  </si>
  <si>
    <t>C:\Users\franc\OneDrive\Documentos\MALENTIN KARIME\BANCO ESTADO\2012 DEPTO ESCRITURAS fata\NOTARIA 2009\MANDATOS JUDICIALES 2006\MANDATOS EXONERADOS (VICTOR ROSAS)\EXEQUIEL SANDOVAL Y OTRA.doc</t>
  </si>
  <si>
    <t>C:\Users\franc\OneDrive\Documentos\MALENTIN KARIME\BANCO ESTADO\2012 DEPTO ESCRITURAS fata\NOTARIA 2009\MANDATOS JUDICIALES 2006\MANDATOS EXONERADOS (VICTOR ROSAS)\CARLOS OLIVARES (EXONERADO).doc</t>
  </si>
  <si>
    <t>C:\Users\franc\OneDrive\Documentos\MALENTIN KARIME\BANCO ESTADO\2012 DEPTO ESCRITURAS fata\NOTARIA 2009\MANDATOS JUDICIALES 2006\2008\2009\WILSON GALLEGUILLOS A MARGOT FERNANDEZ.doc</t>
  </si>
  <si>
    <t>C:\Users\franc\OneDrive\Documentos\MALENTIN KARIME\BANCO ESTADO\2012 DEPTO ESCRITURAS fata\NOTARIA 2009\MANDATOS JUDICIALES 2006\2008\2009\SOCIEDAD OSVALDO LAGUNAS.doc</t>
  </si>
  <si>
    <t>C:\Users\franc\OneDrive\Documentos\MALENTIN KARIME\BANCO ESTADO\2012 DEPTO ESCRITURAS fata\NOTARIA 2009\MANDATOS JUDICIALES 2006\2008\2009\SILVIA PIZARRO A MARIO BARRIOS.doc</t>
  </si>
  <si>
    <t>C:\Users\franc\OneDrive\Documentos\MALENTIN KARIME\BANCO ESTADO\2012 DEPTO ESCRITURAS fata\NOTARIA 2009\MANDATOS JUDICIALES 2006\2008\2009\RUBEN SLATER TORRES A ABOGADO DE LA SERENA.doc</t>
  </si>
  <si>
    <t>C:\Users\franc\OneDrive\Documentos\MALENTIN KARIME\BANCO ESTADO\2012 DEPTO ESCRITURAS fata\NOTARIA 2009\MANDATOS JUDICIALES 2006\2008\2009\ROSSY PEREZ A HUMBERTO CARRASCO (R. VEGA SUP).doc</t>
  </si>
  <si>
    <t>C:\Users\franc\OneDrive\Documentos\MALENTIN KARIME\BANCO ESTADO\2012 DEPTO ESCRITURAS fata\NOTARIA 2009\MANDATOS JUDICIALES 2006\2008\2009\ROLANDO SANTANDER A RICARDO SEPULVEDA.doc</t>
  </si>
  <si>
    <t>C:\Users\franc\OneDrive\Documentos\MALENTIN KARIME\BANCO ESTADO\2012 DEPTO ESCRITURAS fata\NOTARIA 2009\MANDATOS JUDICIALES 2006\2008\2009\PILAR RODRIGUEZ Y OTROS.doc</t>
  </si>
  <si>
    <t>C:\Users\franc\OneDrive\Documentos\MALENTIN KARIME\BANCO ESTADO\2012 DEPTO ESCRITURAS fata\NOTARIA 2009\MANDATOS JUDICIALES 2006\2008\2009\PEDRO MUÑIZ A HEIDI ZULETA Y OTRA.doc</t>
  </si>
  <si>
    <t>C:\Users\franc\OneDrive\Documentos\MALENTIN KARIME\BANCO ESTADO\2012 DEPTO ESCRITURAS fata\NOTARIA 2009\MANDATOS JUDICIALES 2006\2008\2009\MARISOL FERNANDEZ A ADOLFO LAY.doc</t>
  </si>
  <si>
    <t>C:\Users\franc\OneDrive\Documentos\MALENTIN KARIME\BANCO ESTADO\2012 DEPTO ESCRITURAS fata\NOTARIA 2009\MANDATOS JUDICIALES 2006\2008\2009\LUIS GALLEGUILLOSA CLAUDIO ARDILES.doc</t>
  </si>
  <si>
    <t>C:\Users\franc\OneDrive\Documentos\MALENTIN KARIME\BANCO ESTADO\2012 DEPTO ESCRITURAS fata\NOTARIA 2009\MANDATOS JUDICIALES 2006\2008\2009\LORENA CASTILLO A JUAN PABLO CORRAL.doc</t>
  </si>
  <si>
    <t>C:\Users\franc\OneDrive\Documentos\MALENTIN KARIME\BANCO ESTADO\2012 DEPTO ESCRITURAS fata\NOTARIA 2009\MANDATOS JUDICIALES 2006\2008\2009\JUAN PORTILLA A IRACEMA RETAMAL.doc</t>
  </si>
  <si>
    <t>C:\Users\franc\OneDrive\Documentos\MALENTIN KARIME\BANCO ESTADO\2012 DEPTO ESCRITURAS fata\NOTARIA 2009\MANDATOS JUDICIALES 2006\2008\2009\JUAN OSSANDON CORPORACION.doc</t>
  </si>
  <si>
    <t>C:\Users\franc\OneDrive\Documentos\MALENTIN KARIME\BANCO ESTADO\2012 DEPTO ESCRITURAS fata\NOTARIA 2009\MANDATOS JUDICIALES 2006\2008\2009\JUAN MUÑOZ A CARLOS FLORES.doc</t>
  </si>
  <si>
    <t>C:\Users\franc\OneDrive\Documentos\MALENTIN KARIME\BANCO ESTADO\2012 DEPTO ESCRITURAS fata\NOTARIA 2009\MANDATOS JUDICIALES 2006\2008\2009\JUAN MARTINEZ A CLAUDIO ARDILES.doc</t>
  </si>
  <si>
    <t>C:\Users\franc\OneDrive\Documentos\MALENTIN KARIME\BANCO ESTADO\2012 DEPTO ESCRITURAS fata\NOTARIA 2009\MANDATOS JUDICIALES 2006\2008\2009\JAVIER CORRAL A JUAN PABLO CORRAL.doc</t>
  </si>
  <si>
    <t>C:\Users\franc\OneDrive\Documentos\MALENTIN KARIME\BANCO ESTADO\2012 DEPTO ESCRITURAS fata\NOTARIA 2009\MANDATOS JUDICIALES 2006\2008\2009\HUGO MORALES A RICARDO SEPULVEDA.doc</t>
  </si>
  <si>
    <t>C:\Users\franc\OneDrive\Documentos\MALENTIN KARIME\BANCO ESTADO\2012 DEPTO ESCRITURAS fata\NOTARIA 2009\MANDATOS JUDICIALES 2006\2008\2009\GUIDO CAMPILLAI A ANA SEGOVIA.doc</t>
  </si>
  <si>
    <t>C:\Users\franc\OneDrive\Documentos\MALENTIN KARIME\BANCO ESTADO\2012 DEPTO ESCRITURAS fata\NOTARIA 2009\MANDATOS JUDICIALES 2006\2008\2009\GRACIELA CARVAJAL Y IOTROS A FELIPE BRAVO.doc</t>
  </si>
  <si>
    <t>C:\Users\franc\OneDrive\Documentos\MALENTIN KARIME\BANCO ESTADO\2012 DEPTO ESCRITURAS fata\NOTARIA 2009\MANDATOS JUDICIALES 2006\2008\2009\CYNTHIA VEGA  A JORGE ALVARADO.doc</t>
  </si>
  <si>
    <t>C:\Users\franc\OneDrive\Documentos\MALENTIN KARIME\BANCO ESTADO\2012 DEPTO ESCRITURAS fata\NOTARIA 2009\MANDATOS JUDICIALES 2006\2008\2009\COMUNIDAD AGRICOLA EL POTRERO A JORGE MIRANDA  Y OTRO.doc</t>
  </si>
  <si>
    <t>C:\Users\franc\OneDrive\Documentos\MALENTIN KARIME\BANCO ESTADO\2012 DEPTO ESCRITURAS fata\NOTARIA 2009\MANDATOS JUDICIALES 2006\2008\2009\CLAUDIO ARAYA Y OTRO  A CLAUDIO ARDILES.doc</t>
  </si>
  <si>
    <t>C:\Users\franc\OneDrive\Documentos\MALENTIN KARIME\BANCO ESTADO\2012 DEPTO ESCRITURAS fata\NOTARIA 2009\MANDATOS JUDICIALES 2006\2008\2009\CELINDA JERALDO A FELIPE JOPIA Y OTRO.doc</t>
  </si>
  <si>
    <t>C:\Users\franc\OneDrive\Documentos\MALENTIN KARIME\BANCO ESTADO\2012 DEPTO ESCRITURAS fata\NOTARIA 2009\MANDATOS JUDICIALES 2006\2008\2009\BERTA IRISCH Y OTRO A DANIEL SALFATE.doc</t>
  </si>
  <si>
    <t>C:\Users\franc\OneDrive\Documentos\MALENTIN KARIME\BANCO ESTADO\2012 DEPTO ESCRITURAS fata\NOTARIA 2009\MANDATOS JUDICIALES 2006\2008\2009\AURORA VEGA A HUGO LAGUNAS.doc</t>
  </si>
  <si>
    <t>C:\Users\franc\OneDrive\Documentos\MALENTIN KARIME\BANCO ESTADO\2012 DEPTO ESCRITURAS fata\NOTARIA 2009\MANDATOS JUDICIALES 2006\2008\2009\ANA ARAYA A SU HIJO CLAUDIO ARDILES.doc</t>
  </si>
  <si>
    <t>C:\Users\franc\OneDrive\Documentos\MALENTIN KARIME\BANCO ESTADO\2012 DEPTO ESCRITURAS fata\NOTARIA 2009\MANDATOS JUDICIALES 2006\2008\2009\ALICIA JIMENEZ  A MARCO JURIN.doc</t>
  </si>
  <si>
    <t>C:\Users\franc\OneDrive\Documentos\MALENTIN KARIME\BANCO ESTADO\2012 DEPTO ESCRITURAS fata\NOTARIA 2009\MANDATOS JUDICIALES 2006\2008\2009\ALBERTO VELASQUEZ  A JORGE ALVARADO.doc</t>
  </si>
  <si>
    <t>C:\Users\franc\OneDrive\Documentos\MALENTIN KARIME\BANCO ESTADO\2012 DEPTO ESCRITURAS fata\NOTARIA 2009\MANDATOS JUDICIALES 2006\2008\2009\AGROVAL A JULIO POLO Y OTRO.doc</t>
  </si>
  <si>
    <t>C:\Users\franc\OneDrive\Documentos\MALENTIN KARIME\BANCO ESTADO\2012 DEPTO ESCRITURAS fata\NOTARIA 2009\MANDATOS JUDICIALES 2006\2008\WLADIMIR VALDIVIA A  IVAN OLAVARRIA.doc</t>
  </si>
  <si>
    <t>C:\Users\franc\OneDrive\Documentos\MALENTIN KARIME\BANCO ESTADO\2012 DEPTO ESCRITURAS fata\NOTARIA 2009\MANDATOS JUDICIALES 2006\2008\WANDA HEREDIA SALINAS A ROSA PIZARRO DUBO.doc</t>
  </si>
  <si>
    <t>C:\Users\franc\OneDrive\Documentos\MALENTIN KARIME\BANCO ESTADO\2012 DEPTO ESCRITURAS fata\NOTARIA 2009\MANDATOS JUDICIALES 2006\2008\VIRTUDES ROJAS Y OTRAS A M. METTIFOGO.doc</t>
  </si>
  <si>
    <t>C:\Users\franc\OneDrive\Documentos\MALENTIN KARIME\BANCO ESTADO\2012 DEPTO ESCRITURAS fata\NOTARIA 2009\MANDATOS JUDICIALES 2006\2008\VINKA MARTINIC A CLAUDIO ARDILES.doc</t>
  </si>
  <si>
    <t>C:\Users\franc\OneDrive\Documentos\MALENTIN KARIME\BANCO ESTADO\2012 DEPTO ESCRITURAS fata\NOTARIA 2009\MANDATOS JUDICIALES 2006\2008\SOC. TRANSPORTES COLECTIVOS S.A..doc</t>
  </si>
  <si>
    <t>C:\Users\franc\OneDrive\Documentos\MALENTIN KARIME\BANCO ESTADO\2012 DEPTO ESCRITURAS fata\NOTARIA 2009\MANDATOS JUDICIALES 2006\2008\SINDICATO TAXIS COLECTIVOS.doc</t>
  </si>
  <si>
    <t>C:\Users\franc\OneDrive\Documentos\MALENTIN KARIME\BANCO ESTADO\2012 DEPTO ESCRITURAS fata\NOTARIA 2009\MANDATOS JUDICIALES 2006\2008\SILVIA ARAYA Y OTROS. A ALFREDO VILLAGRAN.doc</t>
  </si>
  <si>
    <t>C:\Users\franc\OneDrive\Documentos\MALENTIN KARIME\BANCO ESTADO\2012 DEPTO ESCRITURAS fata\NOTARIA 2009\MANDATOS JUDICIALES 2006\2008\SERGIO CASTILLO A PATRICIA CASTRO.doc</t>
  </si>
  <si>
    <t>C:\Users\franc\OneDrive\Documentos\MALENTIN KARIME\BANCO ESTADO\2012 DEPTO ESCRITURAS fata\NOTARIA 2009\MANDATOS JUDICIALES 2006\2008\SERGIO CASTILLO A PATRICIA CASTRO 2.doc</t>
  </si>
  <si>
    <t>C:\Users\franc\OneDrive\Documentos\MALENTIN KARIME\BANCO ESTADO\2012 DEPTO ESCRITURAS fata\NOTARIA 2009\MANDATOS JUDICIALES 2006\2008\SAUL ACOSTA A M. METTIFOGO.doc</t>
  </si>
  <si>
    <t>C:\Users\franc\OneDrive\Documentos\MALENTIN KARIME\BANCO ESTADO\2012 DEPTO ESCRITURAS fata\NOTARIA 2009\MANDATOS JUDICIALES 2006\2008\SALVADOR LEDEZMA A CYNTHIA ESTAY (SUPLENTE).doc</t>
  </si>
  <si>
    <t>C:\Users\franc\OneDrive\Documentos\MALENTIN KARIME\BANCO ESTADO\2012 DEPTO ESCRITURAS fata\NOTARIA 2009\MANDATOS JUDICIALES 2006\2008\RODRIGO BOLVARAN A CAROLINA ADAOS.doc</t>
  </si>
  <si>
    <t>C:\Users\franc\OneDrive\Documentos\MALENTIN KARIME\BANCO ESTADO\2012 DEPTO ESCRITURAS fata\NOTARIA 2009\MANDATOS JUDICIALES 2006\2008\ROBERTO DABED (SOC. LOS RISCOS) A S. CORTES.doc</t>
  </si>
  <si>
    <t>C:\Users\franc\OneDrive\Documentos\MALENTIN KARIME\BANCO ESTADO\2012 DEPTO ESCRITURAS fata\NOTARIA 2009\MANDATOS JUDICIALES 2006\2008\ROBERTO DABED (Selim DABED A OSCAR MUSALEM.doc</t>
  </si>
  <si>
    <t>C:\Users\franc\OneDrive\Documentos\MALENTIN KARIME\BANCO ESTADO\2012 DEPTO ESCRITURAS fata\NOTARIA 2009\MANDATOS JUDICIALES 2006\2008\RAMON RUBILAR A DIEGO MUJICA  (REVOC).doc</t>
  </si>
  <si>
    <t>C:\Users\franc\OneDrive\Documentos\MALENTIN KARIME\BANCO ESTADO\2012 DEPTO ESCRITURAS fata\NOTARIA 2009\MANDATOS JUDICIALES 2006\2008\RAMON HENRIQUEZ A FELIPE ALAMO.doc</t>
  </si>
  <si>
    <t>C:\Users\franc\OneDrive\Documentos\MALENTIN KARIME\BANCO ESTADO\2012 DEPTO ESCRITURAS fata\NOTARIA 2009\MANDATOS JUDICIALES 2006\2008\RAFAEL PROHENS Y CIA A RAUL SALAMANDA.doc</t>
  </si>
  <si>
    <t>C:\Users\franc\OneDrive\Documentos\MALENTIN KARIME\BANCO ESTADO\2012 DEPTO ESCRITURAS fata\NOTARIA 2009\MANDATOS JUDICIALES 2006\2008\PRISCILLA FLORES  A  IVAN OLAVARRIA.doc</t>
  </si>
  <si>
    <t>C:\Users\franc\OneDrive\Documentos\MALENTIN KARIME\BANCO ESTADO\2012 DEPTO ESCRITURAS fata\NOTARIA 2009\MANDATOS JUDICIALES 2006\2008\PASCUALA LEON A S. GALLEGUILLOS.doc</t>
  </si>
  <si>
    <t>C:\Users\franc\OneDrive\Documentos\MALENTIN KARIME\BANCO ESTADO\2012 DEPTO ESCRITURAS fata\NOTARIA 2009\MANDATOS JUDICIALES 2006\2008\OSMAN CORTES A FCO. OSORIO.doc</t>
  </si>
  <si>
    <t>C:\Users\franc\OneDrive\Documentos\MALENTIN KARIME\BANCO ESTADO\2012 DEPTO ESCRITURAS fata\NOTARIA 2009\MANDATOS JUDICIALES 2006\2008\OSCAR TELLO A MARCO JURIN.doc</t>
  </si>
  <si>
    <t>C:\Users\franc\OneDrive\Documentos\MALENTIN KARIME\BANCO ESTADO\2012 DEPTO ESCRITURAS fata\NOTARIA 2009\MANDATOS JUDICIALES 2006\2008\OSCAR ROA A MANLIO METTIFOGO.doc</t>
  </si>
  <si>
    <t>C:\Users\franc\OneDrive\Documentos\MALENTIN KARIME\BANCO ESTADO\2012 DEPTO ESCRITURAS fata\NOTARIA 2009\MANDATOS JUDICIALES 2006\2008\OSCAR ARAYA A ALEJANDRO ROJAS.doc</t>
  </si>
  <si>
    <t>C:\Users\franc\OneDrive\Documentos\MALENTIN KARIME\BANCO ESTADO\2012 DEPTO ESCRITURAS fata\NOTARIA 2009\MANDATOS JUDICIALES 2006\2008\OMAR MUÑOZ  A CLAUDIO ARDILES.doc</t>
  </si>
  <si>
    <t>C:\Users\franc\OneDrive\Documentos\MALENTIN KARIME\BANCO ESTADO\2012 DEPTO ESCRITURAS fata\NOTARIA 2009\MANDATOS JUDICIALES 2006\2008\NOLBERTA GOMEZ A ALEX TAPIA.doc</t>
  </si>
  <si>
    <t>C:\Users\franc\OneDrive\Documentos\MALENTIN KARIME\BANCO ESTADO\2012 DEPTO ESCRITURAS fata\NOTARIA 2009\MANDATOS JUDICIALES 2006\2008\MUNICIPALIDAD DE OVALLE A DANIEL RAPIMAN.doc</t>
  </si>
  <si>
    <t>C:\Users\franc\OneDrive\Documentos\MALENTIN KARIME\BANCO ESTADO\2012 DEPTO ESCRITURAS fata\NOTARIA 2009\MANDATOS JUDICIALES 2006\2008\MODELO (JUDICIAL).doc</t>
  </si>
  <si>
    <t>C:\Users\franc\OneDrive\Documentos\MALENTIN KARIME\BANCO ESTADO\2012 DEPTO ESCRITURAS fata\NOTARIA 2009\MANDATOS JUDICIALES 2006\2008\MIGUEL CASTILLO  A CLAUDIO ARDILES.doc</t>
  </si>
  <si>
    <t>C:\Users\franc\OneDrive\Documentos\MALENTIN KARIME\BANCO ESTADO\2012 DEPTO ESCRITURAS fata\NOTARIA 2009\MANDATOS JUDICIALES 2006\2008\MARJORIE ASTUDILLO A IVAN OLAVARRIA.doc</t>
  </si>
  <si>
    <t>C:\Users\franc\OneDrive\Documentos\MALENTIN KARIME\BANCO ESTADO\2012 DEPTO ESCRITURAS fata\NOTARIA 2009\MANDATOS JUDICIALES 2006\2008\MARIA SOLEDAD VICUÑA BAEZA A RAUL SALAMANCA CARVAJAL.doc</t>
  </si>
  <si>
    <t>C:\Users\franc\OneDrive\Documentos\MALENTIN KARIME\BANCO ESTADO\2012 DEPTO ESCRITURAS fata\NOTARIA 2009\MANDATOS JUDICIALES 2006\2008\MARIA LOLIC A MA. INES NUÑEZ.doc</t>
  </si>
  <si>
    <t>C:\Users\franc\OneDrive\Documentos\MALENTIN KARIME\BANCO ESTADO\2012 DEPTO ESCRITURAS fata\NOTARIA 2009\MANDATOS JUDICIALES 2006\2008\MARIA HENRIQUEZ Y OTRAS A RENE ALLENDE SENTIS.doc</t>
  </si>
  <si>
    <t>C:\Users\franc\OneDrive\Documentos\MALENTIN KARIME\BANCO ESTADO\2012 DEPTO ESCRITURAS fata\NOTARIA 2009\MANDATOS JUDICIALES 2006\2008\MARIA FUENTEALBA A AMERICA CONTRERAS.doc</t>
  </si>
  <si>
    <t>C:\Users\franc\OneDrive\Documentos\MALENTIN KARIME\BANCO ESTADO\2012 DEPTO ESCRITURAS fata\NOTARIA 2009\MANDATOS JUDICIALES 2006\2008\MARIA DE LOS ANGELES A SR. HURTADO.doc</t>
  </si>
  <si>
    <t>C:\Users\franc\OneDrive\Documentos\MALENTIN KARIME\BANCO ESTADO\2012 DEPTO ESCRITURAS fata\NOTARIA 2009\MANDATOS JUDICIALES 2006\2008\MARIA CORDOVA A ALEJANDRO ALVARADO.doc</t>
  </si>
  <si>
    <t>C:\Users\franc\OneDrive\Documentos\MALENTIN KARIME\BANCO ESTADO\2012 DEPTO ESCRITURAS fata\NOTARIA 2009\MANDATOS JUDICIALES 2006\2008\MARGARITA NUÑEZ.doc</t>
  </si>
  <si>
    <t>C:\Users\franc\OneDrive\Documentos\MALENTIN KARIME\BANCO ESTADO\2012 DEPTO ESCRITURAS fata\NOTARIA 2009\MANDATOS JUDICIALES 2006\2008\MARCIAL VEGA NUÑEZ A ROSENDO YAÑEZ.doc</t>
  </si>
  <si>
    <t>C:\Users\franc\OneDrive\Documentos\MALENTIN KARIME\BANCO ESTADO\2012 DEPTO ESCRITURAS fata\NOTARIA 2009\MANDATOS JUDICIALES 2006\2008\MANDATO EXONERADOS.doc</t>
  </si>
  <si>
    <t>C:\Users\franc\OneDrive\Documentos\MALENTIN KARIME\BANCO ESTADO\2012 DEPTO ESCRITURAS fata\NOTARIA 2009\MANDATOS JUDICIALES 2006\2008\MANDATO EXONERADOS varios.doc</t>
  </si>
  <si>
    <t>C:\Users\franc\OneDrive\Documentos\MALENTIN KARIME\BANCO ESTADO\2012 DEPTO ESCRITURAS fata\NOTARIA 2009\MANDATOS JUDICIALES 2006\2008\MANDATO EXONERADOS (1).doc</t>
  </si>
  <si>
    <t>C:\Users\franc\OneDrive\Documentos\MALENTIN KARIME\BANCO ESTADO\2012 DEPTO ESCRITURAS fata\NOTARIA 2009\MANDATOS JUDICIALES 2006\2008\LUIS TORREJON A JUAN PABLO CORRAL.doc</t>
  </si>
  <si>
    <t>C:\Users\franc\OneDrive\Documentos\MALENTIN KARIME\BANCO ESTADO\2012 DEPTO ESCRITURAS fata\NOTARIA 2009\MANDATOS JUDICIALES 2006\2008\LUIS ROJAS A JUAN PABLO CORRAL.doc</t>
  </si>
  <si>
    <t>C:\Users\franc\OneDrive\Documentos\MALENTIN KARIME\BANCO ESTADO\2012 DEPTO ESCRITURAS fata\NOTARIA 2009\MANDATOS JUDICIALES 2006\2008\LUIS NORTES A M. METTIFOGO.doc</t>
  </si>
  <si>
    <t>C:\Users\franc\OneDrive\Documentos\MALENTIN KARIME\BANCO ESTADO\2012 DEPTO ESCRITURAS fata\NOTARIA 2009\MANDATOS JUDICIALES 2006\2008\LUIS CABRERA A CRISTIAN ZEPEDA.doc</t>
  </si>
  <si>
    <t>C:\Users\franc\OneDrive\Documentos\MALENTIN KARIME\BANCO ESTADO\2012 DEPTO ESCRITURAS fata\NOTARIA 2009\MANDATOS JUDICIALES 2006\2008\JUAN ROJAS A ROMUALDO HERNANDEZ.doc</t>
  </si>
  <si>
    <t>C:\Users\franc\OneDrive\Documentos\MALENTIN KARIME\BANCO ESTADO\2012 DEPTO ESCRITURAS fata\NOTARIA 2009\MANDATOS JUDICIALES 2006\2008\JUAN PROHENS A JULIO POLO Y OTRO.doc</t>
  </si>
  <si>
    <t>C:\Users\franc\OneDrive\Documentos\MALENTIN KARIME\BANCO ESTADO\2012 DEPTO ESCRITURAS fata\NOTARIA 2009\MANDATOS JUDICIALES 2006\2008\JUAN JIMENEZ ARAYA  A CLAUDIO ARDILES.doc</t>
  </si>
  <si>
    <t>C:\Users\franc\OneDrive\Documentos\MALENTIN KARIME\BANCO ESTADO\2012 DEPTO ESCRITURAS fata\NOTARIA 2009\MANDATOS JUDICIALES 2006\2008\JUAN CASTRO A SR. MERIÑO.doc</t>
  </si>
  <si>
    <t>C:\Users\franc\OneDrive\Documentos\MALENTIN KARIME\BANCO ESTADO\2012 DEPTO ESCRITURAS fata\NOTARIA 2009\MANDATOS JUDICIALES 2006\2008\JORGE CUEVAS Y OTR. A CLAUDIO ARDILES.doc</t>
  </si>
  <si>
    <t>C:\Users\franc\OneDrive\Documentos\MALENTIN KARIME\BANCO ESTADO\2012 DEPTO ESCRITURAS fata\NOTARIA 2009\MANDATOS JUDICIALES 2006\2008\JAVIER COLLAO A MARCO YURIN.doc</t>
  </si>
  <si>
    <t>C:\Users\franc\OneDrive\Documentos\MALENTIN KARIME\BANCO ESTADO\2012 DEPTO ESCRITURAS fata\NOTARIA 2009\MANDATOS JUDICIALES 2006\2008\JAVIER COLLAO A MARCO JURIN.doc</t>
  </si>
  <si>
    <t>C:\Users\franc\OneDrive\Documentos\MALENTIN KARIME\BANCO ESTADO\2012 DEPTO ESCRITURAS fata\NOTARIA 2009\MANDATOS JUDICIALES 2006\2008\JAIME MONDACA A J. POLANCO.doc</t>
  </si>
  <si>
    <t>C:\Users\franc\OneDrive\Documentos\MALENTIN KARIME\BANCO ESTADO\2012 DEPTO ESCRITURAS fata\NOTARIA 2009\MANDATOS JUDICIALES 2006\2008\HUGO LUCO A PAOLA LUCO.doc</t>
  </si>
  <si>
    <t>C:\Users\franc\OneDrive\Documentos\MALENTIN KARIME\BANCO ESTADO\2012 DEPTO ESCRITURAS fata\NOTARIA 2009\MANDATOS JUDICIALES 2006\2008\HUGO CORTEZ A MIGUEL SANHUEZA.doc</t>
  </si>
  <si>
    <t>C:\Users\franc\OneDrive\Documentos\MALENTIN KARIME\BANCO ESTADO\2012 DEPTO ESCRITURAS fata\NOTARIA 2009\MANDATOS JUDICIALES 2006\2008\HERMAN ANDRADES A CARLOS MARIN (ESPECIAL).doc</t>
  </si>
  <si>
    <t>C:\Users\franc\OneDrive\Documentos\MALENTIN KARIME\BANCO ESTADO\2012 DEPTO ESCRITURAS fata\NOTARIA 2009\MANDATOS JUDICIALES 2006\2008\GALVARINO SANCHEZ (EXONERADO).doc</t>
  </si>
  <si>
    <t>C:\Users\franc\OneDrive\Documentos\MALENTIN KARIME\BANCO ESTADO\2012 DEPTO ESCRITURAS fata\NOTARIA 2009\MANDATOS JUDICIALES 2006\2008\GABRIEL RAMIREZ A JORGE ALVARADO.doc</t>
  </si>
  <si>
    <t>C:\Users\franc\OneDrive\Documentos\MALENTIN KARIME\BANCO ESTADO\2012 DEPTO ESCRITURAS fata\NOTARIA 2009\MANDATOS JUDICIALES 2006\2008\GABRIEL CERDA A SERGIO PERALTA.doc</t>
  </si>
  <si>
    <t>C:\Users\franc\OneDrive\Documentos\MALENTIN KARIME\BANCO ESTADO\2012 DEPTO ESCRITURAS fata\NOTARIA 2009\MANDATOS JUDICIALES 2006\2008\FILADELFIA MALUENDA A S. GALLEGUILLOS.doc</t>
  </si>
  <si>
    <t>C:\Users\franc\OneDrive\Documentos\MALENTIN KARIME\BANCO ESTADO\2012 DEPTO ESCRITURAS fata\NOTARIA 2009\MANDATOS JUDICIALES 2006\2008\FERNANDO SANCHEZ A  IVAN OLAVARRIA.doc</t>
  </si>
  <si>
    <t>C:\Users\franc\OneDrive\Documentos\MALENTIN KARIME\BANCO ESTADO\2012 DEPTO ESCRITURAS fata\NOTARIA 2009\MANDATOS JUDICIALES 2006\2008\FERNANDO CUEVAS A CLAUDIO ARDILES.doc</t>
  </si>
  <si>
    <t>C:\Users\franc\OneDrive\Documentos\MALENTIN KARIME\BANCO ESTADO\2012 DEPTO ESCRITURAS fata\NOTARIA 2009\MANDATOS JUDICIALES 2006\2008\ELVIRA MILLAN (EXONERADO.doc</t>
  </si>
  <si>
    <t>C:\Users\franc\OneDrive\Documentos\MALENTIN KARIME\BANCO ESTADO\2012 DEPTO ESCRITURAS fata\NOTARIA 2009\MANDATOS JUDICIALES 2006\2008\EBRIDIQUE JARAMILLO A JORGE ALVARADO.doc</t>
  </si>
  <si>
    <t>C:\Users\franc\OneDrive\Documentos\MALENTIN KARIME\BANCO ESTADO\2012 DEPTO ESCRITURAS fata\NOTARIA 2009\MANDATOS JUDICIALES 2006\2008\DIEGO GALLARDO A FRANKLIN GALLARDO (NOT. SUPLENTE).doc</t>
  </si>
  <si>
    <t>C:\Users\franc\OneDrive\Documentos\MALENTIN KARIME\BANCO ESTADO\2012 DEPTO ESCRITURAS fata\NOTARIA 2009\MANDATOS JUDICIALES 2006\2008\CRISTIAN GALLEGUILLOS LARA A YASMINA PARDO ILLANES.doc</t>
  </si>
  <si>
    <t>C:\Users\franc\OneDrive\Documentos\MALENTIN KARIME\BANCO ESTADO\2012 DEPTO ESCRITURAS fata\NOTARIA 2009\MANDATOS JUDICIALES 2006\2008\COMUNIDAD JARA O LAJA A PATRICIA ALFARO.doc</t>
  </si>
  <si>
    <t>C:\Users\franc\OneDrive\Documentos\MALENTIN KARIME\BANCO ESTADO\2012 DEPTO ESCRITURAS fata\NOTARIA 2009\MANDATOS JUDICIALES 2006\2008\COMUNIDAD AGRICOLA EL PEÑON A HUGO DEL CAMPO.doc</t>
  </si>
  <si>
    <t>C:\Users\franc\OneDrive\Documentos\MALENTIN KARIME\BANCO ESTADO\2012 DEPTO ESCRITURAS fata\NOTARIA 2009\MANDATOS JUDICIALES 2006\2008\CLAUDIA HENRIQUEZ A JORGE ALVARADO.doc</t>
  </si>
  <si>
    <t>C:\Users\franc\OneDrive\Documentos\MALENTIN KARIME\BANCO ESTADO\2012 DEPTO ESCRITURAS fata\NOTARIA 2009\MANDATOS JUDICIALES 2006\2008\CIA. MRA. TAMAYA  A JAIME MUÑOZ.doc</t>
  </si>
  <si>
    <t>C:\Users\franc\OneDrive\Documentos\MALENTIN KARIME\BANCO ESTADO\2012 DEPTO ESCRITURAS fata\NOTARIA 2009\MANDATOS JUDICIALES 2006\2008\CIA. MRA. PUNITAQUI A JAIME MUÑOZ.doc</t>
  </si>
  <si>
    <t>C:\Users\franc\OneDrive\Documentos\MALENTIN KARIME\BANCO ESTADO\2012 DEPTO ESCRITURAS fata\NOTARIA 2009\MANDATOS JUDICIALES 2006\2008\CESAR VALDIVIA A ALBERTO VIADA.doc</t>
  </si>
  <si>
    <t>C:\Users\franc\OneDrive\Documentos\MALENTIN KARIME\BANCO ESTADO\2012 DEPTO ESCRITURAS fata\NOTARIA 2009\MANDATOS JUDICIALES 2006\2008\CESAR FLORES A PATRICIA CASTRO.doc</t>
  </si>
  <si>
    <t>C:\Users\franc\OneDrive\Documentos\MALENTIN KARIME\BANCO ESTADO\2012 DEPTO ESCRITURAS fata\NOTARIA 2009\MANDATOS JUDICIALES 2006\2008\CESAR FLORES A PATRICIA CASTRO (2).doc</t>
  </si>
  <si>
    <t>C:\Users\franc\OneDrive\Documentos\MALENTIN KARIME\BANCO ESTADO\2012 DEPTO ESCRITURAS fata\NOTARIA 2009\MANDATOS JUDICIALES 2006\2008\CAROLINA CARVAJAL.doc</t>
  </si>
  <si>
    <t>C:\Users\franc\OneDrive\Documentos\MALENTIN KARIME\BANCO ESTADO\2012 DEPTO ESCRITURAS fata\NOTARIA 2009\MANDATOS JUDICIALES 2006\2008\CARLOS OLIVARES (EXONERADO).doc</t>
  </si>
  <si>
    <t>C:\Users\franc\OneDrive\Documentos\MALENTIN KARIME\BANCO ESTADO\2012 DEPTO ESCRITURAS fata\NOTARIA 2009\MANDATOS JUDICIALES 2006\2008\CANAL LOS AZULES A SERGIO CORTES.doc</t>
  </si>
  <si>
    <t>C:\Users\franc\OneDrive\Documentos\MALENTIN KARIME\BANCO ESTADO\2012 DEPTO ESCRITURAS fata\NOTARIA 2009\MANDATOS JUDICIALES 2006\2008\AUSTRALIA JAIME A EUGENIO RIVAS  (REVOC).doc</t>
  </si>
  <si>
    <t>C:\Users\franc\OneDrive\Documentos\MALENTIN KARIME\BANCO ESTADO\2012 DEPTO ESCRITURAS fata\NOTARIA 2009\MANDATOS JUDICIALES 2006\2008\ANTOLIN ARACENA A S. GALLEGUILLOS.doc</t>
  </si>
  <si>
    <t>C:\Users\franc\OneDrive\Documentos\MALENTIN KARIME\BANCO ESTADO\2012 DEPTO ESCRITURAS fata\NOTARIA 2009\MANDATOS JUDICIALES 2006\2008\ANTOLIN ARACENA A RODRIGO CEBALLOS (ESPECIAL).doc</t>
  </si>
  <si>
    <t>C:\Users\franc\OneDrive\Documentos\MALENTIN KARIME\BANCO ESTADO\2012 DEPTO ESCRITURAS fata\NOTARIA 2009\MANDATOS JUDICIALES 2006\2008\ALFONSO PASTEN.doc</t>
  </si>
  <si>
    <t>C:\Users\franc\OneDrive\Documentos\MALENTIN KARIME\BANCO ESTADO\2012 DEPTO ESCRITURAS fata\NOTARIA 2009\MANDATOS JUDICIALES 2006\2008\ALFONSO PASTEN A DANIELA CABRERA.doc</t>
  </si>
  <si>
    <t>C:\Users\franc\OneDrive\Documentos\MALENTIN KARIME\BANCO ESTADO\2012 DEPTO ESCRITURAS fata\NOTARIA 2009\MANDATOS JUDICIALES 2006\2008\ALEJANDRO VEGA A ENRIQUE GARCIA.doc</t>
  </si>
  <si>
    <t>C:\Users\franc\OneDrive\Documentos\MALENTIN KARIME\BANCO ESTADO\2012 DEPTO ESCRITURAS fata\NOTARIA 2009\MANDATOS JUDICIALES 2006\2008\ALEJANDRO PLAZA  A JUAN PABLO CORRAL.doc</t>
  </si>
  <si>
    <t>C:\Users\franc\OneDrive\Documentos\MALENTIN KARIME\BANCO ESTADO\2012 DEPTO ESCRITURAS fata\NOTARIA 2009\MANDATOS JUDICIALES 2006\2008\ALEJANDRA CORTES A PATRICIA CORTES.doc</t>
  </si>
  <si>
    <t>C:\Users\franc\OneDrive\Documentos\MALENTIN KARIME\BANCO ESTADO\2012 DEPTO ESCRITURAS fata\NOTARIA 2009\MANDATOS JUDICIALES 2006\2008\AGRICOLA AGUSTIN ARAYA A CLAUDIO ARDILES.doc</t>
  </si>
  <si>
    <t>C:\Users\franc\OneDrive\Documentos\MALENTIN KARIME\BANCO ESTADO\2012 DEPTO ESCRITURAS fata\NOTARIA 2009\MANDATOS JUDICIALES 2006\ZUNILDA GALLEGUILLOS A ALEJANDRA FARFAN.doc</t>
  </si>
  <si>
    <t>C:\Users\franc\OneDrive\Documentos\MALENTIN KARIME\BANCO ESTADO\2012 DEPTO ESCRITURAS fata\NOTARIA 2009\MANDATOS JUDICIALES 2006\YASMINA PARDO A EDO. PARDO.doc</t>
  </si>
  <si>
    <t>C:\Users\franc\OneDrive\Documentos\MALENTIN KARIME\BANCO ESTADO\2012 DEPTO ESCRITURAS fata\NOTARIA 2009\MANDATOS JUDICIALES 2006\WLADIMIR VALDIVIA ROJAS A IVAN OLAVARRIA.doc</t>
  </si>
  <si>
    <t>C:\Users\franc\OneDrive\Documentos\MALENTIN KARIME\BANCO ESTADO\2012 DEPTO ESCRITURAS fata\NOTARIA 2009\MANDATOS JUDICIALES 2006\WILSON GUERRERO A C. ARDILES Y OTRO.doc</t>
  </si>
  <si>
    <t>C:\Users\franc\OneDrive\Documentos\MALENTIN KARIME\BANCO ESTADO\2012 DEPTO ESCRITURAS fata\NOTARIA 2009\MANDATOS JUDICIALES 2006\WALDO HEREDIA A JULIO POLANCO.doc</t>
  </si>
  <si>
    <t>C:\Users\franc\OneDrive\Documentos\MALENTIN KARIME\BANCO ESTADO\2012 DEPTO ESCRITURAS fata\NOTARIA 2009\MANDATOS JUDICIALES 2006\VIOLETA TORREJON A EVELYN PEREZ.doc</t>
  </si>
  <si>
    <t>C:\Users\franc\OneDrive\Documentos\MALENTIN KARIME\BANCO ESTADO\2012 DEPTO ESCRITURAS fata\NOTARIA 2009\MANDATOS JUDICIALES 2006\VALENTIN CONTRERAS A C. CASTILLO Y OTRO.doc</t>
  </si>
  <si>
    <t>C:\Users\franc\OneDrive\Documentos\MALENTIN KARIME\BANCO ESTADO\2012 DEPTO ESCRITURAS fata\NOTARIA 2009\MANDATOS JUDICIALES 2006\SOCIEDAD CONSTRUCTORA Arkon ltda}.doc</t>
  </si>
  <si>
    <t>C:\Users\franc\OneDrive\Documentos\MALENTIN KARIME\BANCO ESTADO\2012 DEPTO ESCRITURAS fata\NOTARIA 2009\MANDATOS JUDICIALES 2006\SOC. STA TERESA A MANLIO METTIFOGO.doc</t>
  </si>
  <si>
    <t>C:\Users\franc\OneDrive\Documentos\MALENTIN KARIME\BANCO ESTADO\2012 DEPTO ESCRITURAS fata\NOTARIA 2009\MANDATOS JUDICIALES 2006\SILVIA ROMERO A CECILIA TIRADO.doc</t>
  </si>
  <si>
    <t>C:\Users\franc\OneDrive\Documentos\MALENTIN KARIME\BANCO ESTADO\2012 DEPTO ESCRITURAS fata\NOTARIA 2009\MANDATOS JUDICIALES 2006\SILVIA ROJAS A ARMANDO MIRANDA.doc</t>
  </si>
  <si>
    <t>C:\Users\franc\OneDrive\Documentos\MALENTIN KARIME\BANCO ESTADO\2012 DEPTO ESCRITURAS fata\NOTARIA 2009\MANDATOS JUDICIALES 2006\SERGIO BUGUEÑO A MA. INES NUÑEZ.doc</t>
  </si>
  <si>
    <t>C:\Users\franc\OneDrive\Documentos\MALENTIN KARIME\BANCO ESTADO\2012 DEPTO ESCRITURAS fata\NOTARIA 2009\MANDATOS JUDICIALES 2006\SERGIO BUGUEÑO A C. ARDILES Y OTRO.doc</t>
  </si>
  <si>
    <t>C:\Users\franc\OneDrive\Documentos\MALENTIN KARIME\BANCO ESTADO\2012 DEPTO ESCRITURAS fata\NOTARIA 2009\MANDATOS JUDICIALES 2006\SARA ANGEL A CLAUDIO ARDILES.doc</t>
  </si>
  <si>
    <t>C:\Users\franc\OneDrive\Documentos\MALENTIN KARIME\BANCO ESTADO\2012 DEPTO ESCRITURAS fata\NOTARIA 2009\MANDATOS JUDICIALES 2006\ROSA PALACIOS A C. ARDILES Y M. METTIFOGO.doc</t>
  </si>
  <si>
    <t>C:\Users\franc\OneDrive\Documentos\MALENTIN KARIME\BANCO ESTADO\2012 DEPTO ESCRITURAS fata\NOTARIA 2009\MANDATOS JUDICIALES 2006\RODOLFO FERNANDEZ A MA. INES NUÑEZ.doc</t>
  </si>
  <si>
    <t>C:\Users\franc\OneDrive\Documentos\MALENTIN KARIME\BANCO ESTADO\2012 DEPTO ESCRITURAS fata\NOTARIA 2009\MANDATOS JUDICIALES 2006\PEDRO ROJAS A MERCEDES RUBINA.doc</t>
  </si>
  <si>
    <t>C:\Users\franc\OneDrive\Documentos\MALENTIN KARIME\BANCO ESTADO\2012 DEPTO ESCRITURAS fata\NOTARIA 2009\MANDATOS JUDICIALES 2006\PEDRO CANIHUANTE.doc</t>
  </si>
  <si>
    <t>C:\Users\franc\OneDrive\Documentos\MALENTIN KARIME\BANCO ESTADO\2012 DEPTO ESCRITURAS fata\NOTARIA 2009\MANDATOS JUDICIALES 2006\PASCUAL MUÑOZ.doc</t>
  </si>
  <si>
    <t>C:\Users\franc\OneDrive\Documentos\MALENTIN KARIME\BANCO ESTADO\2012 DEPTO ESCRITURAS fata\NOTARIA 2009\MANDATOS JUDICIALES 2006\NANCY CASTRO A CLAUDIO ARDILES.doc</t>
  </si>
  <si>
    <t>C:\Users\franc\OneDrive\Documentos\MALENTIN KARIME\BANCO ESTADO\2012 DEPTO ESCRITURAS fata\NOTARIA 2009\MANDATOS JUDICIALES 2006\MODELO NOTARIO.doc</t>
  </si>
  <si>
    <t>C:\Users\franc\OneDrive\Documentos\MALENTIN KARIME\BANCO ESTADO\2012 DEPTO ESCRITURAS fata\NOTARIA 2009\MANDATOS JUDICIALES 2006\MARTA PONCE A C. ARDILES.doc</t>
  </si>
  <si>
    <t>C:\Users\franc\OneDrive\Documentos\MALENTIN KARIME\BANCO ESTADO\2012 DEPTO ESCRITURAS fata\NOTARIA 2009\MANDATOS JUDICIALES 2006\MARIA FLORES A JUAN GARCIA Y OTRO.doc</t>
  </si>
  <si>
    <t>C:\Users\franc\OneDrive\Documentos\MALENTIN KARIME\BANCO ESTADO\2012 DEPTO ESCRITURAS fata\NOTARIA 2009\MANDATOS JUDICIALES 2006\MARIA CARVAJAL A CLAUDIO ARDILES.doc</t>
  </si>
  <si>
    <t>C:\Users\franc\OneDrive\Documentos\MALENTIN KARIME\BANCO ESTADO\2012 DEPTO ESCRITURAS fata\NOTARIA 2009\MANDATOS JUDICIALES 2006\MARGARITA PARDO A XIMENA DORICH (CORP).doc</t>
  </si>
  <si>
    <t>C:\Users\franc\OneDrive\Documentos\MALENTIN KARIME\BANCO ESTADO\2012 DEPTO ESCRITURAS fata\NOTARIA 2009\MANDATOS JUDICIALES 2006\MARCELO CORRAL Y OT. A CLAUDIO ARDILES.doc</t>
  </si>
  <si>
    <t>C:\Users\franc\OneDrive\Documentos\MALENTIN KARIME\BANCO ESTADO\2012 DEPTO ESCRITURAS fata\NOTARIA 2009\MANDATOS JUDICIALES 2006\manuel alfaro.doc</t>
  </si>
  <si>
    <t>C:\Users\franc\OneDrive\Documentos\MALENTIN KARIME\BANCO ESTADO\2012 DEPTO ESCRITURAS fata\NOTARIA 2009\MANDATOS JUDICIALES 2006\LUMINALDA ORELLANA A MA. NUÑEZ HERRERZ.doc</t>
  </si>
  <si>
    <t>C:\Users\franc\OneDrive\Documentos\MALENTIN KARIME\BANCO ESTADO\2012 DEPTO ESCRITURAS fata\NOTARIA 2009\MANDATOS JUDICIALES 2006\LUIS VILLALOBOS A VERONICA CERDA.doc</t>
  </si>
  <si>
    <t>C:\Users\franc\OneDrive\Documentos\MALENTIN KARIME\BANCO ESTADO\2012 DEPTO ESCRITURAS fata\NOTARIA 2009\MANDATOS JUDICIALES 2006\LUIS TORREJON  A JUAN P. CORRAL (REVOC).doc</t>
  </si>
  <si>
    <t>C:\Users\franc\OneDrive\Documentos\MALENTIN KARIME\BANCO ESTADO\2012 DEPTO ESCRITURAS fata\NOTARIA 2009\MANDATOS JUDICIALES 2006\LUCIA CORRAL A MARCOS LOPEZ.doc</t>
  </si>
  <si>
    <t>C:\Users\franc\OneDrive\Documentos\MALENTIN KARIME\BANCO ESTADO\2012 DEPTO ESCRITURAS fata\NOTARIA 2009\MANDATOS JUDICIALES 2006\LORENZO VELIZ A FLORENCIO MONTENE Y OTRO.doc</t>
  </si>
  <si>
    <t>C:\Users\franc\OneDrive\Documentos\MALENTIN KARIME\BANCO ESTADO\2012 DEPTO ESCRITURAS fata\NOTARIA 2009\MANDATOS JUDICIALES 2006\LIDIA PIZARRO A CAROLINA ADAOS.doc</t>
  </si>
  <si>
    <t>C:\Users\franc\OneDrive\Documentos\MALENTIN KARIME\BANCO ESTADO\2012 DEPTO ESCRITURAS fata\NOTARIA 2009\MANDATOS JUDICIALES 2006\LEONARDO PEREZ.doc</t>
  </si>
  <si>
    <t>C:\Users\franc\OneDrive\Documentos\MALENTIN KARIME\BANCO ESTADO\2012 DEPTO ESCRITURAS fata\NOTARIA 2009\MANDATOS JUDICIALES 2006\LAUREANO RAMOS A C. ARDILES Y OTRO.doc</t>
  </si>
  <si>
    <t>C:\Users\franc\OneDrive\Documentos\MALENTIN KARIME\BANCO ESTADO\2012 DEPTO ESCRITURAS fata\NOTARIA 2009\MANDATOS JUDICIALES 2006\LAURA OLIVARES REVOCACION MANDATO GENERAL.doc</t>
  </si>
  <si>
    <t>C:\Users\franc\OneDrive\Documentos\MALENTIN KARIME\BANCO ESTADO\2012 DEPTO ESCRITURAS fata\NOTARIA 2009\MANDATOS JUDICIALES 2006\JUAN PIZARRO A C. ARDILES Y OTRO.doc</t>
  </si>
  <si>
    <t>C:\Users\franc\OneDrive\Documentos\MALENTIN KARIME\BANCO ESTADO\2012 DEPTO ESCRITURAS fata\NOTARIA 2009\MANDATOS JUDICIALES 2006\JOSE RAMOS A JORGE ALVARADO.doc</t>
  </si>
  <si>
    <t>C:\Users\franc\OneDrive\Documentos\MALENTIN KARIME\BANCO ESTADO\2012 DEPTO ESCRITURAS fata\NOTARIA 2009\MANDATOS JUDICIALES 2006\JOSE GONZALEZ JERIA A M CORTES YCLAUDIO.doc</t>
  </si>
  <si>
    <t>C:\Users\franc\OneDrive\Documentos\MALENTIN KARIME\BANCO ESTADO\2012 DEPTO ESCRITURAS fata\NOTARIA 2009\MANDATOS JUDICIALES 2006\JORGE CASTILLO A CARLOS TELLO ....doc</t>
  </si>
  <si>
    <t>C:\Users\franc\OneDrive\Documentos\MALENTIN KARIME\BANCO ESTADO\2012 DEPTO ESCRITURAS fata\NOTARIA 2009\MANDATOS JUDICIALES 2006\JORGE AGUIRRE.doc</t>
  </si>
  <si>
    <t>C:\Users\franc\OneDrive\Documentos\MALENTIN KARIME\BANCO ESTADO\2012 DEPTO ESCRITURAS fata\NOTARIA 2009\MANDATOS JUDICIALES 2006\JACINTO CARVAJAL A MARCO JURIN.doc</t>
  </si>
  <si>
    <t>C:\Users\franc\OneDrive\Documentos\MALENTIN KARIME\BANCO ESTADO\2012 DEPTO ESCRITURAS fata\NOTARIA 2009\MANDATOS JUDICIALES 2006\IVAN MARTINAC A CLAUDIO ARDILES.doc</t>
  </si>
  <si>
    <t>C:\Users\franc\OneDrive\Documentos\MALENTIN KARIME\BANCO ESTADO\2012 DEPTO ESCRITURAS fata\NOTARIA 2009\MANDATOS JUDICIALES 2006\INVER. ROMERAL SEI LTDA. A S. PERALTA.doc</t>
  </si>
  <si>
    <t>C:\Users\franc\OneDrive\Documentos\MALENTIN KARIME\BANCO ESTADO\2012 DEPTO ESCRITURAS fata\NOTARIA 2009\MANDATOS JUDICIALES 2006\HILDA CARVAJAL A CLAUDIO MARCHANT.doc</t>
  </si>
  <si>
    <t>C:\Users\franc\OneDrive\Documentos\MALENTIN KARIME\BANCO ESTADO\2012 DEPTO ESCRITURAS fata\NOTARIA 2009\MANDATOS JUDICIALES 2006\GONZALO CORTES A PABLO ARRIAGADA.doc</t>
  </si>
  <si>
    <t>C:\Users\franc\OneDrive\Documentos\MALENTIN KARIME\BANCO ESTADO\2012 DEPTO ESCRITURAS fata\NOTARIA 2009\MANDATOS JUDICIALES 2006\GEORGINA ROSARIO A PATRICIO SEGOVIA.doc</t>
  </si>
  <si>
    <t>C:\Users\franc\OneDrive\Documentos\MALENTIN KARIME\BANCO ESTADO\2012 DEPTO ESCRITURAS fata\NOTARIA 2009\MANDATOS JUDICIALES 2006\FIDEL VALERRAMA Y OTRA A JULIO ALVAREZ.doc</t>
  </si>
  <si>
    <t>C:\Users\franc\OneDrive\Documentos\MALENTIN KARIME\BANCO ESTADO\2012 DEPTO ESCRITURAS fata\NOTARIA 2009\MANDATOS JUDICIALES 2006\FCO. ALUCEMA A MARIO BARRIOS.doc</t>
  </si>
  <si>
    <t>C:\Users\franc\OneDrive\Documentos\MALENTIN KARIME\BANCO ESTADO\2012 DEPTO ESCRITURAS fata\NOTARIA 2009\MANDATOS JUDICIALES 2006\EXPORTADORA ACONCAGUA A R. CONTADOR.doc</t>
  </si>
  <si>
    <t>C:\Users\franc\OneDrive\Documentos\MALENTIN KARIME\BANCO ESTADO\2012 DEPTO ESCRITURAS fata\NOTARIA 2009\MANDATOS JUDICIALES 2006\ESPECIERA S.A..doc</t>
  </si>
  <si>
    <t>C:\Users\franc\OneDrive\Documentos\MALENTIN KARIME\BANCO ESTADO\2012 DEPTO ESCRITURAS fata\NOTARIA 2009\MANDATOS JUDICIALES 2006\eglantina mundaca (revocacion).doc</t>
  </si>
  <si>
    <t>C:\Users\franc\OneDrive\Documentos\MALENTIN KARIME\BANCO ESTADO\2012 DEPTO ESCRITURAS fata\NOTARIA 2009\MANDATOS JUDICIALES 2006\DORA VILLAR  REVOCACION MANDATO.doc</t>
  </si>
  <si>
    <t>C:\Users\franc\OneDrive\Documentos\MALENTIN KARIME\BANCO ESTADO\2012 DEPTO ESCRITURAS fata\NOTARIA 2009\MANDATOS JUDICIALES 2006\DORA VILLAR  a CAROLINA ADAOS.doc</t>
  </si>
  <si>
    <t>C:\Users\franc\OneDrive\Documentos\MALENTIN KARIME\BANCO ESTADO\2012 DEPTO ESCRITURAS fata\NOTARIA 2009\MANDATOS JUDICIALES 2006\DELFIA VERGARA A JAIME MUÑOZ (REVOCACION.doc</t>
  </si>
  <si>
    <t>C:\Users\franc\OneDrive\Documentos\MALENTIN KARIME\BANCO ESTADO\2012 DEPTO ESCRITURAS fata\NOTARIA 2009\MANDATOS JUDICIALES 2006\DELADIER VELASQUEZ A C. ARDIELS Y OTRO.doc</t>
  </si>
  <si>
    <t>C:\Users\franc\OneDrive\Documentos\MALENTIN KARIME\BANCO ESTADO\2012 DEPTO ESCRITURAS fata\NOTARIA 2009\MANDATOS JUDICIALES 2006\CIA. MINERA DEMETRIO TELLO.doc</t>
  </si>
  <si>
    <t>C:\Users\franc\OneDrive\Documentos\MALENTIN KARIME\BANCO ESTADO\2012 DEPTO ESCRITURAS fata\NOTARIA 2009\MANDATOS JUDICIALES 2006\BENEDICTA TORO (REVOCACION).doc</t>
  </si>
  <si>
    <t>C:\Users\franc\OneDrive\Documentos\MALENTIN KARIME\BANCO ESTADO\2012 DEPTO ESCRITURAS fata\NOTARIA 2009\MANDATOS JUDICIALES 2006\ASOCIACION DE CANALISTAS DEL EMBALSE COGOTI.doc</t>
  </si>
  <si>
    <t>C:\Users\franc\OneDrive\Documentos\MALENTIN KARIME\BANCO ESTADO\2012 DEPTO ESCRITURAS fata\NOTARIA 2009\MANDATOS JUDICIALES 2006\ARMANDO SALAMANCA A SERGIO PERALTA.doc</t>
  </si>
  <si>
    <t>C:\Users\franc\OneDrive\Documentos\MALENTIN KARIME\BANCO ESTADO\2012 DEPTO ESCRITURAS fata\NOTARIA 2009\MANDATOS JUDICIALES 2006\ARCHIVALDO ARAYA A REINALDO RUDLOFF.doc</t>
  </si>
  <si>
    <t>C:\Users\franc\OneDrive\Documentos\MALENTIN KARIME\BANCO ESTADO\2012 DEPTO ESCRITURAS fata\NOTARIA 2009\MANDATOS JUDICIALES 2006\ANGELICA MIÑO A ROSA GAJARDO.doc</t>
  </si>
  <si>
    <t>C:\Users\franc\OneDrive\Documentos\MALENTIN KARIME\BANCO ESTADO\2012 DEPTO ESCRITURAS fata\NOTARIA 2009\MANDATOS JUDICIALES 2006\ANA MARIA LABARCA A PABLO ARRIAGADA Y OTR.doc</t>
  </si>
  <si>
    <t>C:\Users\franc\OneDrive\Documentos\MALENTIN KARIME\BANCO ESTADO\2012 DEPTO ESCRITURAS fata\NOTARIA 2009\MANDATOS JUDICIALES 2006\ANA MA. LABARCA A LEANDRO GALLARDO (REVOC).doc</t>
  </si>
  <si>
    <t>C:\Users\franc\OneDrive\Documentos\MALENTIN KARIME\BANCO ESTADO\2012 DEPTO ESCRITURAS fata\NOTARIA 2009\MANDATOS JUDICIALES 2006\ANA MA. LABARCA A  PABLO ARRIAGADA Y OTRO.doc</t>
  </si>
  <si>
    <t>C:\Users\franc\OneDrive\Documentos\MALENTIN KARIME\BANCO ESTADO\2012 DEPTO ESCRITURAS fata\NOTARIA 2009\MANDATOS JUDICIALES 2006\AGRICOLA CANTA RANA A RAUL SALAMANCA.doc</t>
  </si>
  <si>
    <t>C:\Users\franc\OneDrive\Documentos\MALENTIN KARIME\BANCO ESTADO\2012 DEPTO ESCRITURAS fata\NOTARIA 2009\MANDATOS JUDICIALES 2006\ADOLFO CORTES A M. CORTES Y OTRO.doc</t>
  </si>
  <si>
    <t>C:\Users\franc\OneDrive\Documentos\MALENTIN KARIME\BANCO ESTADO\2012 DEPTO ESCRITURAS fata\NOTARIA 2009\MANDATOS JUDICIALES 2006\ADOLFO ARAYA A PATRICIA ALFARO.doc</t>
  </si>
  <si>
    <t>C:\Users\franc\OneDrive\Documentos\MALENTIN KARIME\BANCO ESTADO\2012 DEPTO ESCRITURAS fata\NOTARIA 2009\mandatos generales\MARJORIE ASTUDILLO A WLADIMIR VALDIVIA.doc</t>
  </si>
  <si>
    <t>C:\Users\franc\OneDrive\Documentos\MALENTIN KARIME\BANCO ESTADO\2012 DEPTO ESCRITURAS fata\NOTARIA 2009\MANDATOS BANCOS 2009\SOC. JULIO MONTERO A SU HIJO.doc</t>
  </si>
  <si>
    <t>C:\Users\franc\OneDrive\Documentos\MALENTIN KARIME\BANCO ESTADO\2012 DEPTO ESCRITURAS fata\NOTARIA 2009\MANDATOS BANCOS 2009\SOC. JULIO MONTERO A SU HIJO (2).doc</t>
  </si>
  <si>
    <t>C:\Users\franc\OneDrive\Documentos\MALENTIN KARIME\BANCO ESTADO\2012 DEPTO ESCRITURAS fata\NOTARIA 2009\MANDATOS BANCOS 2009\JOSE ARAYA A LORENA GUERRERO  (CTA. CTE.).doc</t>
  </si>
  <si>
    <t>C:\Users\franc\OneDrive\Documentos\MALENTIN KARIME\BANCO ESTADO\2012 DEPTO ESCRITURAS fata\NOTARIA 2009\MANDATOS BANCOS 2009\BERNARDO ARAYA A NOLVIA VILLAR (CTA. CTE.).doc</t>
  </si>
  <si>
    <t>C:\Users\franc\OneDrive\Documentos\MALENTIN KARIME\BANCO ESTADO\2012 DEPTO ESCRITURAS fata\NOTARIA 2009\MANDATOS BANCO\VERONICA ROJAS A JUAN ACUÑA.doc</t>
  </si>
  <si>
    <t>C:\Users\franc\OneDrive\Documentos\MALENTIN KARIME\BANCO ESTADO\2012 DEPTO ESCRITURAS fata\NOTARIA 2009\MANDATOS BANCO\SUCESION VEGA VEGA (posesion efectiva).doc</t>
  </si>
  <si>
    <t>C:\Users\franc\OneDrive\Documentos\MALENTIN KARIME\BANCO ESTADO\2012 DEPTO ESCRITURAS fata\NOTARIA 2009\MANDATOS BANCO\SOC. LAS TINAJAS EDITH PIZARRO.doc</t>
  </si>
  <si>
    <t>C:\Users\franc\OneDrive\Documentos\MALENTIN KARIME\BANCO ESTADO\2012 DEPTO ESCRITURAS fata\NOTARIA 2009\MANDATOS BANCO\RICARDO JOPIA EIRL.doc</t>
  </si>
  <si>
    <t>C:\Users\franc\OneDrive\Documentos\MALENTIN KARIME\BANCO ESTADO\2012 DEPTO ESCRITURAS fata\NOTARIA 2009\MANDATOS BANCO\GUILLERMO ORMEÑO A LORENZO ORMEÑÑO.doc</t>
  </si>
  <si>
    <t>C:\Users\franc\OneDrive\Documentos\MALENTIN KARIME\BANCO ESTADO\2012 DEPTO ESCRITURAS fata\NOTARIA 2009\MANDATOS BANCO\ESMERALDO VALDIVIA.doc</t>
  </si>
  <si>
    <t>C:\Users\franc\OneDrive\Documentos\MALENTIN KARIME\BANCO ESTADO\2012 DEPTO ESCRITURAS fata\NOTARIA 2009\MANDATOS BANCO\ESMERALDO VALDIVIA (solo bco. desarrollo).doc</t>
  </si>
  <si>
    <t>C:\Users\franc\OneDrive\Documentos\MALENTIN KARIME\BANCO ESTADO\2012 DEPTO ESCRITURAS fata\NOTARIA 2009\MANDATOS BANCO\ESMERALDO VALDIVIA (solo bco. CORPBANCA).doc</t>
  </si>
  <si>
    <t>C:\Users\franc\OneDrive\Documentos\MALENTIN KARIME\BANCO ESTADO\2012 DEPTO ESCRITURAS fata\NOTARIA 2009\MANDATOS BANCO\EDUARDO DIAZ A ANA ESPINOSA (BCO. CHILE Ch.doc</t>
  </si>
  <si>
    <t>C:\Users\franc\OneDrive\Documentos\MALENTIN KARIME\BANCO ESTADO\2012 DEPTO ESCRITURAS fata\NOTARIA 2009\MANDATOS BANCO\DORALIZA AGULERA (cta. cte).doc</t>
  </si>
  <si>
    <t>C:\Users\franc\OneDrive\Documentos\MALENTIN KARIME\BANCO ESTADO\2012 DEPTO ESCRITURAS fata\NOTARIA 2009\MANDATOS BANCO\DANIELA ASTORGA A ARACELY ASTORGA.doc</t>
  </si>
  <si>
    <t>C:\Users\franc\OneDrive\Documentos\MALENTIN KARIME\BANCO ESTADO\2012 DEPTO ESCRITURAS fata\NOTARIA 2009\MANDATOS BANCO\ARMANDO SALAMANCA.doc</t>
  </si>
  <si>
    <t>C:\Users\franc\OneDrive\Documentos\MALENTIN KARIME\BANCO ESTADO\2012 DEPTO ESCRITURAS fata\NOTARIA 2009\MANDATOS BANCO\ALEJANDRO ORTIZ A CINTHIA VILLEGAS.doc</t>
  </si>
  <si>
    <t>C:\Users\franc\OneDrive\Documentos\MALENTIN KARIME\BANCO ESTADO\2012 DEPTO ESCRITURAS fata\NOTARIA 2009\MANDATOS BANCO\AGROSERV. SAN CARLOS A JUAN PAZ CORTES.doc</t>
  </si>
  <si>
    <t>C:\Users\franc\OneDrive\Documentos\MALENTIN KARIME\BANCO ESTADO\2012 DEPTO ESCRITURAS fata\NOTARIA 2009\MANDATOS BANCO\AGROSERV. SAN CARLOS A Fernando Ramos.doc</t>
  </si>
  <si>
    <t>C:\Users\franc\OneDrive\Documentos\MALENTIN KARIME\BANCO ESTADO\2012 DEPTO ESCRITURAS fata\NOTARIA 2009\MANDATOS 2008\mandatos 2009\ZUNILDA ALFARO  Y ESPOSO A SU HERMANA (DERECHOS).doc</t>
  </si>
  <si>
    <t>C:\Users\franc\OneDrive\Documentos\MALENTIN KARIME\BANCO ESTADO\2012 DEPTO ESCRITURAS fata\NOTARIA 2009\MANDATOS 2008\mandatos 2009\SOCIEDAD RIO NEGRO LTDA. IGNACIO FLORES.doc</t>
  </si>
  <si>
    <t>C:\Users\franc\OneDrive\Documentos\MALENTIN KARIME\BANCO ESTADO\2012 DEPTO ESCRITURAS fata\NOTARIA 2009\MANDATOS 2008\mandatos 2009\SOCIEDAD RIO NEGRO A IGNACIO FLORES.doc</t>
  </si>
  <si>
    <t>C:\Users\franc\OneDrive\Documentos\MALENTIN KARIME\BANCO ESTADO\2012 DEPTO ESCRITURAS fata\NOTARIA 2009\MANDATOS 2008\mandatos 2009\SOC. PEDREGAL A MARIA PIERA CHACON.doc</t>
  </si>
  <si>
    <t>C:\Users\franc\OneDrive\Documentos\MALENTIN KARIME\BANCO ESTADO\2012 DEPTO ESCRITURAS fata\NOTARIA 2009\MANDATOS 2008\mandatos 2009\SOC. ESPINOZA JEREZ A LUDY JEREZ.doc</t>
  </si>
  <si>
    <t>C:\Users\franc\OneDrive\Documentos\MALENTIN KARIME\BANCO ESTADO\2012 DEPTO ESCRITURAS fata\NOTARIA 2009\MANDATOS 2008\mandatos 2009\SLM LOS MANTOS DE LA CORTADERA A CESAR FLORES Y OTRO (DON FERNANDO).doc</t>
  </si>
  <si>
    <t>C:\Users\franc\OneDrive\Documentos\MALENTIN KARIME\BANCO ESTADO\2012 DEPTO ESCRITURAS fata\NOTARIA 2009\MANDATOS 2008\mandatos 2009\SLM DE JUAN SALINAS A SU HNO Panulcillo.doc</t>
  </si>
  <si>
    <t>C:\Users\franc\OneDrive\Documentos\MALENTIN KARIME\BANCO ESTADO\2012 DEPTO ESCRITURAS fata\NOTARIA 2009\MANDATOS 2008\mandatos 2009\PEDRO MUÑIZ A OLGA LOPEHANDIA.doc</t>
  </si>
  <si>
    <t>C:\Users\franc\OneDrive\Documentos\MALENTIN KARIME\BANCO ESTADO\2012 DEPTO ESCRITURAS fata\NOTARIA 2009\MANDATOS 2008\mandatos 2009\PAULINA GALVEZ A SU HIJO ( PROMESA DE COMPRAVENTA.doc</t>
  </si>
  <si>
    <t>C:\Users\franc\OneDrive\Documentos\MALENTIN KARIME\BANCO ESTADO\2012 DEPTO ESCRITURAS fata\NOTARIA 2009\MANDATOS 2008\mandatos 2009\PATRICIO CONTRERAS A MYRIAM HENRIQUEZ.doc</t>
  </si>
  <si>
    <t>C:\Users\franc\OneDrive\Documentos\MALENTIN KARIME\BANCO ESTADO\2012 DEPTO ESCRITURAS fata\NOTARIA 2009\MANDATOS 2008\mandatos 2009\PATRICIO CONTRERAS A MYRIAM HENRIQUEZ (2).doc</t>
  </si>
  <si>
    <t>C:\Users\franc\OneDrive\Documentos\MALENTIN KARIME\BANCO ESTADO\2012 DEPTO ESCRITURAS fata\NOTARIA 2009\MANDATOS 2008\mandatos 2009\PATRICIO ARAYA A HECTOR TRUJILLO (VENTA MINAS).doc</t>
  </si>
  <si>
    <t>C:\Users\franc\OneDrive\Documentos\MALENTIN KARIME\BANCO ESTADO\2012 DEPTO ESCRITURAS fata\NOTARIA 2009\MANDATOS 2008\mandatos 2009\modelo venta minas.doc</t>
  </si>
  <si>
    <t>C:\Users\franc\OneDrive\Documentos\MALENTIN KARIME\BANCO ESTADO\2012 DEPTO ESCRITURAS fata\NOTARIA 2009\MANDATOS 2008\mandatos 2009\MARLENE COLLAO A HECTOR MEDALLA (CONYUGES).doc</t>
  </si>
  <si>
    <t>C:\Users\franc\OneDrive\Documentos\MALENTIN KARIME\BANCO ESTADO\2012 DEPTO ESCRITURAS fata\NOTARIA 2009\MANDATOS 2008\mandatos 2009\MARIA RAMIREZ A MARIO RAMIREZ (ESPECIAL).doc</t>
  </si>
  <si>
    <t>C:\Users\franc\OneDrive\Documentos\MALENTIN KARIME\BANCO ESTADO\2012 DEPTO ESCRITURAS fata\NOTARIA 2009\MANDATOS 2008\mandatos 2009\LUIS ARAYA A LUCY ARAYA  (DERECHOS).doc</t>
  </si>
  <si>
    <t>C:\Users\franc\OneDrive\Documentos\MALENTIN KARIME\BANCO ESTADO\2012 DEPTO ESCRITURAS fata\NOTARIA 2009\MANDATOS 2008\mandatos 2009\LILIAN MABEL  Y ESPOSO A SU HERMANA (DERECHOS).doc</t>
  </si>
  <si>
    <t>C:\Users\franc\OneDrive\Documentos\MALENTIN KARIME\BANCO ESTADO\2012 DEPTO ESCRITURAS fata\NOTARIA 2009\MANDATOS 2008\mandatos 2009\JUAN PUJADO A SU MAMA  (DERECHOS).doc</t>
  </si>
  <si>
    <t>C:\Users\franc\OneDrive\Documentos\MALENTIN KARIME\BANCO ESTADO\2012 DEPTO ESCRITURAS fata\NOTARIA 2009\MANDATOS 2008\mandatos 2009\HUGO CORTES A ANA GARCIA (COBRO VALE VISTA).doc</t>
  </si>
  <si>
    <t>C:\Users\franc\OneDrive\Documentos\MALENTIN KARIME\BANCO ESTADO\2012 DEPTO ESCRITURAS fata\NOTARIA 2009\MANDATOS 2008\mandatos 2009\HERMINDA MENESES (AUTOR. Y RAT.doc</t>
  </si>
  <si>
    <t>C:\Users\franc\OneDrive\Documentos\MALENTIN KARIME\BANCO ESTADO\2012 DEPTO ESCRITURAS fata\NOTARIA 2009\MANDATOS 2008\mandatos 2009\GRACIELA MALUENDA (AUT. CONYUGE) A NANCY CORTES.doc</t>
  </si>
  <si>
    <t>C:\Users\franc\OneDrive\Documentos\MALENTIN KARIME\BANCO ESTADO\2012 DEPTO ESCRITURAS fata\NOTARIA 2009\MANDATOS 2008\mandatos 2009\FRANCISCO GONZALEZ DEL RIO A SU HNO.doc</t>
  </si>
  <si>
    <t>C:\Users\franc\OneDrive\Documentos\MALENTIN KARIME\BANCO ESTADO\2012 DEPTO ESCRITURAS fata\NOTARIA 2009\MANDATOS 2008\mandatos 2009\ERNESTO CAQUEO A SU HERMANA (DERECHOS).doc</t>
  </si>
  <si>
    <t>C:\Users\franc\OneDrive\Documentos\MALENTIN KARIME\BANCO ESTADO\2012 DEPTO ESCRITURAS fata\NOTARIA 2009\MANDATOS 2008\mandatos 2009\eliana cortes a cristian ardiles.doc</t>
  </si>
  <si>
    <t>C:\Users\franc\OneDrive\Documentos\MALENTIN KARIME\BANCO ESTADO\2012 DEPTO ESCRITURAS fata\NOTARIA 2009\MANDATOS 2008\mandatos 2009\EBRIDIQUE JARAMILLO  Y ESPOSO A SU HERMANA (DERECHOS).doc</t>
  </si>
  <si>
    <t>C:\Users\franc\OneDrive\Documentos\MALENTIN KARIME\BANCO ESTADO\2012 DEPTO ESCRITURAS fata\NOTARIA 2009\MANDATOS 2008\mandatos 2009\CRISTIAN GUZMAN A MARIA PIA GUZMAN.doc</t>
  </si>
  <si>
    <t>C:\Users\franc\OneDrive\Documentos\MALENTIN KARIME\BANCO ESTADO\2012 DEPTO ESCRITURAS fata\NOTARIA 2009\MANDATOS 2008\mandatos 2009\CARLOS RAFAEL GONZALEZ DEL RIO A SU HNO.doc</t>
  </si>
  <si>
    <t>C:\Users\franc\OneDrive\Documentos\MALENTIN KARIME\BANCO ESTADO\2012 DEPTO ESCRITURAS fata\NOTARIA 2009\MANDATOS 2008\mandatos 2009\ALICIA CASTILLO A SU MAMA AUT. CONYUGE (DERECHOS).doc</t>
  </si>
  <si>
    <t>C:\Users\franc\OneDrive\Documentos\MALENTIN KARIME\BANCO ESTADO\2012 DEPTO ESCRITURAS fata\NOTARIA 2009\MANDATOS 2008\mandatos 2009\AGUILERA BUSTAMANTE Y CIA..doc</t>
  </si>
  <si>
    <t>C:\Users\franc\OneDrive\Documentos\MALENTIN KARIME\BANCO ESTADO\2012 DEPTO ESCRITURAS fata\NOTARIA 2009\MANDATOS 2008\VICTOR PIÑONES A SU HIJO (ESPECIALo.doc</t>
  </si>
  <si>
    <t>C:\Users\franc\OneDrive\Documentos\MALENTIN KARIME\BANCO ESTADO\2012 DEPTO ESCRITURAS fata\NOTARIA 2009\MANDATOS 2008\TIO LINO  (VENDER CONYUGE).doc</t>
  </si>
  <si>
    <t>C:\Users\franc\OneDrive\Documentos\MALENTIN KARIME\BANCO ESTADO\2012 DEPTO ESCRITURAS fata\NOTARIA 2009\MANDATOS 2008\SONIA CAMPOSANO (ELECCION MUNICIPAL).doc</t>
  </si>
  <si>
    <t>C:\Users\franc\OneDrive\Documentos\MALENTIN KARIME\BANCO ESTADO\2012 DEPTO ESCRITURAS fata\NOTARIA 2009\MANDATOS 2008\RODRIGO TORRES A ULISES ROJAS (VENTA=.doc</t>
  </si>
  <si>
    <t>C:\Users\franc\OneDrive\Documentos\MALENTIN KARIME\BANCO ESTADO\2012 DEPTO ESCRITURAS fata\NOTARIA 2009\MANDATOS 2008\RICARDO VEGA A MARCIAL (PAPA).doc</t>
  </si>
  <si>
    <t>C:\Users\franc\OneDrive\Documentos\MALENTIN KARIME\BANCO ESTADO\2012 DEPTO ESCRITURAS fata\NOTARIA 2009\MANDATOS 2008\PABLO RODRIGUEZ (ADMINISTRACION).doc</t>
  </si>
  <si>
    <t>C:\Users\franc\OneDrive\Documentos\MALENTIN KARIME\BANCO ESTADO\2012 DEPTO ESCRITURAS fata\NOTARIA 2009\MANDATOS 2008\MONICA ROJAS A PEDRO CAMPUSANO (REFINANCIAMIENTO).doc</t>
  </si>
  <si>
    <t>C:\Users\franc\OneDrive\Documentos\MALENTIN KARIME\BANCO ESTADO\2012 DEPTO ESCRITURAS fata\NOTARIA 2009\MANDATOS 2008\modelo venta derechos con conyuge (DERECHOS).doc</t>
  </si>
  <si>
    <t>C:\Users\franc\OneDrive\Documentos\MALENTIN KARIME\BANCO ESTADO\2012 DEPTO ESCRITURAS fata\NOTARIA 2009\MANDATOS 2008\MODELO PROMESA.doc</t>
  </si>
  <si>
    <t>C:\Users\franc\OneDrive\Documentos\MALENTIN KARIME\BANCO ESTADO\2012 DEPTO ESCRITURAS fata\NOTARIA 2009\MANDATOS 2008\MODELO PROMESA DE COMPRAVENTA con modificaciones.doc</t>
  </si>
  <si>
    <t>C:\Users\franc\OneDrive\Documentos\MALENTIN KARIME\BANCO ESTADO\2012 DEPTO ESCRITURAS fata\NOTARIA 2009\MANDATOS 2008\MODELO p.cvta. SRA. ANA LUISA. ESTE SI.doc</t>
  </si>
  <si>
    <t>C:\Users\franc\OneDrive\Documentos\MALENTIN KARIME\BANCO ESTADO\2012 DEPTO ESCRITURAS fata\NOTARIA 2009\MANDATOS 2008\MIGUEL ARAYA A TERESA SOLAR CON CONYUGE (DERECHOS).doc</t>
  </si>
  <si>
    <t>C:\Users\franc\OneDrive\Documentos\MALENTIN KARIME\BANCO ESTADO\2012 DEPTO ESCRITURAS fata\NOTARIA 2009\MANDATOS 2008\MARJORIE ASTUDILLO A CESAR FLORES.doc</t>
  </si>
  <si>
    <t>C:\Users\franc\OneDrive\Documentos\MALENTIN KARIME\BANCO ESTADO\2012 DEPTO ESCRITURAS fata\NOTARIA 2009\MANDATOS 2008\MANUEL GALLARDO Y OTRO A SU HNO.  (VENTA=.doc</t>
  </si>
  <si>
    <t>C:\Users\franc\OneDrive\Documentos\MALENTIN KARIME\BANCO ESTADO\2012 DEPTO ESCRITURAS fata\NOTARIA 2009\MANDATOS 2008\MANDATO_ESPECIAL_DEFINITIVO[1].doc</t>
  </si>
  <si>
    <t>C:\Users\franc\OneDrive\Documentos\MALENTIN KARIME\BANCO ESTADO\2012 DEPTO ESCRITURAS fata\NOTARIA 2009\MANDATOS 2008\LUCIA OLIVARES A LUIS TIRADO (SII).doc</t>
  </si>
  <si>
    <t>C:\Users\franc\OneDrive\Documentos\MALENTIN KARIME\BANCO ESTADO\2012 DEPTO ESCRITURAS fata\NOTARIA 2009\MANDATOS 2008\JUAN CHEPILLO A ROXANA RAMIREZ (TERESA DABED).doc</t>
  </si>
  <si>
    <t>C:\Users\franc\OneDrive\Documentos\MALENTIN KARIME\BANCO ESTADO\2012 DEPTO ESCRITURAS fata\NOTARIA 2009\MANDATOS 2008\JORGE DIAZ A SU HIJO (PISCO CONTROL).doc</t>
  </si>
  <si>
    <t>C:\Users\franc\OneDrive\Documentos\MALENTIN KARIME\BANCO ESTADO\2012 DEPTO ESCRITURAS fata\NOTARIA 2009\MANDATOS 2008\JACQUELINE COUDRAY Y HNOS..doc</t>
  </si>
  <si>
    <t>C:\Users\franc\OneDrive\Documentos\MALENTIN KARIME\BANCO ESTADO\2012 DEPTO ESCRITURAS fata\NOTARIA 2009\MANDATOS 2008\HNOS MILLAHUALA A ALVARO MILLAHUALA.doc</t>
  </si>
  <si>
    <t>C:\Users\franc\OneDrive\Documentos\MALENTIN KARIME\BANCO ESTADO\2012 DEPTO ESCRITURAS fata\NOTARIA 2009\MANDATOS 2008\GUMERCINDA ARAYA A ROSA ARAYA (Administración).doc</t>
  </si>
  <si>
    <t>C:\Users\franc\OneDrive\Documentos\MALENTIN KARIME\BANCO ESTADO\2012 DEPTO ESCRITURAS fata\NOTARIA 2009\MANDATOS 2008\GUILLERMO CORTES A MABEL RAMIREZ.doc</t>
  </si>
  <si>
    <t>C:\Users\franc\OneDrive\Documentos\MALENTIN KARIME\BANCO ESTADO\2012 DEPTO ESCRITURAS fata\NOTARIA 2009\MANDATOS 2008\GLADYS LASTARRIA Y ESPOSO A SU HERMANA (DERECHOS).doc</t>
  </si>
  <si>
    <t>C:\Users\franc\OneDrive\Documentos\MALENTIN KARIME\BANCO ESTADO\2012 DEPTO ESCRITURAS fata\NOTARIA 2009\MANDATOS 2008\GLADYS CONTRERAS  Y OTROS A SADY CONTRERAS.doc</t>
  </si>
  <si>
    <t>C:\Users\franc\OneDrive\Documentos\MALENTIN KARIME\BANCO ESTADO\2012 DEPTO ESCRITURAS fata\NOTARIA 2009\MANDATOS 2008\FERNANDO PIZARRO  (ELECCION MUNICIPAL).doc</t>
  </si>
  <si>
    <t>C:\Users\franc\OneDrive\Documentos\MALENTIN KARIME\BANCO ESTADO\2012 DEPTO ESCRITURAS fata\NOTARIA 2009\MANDATOS 2008\FABIOLA PERALTA A ABEL MUÑOZ  (VENTA DERECHOS).doc</t>
  </si>
  <si>
    <t>C:\Users\franc\OneDrive\Documentos\MALENTIN KARIME\BANCO ESTADO\2012 DEPTO ESCRITURAS fata\NOTARIA 2009\MANDATOS 2008\ENRIQUE VILLALOBOS A PILAR VILLALOBOS.doc</t>
  </si>
  <si>
    <t>C:\Users\franc\OneDrive\Documentos\MALENTIN KARIME\BANCO ESTADO\2012 DEPTO ESCRITURAS fata\NOTARIA 2009\MANDATOS 2008\ELENA ROJAS Y OTROS A JULIO ROJAS (DERECHOS).doc</t>
  </si>
  <si>
    <t>C:\Users\franc\OneDrive\Documentos\MALENTIN KARIME\BANCO ESTADO\2012 DEPTO ESCRITURAS fata\NOTARIA 2009\MANDATOS 2008\CLOPATRA MALEBRAN A MARIA CASTAÑEDA (VENTA=.doc</t>
  </si>
  <si>
    <t>C:\Users\franc\OneDrive\Documentos\MALENTIN KARIME\BANCO ESTADO\2012 DEPTO ESCRITURAS fata\NOTARIA 2009\MANDATOS 2008\BRIJIDA CISTERNAS A EUGENIO DARRIGRANDE.doc</t>
  </si>
  <si>
    <t>C:\Users\franc\OneDrive\Documentos\MALENTIN KARIME\BANCO ESTADO\2012 DEPTO ESCRITURAS fata\NOTARIA 2009\MANDATOS 2008\ANIBAL RIVERA A SU HIJA LAURA ((EXPROPIACION).doc</t>
  </si>
  <si>
    <t>C:\Users\franc\OneDrive\Documentos\MALENTIN KARIME\BANCO ESTADO\2012 DEPTO ESCRITURAS fata\NOTARIA 2009\MANDATOS 2008\AMERICO CORTES Y OTROS.doc</t>
  </si>
  <si>
    <t>C:\Users\franc\OneDrive\Documentos\MALENTIN KARIME\BANCO ESTADO\2012 DEPTO ESCRITURAS fata\NOTARIA 2009\MANDATOS 2007\VICTOR HUGO JACOB A SU PADRE.doc</t>
  </si>
  <si>
    <t>C:\Users\franc\OneDrive\Documentos\MALENTIN KARIME\BANCO ESTADO\2012 DEPTO ESCRITURAS fata\NOTARIA 2009\MANDATOS 2007\VICENTE CORTES A LUIS CORTES.doc</t>
  </si>
  <si>
    <t>C:\Users\franc\OneDrive\Documentos\MALENTIN KARIME\BANCO ESTADO\2012 DEPTO ESCRITURAS fata\NOTARIA 2009\MANDATOS 2007\TAMARA PAZ A LEONEL TAPIA (VENTA CONYUGE).doc</t>
  </si>
  <si>
    <t>C:\Users\franc\OneDrive\Documentos\MALENTIN KARIME\BANCO ESTADO\2012 DEPTO ESCRITURAS fata\NOTARIA 2009\MANDATOS 2007\SUCESION ARAYA HONORES (EXPROPIACION).doc</t>
  </si>
  <si>
    <t>C:\Users\franc\OneDrive\Documentos\MALENTIN KARIME\BANCO ESTADO\2012 DEPTO ESCRITURAS fata\NOTARIA 2009\MANDATOS 2007\SUC. VALDIVIA VENTA.doc</t>
  </si>
  <si>
    <t>C:\Users\franc\OneDrive\Documentos\MALENTIN KARIME\BANCO ESTADO\2012 DEPTO ESCRITURAS fata\NOTARIA 2009\MANDATOS 2007\SUC. CARVAJAL PARA COMPRAR LOTE.doc</t>
  </si>
  <si>
    <t>C:\Users\franc\OneDrive\Documentos\MALENTIN KARIME\BANCO ESTADO\2012 DEPTO ESCRITURAS fata\NOTARIA 2009\MANDATOS 2007\SORAYA ANICH A JUAN ANICH (VENTA).doc</t>
  </si>
  <si>
    <t>C:\Users\franc\OneDrive\Documentos\MALENTIN KARIME\BANCO ESTADO\2012 DEPTO ESCRITURAS fata\NOTARIA 2009\MANDATOS 2007\SELIM DABED A CLLAUDIO ARDILES.doc</t>
  </si>
  <si>
    <t>C:\Users\franc\OneDrive\Documentos\MALENTIN KARIME\BANCO ESTADO\2012 DEPTO ESCRITURAS fata\NOTARIA 2009\MANDATOS 2007\RUBEN MAYA CON CONYUGE A SU HIJO.doc</t>
  </si>
  <si>
    <t>C:\Users\franc\OneDrive\Documentos\MALENTIN KARIME\BANCO ESTADO\2012 DEPTO ESCRITURAS fata\NOTARIA 2009\MANDATOS 2007\ROSA ECHAVE.doc</t>
  </si>
  <si>
    <t>C:\Users\franc\OneDrive\Documentos\MALENTIN KARIME\BANCO ESTADO\2012 DEPTO ESCRITURAS fata\NOTARIA 2009\MANDATOS 2007\PETRONILA PIZARRO A JAVIER (DERECHOS.doc</t>
  </si>
  <si>
    <t>C:\Users\franc\OneDrive\Documentos\MALENTIN KARIME\BANCO ESTADO\2012 DEPTO ESCRITURAS fata\NOTARIA 2009\MANDATOS 2007\PEDRO CORTES Y OTRA A HERNAN CARVAJAL (VENTA COPIAPO).doc</t>
  </si>
  <si>
    <t>C:\Users\franc\OneDrive\Documentos\MALENTIN KARIME\BANCO ESTADO\2012 DEPTO ESCRITURAS fata\NOTARIA 2009\MANDATOS 2007\ORLANDO MONDACA.doc</t>
  </si>
  <si>
    <t>C:\Users\franc\OneDrive\Documentos\MALENTIN KARIME\BANCO ESTADO\2012 DEPTO ESCRITURAS fata\NOTARIA 2009\MANDATOS 2007\NORMA BECERRA A EDISON JOFRE.doc</t>
  </si>
  <si>
    <t>C:\Users\franc\OneDrive\Documentos\MALENTIN KARIME\BANCO ESTADO\2012 DEPTO ESCRITURAS fata\NOTARIA 2009\MANDATOS 2007\NELSON ARAVENA (ESPECIAL).doc</t>
  </si>
  <si>
    <t>C:\Users\franc\OneDrive\Documentos\MALENTIN KARIME\BANCO ESTADO\2012 DEPTO ESCRITURAS fata\NOTARIA 2009\MANDATOS 2007\MODELO VENTA.doc</t>
  </si>
  <si>
    <t>C:\Users\franc\OneDrive\Documentos\MALENTIN KARIME\BANCO ESTADO\2012 DEPTO ESCRITURAS fata\NOTARIA 2009\MANDATOS 2007\MODELO VENTA NELSON PIZARRO (LA CHIMBA).doc</t>
  </si>
  <si>
    <t>C:\Users\franc\OneDrive\Documentos\MALENTIN KARIME\BANCO ESTADO\2012 DEPTO ESCRITURAS fata\NOTARIA 2009\MANDATOS 2007\MODELO PROMESA DE COMPRAVENTA.doc</t>
  </si>
  <si>
    <t>C:\Users\franc\OneDrive\Documentos\MALENTIN KARIME\BANCO ESTADO\2012 DEPTO ESCRITURAS fata\NOTARIA 2009\MANDATOS 2007\MODELO (BANCO).doc</t>
  </si>
  <si>
    <t>C:\Users\franc\OneDrive\Documentos\MALENTIN KARIME\BANCO ESTADO\2012 DEPTO ESCRITURAS fata\NOTARIA 2009\MANDATOS 2007\MIRTA ROBLES TAPIA Y OTROS  (DERECHOS).doc</t>
  </si>
  <si>
    <t>C:\Users\franc\OneDrive\Documentos\MALENTIN KARIME\BANCO ESTADO\2012 DEPTO ESCRITURAS fata\NOTARIA 2009\MANDATOS 2007\MARY CORTES HENRIQUEZ A PAOLA MIRANDA PODER COMPRAR Y VENDER.doc</t>
  </si>
  <si>
    <t>C:\Users\franc\OneDrive\Documentos\MALENTIN KARIME\BANCO ESTADO\2012 DEPTO ESCRITURAS fata\NOTARIA 2009\MANDATOS 2007\MARTA GARCIA (JUAN ALBURQUENQUE).doc</t>
  </si>
  <si>
    <t>C:\Users\franc\OneDrive\Documentos\MALENTIN KARIME\BANCO ESTADO\2012 DEPTO ESCRITURAS fata\NOTARIA 2009\MANDATOS 2007\MARLENE PIZARRO A DIANA BUSTOS PI.doc</t>
  </si>
  <si>
    <t>C:\Users\franc\OneDrive\Documentos\MALENTIN KARIME\BANCO ESTADO\2012 DEPTO ESCRITURAS fata\NOTARIA 2009\MANDATOS 2007\MARIO TAPIA A GLORIA AGUIRRE (VENDER CONYUGE).doc</t>
  </si>
  <si>
    <t>C:\Users\franc\OneDrive\Documentos\MALENTIN KARIME\BANCO ESTADO\2012 DEPTO ESCRITURAS fata\NOTARIA 2009\MANDATOS 2007\MARIO FIGUEROA A ...... 04-10-2007.doc</t>
  </si>
  <si>
    <t>C:\Users\franc\OneDrive\Documentos\MALENTIN KARIME\BANCO ESTADO\2012 DEPTO ESCRITURAS fata\NOTARIA 2009\MANDATOS 2007\MANUEL LAZO Y OTROS.doc</t>
  </si>
  <si>
    <t>C:\Users\franc\OneDrive\Documentos\MALENTIN KARIME\BANCO ESTADO\2012 DEPTO ESCRITURAS fata\NOTARIA 2009\MANDATOS 2007\MAND.VENDER.doc</t>
  </si>
  <si>
    <t>C:\Users\franc\OneDrive\Documentos\MALENTIN KARIME\BANCO ESTADO\2012 DEPTO ESCRITURAS fata\NOTARIA 2009\MANDATOS 2007\MABEL MALEBRAN (EXPROPIACION).doc</t>
  </si>
  <si>
    <t>C:\Users\franc\OneDrive\Documentos\MALENTIN KARIME\BANCO ESTADO\2012 DEPTO ESCRITURAS fata\NOTARIA 2009\MANDATOS 2007\LUIS RAFFO A VERONICA JORQUERA (VENTA).doc</t>
  </si>
  <si>
    <t>C:\Users\franc\OneDrive\Documentos\MALENTIN KARIME\BANCO ESTADO\2012 DEPTO ESCRITURAS fata\NOTARIA 2009\MANDATOS 2007\LINA KRIEMHILDE HOFTER CORTES A VICTOR VALENTINO.doc</t>
  </si>
  <si>
    <t>C:\Users\franc\OneDrive\Documentos\MALENTIN KARIME\BANCO ESTADO\2012 DEPTO ESCRITURAS fata\NOTARIA 2009\MANDATOS 2007\LINA HOFTER A SU HIJO (AGOSTO 2007).doc</t>
  </si>
  <si>
    <t>C:\Users\franc\OneDrive\Documentos\MALENTIN KARIME\BANCO ESTADO\2012 DEPTO ESCRITURAS fata\NOTARIA 2009\MANDATOS 2007\LIDIA HIDALGO A SU CONYUGE (VENTA).doc</t>
  </si>
  <si>
    <t>C:\Users\franc\OneDrive\Documentos\MALENTIN KARIME\BANCO ESTADO\2012 DEPTO ESCRITURAS fata\NOTARIA 2009\MANDATOS 2007\JUANA VALLES (VENDER).doc</t>
  </si>
  <si>
    <t>C:\Users\franc\OneDrive\Documentos\MALENTIN KARIME\BANCO ESTADO\2012 DEPTO ESCRITURAS fata\NOTARIA 2009\MANDATOS 2007\JUAN MANUEL IBACACHE vta bdd.doc</t>
  </si>
  <si>
    <t>C:\Users\franc\OneDrive\Documentos\MALENTIN KARIME\BANCO ESTADO\2012 DEPTO ESCRITURAS fata\NOTARIA 2009\MANDATOS 2007\JUAN ALBURQUENQUE.doc</t>
  </si>
  <si>
    <t>C:\Users\franc\OneDrive\Documentos\MALENTIN KARIME\BANCO ESTADO\2012 DEPTO ESCRITURAS fata\NOTARIA 2009\MANDATOS 2007\JOSE Y MARIO SALGADO (VENTA).doc</t>
  </si>
  <si>
    <t>C:\Users\franc\OneDrive\Documentos\MALENTIN KARIME\BANCO ESTADO\2012 DEPTO ESCRITURAS fata\NOTARIA 2009\MANDATOS 2007\JOSE NOVOA (VENDER).doc</t>
  </si>
  <si>
    <t>C:\Users\franc\OneDrive\Documentos\MALENTIN KARIME\BANCO ESTADO\2012 DEPTO ESCRITURAS fata\NOTARIA 2009\MANDATOS 2007\JOSE JIMENEZ A HECTOR LEDEZMA.doc</t>
  </si>
  <si>
    <t>C:\Users\franc\OneDrive\Documentos\MALENTIN KARIME\BANCO ESTADO\2012 DEPTO ESCRITURAS fata\NOTARIA 2009\MANDATOS 2007\JOSE AGUILERA (VENDER).doc</t>
  </si>
  <si>
    <t>C:\Users\franc\OneDrive\Documentos\MALENTIN KARIME\BANCO ESTADO\2012 DEPTO ESCRITURAS fata\NOTARIA 2009\MANDATOS 2007\JAVIER TABILO.doc</t>
  </si>
  <si>
    <t>C:\Users\franc\OneDrive\Documentos\MALENTIN KARIME\BANCO ESTADO\2012 DEPTO ESCRITURAS fata\NOTARIA 2009\MANDATOS 2007\HECTOR DOMINGUEZ A SYLVIA ORELLANA (VENTA).doc</t>
  </si>
  <si>
    <t>C:\Users\franc\OneDrive\Documentos\MALENTIN KARIME\BANCO ESTADO\2012 DEPTO ESCRITURAS fata\NOTARIA 2009\MANDATOS 2007\HAROLD TAPIA A SU PADRE (VENTA DERECHOS).doc</t>
  </si>
  <si>
    <t>C:\Users\franc\OneDrive\Documentos\MALENTIN KARIME\BANCO ESTADO\2012 DEPTO ESCRITURAS fata\NOTARIA 2009\MANDATOS 2007\GREGORIO ZEPEDA PERRY  Y OTROS MINAS.doc</t>
  </si>
  <si>
    <t>C:\Users\franc\OneDrive\Documentos\MALENTIN KARIME\BANCO ESTADO\2012 DEPTO ESCRITURAS fata\NOTARIA 2009\MANDATOS 2007\GREGORIO ZEPDA PERRY Y OTROS MINAS.doc</t>
  </si>
  <si>
    <t>C:\Users\franc\OneDrive\Documentos\MALENTIN KARIME\BANCO ESTADO\2012 DEPTO ESCRITURAS fata\NOTARIA 2009\MANDATOS 2007\GLORIA PIZARRO A SU MAMA (COMPRA).doc</t>
  </si>
  <si>
    <t>C:\Users\franc\OneDrive\Documentos\MALENTIN KARIME\BANCO ESTADO\2012 DEPTO ESCRITURAS fata\NOTARIA 2009\MANDATOS 2007\GEORGINA VALDIVIA A GMO. SOTO (VENDER CONYUGE).doc</t>
  </si>
  <si>
    <t>C:\Users\franc\OneDrive\Documentos\MALENTIN KARIME\BANCO ESTADO\2012 DEPTO ESCRITURAS fata\NOTARIA 2009\MANDATOS 2007\GABRIELA CORRAL (BANCO).doc</t>
  </si>
  <si>
    <t>C:\Users\franc\OneDrive\Documentos\MALENTIN KARIME\BANCO ESTADO\2012 DEPTO ESCRITURAS fata\NOTARIA 2009\MANDATOS 2007\FERMIN QUISPE ALDAY (COMPRA PROP).doc</t>
  </si>
  <si>
    <t>C:\Users\franc\OneDrive\Documentos\MALENTIN KARIME\BANCO ESTADO\2012 DEPTO ESCRITURAS fata\NOTARIA 2009\MANDATOS 2007\ERIKA GONZALEZ A FRANK GONZALEZ.doc</t>
  </si>
  <si>
    <t>C:\Users\franc\OneDrive\Documentos\MALENTIN KARIME\BANCO ESTADO\2012 DEPTO ESCRITURAS fata\NOTARIA 2009\MANDATOS 2007\ENILDA CARVAJAL A SU CONYUGE (VENDER).doc</t>
  </si>
  <si>
    <t>C:\Users\franc\OneDrive\Documentos\MALENTIN KARIME\BANCO ESTADO\2012 DEPTO ESCRITURAS fata\NOTARIA 2009\MANDATOS 2007\ELORZA.doc</t>
  </si>
  <si>
    <t>C:\Users\franc\OneDrive\Documentos\MALENTIN KARIME\BANCO ESTADO\2012 DEPTO ESCRITURAS fata\NOTARIA 2009\MANDATOS 2007\ELIANA ARAYA A SU HNO-. PARA COBRAR.doc</t>
  </si>
  <si>
    <t>C:\Users\franc\OneDrive\Documentos\MALENTIN KARIME\BANCO ESTADO\2012 DEPTO ESCRITURAS fata\NOTARIA 2009\MANDATOS 2007\EDUARDO VASQUEZ A SU HIJO (COMPRA PROP).doc</t>
  </si>
  <si>
    <t>C:\Users\franc\OneDrive\Documentos\MALENTIN KARIME\BANCO ESTADO\2012 DEPTO ESCRITURAS fata\NOTARIA 2009\MANDATOS 2007\ECILDA DEL ROSARIO A CESAR ALFARO.doc</t>
  </si>
  <si>
    <t>C:\Users\franc\OneDrive\Documentos\MALENTIN KARIME\BANCO ESTADO\2012 DEPTO ESCRITURAS fata\NOTARIA 2009\MANDATOS 2007\DAGMAR VALENZUELA A ELANDRA FLORES (VENDER CONYUGE).doc</t>
  </si>
  <si>
    <t>C:\Users\franc\OneDrive\Documentos\MALENTIN KARIME\BANCO ESTADO\2012 DEPTO ESCRITURAS fata\NOTARIA 2009\MANDATOS 2007\CISTO VEGA A  LUCILA VEGA (CON CONYUGE).doc</t>
  </si>
  <si>
    <t>C:\Users\franc\OneDrive\Documentos\MALENTIN KARIME\BANCO ESTADO\2012 DEPTO ESCRITURAS fata\NOTARIA 2009\MANDATOS 2007\CELIA PIZARRO Y OT.A SU HNO. (DERECHOS).doc</t>
  </si>
  <si>
    <t>C:\Users\franc\OneDrive\Documentos\MALENTIN KARIME\BANCO ESTADO\2012 DEPTO ESCRITURAS fata\NOTARIA 2009\MANDATOS 2007\CAROLINA ORTIZ A FCO. ORTIZ (COMPRA PROP).doc</t>
  </si>
  <si>
    <t>C:\Users\franc\OneDrive\Documentos\MALENTIN KARIME\BANCO ESTADO\2012 DEPTO ESCRITURAS fata\NOTARIA 2009\MANDATOS 2007\ARINDA MILLA A SU HIJO (ACCIONES).doc</t>
  </si>
  <si>
    <t>C:\Users\franc\OneDrive\Documentos\MALENTIN KARIME\BANCO ESTADO\2012 DEPTO ESCRITURAS fata\NOTARIA 2009\MANDATOS 2007\ANJELINA TREVERTON A SU HIJO (MINAS).doc</t>
  </si>
  <si>
    <t>C:\Users\franc\OneDrive\Documentos\MALENTIN KARIME\BANCO ESTADO\2012 DEPTO ESCRITURAS fata\NOTARIA 2009\MANDATOS 2007\ANEXO 3 MINAS ZEPEDA.doc</t>
  </si>
  <si>
    <t>C:\Users\franc\OneDrive\Documentos\MALENTIN KARIME\BANCO ESTADO\2012 DEPTO ESCRITURAS fata\NOTARIA 2009\MANDATOS 2007\ANEXO 2 MINAS ZEPEDA.doc</t>
  </si>
  <si>
    <t>C:\Users\franc\OneDrive\Documentos\MALENTIN KARIME\BANCO ESTADO\2012 DEPTO ESCRITURAS fata\NOTARIA 2009\MANDATOS 2007\ANA GONZALEZ A HECTOR ADAOS.doc</t>
  </si>
  <si>
    <t>C:\Users\franc\OneDrive\Documentos\MALENTIN KARIME\BANCO ESTADO\2012 DEPTO ESCRITURAS fata\NOTARIA 2009\MANDATOS 2007\ALEXI ORELLANA A JULIETA GALLO (VENTA CONYUGE).doc</t>
  </si>
  <si>
    <t>C:\Users\franc\OneDrive\Documentos\MALENTIN KARIME\BANCO ESTADO\2012 DEPTO ESCRITURAS fata\NOTARIA 2009\MANDATOS 2007\ALADINO ROBLES A SU CONYUGE (VENDER).doc</t>
  </si>
  <si>
    <t>C:\Users\franc\OneDrive\Documentos\MALENTIN KARIME\BANCO ESTADO\2012 DEPTO ESCRITURAS fata\NOTARIA 2009\MANDATOS 2007\AGUSTIN PINTO A  LUZ CASTRO.doc</t>
  </si>
  <si>
    <t>C:\Users\franc\OneDrive\Documentos\MALENTIN KARIME\BANCO ESTADO\2012 DEPTO ESCRITURAS fata\NOTARIA 2009\MANDATOS 2007\).doc</t>
  </si>
  <si>
    <t>C:\Users\franc\OneDrive\Documentos\MALENTIN KARIME\BANCO ESTADO\2012 DEPTO ESCRITURAS fata\NOTARIA 2009\MANDATOS 2006\XIMENA POZO A VICTOR JACOB    BCO.doc</t>
  </si>
  <si>
    <t>C:\Users\franc\OneDrive\Documentos\MALENTIN KARIME\BANCO ESTADO\2012 DEPTO ESCRITURAS fata\NOTARIA 2009\MANDATOS 2006\vilma solar.doc</t>
  </si>
  <si>
    <t>C:\Users\franc\OneDrive\Documentos\MALENTIN KARIME\BANCO ESTADO\2012 DEPTO ESCRITURAS fata\NOTARIA 2009\MANDATOS 2006\VANESSA TAPIA A RODOLFO REY (COMPRA VEH).doc</t>
  </si>
  <si>
    <t>C:\Users\franc\OneDrive\Documentos\MALENTIN KARIME\BANCO ESTADO\2012 DEPTO ESCRITURAS fata\NOTARIA 2009\MANDATOS 2006\TELMA JAIME A GUSTAVO JAIME.doc</t>
  </si>
  <si>
    <t>C:\Users\franc\OneDrive\Documentos\MALENTIN KARIME\BANCO ESTADO\2012 DEPTO ESCRITURAS fata\NOTARIA 2009\MANDATOS 2006\TELLO A IVAN TELLO.doc</t>
  </si>
  <si>
    <t>C:\Users\franc\OneDrive\Documentos\MALENTIN KARIME\BANCO ESTADO\2012 DEPTO ESCRITURAS fata\NOTARIA 2009\MANDATOS 2006\SUC. SARA TAPIA A GUILLERMO ULLOA.doc</t>
  </si>
  <si>
    <t>C:\Users\franc\OneDrive\Documentos\MALENTIN KARIME\BANCO ESTADO\2012 DEPTO ESCRITURAS fata\NOTARIA 2009\MANDATOS 2006\SOC. OCHOTIERRAS LTDA..doc</t>
  </si>
  <si>
    <t>C:\Users\franc\OneDrive\Documentos\MALENTIN KARIME\BANCO ESTADO\2012 DEPTO ESCRITURAS fata\NOTARIA 2009\MANDATOS 2006\SOC. COM. TAMAYA A PATRICIO PINTO Y OTRA.doc</t>
  </si>
  <si>
    <t>C:\Users\franc\OneDrive\Documentos\MALENTIN KARIME\BANCO ESTADO\2012 DEPTO ESCRITURAS fata\NOTARIA 2009\MANDATOS 2006\SLM SN JOSE UNO DE PUNIT. A OMAR BARROS.doc</t>
  </si>
  <si>
    <t>C:\Users\franc\OneDrive\Documentos\MALENTIN KARIME\BANCO ESTADO\2012 DEPTO ESCRITURAS fata\NOTARIA 2009\MANDATOS 2006\Segundo Villalobos a Noelia Santos.doc</t>
  </si>
  <si>
    <t>C:\Users\franc\OneDrive\Documentos\MALENTIN KARIME\BANCO ESTADO\2012 DEPTO ESCRITURAS fata\NOTARIA 2009\MANDATOS 2006\SAN ISIDRO.doc</t>
  </si>
  <si>
    <t>C:\Users\franc\OneDrive\Documentos\MALENTIN KARIME\BANCO ESTADO\2012 DEPTO ESCRITURAS fata\NOTARIA 2009\MANDATOS 2006\SAMUEL COMPRA PROP.doc</t>
  </si>
  <si>
    <t>C:\Users\franc\OneDrive\Documentos\MALENTIN KARIME\BANCO ESTADO\2012 DEPTO ESCRITURAS fata\NOTARIA 2009\MANDATOS 2006\ROSSANA MICCONO A OSCAR GALLEGUILLOS (CTA. CTE..doc</t>
  </si>
  <si>
    <t>C:\Users\franc\OneDrive\Documentos\MALENTIN KARIME\BANCO ESTADO\2012 DEPTO ESCRITURAS fata\NOTARIA 2009\MANDATOS 2006\RODOLFO OLIVARES A RUTH VERAGUA (DERECHOS).doc</t>
  </si>
  <si>
    <t>C:\Users\franc\OneDrive\Documentos\MALENTIN KARIME\BANCO ESTADO\2012 DEPTO ESCRITURAS fata\NOTARIA 2009\MANDATOS 2006\RICARDO JOPIA BUGUEÑO.doc</t>
  </si>
  <si>
    <t>C:\Users\franc\OneDrive\Documentos\MALENTIN KARIME\BANCO ESTADO\2012 DEPTO ESCRITURAS fata\NOTARIA 2009\MANDATOS 2006\PATRICIO PINTO A CARMEN GLORIA (CTA. CTE.).doc</t>
  </si>
  <si>
    <t>C:\Users\franc\OneDrive\Documentos\MALENTIN KARIME\BANCO ESTADO\2012 DEPTO ESCRITURAS fata\NOTARIA 2009\MANDATOS 2006\NERY ARAYA A ROXANA FLORES.doc</t>
  </si>
  <si>
    <t>C:\Users\franc\OneDrive\Documentos\MALENTIN KARIME\BANCO ESTADO\2012 DEPTO ESCRITURAS fata\NOTARIA 2009\MANDATOS 2006\NELLY TORO Y CONYUGE A SU MAMA (DERECHOS).doc</t>
  </si>
  <si>
    <t>C:\Users\franc\OneDrive\Documentos\MALENTIN KARIME\BANCO ESTADO\2012 DEPTO ESCRITURAS fata\NOTARIA 2009\MANDATOS 2006\MIRIAM VILLALOBOS.doc</t>
  </si>
  <si>
    <t>C:\Users\franc\OneDrive\Documentos\MALENTIN KARIME\BANCO ESTADO\2012 DEPTO ESCRITURAS fata\NOTARIA 2009\MANDATOS 2006\MIREYA ELIANA COSIO BELTRAN.doc</t>
  </si>
  <si>
    <t>C:\Users\franc\OneDrive\Documentos\MALENTIN KARIME\BANCO ESTADO\2012 DEPTO ESCRITURAS fata\NOTARIA 2009\MANDATOS 2006\MARLENE FRANULIC A BERNARDO CONTRERA.doc</t>
  </si>
  <si>
    <t>C:\Users\franc\OneDrive\Documentos\MALENTIN KARIME\BANCO ESTADO\2012 DEPTO ESCRITURAS fata\NOTARIA 2009\MANDATOS 2006\MARISOL ESPEJO A ADA ROMERO.doc</t>
  </si>
  <si>
    <t>C:\Users\franc\OneDrive\Documentos\MALENTIN KARIME\BANCO ESTADO\2012 DEPTO ESCRITURAS fata\NOTARIA 2009\MANDATOS 2006\MARIO ARAYA A DAVID ARAYA.doc</t>
  </si>
  <si>
    <t>C:\Users\franc\OneDrive\Documentos\MALENTIN KARIME\BANCO ESTADO\2012 DEPTO ESCRITURAS fata\NOTARIA 2009\MANDATOS 2006\MARIA PABLINA GOMEZ CASTILLO Derecho Herencia.doc</t>
  </si>
  <si>
    <t>C:\Users\franc\OneDrive\Documentos\MALENTIN KARIME\BANCO ESTADO\2012 DEPTO ESCRITURAS fata\NOTARIA 2009\MANDATOS 2006\MARIA MALEBRAN A SU SOBRINA.doc</t>
  </si>
  <si>
    <t>C:\Users\franc\OneDrive\Documentos\MALENTIN KARIME\BANCO ESTADO\2012 DEPTO ESCRITURAS fata\NOTARIA 2009\MANDATOS 2006\MARIA MALEBRAN A SU HERMANA.doc</t>
  </si>
  <si>
    <t>C:\Users\franc\OneDrive\Documentos\MALENTIN KARIME\BANCO ESTADO\2012 DEPTO ESCRITURAS fata\NOTARIA 2009\MANDATOS 2006\MARIA BARRIOS A DANILO PEÑAFIEL (CONYUGE).doc</t>
  </si>
  <si>
    <t>C:\Users\franc\OneDrive\Documentos\MALENTIN KARIME\BANCO ESTADO\2012 DEPTO ESCRITURAS fata\NOTARIA 2009\MANDATOS 2006\MARCO LIBANO A JAIME TORRES (CORPORACION).doc</t>
  </si>
  <si>
    <t>C:\Users\franc\OneDrive\Documentos\MALENTIN KARIME\BANCO ESTADO\2012 DEPTO ESCRITURAS fata\NOTARIA 2009\MANDATOS 2006\MARCELA MANDATO GENRAL.doc</t>
  </si>
  <si>
    <t>C:\Users\franc\OneDrive\Documentos\MALENTIN KARIME\BANCO ESTADO\2012 DEPTO ESCRITURAS fata\NOTARIA 2009\MANDATOS 2006\MANDATO PARA COMPRAR.doc</t>
  </si>
  <si>
    <t>C:\Users\franc\OneDrive\Documentos\MALENTIN KARIME\BANCO ESTADO\2012 DEPTO ESCRITURAS fata\NOTARIA 2009\MANDATOS 2006\LUIS GODOY A GONZALO CAMPUSANO.doc</t>
  </si>
  <si>
    <t>C:\Users\franc\OneDrive\Documentos\MALENTIN KARIME\BANCO ESTADO\2012 DEPTO ESCRITURAS fata\NOTARIA 2009\MANDATOS 2006\LUIS CONTRERAS A MELIDA CASTILLO.doc</t>
  </si>
  <si>
    <t>C:\Users\franc\OneDrive\Documentos\MALENTIN KARIME\BANCO ESTADO\2012 DEPTO ESCRITURAS fata\NOTARIA 2009\MANDATOS 2006\LIDIA CAQUEO FERNANDEZ.doc</t>
  </si>
  <si>
    <t>C:\Users\franc\OneDrive\Documentos\MALENTIN KARIME\BANCO ESTADO\2012 DEPTO ESCRITURAS fata\NOTARIA 2009\MANDATOS 2006\JUANA ENCINA A SU HERMANA (DERECHOS).doc</t>
  </si>
  <si>
    <t>C:\Users\franc\OneDrive\Documentos\MALENTIN KARIME\BANCO ESTADO\2012 DEPTO ESCRITURAS fata\NOTARIA 2009\MANDATOS 2006\JUAN NUÑEZ VENTA VEHICULOS.doc</t>
  </si>
  <si>
    <t>C:\Users\franc\OneDrive\Documentos\MALENTIN KARIME\BANCO ESTADO\2012 DEPTO ESCRITURAS fata\NOTARIA 2009\MANDATOS 2006\JOSE CASTILLO A SILVIA CASTILLO.doc</t>
  </si>
  <si>
    <t>C:\Users\franc\OneDrive\Documentos\MALENTIN KARIME\BANCO ESTADO\2012 DEPTO ESCRITURAS fata\NOTARIA 2009\MANDATOS 2006\jorge segovia cta. cte..doc</t>
  </si>
  <si>
    <t>C:\Users\franc\OneDrive\Documentos\MALENTIN KARIME\BANCO ESTADO\2012 DEPTO ESCRITURAS fata\NOTARIA 2009\MANDATOS 2006\JACOB Y POZO LTDA. A VICTOR HUGO.doc</t>
  </si>
  <si>
    <t>C:\Users\franc\OneDrive\Documentos\MALENTIN KARIME\BANCO ESTADO\2012 DEPTO ESCRITURAS fata\NOTARIA 2009\MANDATOS 2006\GUSTAVO VERDUGO A SU HERMANA (DERECHO).doc</t>
  </si>
  <si>
    <t>C:\Users\franc\OneDrive\Documentos\MALENTIN KARIME\BANCO ESTADO\2012 DEPTO ESCRITURAS fata\NOTARIA 2009\MANDATOS 2006\GUILLERMO ROJAS A MAGALI COFRE.doc</t>
  </si>
  <si>
    <t>C:\Users\franc\OneDrive\Documentos\MALENTIN KARIME\BANCO ESTADO\2012 DEPTO ESCRITURAS fata\NOTARIA 2009\MANDATOS 2006\GUILLERMO ROJAS A MAGALI COFRE cta ahorro.doc</t>
  </si>
  <si>
    <t>C:\Users\franc\OneDrive\Documentos\MALENTIN KARIME\BANCO ESTADO\2012 DEPTO ESCRITURAS fata\NOTARIA 2009\MANDATOS 2006\GUILLERMO LUIS ENRIQUE AGUILERA SALGADO.doc</t>
  </si>
  <si>
    <t>C:\Users\franc\OneDrive\Documentos\MALENTIN KARIME\BANCO ESTADO\2012 DEPTO ESCRITURAS fata\NOTARIA 2009\MANDATOS 2006\FRANCO PEREZ A EDUARDO ALLENDES.doc</t>
  </si>
  <si>
    <t>C:\Users\franc\OneDrive\Documentos\MALENTIN KARIME\BANCO ESTADO\2012 DEPTO ESCRITURAS fata\NOTARIA 2009\MANDATOS 2006\FELIX MORENO TORRES a ANDREA MORENTO SANTANDER.doc</t>
  </si>
  <si>
    <t>C:\Users\franc\OneDrive\Documentos\MALENTIN KARIME\BANCO ESTADO\2012 DEPTO ESCRITURAS fata\NOTARIA 2009\MANDATOS 2006\ECOPRIMITIVAS S.A.  A CARLOS LAGUNAS.doc</t>
  </si>
  <si>
    <t>C:\Users\franc\OneDrive\Documentos\MALENTIN KARIME\BANCO ESTADO\2012 DEPTO ESCRITURAS fata\NOTARIA 2009\MANDATOS 2006\CRISTIAN VEGA  venta propiedad.doc</t>
  </si>
  <si>
    <t>C:\Users\franc\OneDrive\Documentos\MALENTIN KARIME\BANCO ESTADO\2012 DEPTO ESCRITURAS fata\NOTARIA 2009\MANDATOS 2006\CRISPULO LOPEZ A ROSA CASTRO (CTA. CTE.).doc</t>
  </si>
  <si>
    <t>C:\Users\franc\OneDrive\Documentos\MALENTIN KARIME\BANCO ESTADO\2012 DEPTO ESCRITURAS fata\NOTARIA 2009\MANDATOS 2006\COMUNIDAD LAS DAMAS A AMDEZA.doc</t>
  </si>
  <si>
    <t>C:\Users\franc\OneDrive\Documentos\MALENTIN KARIME\BANCO ESTADO\2012 DEPTO ESCRITURAS fata\NOTARIA 2009\MANDATOS 2006\CAROLINA POZO.doc</t>
  </si>
  <si>
    <t>C:\Users\franc\OneDrive\Documentos\MALENTIN KARIME\BANCO ESTADO\2012 DEPTO ESCRITURAS fata\NOTARIA 2009\MANDATOS 2006\AUTORIZACION Rubilan del Rosario Cisternas a Gumercinda Pizarro.doc</t>
  </si>
  <si>
    <t>C:\Users\franc\OneDrive\Documentos\MALENTIN KARIME\BANCO ESTADO\2012 DEPTO ESCRITURAS fata\NOTARIA 2009\MANDATOS 2006\ARMANDO OLIVARES A JOSEFINA OLIVARES.doc</t>
  </si>
  <si>
    <t>C:\Users\franc\OneDrive\Documentos\MALENTIN KARIME\BANCO ESTADO\2012 DEPTO ESCRITURAS fata\NOTARIA 2009\MANDATOS 2006\AGLAYE ARACENA A XIMENA ARAYA (BANCO).doc</t>
  </si>
  <si>
    <t>C:\Users\franc\OneDrive\Documentos\MALENTIN KARIME\BANCO ESTADO\2012 DEPTO ESCRITURAS fata\NOTARIA 2009\MANDATO ADMINISTRACION\MANDATO.DOC</t>
  </si>
  <si>
    <t>C:\Users\franc\OneDrive\Documentos\MALENTIN KARIME\BANCO ESTADO\2012 DEPTO ESCRITURAS fata\NOTARIA 2009\MANDATO ADMINISTRACION\LUIS DIAZ A RAMON DIAZ (MAS COMPLETO).doc</t>
  </si>
  <si>
    <t>C:\Users\franc\OneDrive\Documentos\MALENTIN KARIME\BANCO ESTADO\2012 DEPTO ESCRITURAS fata\NOTARIA 2009\MANDATO ADMINISTRACION\JUAN DE DIOS  CASTILLO ZAMBRA.doc</t>
  </si>
  <si>
    <t>C:\Users\franc\OneDrive\Documentos\MALENTIN KARIME\BANCO ESTADO\2012 DEPTO ESCRITURAS fata\NOTARIA 2009\MANDATO ADMINISTRACION\JAVIER PIZARRO Y OTRA.doc</t>
  </si>
  <si>
    <t>C:\Users\franc\OneDrive\Documentos\MALENTIN KARIME\BANCO ESTADO\2012 DEPTO ESCRITURAS fata\NOTARIA 2009\MANDATO ADMINISTRACION\Guillermo Pizarro Araya.doc</t>
  </si>
  <si>
    <t>C:\Users\franc\OneDrive\Documentos\MALENTIN KARIME\BANCO ESTADO\2012 DEPTO ESCRITURAS fata\NOTARIA 2009\MA. ANGELICA MARIN\OPCION DE COMPRA CIA. MRA. VIENTO NORTE.doc</t>
  </si>
  <si>
    <t>C:\Users\franc\OneDrive\Documentos\MALENTIN KARIME\BANCO ESTADO\2012 DEPTO ESCRITURAS fata\NOTARIA 2009\LUZ TORREJON\yolanda muñoz.doc</t>
  </si>
  <si>
    <t>C:\Users\franc\OneDrive\Documentos\MALENTIN KARIME\BANCO ESTADO\2012 DEPTO ESCRITURAS fata\NOTARIA 2009\LUZ TORREJON\TESTAMENTO ABIERTO.doc</t>
  </si>
  <si>
    <t>C:\Users\franc\OneDrive\Documentos\MALENTIN KARIME\BANCO ESTADO\2012 DEPTO ESCRITURAS fata\NOTARIA 2009\LUZ TORREJON\SOC. TRANSPORTES LUIS Y JOSE TORREJON.doc</t>
  </si>
  <si>
    <t>C:\Users\franc\OneDrive\Documentos\MALENTIN KARIME\BANCO ESTADO\2012 DEPTO ESCRITURAS fata\NOTARIA 2009\LUZ TORREJON\RECTIFICA MANDATO ANITA.doc</t>
  </si>
  <si>
    <t>C:\Users\franc\OneDrive\Documentos\MALENTIN KARIME\BANCO ESTADO\2012 DEPTO ESCRITURAS fata\NOTARIA 2009\LUZ TORREJON\PRUDENCIO ARAYA A SILVIA CORTES.doc</t>
  </si>
  <si>
    <t>C:\Users\franc\OneDrive\Documentos\MALENTIN KARIME\BANCO ESTADO\2012 DEPTO ESCRITURAS fata\NOTARIA 2009\LUZ TORREJON\OMAR ARRENAS EXTRACTO.doc</t>
  </si>
  <si>
    <t>C:\Users\franc\OneDrive\Documentos\MALENTIN KARIME\BANCO ESTADO\2012 DEPTO ESCRITURAS fata\NOTARIA 2009\LUZ TORREJON\OMAR ARENAS E.I.R.L..doc</t>
  </si>
  <si>
    <t>C:\Users\franc\OneDrive\Documentos\MALENTIN KARIME\BANCO ESTADO\2012 DEPTO ESCRITURAS fata\NOTARIA 2009\LUZ TORREJON\LUISA RIOS COMPRAVENTA BS. MUEBLES.doc</t>
  </si>
  <si>
    <t>C:\Users\franc\OneDrive\Documentos\MALENTIN KARIME\BANCO ESTADO\2012 DEPTO ESCRITURAS fata\NOTARIA 2009\LUZ TORREJON\LA ITALIANA ADJUDICACOIN PATENTE COMERCIAL.doc</t>
  </si>
  <si>
    <t>C:\Users\franc\OneDrive\Documentos\MALENTIN KARIME\BANCO ESTADO\2012 DEPTO ESCRITURAS fata\NOTARIA 2009\LUZ TORREJON\LA ITALIANA ADJUDICACION.doc</t>
  </si>
  <si>
    <t>C:\Users\franc\OneDrive\Documentos\MALENTIN KARIME\BANCO ESTADO\2012 DEPTO ESCRITURAS fata\NOTARIA 2009\LUZ TORREJON\JOSE TORREJON A ADRIANA VILLALOBOS.doc</t>
  </si>
  <si>
    <t>C:\Users\franc\OneDrive\Documentos\MALENTIN KARIME\BANCO ESTADO\2012 DEPTO ESCRITURAS fata\NOTARIA 2009\LUZ TORREJON\JACQUELINE HENRIQUEZ A PRUDENCIO ARAYA (ANITA).doc</t>
  </si>
  <si>
    <t>C:\Users\franc\OneDrive\Documentos\MALENTIN KARIME\BANCO ESTADO\2012 DEPTO ESCRITURAS fata\NOTARIA 2009\LUZ TORREJON\ISABEL ARAYA ARANDA.doc</t>
  </si>
  <si>
    <t>C:\Users\franc\OneDrive\Documentos\MALENTIN KARIME\BANCO ESTADO\2012 DEPTO ESCRITURAS fata\NOTARIA 2009\LUZ TORREJON\ISABEL ARAYA ARANDA (CESION DERECHOS HEREDITARIOS.doc</t>
  </si>
  <si>
    <t>C:\Users\franc\OneDrive\Documentos\MALENTIN KARIME\BANCO ESTADO\2012 DEPTO ESCRITURAS fata\NOTARIA 2009\LUZ TORREJON\EXTRACTO SOC. LUIS TORREJON.doc</t>
  </si>
  <si>
    <t>C:\Users\franc\OneDrive\Documentos\MALENTIN KARIME\BANCO ESTADO\2012 DEPTO ESCRITURAS fata\NOTARIA 2009\LUZ TORREJON\ernesto tapia.doc</t>
  </si>
  <si>
    <t>C:\Users\franc\OneDrive\Documentos\MALENTIN KARIME\BANCO ESTADO\2012 DEPTO ESCRITURAS fata\NOTARIA 2009\LUZ TORREJON\EMILIA SANTIBAÑEZ A LORNA NARBONA.doc</t>
  </si>
  <si>
    <t>C:\Users\franc\OneDrive\Documentos\MALENTIN KARIME\BANCO ESTADO\2012 DEPTO ESCRITURAS fata\NOTARIA 2009\LUZ TORREJON\EMILIA SANTIBAÑEZ A FABIAN BECERRA.doc</t>
  </si>
  <si>
    <t>C:\Users\franc\OneDrive\Documentos\MALENTIN KARIME\BANCO ESTADO\2012 DEPTO ESCRITURAS fata\NOTARIA 2009\LUZ TORREJON\ELSA ARAYA A JOSE CORTES.doc</t>
  </si>
  <si>
    <t>C:\Users\franc\OneDrive\Documentos\MALENTIN KARIME\BANCO ESTADO\2012 DEPTO ESCRITURAS fata\NOTARIA 2009\LUZ TORREJON\ELIAS HERRERA A ANA FREDES (BS. MUEBLES).doc</t>
  </si>
  <si>
    <t>C:\Users\franc\OneDrive\Documentos\MALENTIN KARIME\BANCO ESTADO\2012 DEPTO ESCRITURAS fata\NOTARIA 2009\LUZ TORREJON\ELIANA OLIVARES A JAVIER OLIVARES.doc</t>
  </si>
  <si>
    <t>C:\Users\franc\OneDrive\Documentos\MALENTIN KARIME\BANCO ESTADO\2012 DEPTO ESCRITURAS fata\NOTARIA 2009\LUZ TORREJON\ELIANA OLIVARES A FANTINA OLIVARES (RECTIFI).doc</t>
  </si>
  <si>
    <t>C:\Users\franc\OneDrive\Documentos\MALENTIN KARIME\BANCO ESTADO\2012 DEPTO ESCRITURAS fata\NOTARIA 2009\LUZ TORREJON\DIGNA BUGUEÑO A ALBERTO GONZALEZ.doc</t>
  </si>
  <si>
    <t>C:\Users\franc\OneDrive\Documentos\MALENTIN KARIME\BANCO ESTADO\2012 DEPTO ESCRITURAS fata\NOTARIA 2009\LUZ TORREJON\CONTRATO_ARRIENDO_NARBONA[1].doc</t>
  </si>
  <si>
    <t>C:\Users\franc\OneDrive\Documentos\MALENTIN KARIME\BANCO ESTADO\2012 DEPTO ESCRITURAS fata\NOTARIA 2009\LUZ TORREJON\CONTRATO_ARRIENDO_NARBONA FINAL.doc</t>
  </si>
  <si>
    <t>C:\Users\franc\OneDrive\Documentos\MALENTIN KARIME\BANCO ESTADO\2012 DEPTO ESCRITURAS fata\NOTARIA 2009\LUZ TORREJON\COMPRAVENTA BINEES MUEBLES ALCAYAGA.doc</t>
  </si>
  <si>
    <t>C:\Users\franc\OneDrive\Documentos\MALENTIN KARIME\BANCO ESTADO\2012 DEPTO ESCRITURAS fata\NOTARIA 2009\LUZ TORREJON\CESION DE DERECHOS VILLALOBOS.doc</t>
  </si>
  <si>
    <t>C:\Users\franc\OneDrive\Documentos\MALENTIN KARIME\BANCO ESTADO\2012 DEPTO ESCRITURAS fata\NOTARIA 2009\LUZ TORREJON\C.V. INMB.  TORREJON A VARGAS.doc</t>
  </si>
  <si>
    <t>C:\Users\franc\OneDrive\Documentos\MALENTIN KARIME\BANCO ESTADO\2012 DEPTO ESCRITURAS fata\NOTARIA 2009\LUZ TORREJON\AMARO HIDALGO A LUIS TORREJON.doc</t>
  </si>
  <si>
    <t>C:\Users\franc\OneDrive\Documentos\MALENTIN KARIME\BANCO ESTADO\2012 DEPTO ESCRITURAS fata\NOTARIA 2009\LUIS GALLARDO OSORIO\SERGIO CANIHUANTE EXTRACTO.doc</t>
  </si>
  <si>
    <t>C:\Users\franc\OneDrive\Documentos\MALENTIN KARIME\BANCO ESTADO\2012 DEPTO ESCRITURAS fata\NOTARIA 2009\LUIS GALLARDO OSORIO\SERGIO CANIHUANTE E.I.R.L..doc</t>
  </si>
  <si>
    <t>C:\Users\franc\OneDrive\Documentos\MALENTIN KARIME\BANCO ESTADO\2012 DEPTO ESCRITURAS fata\NOTARIA 2009\LUIS GALLARDO OSORIO\RECAREDO GOMEZ A ANA GOMEZ (CESION DE DERECHOS).doc</t>
  </si>
  <si>
    <t>C:\Users\franc\OneDrive\Documentos\MALENTIN KARIME\BANCO ESTADO\2012 DEPTO ESCRITURAS fata\NOTARIA 2009\LUIS GALLARDO OSORIO\REBECA ROSADO.doc</t>
  </si>
  <si>
    <t>C:\Users\franc\OneDrive\Documentos\MALENTIN KARIME\BANCO ESTADO\2012 DEPTO ESCRITURAS fata\NOTARIA 2009\LUIS GALLARDO OSORIO\REBECA ROSADO FINAL.doc</t>
  </si>
  <si>
    <t>C:\Users\franc\OneDrive\Documentos\MALENTIN KARIME\BANCO ESTADO\2012 DEPTO ESCRITURAS fata\NOTARIA 2009\LUIS GALLARDO OSORIO\RAMON HENRIQUEZ (MANDATO GENERAL).doc</t>
  </si>
  <si>
    <t>C:\Users\franc\OneDrive\Documentos\MALENTIN KARIME\BANCO ESTADO\2012 DEPTO ESCRITURAS fata\NOTARIA 2009\LUIS GALLARDO OSORIO\ORLANDO SEGOVIA A JORGE CONTRERAS.doc</t>
  </si>
  <si>
    <t>C:\Users\franc\OneDrive\Documentos\MALENTIN KARIME\BANCO ESTADO\2012 DEPTO ESCRITURAS fata\NOTARIA 2009\LUIS GALLARDO OSORIO\MARY TEMPLEMAN A JAMES TEMPLEMAN (CESION Y URUFRUCTO).doc</t>
  </si>
  <si>
    <t>C:\Users\franc\OneDrive\Documentos\MALENTIN KARIME\BANCO ESTADO\2012 DEPTO ESCRITURAS fata\NOTARIA 2009\LUIS GALLARDO OSORIO\MARIA VERGARA A OLIVA RIVERA (CV Y USU).doc</t>
  </si>
  <si>
    <t>C:\Users\franc\OneDrive\Documentos\MALENTIN KARIME\BANCO ESTADO\2012 DEPTO ESCRITURAS fata\NOTARIA 2009\LUIS GALLARDO OSORIO\MARIA ROJAS A WALTER VEGA.doc</t>
  </si>
  <si>
    <t>C:\Users\franc\OneDrive\Documentos\MALENTIN KARIME\BANCO ESTADO\2012 DEPTO ESCRITURAS fata\NOTARIA 2009\LUIS GALLARDO OSORIO\LUIS GALLARDO OSORIO (ADJUDICACION AGUAS).doc</t>
  </si>
  <si>
    <t>C:\Users\franc\OneDrive\Documentos\MALENTIN KARIME\BANCO ESTADO\2012 DEPTO ESCRITURAS fata\NOTARIA 2009\LUIS GALLARDO OSORIO\LUIS CORTES Y OTRA A LUIS FIGUEROA Y OTROS.doc</t>
  </si>
  <si>
    <t>C:\Users\franc\OneDrive\Documentos\MALENTIN KARIME\BANCO ESTADO\2012 DEPTO ESCRITURAS fata\NOTARIA 2009\LUIS GALLARDO OSORIO\LUIS CORTES Y OTRA A FERNANDO LEAL.doc</t>
  </si>
  <si>
    <t>C:\Users\franc\OneDrive\Documentos\MALENTIN KARIME\BANCO ESTADO\2012 DEPTO ESCRITURAS fata\NOTARIA 2009\LUIS GALLARDO OSORIO\LIDIA GOMEZ Y DANIEL AGUAYO (RATIFICACION).doc</t>
  </si>
  <si>
    <t>C:\Users\franc\OneDrive\Documentos\MALENTIN KARIME\BANCO ESTADO\2012 DEPTO ESCRITURAS fata\NOTARIA 2009\LUIS GALLARDO OSORIO\LEONARDO CORRAL Y OTROS (COMPLEMENTACION).doc</t>
  </si>
  <si>
    <t>C:\Users\franc\OneDrive\Documentos\MALENTIN KARIME\BANCO ESTADO\2012 DEPTO ESCRITURAS fata\NOTARIA 2009\LUIS GALLARDO OSORIO\LEONARDO CORRAL (PARTICION).doc</t>
  </si>
  <si>
    <t>C:\Users\franc\OneDrive\Documentos\MALENTIN KARIME\BANCO ESTADO\2012 DEPTO ESCRITURAS fata\NOTARIA 2009\LUIS GALLARDO OSORIO\JULIA CASTRO Y LUCY CONTRERAS (PROMESA).doc</t>
  </si>
  <si>
    <t>C:\Users\franc\OneDrive\Documentos\MALENTIN KARIME\BANCO ESTADO\2012 DEPTO ESCRITURAS fata\NOTARIA 2009\LUIS GALLARDO OSORIO\JORGE ROJAS (COMPLEMENTACION).doc</t>
  </si>
  <si>
    <t>C:\Users\franc\OneDrive\Documentos\MALENTIN KARIME\BANCO ESTADO\2012 DEPTO ESCRITURAS fata\NOTARIA 2009\LUIS GALLARDO OSORIO\HILDA OVALLE A LUISA LETELIER (PROMESA Y MANDATO).doc</t>
  </si>
  <si>
    <t>C:\Users\franc\OneDrive\Documentos\MALENTIN KARIME\BANCO ESTADO\2012 DEPTO ESCRITURAS fata\NOTARIA 2009\LUIS GALLARDO OSORIO\ELIANA CORTES Y OTROS (PARTICION).doc</t>
  </si>
  <si>
    <t>C:\Users\franc\OneDrive\Documentos\MALENTIN KARIME\BANCO ESTADO\2012 DEPTO ESCRITURAS fata\NOTARIA 2009\LUIS GALLARDO OSORIO\ELADIO CISTERNAS A YARITZA FUENTES Y OTRO.doc</t>
  </si>
  <si>
    <t>C:\Users\franc\OneDrive\Documentos\MALENTIN KARIME\BANCO ESTADO\2012 DEPTO ESCRITURAS fata\NOTARIA 2009\LUIS GALLARDO OSORIO\El Notario que suscribe certifica que.doc</t>
  </si>
  <si>
    <t>C:\Users\franc\OneDrive\Documentos\MALENTIN KARIME\BANCO ESTADO\2012 DEPTO ESCRITURAS fata\NOTARIA 2009\LUIS GALLARDO OSORIO\AMANDA TELLO Y OTROS (PARTICION).doc</t>
  </si>
  <si>
    <t>C:\Users\franc\OneDrive\Documentos\MALENTIN KARIME\BANCO ESTADO\2012 DEPTO ESCRITURAS fata\NOTARIA 2009\LUIS GALLARDO OSORIO\ACLARACION JORGE ROJAS.doc</t>
  </si>
  <si>
    <t>C:\Users\franc\OneDrive\Documentos\MALENTIN KARIME\BANCO ESTADO\2012 DEPTO ESCRITURAS fata\NOTARIA 2009\LUIS ALIAGA\instrucciones Jamett-Nortes.2007doc.doc</t>
  </si>
  <si>
    <t>C:\Users\franc\OneDrive\Documentos\MALENTIN KARIME\BANCO ESTADO\2012 DEPTO ESCRITURAS fata\NOTARIA 2009\LUIS ALIAGA\CESIONES DERECHOS JAMETT.doc</t>
  </si>
  <si>
    <t>C:\Users\franc\OneDrive\Documentos\MALENTIN KARIME\BANCO ESTADO\2012 DEPTO ESCRITURAS fata\NOTARIA 2009\LUIS ALIAGA\CESION JAMETT A ANDRES NORTES.doc</t>
  </si>
  <si>
    <t>C:\Users\franc\OneDrive\Documentos\MALENTIN KARIME\BANCO ESTADO\2012 DEPTO ESCRITURAS fata\NOTARIA 2009\LOGROS\HIPOTECAS\SOC. CONSTRUC. ARKON.doc</t>
  </si>
  <si>
    <t>C:\Users\franc\OneDrive\Documentos\MALENTIN KARIME\BANCO ESTADO\2012 DEPTO ESCRITURAS fata\NOTARIA 2009\LOGROS\ALZAMIENTOS\MODELO ALZAMIENTO ((2 VEHICULOS).doc</t>
  </si>
  <si>
    <t>C:\Users\franc\OneDrive\Documentos\MALENTIN KARIME\BANCO ESTADO\2012 DEPTO ESCRITURAS fata\NOTARIA 2009\LOGROS\ALZAMIENTOS\LUIS TRONCOSO ACEVEDO.doc</t>
  </si>
  <si>
    <t>C:\Users\franc\OneDrive\Documentos\MALENTIN KARIME\BANCO ESTADO\2012 DEPTO ESCRITURAS fata\NOTARIA 2009\LOGROS\ALZAMIENTOS\Doc1.doc</t>
  </si>
  <si>
    <t>C:\Users\franc\OneDrive\Documentos\MALENTIN KARIME\BANCO ESTADO\2012 DEPTO ESCRITURAS fata\NOTARIA 2009\LOGROS\WILSON YAÑEZ AGUILERA.doc</t>
  </si>
  <si>
    <t>C:\Users\franc\OneDrive\Documentos\MALENTIN KARIME\BANCO ESTADO\2012 DEPTO ESCRITURAS fata\NOTARIA 2009\LOGROS\VICTORINA VARGAS.doc</t>
  </si>
  <si>
    <t>C:\Users\franc\OneDrive\Documentos\MALENTIN KARIME\BANCO ESTADO\2012 DEPTO ESCRITURAS fata\NOTARIA 2009\LOGROS\VICTOR CASTEX.doc</t>
  </si>
  <si>
    <t>C:\Users\franc\OneDrive\Documentos\MALENTIN KARIME\BANCO ESTADO\2012 DEPTO ESCRITURAS fata\NOTARIA 2009\LOGROS\TRANSPORTES PEÑAFIEL.doc</t>
  </si>
  <si>
    <t>C:\Users\franc\OneDrive\Documentos\MALENTIN KARIME\BANCO ESTADO\2012 DEPTO ESCRITURAS fata\NOTARIA 2009\LOGROS\SOLANGE YUTRONIC EIRL.doc</t>
  </si>
  <si>
    <t>C:\Users\franc\OneDrive\Documentos\MALENTIN KARIME\BANCO ESTADO\2012 DEPTO ESCRITURAS fata\NOTARIA 2009\LOGROS\SOCIEDAD COMERCIAL OFFICE (Mandato).doc</t>
  </si>
  <si>
    <t>C:\Users\franc\OneDrive\Documentos\MALENTIN KARIME\BANCO ESTADO\2012 DEPTO ESCRITURAS fata\NOTARIA 2009\LOGROS\Sociedad Agricola y Comercial RENGO.doc</t>
  </si>
  <si>
    <t>C:\Users\franc\OneDrive\Documentos\MALENTIN KARIME\BANCO ESTADO\2012 DEPTO ESCRITURAS fata\NOTARIA 2009\LOGROS\SOC. LOS PRIMOS.doc</t>
  </si>
  <si>
    <t>C:\Users\franc\OneDrive\Documentos\MALENTIN KARIME\BANCO ESTADO\2012 DEPTO ESCRITURAS fata\NOTARIA 2009\LOGROS\SOC. ARKON ABRIL 2008.doc</t>
  </si>
  <si>
    <t>C:\Users\franc\OneDrive\Documentos\MALENTIN KARIME\BANCO ESTADO\2012 DEPTO ESCRITURAS fata\NOTARIA 2009\LOGROS\SANTA CATALINA.doc</t>
  </si>
  <si>
    <t>C:\Users\franc\OneDrive\Documentos\MALENTIN KARIME\BANCO ESTADO\2012 DEPTO ESCRITURAS fata\NOTARIA 2009\LOGROS\ROLDAN ROJO LEYSSEN.doc</t>
  </si>
  <si>
    <t>C:\Users\franc\OneDrive\Documentos\MALENTIN KARIME\BANCO ESTADO\2012 DEPTO ESCRITURAS fata\NOTARIA 2009\LOGROS\RICARDO MONTERO.doc</t>
  </si>
  <si>
    <t>C:\Users\franc\OneDrive\Documentos\MALENTIN KARIME\BANCO ESTADO\2012 DEPTO ESCRITURAS fata\NOTARIA 2009\LOGROS\RICARDO FIGUEROA.doc</t>
  </si>
  <si>
    <t>C:\Users\franc\OneDrive\Documentos\MALENTIN KARIME\BANCO ESTADO\2012 DEPTO ESCRITURAS fata\NOTARIA 2009\LOGROS\RICARDO ALLLENDE.doc</t>
  </si>
  <si>
    <t>C:\Users\franc\OneDrive\Documentos\MALENTIN KARIME\BANCO ESTADO\2012 DEPTO ESCRITURAS fata\NOTARIA 2009\LOGROS\RENE URZUA.doc</t>
  </si>
  <si>
    <t>C:\Users\franc\OneDrive\Documentos\MALENTIN KARIME\BANCO ESTADO\2012 DEPTO ESCRITURAS fata\NOTARIA 2009\LOGROS\Raúl Rodríguez Diaz.doc</t>
  </si>
  <si>
    <t>C:\Users\franc\OneDrive\Documentos\MALENTIN KARIME\BANCO ESTADO\2012 DEPTO ESCRITURAS fata\NOTARIA 2009\LOGROS\RAMON VIVES.doc</t>
  </si>
  <si>
    <t>C:\Users\franc\OneDrive\Documentos\MALENTIN KARIME\BANCO ESTADO\2012 DEPTO ESCRITURAS fata\NOTARIA 2009\LOGROS\RAMON LUNA.doc</t>
  </si>
  <si>
    <t>C:\Users\franc\OneDrive\Documentos\MALENTIN KARIME\BANCO ESTADO\2012 DEPTO ESCRITURAS fata\NOTARIA 2009\LOGROS\PAULINA GALVEZ Y CIA..doc</t>
  </si>
  <si>
    <t>C:\Users\franc\OneDrive\Documentos\MALENTIN KARIME\BANCO ESTADO\2012 DEPTO ESCRITURAS fata\NOTARIA 2009\LOGROS\PATRICIO SASTRE.doc</t>
  </si>
  <si>
    <t>C:\Users\franc\OneDrive\Documentos\MALENTIN KARIME\BANCO ESTADO\2012 DEPTO ESCRITURAS fata\NOTARIA 2009\LOGROS\PATRICIO SASTRE (FINAL).doc</t>
  </si>
  <si>
    <t>C:\Users\franc\OneDrive\Documentos\MALENTIN KARIME\BANCO ESTADO\2012 DEPTO ESCRITURAS fata\NOTARIA 2009\LOGROS\PAMELA GONZALEZ.doc</t>
  </si>
  <si>
    <t>C:\Users\franc\OneDrive\Documentos\MALENTIN KARIME\BANCO ESTADO\2012 DEPTO ESCRITURAS fata\NOTARIA 2009\LOGROS\NISAL.doc</t>
  </si>
  <si>
    <t>C:\Users\franc\OneDrive\Documentos\MALENTIN KARIME\BANCO ESTADO\2012 DEPTO ESCRITURAS fata\NOTARIA 2009\LOGROS\Modelo_Contrato_Factoring_Juan_Carlos_Campos[1].doc</t>
  </si>
  <si>
    <t>C:\Users\franc\OneDrive\Documentos\MALENTIN KARIME\BANCO ESTADO\2012 DEPTO ESCRITURAS fata\NOTARIA 2009\LOGROS\MODELO NOTARIO.doc</t>
  </si>
  <si>
    <t>C:\Users\franc\OneDrive\Documentos\MALENTIN KARIME\BANCO ESTADO\2012 DEPTO ESCRITURAS fata\NOTARIA 2009\LOGROS\Modelo Contrato Factoring Herga Pinto Jure.doc</t>
  </si>
  <si>
    <t>C:\Users\franc\OneDrive\Documentos\MALENTIN KARIME\BANCO ESTADO\2012 DEPTO ESCRITURAS fata\NOTARIA 2009\LOGROS\MAURICIO MARIN (HIPOTECA).doc</t>
  </si>
  <si>
    <t>C:\Users\franc\OneDrive\Documentos\MALENTIN KARIME\BANCO ESTADO\2012 DEPTO ESCRITURAS fata\NOTARIA 2009\LOGROS\MARGARITA MORGADO.doc</t>
  </si>
  <si>
    <t>C:\Users\franc\OneDrive\Documentos\MALENTIN KARIME\BANCO ESTADO\2012 DEPTO ESCRITURAS fata\NOTARIA 2009\LOGROS\MANUEL CHRISTIANSEN.doc</t>
  </si>
  <si>
    <t>C:\Users\franc\OneDrive\Documentos\MALENTIN KARIME\BANCO ESTADO\2012 DEPTO ESCRITURAS fata\NOTARIA 2009\LOGROS\MANDATO FACT. HECTOR BARRAZA ARAYA.doc</t>
  </si>
  <si>
    <t>C:\Users\franc\OneDrive\Documentos\MALENTIN KARIME\BANCO ESTADO\2012 DEPTO ESCRITURAS fata\NOTARIA 2009\LOGROS\LUIS CORTES JOFRE.doc</t>
  </si>
  <si>
    <t>C:\Users\franc\OneDrive\Documentos\MALENTIN KARIME\BANCO ESTADO\2012 DEPTO ESCRITURAS fata\NOTARIA 2009\LOGROS\LUIS CASTAÑEDA CASTILLO.doc</t>
  </si>
  <si>
    <t>C:\Users\franc\OneDrive\Documentos\MALENTIN KARIME\BANCO ESTADO\2012 DEPTO ESCRITURAS fata\NOTARIA 2009\LOGROS\LEYLA RAMIREZ AGUILERA.doc</t>
  </si>
  <si>
    <t>C:\Users\franc\OneDrive\Documentos\MALENTIN KARIME\BANCO ESTADO\2012 DEPTO ESCRITURAS fata\NOTARIA 2009\LOGROS\LEONARDO GONZALEZ MORALES 04-10-2007.doc</t>
  </si>
  <si>
    <t>C:\Users\franc\OneDrive\Documentos\MALENTIN KARIME\BANCO ESTADO\2012 DEPTO ESCRITURAS fata\NOTARIA 2009\LOGROS\JUANA GONZALEZ MODIF. SOC.doc</t>
  </si>
  <si>
    <t>C:\Users\franc\OneDrive\Documentos\MALENTIN KARIME\BANCO ESTADO\2012 DEPTO ESCRITURAS fata\NOTARIA 2009\LOGROS\JUAN GONZALEZ FLORES (VINKA).doc</t>
  </si>
  <si>
    <t>C:\Users\franc\OneDrive\Documentos\MALENTIN KARIME\BANCO ESTADO\2012 DEPTO ESCRITURAS fata\NOTARIA 2009\LOGROS\JUAN DIAZ BUGUEÑO.doc</t>
  </si>
  <si>
    <t>C:\Users\franc\OneDrive\Documentos\MALENTIN KARIME\BANCO ESTADO\2012 DEPTO ESCRITURAS fata\NOTARIA 2009\LOGROS\JUAN ARAYA.doc</t>
  </si>
  <si>
    <t>C:\Users\franc\OneDrive\Documentos\MALENTIN KARIME\BANCO ESTADO\2012 DEPTO ESCRITURAS fata\NOTARIA 2009\LOGROS\IVAN LAGUNAS.doc</t>
  </si>
  <si>
    <t>C:\Users\franc\OneDrive\Documentos\MALENTIN KARIME\BANCO ESTADO\2012 DEPTO ESCRITURAS fata\NOTARIA 2009\LOGROS\HONORIO TAPIA.doc</t>
  </si>
  <si>
    <t>C:\Users\franc\OneDrive\Documentos\MALENTIN KARIME\BANCO ESTADO\2012 DEPTO ESCRITURAS fata\NOTARIA 2009\LOGROS\Hernan Cabrera Miranda.doc</t>
  </si>
  <si>
    <t>C:\Users\franc\OneDrive\Documentos\MALENTIN KARIME\BANCO ESTADO\2012 DEPTO ESCRITURAS fata\NOTARIA 2009\LOGROS\HERNAN ARAYA ARACENA.doc</t>
  </si>
  <si>
    <t>C:\Users\franc\OneDrive\Documentos\MALENTIN KARIME\BANCO ESTADO\2012 DEPTO ESCRITURAS fata\NOTARIA 2009\LOGROS\GLORIA TAPIA.doc</t>
  </si>
  <si>
    <t>C:\Users\franc\OneDrive\Documentos\MALENTIN KARIME\BANCO ESTADO\2012 DEPTO ESCRITURAS fata\NOTARIA 2009\LOGROS\GILBERTO PARDO.doc</t>
  </si>
  <si>
    <t>C:\Users\franc\OneDrive\Documentos\MALENTIN KARIME\BANCO ESTADO\2012 DEPTO ESCRITURAS fata\NOTARIA 2009\LOGROS\FRANCISCO HERNANDEZ MUÑOZ.doc</t>
  </si>
  <si>
    <t>C:\Users\franc\OneDrive\Documentos\MALENTIN KARIME\BANCO ESTADO\2012 DEPTO ESCRITURAS fata\NOTARIA 2009\LOGROS\FERNANDO PEÑAFIEL.doc</t>
  </si>
  <si>
    <t>C:\Users\franc\OneDrive\Documentos\MALENTIN KARIME\BANCO ESTADO\2012 DEPTO ESCRITURAS fata\NOTARIA 2009\LOGROS\ELIANA CORTES PIZARRO.doc</t>
  </si>
  <si>
    <t>C:\Users\franc\OneDrive\Documentos\MALENTIN KARIME\BANCO ESTADO\2012 DEPTO ESCRITURAS fata\NOTARIA 2009\LOGROS\EDUARDO CORTES AROSTICA.doc</t>
  </si>
  <si>
    <t>C:\Users\franc\OneDrive\Documentos\MALENTIN KARIME\BANCO ESTADO\2012 DEPTO ESCRITURAS fata\NOTARIA 2009\LOGROS\COMERCIAL NISAL LTDA..doc</t>
  </si>
  <si>
    <t>C:\Users\franc\OneDrive\Documentos\MALENTIN KARIME\BANCO ESTADO\2012 DEPTO ESCRITURAS fata\NOTARIA 2009\LOGROS\CLAUDIO MOLINA GONZALEZ.doc</t>
  </si>
  <si>
    <t>C:\Users\franc\OneDrive\Documentos\MALENTIN KARIME\BANCO ESTADO\2012 DEPTO ESCRITURAS fata\NOTARIA 2009\LOGROS\CECILIA URIBE.doc</t>
  </si>
  <si>
    <t>C:\Users\franc\OneDrive\Documentos\MALENTIN KARIME\BANCO ESTADO\2012 DEPTO ESCRITURAS fata\NOTARIA 2009\LOGROS\CECILIA ROJAS QUINZACARA.doc</t>
  </si>
  <si>
    <t>C:\Users\franc\OneDrive\Documentos\MALENTIN KARIME\BANCO ESTADO\2012 DEPTO ESCRITURAS fata\NOTARIA 2009\LOGROS\CARMEN MONDACA SANTIAGO.doc</t>
  </si>
  <si>
    <t>C:\Users\franc\OneDrive\Documentos\MALENTIN KARIME\BANCO ESTADO\2012 DEPTO ESCRITURAS fata\NOTARIA 2009\LOGROS\CARLOS MILLA.doc</t>
  </si>
  <si>
    <t>C:\Users\franc\OneDrive\Documentos\MALENTIN KARIME\BANCO ESTADO\2012 DEPTO ESCRITURAS fata\NOTARIA 2009\LOGROS\CAPRIGEN.doc</t>
  </si>
  <si>
    <t>C:\Users\franc\OneDrive\Documentos\MALENTIN KARIME\BANCO ESTADO\2012 DEPTO ESCRITURAS fata\NOTARIA 2009\LOGROS\ANICETO GUTIERREZ.doc</t>
  </si>
  <si>
    <t>C:\Users\franc\OneDrive\Documentos\MALENTIN KARIME\BANCO ESTADO\2012 DEPTO ESCRITURAS fata\NOTARIA 2009\LOGROS\AMILCAR NUÑEZ.doc</t>
  </si>
  <si>
    <t>C:\Users\franc\OneDrive\Documentos\MALENTIN KARIME\BANCO ESTADO\2012 DEPTO ESCRITURAS fata\NOTARIA 2009\LOGROS\ALIRO FLORES VELASQUEZ.doc</t>
  </si>
  <si>
    <t>C:\Users\franc\OneDrive\Documentos\MALENTIN KARIME\BANCO ESTADO\2012 DEPTO ESCRITURAS fata\NOTARIA 2009\LOGROS\ALEJANDRO ROJAS ZAPATA.doc</t>
  </si>
  <si>
    <t>C:\Users\franc\OneDrive\Documentos\MALENTIN KARIME\BANCO ESTADO\2012 DEPTO ESCRITURAS fata\NOTARIA 2009\LOGROS\AGROSERVICIOS LIMITADA.doc</t>
  </si>
  <si>
    <t>C:\Users\franc\OneDrive\Documentos\MALENTIN KARIME\BANCO ESTADO\2012 DEPTO ESCRITURAS fata\NOTARIA 2009\LOGROS\ABEL GALLARDO.doc</t>
  </si>
  <si>
    <t>C:\Users\franc\OneDrive\Documentos\MALENTIN KARIME\BANCO ESTADO\2012 DEPTO ESCRITURAS fata\NOTARIA 2009\LIQUIDACION SOC. Y SEP. BIENES\VICENTE RODRIGUEZ.doc</t>
  </si>
  <si>
    <t>C:\Users\franc\OneDrive\Documentos\MALENTIN KARIME\BANCO ESTADO\2012 DEPTO ESCRITURAS fata\NOTARIA 2009\LIQUIDACION SOC. Y SEP. BIENES\MODELO.doc</t>
  </si>
  <si>
    <t>C:\Users\franc\OneDrive\Documentos\MALENTIN KARIME\BANCO ESTADO\2012 DEPTO ESCRITURAS fata\NOTARIA 2009\LIQUIDACION SOC. Y SEP. BIENES\MODELO LIQUIDACION.doc</t>
  </si>
  <si>
    <t>C:\Users\franc\OneDrive\Documentos\MALENTIN KARIME\BANCO ESTADO\2012 DEPTO ESCRITURAS fata\NOTARIA 2009\LIQUIDACION SOC. Y SEP. BIENES\modelo ii.doc</t>
  </si>
  <si>
    <t>C:\Users\franc\OneDrive\Documentos\MALENTIN KARIME\BANCO ESTADO\2012 DEPTO ESCRITURAS fata\NOTARIA 2009\LIQUIDACION SOC. Y SEP. BIENES\HUGO GALVEZ A ANA DARRIGRANDE.doc</t>
  </si>
  <si>
    <t>C:\Users\franc\OneDrive\Documentos\MALENTIN KARIME\BANCO ESTADO\2012 DEPTO ESCRITURAS fata\NOTARIA 2009\LIQUIDACION SOC. Y SEP. BIENES\GLADYS CASTELLANOS A HECTOR ARACENA.doc</t>
  </si>
  <si>
    <t>C:\Users\franc\OneDrive\Documentos\MALENTIN KARIME\BANCO ESTADO\2012 DEPTO ESCRITURAS fata\NOTARIA 2009\LIQUIDACION SOC. Y SEP. BIENES\FERNANDO BOZZO Y MARIA CORDOVA.doc</t>
  </si>
  <si>
    <t>C:\Users\franc\OneDrive\Documentos\MALENTIN KARIME\BANCO ESTADO\2012 DEPTO ESCRITURAS fata\NOTARIA 2009\LIQUIDACION SOC. Y SEP. BIENES\EDGARDO SAUD ROJAS.doc</t>
  </si>
  <si>
    <t>C:\Users\franc\OneDrive\Documentos\MALENTIN KARIME\BANCO ESTADO\2012 DEPTO ESCRITURAS fata\NOTARIA 2009\LA ELEGANTE\MODELO PRENDA.doc</t>
  </si>
  <si>
    <t>C:\Users\franc\OneDrive\Documentos\MALENTIN KARIME\BANCO ESTADO\2012 DEPTO ESCRITURAS fata\NOTARIA 2009\JUNTA VIGILANCIA RIO HURTADO\ACTA SEPTIMA ASAMBLEA.doc</t>
  </si>
  <si>
    <t>C:\Users\franc\OneDrive\Documentos\MALENTIN KARIME\BANCO ESTADO\2012 DEPTO ESCRITURAS fata\NOTARIA 2009\JUNTA VIGILANCIA RIO HURTADO\ACTA CANAL TOMA CORRAL.doc</t>
  </si>
  <si>
    <t>C:\Users\franc\OneDrive\Documentos\MALENTIN KARIME\BANCO ESTADO\2012 DEPTO ESCRITURAS fata\NOTARIA 2009\JUNTA VIGILANCIA RIO HURTADO\ACTA CANAL EL MOLINO.doc</t>
  </si>
  <si>
    <t>C:\Users\franc\OneDrive\Documentos\MALENTIN KARIME\BANCO ESTADO\2012 DEPTO ESCRITURAS fata\NOTARIA 2009\JUNTA DE ACCIONISTAS\SLM MINA LA MURIENTE UNA DEL CERRO PIEGREGOSO.doc</t>
  </si>
  <si>
    <t>C:\Users\franc\OneDrive\Documentos\MALENTIN KARIME\BANCO ESTADO\2012 DEPTO ESCRITURAS fata\NOTARIA 2009\JUNTA DE ACCIONISTAS\SLM LA CORTADERA.doc</t>
  </si>
  <si>
    <t>C:\Users\franc\OneDrive\Documentos\MALENTIN KARIME\BANCO ESTADO\2012 DEPTO ESCRITURAS fata\NOTARIA 2009\JULIO POLO\ROSANNA SANTIBAÑEZ - GREEN GARDEN (CONSTURCCION).doc</t>
  </si>
  <si>
    <t>C:\Users\franc\OneDrive\Documentos\MALENTIN KARIME\BANCO ESTADO\2012 DEPTO ESCRITURAS fata\NOTARIA 2009\JULIO POLO\RECTIFICACION MARIA.doc</t>
  </si>
  <si>
    <t>C:\Users\franc\OneDrive\Documentos\MALENTIN KARIME\BANCO ESTADO\2012 DEPTO ESCRITURAS fata\NOTARIA 2009\JULIO POLO\LA  ITALIANA.doc</t>
  </si>
  <si>
    <t>C:\Users\franc\OneDrive\Documentos\MALENTIN KARIME\BANCO ESTADO\2012 DEPTO ESCRITURAS fata\NOTARIA 2009\JULIO POLO\DACION EN PAGO AGUIRRE Y AGUIRRE STGO. BOSMAN.doc</t>
  </si>
  <si>
    <t>C:\Users\franc\OneDrive\Documentos\MALENTIN KARIME\BANCO ESTADO\2012 DEPTO ESCRITURAS fata\NOTARIA 2009\JULIO POLO\CV. MARGARITA BORIC Y OTROS.doc</t>
  </si>
  <si>
    <t>C:\Users\franc\OneDrive\Documentos\MALENTIN KARIME\BANCO ESTADO\2012 DEPTO ESCRITURAS fata\NOTARIA 2009\JULIO POLO\CARTA INSTRUCCIONES AGUIRRE Y AGUIRRE.doc</t>
  </si>
  <si>
    <t>C:\Users\franc\OneDrive\Documentos\MALENTIN KARIME\BANCO ESTADO\2012 DEPTO ESCRITURAS fata\NOTARIA 2009\JULIO POLANCO\Promesa Dolores hectasreas.doc</t>
  </si>
  <si>
    <t>C:\Users\franc\OneDrive\Documentos\MALENTIN KARIME\BANCO ESTADO\2012 DEPTO ESCRITURAS fata\NOTARIA 2009\JULIO POLANCO\Lote Doce Feria a Doble M2.doc</t>
  </si>
  <si>
    <t>C:\Users\franc\OneDrive\Documentos\MALENTIN KARIME\BANCO ESTADO\2012 DEPTO ESCRITURAS fata\NOTARIA 2009\JULIO POLANCO\Instrucciones Lote 12.doc</t>
  </si>
  <si>
    <t>C:\Users\franc\OneDrive\Documentos\MALENTIN KARIME\BANCO ESTADO\2012 DEPTO ESCRITURAS fata\NOTARIA 2009\JULIO POLANCO\extracto cvta d%C2%BAs jpd a pmr futuro huana (2)[1].doc</t>
  </si>
  <si>
    <t>C:\Users\franc\OneDrive\Documentos\MALENTIN KARIME\BANCO ESTADO\2012 DEPTO ESCRITURAS fata\NOTARIA 2009\JULIO POLANCO\COMPRAVENTA contador.doc</t>
  </si>
  <si>
    <t>C:\Users\franc\OneDrive\Documentos\MALENTIN KARIME\BANCO ESTADO\2012 DEPTO ESCRITURAS fata\NOTARIA 2009\JULIO POLANCO\aclaracion.doc</t>
  </si>
  <si>
    <t>C:\Users\franc\OneDrive\Documentos\MALENTIN KARIME\BANCO ESTADO\2012 DEPTO ESCRITURAS fata\NOTARIA 2009\JUAN PABLO CORRAL\ORIANA MUNDACA A CATALINA MUNDACA.doc</t>
  </si>
  <si>
    <t>C:\Users\franc\OneDrive\Documentos\MALENTIN KARIME\BANCO ESTADO\2012 DEPTO ESCRITURAS fata\NOTARIA 2009\JUAN CAMPAÑA\JUAN GARCIA\OSCIEL URQUETA A SERGIO URQUETA LOTE 2E.doc</t>
  </si>
  <si>
    <t>C:\Users\franc\OneDrive\Documentos\MALENTIN KARIME\BANCO ESTADO\2012 DEPTO ESCRITURAS fata\NOTARIA 2009\JUAN CAMPAÑA\JUAN GARCIA\OSCIEL URQUETA A ROSA URQUETA LOTE 2 F.doc</t>
  </si>
  <si>
    <t>C:\Users\franc\OneDrive\Documentos\MALENTIN KARIME\BANCO ESTADO\2012 DEPTO ESCRITURAS fata\NOTARIA 2009\JUAN CAMPAÑA\JUAN GARCIA\OSCIEL URQUETA A OSVALDO URQUETA LOTE 2A.doc</t>
  </si>
  <si>
    <t>C:\Users\franc\OneDrive\Documentos\MALENTIN KARIME\BANCO ESTADO\2012 DEPTO ESCRITURAS fata\NOTARIA 2009\JUAN CAMPAÑA\JUAN GARCIA\OSCIEL URQUETA A LUIS URQUETA LOTE 2B.doc</t>
  </si>
  <si>
    <t>C:\Users\franc\OneDrive\Documentos\MALENTIN KARIME\BANCO ESTADO\2012 DEPTO ESCRITURAS fata\NOTARIA 2009\JUAN CAMPAÑA\JUAN GARCIA\OSCIEL URQUETA A CARMEN URQUETA LOTE C2.doc</t>
  </si>
  <si>
    <t>C:\Users\franc\OneDrive\Documentos\MALENTIN KARIME\BANCO ESTADO\2012 DEPTO ESCRITURAS fata\NOTARIA 2009\JUAN CAMPAÑA\JUAN GARCIA\OSCIEL URQUETA A CARLOS URQUETA LOTE 2D.doc</t>
  </si>
  <si>
    <t>C:\Users\franc\OneDrive\Documentos\MALENTIN KARIME\BANCO ESTADO\2012 DEPTO ESCRITURAS fata\NOTARIA 2009\JUAN CAMPAÑA\JUAN GARCIA\MODELO 19807.doc</t>
  </si>
  <si>
    <t>C:\Users\franc\OneDrive\Documentos\MALENTIN KARIME\BANCO ESTADO\2012 DEPTO ESCRITURAS fata\NOTARIA 2009\JUAN CAMPAÑA\ELIANA CRESPO  COMPRAVENTA.doc</t>
  </si>
  <si>
    <t>C:\Users\franc\OneDrive\Documentos\MALENTIN KARIME\BANCO ESTADO\2012 DEPTO ESCRITURAS fata\NOTARIA 2009\JUAN CAMPAÑA\ATILIANO CID A ELIANA CRESPO MANDATO GENERAL.doc</t>
  </si>
  <si>
    <t>C:\Users\franc\OneDrive\Documentos\MALENTIN KARIME\BANCO ESTADO\2012 DEPTO ESCRITURAS fata\NOTARIA 2009\JORGE HERNANDEZ\TERMINO Y FINIQUITO.doc</t>
  </si>
  <si>
    <t>C:\Users\franc\OneDrive\Documentos\MALENTIN KARIME\BANCO ESTADO\2012 DEPTO ESCRITURAS fata\NOTARIA 2009\JORGE HERNANDEZ\RATIFICACION CONJUGE CONTRATISTA.doc</t>
  </si>
  <si>
    <t>C:\Users\franc\OneDrive\Documentos\MALENTIN KARIME\BANCO ESTADO\2012 DEPTO ESCRITURAS fata\NOTARIA 2009\JORGE HERNANDEZ\CONTRATO CONSTRUCCION.doc</t>
  </si>
  <si>
    <t>C:\Users\franc\OneDrive\Documentos\MALENTIN KARIME\BANCO ESTADO\2012 DEPTO ESCRITURAS fata\NOTARIA 2009\JORGE ALVARADO\PARTICION OLIVARES MILLA.doc</t>
  </si>
  <si>
    <t>C:\Users\franc\OneDrive\Documentos\MALENTIN KARIME\BANCO ESTADO\2012 DEPTO ESCRITURAS fata\NOTARIA 2009\JERONIMO ROJAS\VENTA NUDA PROPIEDAD.doc</t>
  </si>
  <si>
    <t>C:\Users\franc\OneDrive\Documentos\MALENTIN KARIME\BANCO ESTADO\2012 DEPTO ESCRITURAS fata\NOTARIA 2009\JERONIMO ROJAS\JAVIER OLIVARES.doc</t>
  </si>
  <si>
    <t>C:\Users\franc\OneDrive\Documentos\MALENTIN KARIME\BANCO ESTADO\2012 DEPTO ESCRITURAS fata\NOTARIA 2009\JERONIMO ROJAS\GUMERCINDO HUERTA A ERNESTO HUERTA.doc</t>
  </si>
  <si>
    <t>C:\Users\franc\OneDrive\Documentos\MALENTIN KARIME\BANCO ESTADO\2012 DEPTO ESCRITURAS fata\NOTARIA 2009\JERONIMO ROJAS\FANTINA OLIVARES (NIETOS).doc</t>
  </si>
  <si>
    <t>C:\Users\franc\OneDrive\Documentos\MALENTIN KARIME\BANCO ESTADO\2012 DEPTO ESCRITURAS fata\NOTARIA 2009\JAIME MUÑOZ ALMAZAN\VIRGINIA AGUILERA USUFRUCTO.doc</t>
  </si>
  <si>
    <t>C:\Users\franc\OneDrive\Documentos\MALENTIN KARIME\BANCO ESTADO\2012 DEPTO ESCRITURAS fata\NOTARIA 2009\JAIME MUÑOZ ALMAZAN\SOC. VERANEO PACIFICO A HANALI BARRANTES.doc</t>
  </si>
  <si>
    <t>C:\Users\franc\OneDrive\Documentos\MALENTIN KARIME\BANCO ESTADO\2012 DEPTO ESCRITURAS fata\NOTARIA 2009\JAIME MUÑOZ ALMAZAN\SILVIA RODRIGUEZ.doc</t>
  </si>
  <si>
    <t>C:\Users\franc\OneDrive\Documentos\MALENTIN KARIME\BANCO ESTADO\2012 DEPTO ESCRITURAS fata\NOTARIA 2009\JAIME MUÑOZ ALMAZAN\SERVIDUMBRE CIA. MINERA PUNITAQUI.doc</t>
  </si>
  <si>
    <t>C:\Users\franc\OneDrive\Documentos\MALENTIN KARIME\BANCO ESTADO\2012 DEPTO ESCRITURAS fata\NOTARIA 2009\JAIME MUÑOZ ALMAZAN\RICARDO TELLO.doc</t>
  </si>
  <si>
    <t>C:\Users\franc\OneDrive\Documentos\MALENTIN KARIME\BANCO ESTADO\2012 DEPTO ESCRITURAS fata\NOTARIA 2009\JAIME MUÑOZ ALMAZAN\RECTIFICAC JAMIE MUÑOZ.doc</t>
  </si>
  <si>
    <t>C:\Users\franc\OneDrive\Documentos\MALENTIN KARIME\BANCO ESTADO\2012 DEPTO ESCRITURAS fata\NOTARIA 2009\JAIME MUÑOZ ALMAZAN\RECTIFICA ERIC MUÑOZ A COMITE NUEVA ESPERANZA.doc</t>
  </si>
  <si>
    <t>C:\Users\franc\OneDrive\Documentos\MALENTIN KARIME\BANCO ESTADO\2012 DEPTO ESCRITURAS fata\NOTARIA 2009\JAIME MUÑOZ ALMAZAN\RECTIFI HILDA BILBAO A COMITE NUEVA ESPERANZA.doc</t>
  </si>
  <si>
    <t>C:\Users\franc\OneDrive\Documentos\MALENTIN KARIME\BANCO ESTADO\2012 DEPTO ESCRITURAS fata\NOTARIA 2009\JAIME MUÑOZ ALMAZAN\PEDRO GALLARDO.doc</t>
  </si>
  <si>
    <t>C:\Users\franc\OneDrive\Documentos\MALENTIN KARIME\BANCO ESTADO\2012 DEPTO ESCRITURAS fata\NOTARIA 2009\JAIME MUÑOZ ALMAZAN\NORMA VERDEJO A CIA. MRA. PUNITAQUI.doc</t>
  </si>
  <si>
    <t>C:\Users\franc\OneDrive\Documentos\MALENTIN KARIME\BANCO ESTADO\2012 DEPTO ESCRITURAS fata\NOTARIA 2009\JAIME MUÑOZ ALMAZAN\LORENZO MUÑOZ Y OTROS.doc</t>
  </si>
  <si>
    <t>C:\Users\franc\OneDrive\Documentos\MALENTIN KARIME\BANCO ESTADO\2012 DEPTO ESCRITURAS fata\NOTARIA 2009\JAIME MUÑOZ ALMAZAN\LORENZO MUÑOZ Y OTROS A CIA. MRA..doc</t>
  </si>
  <si>
    <t>C:\Users\franc\OneDrive\Documentos\MALENTIN KARIME\BANCO ESTADO\2012 DEPTO ESCRITURAS fata\NOTARIA 2009\JAIME MUÑOZ ALMAZAN\JUANA CANIBILO A CIA. PUNITAQUI.doc</t>
  </si>
  <si>
    <t>C:\Users\franc\OneDrive\Documentos\MALENTIN KARIME\BANCO ESTADO\2012 DEPTO ESCRITURAS fata\NOTARIA 2009\JAIME MUÑOZ ALMAZAN\JOSE ARAYA.doc</t>
  </si>
  <si>
    <t>C:\Users\franc\OneDrive\Documentos\MALENTIN KARIME\BANCO ESTADO\2012 DEPTO ESCRITURAS fata\NOTARIA 2009\JAIME MUÑOZ ALMAZAN\Instruciones al Notario servidumbre dalmacia.doc</t>
  </si>
  <si>
    <t>C:\Users\franc\OneDrive\Documentos\MALENTIN KARIME\BANCO ESTADO\2012 DEPTO ESCRITURAS fata\NOTARIA 2009\JAIME MUÑOZ ALMAZAN\IDA GUERRA.doc</t>
  </si>
  <si>
    <t>C:\Users\franc\OneDrive\Documentos\MALENTIN KARIME\BANCO ESTADO\2012 DEPTO ESCRITURAS fata\NOTARIA 2009\JAIME MUÑOZ ALMAZAN\HILDA BONILLA.doc</t>
  </si>
  <si>
    <t>C:\Users\franc\OneDrive\Documentos\MALENTIN KARIME\BANCO ESTADO\2012 DEPTO ESCRITURAS fata\NOTARIA 2009\JAIME MUÑOZ ALMAZAN\ELVIRA VEGA.doc</t>
  </si>
  <si>
    <t>C:\Users\franc\OneDrive\Documentos\MALENTIN KARIME\BANCO ESTADO\2012 DEPTO ESCRITURAS fata\NOTARIA 2009\JAIME MUÑOZ ALMAZAN\ELIZABETH ECHEVERRIA.doc</t>
  </si>
  <si>
    <t>C:\Users\franc\OneDrive\Documentos\MALENTIN KARIME\BANCO ESTADO\2012 DEPTO ESCRITURAS fata\NOTARIA 2009\JAIME MUÑOZ ALMAZAN\BERNARDINA MARIN A CIA. PUNITAQUI.doc</t>
  </si>
  <si>
    <t>C:\Users\franc\OneDrive\Documentos\MALENTIN KARIME\BANCO ESTADO\2012 DEPTO ESCRITURAS fata\NOTARIA 2009\JAIME MUÑOZ ALMAZAN\ANA ROJO A CIA. PUNITAQUI.doc</t>
  </si>
  <si>
    <t>C:\Users\franc\OneDrive\Documentos\MALENTIN KARIME\BANCO ESTADO\2012 DEPTO ESCRITURAS fata\NOTARIA 2009\JAIME CRISTI ROMANI\MAVIS ALVAREZ Y OTROS A FDO. ZAPATA (MINAS).doc</t>
  </si>
  <si>
    <t>C:\Users\franc\OneDrive\Documentos\MALENTIN KARIME\BANCO ESTADO\2012 DEPTO ESCRITURAS fata\NOTARIA 2009\JACQUELINE PIZARRO\TESTAMENTO DE MARIA TERESA PONCE DE LEON.doc</t>
  </si>
  <si>
    <t>C:\Users\franc\OneDrive\Documentos\MALENTIN KARIME\BANCO ESTADO\2012 DEPTO ESCRITURAS fata\NOTARIA 2009\INPROCOL\REDUCCION A ESCRITURA PUBLICA ESCUELA HELENE LANG.doc</t>
  </si>
  <si>
    <t>C:\Users\franc\OneDrive\Documentos\MALENTIN KARIME\BANCO ESTADO\2012 DEPTO ESCRITURAS fata\NOTARIA 2009\HUGO PATRICIO LAGUNAS\IVAN PAVLETICH A IRMA PEREZ.doc</t>
  </si>
  <si>
    <t>C:\Users\franc\OneDrive\Documentos\MALENTIN KARIME\BANCO ESTADO\2012 DEPTO ESCRITURAS fata\NOTARIA 2009\HUGO PATRICIO LAGUNAS\FCO. RODRIGUEZ A GERMAN RODRIGUEZ (VENTA DERECHOS).doc</t>
  </si>
  <si>
    <t>C:\Users\franc\OneDrive\Documentos\MALENTIN KARIME\BANCO ESTADO\2012 DEPTO ESCRITURAS fata\NOTARIA 2009\HUGO PATRICIO LAGUNAS\FCO. RODRIGUEZ A GERMAN RODRIGUEZ (VENTA DERECHOS) II.doc</t>
  </si>
  <si>
    <t>C:\Users\franc\OneDrive\Documentos\MALENTIN KARIME\BANCO ESTADO\2012 DEPTO ESCRITURAS fata\NOTARIA 2009\HUGO DEL CAMPO\IRELDA CARVAJAL Y OT. A HUGO DEL CAMPO.doc</t>
  </si>
  <si>
    <t>C:\Users\franc\OneDrive\Documentos\MALENTIN KARIME\BANCO ESTADO\2012 DEPTO ESCRITURAS fata\NOTARIA 2009\HUGO DEL CAMPO\COMUNIDAD AGRICOLA EL PEÑON A HUGO DEL CAMPO.doc</t>
  </si>
  <si>
    <t>C:\Users\franc\OneDrive\Documentos\MALENTIN KARIME\BANCO ESTADO\2012 DEPTO ESCRITURAS fata\NOTARIA 2009\HIPOTECAS\ROSA VELIZ A ALDO CORDERO.doc</t>
  </si>
  <si>
    <t>C:\Users\franc\OneDrive\Documentos\MALENTIN KARIME\BANCO ESTADO\2012 DEPTO ESCRITURAS fata\NOTARIA 2009\HIPOTECAS\JAIME MONDACA A SOC..doc</t>
  </si>
  <si>
    <t>C:\Users\franc\OneDrive\Documentos\MALENTIN KARIME\BANCO ESTADO\2012 DEPTO ESCRITURAS fata\NOTARIA 2009\HIPOTECAS\COMITE VILLA ESPERANZA A SERVIU.doc</t>
  </si>
  <si>
    <t>C:\Users\franc\OneDrive\Documentos\MALENTIN KARIME\BANCO ESTADO\2012 DEPTO ESCRITURAS fata\NOTARIA 2009\HERNAN PEREZ\ALEJANDRO BARRAZA A COMITE AGUA POTABLE EL MAQUI.doc</t>
  </si>
  <si>
    <t>C:\Users\franc\OneDrive\Documentos\MALENTIN KARIME\BANCO ESTADO\2012 DEPTO ESCRITURAS fata\NOTARIA 2009\GASTON IVER\RENATO PEÑAFIEL A BELTRAN ZEPEDA SODECA.doc</t>
  </si>
  <si>
    <t>C:\Users\franc\OneDrive\Documentos\MALENTIN KARIME\BANCO ESTADO\2012 DEPTO ESCRITURAS fata\NOTARIA 2009\FRIGORIFICO SOTAQUI\ARRENDAMIENTO.doc</t>
  </si>
  <si>
    <t>C:\Users\franc\OneDrive\Documentos\MALENTIN KARIME\BANCO ESTADO\2012 DEPTO ESCRITURAS fata\NOTARIA 2009\FRANCISCO SAAVEDRA\SOBRE.doc</t>
  </si>
  <si>
    <t>C:\Users\franc\OneDrive\Documentos\MALENTIN KARIME\BANCO ESTADO\2012 DEPTO ESCRITURAS fata\NOTARIA 2009\FRANCISCO SAAVEDRA\SLM PRETECATEMU.doc</t>
  </si>
  <si>
    <t>C:\Users\franc\OneDrive\Documentos\MALENTIN KARIME\BANCO ESTADO\2012 DEPTO ESCRITURAS fata\NOTARIA 2009\FRANCISCO SAAVEDRA\SLM PRETECATEMU MODIFICACION.doc</t>
  </si>
  <si>
    <t>C:\Users\franc\OneDrive\Documentos\MALENTIN KARIME\BANCO ESTADO\2012 DEPTO ESCRITURAS fata\NOTARIA 2009\FRANCISCO SAAVEDRA\QUILLAYES (PAGO).doc</t>
  </si>
  <si>
    <t>C:\Users\franc\OneDrive\Documentos\MALENTIN KARIME\BANCO ESTADO\2012 DEPTO ESCRITURAS fata\NOTARIA 2009\FRANCISCO SAAVEDRA\PRETECATEMO PAGO CUOTA MAYO 2009.doc</t>
  </si>
  <si>
    <t>C:\Users\franc\OneDrive\Documentos\MALENTIN KARIME\BANCO ESTADO\2012 DEPTO ESCRITURAS fata\NOTARIA 2009\FRANCISCO SAAVEDRA\PRETECATEMO (PAGO).doc</t>
  </si>
  <si>
    <t>C:\Users\franc\OneDrive\Documentos\MALENTIN KARIME\BANCO ESTADO\2012 DEPTO ESCRITURAS fata\NOTARIA 2009\FRANCISCO SAAVEDRA\OLGA ALFARO Y OTRO A MILTON EGAÑA Y OTRO.doc</t>
  </si>
  <si>
    <t>C:\Users\franc\OneDrive\Documentos\MALENTIN KARIME\BANCO ESTADO\2012 DEPTO ESCRITURAS fata\NOTARIA 2009\FRANCISCO SAAVEDRA\modelo  EN REMATE.doc</t>
  </si>
  <si>
    <t>C:\Users\franc\OneDrive\Documentos\MALENTIN KARIME\BANCO ESTADO\2012 DEPTO ESCRITURAS fata\NOTARIA 2009\FRANCISCO SAAVEDRA\MIGUEL TAPIA PAGO CUOTA MAYO 2009.doc</t>
  </si>
  <si>
    <t>C:\Users\franc\OneDrive\Documentos\MALENTIN KARIME\BANCO ESTADO\2012 DEPTO ESCRITURAS fata\NOTARIA 2009\FRANCISCO SAAVEDRA\MIGUEL TAPIA A INVERS. EM DOS (PROMESA).doc</t>
  </si>
  <si>
    <t>C:\Users\franc\OneDrive\Documentos\MALENTIN KARIME\BANCO ESTADO\2012 DEPTO ESCRITURAS fata\NOTARIA 2009\FRANCISCO SAAVEDRA\MIGUEL TAPIA - INV. EM DOS (PAGO).doc</t>
  </si>
  <si>
    <t>C:\Users\franc\OneDrive\Documentos\MALENTIN KARIME\BANCO ESTADO\2012 DEPTO ESCRITURAS fata\NOTARIA 2009\FRANCISCO SAAVEDRA\MIGUEL TAPIA  (MODIFICACION).doc</t>
  </si>
  <si>
    <t>C:\Users\franc\OneDrive\Documentos\MALENTIN KARIME\BANCO ESTADO\2012 DEPTO ESCRITURAS fata\NOTARIA 2009\FRANCISCO SAAVEDRA\LOS QUILLAYES PAGO CUOTA MAYO 2009.doc</t>
  </si>
  <si>
    <t>C:\Users\franc\OneDrive\Documentos\MALENTIN KARIME\BANCO ESTADO\2012 DEPTO ESCRITURAS fata\NOTARIA 2009\FRANCISCO SAAVEDRA\LILIANA ALFARO Y OTROS COMPLEMENTACION (AGOSTO 2009).doc</t>
  </si>
  <si>
    <t>C:\Users\franc\OneDrive\Documentos\MALENTIN KARIME\BANCO ESTADO\2012 DEPTO ESCRITURAS fata\NOTARIA 2009\FRANCISCO SAAVEDRA\LILIANA ALFARO PAGO CUOTA MAYO 2009.doc</t>
  </si>
  <si>
    <t>C:\Users\franc\OneDrive\Documentos\MALENTIN KARIME\BANCO ESTADO\2012 DEPTO ESCRITURAS fata\NOTARIA 2009\FRANCISCO SAAVEDRA\LILIANA ALFARO - MANDATO (OCT. 2009).doc</t>
  </si>
  <si>
    <t>C:\Users\franc\OneDrive\Documentos\MALENTIN KARIME\BANCO ESTADO\2012 DEPTO ESCRITURAS fata\NOTARIA 2009\FRANCISCO SAAVEDRA\LILIANA ALFARO (PAGO).doc</t>
  </si>
  <si>
    <t>C:\Users\franc\OneDrive\Documentos\MALENTIN KARIME\BANCO ESTADO\2012 DEPTO ESCRITURAS fata\NOTARIA 2009\FRANCISCO SAAVEDRA\instrucciones_pago_cuotas_mayo_2009[1].doc</t>
  </si>
  <si>
    <t>C:\Users\franc\OneDrive\Documentos\MALENTIN KARIME\BANCO ESTADO\2012 DEPTO ESCRITURAS fata\NOTARIA 2009\FRANCISCO SAAVEDRA\FINAL PRETECATEMO.doc</t>
  </si>
  <si>
    <t>C:\Users\franc\OneDrive\Documentos\MALENTIN KARIME\BANCO ESTADO\2012 DEPTO ESCRITURAS fata\NOTARIA 2009\FRANCISCO SAAVEDRA\CARTA PRIVADA.doc</t>
  </si>
  <si>
    <t>C:\Users\franc\OneDrive\Documentos\MALENTIN KARIME\BANCO ESTADO\2012 DEPTO ESCRITURAS fata\NOTARIA 2009\FRANCISCO SAAVEDRA\CANCELACION ROSENDO CORTES Y OTROS.doc</t>
  </si>
  <si>
    <t>C:\Users\franc\OneDrive\Documentos\MALENTIN KARIME\BANCO ESTADO\2012 DEPTO ESCRITURAS fata\NOTARIA 2009\FRANCISCO SAAVEDRA\ALFONSO OPAZO PAGO CUOTA MAYO 2009.doc</t>
  </si>
  <si>
    <t>C:\Users\franc\OneDrive\Documentos\MALENTIN KARIME\BANCO ESTADO\2012 DEPTO ESCRITURAS fata\NOTARIA 2009\FRANCISCO SAAVEDRA\ALFONSO OPAZO MODIF. LA FLORIDA MAYO 2009.doc</t>
  </si>
  <si>
    <t>C:\Users\franc\OneDrive\Documentos\MALENTIN KARIME\BANCO ESTADO\2012 DEPTO ESCRITURAS fata\NOTARIA 2009\FRANCISCO SAAVEDRA\ALFONSO OPAZO LEIVA - INVERSIONES EM DOS (PROMESA).doc</t>
  </si>
  <si>
    <t>C:\Users\franc\OneDrive\Documentos\MALENTIN KARIME\BANCO ESTADO\2012 DEPTO ESCRITURAS fata\NOTARIA 2009\FRANCISCO SAAVEDRA\ALFONSO OPAZO A INV. EM DOS (MODIFIC LA FLORIDA).doc</t>
  </si>
  <si>
    <t>C:\Users\franc\OneDrive\Documentos\MALENTIN KARIME\BANCO ESTADO\2012 DEPTO ESCRITURAS fata\NOTARIA 2009\FRANCISCO SAAVEDRA\ALFONSO OPAZO A  (LA FLORIDA) PAGO.doc</t>
  </si>
  <si>
    <t>C:\Users\franc\OneDrive\Documentos\MALENTIN KARIME\BANCO ESTADO\2012 DEPTO ESCRITURAS fata\NOTARIA 2009\FRANCISCO SAAVEDRA\ADJUDICACION EN REMATE.doc</t>
  </si>
  <si>
    <t>C:\Users\franc\OneDrive\Documentos\MALENTIN KARIME\BANCO ESTADO\2012 DEPTO ESCRITURAS fata\NOTARIA 2009\FRANCISCO SAAVEDRA\ADJUDICACION EN REMATE - BASILIO DIEZ.doc</t>
  </si>
  <si>
    <t>C:\Users\franc\OneDrive\Documentos\MALENTIN KARIME\BANCO ESTADO\2012 DEPTO ESCRITURAS fata\NOTARIA 2009\FERNANDO ZAPATA\FELIX CORTES A PAMELA RIVERA EIRL (ARRIENDO).doc</t>
  </si>
  <si>
    <t>C:\Users\franc\OneDrive\Documentos\MALENTIN KARIME\BANCO ESTADO\2012 DEPTO ESCRITURAS fata\NOTARIA 2009\FELIPE ALAMO\SUC. ADRIANA ALAMO A ROBERTO DABED (2).doc</t>
  </si>
  <si>
    <t>C:\Users\franc\OneDrive\Documentos\MALENTIN KARIME\BANCO ESTADO\2012 DEPTO ESCRITURAS fata\NOTARIA 2009\FELIPE ALAMO\SUC ADRIANA ALAMO A ROBERTO DABED.doc</t>
  </si>
  <si>
    <t>C:\Users\franc\OneDrive\Documentos\MALENTIN KARIME\BANCO ESTADO\2012 DEPTO ESCRITURAS fata\NOTARIA 2009\FELIPE ALAMO\LIQUIDACION SOC. CONYUGAL ALFREDO ALAMO.doc</t>
  </si>
  <si>
    <t>C:\Users\franc\OneDrive\Documentos\MALENTIN KARIME\BANCO ESTADO\2012 DEPTO ESCRITURAS fata\NOTARIA 2009\FACTORONE\Soc._Agr%C3%ADcola_Calichera_Ltda.[1].doc</t>
  </si>
  <si>
    <t>C:\Users\franc\OneDrive\Documentos\MALENTIN KARIME\BANCO ESTADO\2012 DEPTO ESCRITURAS fata\NOTARIA 2009\FACTORONE\SILVIA CORTES LAZO (FACTORING).doc</t>
  </si>
  <si>
    <t>C:\Users\franc\OneDrive\Documentos\MALENTIN KARIME\BANCO ESTADO\2012 DEPTO ESCRITURAS fata\NOTARIA 2009\FACTORONE\SANTA CATALINA (HIPOTECA ABRIL 2009).doc</t>
  </si>
  <si>
    <t>C:\Users\franc\OneDrive\Documentos\MALENTIN KARIME\BANCO ESTADO\2012 DEPTO ESCRITURAS fata\NOTARIA 2009\FACTORONE\MARIA VALENZUELA ROJAS (FACTORING).doc</t>
  </si>
  <si>
    <t>C:\Users\franc\OneDrive\Documentos\MALENTIN KARIME\BANCO ESTADO\2012 DEPTO ESCRITURAS fata\NOTARIA 2009\FACTORONE\MARIA ARGANDOÑA (JUNIO 2009).doc</t>
  </si>
  <si>
    <t>C:\Users\franc\OneDrive\Documentos\MALENTIN KARIME\BANCO ESTADO\2012 DEPTO ESCRITURAS fata\NOTARIA 2009\FACTORONE\Mandato_cobra_Ana_M._Osorio[1].doc</t>
  </si>
  <si>
    <t>C:\Users\franc\OneDrive\Documentos\MALENTIN KARIME\BANCO ESTADO\2012 DEPTO ESCRITURAS fata\NOTARIA 2009\FACTORONE\LUIS CASTAÑEDA.doc</t>
  </si>
  <si>
    <t>C:\Users\franc\OneDrive\Documentos\MALENTIN KARIME\BANCO ESTADO\2012 DEPTO ESCRITURAS fata\NOTARIA 2009\FACTORONE\Extracto_-_Soc._Agr%C3%ADcola_Calichera_Ltda.[1].doc</t>
  </si>
  <si>
    <t>C:\Users\franc\OneDrive\Documentos\MALENTIN KARIME\BANCO ESTADO\2012 DEPTO ESCRITURAS fata\NOTARIA 2009\FACTORONE\Extracto_-_constructora_ARKON_Ltda.[1].doc</t>
  </si>
  <si>
    <t>C:\Users\franc\OneDrive\Documentos\MALENTIN KARIME\BANCO ESTADO\2012 DEPTO ESCRITURAS fata\NOTARIA 2009\FACTORONE\Extracto_-_Amilcar_N%C3%BA%C3%B1ez[1].doc</t>
  </si>
  <si>
    <t>C:\Users\franc\OneDrive\Documentos\MALENTIN KARIME\BANCO ESTADO\2012 DEPTO ESCRITURAS fata\NOTARIA 2009\FACTORONE\constructora_ARKON_ltda[1].doc</t>
  </si>
  <si>
    <t>C:\Users\franc\OneDrive\Documentos\MALENTIN KARIME\BANCO ESTADO\2012 DEPTO ESCRITURAS fata\NOTARIA 2009\FACTORONE\ANA MARIA BOU A FACTORONE (HIPOTECA).doc</t>
  </si>
  <si>
    <t>C:\Users\franc\OneDrive\Documentos\MALENTIN KARIME\BANCO ESTADO\2012 DEPTO ESCRITURAS fata\NOTARIA 2009\FACTORONE\AMILCAR NUÑEZ PRENDA.doc</t>
  </si>
  <si>
    <t>C:\Users\franc\OneDrive\Documentos\MALENTIN KARIME\BANCO ESTADO\2012 DEPTO ESCRITURAS fata\NOTARIA 2009\FACTORONE\AMILCAR NUÑEZ PRENDA   final.doc</t>
  </si>
  <si>
    <t>C:\Users\franc\OneDrive\Documentos\MALENTIN KARIME\BANCO ESTADO\2012 DEPTO ESCRITURAS fata\NOTARIA 2009\FACTORONE\ALEJANDRO ROJAS ZAPATA.doc</t>
  </si>
  <si>
    <t>C:\Users\franc\OneDrive\Documentos\MALENTIN KARIME\BANCO ESTADO\2012 DEPTO ESCRITURAS fata\NOTARIA 2009\FACTORONE\ABEL GALLARDO VALDIVIA.doc</t>
  </si>
  <si>
    <t>C:\Users\franc\OneDrive\Documentos\MALENTIN KARIME\BANCO ESTADO\2012 DEPTO ESCRITURAS fata\NOTARIA 2009\EVALUACION\Evaluacion desempeño modelo.xls</t>
  </si>
  <si>
    <t>C:\Users\franc\OneDrive\Documentos\MALENTIN KARIME\BANCO ESTADO\2012 DEPTO ESCRITURAS fata\NOTARIA 2009\ESTANCIA EL DURAZNO\PARTICION  ESTANCIA EL DURAZNO.doc</t>
  </si>
  <si>
    <t>C:\Users\franc\OneDrive\Documentos\MALENTIN KARIME\BANCO ESTADO\2012 DEPTO ESCRITURAS fata\NOTARIA 2009\ESTANCIA EL DURAZNO\PARTICION  ESTANCIA EL DURAZNO 2.doc</t>
  </si>
  <si>
    <t>C:\Users\franc\OneDrive\Documentos\MALENTIN KARIME\BANCO ESTADO\2012 DEPTO ESCRITURAS fata\NOTARIA 2009\ENTEL - SOLOMON\PODER ALCONES.doc</t>
  </si>
  <si>
    <t>C:\Users\franc\OneDrive\Documentos\MALENTIN KARIME\BANCO ESTADO\2012 DEPTO ESCRITURAS fata\NOTARIA 2009\ENTEL - SOLOMON\PODER  ORURO - CLARO.doc</t>
  </si>
  <si>
    <t>C:\Users\franc\OneDrive\Documentos\MALENTIN KARIME\BANCO ESTADO\2012 DEPTO ESCRITURAS fata\NOTARIA 2009\ENTEL - SOLOMON\JACINTO LABARCA (ARRENDAMIENTO).doc</t>
  </si>
  <si>
    <t>C:\Users\franc\OneDrive\Documentos\MALENTIN KARIME\BANCO ESTADO\2012 DEPTO ESCRITURAS fata\NOTARIA 2009\ENTEL - SOLOMON\instrucciones_Ovalle[1].doc</t>
  </si>
  <si>
    <t>C:\Users\franc\OneDrive\Documentos\MALENTIN KARIME\BANCO ESTADO\2012 DEPTO ESCRITURAS fata\NOTARIA 2009\ENTEL - SOLOMON\DECLARACION ORURO - CLARO.doc</t>
  </si>
  <si>
    <t>C:\Users\franc\OneDrive\Documentos\MALENTIN KARIME\BANCO ESTADO\2012 DEPTO ESCRITURAS fata\NOTARIA 2009\ENTEL - SOLOMON\DECLARACION ALCONES.doc</t>
  </si>
  <si>
    <t>C:\Users\franc\OneDrive\Documentos\MALENTIN KARIME\BANCO ESTADO\2012 DEPTO ESCRITURAS fata\NOTARIA 2009\ENTEL - SOLOMON\DECLARACION - MANDATO Y ORO.doc</t>
  </si>
  <si>
    <t>C:\Users\franc\OneDrive\Documentos\MALENTIN KARIME\BANCO ESTADO\2012 DEPTO ESCRITURAS fata\NOTARIA 2009\ENTEL - SOLOMON\COMUNIDAD ORURO - CLARO.doc</t>
  </si>
  <si>
    <t>C:\Users\franc\OneDrive\Documentos\MALENTIN KARIME\BANCO ESTADO\2012 DEPTO ESCRITURAS fata\NOTARIA 2009\ENTEL - SOLOMON\COMUNIDAD ORURO (MANDATO).doc</t>
  </si>
  <si>
    <t>C:\Users\franc\OneDrive\Documentos\MALENTIN KARIME\BANCO ESTADO\2012 DEPTO ESCRITURAS fata\NOTARIA 2009\ENTEL - SOLOMON\COMUNIDAD ORURO (DECLARACION).doc</t>
  </si>
  <si>
    <t>C:\Users\franc\OneDrive\Documentos\MALENTIN KARIME\BANCO ESTADO\2012 DEPTO ESCRITURAS fata\NOTARIA 2009\ENTEL - SOLOMON\COMUNIDAD ORURO (AUTORIZACION).doc</t>
  </si>
  <si>
    <t>C:\Users\franc\OneDrive\Documentos\MALENTIN KARIME\BANCO ESTADO\2012 DEPTO ESCRITURAS fata\NOTARIA 2009\ENTEL - SOLOMON\COMUNIDAD ORURO (ARRENDAMIENTO).doc</t>
  </si>
  <si>
    <t>C:\Users\franc\OneDrive\Documentos\MALENTIN KARIME\BANCO ESTADO\2012 DEPTO ESCRITURAS fata\NOTARIA 2009\ENTEL - SOLOMON\COMUNIDAD CARRIZAL Y LAGUNA DE SERON - ENTEL.doc</t>
  </si>
  <si>
    <t>C:\Users\franc\OneDrive\Documentos\MALENTIN KARIME\BANCO ESTADO\2012 DEPTO ESCRITURAS fata\NOTARIA 2009\ENTEL - SOLOMON\COMUNIDAD ALCONES (ARRENDAMIENTO).doc</t>
  </si>
  <si>
    <t>C:\Users\franc\OneDrive\Documentos\MALENTIN KARIME\BANCO ESTADO\2012 DEPTO ESCRITURAS fata\NOTARIA 2009\ENTEL - SOLOMON\COMUNIDA ORURO - CLARO (MARZO 2009).doc</t>
  </si>
  <si>
    <t>C:\Users\franc\OneDrive\Documentos\MALENTIN KARIME\BANCO ESTADO\2012 DEPTO ESCRITURAS fata\NOTARIA 2009\ENTEL - SOLOMON\CARTA INSTRUC COMUNIDAD ORURO.doc</t>
  </si>
  <si>
    <t>C:\Users\franc\OneDrive\Documentos\MALENTIN KARIME\BANCO ESTADO\2012 DEPTO ESCRITURAS fata\NOTARIA 2009\ENTEL - SOLOMON\Autorizo la firma de don GUIDELFREDO DEL TRANSITO TABILO.doc</t>
  </si>
  <si>
    <t>C:\Users\franc\OneDrive\Documentos\MALENTIN KARIME\BANCO ESTADO\2012 DEPTO ESCRITURAS fata\NOTARIA 2009\ENTEL - SOLOMON\AUTORIZACION EMPALME - ALCONES.doc</t>
  </si>
  <si>
    <t>C:\Users\franc\OneDrive\Documentos\MALENTIN KARIME\BANCO ESTADO\2012 DEPTO ESCRITURAS fata\NOTARIA 2009\DERECHO REAL DE USO\JOHANA\GRIMALDINA CARVAJAL A HIJA.doc</t>
  </si>
  <si>
    <t>C:\Users\franc\OneDrive\Documentos\MALENTIN KARIME\BANCO ESTADO\2012 DEPTO ESCRITURAS fata\NOTARIA 2009\DERECHO REAL DE USO\ALZAMIENTO SERVIU\CESAR VEGA.doc</t>
  </si>
  <si>
    <t>C:\Users\franc\OneDrive\Documentos\MALENTIN KARIME\BANCO ESTADO\2012 DEPTO ESCRITURAS fata\NOTARIA 2009\DERECHO REAL DE USO\SUSANA VARGAS A PRIMO OCARANZA (SOLTERA).doc</t>
  </si>
  <si>
    <t>C:\Users\franc\OneDrive\Documentos\MALENTIN KARIME\BANCO ESTADO\2012 DEPTO ESCRITURAS fata\NOTARIA 2009\DERECHO REAL DE USO\SUC. CORTES MINCHEA A ELENA CORTES.doc</t>
  </si>
  <si>
    <t>C:\Users\franc\OneDrive\Documentos\MALENTIN KARIME\BANCO ESTADO\2012 DEPTO ESCRITURAS fata\NOTARIA 2009\DERECHO REAL DE USO\SALVDOR CASTILLO (CASADO) A SU NIETO.doc</t>
  </si>
  <si>
    <t>C:\Users\franc\OneDrive\Documentos\MALENTIN KARIME\BANCO ESTADO\2012 DEPTO ESCRITURAS fata\NOTARIA 2009\DERECHO REAL DE USO\RUDELINDO OLIVARES A RUDY OLIVARES.doc</t>
  </si>
  <si>
    <t>C:\Users\franc\OneDrive\Documentos\MALENTIN KARIME\BANCO ESTADO\2012 DEPTO ESCRITURAS fata\NOTARIA 2009\DERECHO REAL DE USO\RUDELINDO OLIVARES A PAMELA OLIVARES.doc</t>
  </si>
  <si>
    <t>C:\Users\franc\OneDrive\Documentos\MALENTIN KARIME\BANCO ESTADO\2012 DEPTO ESCRITURAS fata\NOTARIA 2009\DERECHO REAL DE USO\RUDELINDO OLIVARES A ALVARO OLIVARES.doc</t>
  </si>
  <si>
    <t>C:\Users\franc\OneDrive\Documentos\MALENTIN KARIME\BANCO ESTADO\2012 DEPTO ESCRITURAS fata\NOTARIA 2009\DERECHO REAL DE USO\RUBEN RODRIGUEZ A SU HIJA (CON CONYUGE).doc</t>
  </si>
  <si>
    <t>C:\Users\franc\OneDrive\Documentos\MALENTIN KARIME\BANCO ESTADO\2012 DEPTO ESCRITURAS fata\NOTARIA 2009\DERECHO REAL DE USO\RAIMUNDO PIZARRO  A TAMARA PIZARRO.doc</t>
  </si>
  <si>
    <t>C:\Users\franc\OneDrive\Documentos\MALENTIN KARIME\BANCO ESTADO\2012 DEPTO ESCRITURAS fata\NOTARIA 2009\DERECHO REAL DE USO\PEDRO ROJAS A SARA ROJAS (SOLO).doc</t>
  </si>
  <si>
    <t>C:\Users\franc\OneDrive\Documentos\MALENTIN KARIME\BANCO ESTADO\2012 DEPTO ESCRITURAS fata\NOTARIA 2009\DERECHO REAL DE USO\PEDRO CORTES A MIGUEL CORTES (CON CONYUGE).doc</t>
  </si>
  <si>
    <t>C:\Users\franc\OneDrive\Documentos\MALENTIN KARIME\BANCO ESTADO\2012 DEPTO ESCRITURAS fata\NOTARIA 2009\DERECHO REAL DE USO\NORMA ROJAS A OLFA ROMAN (COM. EL ALTAR).doc</t>
  </si>
  <si>
    <t>C:\Users\franc\OneDrive\Documentos\MALENTIN KARIME\BANCO ESTADO\2012 DEPTO ESCRITURAS fata\NOTARIA 2009\DERECHO REAL DE USO\MODELO NOTARIO.doc</t>
  </si>
  <si>
    <t>C:\Users\franc\OneDrive\Documentos\MALENTIN KARIME\BANCO ESTADO\2012 DEPTO ESCRITURAS fata\NOTARIA 2009\DERECHO REAL DE USO\MARTINA ARAYA A JUAN ARAYA.doc</t>
  </si>
  <si>
    <t>C:\Users\franc\OneDrive\Documentos\MALENTIN KARIME\BANCO ESTADO\2012 DEPTO ESCRITURAS fata\NOTARIA 2009\DERECHO REAL DE USO\MARIO ANGEL A SU HIJO.doc</t>
  </si>
  <si>
    <t>C:\Users\franc\OneDrive\Documentos\MALENTIN KARIME\BANCO ESTADO\2012 DEPTO ESCRITURAS fata\NOTARIA 2009\DERECHO REAL DE USO\MARIA ARDILES A SU HIJO (CON CONYUGE).doc</t>
  </si>
  <si>
    <t>C:\Users\franc\OneDrive\Documentos\MALENTIN KARIME\BANCO ESTADO\2012 DEPTO ESCRITURAS fata\NOTARIA 2009\DERECHO REAL DE USO\MARCELINA CORTES A MARCELO MUÑOZ CORTES  (SOLA).doc</t>
  </si>
  <si>
    <t>C:\Users\franc\OneDrive\Documentos\MALENTIN KARIME\BANCO ESTADO\2012 DEPTO ESCRITURAS fata\NOTARIA 2009\DERECHO REAL DE USO\JAVIER TABILO A OCTAVIO TABILO.doc</t>
  </si>
  <si>
    <t>C:\Users\franc\OneDrive\Documentos\MALENTIN KARIME\BANCO ESTADO\2012 DEPTO ESCRITURAS fata\NOTARIA 2009\DERECHO REAL DE USO\JACQUELINE MATURANA.doc</t>
  </si>
  <si>
    <t>C:\Users\franc\OneDrive\Documentos\MALENTIN KARIME\BANCO ESTADO\2012 DEPTO ESCRITURAS fata\NOTARIA 2009\DERECHO REAL DE USO\IRMA VIORKLUMDS A ASTRID HUERTA.doc</t>
  </si>
  <si>
    <t>C:\Users\franc\OneDrive\Documentos\MALENTIN KARIME\BANCO ESTADO\2012 DEPTO ESCRITURAS fata\NOTARIA 2009\DERECHO REAL DE USO\IRENE NAVARRO A MARIA SEGOVIA.doc</t>
  </si>
  <si>
    <t>C:\Users\franc\OneDrive\Documentos\MALENTIN KARIME\BANCO ESTADO\2012 DEPTO ESCRITURAS fata\NOTARIA 2009\DERECHO REAL DE USO\HERNAN Y SAMUEL.doc</t>
  </si>
  <si>
    <t>C:\Users\franc\OneDrive\Documentos\MALENTIN KARIME\BANCO ESTADO\2012 DEPTO ESCRITURAS fata\NOTARIA 2009\DERECHO REAL DE USO\HERMAN VALDIVIA A MARCELA VALDIVIA.doc</t>
  </si>
  <si>
    <t>C:\Users\franc\OneDrive\Documentos\MALENTIN KARIME\BANCO ESTADO\2012 DEPTO ESCRITURAS fata\NOTARIA 2009\DERECHO REAL DE USO\GRIMALDINA CARVAJAL A MARIA.doc</t>
  </si>
  <si>
    <t>C:\Users\franc\OneDrive\Documentos\MALENTIN KARIME\BANCO ESTADO\2012 DEPTO ESCRITURAS fata\NOTARIA 2009\DERECHO REAL DE USO\FCO. MILLA A JUVENAL.doc</t>
  </si>
  <si>
    <t>C:\Users\franc\OneDrive\Documentos\MALENTIN KARIME\BANCO ESTADO\2012 DEPTO ESCRITURAS fata\NOTARIA 2009\DERECHO REAL DE USO\FCO. MILLA A ADRIANA.doc</t>
  </si>
  <si>
    <t>C:\Users\franc\OneDrive\Documentos\MALENTIN KARIME\BANCO ESTADO\2012 DEPTO ESCRITURAS fata\NOTARIA 2009\DERECHO REAL DE USO\ESTER VALVERDE A BLAS OLIVARES (SOLA).doc</t>
  </si>
  <si>
    <t>C:\Users\franc\OneDrive\Documentos\MALENTIN KARIME\BANCO ESTADO\2012 DEPTO ESCRITURAS fata\NOTARIA 2009\DERECHO REAL DE USO\DERECHO REAL DE USO EN COMUNIDAD.doc</t>
  </si>
  <si>
    <t>C:\Users\franc\OneDrive\Documentos\MALENTIN KARIME\BANCO ESTADO\2012 DEPTO ESCRITURAS fata\NOTARIA 2009\DERECHO REAL DE USO\DECLARA DOS.doc</t>
  </si>
  <si>
    <t>C:\Users\franc\OneDrive\Documentos\MALENTIN KARIME\BANCO ESTADO\2012 DEPTO ESCRITURAS fata\NOTARIA 2009\DERECHO REAL DE USO\DECLARA 3.doc</t>
  </si>
  <si>
    <t>C:\Users\franc\OneDrive\Documentos\MALENTIN KARIME\BANCO ESTADO\2012 DEPTO ESCRITURAS fata\NOTARIA 2009\DERECHO REAL DE USO\dec.jurada derecho real de uso.doc</t>
  </si>
  <si>
    <t>C:\Users\franc\OneDrive\Documentos\MALENTIN KARIME\BANCO ESTADO\2012 DEPTO ESCRITURAS fata\NOTARIA 2009\DERECHO REAL DE USO\DAVID CORTES A NORMAN CORTES LAGUNILLAS.doc</t>
  </si>
  <si>
    <t>C:\Users\franc\OneDrive\Documentos\MALENTIN KARIME\BANCO ESTADO\2012 DEPTO ESCRITURAS fata\NOTARIA 2009\DERECHO REAL DE USO\DAVID CORTES A JUANA CORTES (LAGUNILLAS).doc</t>
  </si>
  <si>
    <t>C:\Users\franc\OneDrive\Documentos\MALENTIN KARIME\BANCO ESTADO\2012 DEPTO ESCRITURAS fata\NOTARIA 2009\DERECHO REAL DE USO\DAVID CORTES A JAVIER EDUARDO CORTES.doc</t>
  </si>
  <si>
    <t>C:\Users\franc\OneDrive\Documentos\MALENTIN KARIME\BANCO ESTADO\2012 DEPTO ESCRITURAS fata\NOTARIA 2009\DERECHO REAL DE USO\DAVID CORTES A IRMA.doc</t>
  </si>
  <si>
    <t>C:\Users\franc\OneDrive\Documentos\MALENTIN KARIME\BANCO ESTADO\2012 DEPTO ESCRITURAS fata\NOTARIA 2009\DERECHO REAL DE USO\DAVID CORTES A CLAUDIO CORTES.doc</t>
  </si>
  <si>
    <t>C:\Users\franc\OneDrive\Documentos\MALENTIN KARIME\BANCO ESTADO\2012 DEPTO ESCRITURAS fata\NOTARIA 2009\DERECHO REAL DE USO\COMUNIDAD LAS DAMAS.doc</t>
  </si>
  <si>
    <t>C:\Users\franc\OneDrive\Documentos\MALENTIN KARIME\BANCO ESTADO\2012 DEPTO ESCRITURAS fata\NOTARIA 2009\DERECHO REAL DE USO\COMUNIDAD EL DURAZNO A LUCY CASTILLO.doc</t>
  </si>
  <si>
    <t>C:\Users\franc\OneDrive\Documentos\MALENTIN KARIME\BANCO ESTADO\2012 DEPTO ESCRITURAS fata\NOTARIA 2009\DERECHO REAL DE USO\COMUNIDAD ALCONES WILLIAM ARIAS.doc</t>
  </si>
  <si>
    <t>C:\Users\franc\OneDrive\Documentos\MALENTIN KARIME\BANCO ESTADO\2012 DEPTO ESCRITURAS fata\NOTARIA 2009\DERECHO REAL DE USO\COMUNIDAD ALCONES GRICELDA VEGA.doc</t>
  </si>
  <si>
    <t>C:\Users\franc\OneDrive\Documentos\MALENTIN KARIME\BANCO ESTADO\2012 DEPTO ESCRITURAS fata\NOTARIA 2009\DERECHO REAL DE USO\COMUNIDAD ALCONES A CESAR ROBLES.doc</t>
  </si>
  <si>
    <t>C:\Users\franc\OneDrive\Documentos\MALENTIN KARIME\BANCO ESTADO\2012 DEPTO ESCRITURAS fata\NOTARIA 2009\DERECHO REAL DE USO\CERTIFICADO.doc</t>
  </si>
  <si>
    <t>C:\Users\franc\OneDrive\Documentos\MALENTIN KARIME\BANCO ESTADO\2012 DEPTO ESCRITURAS fata\NOTARIA 2009\DERECHO REAL DE USO\BLANCA CORTES A IVAN SALINAS I El Divisadero.doc</t>
  </si>
  <si>
    <t>C:\Users\franc\OneDrive\Documentos\MALENTIN KARIME\BANCO ESTADO\2012 DEPTO ESCRITURAS fata\NOTARIA 2009\DERECHO REAL DE USO\ARNOLDO ARANCIBIA A SU NIETA (CON CONYUGE).doc</t>
  </si>
  <si>
    <t>C:\Users\franc\OneDrive\Documentos\MALENTIN KARIME\BANCO ESTADO\2012 DEPTO ESCRITURAS fata\NOTARIA 2009\DERECHO REAL DE USO\ANTONIA GALLEGOS A FRANCO MARTINEZ.doc</t>
  </si>
  <si>
    <t>C:\Users\franc\OneDrive\Documentos\MALENTIN KARIME\BANCO ESTADO\2012 DEPTO ESCRITURAS fata\NOTARIA 2009\DERECHO REAL DE USO\ANGEL CASTRO A MONICA CASTRO.doc</t>
  </si>
  <si>
    <t>C:\Users\franc\OneDrive\Documentos\MALENTIN KARIME\BANCO ESTADO\2012 DEPTO ESCRITURAS fata\NOTARIA 2009\DERECHO REAL DE USO\ANA PEREZ A SU HIJO.doc</t>
  </si>
  <si>
    <t>C:\Users\franc\OneDrive\Documentos\MALENTIN KARIME\BANCO ESTADO\2012 DEPTO ESCRITURAS fata\NOTARIA 2009\DERECHO REAL DE USO\ANA PEREZ A JUAN LEMUS.doc</t>
  </si>
  <si>
    <t>C:\Users\franc\OneDrive\Documentos\MALENTIN KARIME\BANCO ESTADO\2012 DEPTO ESCRITURAS fata\NOTARIA 2009\DERECHO REAL DE USO\ANA PEREZ A DORTY PEREZ.doc</t>
  </si>
  <si>
    <t>C:\Users\franc\OneDrive\Documentos\MALENTIN KARIME\BANCO ESTADO\2012 DEPTO ESCRITURAS fata\NOTARIA 2009\DERECHO REAL DE USO\AMERICA ROBLES A GABRIELA ROBLES.doc</t>
  </si>
  <si>
    <t>C:\Users\franc\OneDrive\Documentos\MALENTIN KARIME\BANCO ESTADO\2012 DEPTO ESCRITURAS fata\NOTARIA 2009\DERECHO REAL DE USO\AMERICA ROBLES A FRANCISCO ARAYA.doc</t>
  </si>
  <si>
    <t>C:\Users\franc\OneDrive\Documentos\MALENTIN KARIME\BANCO ESTADO\2012 DEPTO ESCRITURAS fata\NOTARIA 2009\DERECHO REAL DE USO\ALEJANDRO ROJAS Y PAPA A GLADYS ROJAS.doc</t>
  </si>
  <si>
    <t>C:\Users\franc\OneDrive\Documentos\MALENTIN KARIME\BANCO ESTADO\2012 DEPTO ESCRITURAS fata\NOTARIA 2009\DELEGACION FACULTADES\MARIA RAMOS.doc</t>
  </si>
  <si>
    <t>C:\Users\franc\OneDrive\Documentos\MALENTIN KARIME\BANCO ESTADO\2012 DEPTO ESCRITURAS fata\NOTARIA 2009\DELEGACION FACULTADES\CARMEN GLORIA PINTO.doc</t>
  </si>
  <si>
    <t>C:\Users\franc\OneDrive\Documentos\MALENTIN KARIME\BANCO ESTADO\2012 DEPTO ESCRITURAS fata\NOTARIA 2009\DACION EN PAGO\JOSE IZQUIERDO A CECILIA IZQUIERDO.doc</t>
  </si>
  <si>
    <t>C:\Users\franc\OneDrive\Documentos\MALENTIN KARIME\BANCO ESTADO\2012 DEPTO ESCRITURAS fata\NOTARIA 2009\DABED\SOC. ARKON A DABED HOSPITAL VICUÑA.doc</t>
  </si>
  <si>
    <t>C:\Users\franc\OneDrive\Documentos\MALENTIN KARIME\BANCO ESTADO\2012 DEPTO ESCRITURAS fata\NOTARIA 2009\DABED\SOC. ARKON A DABED HOSPITAL OVALLE.doc</t>
  </si>
  <si>
    <t>C:\Users\franc\OneDrive\Documentos\MALENTIN KARIME\BANCO ESTADO\2012 DEPTO ESCRITURAS fata\NOTARIA 2009\DABED\SOC. ARKON A DABED (PRENDA SIN DESPLAZAMIENTO).doc</t>
  </si>
  <si>
    <t>C:\Users\franc\OneDrive\Documentos\MALENTIN KARIME\BANCO ESTADO\2012 DEPTO ESCRITURAS fata\NOTARIA 2009\DABED\SOC. ARKON A DABED (MANDATO).doc</t>
  </si>
  <si>
    <t>C:\Users\franc\OneDrive\Documentos\MALENTIN KARIME\BANCO ESTADO\2012 DEPTO ESCRITURAS fata\NOTARIA 2009\DABED\INPROCOL LTD - AGUAS SERVIDAS.doc</t>
  </si>
  <si>
    <t>C:\Users\franc\OneDrive\Documentos\MALENTIN KARIME\BANCO ESTADO\2012 DEPTO ESCRITURAS fata\NOTARIA 2009\DABED\INPROCOL A LOS RISCOS.doc</t>
  </si>
  <si>
    <t>C:\Users\franc\OneDrive\Documentos\MALENTIN KARIME\BANCO ESTADO\2012 DEPTO ESCRITURAS fata\NOTARIA 2009\DABED\INPROCOL - ADISON.doc</t>
  </si>
  <si>
    <t>C:\Users\franc\OneDrive\Documentos\MALENTIN KARIME\BANCO ESTADO\2012 DEPTO ESCRITURAS fata\NOTARIA 2009\DABED\INPROCOL  - HELEN LANG.doc</t>
  </si>
  <si>
    <t>C:\Users\franc\OneDrive\Documentos\MALENTIN KARIME\BANCO ESTADO\2012 DEPTO ESCRITURAS fata\NOTARIA 2009\DABED\EDUARDO CORTES AROSTICA.doc</t>
  </si>
  <si>
    <t>C:\Users\franc\OneDrive\Documentos\MALENTIN KARIME\BANCO ESTADO\2012 DEPTO ESCRITURAS fata\NOTARIA 2009\DABED\Doc1.doc</t>
  </si>
  <si>
    <t>C:\Users\franc\OneDrive\Documentos\MALENTIN KARIME\BANCO ESTADO\2012 DEPTO ESCRITURAS fata\NOTARIA 2009\DABED\Autorizo la firma de don ROBERTO SELIM DABED ALAMO.doc</t>
  </si>
  <si>
    <t>C:\Users\franc\OneDrive\Documentos\MALENTIN KARIME\BANCO ESTADO\2012 DEPTO ESCRITURAS fata\NOTARIA 2009\DABED\AUTORIZACIONE.doc</t>
  </si>
  <si>
    <t>C:\Users\franc\OneDrive\Documentos\MALENTIN KARIME\BANCO ESTADO\2012 DEPTO ESCRITURAS fata\NOTARIA 2009\CVI  AGUAS\ZOYLO GONZALEZ A EDUARDO NARANJO (SIN INSCRIP).doc</t>
  </si>
  <si>
    <t>C:\Users\franc\OneDrive\Documentos\MALENTIN KARIME\BANCO ESTADO\2012 DEPTO ESCRITURAS fata\NOTARIA 2009\CVI  AGUAS\YUVOMIR IRIARTE A INMOB. LOS ALERCES.doc</t>
  </si>
  <si>
    <t>C:\Users\franc\OneDrive\Documentos\MALENTIN KARIME\BANCO ESTADO\2012 DEPTO ESCRITURAS fata\NOTARIA 2009\CVI  AGUAS\VICTOR MUÑOZ A RAUL DEL BARRIO.doc</t>
  </si>
  <si>
    <t>C:\Users\franc\OneDrive\Documentos\MALENTIN KARIME\BANCO ESTADO\2012 DEPTO ESCRITURAS fata\NOTARIA 2009\CVI  AGUAS\SUC. SANTANDER A JORGE GOMILA Y OTROS.doc</t>
  </si>
  <si>
    <t>C:\Users\franc\OneDrive\Documentos\MALENTIN KARIME\BANCO ESTADO\2012 DEPTO ESCRITURAS fata\NOTARIA 2009\CVI  AGUAS\SOC. ESTONIA S.A. A SOC. MILAGRO S.A..doc</t>
  </si>
  <si>
    <t>C:\Users\franc\OneDrive\Documentos\MALENTIN KARIME\BANCO ESTADO\2012 DEPTO ESCRITURAS fata\NOTARIA 2009\CVI  AGUAS\OMAR ARTAL A CARLOS QUIROZ.doc</t>
  </si>
  <si>
    <t>C:\Users\franc\OneDrive\Documentos\MALENTIN KARIME\BANCO ESTADO\2012 DEPTO ESCRITURAS fata\NOTARIA 2009\CVI  AGUAS\OLGA CONTRERAS A SOC. COM FLOR MARIA.doc</t>
  </si>
  <si>
    <t>C:\Users\franc\OneDrive\Documentos\MALENTIN KARIME\BANCO ESTADO\2012 DEPTO ESCRITURAS fata\NOTARIA 2009\CVI  AGUAS\MARTA VENEGAS A ABEL GONZALEZ.doc</t>
  </si>
  <si>
    <t>C:\Users\franc\OneDrive\Documentos\MALENTIN KARIME\BANCO ESTADO\2012 DEPTO ESCRITURAS fata\NOTARIA 2009\CVI  AGUAS\MARIA AGUIRRE A DOMINGO VERGARA (SIN INSCRIP).doc</t>
  </si>
  <si>
    <t>C:\Users\franc\OneDrive\Documentos\MALENTIN KARIME\BANCO ESTADO\2012 DEPTO ESCRITURAS fata\NOTARIA 2009\CVI  AGUAS\LUISA MOLINA A AGRICOLA LOS ALERCES.doc</t>
  </si>
  <si>
    <t>C:\Users\franc\OneDrive\Documentos\MALENTIN KARIME\BANCO ESTADO\2012 DEPTO ESCRITURAS fata\NOTARIA 2009\CVI  AGUAS\IVAN DIAZ A AURA NEYRA ERAZO.doc</t>
  </si>
  <si>
    <t>C:\Users\franc\OneDrive\Documentos\MALENTIN KARIME\BANCO ESTADO\2012 DEPTO ESCRITURAS fata\NOTARIA 2009\CVI  AGUAS\Instrucciones%20Notariales%20Sucesi%C3%B3n%20Toro%2020%2008%2009[1].doc</t>
  </si>
  <si>
    <t>C:\Users\franc\OneDrive\Documentos\MALENTIN KARIME\BANCO ESTADO\2012 DEPTO ESCRITURAS fata\NOTARIA 2009\CVI  AGUAS\INSTR. LUISA MOLINA.doc</t>
  </si>
  <si>
    <t>C:\Users\franc\OneDrive\Documentos\MALENTIN KARIME\BANCO ESTADO\2012 DEPTO ESCRITURAS fata\NOTARIA 2009\CVI  AGUAS\HUGO SEGOVIA A LUIS OGALDE.doc</t>
  </si>
  <si>
    <t>C:\Users\franc\OneDrive\Documentos\MALENTIN KARIME\BANCO ESTADO\2012 DEPTO ESCRITURAS fata\NOTARIA 2009\CVI  AGUAS\EVELINA TORO PIZARRO Y OTR A VIÑA SUTIL S.A..doc</t>
  </si>
  <si>
    <t>C:\Users\franc\OneDrive\Documentos\MALENTIN KARIME\BANCO ESTADO\2012 DEPTO ESCRITURAS fata\NOTARIA 2009\CVI  AGUAS\EUGENIO DARRIGRANDE A ELIO ELORZA.doc</t>
  </si>
  <si>
    <t>C:\Users\franc\OneDrive\Documentos\MALENTIN KARIME\BANCO ESTADO\2012 DEPTO ESCRITURAS fata\NOTARIA 2009\CVI  AGUAS\COMPAÑIA PISQUERA DE CHILE A juan santibañez.doc</t>
  </si>
  <si>
    <t>C:\Users\franc\OneDrive\Documentos\MALENTIN KARIME\BANCO ESTADO\2012 DEPTO ESCRITURAS fata\NOTARIA 2009\CVI  AGUAS\CARLOS ALCAYAGA A SU HIJA LILIANA.doc</t>
  </si>
  <si>
    <t>C:\Users\franc\OneDrive\Documentos\MALENTIN KARIME\BANCO ESTADO\2012 DEPTO ESCRITURAS fata\NOTARIA 2009\CVI  AGUAS\CARLOS ALCAYAGA A GALVARINO VIORKLUMDS.doc</t>
  </si>
  <si>
    <t>C:\Users\franc\OneDrive\Documentos\MALENTIN KARIME\BANCO ESTADO\2012 DEPTO ESCRITURAS fata\NOTARIA 2009\CVI  AGUAS\CARLOS ALCAYAGA A  JULIA.doc</t>
  </si>
  <si>
    <t>C:\Users\franc\OneDrive\Documentos\MALENTIN KARIME\BANCO ESTADO\2012 DEPTO ESCRITURAS fata\NOTARIA 2009\CRISTIAN ZEPEDA\GABRIEL CUEVAS Y OTROS A JUAN CORTES.doc</t>
  </si>
  <si>
    <t>C:\Users\franc\OneDrive\Documentos\MALENTIN KARIME\BANCO ESTADO\2012 DEPTO ESCRITURAS fata\NOTARIA 2009\CRISTIAN VEGA\Doc1.doc</t>
  </si>
  <si>
    <t>C:\Users\franc\OneDrive\Documentos\MALENTIN KARIME\BANCO ESTADO\2012 DEPTO ESCRITURAS fata\NOTARIA 2009\CRISTIAN VEGA\ANTONIA RODRIGUEZ A MABEL CORTES CVI.doc</t>
  </si>
  <si>
    <t>C:\Users\franc\OneDrive\Documentos\MALENTIN KARIME\BANCO ESTADO\2012 DEPTO ESCRITURAS fata\NOTARIA 2009\COVALSA\SUBDIVISION.doc</t>
  </si>
  <si>
    <t>C:\Users\franc\OneDrive\Documentos\MALENTIN KARIME\BANCO ESTADO\2012 DEPTO ESCRITURAS fata\NOTARIA 2009\COVALSA\SOC. ANGOSTURA EXTRACTO.doc</t>
  </si>
  <si>
    <t>C:\Users\franc\OneDrive\Documentos\MALENTIN KARIME\BANCO ESTADO\2012 DEPTO ESCRITURAS fata\NOTARIA 2009\COVALSA\SOC. ANGOSTURA (DISOLUCION).doc</t>
  </si>
  <si>
    <t>C:\Users\franc\OneDrive\Documentos\MALENTIN KARIME\BANCO ESTADO\2012 DEPTO ESCRITURAS fata\NOTARIA 2009\COVALSA\SERPROCAR (MANDATO JUDICIAL).doc</t>
  </si>
  <si>
    <t>C:\Users\franc\OneDrive\Documentos\MALENTIN KARIME\BANCO ESTADO\2012 DEPTO ESCRITURAS fata\NOTARIA 2009\COVALSA\MANDATO JUDICIAL A SERGIO PERALTA.doc</t>
  </si>
  <si>
    <t>C:\Users\franc\OneDrive\Documentos\MALENTIN KARIME\BANCO ESTADO\2012 DEPTO ESCRITURAS fata\NOTARIA 2009\COVALSA\MANDATO JUDICIAL 2 A S. PERALTA.doc</t>
  </si>
  <si>
    <t>C:\Users\franc\OneDrive\Documentos\MALENTIN KARIME\BANCO ESTADO\2012 DEPTO ESCRITURAS fata\NOTARIA 2009\COVALSA\INVERSIONES ARTIGUES A PEDRO BARRIOS (LOTE).doc</t>
  </si>
  <si>
    <t>C:\Users\franc\OneDrive\Documentos\MALENTIN KARIME\BANCO ESTADO\2012 DEPTO ESCRITURAS fata\NOTARIA 2009\COVALSA\COVALSA A CHRISTIAN ROJAS (MANDATO).doc</t>
  </si>
  <si>
    <t>C:\Users\franc\OneDrive\Documentos\MALENTIN KARIME\BANCO ESTADO\2012 DEPTO ESCRITURAS fata\NOTARIA 2009\COVALSA\CLARO S.A. a SOC. ANGUSTURA PODER ESPECIAL.doc</t>
  </si>
  <si>
    <t>C:\Users\franc\OneDrive\Documentos\MALENTIN KARIME\BANCO ESTADO\2012 DEPTO ESCRITURAS fata\NOTARIA 2009\COVALSA\CLARO S.A. a SOC. ANGUSTURA DECLARACION.doc</t>
  </si>
  <si>
    <t>C:\Users\franc\OneDrive\Documentos\MALENTIN KARIME\BANCO ESTADO\2012 DEPTO ESCRITURAS fata\NOTARIA 2009\COVALSA\CLARO S.A. a SOC. ANGUSTURA (ARRENDAMIENTO).doc</t>
  </si>
  <si>
    <t>C:\Users\franc\OneDrive\Documentos\MALENTIN KARIME\BANCO ESTADO\2012 DEPTO ESCRITURAS fata\NOTARIA 2009\COVALSA\AGRO LA RECOLETA EXTRACTO.doc</t>
  </si>
  <si>
    <t>C:\Users\franc\OneDrive\Documentos\MALENTIN KARIME\BANCO ESTADO\2012 DEPTO ESCRITURAS fata\NOTARIA 2009\COVALSA\AGRO LA RECOLETA (DISOLUCION).doc</t>
  </si>
  <si>
    <t>C:\Users\franc\OneDrive\Documentos\MALENTIN KARIME\BANCO ESTADO\2012 DEPTO ESCRITURAS fata\NOTARIA 2009\COVALSA\ACTA.doc</t>
  </si>
  <si>
    <t>C:\Users\franc\OneDrive\Documentos\MALENTIN KARIME\BANCO ESTADO\2012 DEPTO ESCRITURAS fata\NOTARIA 2009\CORPORACION ASISTENCIA\YASNA RODRIGUEZ.doc</t>
  </si>
  <si>
    <t>C:\Users\franc\OneDrive\Documentos\MALENTIN KARIME\BANCO ESTADO\2012 DEPTO ESCRITURAS fata\NOTARIA 2009\CORPORACION ASISTENCIA\RAUL VALDERRAMA.doc</t>
  </si>
  <si>
    <t>C:\Users\franc\OneDrive\Documentos\MALENTIN KARIME\BANCO ESTADO\2012 DEPTO ESCRITURAS fata\NOTARIA 2009\CORPORACION ASISTENCIA\NILO ORTIZ.doc</t>
  </si>
  <si>
    <t>C:\Users\franc\OneDrive\Documentos\MALENTIN KARIME\BANCO ESTADO\2012 DEPTO ESCRITURAS fata\NOTARIA 2009\CORPORACION ASISTENCIA\MANDATO GENERAL ANJELINA.doc</t>
  </si>
  <si>
    <t>C:\Users\franc\OneDrive\Documentos\MALENTIN KARIME\BANCO ESTADO\2012 DEPTO ESCRITURAS fata\NOTARIA 2009\CORPORACION ASISTENCIA\JACQUELINE ZUÑIGA.doc</t>
  </si>
  <si>
    <t>C:\Users\franc\OneDrive\Documentos\MALENTIN KARIME\BANCO ESTADO\2012 DEPTO ESCRITURAS fata\NOTARIA 2009\CORPORACION ASISTENCIA\CRISTIAN ALVAREZ.doc</t>
  </si>
  <si>
    <t>C:\Users\franc\OneDrive\Documentos\MALENTIN KARIME\BANCO ESTADO\2012 DEPTO ESCRITURAS fata\NOTARIA 2009\CORPORACION\WILDO VILLALOBOS MANDATO ESPECIAL.doc</t>
  </si>
  <si>
    <t>C:\Users\franc\OneDrive\Documentos\MALENTIN KARIME\BANCO ESTADO\2012 DEPTO ESCRITURAS fata\NOTARIA 2009\CORPORACION\TRANCITO ROJAS.doc</t>
  </si>
  <si>
    <t>C:\Users\franc\OneDrive\Documentos\MALENTIN KARIME\BANCO ESTADO\2012 DEPTO ESCRITURAS fata\NOTARIA 2009\CORPORACION\MARITZA CORTES.doc</t>
  </si>
  <si>
    <t>C:\Users\franc\OneDrive\Documentos\MALENTIN KARIME\BANCO ESTADO\2012 DEPTO ESCRITURAS fata\NOTARIA 2009\CORPORACION\JULIO ARAYA BENITEZ.doc</t>
  </si>
  <si>
    <t>C:\Users\franc\OneDrive\Documentos\MALENTIN KARIME\BANCO ESTADO\2012 DEPTO ESCRITURAS fata\NOTARIA 2009\CORPBANCA 2006  M CORTES\RECTIFICACION\RIO LIMARI uno.doc</t>
  </si>
  <si>
    <t>C:\Users\franc\OneDrive\Documentos\MALENTIN KARIME\BANCO ESTADO\2012 DEPTO ESCRITURAS fata\NOTARIA 2009\CORPBANCA 2006  M CORTES\RECTIFICACION\RIO LIMARI 2.doc</t>
  </si>
  <si>
    <t>C:\Users\franc\OneDrive\Documentos\MALENTIN KARIME\BANCO ESTADO\2012 DEPTO ESCRITURAS fata\NOTARIA 2009\CORPBANCA 2006  M CORTES\RECTIFICACION\RIO LIMARI  dos.doc</t>
  </si>
  <si>
    <t>C:\Users\franc\OneDrive\Documentos\MALENTIN KARIME\BANCO ESTADO\2012 DEPTO ESCRITURAS fata\NOTARIA 2009\CORPBANCA 2006  M CORTES\RECTIFICACION\ANDRES PIZARRO GARAY (2).doc</t>
  </si>
  <si>
    <t>C:\Users\franc\OneDrive\Documentos\MALENTIN KARIME\BANCO ESTADO\2012 DEPTO ESCRITURAS fata\NOTARIA 2009\CORPBANCA 2006  M CORTES\RECTIFICACION\ANDRES PIZARRO GARAY (1).doc</t>
  </si>
  <si>
    <t>C:\Users\franc\OneDrive\Documentos\MALENTIN KARIME\BANCO ESTADO\2012 DEPTO ESCRITURAS fata\NOTARIA 2009\CORPBANCA 2006  M CORTES\RATIFICA\SOC. CERRO CAMPANARIO EXTRACTO.doc</t>
  </si>
  <si>
    <t>C:\Users\franc\OneDrive\Documentos\MALENTIN KARIME\BANCO ESTADO\2012 DEPTO ESCRITURAS fata\NOTARIA 2009\CORPBANCA 2006  M CORTES\RATIFICA\SOC. CERRO CAMPANARIO EXTRACTO FINAL.doc</t>
  </si>
  <si>
    <t>C:\Users\franc\OneDrive\Documentos\MALENTIN KARIME\BANCO ESTADO\2012 DEPTO ESCRITURAS fata\NOTARIA 2009\CORPBANCA 2006  M CORTES\RATIFICA\SOC. CERRO CAMPANARIO (MANUEL CORTES).doc</t>
  </si>
  <si>
    <t>C:\Users\franc\OneDrive\Documentos\MALENTIN KARIME\BANCO ESTADO\2012 DEPTO ESCRITURAS fata\NOTARIA 2009\CORPBANCA 2006  M CORTES\RATIFICA\SAMUEL BOZO.doc</t>
  </si>
  <si>
    <t>C:\Users\franc\OneDrive\Documentos\MALENTIN KARIME\BANCO ESTADO\2012 DEPTO ESCRITURAS fata\NOTARIA 2009\CORPBANCA 2006  M CORTES\RATIFICA\EXTRACTO SOC[1]. CERRO CAMPANARIO CORREGIDO POR DON MANUEL.doc</t>
  </si>
  <si>
    <t>C:\Users\franc\OneDrive\Documentos\MALENTIN KARIME\BANCO ESTADO\2012 DEPTO ESCRITURAS fata\NOTARIA 2009\CORPBANCA 2006  M CORTES\PRENDAS\Victor Herrera 3.doc</t>
  </si>
  <si>
    <t>C:\Users\franc\OneDrive\Documentos\MALENTIN KARIME\BANCO ESTADO\2012 DEPTO ESCRITURAS fata\NOTARIA 2009\CORPBANCA 2006  M CORTES\PRENDAS\Victor Herrera 3 extracto.doc</t>
  </si>
  <si>
    <t>C:\Users\franc\OneDrive\Documentos\MALENTIN KARIME\BANCO ESTADO\2012 DEPTO ESCRITURAS fata\NOTARIA 2009\CORPBANCA 2006  M CORTES\PRENDAS\Victor Herrera 2.doc</t>
  </si>
  <si>
    <t>C:\Users\franc\OneDrive\Documentos\MALENTIN KARIME\BANCO ESTADO\2012 DEPTO ESCRITURAS fata\NOTARIA 2009\CORPBANCA 2006  M CORTES\PRENDAS\Victor Herrera 2 extracto.doc</t>
  </si>
  <si>
    <t>C:\Users\franc\OneDrive\Documentos\MALENTIN KARIME\BANCO ESTADO\2012 DEPTO ESCRITURAS fata\NOTARIA 2009\CORPBANCA 2006  M CORTES\PRENDAS\Victor Herrera 1.doc</t>
  </si>
  <si>
    <t>C:\Users\franc\OneDrive\Documentos\MALENTIN KARIME\BANCO ESTADO\2012 DEPTO ESCRITURAS fata\NOTARIA 2009\CORPBANCA 2006  M CORTES\PRENDAS\Victor Herrera 1 EXTRACTO.doc</t>
  </si>
  <si>
    <t>C:\Users\franc\OneDrive\Documentos\MALENTIN KARIME\BANCO ESTADO\2012 DEPTO ESCRITURAS fata\NOTARIA 2009\CORPBANCA 2006  M CORTES\PRENDAS\SOCIEDAD LOS PRIMOS.doc</t>
  </si>
  <si>
    <t>C:\Users\franc\OneDrive\Documentos\MALENTIN KARIME\BANCO ESTADO\2012 DEPTO ESCRITURAS fata\NOTARIA 2009\CORPBANCA 2006  M CORTES\PRENDAS\SOC. VINICOLA OCHOTIERRAS LTDA..doc</t>
  </si>
  <si>
    <t>C:\Users\franc\OneDrive\Documentos\MALENTIN KARIME\BANCO ESTADO\2012 DEPTO ESCRITURAS fata\NOTARIA 2009\CORPBANCA 2006  M CORTES\PRENDAS\SOC. VINICOLA OCHOTIERRAS EXTRACTO.doc</t>
  </si>
  <si>
    <t>C:\Users\franc\OneDrive\Documentos\MALENTIN KARIME\BANCO ESTADO\2012 DEPTO ESCRITURAS fata\NOTARIA 2009\CORPBANCA 2006  M CORTES\PRENDAS\SOC. VINICOLA OCHOTIERRAS EXTRACTO (JUNIO 2008).doc</t>
  </si>
  <si>
    <t>C:\Users\franc\OneDrive\Documentos\MALENTIN KARIME\BANCO ESTADO\2012 DEPTO ESCRITURAS fata\NOTARIA 2009\CORPBANCA 2006  M CORTES\PRENDAS\SOC. OCHOTIERRAS (JUNIO 2008).doc</t>
  </si>
  <si>
    <t>C:\Users\franc\OneDrive\Documentos\MALENTIN KARIME\BANCO ESTADO\2012 DEPTO ESCRITURAS fata\NOTARIA 2009\CORPBANCA 2006  M CORTES\PRENDAS\SOC. LOS PRIMOS LTDA. (EXTRACTO).doc</t>
  </si>
  <si>
    <t>C:\Users\franc\OneDrive\Documentos\MALENTIN KARIME\BANCO ESTADO\2012 DEPTO ESCRITURAS fata\NOTARIA 2009\CORPBANCA 2006  M CORTES\PRENDAS\SOC. EXP. RIO RAPEL S.A..doc</t>
  </si>
  <si>
    <t>C:\Users\franc\OneDrive\Documentos\MALENTIN KARIME\BANCO ESTADO\2012 DEPTO ESCRITURAS fata\NOTARIA 2009\CORPBANCA 2006  M CORTES\PRENDAS\SAN JULIAN EXT.doc</t>
  </si>
  <si>
    <t>C:\Users\franc\OneDrive\Documentos\MALENTIN KARIME\BANCO ESTADO\2012 DEPTO ESCRITURAS fata\NOTARIA 2009\CORPBANCA 2006  M CORTES\PRENDAS\ROMERALCILLO EXT.doc</t>
  </si>
  <si>
    <t>C:\Users\franc\OneDrive\Documentos\MALENTIN KARIME\BANCO ESTADO\2012 DEPTO ESCRITURAS fata\NOTARIA 2009\CORPBANCA 2006  M CORTES\PRENDAS\RICARDO ALLENDE SENTIS.doc</t>
  </si>
  <si>
    <t>C:\Users\franc\OneDrive\Documentos\MALENTIN KARIME\BANCO ESTADO\2012 DEPTO ESCRITURAS fata\NOTARIA 2009\CORPBANCA 2006  M CORTES\PRENDAS\RENE MUÑOZ.doc</t>
  </si>
  <si>
    <t>C:\Users\franc\OneDrive\Documentos\MALENTIN KARIME\BANCO ESTADO\2012 DEPTO ESCRITURAS fata\NOTARIA 2009\CORPBANCA 2006  M CORTES\PRENDAS\RENE ALLENDE EXTRACTO.doc</t>
  </si>
  <si>
    <t>C:\Users\franc\OneDrive\Documentos\MALENTIN KARIME\BANCO ESTADO\2012 DEPTO ESCRITURAS fata\NOTARIA 2009\CORPBANCA 2006  M CORTES\PRENDAS\RENA MUÑOZ EXT.doc</t>
  </si>
  <si>
    <t>C:\Users\franc\OneDrive\Documentos\MALENTIN KARIME\BANCO ESTADO\2012 DEPTO ESCRITURAS fata\NOTARIA 2009\CORPBANCA 2006  M CORTES\PRENDAS\PROVIDENCIA EXT.doc</t>
  </si>
  <si>
    <t>C:\Users\franc\OneDrive\Documentos\MALENTIN KARIME\BANCO ESTADO\2012 DEPTO ESCRITURAS fata\NOTARIA 2009\CORPBANCA 2006  M CORTES\PRENDAS\MARIANO DIAZ Y CIA. LTDA..doc</t>
  </si>
  <si>
    <t>C:\Users\franc\OneDrive\Documentos\MALENTIN KARIME\BANCO ESTADO\2012 DEPTO ESCRITURAS fata\NOTARIA 2009\CORPBANCA 2006  M CORTES\PRENDAS\MARIANO DIAZ Y CIA. LTDA. EXTRACTO.doc</t>
  </si>
  <si>
    <t>C:\Users\franc\OneDrive\Documentos\MALENTIN KARIME\BANCO ESTADO\2012 DEPTO ESCRITURAS fata\NOTARIA 2009\CORPBANCA 2006  M CORTES\PRENDAS\MAITEN EXT.doc</t>
  </si>
  <si>
    <t>C:\Users\franc\OneDrive\Documentos\MALENTIN KARIME\BANCO ESTADO\2012 DEPTO ESCRITURAS fata\NOTARIA 2009\CORPBANCA 2006  M CORTES\PRENDAS\JORGE CUELLAR ROJAS.doc</t>
  </si>
  <si>
    <t>C:\Users\franc\OneDrive\Documentos\MALENTIN KARIME\BANCO ESTADO\2012 DEPTO ESCRITURAS fata\NOTARIA 2009\CORPBANCA 2006  M CORTES\PRENDAS\JORGE CUELLAR ROJAS EXTRACTO.doc</t>
  </si>
  <si>
    <t>C:\Users\franc\OneDrive\Documentos\MALENTIN KARIME\BANCO ESTADO\2012 DEPTO ESCRITURAS fata\NOTARIA 2009\CORPBANCA 2006  M CORTES\PRENDAS\JORGE CARVAJAL EXTRACTO.doc</t>
  </si>
  <si>
    <t>C:\Users\franc\OneDrive\Documentos\MALENTIN KARIME\BANCO ESTADO\2012 DEPTO ESCRITURAS fata\NOTARIA 2009\CORPBANCA 2006  M CORTES\PRENDAS\JORGE CARVAJAL CORTES.doc</t>
  </si>
  <si>
    <t>C:\Users\franc\OneDrive\Documentos\MALENTIN KARIME\BANCO ESTADO\2012 DEPTO ESCRITURAS fata\NOTARIA 2009\CORPBANCA 2006  M CORTES\PRENDAS\INVERSIONES TALQUILLA LTDA..doc</t>
  </si>
  <si>
    <t>C:\Users\franc\OneDrive\Documentos\MALENTIN KARIME\BANCO ESTADO\2012 DEPTO ESCRITURAS fata\NOTARIA 2009\CORPBANCA 2006  M CORTES\PRENDAS\INVERSIONES TALQUILLA EXTRACTO.doc</t>
  </si>
  <si>
    <t>C:\Users\franc\OneDrive\Documentos\MALENTIN KARIME\BANCO ESTADO\2012 DEPTO ESCRITURAS fata\NOTARIA 2009\CORPBANCA 2006  M CORTES\PRENDAS\INVERSIONES TALQUILLA (ABRIL 2009).doc</t>
  </si>
  <si>
    <t>C:\Users\franc\OneDrive\Documentos\MALENTIN KARIME\BANCO ESTADO\2012 DEPTO ESCRITURAS fata\NOTARIA 2009\CORPBANCA 2006  M CORTES\PRENDAS\GANADERA LOMA LARGA LTDA..doc</t>
  </si>
  <si>
    <t>C:\Users\franc\OneDrive\Documentos\MALENTIN KARIME\BANCO ESTADO\2012 DEPTO ESCRITURAS fata\NOTARIA 2009\CORPBANCA 2006  M CORTES\PRENDAS\GANADERA LOMA LARGA EXTRACTO.doc</t>
  </si>
  <si>
    <t>C:\Users\franc\OneDrive\Documentos\MALENTIN KARIME\BANCO ESTADO\2012 DEPTO ESCRITURAS fata\NOTARIA 2009\CORPBANCA 2006  M CORTES\PRENDAS\FRIGORIFICO SOTAQUI.doc</t>
  </si>
  <si>
    <t>C:\Users\franc\OneDrive\Documentos\MALENTIN KARIME\BANCO ESTADO\2012 DEPTO ESCRITURAS fata\NOTARIA 2009\CORPBANCA 2006  M CORTES\PRENDAS\FRIGORIFICO SOTAQUI EXTRACO.doc</t>
  </si>
  <si>
    <t>C:\Users\franc\OneDrive\Documentos\MALENTIN KARIME\BANCO ESTADO\2012 DEPTO ESCRITURAS fata\NOTARIA 2009\CORPBANCA 2006  M CORTES\PRENDAS\Doc1.doc</t>
  </si>
  <si>
    <t>C:\Users\franc\OneDrive\Documentos\MALENTIN KARIME\BANCO ESTADO\2012 DEPTO ESCRITURAS fata\NOTARIA 2009\CORPBANCA 2006  M CORTES\PRENDAS\DAVID PERRY EXT.doc</t>
  </si>
  <si>
    <t>C:\Users\franc\OneDrive\Documentos\MALENTIN KARIME\BANCO ESTADO\2012 DEPTO ESCRITURAS fata\NOTARIA 2009\CORPBANCA 2006  M CORTES\PRENDAS\CARTA GASTOS.doc</t>
  </si>
  <si>
    <t>C:\Users\franc\OneDrive\Documentos\MALENTIN KARIME\BANCO ESTADO\2012 DEPTO ESCRITURAS fata\NOTARIA 2009\CORPBANCA 2006  M CORTES\PRENDAS\CAPRIGEN LTDA.doc</t>
  </si>
  <si>
    <t>C:\Users\franc\OneDrive\Documentos\MALENTIN KARIME\BANCO ESTADO\2012 DEPTO ESCRITURAS fata\NOTARIA 2009\CORPBANCA 2006  M CORTES\PRENDAS\CAPRIGEN EXTRACTO.doc</t>
  </si>
  <si>
    <t>C:\Users\franc\OneDrive\Documentos\MALENTIN KARIME\BANCO ESTADO\2012 DEPTO ESCRITURAS fata\NOTARIA 2009\CORPBANCA 2006  M CORTES\PRENDAS\AGRONOBLE S.A..doc</t>
  </si>
  <si>
    <t>C:\Users\franc\OneDrive\Documentos\MALENTIN KARIME\BANCO ESTADO\2012 DEPTO ESCRITURAS fata\NOTARIA 2009\CORPBANCA 2006  M CORTES\PRENDAS\AGRICOLA GONAGRO SR..doc</t>
  </si>
  <si>
    <t>C:\Users\franc\OneDrive\Documentos\MALENTIN KARIME\BANCO ESTADO\2012 DEPTO ESCRITURAS fata\NOTARIA 2009\CORPBANCA 2006  M CORTES\PRENDAS\AGRICOLA GONAGRO EXTRACTO.doc</t>
  </si>
  <si>
    <t>C:\Users\franc\OneDrive\Documentos\MALENTIN KARIME\BANCO ESTADO\2012 DEPTO ESCRITURAS fata\NOTARIA 2009\CORPBANCA 2006  M CORTES\PRENDAS\AGRICOLA CORDILLERA EXTRACTO.doc</t>
  </si>
  <si>
    <t>C:\Users\franc\OneDrive\Documentos\MALENTIN KARIME\BANCO ESTADO\2012 DEPTO ESCRITURAS fata\NOTARIA 2009\CORPBANCA 2006  M CORTES\PRENDAS\AGRICOLA CORDILLERA DE RAPEL.doc</t>
  </si>
  <si>
    <t>C:\Users\franc\OneDrive\Documentos\MALENTIN KARIME\BANCO ESTADO\2012 DEPTO ESCRITURAS fata\NOTARIA 2009\CORPBANCA 2006  M CORTES\PRENDAS\AGRIC. JUAN PABLO - SAN JULIAN.doc</t>
  </si>
  <si>
    <t>C:\Users\franc\OneDrive\Documentos\MALENTIN KARIME\BANCO ESTADO\2012 DEPTO ESCRITURAS fata\NOTARIA 2009\CORPBANCA 2006  M CORTES\PRENDAS\AGRIC. JUAN PABLO - ROMERALCILLO.doc</t>
  </si>
  <si>
    <t>C:\Users\franc\OneDrive\Documentos\MALENTIN KARIME\BANCO ESTADO\2012 DEPTO ESCRITURAS fata\NOTARIA 2009\CORPBANCA 2006  M CORTES\PRENDAS\AGRIC. JUAN PABLO - MAITEN.doc</t>
  </si>
  <si>
    <t>C:\Users\franc\OneDrive\Documentos\MALENTIN KARIME\BANCO ESTADO\2012 DEPTO ESCRITURAS fata\NOTARIA 2009\CORPBANCA 2006  M CORTES\PRENDAS\AGRIC. JUAN PABLO - DAVID PERRY.doc</t>
  </si>
  <si>
    <t>C:\Users\franc\OneDrive\Documentos\MALENTIN KARIME\BANCO ESTADO\2012 DEPTO ESCRITURAS fata\NOTARIA 2009\CORPBANCA 2006  M CORTES\PRENDAS\AGRIC. JUAN PABLO - ALFALFA -PROVI.doc</t>
  </si>
  <si>
    <t>C:\Users\franc\OneDrive\Documentos\MALENTIN KARIME\BANCO ESTADO\2012 DEPTO ESCRITURAS fata\NOTARIA 2009\CORPBANCA 2006  M CORTES\MUTUO E HIPOTECA\WALTER DIAZ   ULTIMA .... FIN.doc</t>
  </si>
  <si>
    <t>C:\Users\franc\OneDrive\Documentos\MALENTIN KARIME\BANCO ESTADO\2012 DEPTO ESCRITURAS fata\NOTARIA 2009\CORPBANCA 2006  M CORTES\MUTUO E HIPOTECA\TOMAS CARVAJAL MORA.doc</t>
  </si>
  <si>
    <t>C:\Users\franc\OneDrive\Documentos\MALENTIN KARIME\BANCO ESTADO\2012 DEPTO ESCRITURAS fata\NOTARIA 2009\CORPBANCA 2006  M CORTES\MUTUO E HIPOTECA\SOC. AGRICOLA CARRIZAL.doc</t>
  </si>
  <si>
    <t>C:\Users\franc\OneDrive\Documentos\MALENTIN KARIME\BANCO ESTADO\2012 DEPTO ESCRITURAS fata\NOTARIA 2009\CORPBANCA 2006  M CORTES\MUTUO E HIPOTECA\SERGIO GALLEGUILLOS ALVAREZ.doc</t>
  </si>
  <si>
    <t>C:\Users\franc\OneDrive\Documentos\MALENTIN KARIME\BANCO ESTADO\2012 DEPTO ESCRITURAS fata\NOTARIA 2009\CORPBANCA 2006  M CORTES\MUTUO E HIPOTECA\SERGIO BOZO LORCA.doc</t>
  </si>
  <si>
    <t>C:\Users\franc\OneDrive\Documentos\MALENTIN KARIME\BANCO ESTADO\2012 DEPTO ESCRITURAS fata\NOTARIA 2009\CORPBANCA 2006  M CORTES\MUTUO E HIPOTECA\ROXANA RIVERA ARABENA.doc</t>
  </si>
  <si>
    <t>C:\Users\franc\OneDrive\Documentos\MALENTIN KARIME\BANCO ESTADO\2012 DEPTO ESCRITURAS fata\NOTARIA 2009\CORPBANCA 2006  M CORTES\MUTUO E HIPOTECA\ROSA LARA AVALOS.doc</t>
  </si>
  <si>
    <t>C:\Users\franc\OneDrive\Documentos\MALENTIN KARIME\BANCO ESTADO\2012 DEPTO ESCRITURAS fata\NOTARIA 2009\CORPBANCA 2006  M CORTES\MUTUO E HIPOTECA\RODRIGO TELLO.doc</t>
  </si>
  <si>
    <t>C:\Users\franc\OneDrive\Documentos\MALENTIN KARIME\BANCO ESTADO\2012 DEPTO ESCRITURAS fata\NOTARIA 2009\CORPBANCA 2006  M CORTES\MUTUO E HIPOTECA\RENE MUÑOZ (ENDOSABLE).doc</t>
  </si>
  <si>
    <t>C:\Users\franc\OneDrive\Documentos\MALENTIN KARIME\BANCO ESTADO\2012 DEPTO ESCRITURAS fata\NOTARIA 2009\CORPBANCA 2006  M CORTES\MUTUO E HIPOTECA\RENE MUÑOZ (COMPLEMENTARIO).doc</t>
  </si>
  <si>
    <t>C:\Users\franc\OneDrive\Documentos\MALENTIN KARIME\BANCO ESTADO\2012 DEPTO ESCRITURAS fata\NOTARIA 2009\CORPBANCA 2006  M CORTES\MUTUO E HIPOTECA\PERSONERIA BCI.doc</t>
  </si>
  <si>
    <t>C:\Users\franc\OneDrive\Documentos\MALENTIN KARIME\BANCO ESTADO\2012 DEPTO ESCRITURAS fata\NOTARIA 2009\CORPBANCA 2006  M CORTES\MUTUO E HIPOTECA\PAULINA GALVEZ LEY 20130.doc</t>
  </si>
  <si>
    <t>C:\Users\franc\OneDrive\Documentos\MALENTIN KARIME\BANCO ESTADO\2012 DEPTO ESCRITURAS fata\NOTARIA 2009\CORPBANCA 2006  M CORTES\MUTUO E HIPOTECA\PAOLA CARVAJAL ENDOSABLE.doc</t>
  </si>
  <si>
    <t>C:\Users\franc\OneDrive\Documentos\MALENTIN KARIME\BANCO ESTADO\2012 DEPTO ESCRITURAS fata\NOTARIA 2009\CORPBANCA 2006  M CORTES\MUTUO E HIPOTECA\OSVALDO MEDINA H. LEY 19840.doc</t>
  </si>
  <si>
    <t>C:\Users\franc\OneDrive\Documentos\MALENTIN KARIME\BANCO ESTADO\2012 DEPTO ESCRITURAS fata\NOTARIA 2009\CORPBANCA 2006  M CORTES\MUTUO E HIPOTECA\OSVALDO MEDINA 1.doc</t>
  </si>
  <si>
    <t>C:\Users\franc\OneDrive\Documentos\MALENTIN KARIME\BANCO ESTADO\2012 DEPTO ESCRITURAS fata\NOTARIA 2009\CORPBANCA 2006  M CORTES\MUTUO E HIPOTECA\ORLANDO SALAS.doc</t>
  </si>
  <si>
    <t>C:\Users\franc\OneDrive\Documentos\MALENTIN KARIME\BANCO ESTADO\2012 DEPTO ESCRITURAS fata\NOTARIA 2009\CORPBANCA 2006  M CORTES\MUTUO E HIPOTECA\NORA VEGA RAMOS.doc</t>
  </si>
  <si>
    <t>C:\Users\franc\OneDrive\Documentos\MALENTIN KARIME\BANCO ESTADO\2012 DEPTO ESCRITURAS fata\NOTARIA 2009\CORPBANCA 2006  M CORTES\MUTUO E HIPOTECA\MARIANO DIAZ Y CIA. LTDA..doc</t>
  </si>
  <si>
    <t>C:\Users\franc\OneDrive\Documentos\MALENTIN KARIME\BANCO ESTADO\2012 DEPTO ESCRITURAS fata\NOTARIA 2009\CORPBANCA 2006  M CORTES\MUTUO E HIPOTECA\MARIA MARTINEZ (ENDOSABLE).doc</t>
  </si>
  <si>
    <t>C:\Users\franc\OneDrive\Documentos\MALENTIN KARIME\BANCO ESTADO\2012 DEPTO ESCRITURAS fata\NOTARIA 2009\CORPBANCA 2006  M CORTES\MUTUO E HIPOTECA\MARIA MARTINEZ (COMPLEMENTARIO).doc</t>
  </si>
  <si>
    <t>C:\Users\franc\OneDrive\Documentos\MALENTIN KARIME\BANCO ESTADO\2012 DEPTO ESCRITURAS fata\NOTARIA 2009\CORPBANCA 2006  M CORTES\MUTUO E HIPOTECA\MARIA ARAYA.doc</t>
  </si>
  <si>
    <t>C:\Users\franc\OneDrive\Documentos\MALENTIN KARIME\BANCO ESTADO\2012 DEPTO ESCRITURAS fata\NOTARIA 2009\CORPBANCA 2006  M CORTES\MUTUO E HIPOTECA\MARCELO CORTES LEY 20130..doc</t>
  </si>
  <si>
    <t>C:\Users\franc\OneDrive\Documentos\MALENTIN KARIME\BANCO ESTADO\2012 DEPTO ESCRITURAS fata\NOTARIA 2009\CORPBANCA 2006  M CORTES\MUTUO E HIPOTECA\MANUEL ZAVALA BRICEÑO MUT HIP FINES GENERALES.doc</t>
  </si>
  <si>
    <t>C:\Users\franc\OneDrive\Documentos\MALENTIN KARIME\BANCO ESTADO\2012 DEPTO ESCRITURAS fata\NOTARIA 2009\CORPBANCA 2006  M CORTES\MUTUO E HIPOTECA\MANUEL ZAVALA  LEY 20.130.doc</t>
  </si>
  <si>
    <t>C:\Users\franc\OneDrive\Documentos\MALENTIN KARIME\BANCO ESTADO\2012 DEPTO ESCRITURAS fata\NOTARIA 2009\CORPBANCA 2006  M CORTES\MUTUO E HIPOTECA\MANDATO SOC. CARRIZAL A ELENA FELLAY.doc</t>
  </si>
  <si>
    <t>C:\Users\franc\OneDrive\Documentos\MALENTIN KARIME\BANCO ESTADO\2012 DEPTO ESCRITURAS fata\NOTARIA 2009\CORPBANCA 2006  M CORTES\MUTUO E HIPOTECA\LUIS JAMEL DIAZ ARAYA.doc</t>
  </si>
  <si>
    <t>C:\Users\franc\OneDrive\Documentos\MALENTIN KARIME\BANCO ESTADO\2012 DEPTO ESCRITURAS fata\NOTARIA 2009\CORPBANCA 2006  M CORTES\MUTUO E HIPOTECA\Lorena Veliz Angel Ley 20130.doc</t>
  </si>
  <si>
    <t>C:\Users\franc\OneDrive\Documentos\MALENTIN KARIME\BANCO ESTADO\2012 DEPTO ESCRITURAS fata\NOTARIA 2009\CORPBANCA 2006  M CORTES\MUTUO E HIPOTECA\JUAN SALINAS LEDEZMA.doc</t>
  </si>
  <si>
    <t>C:\Users\franc\OneDrive\Documentos\MALENTIN KARIME\BANCO ESTADO\2012 DEPTO ESCRITURAS fata\NOTARIA 2009\CORPBANCA 2006  M CORTES\MUTUO E HIPOTECA\JUAN SAAVEDRA ST. 24 (ENDOSABLE).doc</t>
  </si>
  <si>
    <t>C:\Users\franc\OneDrive\Documentos\MALENTIN KARIME\BANCO ESTADO\2012 DEPTO ESCRITURAS fata\NOTARIA 2009\CORPBANCA 2006  M CORTES\MUTUO E HIPOTECA\JUAN SAAVEDRA ST. 20 (ENDOSABLE).doc</t>
  </si>
  <si>
    <t>C:\Users\franc\OneDrive\Documentos\MALENTIN KARIME\BANCO ESTADO\2012 DEPTO ESCRITURAS fata\NOTARIA 2009\CORPBANCA 2006  M CORTES\MUTUO E HIPOTECA\JUAN SAAVEDRA ST. 20  (COMPLEMENTARIO).doc</t>
  </si>
  <si>
    <t>C:\Users\franc\OneDrive\Documentos\MALENTIN KARIME\BANCO ESTADO\2012 DEPTO ESCRITURAS fata\NOTARIA 2009\CORPBANCA 2006  M CORTES\MUTUO E HIPOTECA\JUAN SAAVEDRA ST. 19 (ENDOSABLE).doc</t>
  </si>
  <si>
    <t>C:\Users\franc\OneDrive\Documentos\MALENTIN KARIME\BANCO ESTADO\2012 DEPTO ESCRITURAS fata\NOTARIA 2009\CORPBANCA 2006  M CORTES\MUTUO E HIPOTECA\JUAN SAAVEDRA ST. 19 (COMPLEMENTARIO).doc</t>
  </si>
  <si>
    <t>C:\Users\franc\OneDrive\Documentos\MALENTIN KARIME\BANCO ESTADO\2012 DEPTO ESCRITURAS fata\NOTARIA 2009\CORPBANCA 2006  M CORTES\MUTUO E HIPOTECA\JUAN PROHENS (ENDOSABLE).doc</t>
  </si>
  <si>
    <t>C:\Users\franc\OneDrive\Documentos\MALENTIN KARIME\BANCO ESTADO\2012 DEPTO ESCRITURAS fata\NOTARIA 2009\CORPBANCA 2006  M CORTES\MUTUO E HIPOTECA\JUAN PROHENS (COMPLEMENTARIO).doc</t>
  </si>
  <si>
    <t>C:\Users\franc\OneDrive\Documentos\MALENTIN KARIME\BANCO ESTADO\2012 DEPTO ESCRITURAS fata\NOTARIA 2009\CORPBANCA 2006  M CORTES\MUTUO E HIPOTECA\JUAN GRACIA MUTUO E HIPOTECA LEY 19840.doc</t>
  </si>
  <si>
    <t>C:\Users\franc\OneDrive\Documentos\MALENTIN KARIME\BANCO ESTADO\2012 DEPTO ESCRITURAS fata\NOTARIA 2009\CORPBANCA 2006  M CORTES\MUTUO E HIPOTECA\JORGE ROJAS Y SU PAPA.doc</t>
  </si>
  <si>
    <t>C:\Users\franc\OneDrive\Documentos\MALENTIN KARIME\BANCO ESTADO\2012 DEPTO ESCRITURAS fata\NOTARIA 2009\CORPBANCA 2006  M CORTES\MUTUO E HIPOTECA\JOCELYN RAMIREZ - ENDOSABLE.doc</t>
  </si>
  <si>
    <t>C:\Users\franc\OneDrive\Documentos\MALENTIN KARIME\BANCO ESTADO\2012 DEPTO ESCRITURAS fata\NOTARIA 2009\CORPBANCA 2006  M CORTES\MUTUO E HIPOTECA\JOCELYN RAMIREZ - COMPLEMENTARIO.doc</t>
  </si>
  <si>
    <t>C:\Users\franc\OneDrive\Documentos\MALENTIN KARIME\BANCO ESTADO\2012 DEPTO ESCRITURAS fata\NOTARIA 2009\CORPBANCA 2006  M CORTES\MUTUO E HIPOTECA\JESSICA MILLAN A CORPBANCA.doc</t>
  </si>
  <si>
    <t>C:\Users\franc\OneDrive\Documentos\MALENTIN KARIME\BANCO ESTADO\2012 DEPTO ESCRITURAS fata\NOTARIA 2009\CORPBANCA 2006  M CORTES\MUTUO E HIPOTECA\ITALO CONTRERAS LEY 20.130.doc</t>
  </si>
  <si>
    <t>C:\Users\franc\OneDrive\Documentos\MALENTIN KARIME\BANCO ESTADO\2012 DEPTO ESCRITURAS fata\NOTARIA 2009\CORPBANCA 2006  M CORTES\MUTUO E HIPOTECA\HUGO PATRICIO LAGUNAS (ENDOSABLE).doc</t>
  </si>
  <si>
    <t>C:\Users\franc\OneDrive\Documentos\MALENTIN KARIME\BANCO ESTADO\2012 DEPTO ESCRITURAS fata\NOTARIA 2009\CORPBANCA 2006  M CORTES\MUTUO E HIPOTECA\HUGO PATRICIO LAGUNAS (COMPLEMENTARIO).doc</t>
  </si>
  <si>
    <t>C:\Users\franc\OneDrive\Documentos\MALENTIN KARIME\BANCO ESTADO\2012 DEPTO ESCRITURAS fata\NOTARIA 2009\CORPBANCA 2006  M CORTES\MUTUO E HIPOTECA\HERNAN ZAMORANO.doc</t>
  </si>
  <si>
    <t>C:\Users\franc\OneDrive\Documentos\MALENTIN KARIME\BANCO ESTADO\2012 DEPTO ESCRITURAS fata\NOTARIA 2009\CORPBANCA 2006  M CORTES\MUTUO E HIPOTECA\HECTOR GUZMAN ENDOSABLE.doc</t>
  </si>
  <si>
    <t>C:\Users\franc\OneDrive\Documentos\MALENTIN KARIME\BANCO ESTADO\2012 DEPTO ESCRITURAS fata\NOTARIA 2009\CORPBANCA 2006  M CORTES\MUTUO E HIPOTECA\HECTOR GUZMAN - COMPLEMENTARIO.doc</t>
  </si>
  <si>
    <t>C:\Users\franc\OneDrive\Documentos\MALENTIN KARIME\BANCO ESTADO\2012 DEPTO ESCRITURAS fata\NOTARIA 2009\CORPBANCA 2006  M CORTES\MUTUO E HIPOTECA\GUILLERMO ROJAS.LEY 20130.CORREGIDA.doc</t>
  </si>
  <si>
    <t>C:\Users\franc\OneDrive\Documentos\MALENTIN KARIME\BANCO ESTADO\2012 DEPTO ESCRITURAS fata\NOTARIA 2009\CORPBANCA 2006  M CORTES\MUTUO E HIPOTECA\GUILLERMO ROJAS.doc</t>
  </si>
  <si>
    <t>C:\Users\franc\OneDrive\Documentos\MALENTIN KARIME\BANCO ESTADO\2012 DEPTO ESCRITURAS fata\NOTARIA 2009\CORPBANCA 2006  M CORTES\MUTUO E HIPOTECA\FABIO VALERI A CORPBANCA.doc</t>
  </si>
  <si>
    <t>C:\Users\franc\OneDrive\Documentos\MALENTIN KARIME\BANCO ESTADO\2012 DEPTO ESCRITURAS fata\NOTARIA 2009\CORPBANCA 2006  M CORTES\MUTUO E HIPOTECA\ESTELA SANCHEZ ZAMORANO (KARIME).doc</t>
  </si>
  <si>
    <t>C:\Users\franc\OneDrive\Documentos\MALENTIN KARIME\BANCO ESTADO\2012 DEPTO ESCRITURAS fata\NOTARIA 2009\CORPBANCA 2006  M CORTES\MUTUO E HIPOTECA\ERNESTO FELIPE HANG.doc</t>
  </si>
  <si>
    <t>C:\Users\franc\OneDrive\Documentos\MALENTIN KARIME\BANCO ESTADO\2012 DEPTO ESCRITURAS fata\NOTARIA 2009\CORPBANCA 2006  M CORTES\MUTUO E HIPOTECA\ERNESTO CONTRERAS FLORES.doc</t>
  </si>
  <si>
    <t>C:\Users\franc\OneDrive\Documentos\MALENTIN KARIME\BANCO ESTADO\2012 DEPTO ESCRITURAS fata\NOTARIA 2009\CORPBANCA 2006  M CORTES\MUTUO E HIPOTECA\ELIZABETH ZARATE.doc</t>
  </si>
  <si>
    <t>C:\Users\franc\OneDrive\Documentos\MALENTIN KARIME\BANCO ESTADO\2012 DEPTO ESCRITURAS fata\NOTARIA 2009\CORPBANCA 2006  M CORTES\MUTUO E HIPOTECA\ELIAS ROJAS CONTADOR.doc</t>
  </si>
  <si>
    <t>C:\Users\franc\OneDrive\Documentos\MALENTIN KARIME\BANCO ESTADO\2012 DEPTO ESCRITURAS fata\NOTARIA 2009\CORPBANCA 2006  M CORTES\MUTUO E HIPOTECA\EDGARDO GOMEZ (ENDOSABLE).doc</t>
  </si>
  <si>
    <t>C:\Users\franc\OneDrive\Documentos\MALENTIN KARIME\BANCO ESTADO\2012 DEPTO ESCRITURAS fata\NOTARIA 2009\CORPBANCA 2006  M CORTES\MUTUO E HIPOTECA\EDGARDO GOMEZ (COMPLEMENTARIO).doc</t>
  </si>
  <si>
    <t>C:\Users\franc\OneDrive\Documentos\MALENTIN KARIME\BANCO ESTADO\2012 DEPTO ESCRITURAS fata\NOTARIA 2009\CORPBANCA 2006  M CORTES\MUTUO E HIPOTECA\DIEGO GONZALEZ - INV. STA. BARBARA.doc</t>
  </si>
  <si>
    <t>C:\Users\franc\OneDrive\Documentos\MALENTIN KARIME\BANCO ESTADO\2012 DEPTO ESCRITURAS fata\NOTARIA 2009\CORPBANCA 2006  M CORTES\MUTUO E HIPOTECA\COMERCIAL IFMAN FOTO LIMITADA.doc</t>
  </si>
  <si>
    <t>C:\Users\franc\OneDrive\Documentos\MALENTIN KARIME\BANCO ESTADO\2012 DEPTO ESCRITURAS fata\NOTARIA 2009\CORPBANCA 2006  M CORTES\MUTUO E HIPOTECA\CIPRIANO MIRANDA.doc</t>
  </si>
  <si>
    <t>C:\Users\franc\OneDrive\Documentos\MALENTIN KARIME\BANCO ESTADO\2012 DEPTO ESCRITURAS fata\NOTARIA 2009\CORPBANCA 2006  M CORTES\MUTUO E HIPOTECA\CIPRIANO MIRANDA LEY 19840.doc</t>
  </si>
  <si>
    <t>C:\Users\franc\OneDrive\Documentos\MALENTIN KARIME\BANCO ESTADO\2012 DEPTO ESCRITURAS fata\NOTARIA 2009\CORPBANCA 2006  M CORTES\MUTUO E HIPOTECA\CIPRIANO MIRANDA FINAL.doc</t>
  </si>
  <si>
    <t>C:\Users\franc\OneDrive\Documentos\MALENTIN KARIME\BANCO ESTADO\2012 DEPTO ESCRITURAS fata\NOTARIA 2009\CORPBANCA 2006  M CORTES\MUTUO E HIPOTECA\CHRISTIAN CASTILLO.doc</t>
  </si>
  <si>
    <t>C:\Users\franc\OneDrive\Documentos\MALENTIN KARIME\BANCO ESTADO\2012 DEPTO ESCRITURAS fata\NOTARIA 2009\CORPBANCA 2006  M CORTES\MUTUO E HIPOTECA\CARLOS BUGUEÑO.doc</t>
  </si>
  <si>
    <t>C:\Users\franc\OneDrive\Documentos\MALENTIN KARIME\BANCO ESTADO\2012 DEPTO ESCRITURAS fata\NOTARIA 2009\CORPBANCA 2006  M CORTES\MUTUO E HIPOTECA\BARBARA ALVAREZ CONTRERAS.doc</t>
  </si>
  <si>
    <t>C:\Users\franc\OneDrive\Documentos\MALENTIN KARIME\BANCO ESTADO\2012 DEPTO ESCRITURAS fata\NOTARIA 2009\CORPBANCA 2006  M CORTES\MUTUO E HIPOTECA\ANGELICA ROJAS (ENDOSABLE9.doc</t>
  </si>
  <si>
    <t>C:\Users\franc\OneDrive\Documentos\MALENTIN KARIME\BANCO ESTADO\2012 DEPTO ESCRITURAS fata\NOTARIA 2009\CORPBANCA 2006  M CORTES\MUTUO E HIPOTECA\ANGELICA ROJAS (ENDOSABLE9 CON AGENTE ANDREA COSTAG.doc</t>
  </si>
  <si>
    <t>C:\Users\franc\OneDrive\Documentos\MALENTIN KARIME\BANCO ESTADO\2012 DEPTO ESCRITURAS fata\NOTARIA 2009\CORPBANCA 2006  M CORTES\MUTUO E HIPOTECA\ANGELICA ROJAS (COMPLEMENTARIO).doc</t>
  </si>
  <si>
    <t>C:\Users\franc\OneDrive\Documentos\MALENTIN KARIME\BANCO ESTADO\2012 DEPTO ESCRITURAS fata\NOTARIA 2009\CORPBANCA 2006  M CORTES\MUTUO E HIPOTECA\ANDRES GUZMAN FINES GENERALES.doc</t>
  </si>
  <si>
    <t>C:\Users\franc\OneDrive\Documentos\MALENTIN KARIME\BANCO ESTADO\2012 DEPTO ESCRITURAS fata\NOTARIA 2009\CORPBANCA 2006  M CORTES\MUTUO E HIPOTECA\ANA MARIA ORTEGA.doc</t>
  </si>
  <si>
    <t>C:\Users\franc\OneDrive\Documentos\MALENTIN KARIME\BANCO ESTADO\2012 DEPTO ESCRITURAS fata\NOTARIA 2009\CORPBANCA 2006  M CORTES\MUTUO E HIPOTECA\ALICIA SANDOVAL.doc</t>
  </si>
  <si>
    <t>C:\Users\franc\OneDrive\Documentos\MALENTIN KARIME\BANCO ESTADO\2012 DEPTO ESCRITURAS fata\NOTARIA 2009\CORPBANCA 2006  M CORTES\MUTUO E HIPOTECA\ALICIA ACEVEDO.doc</t>
  </si>
  <si>
    <t>C:\Users\franc\OneDrive\Documentos\MALENTIN KARIME\BANCO ESTADO\2012 DEPTO ESCRITURAS fata\NOTARIA 2009\CORPBANCA 2006  M CORTES\MUTUO E HIPOTECA\ALBERTO JOPIA.doc</t>
  </si>
  <si>
    <t>C:\Users\franc\OneDrive\Documentos\MALENTIN KARIME\BANCO ESTADO\2012 DEPTO ESCRITURAS fata\NOTARIA 2009\CORPBANCA 2006  M CORTES\MUTUO E HIPOTECA\AGRICOLA PAULA Y CONSUELO.doc</t>
  </si>
  <si>
    <t>C:\Users\franc\OneDrive\Documentos\MALENTIN KARIME\BANCO ESTADO\2012 DEPTO ESCRITURAS fata\NOTARIA 2009\CORPBANCA 2006  M CORTES\MANDATOS\Victor Herrera.DOC</t>
  </si>
  <si>
    <t>C:\Users\franc\OneDrive\Documentos\MALENTIN KARIME\BANCO ESTADO\2012 DEPTO ESCRITURAS fata\NOTARIA 2009\CORPBANCA 2006  M CORTES\MANDATOS\Doc3.doc</t>
  </si>
  <si>
    <t>C:\Users\franc\OneDrive\Documentos\MALENTIN KARIME\BANCO ESTADO\2012 DEPTO ESCRITURAS fata\NOTARIA 2009\CORPBANCA 2006  M CORTES\MANDATOS\ASOCIACION DE CANALISTAS CAMARICO.doc</t>
  </si>
  <si>
    <t>C:\Users\franc\OneDrive\Documentos\MALENTIN KARIME\BANCO ESTADO\2012 DEPTO ESCRITURAS fata\NOTARIA 2009\CORPBANCA 2006  M CORTES\MANDATOS\ASOC. CANALISTAS CAMARICO FINAL.doc</t>
  </si>
  <si>
    <t>C:\Users\franc\OneDrive\Documentos\MALENTIN KARIME\BANCO ESTADO\2012 DEPTO ESCRITURAS fata\NOTARIA 2009\CORPBANCA 2006  M CORTES\LIBERACION\SOC. AGRICOLA CARRIZAL LTDA..doc</t>
  </si>
  <si>
    <t>C:\Users\franc\OneDrive\Documentos\MALENTIN KARIME\BANCO ESTADO\2012 DEPTO ESCRITURAS fata\NOTARIA 2009\CORPBANCA 2006  M CORTES\LIBERACION\MARIANO DIAZ Y CIA. LTDA..doc</t>
  </si>
  <si>
    <t>C:\Users\franc\OneDrive\Documentos\MALENTIN KARIME\BANCO ESTADO\2012 DEPTO ESCRITURAS fata\NOTARIA 2009\CORPBANCA 2006  M CORTES\LIBERACION\LUCIA JULIA  Y PATRICIO GONZALEZ.doc</t>
  </si>
  <si>
    <t>C:\Users\franc\OneDrive\Documentos\MALENTIN KARIME\BANCO ESTADO\2012 DEPTO ESCRITURAS fata\NOTARIA 2009\CORPBANCA 2006  M CORTES\HIPOTECAS Y FIANZA\LOS ALAMOS (CORTES JILES).doc</t>
  </si>
  <si>
    <t>C:\Users\franc\OneDrive\Documentos\MALENTIN KARIME\BANCO ESTADO\2012 DEPTO ESCRITURAS fata\NOTARIA 2009\CORPBANCA 2006  M CORTES\HIPOTECAS Y FIANZA\INVERSIONES TALQUILLA REVISADA.doc</t>
  </si>
  <si>
    <t>C:\Users\franc\OneDrive\Documentos\MALENTIN KARIME\BANCO ESTADO\2012 DEPTO ESCRITURAS fata\NOTARIA 2009\CORPBANCA 2006  M CORTES\HIPOTECAS Y FIANZA\INVERSIONES TALQUILLA LTDA..doc</t>
  </si>
  <si>
    <t>C:\Users\franc\OneDrive\Documentos\MALENTIN KARIME\BANCO ESTADO\2012 DEPTO ESCRITURAS fata\NOTARIA 2009\CORPBANCA 2006  M CORTES\HIPOTECAS Y FIANZA\ADOLFO CORTES J Y OTRO.doc</t>
  </si>
  <si>
    <t>C:\Users\franc\OneDrive\Documentos\MALENTIN KARIME\BANCO ESTADO\2012 DEPTO ESCRITURAS fata\NOTARIA 2009\CORPBANCA 2006  M CORTES\HIPOTECAS\Victor Herrera Muñoz[1].doc</t>
  </si>
  <si>
    <t>C:\Users\franc\OneDrive\Documentos\MALENTIN KARIME\BANCO ESTADO\2012 DEPTO ESCRITURAS fata\NOTARIA 2009\CORPBANCA 2006  M CORTES\HIPOTECAS\Victor Herrera Muñoz  FINAL.doc</t>
  </si>
  <si>
    <t>C:\Users\franc\OneDrive\Documentos\MALENTIN KARIME\BANCO ESTADO\2012 DEPTO ESCRITURAS fata\NOTARIA 2009\CORPBANCA 2006  M CORTES\HIPOTECAS\SOCIEDAD AGRICOLA MITIMAE LTDA..doc</t>
  </si>
  <si>
    <t>C:\Users\franc\OneDrive\Documentos\MALENTIN KARIME\BANCO ESTADO\2012 DEPTO ESCRITURAS fata\NOTARIA 2009\CORPBANCA 2006  M CORTES\HIPOTECAS\SOC. VINICOLA OCHOTIERRAS LTDA..doc</t>
  </si>
  <si>
    <t>C:\Users\franc\OneDrive\Documentos\MALENTIN KARIME\BANCO ESTADO\2012 DEPTO ESCRITURAS fata\NOTARIA 2009\CORPBANCA 2006  M CORTES\HIPOTECAS\SOC. RIO RAPEL.doc</t>
  </si>
  <si>
    <t>C:\Users\franc\OneDrive\Documentos\MALENTIN KARIME\BANCO ESTADO\2012 DEPTO ESCRITURAS fata\NOTARIA 2009\CORPBANCA 2006  M CORTES\HIPOTECAS\SOC. INVERS. ARTIGUES S.A.Ç.doc</t>
  </si>
  <si>
    <t>C:\Users\franc\OneDrive\Documentos\MALENTIN KARIME\BANCO ESTADO\2012 DEPTO ESCRITURAS fata\NOTARIA 2009\CORPBANCA 2006  M CORTES\HIPOTECAS\SOC. INMOB. RIO LIMARI (NOV. 2009).doc</t>
  </si>
  <si>
    <t>C:\Users\franc\OneDrive\Documentos\MALENTIN KARIME\BANCO ESTADO\2012 DEPTO ESCRITURAS fata\NOTARIA 2009\CORPBANCA 2006  M CORTES\HIPOTECAS\SOC. FORESTAL TALINAY LTDA..doc</t>
  </si>
  <si>
    <t>C:\Users\franc\OneDrive\Documentos\MALENTIN KARIME\BANCO ESTADO\2012 DEPTO ESCRITURAS fata\NOTARIA 2009\CORPBANCA 2006  M CORTES\HIPOTECAS\SOC. CUELLAR LIMITADA A OCHOTIERRAS LTDA..doc</t>
  </si>
  <si>
    <t>C:\Users\franc\OneDrive\Documentos\MALENTIN KARIME\BANCO ESTADO\2012 DEPTO ESCRITURAS fata\NOTARIA 2009\CORPBANCA 2006  M CORTES\HIPOTECAS\SAMUEL BOZO Y CONYUGE.doc</t>
  </si>
  <si>
    <t>C:\Users\franc\OneDrive\Documentos\MALENTIN KARIME\BANCO ESTADO\2012 DEPTO ESCRITURAS fata\NOTARIA 2009\CORPBANCA 2006  M CORTES\HIPOTECAS\ROSA LARA AVALOS.doc</t>
  </si>
  <si>
    <t>C:\Users\franc\OneDrive\Documentos\MALENTIN KARIME\BANCO ESTADO\2012 DEPTO ESCRITURAS fata\NOTARIA 2009\CORPBANCA 2006  M CORTES\HIPOTECAS\RICARDO ALLENDE SENTIS.doc</t>
  </si>
  <si>
    <t>C:\Users\franc\OneDrive\Documentos\MALENTIN KARIME\BANCO ESTADO\2012 DEPTO ESCRITURAS fata\NOTARIA 2009\CORPBANCA 2006  M CORTES\HIPOTECAS\MINERA CRUZ LTADA. (DIOMEDES CRUZ).doc</t>
  </si>
  <si>
    <t>C:\Users\franc\OneDrive\Documentos\MALENTIN KARIME\BANCO ESTADO\2012 DEPTO ESCRITURAS fata\NOTARIA 2009\CORPBANCA 2006  M CORTES\HIPOTECAS\JUAN FRANCISCO SOTO.doc</t>
  </si>
  <si>
    <t>C:\Users\franc\OneDrive\Documentos\MALENTIN KARIME\BANCO ESTADO\2012 DEPTO ESCRITURAS fata\NOTARIA 2009\CORPBANCA 2006  M CORTES\HIPOTECAS\JUAN ALUCEMA GODOY.doc</t>
  </si>
  <si>
    <t>C:\Users\franc\OneDrive\Documentos\MALENTIN KARIME\BANCO ESTADO\2012 DEPTO ESCRITURAS fata\NOTARIA 2009\CORPBANCA 2006  M CORTES\HIPOTECAS\JOSE OSSA HUENOLAF.doc</t>
  </si>
  <si>
    <t>C:\Users\franc\OneDrive\Documentos\MALENTIN KARIME\BANCO ESTADO\2012 DEPTO ESCRITURAS fata\NOTARIA 2009\CORPBANCA 2006  M CORTES\HIPOTECAS\JOSE OSSA HUENOLAF  2.doc</t>
  </si>
  <si>
    <t>C:\Users\franc\OneDrive\Documentos\MALENTIN KARIME\BANCO ESTADO\2012 DEPTO ESCRITURAS fata\NOTARIA 2009\CORPBANCA 2006  M CORTES\HIPOTECAS\JESSICA MILLAN.doc</t>
  </si>
  <si>
    <t>C:\Users\franc\OneDrive\Documentos\MALENTIN KARIME\BANCO ESTADO\2012 DEPTO ESCRITURAS fata\NOTARIA 2009\CORPBANCA 2006  M CORTES\HIPOTECAS\JAIME PROHENS PENDIENTE F.doc</t>
  </si>
  <si>
    <t>C:\Users\franc\OneDrive\Documentos\MALENTIN KARIME\BANCO ESTADO\2012 DEPTO ESCRITURAS fata\NOTARIA 2009\CORPBANCA 2006  M CORTES\HIPOTECAS\JAIME PROHENS FINAL.doc</t>
  </si>
  <si>
    <t>C:\Users\franc\OneDrive\Documentos\MALENTIN KARIME\BANCO ESTADO\2012 DEPTO ESCRITURAS fata\NOTARIA 2009\CORPBANCA 2006  M CORTES\HIPOTECAS\INVERSIONES ZEPEDA HERMANOS LTDA.doc</t>
  </si>
  <si>
    <t>C:\Users\franc\OneDrive\Documentos\MALENTIN KARIME\BANCO ESTADO\2012 DEPTO ESCRITURAS fata\NOTARIA 2009\CORPBANCA 2006  M CORTES\HIPOTECAS\INVERSIONES TALQUILLA.doc</t>
  </si>
  <si>
    <t>C:\Users\franc\OneDrive\Documentos\MALENTIN KARIME\BANCO ESTADO\2012 DEPTO ESCRITURAS fata\NOTARIA 2009\CORPBANCA 2006  M CORTES\HIPOTECAS\GUILLERMO ROJAS.doc</t>
  </si>
  <si>
    <t>C:\Users\franc\OneDrive\Documentos\MALENTIN KARIME\BANCO ESTADO\2012 DEPTO ESCRITURAS fata\NOTARIA 2009\CORPBANCA 2006  M CORTES\HIPOTECAS\ELENA SERRANO.doc</t>
  </si>
  <si>
    <t>C:\Users\franc\OneDrive\Documentos\MALENTIN KARIME\BANCO ESTADO\2012 DEPTO ESCRITURAS fata\NOTARIA 2009\CORPBANCA 2006  M CORTES\HIPOTECAS\CIA. MINERA POTRERILLOS LTDA. (DIOMEDES CRUZ).doc</t>
  </si>
  <si>
    <t>C:\Users\franc\OneDrive\Documentos\MALENTIN KARIME\BANCO ESTADO\2012 DEPTO ESCRITURAS fata\NOTARIA 2009\CORPBANCA 2006  M CORTES\HIPOTECAS\CARLOS BUGUEÑO.doc</t>
  </si>
  <si>
    <t>C:\Users\franc\OneDrive\Documentos\MALENTIN KARIME\BANCO ESTADO\2012 DEPTO ESCRITURAS fata\NOTARIA 2009\CORPBANCA 2006  M CORTES\HIPOTECAS\AGRONOBLE (2).doc</t>
  </si>
  <si>
    <t>C:\Users\franc\OneDrive\Documentos\MALENTIN KARIME\BANCO ESTADO\2012 DEPTO ESCRITURAS fata\NOTARIA 2009\CORPBANCA 2006  M CORTES\HIPOTECAS\AGRONOBLE (1).doc</t>
  </si>
  <si>
    <t>C:\Users\franc\OneDrive\Documentos\MALENTIN KARIME\BANCO ESTADO\2012 DEPTO ESCRITURAS fata\NOTARIA 2009\CORPBANCA 2006  M CORTES\HIPOTECAS\AGRICOLA LOS PRIMOS.doc</t>
  </si>
  <si>
    <t>C:\Users\franc\OneDrive\Documentos\MALENTIN KARIME\BANCO ESTADO\2012 DEPTO ESCRITURAS fata\NOTARIA 2009\CORPBANCA 2006  M CORTES\HIPOTECAS\AGRICOLA GONAGRO LIMITADA.doc</t>
  </si>
  <si>
    <t>C:\Users\franc\OneDrive\Documentos\MALENTIN KARIME\BANCO ESTADO\2012 DEPTO ESCRITURAS fata\NOTARIA 2009\CORPBANCA 2006  M CORTES\HIPOTECAS\AGRICOLA CORDILLERA DE RAPEL.doc</t>
  </si>
  <si>
    <t>C:\Users\franc\OneDrive\Documentos\MALENTIN KARIME\BANCO ESTADO\2012 DEPTO ESCRITURAS fata\NOTARIA 2009\CORPBANCA 2006  M CORTES\HIPOTECAS\AGRICOLA  JUAN PABLO LIMITADA 29-10-2007.doc</t>
  </si>
  <si>
    <t>C:\Users\franc\OneDrive\Documentos\MALENTIN KARIME\BANCO ESTADO\2012 DEPTO ESCRITURAS fata\NOTARIA 2009\CORPBANCA 2006  M CORTES\FIANZA\ALZAMIENTO\JUAN OTEIZA.doc</t>
  </si>
  <si>
    <t>C:\Users\franc\OneDrive\Documentos\MALENTIN KARIME\BANCO ESTADO\2012 DEPTO ESCRITURAS fata\NOTARIA 2009\CORPBANCA 2006  M CORTES\FIANZA\ROBERTO VEGA A ALFALFARES.doc</t>
  </si>
  <si>
    <t>C:\Users\franc\OneDrive\Documentos\MALENTIN KARIME\BANCO ESTADO\2012 DEPTO ESCRITURAS fata\NOTARIA 2009\CORPBANCA 2006  M CORTES\FIANZA\LUCIA CORRAL A SOC. OCHOTIERRAS LTDA..doc</t>
  </si>
  <si>
    <t>C:\Users\franc\OneDrive\Documentos\MALENTIN KARIME\BANCO ESTADO\2012 DEPTO ESCRITURAS fata\NOTARIA 2009\CORPBANCA 2006  M CORTES\FIANZA\GALVARINO VIORKLUMDS A INPROCOL.doc</t>
  </si>
  <si>
    <t>C:\Users\franc\OneDrive\Documentos\MALENTIN KARIME\BANCO ESTADO\2012 DEPTO ESCRITURAS fata\NOTARIA 2009\CORPBANCA 2006  M CORTES\FIANZA\EDITH ARAYA A VICTOR HERRERA.doc</t>
  </si>
  <si>
    <t>C:\Users\franc\OneDrive\Documentos\MALENTIN KARIME\BANCO ESTADO\2012 DEPTO ESCRITURAS fata\NOTARIA 2009\CORPBANCA 2006  M CORTES\FIANZA\COOPERATIVA ELECTRICA ELECOOP.doc</t>
  </si>
  <si>
    <t>C:\Users\franc\OneDrive\Documentos\MALENTIN KARIME\BANCO ESTADO\2012 DEPTO ESCRITURAS fata\NOTARIA 2009\CORPBANCA 2006  M CORTES\FIANZA\CANTA RANA - INVERSIONES TALQUILLA.doc</t>
  </si>
  <si>
    <t>C:\Users\franc\OneDrive\Documentos\MALENTIN KARIME\BANCO ESTADO\2012 DEPTO ESCRITURAS fata\NOTARIA 2009\CORPBANCA 2006  M CORTES\FIANZA\AGRICOLA CORDILLERAS 2.doc</t>
  </si>
  <si>
    <t>C:\Users\franc\OneDrive\Documentos\MALENTIN KARIME\BANCO ESTADO\2012 DEPTO ESCRITURAS fata\NOTARIA 2009\CORPBANCA 2006  M CORTES\FIANZA\AGRICOLA CORDILLERAS 1.doc</t>
  </si>
  <si>
    <t>C:\Users\franc\OneDrive\Documentos\MALENTIN KARIME\BANCO ESTADO\2012 DEPTO ESCRITURAS fata\NOTARIA 2009\CORPBANCA 2006  M CORTES\FACTORING\LUIS CARVAJAL.doc</t>
  </si>
  <si>
    <t>C:\Users\franc\OneDrive\Documentos\MALENTIN KARIME\BANCO ESTADO\2012 DEPTO ESCRITURAS fata\NOTARIA 2009\CORPBANCA 2006  M CORTES\CV E HIPOTECA\SOC. CAPRIGEN LTDA..doc</t>
  </si>
  <si>
    <t>C:\Users\franc\OneDrive\Documentos\MALENTIN KARIME\BANCO ESTADO\2012 DEPTO ESCRITURAS fata\NOTARIA 2009\CORPBANCA 2006  M CORTES\CV E HIPOTECA\SOC. ALFALFARES A AGRIC. LAS CASAS.doc</t>
  </si>
  <si>
    <t>C:\Users\franc\OneDrive\Documentos\MALENTIN KARIME\BANCO ESTADO\2012 DEPTO ESCRITURAS fata\NOTARIA 2009\CORPBANCA 2006  M CORTES\CV E HIPOTECA\SOC. AGRIC. CERRILLOS A LAS CASAS.doc</t>
  </si>
  <si>
    <t>C:\Users\franc\OneDrive\Documentos\MALENTIN KARIME\BANCO ESTADO\2012 DEPTO ESCRITURAS fata\NOTARIA 2009\CORPBANCA 2006  M CORTES\CV E HIPOTECA\MARIANO DIAZ A AGRICOLA LLANO NEGRO.doc</t>
  </si>
  <si>
    <t>C:\Users\franc\OneDrive\Documentos\MALENTIN KARIME\BANCO ESTADO\2012 DEPTO ESCRITURAS fata\NOTARIA 2009\CORPBANCA 2006  M CORTES\CV E HIPOTECA\HOJA CORREGIDA.doc</t>
  </si>
  <si>
    <t>C:\Users\franc\OneDrive\Documentos\MALENTIN KARIME\BANCO ESTADO\2012 DEPTO ESCRITURAS fata\NOTARIA 2009\CORPBANCA 2006  M CORTES\CV E HIPOTECA\HECTOR BARRAZA - C. BUGUEÑO.doc</t>
  </si>
  <si>
    <t>C:\Users\franc\OneDrive\Documentos\MALENTIN KARIME\BANCO ESTADO\2012 DEPTO ESCRITURAS fata\NOTARIA 2009\CORPBANCA 2006  M CORTES\CV E HIPOTECA\Doc1.doc</t>
  </si>
  <si>
    <t>C:\Users\franc\OneDrive\Documentos\MALENTIN KARIME\BANCO ESTADO\2012 DEPTO ESCRITURAS fata\NOTARIA 2009\CORPBANCA 2006  M CORTES\CV E HIPOTECA\CORPBANCA A MARIANO DIAZ.doc</t>
  </si>
  <si>
    <t>C:\Users\franc\OneDrive\Documentos\MALENTIN KARIME\BANCO ESTADO\2012 DEPTO ESCRITURAS fata\NOTARIA 2009\CORPBANCA 2006  M CORTES\CV E HIPOTECA\CLAUDIA TELLO A ARTURO ANDRADE.doc</t>
  </si>
  <si>
    <t>C:\Users\franc\OneDrive\Documentos\MALENTIN KARIME\BANCO ESTADO\2012 DEPTO ESCRITURAS fata\NOTARIA 2009\CORPBANCA 2006  M CORTES\CV E HIPOTECA\ARTIGUES A COVALSA - CORPBANCA.doc</t>
  </si>
  <si>
    <t>C:\Users\franc\OneDrive\Documentos\MALENTIN KARIME\BANCO ESTADO\2012 DEPTO ESCRITURAS fata\NOTARIA 2009\CORPBANCA 2006  M CORTES\COMPRAVENTAS\SELIM DABED A CORPBANCA2.doc</t>
  </si>
  <si>
    <t>C:\Users\franc\OneDrive\Documentos\MALENTIN KARIME\BANCO ESTADO\2012 DEPTO ESCRITURAS fata\NOTARIA 2009\CORPBANCA 2006  M CORTES\COMPRAVENTAS\SELIM DABED A CORPBANCA.doc</t>
  </si>
  <si>
    <t>C:\Users\franc\OneDrive\Documentos\MALENTIN KARIME\BANCO ESTADO\2012 DEPTO ESCRITURAS fata\NOTARIA 2009\CORPBANCA 2006  M CORTES\COMPRAVENTAS\JUAN DURRUTY  A JULIO MONTERO.doc</t>
  </si>
  <si>
    <t>C:\Users\franc\OneDrive\Documentos\MALENTIN KARIME\BANCO ESTADO\2012 DEPTO ESCRITURAS fata\NOTARIA 2009\CORPBANCA 2006  M CORTES\COMPRAVENTAS\CARTA INSTRUCCIONES SELIM DABED.doc</t>
  </si>
  <si>
    <t>C:\Users\franc\OneDrive\Documentos\MALENTIN KARIME\BANCO ESTADO\2012 DEPTO ESCRITURAS fata\NOTARIA 2009\CORPBANCA 2006  M CORTES\AUTORIZACION\SOC. AGRICOLA ENTRE RIOS LTDA..doc</t>
  </si>
  <si>
    <t>C:\Users\franc\OneDrive\Documentos\MALENTIN KARIME\BANCO ESTADO\2012 DEPTO ESCRITURAS fata\NOTARIA 2009\CORPBANCA 2006  M CORTES\AUTORIZACION\SOC. AGRICOLA EL MILAGRO DE RAPEL.doc</t>
  </si>
  <si>
    <t>C:\Users\franc\OneDrive\Documentos\MALENTIN KARIME\BANCO ESTADO\2012 DEPTO ESCRITURAS fata\NOTARIA 2009\CORPBANCA 2006  M CORTES\AUTORIZACION\AGRICOLA EL ALGARROBO DE RAPEL.doc</t>
  </si>
  <si>
    <t>C:\Users\franc\OneDrive\Documentos\MALENTIN KARIME\BANCO ESTADO\2012 DEPTO ESCRITURAS fata\NOTARIA 2009\CORPBANCA 2006  M CORTES\AUTORIZACION\AGRICOLA CORDILLERA DE RAPEL.doc</t>
  </si>
  <si>
    <t>C:\Users\franc\OneDrive\Documentos\MALENTIN KARIME\BANCO ESTADO\2012 DEPTO ESCRITURAS fata\NOTARIA 2009\CORPBANCA 2006  M CORTES\AUTORIZACION\AGRICOLA BOU DE RAPEL.doc</t>
  </si>
  <si>
    <t>C:\Users\franc\OneDrive\Documentos\MALENTIN KARIME\BANCO ESTADO\2012 DEPTO ESCRITURAS fata\NOTARIA 2009\CORPBANCA 2006  M CORTES\ARRENDAMIENTOS\TRANSPORTES DABED LTDA. (DEFINITIVA).doc</t>
  </si>
  <si>
    <t>C:\Users\franc\OneDrive\Documentos\MALENTIN KARIME\BANCO ESTADO\2012 DEPTO ESCRITURAS fata\NOTARIA 2009\CORPBANCA 2006  M CORTES\ARRENDAMIENTOS\TRANSPORTES ABRILOT MODIFI.doc</t>
  </si>
  <si>
    <t>C:\Users\franc\OneDrive\Documentos\MALENTIN KARIME\BANCO ESTADO\2012 DEPTO ESCRITURAS fata\NOTARIA 2009\CORPBANCA 2006  M CORTES\ARRENDAMIENTOS\sociedad minera punitaqui scm 9932.doc</t>
  </si>
  <si>
    <t>C:\Users\franc\OneDrive\Documentos\MALENTIN KARIME\BANCO ESTADO\2012 DEPTO ESCRITURAS fata\NOTARIA 2009\CORPBANCA 2006  M CORTES\ARRENDAMIENTOS\SOC. ERIC CONTRERAS.doc</t>
  </si>
  <si>
    <t>C:\Users\franc\OneDrive\Documentos\MALENTIN KARIME\BANCO ESTADO\2012 DEPTO ESCRITURAS fata\NOTARIA 2009\CORPBANCA 2006  M CORTES\ARRENDAMIENTOS\SOC. ERIC CONTRERAS (MARZO 2008).doc</t>
  </si>
  <si>
    <t>C:\Users\franc\OneDrive\Documentos\MALENTIN KARIME\BANCO ESTADO\2012 DEPTO ESCRITURAS fata\NOTARIA 2009\CORPBANCA 2006  M CORTES\ARRENDAMIENTOS\SOC. ERIC CONTRERAS (FEBRERO 2007).doc</t>
  </si>
  <si>
    <t>C:\Users\franc\OneDrive\Documentos\MALENTIN KARIME\BANCO ESTADO\2012 DEPTO ESCRITURAS fata\NOTARIA 2009\CORPBANCA 2006  M CORTES\ARRENDAMIENTOS\SOC. ARKON (CESION).doc</t>
  </si>
  <si>
    <t>C:\Users\franc\OneDrive\Documentos\MALENTIN KARIME\BANCO ESTADO\2012 DEPTO ESCRITURAS fata\NOTARIA 2009\CORPBANCA 2006  M CORTES\ARRENDAMIENTOS\SOC. ANGOSTURA.doc</t>
  </si>
  <si>
    <t>C:\Users\franc\OneDrive\Documentos\MALENTIN KARIME\BANCO ESTADO\2012 DEPTO ESCRITURAS fata\NOTARIA 2009\CORPBANCA 2006  M CORTES\ARRENDAMIENTOS\SOC. AGR. Y FRIGORIFICO SOTAQUI S.A..doc</t>
  </si>
  <si>
    <t>C:\Users\franc\OneDrive\Documentos\MALENTIN KARIME\BANCO ESTADO\2012 DEPTO ESCRITURAS fata\NOTARIA 2009\CORPBANCA 2006  M CORTES\ARRENDAMIENTOS\SERGIO GUERRERO.doc</t>
  </si>
  <si>
    <t>C:\Users\franc\OneDrive\Documentos\MALENTIN KARIME\BANCO ESTADO\2012 DEPTO ESCRITURAS fata\NOTARIA 2009\CORPBANCA 2006  M CORTES\ARRENDAMIENTOS\RICARDO ALLENDE SENTIS.doc</t>
  </si>
  <si>
    <t>C:\Users\franc\OneDrive\Documentos\MALENTIN KARIME\BANCO ESTADO\2012 DEPTO ESCRITURAS fata\NOTARIA 2009\CORPBANCA 2006  M CORTES\ARRENDAMIENTOS\LUISA TORREJON.doc</t>
  </si>
  <si>
    <t>C:\Users\franc\OneDrive\Documentos\MALENTIN KARIME\BANCO ESTADO\2012 DEPTO ESCRITURAS fata\NOTARIA 2009\CORPBANCA 2006  M CORTES\ARRENDAMIENTOS\LUIS MARIN EIRL JUNIO 2009.doc</t>
  </si>
  <si>
    <t>C:\Users\franc\OneDrive\Documentos\MALENTIN KARIME\BANCO ESTADO\2012 DEPTO ESCRITURAS fata\NOTARIA 2009\CORPBANCA 2006  M CORTES\ARRENDAMIENTOS\LUIS MARIN E.I.R.L. 2.000.006.doc</t>
  </si>
  <si>
    <t>C:\Users\franc\OneDrive\Documentos\MALENTIN KARIME\BANCO ESTADO\2012 DEPTO ESCRITURAS fata\NOTARIA 2009\CORPBANCA 2006  M CORTES\ARRENDAMIENTOS\LUIS MARIN 12266.doc</t>
  </si>
  <si>
    <t>C:\Users\franc\OneDrive\Documentos\MALENTIN KARIME\BANCO ESTADO\2012 DEPTO ESCRITURAS fata\NOTARIA 2009\CORPBANCA 2006  M CORTES\ARRENDAMIENTOS\LUIS MARIN 12265.doc</t>
  </si>
  <si>
    <t>C:\Users\franc\OneDrive\Documentos\MALENTIN KARIME\BANCO ESTADO\2012 DEPTO ESCRITURAS fata\NOTARIA 2009\CORPBANCA 2006  M CORTES\ARRENDAMIENTOS\IMPUESTO VEHICULO.doc</t>
  </si>
  <si>
    <t>C:\Users\franc\OneDrive\Documentos\MALENTIN KARIME\BANCO ESTADO\2012 DEPTO ESCRITURAS fata\NOTARIA 2009\CORPBANCA 2006  M CORTES\ARRENDAMIENTOS\HERNAN CONTRERAS.doc</t>
  </si>
  <si>
    <t>C:\Users\franc\OneDrive\Documentos\MALENTIN KARIME\BANCO ESTADO\2012 DEPTO ESCRITURAS fata\NOTARIA 2009\CORPBANCA 2006  M CORTES\ARRENDAMIENTOS\HERNAN CONTRERAS Y CONYUGE.doc</t>
  </si>
  <si>
    <t>C:\Users\franc\OneDrive\Documentos\MALENTIN KARIME\BANCO ESTADO\2012 DEPTO ESCRITURAS fata\NOTARIA 2009\CORPBANCA 2006  M CORTES\ARRENDAMIENTOS\HERMAN TELLO MARIN.doc</t>
  </si>
  <si>
    <t>C:\Users\franc\OneDrive\Documentos\MALENTIN KARIME\BANCO ESTADO\2012 DEPTO ESCRITURAS fata\NOTARIA 2009\CORPBANCA 2006  M CORTES\ARRENDAMIENTOS\HERMAN TELLO FINAL.doc</t>
  </si>
  <si>
    <t>C:\Users\franc\OneDrive\Documentos\MALENTIN KARIME\BANCO ESTADO\2012 DEPTO ESCRITURAS fata\NOTARIA 2009\CORPBANCA 2006  M CORTES\ARRENDAMIENTOS\ENIO ARAYA Y SOC..doc</t>
  </si>
  <si>
    <t>C:\Users\franc\OneDrive\Documentos\MALENTIN KARIME\BANCO ESTADO\2012 DEPTO ESCRITURAS fata\NOTARIA 2009\CORPBANCA 2006  M CORTES\ARRENDAMIENTOS\ENIO ARAYA FINAL.doc</t>
  </si>
  <si>
    <t>C:\Users\franc\OneDrive\Documentos\MALENTIN KARIME\BANCO ESTADO\2012 DEPTO ESCRITURAS fata\NOTARIA 2009\CORPBANCA 2006  M CORTES\ARRENDAMIENTOS\COMERCIAL IFMAN FOTO.doc</t>
  </si>
  <si>
    <t>C:\Users\franc\OneDrive\Documentos\MALENTIN KARIME\BANCO ESTADO\2012 DEPTO ESCRITURAS fata\NOTARIA 2009\CORPBANCA 2006  M CORTES\ARRENDAMIENTOS\COMERCIAL ARTIGUES MARZO 2008.doc</t>
  </si>
  <si>
    <t>C:\Users\franc\OneDrive\Documentos\MALENTIN KARIME\BANCO ESTADO\2012 DEPTO ESCRITURAS fata\NOTARIA 2009\CORPBANCA 2006  M CORTES\ARRENDAMIENTOS\COMERCIAL ARTIGUES (NOV. 2007).doc</t>
  </si>
  <si>
    <t>C:\Users\franc\OneDrive\Documentos\MALENTIN KARIME\BANCO ESTADO\2012 DEPTO ESCRITURAS fata\NOTARIA 2009\CORPBANCA 2006  M CORTES\ARRENDAMIENTOS\CARLOS LEON PERINES.doc</t>
  </si>
  <si>
    <t>C:\Users\franc\OneDrive\Documentos\MALENTIN KARIME\BANCO ESTADO\2012 DEPTO ESCRITURAS fata\NOTARIA 2009\CORPBANCA 2006  M CORTES\ARRENDAMIENTOS\CANTA RANA.doc</t>
  </si>
  <si>
    <t>C:\Users\franc\OneDrive\Documentos\MALENTIN KARIME\BANCO ESTADO\2012 DEPTO ESCRITURAS fata\NOTARIA 2009\CORPBANCA 2006  M CORTES\ARRENDAMIENTOS\ALICIA CUEVAS.doc</t>
  </si>
  <si>
    <t>C:\Users\franc\OneDrive\Documentos\MALENTIN KARIME\BANCO ESTADO\2012 DEPTO ESCRITURAS fata\NOTARIA 2009\CORPBANCA 2006  M CORTES\ARRENDAMIENTOS\AGRONOBLE S.A. CTTO. 10158.doc</t>
  </si>
  <si>
    <t>C:\Users\franc\OneDrive\Documentos\MALENTIN KARIME\BANCO ESTADO\2012 DEPTO ESCRITURAS fata\NOTARIA 2009\CORPBANCA 2006  M CORTES\ARRENDAMIENTOS\AGRONOBLE S.A. CTT. 10.157.doc</t>
  </si>
  <si>
    <t>C:\Users\franc\OneDrive\Documentos\MALENTIN KARIME\BANCO ESTADO\2012 DEPTO ESCRITURAS fata\NOTARIA 2009\CORPBANCA 2006  M CORTES\ARRENDAMIENTOS\AGRONOBLE DICIEMBRE 2008.doc</t>
  </si>
  <si>
    <t>C:\Users\franc\OneDrive\Documentos\MALENTIN KARIME\BANCO ESTADO\2012 DEPTO ESCRITURAS fata\NOTARIA 2009\CORPBANCA 2006  M CORTES\ARRENDAMIENTOS\AGROINDUSTRIAL SOTAQUI S.A (MARZO 2008).doc</t>
  </si>
  <si>
    <t>C:\Users\franc\OneDrive\Documentos\MALENTIN KARIME\BANCO ESTADO\2012 DEPTO ESCRITURAS fata\NOTARIA 2009\CORPBANCA 2006  M CORTES\ARRENDAMIENTOS\AGRICOLA CANTA RANA (OCTUBRE 2009).doc</t>
  </si>
  <si>
    <t>C:\Users\franc\OneDrive\Documentos\MALENTIN KARIME\BANCO ESTADO\2012 DEPTO ESCRITURAS fata\NOTARIA 2009\CORPBANCA 2006  M CORTES\ARRENDAMIENTOS\9682 Soc Constra Arkon.doc</t>
  </si>
  <si>
    <t>C:\Users\franc\OneDrive\Documentos\MALENTIN KARIME\BANCO ESTADO\2012 DEPTO ESCRITURAS fata\NOTARIA 2009\CORPBANCA 2006  M CORTES\ARRENDAMIENTOS\9682 Soc Constra Arkon FINAL.doc</t>
  </si>
  <si>
    <t>C:\Users\franc\OneDrive\Documentos\MALENTIN KARIME\BANCO ESTADO\2012 DEPTO ESCRITURAS fata\NOTARIA 2009\CORPBANCA 2006  M CORTES\ARRENDAMIENTOS\9610 ACTA Soc Eric Contreras.doc</t>
  </si>
  <si>
    <t>C:\Users\franc\OneDrive\Documentos\MALENTIN KARIME\BANCO ESTADO\2012 DEPTO ESCRITURAS fata\NOTARIA 2009\CORPBANCA 2006  M CORTES\ARRENDAMIENTOS\9307 Selim Dabed publica GOR.doc</t>
  </si>
  <si>
    <t>C:\Users\franc\OneDrive\Documentos\MALENTIN KARIME\BANCO ESTADO\2012 DEPTO ESCRITURAS fata\NOTARIA 2009\CORPBANCA 2006  M CORTES\ALZAMIENTOS\WILSON PIZARRO.doc</t>
  </si>
  <si>
    <t>C:\Users\franc\OneDrive\Documentos\MALENTIN KARIME\BANCO ESTADO\2012 DEPTO ESCRITURAS fata\NOTARIA 2009\CORPBANCA 2006  M CORTES\ALZAMIENTOS\SEGUNDO TAPIA.doc</t>
  </si>
  <si>
    <t>C:\Users\franc\OneDrive\Documentos\MALENTIN KARIME\BANCO ESTADO\2012 DEPTO ESCRITURAS fata\NOTARIA 2009\CORPBANCA 2006  M CORTES\ALZAMIENTOS\RICARDO ALLENDE SENTIS.doc</t>
  </si>
  <si>
    <t>C:\Users\franc\OneDrive\Documentos\MALENTIN KARIME\BANCO ESTADO\2012 DEPTO ESCRITURAS fata\NOTARIA 2009\CORPBANCA 2006  M CORTES\ALZAMIENTOS\PAULA CORRRAL.doc</t>
  </si>
  <si>
    <t>C:\Users\franc\OneDrive\Documentos\MALENTIN KARIME\BANCO ESTADO\2012 DEPTO ESCRITURAS fata\NOTARIA 2009\CORPBANCA 2006  M CORTES\ALZAMIENTOS\NORA ALFONSO PERALTA.doc</t>
  </si>
  <si>
    <t>C:\Users\franc\OneDrive\Documentos\MALENTIN KARIME\BANCO ESTADO\2012 DEPTO ESCRITURAS fata\NOTARIA 2009\CORPBANCA 2006  M CORTES\ALZAMIENTOS\MARIO BARRIOS.doc</t>
  </si>
  <si>
    <t>C:\Users\franc\OneDrive\Documentos\MALENTIN KARIME\BANCO ESTADO\2012 DEPTO ESCRITURAS fata\NOTARIA 2009\CORPBANCA 2006  M CORTES\ALZAMIENTOS\MARIA CASANOVA PINTO.doc</t>
  </si>
  <si>
    <t>C:\Users\franc\OneDrive\Documentos\MALENTIN KARIME\BANCO ESTADO\2012 DEPTO ESCRITURAS fata\NOTARIA 2009\CORPBANCA 2006  M CORTES\ALZAMIENTOS\LUIS MORGADO ILLANES.doc</t>
  </si>
  <si>
    <t>C:\Users\franc\OneDrive\Documentos\MALENTIN KARIME\BANCO ESTADO\2012 DEPTO ESCRITURAS fata\NOTARIA 2009\CORPBANCA 2006  M CORTES\ALZAMIENTOS\JOSE OSSA HUENOLAF.doc</t>
  </si>
  <si>
    <t>C:\Users\franc\OneDrive\Documentos\MALENTIN KARIME\BANCO ESTADO\2012 DEPTO ESCRITURAS fata\NOTARIA 2009\CORPBANCA 2006  M CORTES\ALZAMIENTOS\JOHANNA SEGOVIA PIZARRO.doc</t>
  </si>
  <si>
    <t>C:\Users\franc\OneDrive\Documentos\MALENTIN KARIME\BANCO ESTADO\2012 DEPTO ESCRITURAS fata\NOTARIA 2009\CORPBANCA 2006  M CORTES\ALZAMIENTOS\JOHANNA BORDONES CARVAJAL.doc</t>
  </si>
  <si>
    <t>C:\Users\franc\OneDrive\Documentos\MALENTIN KARIME\BANCO ESTADO\2012 DEPTO ESCRITURAS fata\NOTARIA 2009\CORPBANCA 2006  M CORTES\ALZAMIENTOS\HUGO MARTINEZ GALVEZ.doc</t>
  </si>
  <si>
    <t>C:\Users\franc\OneDrive\Documentos\MALENTIN KARIME\BANCO ESTADO\2012 DEPTO ESCRITURAS fata\NOTARIA 2009\CORPBANCA 2006  M CORTES\ALZAMIENTOS\HECTOR HENOTT (CALLEGARI).doc</t>
  </si>
  <si>
    <t>C:\Users\franc\OneDrive\Documentos\MALENTIN KARIME\BANCO ESTADO\2012 DEPTO ESCRITURAS fata\NOTARIA 2009\CORPBANCA 2006  M CORTES\ALZAMIENTOS\GUTIERREZ HNOS. 2.doc</t>
  </si>
  <si>
    <t>C:\Users\franc\OneDrive\Documentos\MALENTIN KARIME\BANCO ESTADO\2012 DEPTO ESCRITURAS fata\NOTARIA 2009\CORPBANCA 2006  M CORTES\ALZAMIENTOS\GUTIERREZ HNOS. 1.doc</t>
  </si>
  <si>
    <t>C:\Users\franc\OneDrive\Documentos\MALENTIN KARIME\BANCO ESTADO\2012 DEPTO ESCRITURAS fata\NOTARIA 2009\CORPBANCA 2006  M CORTES\ALZAMIENTOS\GALVARINO VIORKLUMDS.doc</t>
  </si>
  <si>
    <t>C:\Users\franc\OneDrive\Documentos\MALENTIN KARIME\BANCO ESTADO\2012 DEPTO ESCRITURAS fata\NOTARIA 2009\CORPBANCA 2006  M CORTES\ALZAMIENTOS\ELIANA CARVAJAL.doc</t>
  </si>
  <si>
    <t>C:\Users\franc\OneDrive\Documentos\MALENTIN KARIME\BANCO ESTADO\2012 DEPTO ESCRITURAS fata\NOTARIA 2009\CORPBANCA 2006  M CORTES\ALZAMIENTOS\CONSTRUCTORA RIO LIMARI.doc</t>
  </si>
  <si>
    <t>C:\Users\franc\OneDrive\Documentos\MALENTIN KARIME\BANCO ESTADO\2012 DEPTO ESCRITURAS fata\NOTARIA 2009\CORPBANCA 2006  M CORTES\ALZAMIENTOS\BANIA OLIVARES (LIBERACION).doc</t>
  </si>
  <si>
    <t>C:\Users\franc\OneDrive\Documentos\MALENTIN KARIME\BANCO ESTADO\2012 DEPTO ESCRITURAS fata\NOTARIA 2009\CORPBANCA 2006  M CORTES\ALZAMIENTOS\ALFONSO ARTIGUES Y OTRO.doc</t>
  </si>
  <si>
    <t>C:\Users\franc\OneDrive\Documentos\MALENTIN KARIME\BANCO ESTADO\2012 DEPTO ESCRITURAS fata\NOTARIA 2009\CORPBANCA 2006  M CORTES\ACLARACION\SOCIEDAD AGRICOLA CAMPANARIO.doc</t>
  </si>
  <si>
    <t>C:\Users\franc\OneDrive\Documentos\MALENTIN KARIME\BANCO ESTADO\2012 DEPTO ESCRITURAS fata\NOTARIA 2009\CORPBANCA 2006  M CORTES\ACLARACION\PAULA Y CONSUELO.doc</t>
  </si>
  <si>
    <t>C:\Users\franc\OneDrive\Documentos\MALENTIN KARIME\BANCO ESTADO\2012 DEPTO ESCRITURAS fata\NOTARIA 2009\CORPBANCA 2006  M CORTES\ACLARACION\JESSICA MILLAN.doc</t>
  </si>
  <si>
    <t>C:\Users\franc\OneDrive\Documentos\MALENTIN KARIME\BANCO ESTADO\2012 DEPTO ESCRITURAS fata\NOTARIA 2009\CORPBANCA 2006  M CORTES\ACLARACION\INES VARAS.doc</t>
  </si>
  <si>
    <t>C:\Users\franc\OneDrive\Documentos\MALENTIN KARIME\BANCO ESTADO\2012 DEPTO ESCRITURAS fata\NOTARIA 2009\CORPBANCA 2006  M CORTES\SOBRE.doc</t>
  </si>
  <si>
    <t>C:\Users\franc\OneDrive\Documentos\MALENTIN KARIME\BANCO ESTADO\2012 DEPTO ESCRITURAS fata\NOTARIA 2009\CORPBANCA 2006  M CORTES\RENE MUÑOZ (ENDOSABLE).doc</t>
  </si>
  <si>
    <t>C:\Users\franc\OneDrive\Documentos\MALENTIN KARIME\BANCO ESTADO\2012 DEPTO ESCRITURAS fata\NOTARIA 2009\CORPBANCA 2006  M CORTES\MODELO NOTARIO.doc</t>
  </si>
  <si>
    <t>C:\Users\franc\OneDrive\Documentos\MALENTIN KARIME\BANCO ESTADO\2012 DEPTO ESCRITURAS fata\NOTARIA 2009\CORPBANCA 2006  M CORTES\MANDATO JAIMEN PROHENS.doc</t>
  </si>
  <si>
    <t>C:\Users\franc\OneDrive\Documentos\MALENTIN KARIME\BANCO ESTADO\2012 DEPTO ESCRITURAS fata\NOTARIA 2009\CORPBANCA 2006  M CORTES\fianza edith araya a victor herrea.doc</t>
  </si>
  <si>
    <t>C:\Users\franc\OneDrive\Documentos\MALENTIN KARIME\BANCO ESTADO\2012 DEPTO ESCRITURAS fata\NOTARIA 2009\CORPBANCA 2006  M CORTES\CV E HIPOTECA ESMERALDO VALDIVIA VALDIVIA.doc</t>
  </si>
  <si>
    <t>C:\Users\franc\OneDrive\Documentos\MALENTIN KARIME\BANCO ESTADO\2012 DEPTO ESCRITURAS fata\NOTARIA 2009\CORPBANCA 2006  M CORTES\CV E HIPOTECA ESMERALDO VALDIVIA VALDIVIA AGUAS.doc</t>
  </si>
  <si>
    <t>C:\Users\franc\OneDrive\Documentos\MALENTIN KARIME\BANCO ESTADO\2012 DEPTO ESCRITURAS fata\NOTARIA 2009\CORPBANCA 2006  M CORTES\CARTA STGO.doc</t>
  </si>
  <si>
    <t>C:\Users\franc\OneDrive\Documentos\MALENTIN KARIME\BANCO ESTADO\2012 DEPTO ESCRITURAS fata\NOTARIA 2009\CORPBANCA 2006  M CORTES\CARTA BANCO DOS.doc</t>
  </si>
  <si>
    <t>C:\Users\franc\OneDrive\Documentos\MALENTIN KARIME\BANCO ESTADO\2012 DEPTO ESCRITURAS fata\NOTARIA 2009\CORPBANCA 2006  M CORTES\carta banc.doc</t>
  </si>
  <si>
    <t>C:\Users\franc\OneDrive\Documentos\MALENTIN KARIME\BANCO ESTADO\2012 DEPTO ESCRITURAS fata\NOTARIA 2009\CORPBANCA 2006  M CORTES\Berta_Diaz_Astroquiza___7_C_V_letras_viv_y_complementario[1].doc</t>
  </si>
  <si>
    <t>C:\Users\franc\OneDrive\Documentos\MALENTIN KARIME\BANCO ESTADO\2012 DEPTO ESCRITURAS fata\NOTARIA 2009\CORPBANCA 2006  M CORTES\AGREGA HOJA (CLAUSULA).doc</t>
  </si>
  <si>
    <t>C:\Users\franc\OneDrive\Documentos\MALENTIN KARIME\BANCO ESTADO\2012 DEPTO ESCRITURAS fata\NOTARIA 2009\COPEVAL\JUAN MARAMBIO EXTRACTO.doc</t>
  </si>
  <si>
    <t>C:\Users\franc\OneDrive\Documentos\MALENTIN KARIME\BANCO ESTADO\2012 DEPTO ESCRITURAS fata\NOTARIA 2009\COPEVAL\JUAN MARAMBIO ANDUEZA - PRENDA SIN DESPLAZAMIENTO.doc</t>
  </si>
  <si>
    <t>C:\Users\franc\OneDrive\Documentos\MALENTIN KARIME\BANCO ESTADO\2012 DEPTO ESCRITURAS fata\NOTARIA 2009\CONSTRUCTORA RIO LIMARI\LAS ACACIAS  CONST  RIO LIMARI  DIC 2004.doc</t>
  </si>
  <si>
    <t>C:\Users\franc\OneDrive\Documentos\MALENTIN KARIME\BANCO ESTADO\2012 DEPTO ESCRITURAS fata\NOTARIA 2009\COMUNIDAD PUNITAQUI\PROMESA DE ARRENDAMIENTO.doc</t>
  </si>
  <si>
    <t>C:\Users\franc\OneDrive\Documentos\MALENTIN KARIME\BANCO ESTADO\2012 DEPTO ESCRITURAS fata\NOTARIA 2009\COMUNIDAD PUNITAQUI\MODELO.doc</t>
  </si>
  <si>
    <t>C:\Users\franc\OneDrive\Documentos\MALENTIN KARIME\BANCO ESTADO\2012 DEPTO ESCRITURAS fata\NOTARIA 2009\COMUNIDAD PUNITAQUI\COMUNIDAD PUNITAQUI A I. MUNICIPALIDA PUNITAQUI.doc</t>
  </si>
  <si>
    <t>C:\Users\franc\OneDrive\Documentos\MALENTIN KARIME\BANCO ESTADO\2012 DEPTO ESCRITURAS fata\NOTARIA 2009\COMUNIDAD PUNITAQUI\COM. AGRICOLA PUNITAQUI A JAIME CONTRERAS (ARRENDAMIENTO).doc</t>
  </si>
  <si>
    <t>C:\Users\franc\OneDrive\Documentos\MALENTIN KARIME\BANCO ESTADO\2012 DEPTO ESCRITURAS fata\NOTARIA 2009\COMUNIDAD PUNITAQUI\Carta Comunidad Punitaqui.doc</t>
  </si>
  <si>
    <t>C:\Users\franc\OneDrive\Documentos\MALENTIN KARIME\BANCO ESTADO\2012 DEPTO ESCRITURAS fata\NOTARIA 2009\COMPRAVENTAS INMUEBLES\SUBDIVISION Y COMPRAVENTA\12\9.doc</t>
  </si>
  <si>
    <t>C:\Users\franc\OneDrive\Documentos\MALENTIN KARIME\BANCO ESTADO\2012 DEPTO ESCRITURAS fata\NOTARIA 2009\COMPRAVENTAS INMUEBLES\SUBDIVISION Y COMPRAVENTA\12\8.doc</t>
  </si>
  <si>
    <t>C:\Users\franc\OneDrive\Documentos\MALENTIN KARIME\BANCO ESTADO\2012 DEPTO ESCRITURAS fata\NOTARIA 2009\COMPRAVENTAS INMUEBLES\SUBDIVISION Y COMPRAVENTA\12\7.doc</t>
  </si>
  <si>
    <t>C:\Users\franc\OneDrive\Documentos\MALENTIN KARIME\BANCO ESTADO\2012 DEPTO ESCRITURAS fata\NOTARIA 2009\COMPRAVENTAS INMUEBLES\SUBDIVISION Y COMPRAVENTA\12\6.doc</t>
  </si>
  <si>
    <t>C:\Users\franc\OneDrive\Documentos\MALENTIN KARIME\BANCO ESTADO\2012 DEPTO ESCRITURAS fata\NOTARIA 2009\COMPRAVENTAS INMUEBLES\SUBDIVISION Y COMPRAVENTA\12\5.doc</t>
  </si>
  <si>
    <t>C:\Users\franc\OneDrive\Documentos\MALENTIN KARIME\BANCO ESTADO\2012 DEPTO ESCRITURAS fata\NOTARIA 2009\COMPRAVENTAS INMUEBLES\SUBDIVISION Y COMPRAVENTA\12\4.doc</t>
  </si>
  <si>
    <t>C:\Users\franc\OneDrive\Documentos\MALENTIN KARIME\BANCO ESTADO\2012 DEPTO ESCRITURAS fata\NOTARIA 2009\COMPRAVENTAS INMUEBLES\SUBDIVISION Y COMPRAVENTA\12\3.doc</t>
  </si>
  <si>
    <t>C:\Users\franc\OneDrive\Documentos\MALENTIN KARIME\BANCO ESTADO\2012 DEPTO ESCRITURAS fata\NOTARIA 2009\COMPRAVENTAS INMUEBLES\SUBDIVISION Y COMPRAVENTA\12\2.doc</t>
  </si>
  <si>
    <t>C:\Users\franc\OneDrive\Documentos\MALENTIN KARIME\BANCO ESTADO\2012 DEPTO ESCRITURAS fata\NOTARIA 2009\COMPRAVENTAS INMUEBLES\SUBDIVISION Y COMPRAVENTA\12\13.doc</t>
  </si>
  <si>
    <t>C:\Users\franc\OneDrive\Documentos\MALENTIN KARIME\BANCO ESTADO\2012 DEPTO ESCRITURAS fata\NOTARIA 2009\COMPRAVENTAS INMUEBLES\SUBDIVISION Y COMPRAVENTA\12\12.doc</t>
  </si>
  <si>
    <t>C:\Users\franc\OneDrive\Documentos\MALENTIN KARIME\BANCO ESTADO\2012 DEPTO ESCRITURAS fata\NOTARIA 2009\COMPRAVENTAS INMUEBLES\SUBDIVISION Y COMPRAVENTA\12\11.doc</t>
  </si>
  <si>
    <t>C:\Users\franc\OneDrive\Documentos\MALENTIN KARIME\BANCO ESTADO\2012 DEPTO ESCRITURAS fata\NOTARIA 2009\COMPRAVENTAS INMUEBLES\SUBDIVISION Y COMPRAVENTA\12\10.doc</t>
  </si>
  <si>
    <t>C:\Users\franc\OneDrive\Documentos\MALENTIN KARIME\BANCO ESTADO\2012 DEPTO ESCRITURAS fata\NOTARIA 2009\COMPRAVENTAS INMUEBLES\SUBDIVISION Y COMPRAVENTA\12\1.doc</t>
  </si>
  <si>
    <t>C:\Users\franc\OneDrive\Documentos\MALENTIN KARIME\BANCO ESTADO\2012 DEPTO ESCRITURAS fata\NOTARIA 2009\COMPRAVENTAS INMUEBLES\SUBDIVISION Y COMPRAVENTA\VERONICA MELLA.doc</t>
  </si>
  <si>
    <t>C:\Users\franc\OneDrive\Documentos\MALENTIN KARIME\BANCO ESTADO\2012 DEPTO ESCRITURAS fata\NOTARIA 2009\COMPRAVENTAS INMUEBLES\SUBDIVISION Y COMPRAVENTA\VALLE TUQUI A JOSE ZEPEDA CARMONA.doc</t>
  </si>
  <si>
    <t>C:\Users\franc\OneDrive\Documentos\MALENTIN KARIME\BANCO ESTADO\2012 DEPTO ESCRITURAS fata\NOTARIA 2009\COMPRAVENTAS INMUEBLES\SUBDIVISION Y COMPRAVENTA\VALLE TUQUI A EUGENIA GALLARDO.doc</t>
  </si>
  <si>
    <t>C:\Users\franc\OneDrive\Documentos\MALENTIN KARIME\BANCO ESTADO\2012 DEPTO ESCRITURAS fata\NOTARIA 2009\COMPRAVENTAS INMUEBLES\SUBDIVISION Y COMPRAVENTA\SUCESION PIZARRO ARAYA A NELSON PIZARRO.doc</t>
  </si>
  <si>
    <t>C:\Users\franc\OneDrive\Documentos\MALENTIN KARIME\BANCO ESTADO\2012 DEPTO ESCRITURAS fata\NOTARIA 2009\COMPRAVENTAS INMUEBLES\SUBDIVISION Y COMPRAVENTA\SUCESION PIZARRO ARAYA A JORGEÇ.doc</t>
  </si>
  <si>
    <t>C:\Users\franc\OneDrive\Documentos\MALENTIN KARIME\BANCO ESTADO\2012 DEPTO ESCRITURAS fata\NOTARIA 2009\COMPRAVENTAS INMUEBLES\SUBDIVISION Y COMPRAVENTA\SUCESION PIZARRO ARAYA A ADELINA.doc</t>
  </si>
  <si>
    <t>C:\Users\franc\OneDrive\Documentos\MALENTIN KARIME\BANCO ESTADO\2012 DEPTO ESCRITURAS fata\NOTARIA 2009\COMPRAVENTAS INMUEBLES\SUBDIVISION Y COMPRAVENTA\SUC. SANTANDER A ........doc</t>
  </si>
  <si>
    <t>C:\Users\franc\OneDrive\Documentos\MALENTIN KARIME\BANCO ESTADO\2012 DEPTO ESCRITURAS fata\NOTARIA 2009\COMPRAVENTAS INMUEBLES\SUBDIVISION Y COMPRAVENTA\SUC. PIZARRO  A SUS HIJOS.doc</t>
  </si>
  <si>
    <t>C:\Users\franc\OneDrive\Documentos\MALENTIN KARIME\BANCO ESTADO\2012 DEPTO ESCRITURAS fata\NOTARIA 2009\COMPRAVENTAS INMUEBLES\SUBDIVISION Y COMPRAVENTA\PEDRO RIVERA A LANDER RIVERA.doc</t>
  </si>
  <si>
    <t>C:\Users\franc\OneDrive\Documentos\MALENTIN KARIME\BANCO ESTADO\2012 DEPTO ESCRITURAS fata\NOTARIA 2009\COMPRAVENTAS INMUEBLES\SUBDIVISION Y COMPRAVENTA\PEDRO MERY A COMITE AGUA POTABLE LAS BREAS.doc</t>
  </si>
  <si>
    <t>C:\Users\franc\OneDrive\Documentos\MALENTIN KARIME\BANCO ESTADO\2012 DEPTO ESCRITURAS fata\NOTARIA 2009\COMPRAVENTAS INMUEBLES\SUBDIVISION Y COMPRAVENTA\MODELO.doc</t>
  </si>
  <si>
    <t>C:\Users\franc\OneDrive\Documentos\MALENTIN KARIME\BANCO ESTADO\2012 DEPTO ESCRITURAS fata\NOTARIA 2009\COMPRAVENTAS INMUEBLES\SUBDIVISION Y COMPRAVENTA\MODELO SUBDIVISION.doc</t>
  </si>
  <si>
    <t>C:\Users\franc\OneDrive\Documentos\MALENTIN KARIME\BANCO ESTADO\2012 DEPTO ESCRITURAS fata\NOTARIA 2009\COMPRAVENTAS INMUEBLES\SUBDIVISION Y COMPRAVENTA\MODELO LEY 19807.doc</t>
  </si>
  <si>
    <t>C:\Users\franc\OneDrive\Documentos\MALENTIN KARIME\BANCO ESTADO\2012 DEPTO ESCRITURAS fata\NOTARIA 2009\COMPRAVENTAS INMUEBLES\SUBDIVISION Y COMPRAVENTA\MANUEL SAN FRANCISCO A MAILIN SAN FRANCISCO.doc</t>
  </si>
  <si>
    <t>C:\Users\franc\OneDrive\Documentos\MALENTIN KARIME\BANCO ESTADO\2012 DEPTO ESCRITURAS fata\NOTARIA 2009\COMPRAVENTAS INMUEBLES\SUBDIVISION Y COMPRAVENTA\MANUEL SAN FRANCISCO A GLORIA CASTILLO.doc</t>
  </si>
  <si>
    <t>C:\Users\franc\OneDrive\Documentos\MALENTIN KARIME\BANCO ESTADO\2012 DEPTO ESCRITURAS fata\NOTARIA 2009\COMPRAVENTAS INMUEBLES\SUBDIVISION Y COMPRAVENTA\MANUEL GARCIA A BERMECIDES ROJAS.doc</t>
  </si>
  <si>
    <t>C:\Users\franc\OneDrive\Documentos\MALENTIN KARIME\BANCO ESTADO\2012 DEPTO ESCRITURAS fata\NOTARIA 2009\COMPRAVENTAS INMUEBLES\SUBDIVISION Y COMPRAVENTA\HERMOGENES VENEGAS A ESTEPHANIE BANDA (LEY 17 ...doc</t>
  </si>
  <si>
    <t>C:\Users\franc\OneDrive\Documentos\MALENTIN KARIME\BANCO ESTADO\2012 DEPTO ESCRITURAS fata\NOTARIA 2009\COMPRAVENTAS INMUEBLES\SUBDIVISION Y COMPRAVENTA\ELEMBER GONZALEZ A JUAN GARCIA (LOTE C).doc</t>
  </si>
  <si>
    <t>C:\Users\franc\OneDrive\Documentos\MALENTIN KARIME\BANCO ESTADO\2012 DEPTO ESCRITURAS fata\NOTARIA 2009\COMPRAVENTAS INMUEBLES\SUBDIVISION Y COMPRAVENTA\ELEMBER GONZALEZ A EGIDIO ARAYA (LOTE 47 -A).doc</t>
  </si>
  <si>
    <t>C:\Users\franc\OneDrive\Documentos\MALENTIN KARIME\BANCO ESTADO\2012 DEPTO ESCRITURAS fata\NOTARIA 2009\COMPRAVENTAS INMUEBLES\SUBDIVISION Y COMPRAVENTA\ELDA ORTIZ A WILSON GONZALEZ AVILA.doc</t>
  </si>
  <si>
    <t>C:\Users\franc\OneDrive\Documentos\MALENTIN KARIME\BANCO ESTADO\2012 DEPTO ESCRITURAS fata\NOTARIA 2009\COMPRAVENTAS INMUEBLES\SUBDIVISION Y COMPRAVENTA\ELDA ORTIZ A WILSON GONZALEZ (PROMESA).doc</t>
  </si>
  <si>
    <t>C:\Users\franc\OneDrive\Documentos\MALENTIN KARIME\BANCO ESTADO\2012 DEPTO ESCRITURAS fata\NOTARIA 2009\COMPRAVENTAS INMUEBLES\SUBDIVISION Y COMPRAVENTA\ELDA ORTIZ A WENDY ARAYA GUERRERO.- DIC. 2009.doc</t>
  </si>
  <si>
    <t>C:\Users\franc\OneDrive\Documentos\MALENTIN KARIME\BANCO ESTADO\2012 DEPTO ESCRITURAS fata\NOTARIA 2009\COMPRAVENTAS INMUEBLES\SUBDIVISION Y COMPRAVENTA\ELDA ORTIZ A SILVIA CORTES.- NOV. 2009.doc</t>
  </si>
  <si>
    <t>C:\Users\franc\OneDrive\Documentos\MALENTIN KARIME\BANCO ESTADO\2012 DEPTO ESCRITURAS fata\NOTARIA 2009\COMPRAVENTAS INMUEBLES\SUBDIVISION Y COMPRAVENTA\ELDA ORTIZ A ROSA ARAYA VELASQUEZ Y SUS HIJAS.doc</t>
  </si>
  <si>
    <t>C:\Users\franc\OneDrive\Documentos\MALENTIN KARIME\BANCO ESTADO\2012 DEPTO ESCRITURAS fata\NOTARIA 2009\COMPRAVENTAS INMUEBLES\SUBDIVISION Y COMPRAVENTA\ELDA ORTIZ A RAMON AVILES OCT 2009.doc</t>
  </si>
  <si>
    <t>C:\Users\franc\OneDrive\Documentos\MALENTIN KARIME\BANCO ESTADO\2012 DEPTO ESCRITURAS fata\NOTARIA 2009\COMPRAVENTAS INMUEBLES\SUBDIVISION Y COMPRAVENTA\ELDA ORTIZ A PATRICIO OLIVARES.doc</t>
  </si>
  <si>
    <t>C:\Users\franc\OneDrive\Documentos\MALENTIN KARIME\BANCO ESTADO\2012 DEPTO ESCRITURAS fata\NOTARIA 2009\COMPRAVENTAS INMUEBLES\SUBDIVISION Y COMPRAVENTA\ELDA ORTIZ A MAURICIO PEREZ ESCOBAR.doc</t>
  </si>
  <si>
    <t>C:\Users\franc\OneDrive\Documentos\MALENTIN KARIME\BANCO ESTADO\2012 DEPTO ESCRITURAS fata\NOTARIA 2009\COMPRAVENTAS INMUEBLES\SUBDIVISION Y COMPRAVENTA\ELDA ORTIZ A MAURICIO PEREZ ESCOBAR (PROMESA).doc</t>
  </si>
  <si>
    <t>C:\Users\franc\OneDrive\Documentos\MALENTIN KARIME\BANCO ESTADO\2012 DEPTO ESCRITURAS fata\NOTARIA 2009\COMPRAVENTAS INMUEBLES\SUBDIVISION Y COMPRAVENTA\ELDA ORTIZ A JUAN CARLOS RAMOS.doc</t>
  </si>
  <si>
    <t>C:\Users\franc\OneDrive\Documentos\MALENTIN KARIME\BANCO ESTADO\2012 DEPTO ESCRITURAS fata\NOTARIA 2009\COMPRAVENTAS INMUEBLES\SUBDIVISION Y COMPRAVENTA\ELDA ORTIZ A INVERSIONES TRANSMAQUI LTDA.-.doc</t>
  </si>
  <si>
    <t>C:\Users\franc\OneDrive\Documentos\MALENTIN KARIME\BANCO ESTADO\2012 DEPTO ESCRITURAS fata\NOTARIA 2009\COMPRAVENTAS INMUEBLES\SUBDIVISION Y COMPRAVENTA\ELDA ORTIZ A INGRID PASTEN OCT 2009.doc</t>
  </si>
  <si>
    <t>C:\Users\franc\OneDrive\Documentos\MALENTIN KARIME\BANCO ESTADO\2012 DEPTO ESCRITURAS fata\NOTARIA 2009\COMPRAVENTAS INMUEBLES\SUBDIVISION Y COMPRAVENTA\ELDA ORTIZ A CONSTRUCCION RENOVACION.doc</t>
  </si>
  <si>
    <t>C:\Users\franc\OneDrive\Documentos\MALENTIN KARIME\BANCO ESTADO\2012 DEPTO ESCRITURAS fata\NOTARIA 2009\COMPRAVENTAS INMUEBLES\SUBDIVISION Y COMPRAVENTA\ELDA ORTIZ A CONSTRUCCION RENOVACION.- DIC. 2009.doc</t>
  </si>
  <si>
    <t>C:\Users\franc\OneDrive\Documentos\MALENTIN KARIME\BANCO ESTADO\2012 DEPTO ESCRITURAS fata\NOTARIA 2009\COMPRAVENTAS INMUEBLES\SUBDIVISION Y COMPRAVENTA\ELDA ORTIZ A CONST. VIVIENDA Y RENOVAC (PROMESA).doc</t>
  </si>
  <si>
    <t>C:\Users\franc\OneDrive\Documentos\MALENTIN KARIME\BANCO ESTADO\2012 DEPTO ESCRITURAS fata\NOTARIA 2009\COMPRAVENTAS INMUEBLES\SUBDIVISION Y COMPRAVENTA\ELDA ORTIZ A CHRISTIAN ORTIZ.doc</t>
  </si>
  <si>
    <t>C:\Users\franc\OneDrive\Documentos\MALENTIN KARIME\BANCO ESTADO\2012 DEPTO ESCRITURAS fata\NOTARIA 2009\COMPRAVENTAS INMUEBLES\SUBDIVISION Y COMPRAVENTA\ELDA ORTIZ A ALBERTO OGALDE.doc</t>
  </si>
  <si>
    <t>C:\Users\franc\OneDrive\Documentos\MALENTIN KARIME\BANCO ESTADO\2012 DEPTO ESCRITURAS fata\NOTARIA 2009\COMPRAVENTAS INMUEBLES\SUBDIVISION Y COMPRAVENTA\DINA ARAYA A RODOLFO ARAYA LEY 19807.doc</t>
  </si>
  <si>
    <t>C:\Users\franc\OneDrive\Documentos\MALENTIN KARIME\BANCO ESTADO\2012 DEPTO ESCRITURAS fata\NOTARIA 2009\COMPRAVENTAS INMUEBLES\SUBDIVISION Y COMPRAVENTA\COMUNIDAD PIEDRA LISA A COMITE PRO-SITIO S EL MIRADOR.doc</t>
  </si>
  <si>
    <t>C:\Users\franc\OneDrive\Documentos\MALENTIN KARIME\BANCO ESTADO\2012 DEPTO ESCRITURAS fata\NOTARIA 2009\COMPRAVENTAS INMUEBLES\SUBDIVISION Y COMPRAVENTA\COMITE PRO CASA VILLA LOS CACTUS A ..... (MODELO).doc</t>
  </si>
  <si>
    <t>C:\Users\franc\OneDrive\Documentos\MALENTIN KARIME\BANCO ESTADO\2012 DEPTO ESCRITURAS fata\NOTARIA 2009\COMPRAVENTAS INMUEBLES\SUBDIVISION Y COMPRAVENTA\CLAUDIA SEGUEL.doc</t>
  </si>
  <si>
    <t>C:\Users\franc\OneDrive\Documentos\MALENTIN KARIME\BANCO ESTADO\2012 DEPTO ESCRITURAS fata\NOTARIA 2009\COMPRAVENTAS INMUEBLES\SUBDIVISION Y COMPRAVENTA\ANTONIA VILLALOBOS A JORGE (SU HIJO).doc</t>
  </si>
  <si>
    <t>C:\Users\franc\OneDrive\Documentos\MALENTIN KARIME\BANCO ESTADO\2012 DEPTO ESCRITURAS fata\NOTARIA 2009\COMPRAVENTAS INMUEBLES\SUBDIVISION Y COMPRAVENTA\AMERICA ROBLES A VIVIANA ROBLES.doc</t>
  </si>
  <si>
    <t>C:\Users\franc\OneDrive\Documentos\MALENTIN KARIME\BANCO ESTADO\2012 DEPTO ESCRITURAS fata\NOTARIA 2009\COMPRAVENTAS INMUEBLES\SUBDIVISION Y COMPRAVENTA\AMERICA CARVAJAL A ALDO CARVAJAL.doc</t>
  </si>
  <si>
    <t>C:\Users\franc\OneDrive\Documentos\MALENTIN KARIME\BANCO ESTADO\2012 DEPTO ESCRITURAS fata\NOTARIA 2009\COMPRAVENTAS INMUEBLES\CV AGUAS\OLGA CONTRERAS A SOC. COM FLOR MARIA.doc</t>
  </si>
  <si>
    <t>C:\Users\franc\OneDrive\Documentos\MALENTIN KARIME\BANCO ESTADO\2012 DEPTO ESCRITURAS fata\NOTARIA 2009\COMPRAVENTAS INMUEBLES\CESION ACCIONES MINERAS\HUGO CASTILLO A JUANA CASTILLO.doc</t>
  </si>
  <si>
    <t>C:\Users\franc\OneDrive\Documentos\MALENTIN KARIME\BANCO ESTADO\2012 DEPTO ESCRITURAS fata\NOTARIA 2009\COMPRAVENTAS INMUEBLES\2009\YURY ROJAS A LIDIA VALDIVIA (SEP. DE BIENES).doc</t>
  </si>
  <si>
    <t>C:\Users\franc\OneDrive\Documentos\MALENTIN KARIME\BANCO ESTADO\2012 DEPTO ESCRITURAS fata\NOTARIA 2009\COMPRAVENTAS INMUEBLES\2009\WHASHIGTON FONFACH  A BERTA MALEBRAN (ELLA SEPA DE BIENES).doc</t>
  </si>
  <si>
    <t>C:\Users\franc\OneDrive\Documentos\MALENTIN KARIME\BANCO ESTADO\2012 DEPTO ESCRITURAS fata\NOTARIA 2009\COMPRAVENTAS INMUEBLES\2009\VIVIANA ROJAS A JORGE VEGA (ELLA SOLA).doc</t>
  </si>
  <si>
    <t>C:\Users\franc\OneDrive\Documentos\MALENTIN KARIME\BANCO ESTADO\2012 DEPTO ESCRITURAS fata\NOTARIA 2009\COMPRAVENTAS INMUEBLES\2009\vigia a serravalle.doc</t>
  </si>
  <si>
    <t>C:\Users\franc\OneDrive\Documentos\MALENTIN KARIME\BANCO ESTADO\2012 DEPTO ESCRITURAS fata\NOTARIA 2009\COMPRAVENTAS INMUEBLES\2009\TERESA ITE A VIVIANA BERRIOS   (CONYUGE)  SOLTERA.doc</t>
  </si>
  <si>
    <t>C:\Users\franc\OneDrive\Documentos\MALENTIN KARIME\BANCO ESTADO\2012 DEPTO ESCRITURAS fata\NOTARIA 2009\COMPRAVENTAS INMUEBLES\2009\SYLVIA ALVAREZ A VERONICA GUERRERO (TIERRA Y AUGAS).doc</t>
  </si>
  <si>
    <t>C:\Users\franc\OneDrive\Documentos\MALENTIN KARIME\BANCO ESTADO\2012 DEPTO ESCRITURAS fata\NOTARIA 2009\COMPRAVENTAS INMUEBLES\2009\SUC. VILLAR CARVAJLA (CARTA INSTRUCCIONES).doc</t>
  </si>
  <si>
    <t>C:\Users\franc\OneDrive\Documentos\MALENTIN KARIME\BANCO ESTADO\2012 DEPTO ESCRITURAS fata\NOTARIA 2009\COMPRAVENTAS INMUEBLES\2009\SUC. VILLAR CARVAJAL A GUILLERMO ARAYA R..doc</t>
  </si>
  <si>
    <t>C:\Users\franc\OneDrive\Documentos\MALENTIN KARIME\BANCO ESTADO\2012 DEPTO ESCRITURAS fata\NOTARIA 2009\COMPRAVENTAS INMUEBLES\2009\SERVICIOS EVC LTDA. A ING. LOS NIETOS (E. DARRIGRANDE).doc</t>
  </si>
  <si>
    <t>C:\Users\franc\OneDrive\Documentos\MALENTIN KARIME\BANCO ESTADO\2012 DEPTO ESCRITURAS fata\NOTARIA 2009\COMPRAVENTAS INMUEBLES\2009\ROSA POZO A DILEMA ROJAS  (SOLTERAS).doc</t>
  </si>
  <si>
    <t>C:\Users\franc\OneDrive\Documentos\MALENTIN KARIME\BANCO ESTADO\2012 DEPTO ESCRITURAS fata\NOTARIA 2009\COMPRAVENTAS INMUEBLES\2009\ROSA ARAYA Y OTRA A PAOLA CORTES (SEP. BIENES).doc</t>
  </si>
  <si>
    <t>C:\Users\franc\OneDrive\Documentos\MALENTIN KARIME\BANCO ESTADO\2012 DEPTO ESCRITURAS fata\NOTARIA 2009\COMPRAVENTAS INMUEBLES\2009\RODRIGO ANDRADE A HERMAN ANDRADES  (50% DERECHOS).doc</t>
  </si>
  <si>
    <t>C:\Users\franc\OneDrive\Documentos\MALENTIN KARIME\BANCO ESTADO\2012 DEPTO ESCRITURAS fata\NOTARIA 2009\COMPRAVENTAS INMUEBLES\2009\RODOLFO ALVAREZ A INMOB. MEKANO.doc</t>
  </si>
  <si>
    <t>C:\Users\franc\OneDrive\Documentos\MALENTIN KARIME\BANCO ESTADO\2012 DEPTO ESCRITURAS fata\NOTARIA 2009\COMPRAVENTAS INMUEBLES\2009\ROBIN MALTES A MANUEL BUGUEÑO (CON CONYUGE).doc</t>
  </si>
  <si>
    <t>C:\Users\franc\OneDrive\Documentos\MALENTIN KARIME\BANCO ESTADO\2012 DEPTO ESCRITURAS fata\NOTARIA 2009\COMPRAVENTAS INMUEBLES\2009\RENATO PEÑAFIEL A JOSE TOMAS PEÑAFIEL (DERECHOS).doc</t>
  </si>
  <si>
    <t>C:\Users\franc\OneDrive\Documentos\MALENTIN KARIME\BANCO ESTADO\2012 DEPTO ESCRITURAS fata\NOTARIA 2009\COMPRAVENTAS INMUEBLES\2009\REBECA RODRIGUEZ Y OTROS A ROSA RODRIGUEZ HIJ. 15 (CESION DE DERECHOS.doc</t>
  </si>
  <si>
    <t>C:\Users\franc\OneDrive\Documentos\MALENTIN KARIME\BANCO ESTADO\2012 DEPTO ESCRITURAS fata\NOTARIA 2009\COMPRAVENTAS INMUEBLES\2009\REBECA RODRIGUEZ Y OTROS A GMO. VILLALOBOS  (CESION DE DERECHOS.doc</t>
  </si>
  <si>
    <t>C:\Users\franc\OneDrive\Documentos\MALENTIN KARIME\BANCO ESTADO\2012 DEPTO ESCRITURAS fata\NOTARIA 2009\COMPRAVENTAS INMUEBLES\2009\RAFAEL SALFATE A INMOB. COLOMBRES.doc</t>
  </si>
  <si>
    <t>C:\Users\franc\OneDrive\Documentos\MALENTIN KARIME\BANCO ESTADO\2012 DEPTO ESCRITURAS fata\NOTARIA 2009\COMPRAVENTAS INMUEBLES\2009\PEDRO AVILA DIAZ A (NOSE).doc</t>
  </si>
  <si>
    <t>C:\Users\franc\OneDrive\Documentos\MALENTIN KARIME\BANCO ESTADO\2012 DEPTO ESCRITURAS fata\NOTARIA 2009\COMPRAVENTAS INMUEBLES\2009\PATRICIA TORRES A JULIO TORRES (CESION DE DERECHOS.doc</t>
  </si>
  <si>
    <t>C:\Users\franc\OneDrive\Documentos\MALENTIN KARIME\BANCO ESTADO\2012 DEPTO ESCRITURAS fata\NOTARIA 2009\COMPRAVENTAS INMUEBLES\2009\MIRTA ALVAREZ Y OTROS A CARMEN GALLEGUILOS  (SEP. BIENES).doc</t>
  </si>
  <si>
    <t>C:\Users\franc\OneDrive\Documentos\MALENTIN KARIME\BANCO ESTADO\2012 DEPTO ESCRITURAS fata\NOTARIA 2009\COMPRAVENTAS INMUEBLES\2009\MAURICIO FIGUEROA A REBECA OLMEDO.doc</t>
  </si>
  <si>
    <t>C:\Users\franc\OneDrive\Documentos\MALENTIN KARIME\BANCO ESTADO\2012 DEPTO ESCRITURAS fata\NOTARIA 2009\COMPRAVENTAS INMUEBLES\2009\MARIO TAPIA LAGUNAS A PABLA CASTILLO (CON PROH. LEGAL).doc</t>
  </si>
  <si>
    <t>C:\Users\franc\OneDrive\Documentos\MALENTIN KARIME\BANCO ESTADO\2012 DEPTO ESCRITURAS fata\NOTARIA 2009\COMPRAVENTAS INMUEBLES\2009\MARINA JOFRE A JOVITA GONZALEZ (D. RAPIMAN).doc</t>
  </si>
  <si>
    <t>C:\Users\franc\OneDrive\Documentos\MALENTIN KARIME\BANCO ESTADO\2012 DEPTO ESCRITURAS fata\NOTARIA 2009\COMPRAVENTAS INMUEBLES\2009\MARIA RAMIREZ A ANA VILLARROEL  (SOLTEROS).doc</t>
  </si>
  <si>
    <t>C:\Users\franc\OneDrive\Documentos\MALENTIN KARIME\BANCO ESTADO\2012 DEPTO ESCRITURAS fata\NOTARIA 2009\COMPRAVENTAS INMUEBLES\2009\MARIA OLIVARES A  (COMPARECE CONYUGE).doc</t>
  </si>
  <si>
    <t>C:\Users\franc\OneDrive\Documentos\MALENTIN KARIME\BANCO ESTADO\2012 DEPTO ESCRITURAS fata\NOTARIA 2009\COMPRAVENTAS INMUEBLES\2009\MARIA MANZANO A SU PADRE  (COMPARECE CONYUGE).doc</t>
  </si>
  <si>
    <t>C:\Users\franc\OneDrive\Documentos\MALENTIN KARIME\BANCO ESTADO\2012 DEPTO ESCRITURAS fata\NOTARIA 2009\COMPRAVENTAS INMUEBLES\2009\MARCELA%20PE%C3%91A[1].%20SITIO%20N%C2%BA%203..doc</t>
  </si>
  <si>
    <t>C:\Users\franc\OneDrive\Documentos\MALENTIN KARIME\BANCO ESTADO\2012 DEPTO ESCRITURAS fata\NOTARIA 2009\COMPRAVENTAS INMUEBLES\2009\MARCELA%20PE%C3%91A[1].%20SITIO%20N%C2%BA%202..doc</t>
  </si>
  <si>
    <t>C:\Users\franc\OneDrive\Documentos\MALENTIN KARIME\BANCO ESTADO\2012 DEPTO ESCRITURAS fata\NOTARIA 2009\COMPRAVENTAS INMUEBLES\2009\MANUEL SAN FRANCISCO A GLORIA CASTILLO.doc</t>
  </si>
  <si>
    <t>C:\Users\franc\OneDrive\Documentos\MALENTIN KARIME\BANCO ESTADO\2012 DEPTO ESCRITURAS fata\NOTARIA 2009\COMPRAVENTAS INMUEBLES\2009\MANUEL CISTERNA A  (NO SE )(CON PROH. LEGAL).doc</t>
  </si>
  <si>
    <t>C:\Users\franc\OneDrive\Documentos\MALENTIN KARIME\BANCO ESTADO\2012 DEPTO ESCRITURAS fata\NOTARIA 2009\COMPRAVENTAS INMUEBLES\2009\MA HERNANDEZ BARBASE Y OTRAS A PATRICIO ROCO.doc</t>
  </si>
  <si>
    <t>C:\Users\franc\OneDrive\Documentos\MALENTIN KARIME\BANCO ESTADO\2012 DEPTO ESCRITURAS fata\NOTARIA 2009\COMPRAVENTAS INMUEBLES\2009\LUISA SEGURA A SU HNA. (SOLTERAS).doc</t>
  </si>
  <si>
    <t>C:\Users\franc\OneDrive\Documentos\MALENTIN KARIME\BANCO ESTADO\2012 DEPTO ESCRITURAS fata\NOTARIA 2009\COMPRAVENTAS INMUEBLES\2009\LUIS GARRIDO A VARIOS (DERECHOS GUANAQUEROS).doc</t>
  </si>
  <si>
    <t>C:\Users\franc\OneDrive\Documentos\MALENTIN KARIME\BANCO ESTADO\2012 DEPTO ESCRITURAS fata\NOTARIA 2009\COMPRAVENTAS INMUEBLES\2009\LUIS CASTILLO A PEDRO VILLACORTA.doc</t>
  </si>
  <si>
    <t>C:\Users\franc\OneDrive\Documentos\MALENTIN KARIME\BANCO ESTADO\2012 DEPTO ESCRITURAS fata\NOTARIA 2009\COMPRAVENTAS INMUEBLES\2009\LUCIA GUERRERO A JESSICA ZANABRIA (LA TORRE).doc</t>
  </si>
  <si>
    <t>C:\Users\franc\OneDrive\Documentos\MALENTIN KARIME\BANCO ESTADO\2012 DEPTO ESCRITURAS fata\NOTARIA 2009\COMPRAVENTAS INMUEBLES\2009\liliana alfaro lagunas[1].doc</t>
  </si>
  <si>
    <t>C:\Users\franc\OneDrive\Documentos\MALENTIN KARIME\BANCO ESTADO\2012 DEPTO ESCRITURAS fata\NOTARIA 2009\COMPRAVENTAS INMUEBLES\2009\LILIANA ALFARO A LUIS SEGOVIA (CON PROH. LEGAL).doc</t>
  </si>
  <si>
    <t>C:\Users\franc\OneDrive\Documentos\MALENTIN KARIME\BANCO ESTADO\2012 DEPTO ESCRITURAS fata\NOTARIA 2009\COMPRAVENTAS INMUEBLES\2009\LILIAN VELIZ Y OTRAS A CARMENSA ANGEL TAPIA.doc</t>
  </si>
  <si>
    <t>C:\Users\franc\OneDrive\Documentos\MALENTIN KARIME\BANCO ESTADO\2012 DEPTO ESCRITURAS fata\NOTARIA 2009\COMPRAVENTAS INMUEBLES\2009\LILIAN VELIZ Y OTRAS A CARMENSA ANGEL CON PODER).doc</t>
  </si>
  <si>
    <t>C:\Users\franc\OneDrive\Documentos\MALENTIN KARIME\BANCO ESTADO\2012 DEPTO ESCRITURAS fata\NOTARIA 2009\COMPRAVENTAS INMUEBLES\2009\JUANA ADAOS A OWEN CASTILLO  (M HDA.) CON BS. MB.doc</t>
  </si>
  <si>
    <t>C:\Users\franc\OneDrive\Documentos\MALENTIN KARIME\BANCO ESTADO\2012 DEPTO ESCRITURAS fata\NOTARIA 2009\COMPRAVENTAS INMUEBLES\2009\JUAN ALAMO , COMPRAVENTA[1].doc</t>
  </si>
  <si>
    <t>C:\Users\franc\OneDrive\Documentos\MALENTIN KARIME\BANCO ESTADO\2012 DEPTO ESCRITURAS fata\NOTARIA 2009\COMPRAVENTAS INMUEBLES\2009\JUAN ADAOS y NELSON ADAOS a WILLIAM GONZALEZ.doc</t>
  </si>
  <si>
    <t>C:\Users\franc\OneDrive\Documentos\MALENTIN KARIME\BANCO ESTADO\2012 DEPTO ESCRITURAS fata\NOTARIA 2009\COMPRAVENTAS INMUEBLES\2009\JUAN ADAOS A NELSON ADAOS (50% DERECHOS).doc</t>
  </si>
  <si>
    <t>C:\Users\franc\OneDrive\Documentos\MALENTIN KARIME\BANCO ESTADO\2012 DEPTO ESCRITURAS fata\NOTARIA 2009\COMPRAVENTAS INMUEBLES\2009\JOSE CODOCEO A GRACIELA CODOCEO  (SOLTEROS).doc</t>
  </si>
  <si>
    <t>C:\Users\franc\OneDrive\Documentos\MALENTIN KARIME\BANCO ESTADO\2012 DEPTO ESCRITURAS fata\NOTARIA 2009\COMPRAVENTAS INMUEBLES\2009\JORGE ARAYA A ROSA PIZARRO (SOLTEROS).doc</t>
  </si>
  <si>
    <t>C:\Users\franc\OneDrive\Documentos\MALENTIN KARIME\BANCO ESTADO\2012 DEPTO ESCRITURAS fata\NOTARIA 2009\COMPRAVENTAS INMUEBLES\2009\JAVIER JOFRE A ELIZA FERNANDEZ (CASADO EL).doc</t>
  </si>
  <si>
    <t>C:\Users\franc\OneDrive\Documentos\MALENTIN KARIME\BANCO ESTADO\2012 DEPTO ESCRITURAS fata\NOTARIA 2009\COMPRAVENTAS INMUEBLES\2009\JAIME VILLARROEL A MIGUEL JULIA  (CASADO).doc</t>
  </si>
  <si>
    <t>C:\Users\franc\OneDrive\Documentos\MALENTIN KARIME\BANCO ESTADO\2012 DEPTO ESCRITURAS fata\NOTARIA 2009\COMPRAVENTAS INMUEBLES\2009\INSTRUCCIONES WILMA BARRAZA.doc</t>
  </si>
  <si>
    <t>C:\Users\franc\OneDrive\Documentos\MALENTIN KARIME\BANCO ESTADO\2012 DEPTO ESCRITURAS fata\NOTARIA 2009\COMPRAVENTAS INMUEBLES\2009\INSTRUCCIONES JAIME VILLARROEL.doc</t>
  </si>
  <si>
    <t>C:\Users\franc\OneDrive\Documentos\MALENTIN KARIME\BANCO ESTADO\2012 DEPTO ESCRITURAS fata\NOTARIA 2009\COMPRAVENTAS INMUEBLES\2009\INES LEDEZMA A MARIA LEDEZMA  (50% DERECHOS).doc</t>
  </si>
  <si>
    <t>C:\Users\franc\OneDrive\Documentos\MALENTIN KARIME\BANCO ESTADO\2012 DEPTO ESCRITURAS fata\NOTARIA 2009\COMPRAVENTAS INMUEBLES\2009\INES BUGUEÑO A VERONICA CORDERO  (CONYUGE) COM. SOLTERA.doc</t>
  </si>
  <si>
    <t>C:\Users\franc\OneDrive\Documentos\MALENTIN KARIME\BANCO ESTADO\2012 DEPTO ESCRITURAS fata\NOTARIA 2009\COMPRAVENTAS INMUEBLES\2009\IDA LOPEZ A ANA ECHEVERRIA  (CONYUGE) ART. 150.doc</t>
  </si>
  <si>
    <t>C:\Users\franc\OneDrive\Documentos\MALENTIN KARIME\BANCO ESTADO\2012 DEPTO ESCRITURAS fata\NOTARIA 2009\COMPRAVENTAS INMUEBLES\2009\HERNAN ZEPEDA GOMILA A SU HIJO NICOLAS.doc</t>
  </si>
  <si>
    <t>C:\Users\franc\OneDrive\Documentos\MALENTIN KARIME\BANCO ESTADO\2012 DEPTO ESCRITURAS fata\NOTARIA 2009\COMPRAVENTAS INMUEBLES\2009\HERMAN TELLO A CRISTIAN ZAPATA  (CON PROH. LEGAL).doc</t>
  </si>
  <si>
    <t>C:\Users\franc\OneDrive\Documentos\MALENTIN KARIME\BANCO ESTADO\2012 DEPTO ESCRITURAS fata\NOTARIA 2009\COMPRAVENTAS INMUEBLES\2009\GUILLERMO OSSANDON A DANIEL ZAPATA.doc</t>
  </si>
  <si>
    <t>C:\Users\franc\OneDrive\Documentos\MALENTIN KARIME\BANCO ESTADO\2012 DEPTO ESCRITURAS fata\NOTARIA 2009\COMPRAVENTAS INMUEBLES\2009\GABRIELA BRAVO A PABLA CASTILLO (CON PROH. LEGAL).doc</t>
  </si>
  <si>
    <t>C:\Users\franc\OneDrive\Documentos\MALENTIN KARIME\BANCO ESTADO\2012 DEPTO ESCRITURAS fata\NOTARIA 2009\COMPRAVENTAS INMUEBLES\2009\FRANCISC RODRIGUEZ A GMO. VILLALOBOS  (CESION DE DERECHOS.doc</t>
  </si>
  <si>
    <t>C:\Users\franc\OneDrive\Documentos\MALENTIN KARIME\BANCO ESTADO\2012 DEPTO ESCRITURAS fata\NOTARIA 2009\COMPRAVENTAS INMUEBLES\2009\FORTUNATO GONZALEZ A JOSE VEGA (PICHASCA).doc</t>
  </si>
  <si>
    <t>C:\Users\franc\OneDrive\Documentos\MALENTIN KARIME\BANCO ESTADO\2012 DEPTO ESCRITURAS fata\NOTARIA 2009\COMPRAVENTAS INMUEBLES\2009\ERASMO BUGUEÑO A LEONCIO BUGUEÑO - LA TORRE.doc</t>
  </si>
  <si>
    <t>C:\Users\franc\OneDrive\Documentos\MALENTIN KARIME\BANCO ESTADO\2012 DEPTO ESCRITURAS fata\NOTARIA 2009\COMPRAVENTAS INMUEBLES\2009\ELIZABETH CORTES A CONSTANZA BUGUEÑO Y USUFRUCTO  (COMPARECE CONYUGE).doc</t>
  </si>
  <si>
    <t>C:\Users\franc\OneDrive\Documentos\MALENTIN KARIME\BANCO ESTADO\2012 DEPTO ESCRITURAS fata\NOTARIA 2009\COMPRAVENTAS INMUEBLES\2009\ELIZA FERNANDEZ A JAVIER JOFRE.doc</t>
  </si>
  <si>
    <t>C:\Users\franc\OneDrive\Documentos\MALENTIN KARIME\BANCO ESTADO\2012 DEPTO ESCRITURAS fata\NOTARIA 2009\COMPRAVENTAS INMUEBLES\2009\ELIEL MUNDACA A HECTOR MUNDACA Y OTRO.doc</t>
  </si>
  <si>
    <t>C:\Users\franc\OneDrive\Documentos\MALENTIN KARIME\BANCO ESTADO\2012 DEPTO ESCRITURAS fata\NOTARIA 2009\COMPRAVENTAS INMUEBLES\2009\EDUARDO ROBLES A HUMBERTO ARAYA (CON CERTIF. CORA).doc</t>
  </si>
  <si>
    <t>C:\Users\franc\OneDrive\Documentos\MALENTIN KARIME\BANCO ESTADO\2012 DEPTO ESCRITURAS fata\NOTARIA 2009\COMPRAVENTAS INMUEBLES\2009\EDUARDO JOFRE A WILMA BARRAZA (ELLA SEP. BIENES).doc</t>
  </si>
  <si>
    <t>C:\Users\franc\OneDrive\Documentos\MALENTIN KARIME\BANCO ESTADO\2012 DEPTO ESCRITURAS fata\NOTARIA 2009\COMPRAVENTAS INMUEBLES\2009\DOLORES RODRIGUEZ A FAVIO ROBLEDO  (CESION DE DERECHOS.doc</t>
  </si>
  <si>
    <t>C:\Users\franc\OneDrive\Documentos\MALENTIN KARIME\BANCO ESTADO\2012 DEPTO ESCRITURAS fata\NOTARIA 2009\COMPRAVENTAS INMUEBLES\2009\Doc1.doc</t>
  </si>
  <si>
    <t>C:\Users\franc\OneDrive\Documentos\MALENTIN KARIME\BANCO ESTADO\2012 DEPTO ESCRITURAS fata\NOTARIA 2009\COMPRAVENTAS INMUEBLES\2009\CV SAMUEL VILLARROEL[1].doc</t>
  </si>
  <si>
    <t>C:\Users\franc\OneDrive\Documentos\MALENTIN KARIME\BANCO ESTADO\2012 DEPTO ESCRITURAS fata\NOTARIA 2009\COMPRAVENTAS INMUEBLES\2009\CLAUDIA MOLINA A ESTELVINA OLIVARES.doc</t>
  </si>
  <si>
    <t>C:\Users\franc\OneDrive\Documentos\MALENTIN KARIME\BANCO ESTADO\2012 DEPTO ESCRITURAS fata\NOTARIA 2009\COMPRAVENTAS INMUEBLES\2009\CARLOS MUÑOZ A ARNALDO RIVERA  (SOLTEROS).doc</t>
  </si>
  <si>
    <t>C:\Users\franc\OneDrive\Documentos\MALENTIN KARIME\BANCO ESTADO\2012 DEPTO ESCRITURAS fata\NOTARIA 2009\COMPRAVENTAS INMUEBLES\2009\BELTRAN PIZARRO A MARIA VELASQUEZ (EL TRAPICHE).doc</t>
  </si>
  <si>
    <t>C:\Users\franc\OneDrive\Documentos\MALENTIN KARIME\BANCO ESTADO\2012 DEPTO ESCRITURAS fata\NOTARIA 2009\COMPRAVENTAS INMUEBLES\2009\ARTEMIO BUGUEÑO Y OTROS A BELTRAN PIZARRO (CON PODER).doc</t>
  </si>
  <si>
    <t>C:\Users\franc\OneDrive\Documentos\MALENTIN KARIME\BANCO ESTADO\2012 DEPTO ESCRITURAS fata\NOTARIA 2009\COMPRAVENTAS INMUEBLES\2009\ARMANDO MANQUEZ A HONALDO ESPINOZA  (CASADO).doc</t>
  </si>
  <si>
    <t>C:\Users\franc\OneDrive\Documentos\MALENTIN KARIME\BANCO ESTADO\2012 DEPTO ESCRITURAS fata\NOTARIA 2009\COMPRAVENTAS INMUEBLES\2009\ARIEL GODOY A VICTOR HIDALGO (DERECHOS).doc</t>
  </si>
  <si>
    <t>C:\Users\franc\OneDrive\Documentos\MALENTIN KARIME\BANCO ESTADO\2012 DEPTO ESCRITURAS fata\NOTARIA 2009\COMPRAVENTAS INMUEBLES\2009\ANTONIO ACUÑA A NICANOR ALCORTA  (SOLTEROS).doc</t>
  </si>
  <si>
    <t>C:\Users\franc\OneDrive\Documentos\MALENTIN KARIME\BANCO ESTADO\2012 DEPTO ESCRITURAS fata\NOTARIA 2009\COMPRAVENTAS INMUEBLES\2009\ANITA MORGADO A ENRIQUE BRAVOY OTRO (2 PROP).doc</t>
  </si>
  <si>
    <t>C:\Users\franc\OneDrive\Documentos\MALENTIN KARIME\BANCO ESTADO\2012 DEPTO ESCRITURAS fata\NOTARIA 2009\COMPRAVENTAS INMUEBLES\2009\ANGELINA ARAYA A TIA (PILAR MONTE PATRIA).doc</t>
  </si>
  <si>
    <t>C:\Users\franc\OneDrive\Documentos\MALENTIN KARIME\BANCO ESTADO\2012 DEPTO ESCRITURAS fata\NOTARIA 2009\COMPRAVENTAS INMUEBLES\2009\ANGELINA ARAYA (pilar Monte Patria ) a su tia 2.doc</t>
  </si>
  <si>
    <t>C:\Users\franc\OneDrive\Documentos\MALENTIN KARIME\BANCO ESTADO\2012 DEPTO ESCRITURAS fata\NOTARIA 2009\COMPRAVENTAS INMUEBLES\2009\ANDRES OLIVARES A INES JULIO (MONTE PATRIA SIN INSC.doc</t>
  </si>
  <si>
    <t>C:\Users\franc\OneDrive\Documentos\MALENTIN KARIME\BANCO ESTADO\2012 DEPTO ESCRITURAS fata\NOTARIA 2009\COMPRAVENTAS INMUEBLES\2009\ANA ALVAREZ A SU HIJO JOSE RODRIGUEZ.doc</t>
  </si>
  <si>
    <t>C:\Users\franc\OneDrive\Documentos\MALENTIN KARIME\BANCO ESTADO\2012 DEPTO ESCRITURAS fata\NOTARIA 2009\COMPRAVENTAS INMUEBLES\2009\AMALIA CORTES A SU HIJO (SANDRA CARMONA).doc</t>
  </si>
  <si>
    <t>C:\Users\franc\OneDrive\Documentos\MALENTIN KARIME\BANCO ESTADO\2012 DEPTO ESCRITURAS fata\NOTARIA 2009\COMPRAVENTAS INMUEBLES\2009\AMALIA CORTES A SU HIJO (SANDRA CARMONA) bienes muebles.doc</t>
  </si>
  <si>
    <t>C:\Users\franc\OneDrive\Documentos\MALENTIN KARIME\BANCO ESTADO\2012 DEPTO ESCRITURAS fata\NOTARIA 2009\COMPRAVENTAS INMUEBLES\2009\AMADIEL ROJO A NOLBERTO CORTES  (SOLTEROS).doc</t>
  </si>
  <si>
    <t>C:\Users\franc\OneDrive\Documentos\MALENTIN KARIME\BANCO ESTADO\2012 DEPTO ESCRITURAS fata\NOTARIA 2009\COMPRAVENTAS INMUEBLES\2009\ALEX MALUENDA A (NO SE)  (CON PROH. LEGAL) SOLTERO.doc</t>
  </si>
  <si>
    <t>C:\Users\franc\OneDrive\Documentos\MALENTIN KARIME\BANCO ESTADO\2012 DEPTO ESCRITURAS fata\NOTARIA 2009\COMPRAVENTAS INMUEBLES\2009\AGNES VILLARROEL A ESPERANZA NARANJO  C CONY. Y ART. 150.doc</t>
  </si>
  <si>
    <t>C:\Users\franc\OneDrive\Documentos\MALENTIN KARIME\BANCO ESTADO\2012 DEPTO ESCRITURAS fata\NOTARIA 2009\COMPRAVENTAS INMUEBLES\2009\ADRIANA ARAYA MOLINA A NOSE  (SOLTERAS).doc</t>
  </si>
  <si>
    <t>C:\Users\franc\OneDrive\Documentos\MALENTIN KARIME\BANCO ESTADO\2012 DEPTO ESCRITURAS fata\NOTARIA 2009\COMPRAVENTAS INMUEBLES\2009\ABRAHAM RODRIGUEZ A FAVIO ROBLEDO.doc</t>
  </si>
  <si>
    <t>C:\Users\franc\OneDrive\Documentos\MALENTIN KARIME\BANCO ESTADO\2012 DEPTO ESCRITURAS fata\NOTARIA 2009\COMPRAVENTAS INMUEBLES\2009\ABDON RODRIGUEZ  A GMO. VILLALOBOS  (CESION DE DERECHOS.doc</t>
  </si>
  <si>
    <t>C:\Users\franc\OneDrive\Documentos\MALENTIN KARIME\BANCO ESTADO\2012 DEPTO ESCRITURAS fata\NOTARIA 2009\COMPRAVENTAS INMUEBLES\2008\ç.doc</t>
  </si>
  <si>
    <t>C:\Users\franc\OneDrive\Documentos\MALENTIN KARIME\BANCO ESTADO\2012 DEPTO ESCRITURAS fata\NOTARIA 2009\COMPRAVENTAS INMUEBLES\2008\VIRGINIA GUERRERO Y OTRA A SU HNO. (DERECHOS.doc</t>
  </si>
  <si>
    <t>C:\Users\franc\OneDrive\Documentos\MALENTIN KARIME\BANCO ESTADO\2012 DEPTO ESCRITURAS fata\NOTARIA 2009\COMPRAVENTAS INMUEBLES\2008\ULISES ROBLES A SOC. INMB. COLOMBRES LTDA..doc</t>
  </si>
  <si>
    <t>C:\Users\franc\OneDrive\Documentos\MALENTIN KARIME\BANCO ESTADO\2012 DEPTO ESCRITURAS fata\NOTARIA 2009\COMPRAVENTAS INMUEBLES\2008\TERESA ROJAS A ARIS PEREZ (BIENES NACIONALES).doc</t>
  </si>
  <si>
    <t>C:\Users\franc\OneDrive\Documentos\MALENTIN KARIME\BANCO ESTADO\2012 DEPTO ESCRITURAS fata\NOTARIA 2009\COMPRAVENTAS INMUEBLES\2008\SUC. ORTIZ SEGOVIA A NOLVIA ORTIZ (CON DERECHO EN COMUNIDD).doc</t>
  </si>
  <si>
    <t>C:\Users\franc\OneDrive\Documentos\MALENTIN KARIME\BANCO ESTADO\2012 DEPTO ESCRITURAS fata\NOTARIA 2009\COMPRAVENTAS INMUEBLES\2008\SUC VIDALIA GONZALEZ A.doc</t>
  </si>
  <si>
    <t>C:\Users\franc\OneDrive\Documentos\MALENTIN KARIME\BANCO ESTADO\2012 DEPTO ESCRITURAS fata\NOTARIA 2009\COMPRAVENTAS INMUEBLES\2008\SONIA NARANJO A SIMON LOPEZ.doc</t>
  </si>
  <si>
    <t>C:\Users\franc\OneDrive\Documentos\MALENTIN KARIME\BANCO ESTADO\2012 DEPTO ESCRITURAS fata\NOTARIA 2009\COMPRAVENTAS INMUEBLES\2008\SOLEDAD VEGA A SUSANA VALDERRAMA C CONY. Y ART. 150.doc</t>
  </si>
  <si>
    <t>C:\Users\franc\OneDrive\Documentos\MALENTIN KARIME\BANCO ESTADO\2012 DEPTO ESCRITURAS fata\NOTARIA 2009\COMPRAVENTAS INMUEBLES\2008\ROSA VALDIVIA A GUIDO IBACACHE (M HDA.).doc</t>
  </si>
  <si>
    <t>C:\Users\franc\OneDrive\Documentos\MALENTIN KARIME\BANCO ESTADO\2012 DEPTO ESCRITURAS fata\NOTARIA 2009\COMPRAVENTAS INMUEBLES\2008\RONALDO IBACACHE A CARLOS VEGA   (SUBSIDIO EL CASADO).doc</t>
  </si>
  <si>
    <t>C:\Users\franc\OneDrive\Documentos\MALENTIN KARIME\BANCO ESTADO\2012 DEPTO ESCRITURAS fata\NOTARIA 2009\COMPRAVENTAS INMUEBLES\2008\RAFAEL CARVAJAL A PABLO CORTES (PUNITAQUI).doc</t>
  </si>
  <si>
    <t>C:\Users\franc\OneDrive\Documentos\MALENTIN KARIME\BANCO ESTADO\2012 DEPTO ESCRITURAS fata\NOTARIA 2009\COMPRAVENTAS INMUEBLES\2008\RAFAEL CARVAJAL A PABLO CORTES    3.doc</t>
  </si>
  <si>
    <t>C:\Users\franc\OneDrive\Documentos\MALENTIN KARIME\BANCO ESTADO\2012 DEPTO ESCRITURAS fata\NOTARIA 2009\COMPRAVENTAS INMUEBLES\2008\RAFAEL CARVAJAL A PABLO CORTES    2.doc</t>
  </si>
  <si>
    <t>C:\Users\franc\OneDrive\Documentos\MALENTIN KARIME\BANCO ESTADO\2012 DEPTO ESCRITURAS fata\NOTARIA 2009\COMPRAVENTAS INMUEBLES\2008\PRUDENCIO ARAYA Y OTROS A MERCEDES TELLO  ART. 150.doc</t>
  </si>
  <si>
    <t>C:\Users\franc\OneDrive\Documentos\MALENTIN KARIME\BANCO ESTADO\2012 DEPTO ESCRITURAS fata\NOTARIA 2009\COMPRAVENTAS INMUEBLES\2008\PEDRO TORO A JOSE ZEPEDA.doc</t>
  </si>
  <si>
    <t>C:\Users\franc\OneDrive\Documentos\MALENTIN KARIME\BANCO ESTADO\2012 DEPTO ESCRITURAS fata\NOTARIA 2009\COMPRAVENTAS INMUEBLES\2008\PEDRO MONARDEZ.doc</t>
  </si>
  <si>
    <t>C:\Users\franc\OneDrive\Documentos\MALENTIN KARIME\BANCO ESTADO\2012 DEPTO ESCRITURAS fata\NOTARIA 2009\COMPRAVENTAS INMUEBLES\2008\PATRICIA LOPEZ A RAUL ARAYA (ELLA ART. 150).doc</t>
  </si>
  <si>
    <t>C:\Users\franc\OneDrive\Documentos\MALENTIN KARIME\BANCO ESTADO\2012 DEPTO ESCRITURAS fata\NOTARIA 2009\COMPRAVENTAS INMUEBLES\2008\MODELO COMPRA PARCIALIDADES.doc</t>
  </si>
  <si>
    <t>C:\Users\franc\OneDrive\Documentos\MALENTIN KARIME\BANCO ESTADO\2012 DEPTO ESCRITURAS fata\NOTARIA 2009\COMPRAVENTAS INMUEBLES\2008\MIGUEL SALINAS A LUIS HERNANDEZ (COQUIMBO).doc</t>
  </si>
  <si>
    <t>C:\Users\franc\OneDrive\Documentos\MALENTIN KARIME\BANCO ESTADO\2012 DEPTO ESCRITURAS fata\NOTARIA 2009\COMPRAVENTAS INMUEBLES\2008\MARIA CORTES A SAMUEL HIDALGO (SOLTERA).doc</t>
  </si>
  <si>
    <t>C:\Users\franc\OneDrive\Documentos\MALENTIN KARIME\BANCO ESTADO\2012 DEPTO ESCRITURAS fata\NOTARIA 2009\COMPRAVENTAS INMUEBLES\2008\MARIA CASTRO A SERGIO RIVERA (SUBSIDIO CONYUGE).doc</t>
  </si>
  <si>
    <t>C:\Users\franc\OneDrive\Documentos\MALENTIN KARIME\BANCO ESTADO\2012 DEPTO ESCRITURAS fata\NOTARIA 2009\COMPRAVENTAS INMUEBLES\2008\MARIA BRAVO CASTILLO A SOC FLOR MARIA.doc</t>
  </si>
  <si>
    <t>C:\Users\franc\OneDrive\Documentos\MALENTIN KARIME\BANCO ESTADO\2012 DEPTO ESCRITURAS fata\NOTARIA 2009\COMPRAVENTAS INMUEBLES\2008\MARCELA GUZMAN A CLAUDINA RIQUELME  (BIENES NACIONALES)SOLTEROS.doc</t>
  </si>
  <si>
    <t>C:\Users\franc\OneDrive\Documentos\MALENTIN KARIME\BANCO ESTADO\2012 DEPTO ESCRITURAS fata\NOTARIA 2009\COMPRAVENTAS INMUEBLES\2008\MANUEL GONZALEZ A JOSE CASTILLO (DOCTOR A. GARCIA PICA).doc</t>
  </si>
  <si>
    <t>C:\Users\franc\OneDrive\Documentos\MALENTIN KARIME\BANCO ESTADO\2012 DEPTO ESCRITURAS fata\NOTARIA 2009\COMPRAVENTAS INMUEBLES\2008\LUIS SALFATE A BRAULIO ARAYA.doc</t>
  </si>
  <si>
    <t>C:\Users\franc\OneDrive\Documentos\MALENTIN KARIME\BANCO ESTADO\2012 DEPTO ESCRITURAS fata\NOTARIA 2009\COMPRAVENTAS INMUEBLES\2008\LUIS GUERRERO A FLORA CAMPUSANO (EL CASADO).doc</t>
  </si>
  <si>
    <t>C:\Users\franc\OneDrive\Documentos\MALENTIN KARIME\BANCO ESTADO\2012 DEPTO ESCRITURAS fata\NOTARIA 2009\COMPRAVENTAS INMUEBLES\2008\JUANA TABILO A SU HIJA (SEP. DE BIENES).doc</t>
  </si>
  <si>
    <t>C:\Users\franc\OneDrive\Documentos\MALENTIN KARIME\BANCO ESTADO\2012 DEPTO ESCRITURAS fata\NOTARIA 2009\COMPRAVENTAS INMUEBLES\2008\JUANA ADAOS A OWEN CASTILLO  (M HDA.) CON BS. MB.doc</t>
  </si>
  <si>
    <t>C:\Users\franc\OneDrive\Documentos\MALENTIN KARIME\BANCO ESTADO\2012 DEPTO ESCRITURAS fata\NOTARIA 2009\COMPRAVENTAS INMUEBLES\2008\JUAN ROMERO A UVELINDA PEÑA  (SUBSIDIO SOLTEROS).doc</t>
  </si>
  <si>
    <t>C:\Users\franc\OneDrive\Documentos\MALENTIN KARIME\BANCO ESTADO\2012 DEPTO ESCRITURAS fata\NOTARIA 2009\COMPRAVENTAS INMUEBLES\2008\JUAN CORTES A VERONICA ANRIQUERA   (DERECHOS).doc</t>
  </si>
  <si>
    <t>C:\Users\franc\OneDrive\Documentos\MALENTIN KARIME\BANCO ESTADO\2012 DEPTO ESCRITURAS fata\NOTARIA 2009\COMPRAVENTAS INMUEBLES\2008\JOSE MUÑOZ - MARIA.doc</t>
  </si>
  <si>
    <t>C:\Users\franc\OneDrive\Documentos\MALENTIN KARIME\BANCO ESTADO\2012 DEPTO ESCRITURAS fata\NOTARIA 2009\COMPRAVENTAS INMUEBLES\2008\HUMBERTO ANGEL A CARLOS MILLA  (BIENES NACIONALES)SOLTEROS.doc</t>
  </si>
  <si>
    <t>C:\Users\franc\OneDrive\Documentos\MALENTIN KARIME\BANCO ESTADO\2012 DEPTO ESCRITURAS fata\NOTARIA 2009\COMPRAVENTAS INMUEBLES\2008\HUGO PIZARRO CON CONYUGE A SU HIJO.doc</t>
  </si>
  <si>
    <t>C:\Users\franc\OneDrive\Documentos\MALENTIN KARIME\BANCO ESTADO\2012 DEPTO ESCRITURAS fata\NOTARIA 2009\COMPRAVENTAS INMUEBLES\2008\HORACIO ABRILOT A SOC. AGRICOLA EL SAUCE LTDA..doc</t>
  </si>
  <si>
    <t>C:\Users\franc\OneDrive\Documentos\MALENTIN KARIME\BANCO ESTADO\2012 DEPTO ESCRITURAS fata\NOTARIA 2009\COMPRAVENTAS INMUEBLES\2008\HERNAN GODOY A SERGIO CARVAJAL.doc</t>
  </si>
  <si>
    <t>C:\Users\franc\OneDrive\Documentos\MALENTIN KARIME\BANCO ESTADO\2012 DEPTO ESCRITURAS fata\NOTARIA 2009\COMPRAVENTAS INMUEBLES\2008\GUMERCINDO HUERTA A DOMINGO MEZA (CASADO).doc</t>
  </si>
  <si>
    <t>C:\Users\franc\OneDrive\Documentos\MALENTIN KARIME\BANCO ESTADO\2012 DEPTO ESCRITURAS fata\NOTARIA 2009\COMPRAVENTAS INMUEBLES\2008\GUILLERMO ROLDAN A MILTON ROJAS.doc</t>
  </si>
  <si>
    <t>C:\Users\franc\OneDrive\Documentos\MALENTIN KARIME\BANCO ESTADO\2012 DEPTO ESCRITURAS fata\NOTARIA 2009\COMPRAVENTAS INMUEBLES\2008\GONZALO ARAYA A DORIS GALINDO  (SOLTEROS) POB..doc</t>
  </si>
  <si>
    <t>C:\Users\franc\OneDrive\Documentos\MALENTIN KARIME\BANCO ESTADO\2012 DEPTO ESCRITURAS fata\NOTARIA 2009\COMPRAVENTAS INMUEBLES\2008\GERARDO AHUMADA A LUISA PAZ.doc</t>
  </si>
  <si>
    <t>C:\Users\franc\OneDrive\Documentos\MALENTIN KARIME\BANCO ESTADO\2012 DEPTO ESCRITURAS fata\NOTARIA 2009\COMPRAVENTAS INMUEBLES\2008\GALVARINO VERAGUA A LUIS GUERRERO.doc</t>
  </si>
  <si>
    <t>C:\Users\franc\OneDrive\Documentos\MALENTIN KARIME\BANCO ESTADO\2012 DEPTO ESCRITURAS fata\NOTARIA 2009\COMPRAVENTAS INMUEBLES\2008\FLORA CAMPUSANO A ALEXIS GUERRERO (SOLTEROS).doc</t>
  </si>
  <si>
    <t>C:\Users\franc\OneDrive\Documentos\MALENTIN KARIME\BANCO ESTADO\2012 DEPTO ESCRITURAS fata\NOTARIA 2009\COMPRAVENTAS INMUEBLES\2008\FABIOLA MUÑOZ Y OTROS A LAURA MUÑOZ (DERECHOS).doc</t>
  </si>
  <si>
    <t>C:\Users\franc\OneDrive\Documentos\MALENTIN KARIME\BANCO ESTADO\2012 DEPTO ESCRITURAS fata\NOTARIA 2009\COMPRAVENTAS INMUEBLES\2008\ERIC HERRERA A GAMADIEL HERRERA  (SOLTERO CON REN USUA).doc</t>
  </si>
  <si>
    <t>C:\Users\franc\OneDrive\Documentos\MALENTIN KARIME\BANCO ESTADO\2012 DEPTO ESCRITURAS fata\NOTARIA 2009\COMPRAVENTAS INMUEBLES\2008\DIOPOLDINA ORTIZ A DEISY ORTIZ (AMBAS SOLTERAS).doc</t>
  </si>
  <si>
    <t>C:\Users\franc\OneDrive\Documentos\MALENTIN KARIME\BANCO ESTADO\2012 DEPTO ESCRITURAS fata\NOTARIA 2009\COMPRAVENTAS INMUEBLES\2008\CONTRATO DE COMPRAVENTA v7  final Notaria definitiva.doc</t>
  </si>
  <si>
    <t>C:\Users\franc\OneDrive\Documentos\MALENTIN KARIME\BANCO ESTADO\2012 DEPTO ESCRITURAS fata\NOTARIA 2009\COMPRAVENTAS INMUEBLES\2008\CLAUDIA Y HNA. A SU MAMA (COBRESAL).doc</t>
  </si>
  <si>
    <t>C:\Users\franc\OneDrive\Documentos\MALENTIN KARIME\BANCO ESTADO\2012 DEPTO ESCRITURAS fata\NOTARIA 2009\COMPRAVENTAS INMUEBLES\2008\CARMEN MONARDES A GULLERMINA VILLALOBOS.doc</t>
  </si>
  <si>
    <t>C:\Users\franc\OneDrive\Documentos\MALENTIN KARIME\BANCO ESTADO\2012 DEPTO ESCRITURAS fata\NOTARIA 2009\COMPRAVENTAS INMUEBLES\2008\BLANCA CARVAJAL A JORGE LAYANA SUBSIDIO CONYUGE.doc</t>
  </si>
  <si>
    <t>C:\Users\franc\OneDrive\Documentos\MALENTIN KARIME\BANCO ESTADO\2012 DEPTO ESCRITURAS fata\NOTARIA 2009\COMPRAVENTAS INMUEBLES\2008\APTA ARENAS A MANUEL ARAYA ARAOS  (SUBSIDIO SOLTEROS).doc</t>
  </si>
  <si>
    <t>C:\Users\franc\OneDrive\Documentos\MALENTIN KARIME\BANCO ESTADO\2012 DEPTO ESCRITURAS fata\NOTARIA 2009\COMPRAVENTAS INMUEBLES\2008\ANIBAL CONTRERAS CON CONYUGE A ERIKA CONTRERAS  (ART. 150).doc</t>
  </si>
  <si>
    <t>C:\Users\franc\OneDrive\Documentos\MALENTIN KARIME\BANCO ESTADO\2012 DEPTO ESCRITURAS fata\NOTARIA 2009\COMPRAVENTAS INMUEBLES\2008\ANA ARENAS A SEGUNDO ALUCEMA (SOLTERA).doc</t>
  </si>
  <si>
    <t>C:\Users\franc\OneDrive\Documentos\MALENTIN KARIME\BANCO ESTADO\2012 DEPTO ESCRITURAS fata\NOTARIA 2009\COMPRAVENTAS INMUEBLES\2008\ANA A TIO LINO.doc</t>
  </si>
  <si>
    <t>C:\Users\franc\OneDrive\Documentos\MALENTIN KARIME\BANCO ESTADO\2012 DEPTO ESCRITURAS fata\NOTARIA 2009\COMPRAVENTAS INMUEBLES\2008\ALICIA ACUÑA A ANGELA ACUÑA (SOLTERA).doc</t>
  </si>
  <si>
    <t>C:\Users\franc\OneDrive\Documentos\MALENTIN KARIME\BANCO ESTADO\2012 DEPTO ESCRITURAS fata\NOTARIA 2009\COMPRAVENTAS INMUEBLES\2008\ALFONSO ROJAS A RODRIGO ZEPEDA.doc</t>
  </si>
  <si>
    <t>C:\Users\franc\OneDrive\Documentos\MALENTIN KARIME\BANCO ESTADO\2012 DEPTO ESCRITURAS fata\NOTARIA 2009\COMPRAVENTAS INMUEBLES\2008\ALEXANDER ROJAS A ANGELICA ARAYA   (SUBSIDIO SOLTEROS).doc</t>
  </si>
  <si>
    <t>C:\Users\franc\OneDrive\Documentos\MALENTIN KARIME\BANCO ESTADO\2012 DEPTO ESCRITURAS fata\NOTARIA 2009\COMPRAVENTAS INMUEBLES\2008\ALEJANDRO VALDES A CARLOS GONZALEZ (MARGOT FERNANDEZ).doc</t>
  </si>
  <si>
    <t>C:\Users\franc\OneDrive\Documentos\MALENTIN KARIME\BANCO ESTADO\2012 DEPTO ESCRITURAS fata\NOTARIA 2009\COMPRAVENTAS INMUEBLES\2008\AGUSTIN MUÑOZ A PEDRO BARRAZA.doc</t>
  </si>
  <si>
    <t>C:\Users\franc\OneDrive\Documentos\MALENTIN KARIME\BANCO ESTADO\2012 DEPTO ESCRITURAS fata\NOTARIA 2009\COMPRAVENTAS INMUEBLES\2007\WALDO SANHUEZA A YOCELIN ACOSTA.doc</t>
  </si>
  <si>
    <t>C:\Users\franc\OneDrive\Documentos\MALENTIN KARIME\BANCO ESTADO\2012 DEPTO ESCRITURAS fata\NOTARIA 2009\COMPRAVENTAS INMUEBLES\2007\TULIO ALFARO A JAIME TAPIA.doc</t>
  </si>
  <si>
    <t>C:\Users\franc\OneDrive\Documentos\MALENTIN KARIME\BANCO ESTADO\2012 DEPTO ESCRITURAS fata\NOTARIA 2009\COMPRAVENTAS INMUEBLES\2007\SILVANA VELIZ Y OTRO A MICAELA MORALES (COMPRA PARA.doc</t>
  </si>
  <si>
    <t>C:\Users\franc\OneDrive\Documentos\MALENTIN KARIME\BANCO ESTADO\2012 DEPTO ESCRITURAS fata\NOTARIA 2009\COMPRAVENTAS INMUEBLES\2007\SERGIO ARIAS A EDAURDO TALAMILLA (POB).doc</t>
  </si>
  <si>
    <t>C:\Users\franc\OneDrive\Documentos\MALENTIN KARIME\BANCO ESTADO\2012 DEPTO ESCRITURAS fata\NOTARIA 2009\COMPRAVENTAS INMUEBLES\2007\SANDRA DIAZ A MARIO DIAZ.doc</t>
  </si>
  <si>
    <t>C:\Users\franc\OneDrive\Documentos\MALENTIN KARIME\BANCO ESTADO\2012 DEPTO ESCRITURAS fata\NOTARIA 2009\COMPRAVENTAS INMUEBLES\2007\ROLANDO PIZARRO Y OTRO A SRA.  (DERECHOS).doc</t>
  </si>
  <si>
    <t>C:\Users\franc\OneDrive\Documentos\MALENTIN KARIME\BANCO ESTADO\2012 DEPTO ESCRITURAS fata\NOTARIA 2009\COMPRAVENTAS INMUEBLES\2007\ROBINSON VILLALOBOS A SU HIJA (POBLACION).doc</t>
  </si>
  <si>
    <t>C:\Users\franc\OneDrive\Documentos\MALENTIN KARIME\BANCO ESTADO\2012 DEPTO ESCRITURAS fata\NOTARIA 2009\COMPRAVENTAS INMUEBLES\2007\RIGOBERTO BARRAZA A ARTURO JERALDO.doc</t>
  </si>
  <si>
    <t>C:\Users\franc\OneDrive\Documentos\MALENTIN KARIME\BANCO ESTADO\2012 DEPTO ESCRITURAS fata\NOTARIA 2009\COMPRAVENTAS INMUEBLES\2007\RICARDO GOMEZ A PEDRO ARAYA.doc</t>
  </si>
  <si>
    <t>C:\Users\franc\OneDrive\Documentos\MALENTIN KARIME\BANCO ESTADO\2012 DEPTO ESCRITURAS fata\NOTARIA 2009\COMPRAVENTAS INMUEBLES\2007\RAUL CARVAJAL A SONIA NARANJO.doc</t>
  </si>
  <si>
    <t>C:\Users\franc\OneDrive\Documentos\MALENTIN KARIME\BANCO ESTADO\2012 DEPTO ESCRITURAS fata\NOTARIA 2009\COMPRAVENTAS INMUEBLES\2007\RAMON CARVAJAL  A ESPERANZA NARANJO 2.doc</t>
  </si>
  <si>
    <t>C:\Users\franc\OneDrive\Documentos\MALENTIN KARIME\BANCO ESTADO\2012 DEPTO ESCRITURAS fata\NOTARIA 2009\COMPRAVENTAS INMUEBLES\2007\RAMON CARVAJAL  A ESPERANZA NARANJO (ART. 150).doc</t>
  </si>
  <si>
    <t>C:\Users\franc\OneDrive\Documentos\MALENTIN KARIME\BANCO ESTADO\2012 DEPTO ESCRITURAS fata\NOTARIA 2009\COMPRAVENTAS INMUEBLES\2007\PATRICIA ESPINOLA A GLADYS MORENO (ART. 150 DEC JURADA.doc</t>
  </si>
  <si>
    <t>C:\Users\franc\OneDrive\Documentos\MALENTIN KARIME\BANCO ESTADO\2012 DEPTO ESCRITURAS fata\NOTARIA 2009\COMPRAVENTAS INMUEBLES\2007\PABLA DIAZ A SONIA NARANJO.doc</t>
  </si>
  <si>
    <t>C:\Users\franc\OneDrive\Documentos\MALENTIN KARIME\BANCO ESTADO\2012 DEPTO ESCRITURAS fata\NOTARIA 2009\COMPRAVENTAS INMUEBLES\2007\OLGA ANTIQUERA  A RUFINO GONZALEZ  (CONYUGE).doc</t>
  </si>
  <si>
    <t>C:\Users\franc\OneDrive\Documentos\MALENTIN KARIME\BANCO ESTADO\2012 DEPTO ESCRITURAS fata\NOTARIA 2009\COMPRAVENTAS INMUEBLES\2007\OCTAVIO REYES Y OTRA A ARTURO VARELA (SUBSIDIO).doc</t>
  </si>
  <si>
    <t>C:\Users\franc\OneDrive\Documentos\MALENTIN KARIME\BANCO ESTADO\2012 DEPTO ESCRITURAS fata\NOTARIA 2009\COMPRAVENTAS INMUEBLES\2007\NARA PEREZ  A  CARLOS PEREZ.doc</t>
  </si>
  <si>
    <t>C:\Users\franc\OneDrive\Documentos\MALENTIN KARIME\BANCO ESTADO\2012 DEPTO ESCRITURAS fata\NOTARIA 2009\COMPRAVENTAS INMUEBLES\2007\MODELO  (CONYUGE).doc</t>
  </si>
  <si>
    <t>C:\Users\franc\OneDrive\Documentos\MALENTIN KARIME\BANCO ESTADO\2012 DEPTO ESCRITURAS fata\NOTARIA 2009\COMPRAVENTAS INMUEBLES\2007\MIRIAM OLMOS A JOSE GUTIERREZ (SUBSIDIO).doc</t>
  </si>
  <si>
    <t>C:\Users\franc\OneDrive\Documentos\MALENTIN KARIME\BANCO ESTADO\2012 DEPTO ESCRITURAS fata\NOTARIA 2009\COMPRAVENTAS INMUEBLES\2007\MAXIMILIANO ROJAS A CINTYA ROJAS.doc</t>
  </si>
  <si>
    <t>C:\Users\franc\OneDrive\Documentos\MALENTIN KARIME\BANCO ESTADO\2012 DEPTO ESCRITURAS fata\NOTARIA 2009\COMPRAVENTAS INMUEBLES\2007\MARITZA ONELL IV-2 Fundina.doc</t>
  </si>
  <si>
    <t>C:\Users\franc\OneDrive\Documentos\MALENTIN KARIME\BANCO ESTADO\2012 DEPTO ESCRITURAS fata\NOTARIA 2009\COMPRAVENTAS INMUEBLES\2007\MARINO VERGARA Y OTROS.doc</t>
  </si>
  <si>
    <t>C:\Users\franc\OneDrive\Documentos\MALENTIN KARIME\BANCO ESTADO\2012 DEPTO ESCRITURAS fata\NOTARIA 2009\COMPRAVENTAS INMUEBLES\2007\MARIA COUDRAY Y HNO. JACQUELINE (DERECHOS).doc</t>
  </si>
  <si>
    <t>C:\Users\franc\OneDrive\Documentos\MALENTIN KARIME\BANCO ESTADO\2012 DEPTO ESCRITURAS fata\NOTARIA 2009\COMPRAVENTAS INMUEBLES\2007\MARIA CASTRO A DILIA CAMPOS.doc</t>
  </si>
  <si>
    <t>C:\Users\franc\OneDrive\Documentos\MALENTIN KARIME\BANCO ESTADO\2012 DEPTO ESCRITURAS fata\NOTARIA 2009\COMPRAVENTAS INMUEBLES\2007\MARGARITA OLIVARES A SERGIO PIZARRO (SOLTERA).doc</t>
  </si>
  <si>
    <t>C:\Users\franc\OneDrive\Documentos\MALENTIN KARIME\BANCO ESTADO\2012 DEPTO ESCRITURAS fata\NOTARIA 2009\COMPRAVENTAS INMUEBLES\2007\MARCO SANTANDER A ROMINA VELASQUEZ.doc</t>
  </si>
  <si>
    <t>C:\Users\franc\OneDrive\Documentos\MALENTIN KARIME\BANCO ESTADO\2012 DEPTO ESCRITURAS fata\NOTARIA 2009\COMPRAVENTAS INMUEBLES\2007\MARCELINO SALFATE A ...... (SUBSIDIO).doc</t>
  </si>
  <si>
    <t>C:\Users\franc\OneDrive\Documentos\MALENTIN KARIME\BANCO ESTADO\2012 DEPTO ESCRITURAS fata\NOTARIA 2009\COMPRAVENTAS INMUEBLES\2007\LUIS TORREJON A BENIGNO ROJAS.doc</t>
  </si>
  <si>
    <t>C:\Users\franc\OneDrive\Documentos\MALENTIN KARIME\BANCO ESTADO\2012 DEPTO ESCRITURAS fata\NOTARIA 2009\COMPRAVENTAS INMUEBLES\2007\LIDIA HEREDIA A MARCELO GALLEGOS.doc</t>
  </si>
  <si>
    <t>C:\Users\franc\OneDrive\Documentos\MALENTIN KARIME\BANCO ESTADO\2012 DEPTO ESCRITURAS fata\NOTARIA 2009\COMPRAVENTAS INMUEBLES\2007\JUAN GALLEGUILLOS Y OTRO A MIRIAS URQUIETA.doc</t>
  </si>
  <si>
    <t>C:\Users\franc\OneDrive\Documentos\MALENTIN KARIME\BANCO ESTADO\2012 DEPTO ESCRITURAS fata\NOTARIA 2009\COMPRAVENTAS INMUEBLES\2007\JUAN CORTES Y OTRO A JUANA ARAYA.doc</t>
  </si>
  <si>
    <t>C:\Users\franc\OneDrive\Documentos\MALENTIN KARIME\BANCO ESTADO\2012 DEPTO ESCRITURAS fata\NOTARIA 2009\COMPRAVENTAS INMUEBLES\2007\JORGE CORTES (CASADO) A SU HIJA.doc</t>
  </si>
  <si>
    <t>C:\Users\franc\OneDrive\Documentos\MALENTIN KARIME\BANCO ESTADO\2012 DEPTO ESCRITURAS fata\NOTARIA 2009\COMPRAVENTAS INMUEBLES\2007\IVAN VEGA A MIRTA GALLARDO.doc</t>
  </si>
  <si>
    <t>C:\Users\franc\OneDrive\Documentos\MALENTIN KARIME\BANCO ESTADO\2012 DEPTO ESCRITURAS fata\NOTARIA 2009\COMPRAVENTAS INMUEBLES\2007\IRMA CAMPUSANO ROJAS.doc</t>
  </si>
  <si>
    <t>C:\Users\franc\OneDrive\Documentos\MALENTIN KARIME\BANCO ESTADO\2012 DEPTO ESCRITURAS fata\NOTARIA 2009\COMPRAVENTAS INMUEBLES\2007\INOCENCIA MONARDES A SU HIJO (CONYUGE).doc</t>
  </si>
  <si>
    <t>C:\Users\franc\OneDrive\Documentos\MALENTIN KARIME\BANCO ESTADO\2012 DEPTO ESCRITURAS fata\NOTARIA 2009\COMPRAVENTAS INMUEBLES\2007\HUGO BUGUEÑO A SU HIJO (USUFRUCTO).doc</t>
  </si>
  <si>
    <t>C:\Users\franc\OneDrive\Documentos\MALENTIN KARIME\BANCO ESTADO\2012 DEPTO ESCRITURAS fata\NOTARIA 2009\COMPRAVENTAS INMUEBLES\2007\HILDA VIDELA Y OTROS A DAVID CONTRERAS.doc</t>
  </si>
  <si>
    <t>C:\Users\franc\OneDrive\Documentos\MALENTIN KARIME\BANCO ESTADO\2012 DEPTO ESCRITURAS fata\NOTARIA 2009\COMPRAVENTAS INMUEBLES\2007\HERMAN RIVERA A FCO.OBRADOR.doc</t>
  </si>
  <si>
    <t>C:\Users\franc\OneDrive\Documentos\MALENTIN KARIME\BANCO ESTADO\2012 DEPTO ESCRITURAS fata\NOTARIA 2009\COMPRAVENTAS INMUEBLES\2007\HECTOR FLORES A NATANIEL ARANCIBIA.doc</t>
  </si>
  <si>
    <t>C:\Users\franc\OneDrive\Documentos\MALENTIN KARIME\BANCO ESTADO\2012 DEPTO ESCRITURAS fata\NOTARIA 2009\COMPRAVENTAS INMUEBLES\2007\HECTOR FLORES A IBAR ADAOS Y OTRA.doc</t>
  </si>
  <si>
    <t>C:\Users\franc\OneDrive\Documentos\MALENTIN KARIME\BANCO ESTADO\2012 DEPTO ESCRITURAS fata\NOTARIA 2009\COMPRAVENTAS INMUEBLES\2007\HAYDEE VILLEGAS A MARCIA MUÑOZ (SUBSIDIO).doc</t>
  </si>
  <si>
    <t>C:\Users\franc\OneDrive\Documentos\MALENTIN KARIME\BANCO ESTADO\2012 DEPTO ESCRITURAS fata\NOTARIA 2009\COMPRAVENTAS INMUEBLES\2007\HANALI BARRANTES.doc</t>
  </si>
  <si>
    <t>C:\Users\franc\OneDrive\Documentos\MALENTIN KARIME\BANCO ESTADO\2012 DEPTO ESCRITURAS fata\NOTARIA 2009\COMPRAVENTAS INMUEBLES\2007\GUILLERMO RODRIGUEZ A DENIS RODRIGUEZ ART. 150.doc</t>
  </si>
  <si>
    <t>C:\Users\franc\OneDrive\Documentos\MALENTIN KARIME\BANCO ESTADO\2012 DEPTO ESCRITURAS fata\NOTARIA 2009\COMPRAVENTAS INMUEBLES\2007\FRANCISCO O BRADOR A HERNAN RIVERA.doc</t>
  </si>
  <si>
    <t>C:\Users\franc\OneDrive\Documentos\MALENTIN KARIME\BANCO ESTADO\2012 DEPTO ESCRITURAS fata\NOTARIA 2009\COMPRAVENTAS INMUEBLES\2007\ELIANA ARAYA A SOC. ALCIDES GONZALEZ E HIJO.doc</t>
  </si>
  <si>
    <t>C:\Users\franc\OneDrive\Documentos\MALENTIN KARIME\BANCO ESTADO\2012 DEPTO ESCRITURAS fata\NOTARIA 2009\COMPRAVENTAS INMUEBLES\2007\EDIO GALLARDO A ALICIA ROJAS.doc</t>
  </si>
  <si>
    <t>C:\Users\franc\OneDrive\Documentos\MALENTIN KARIME\BANCO ESTADO\2012 DEPTO ESCRITURAS fata\NOTARIA 2009\COMPRAVENTAS INMUEBLES\2007\DULCINIA TORREJON A JAVIER TABILO.doc</t>
  </si>
  <si>
    <t>C:\Users\franc\OneDrive\Documentos\MALENTIN KARIME\BANCO ESTADO\2012 DEPTO ESCRITURAS fata\NOTARIA 2009\COMPRAVENTAS INMUEBLES\2007\Doc7.doc</t>
  </si>
  <si>
    <t>C:\Users\franc\OneDrive\Documentos\MALENTIN KARIME\BANCO ESTADO\2012 DEPTO ESCRITURAS fata\NOTARIA 2009\COMPRAVENTAS INMUEBLES\2007\CUSTODIO PASTEN Y OTROS A SU MADRE (DERECHOS).doc</t>
  </si>
  <si>
    <t>C:\Users\franc\OneDrive\Documentos\MALENTIN KARIME\BANCO ESTADO\2012 DEPTO ESCRITURAS fata\NOTARIA 2009\COMPRAVENTAS INMUEBLES\2007\CRISTINA CESPEDES A EDUARDO MOLINA (CONYUGE).doc</t>
  </si>
  <si>
    <t>C:\Users\franc\OneDrive\Documentos\MALENTIN KARIME\BANCO ESTADO\2012 DEPTO ESCRITURAS fata\NOTARIA 2009\COMPRAVENTAS INMUEBLES\2007\CRISTIAN CORDOVA A ANGELICA LAZO.doc</t>
  </si>
  <si>
    <t>C:\Users\franc\OneDrive\Documentos\MALENTIN KARIME\BANCO ESTADO\2012 DEPTO ESCRITURAS fata\NOTARIA 2009\COMPRAVENTAS INMUEBLES\2007\COMPRAVENTA.doc</t>
  </si>
  <si>
    <t>C:\Users\franc\OneDrive\Documentos\MALENTIN KARIME\BANCO ESTADO\2012 DEPTO ESCRITURAS fata\NOTARIA 2009\COMPRAVENTAS INMUEBLES\2007\CLEMANTINA DIAZ Y OTR. A JORGE DIAZ.doc</t>
  </si>
  <si>
    <t>C:\Users\franc\OneDrive\Documentos\MALENTIN KARIME\BANCO ESTADO\2012 DEPTO ESCRITURAS fata\NOTARIA 2009\COMPRAVENTAS INMUEBLES\2007\CLAUDIO FERNANDEZ A ONESIMO ALFARO (POB).doc</t>
  </si>
  <si>
    <t>C:\Users\franc\OneDrive\Documentos\MALENTIN KARIME\BANCO ESTADO\2012 DEPTO ESCRITURAS fata\NOTARIA 2009\COMPRAVENTAS INMUEBLES\2007\CLARA RAMOS A JOSE HERRERA.doc</t>
  </si>
  <si>
    <t>C:\Users\franc\OneDrive\Documentos\MALENTIN KARIME\BANCO ESTADO\2012 DEPTO ESCRITURAS fata\NOTARIA 2009\COMPRAVENTAS INMUEBLES\2007\CELINA A EDUARDO.doc</t>
  </si>
  <si>
    <t>C:\Users\franc\OneDrive\Documentos\MALENTIN KARIME\BANCO ESTADO\2012 DEPTO ESCRITURAS fata\NOTARIA 2009\COMPRAVENTAS INMUEBLES\2007\CATALINA ELGUETA A AMALIA ELGUETA.doc</t>
  </si>
  <si>
    <t>C:\Users\franc\OneDrive\Documentos\MALENTIN KARIME\BANCO ESTADO\2012 DEPTO ESCRITURAS fata\NOTARIA 2009\COMPRAVENTAS INMUEBLES\2007\CARMELA ARAYA JORGE ARAYA (VIUDA).doc</t>
  </si>
  <si>
    <t>C:\Users\franc\OneDrive\Documentos\MALENTIN KARIME\BANCO ESTADO\2012 DEPTO ESCRITURAS fata\NOTARIA 2009\COMPRAVENTAS INMUEBLES\2007\ANTONIA PLAZA A DAISY PASTEN.doc</t>
  </si>
  <si>
    <t>C:\Users\franc\OneDrive\Documentos\MALENTIN KARIME\BANCO ESTADO\2012 DEPTO ESCRITURAS fata\NOTARIA 2009\COMPRAVENTAS INMUEBLES\2007\ANGELINA CONTRERAS A FRANKLIN ALCAYAGA (SUBSIDIO).doc</t>
  </si>
  <si>
    <t>C:\Users\franc\OneDrive\Documentos\MALENTIN KARIME\BANCO ESTADO\2012 DEPTO ESCRITURAS fata\NOTARIA 2009\COMPRAVENTAS INMUEBLES\2007\ANGELINA ASPE Y OTROS A NELSON SALINAS.doc</t>
  </si>
  <si>
    <t>C:\Users\franc\OneDrive\Documentos\MALENTIN KARIME\BANCO ESTADO\2012 DEPTO ESCRITURAS fata\NOTARIA 2009\COMPRAVENTAS INMUEBLES\2007\ANGELICA ALANIZ Y OTROS A SU HERMANO (DERECHOS).doc</t>
  </si>
  <si>
    <t>C:\Users\franc\OneDrive\Documentos\MALENTIN KARIME\BANCO ESTADO\2012 DEPTO ESCRITURAS fata\NOTARIA 2009\COMPRAVENTAS INMUEBLES\2007\ANGELA BEKIOS A ALFONSO VILLEGAS.doc</t>
  </si>
  <si>
    <t>C:\Users\franc\OneDrive\Documentos\MALENTIN KARIME\BANCO ESTADO\2012 DEPTO ESCRITURAS fata\NOTARIA 2009\COMPRAVENTAS INMUEBLES\2007\ANGELA BEKIOS  INSTRUCCION.doc</t>
  </si>
  <si>
    <t>C:\Users\franc\OneDrive\Documentos\MALENTIN KARIME\BANCO ESTADO\2012 DEPTO ESCRITURAS fata\NOTARIA 2009\COMPRAVENTAS INMUEBLES\2007\ANA MARIA MONDACA BOU A CORRETAJES TORRES.doc</t>
  </si>
  <si>
    <t>C:\Users\franc\OneDrive\Documentos\MALENTIN KARIME\BANCO ESTADO\2012 DEPTO ESCRITURAS fata\NOTARIA 2009\COMPRAVENTAS INMUEBLES\2007\ALDECIRA CARVAJAL A NORMA ARRIAGADA Y OTRA (ART 150).doc</t>
  </si>
  <si>
    <t>C:\Users\franc\OneDrive\Documentos\MALENTIN KARIME\BANCO ESTADO\2012 DEPTO ESCRITURAS fata\NOTARIA 2009\COMPRAVENTAS INMUEBLES\2007\ALBERTO LUCO A .......doc</t>
  </si>
  <si>
    <t>C:\Users\franc\OneDrive\Documentos\MALENTIN KARIME\BANCO ESTADO\2012 DEPTO ESCRITURAS fata\NOTARIA 2009\COMPRAVENTAS INMUEBLES\2007\ALBA CERDA RIOS A PEDRO ALFONSO MUÑOZ.doc</t>
  </si>
  <si>
    <t>C:\Users\franc\OneDrive\Documentos\MALENTIN KARIME\BANCO ESTADO\2012 DEPTO ESCRITURAS fata\NOTARIA 2009\COMPRAVENTAS INMUEBLES\WILSON CARVAJAL A ANA VILLAR.doc</t>
  </si>
  <si>
    <t>C:\Users\franc\OneDrive\Documentos\MALENTIN KARIME\BANCO ESTADO\2012 DEPTO ESCRITURAS fata\NOTARIA 2009\COMPRAVENTAS INMUEBLES\VIOLETA TORREJON A JULIO JOFRE (EL MANZANO).doc</t>
  </si>
  <si>
    <t>C:\Users\franc\OneDrive\Documentos\MALENTIN KARIME\BANCO ESTADO\2012 DEPTO ESCRITURAS fata\NOTARIA 2009\COMPRAVENTAS INMUEBLES\VIOLETA ROJAS A ROBERTO ROJAS.doc</t>
  </si>
  <si>
    <t>C:\Users\franc\OneDrive\Documentos\MALENTIN KARIME\BANCO ESTADO\2012 DEPTO ESCRITURAS fata\NOTARIA 2009\COMPRAVENTAS INMUEBLES\VIOLETA BOLVARAN A SANDRA CASTILLO.doc</t>
  </si>
  <si>
    <t>C:\Users\franc\OneDrive\Documentos\MALENTIN KARIME\BANCO ESTADO\2012 DEPTO ESCRITURAS fata\NOTARIA 2009\COMPRAVENTAS INMUEBLES\VILMA GUERRERO A JESSICA GUERRERO (SUBSIDIO).doc</t>
  </si>
  <si>
    <t>C:\Users\franc\OneDrive\Documentos\MALENTIN KARIME\BANCO ESTADO\2012 DEPTO ESCRITURAS fata\NOTARIA 2009\COMPRAVENTAS INMUEBLES\VICTOR HERRERA A ------------.doc</t>
  </si>
  <si>
    <t>C:\Users\franc\OneDrive\Documentos\MALENTIN KARIME\BANCO ESTADO\2012 DEPTO ESCRITURAS fata\NOTARIA 2009\COMPRAVENTAS INMUEBLES\SUC. POZO  A HERNAN Y SAMUEL.doc</t>
  </si>
  <si>
    <t>C:\Users\franc\OneDrive\Documentos\MALENTIN KARIME\BANCO ESTADO\2012 DEPTO ESCRITURAS fata\NOTARIA 2009\COMPRAVENTAS INMUEBLES\SUC. OLIVARES A PEDRO Y OTRO.doc</t>
  </si>
  <si>
    <t>C:\Users\franc\OneDrive\Documentos\MALENTIN KARIME\BANCO ESTADO\2012 DEPTO ESCRITURAS fata\NOTARIA 2009\COMPRAVENTAS INMUEBLES\SUC ALFARO A IVAN GUERRA.doc</t>
  </si>
  <si>
    <t>C:\Users\franc\OneDrive\Documentos\MALENTIN KARIME\BANCO ESTADO\2012 DEPTO ESCRITURAS fata\NOTARIA 2009\COMPRAVENTAS INMUEBLES\SERVANDO TAPIA TAPIA.doc</t>
  </si>
  <si>
    <t>C:\Users\franc\OneDrive\Documentos\MALENTIN KARIME\BANCO ESTADO\2012 DEPTO ESCRITURAS fata\NOTARIA 2009\COMPRAVENTAS INMUEBLES\SERVANDO TAPIA A LUIS MIRANDA.doc</t>
  </si>
  <si>
    <t>C:\Users\franc\OneDrive\Documentos\MALENTIN KARIME\BANCO ESTADO\2012 DEPTO ESCRITURAS fata\NOTARIA 2009\COMPRAVENTAS INMUEBLES\SERGIO PEÑA A .........doc</t>
  </si>
  <si>
    <t>C:\Users\franc\OneDrive\Documentos\MALENTIN KARIME\BANCO ESTADO\2012 DEPTO ESCRITURAS fata\NOTARIA 2009\COMPRAVENTAS INMUEBLES\RUTH VERAGUA Y OTROS A WALDO TORO.doc</t>
  </si>
  <si>
    <t>C:\Users\franc\OneDrive\Documentos\MALENTIN KARIME\BANCO ESTADO\2012 DEPTO ESCRITURAS fata\NOTARIA 2009\COMPRAVENTAS INMUEBLES\PEDRO ARAYA A LUIS ARAYA.doc</t>
  </si>
  <si>
    <t>C:\Users\franc\OneDrive\Documentos\MALENTIN KARIME\BANCO ESTADO\2012 DEPTO ESCRITURAS fata\NOTARIA 2009\COMPRAVENTAS INMUEBLES\OSVALDO SANTANER A ISMENIA.doc</t>
  </si>
  <si>
    <t>C:\Users\franc\OneDrive\Documentos\MALENTIN KARIME\BANCO ESTADO\2012 DEPTO ESCRITURAS fata\NOTARIA 2009\COMPRAVENTAS INMUEBLES\OSCIEL CAMPUSANO A SUSANA CAMPUSANO (VILLA EL lIBERTADOR.doc</t>
  </si>
  <si>
    <t>C:\Users\franc\OneDrive\Documentos\MALENTIN KARIME\BANCO ESTADO\2012 DEPTO ESCRITURAS fata\NOTARIA 2009\COMPRAVENTAS INMUEBLES\NORMA ROJAS A DAVID BARRAZA.doc</t>
  </si>
  <si>
    <t>C:\Users\franc\OneDrive\Documentos\MALENTIN KARIME\BANCO ESTADO\2012 DEPTO ESCRITURAS fata\NOTARIA 2009\COMPRAVENTAS INMUEBLES\NORMA ARAYA A EDUARDO VALENZUELA (CONYUGE).doc</t>
  </si>
  <si>
    <t>C:\Users\franc\OneDrive\Documentos\MALENTIN KARIME\BANCO ESTADO\2012 DEPTO ESCRITURAS fata\NOTARIA 2009\COMPRAVENTAS INMUEBLES\NORA MUÑOZ A JAIRO CARVAJAL (SOLTERO=.doc</t>
  </si>
  <si>
    <t>C:\Users\franc\OneDrive\Documentos\MALENTIN KARIME\BANCO ESTADO\2012 DEPTO ESCRITURAS fata\NOTARIA 2009\COMPRAVENTAS INMUEBLES\NILDA ANJEL A MARIO CAMPOS.doc</t>
  </si>
  <si>
    <t>C:\Users\franc\OneDrive\Documentos\MALENTIN KARIME\BANCO ESTADO\2012 DEPTO ESCRITURAS fata\NOTARIA 2009\COMPRAVENTAS INMUEBLES\NELIA VELASQUE Z A BLANCA SANCHEZ.doc</t>
  </si>
  <si>
    <t>C:\Users\franc\OneDrive\Documentos\MALENTIN KARIME\BANCO ESTADO\2012 DEPTO ESCRITURAS fata\NOTARIA 2009\COMPRAVENTAS INMUEBLES\MODELO USUFRUCTO.doc</t>
  </si>
  <si>
    <t>C:\Users\franc\OneDrive\Documentos\MALENTIN KARIME\BANCO ESTADO\2012 DEPTO ESCRITURAS fata\NOTARIA 2009\COMPRAVENTAS INMUEBLES\MODELO SUBSIDIO.doc</t>
  </si>
  <si>
    <t>C:\Users\franc\OneDrive\Documentos\MALENTIN KARIME\BANCO ESTADO\2012 DEPTO ESCRITURAS fata\NOTARIA 2009\COMPRAVENTAS INMUEBLES\MODELO NOTARIO.doc</t>
  </si>
  <si>
    <t>C:\Users\franc\OneDrive\Documentos\MALENTIN KARIME\BANCO ESTADO\2012 DEPTO ESCRITURAS fata\NOTARIA 2009\COMPRAVENTAS INMUEBLES\MODELO ESCRITURA.doc</t>
  </si>
  <si>
    <t>C:\Users\franc\OneDrive\Documentos\MALENTIN KARIME\BANCO ESTADO\2012 DEPTO ESCRITURAS fata\NOTARIA 2009\COMPRAVENTAS INMUEBLES\MODELO CV. CON USUFRUCTO.doc</t>
  </si>
  <si>
    <t>C:\Users\franc\OneDrive\Documentos\MALENTIN KARIME\BANCO ESTADO\2012 DEPTO ESCRITURAS fata\NOTARIA 2009\COMPRAVENTAS INMUEBLES\MISAEL RODRIGUEZ A SU HIJO (USUFRUC).doc</t>
  </si>
  <si>
    <t>C:\Users\franc\OneDrive\Documentos\MALENTIN KARIME\BANCO ESTADO\2012 DEPTO ESCRITURAS fata\NOTARIA 2009\COMPRAVENTAS INMUEBLES\MIREYA MUNDACA ROBLES A JAVIER PALACIOS ARAYA.doc</t>
  </si>
  <si>
    <t>C:\Users\franc\OneDrive\Documentos\MALENTIN KARIME\BANCO ESTADO\2012 DEPTO ESCRITURAS fata\NOTARIA 2009\COMPRAVENTAS INMUEBLES\MARIO CAMPOS A NILDA ANJEL.doc</t>
  </si>
  <si>
    <t>C:\Users\franc\OneDrive\Documentos\MALENTIN KARIME\BANCO ESTADO\2012 DEPTO ESCRITURAS fata\NOTARIA 2009\COMPRAVENTAS INMUEBLES\MARIO CAMPOS A NILDA ANGEL COMPLEMENTACION.doc</t>
  </si>
  <si>
    <t>C:\Users\franc\OneDrive\Documentos\MALENTIN KARIME\BANCO ESTADO\2012 DEPTO ESCRITURAS fata\NOTARIA 2009\COMPRAVENTAS INMUEBLES\MARIA RIVERA A PATRICIA OYANADEL (USU SOLA).doc</t>
  </si>
  <si>
    <t>C:\Users\franc\OneDrive\Documentos\MALENTIN KARIME\BANCO ESTADO\2012 DEPTO ESCRITURAS fata\NOTARIA 2009\COMPRAVENTAS INMUEBLES\MARIA PEREZ A GUSTAVO JUICA.doc</t>
  </si>
  <si>
    <t>C:\Users\franc\OneDrive\Documentos\MALENTIN KARIME\BANCO ESTADO\2012 DEPTO ESCRITURAS fata\NOTARIA 2009\COMPRAVENTAS INMUEBLES\MARIA COUDRAY Y OTRO A SU HNA.doc</t>
  </si>
  <si>
    <t>C:\Users\franc\OneDrive\Documentos\MALENTIN KARIME\BANCO ESTADO\2012 DEPTO ESCRITURAS fata\NOTARIA 2009\COMPRAVENTAS INMUEBLES\MARIA CIKUTOVIC A ALFONSO LATU.doc</t>
  </si>
  <si>
    <t>C:\Users\franc\OneDrive\Documentos\MALENTIN KARIME\BANCO ESTADO\2012 DEPTO ESCRITURAS fata\NOTARIA 2009\COMPRAVENTAS INMUEBLES\MARIA CARMONA DELGADO A RODRIGO CARMONA.doc</t>
  </si>
  <si>
    <t>C:\Users\franc\OneDrive\Documentos\MALENTIN KARIME\BANCO ESTADO\2012 DEPTO ESCRITURAS fata\NOTARIA 2009\COMPRAVENTAS INMUEBLES\MARIA CARMONA A M. CARMONA (DERECHOS).doc</t>
  </si>
  <si>
    <t>C:\Users\franc\OneDrive\Documentos\MALENTIN KARIME\BANCO ESTADO\2012 DEPTO ESCRITURAS fata\NOTARIA 2009\COMPRAVENTAS INMUEBLES\MARIA ANGEL A JOSE ANGEL (CV. DERECHOS HERENCIA).doc</t>
  </si>
  <si>
    <t>C:\Users\franc\OneDrive\Documentos\MALENTIN KARIME\BANCO ESTADO\2012 DEPTO ESCRITURAS fata\NOTARIA 2009\COMPRAVENTAS INMUEBLES\MARCIAL VEGA A JORGE QUIROZ.doc</t>
  </si>
  <si>
    <t>C:\Users\franc\OneDrive\Documentos\MALENTIN KARIME\BANCO ESTADO\2012 DEPTO ESCRITURAS fata\NOTARIA 2009\COMPRAVENTAS INMUEBLES\MAJURI GUTIERREZ Y OTROS A RAMIRO GUTIERREZ.doc</t>
  </si>
  <si>
    <t>C:\Users\franc\OneDrive\Documentos\MALENTIN KARIME\BANCO ESTADO\2012 DEPTO ESCRITURAS fata\NOTARIA 2009\COMPRAVENTAS INMUEBLES\MA. ELVECIA AGUIRRE A BERNARDO SILVA.doc</t>
  </si>
  <si>
    <t>C:\Users\franc\OneDrive\Documentos\MALENTIN KARIME\BANCO ESTADO\2012 DEPTO ESCRITURAS fata\NOTARIA 2009\COMPRAVENTAS INMUEBLES\LUIS TAPIA A CARLOS TAPIA.doc</t>
  </si>
  <si>
    <t>C:\Users\franc\OneDrive\Documentos\MALENTIN KARIME\BANCO ESTADO\2012 DEPTO ESCRITURAS fata\NOTARIA 2009\COMPRAVENTAS INMUEBLES\LAURA MATAMOROS A AGUEDA VILLALOBOS.doc</t>
  </si>
  <si>
    <t>C:\Users\franc\OneDrive\Documentos\MALENTIN KARIME\BANCO ESTADO\2012 DEPTO ESCRITURAS fata\NOTARIA 2009\COMPRAVENTAS INMUEBLES\JUANA PIZARRO Y OTROS A ROQUE PIZARRO (DERECHOS).doc</t>
  </si>
  <si>
    <t>C:\Users\franc\OneDrive\Documentos\MALENTIN KARIME\BANCO ESTADO\2012 DEPTO ESCRITURAS fata\NOTARIA 2009\COMPRAVENTAS INMUEBLES\JUAN PIZARRO A SU HIJO.doc</t>
  </si>
  <si>
    <t>C:\Users\franc\OneDrive\Documentos\MALENTIN KARIME\BANCO ESTADO\2012 DEPTO ESCRITURAS fata\NOTARIA 2009\COMPRAVENTAS INMUEBLES\JUAN CORTES A TERESITA CORTES Y OTROS.doc</t>
  </si>
  <si>
    <t>C:\Users\franc\OneDrive\Documentos\MALENTIN KARIME\BANCO ESTADO\2012 DEPTO ESCRITURAS fata\NOTARIA 2009\COMPRAVENTAS INMUEBLES\Jorge Aguilera Vega a Luis Araya.doc</t>
  </si>
  <si>
    <t>C:\Users\franc\OneDrive\Documentos\MALENTIN KARIME\BANCO ESTADO\2012 DEPTO ESCRITURAS fata\NOTARIA 2009\COMPRAVENTAS INMUEBLES\JINETTE GARCIA Y OTRA A MONICA GARCIA.doc</t>
  </si>
  <si>
    <t>C:\Users\franc\OneDrive\Documentos\MALENTIN KARIME\BANCO ESTADO\2012 DEPTO ESCRITURAS fata\NOTARIA 2009\COMPRAVENTAS INMUEBLES\JINETTE GARCIA Y OTRA A ANA CAMPUSANO.doc</t>
  </si>
  <si>
    <t>C:\Users\franc\OneDrive\Documentos\MALENTIN KARIME\BANCO ESTADO\2012 DEPTO ESCRITURAS fata\NOTARIA 2009\COMPRAVENTAS INMUEBLES\JESUS SEGOVIA Y OTROS A LUCIA GUERRERO.doc</t>
  </si>
  <si>
    <t>C:\Users\franc\OneDrive\Documentos\MALENTIN KARIME\BANCO ESTADO\2012 DEPTO ESCRITURAS fata\NOTARIA 2009\COMPRAVENTAS INMUEBLES\IVO BACIC A MARGARITA VARAS.doc</t>
  </si>
  <si>
    <t>C:\Users\franc\OneDrive\Documentos\MALENTIN KARIME\BANCO ESTADO\2012 DEPTO ESCRITURAS fata\NOTARIA 2009\COMPRAVENTAS INMUEBLES\IRMA CAMPUSANO FINAL (OK.doc</t>
  </si>
  <si>
    <t>C:\Users\franc\OneDrive\Documentos\MALENTIN KARIME\BANCO ESTADO\2012 DEPTO ESCRITURAS fata\NOTARIA 2009\COMPRAVENTAS INMUEBLES\HUMBERTO CORTES A RODRIGO MORA (BS. NAC).doc</t>
  </si>
  <si>
    <t>C:\Users\franc\OneDrive\Documentos\MALENTIN KARIME\BANCO ESTADO\2012 DEPTO ESCRITURAS fata\NOTARIA 2009\COMPRAVENTAS INMUEBLES\HERIBERTO PIZARRO A RAQUEL JAIME (CON AUT. CONYUGE).doc</t>
  </si>
  <si>
    <t>C:\Users\franc\OneDrive\Documentos\MALENTIN KARIME\BANCO ESTADO\2012 DEPTO ESCRITURAS fata\NOTARIA 2009\COMPRAVENTAS INMUEBLES\GUILLERMO ROBLES A JUAN ROBLES (CV DERECHOS).doc</t>
  </si>
  <si>
    <t>C:\Users\franc\OneDrive\Documentos\MALENTIN KARIME\BANCO ESTADO\2012 DEPTO ESCRITURAS fata\NOTARIA 2009\COMPRAVENTAS INMUEBLES\GRABRIELA ARAYA A PEDRO ARAYA (CONYUGE).doc</t>
  </si>
  <si>
    <t>C:\Users\franc\OneDrive\Documentos\MALENTIN KARIME\BANCO ESTADO\2012 DEPTO ESCRITURAS fata\NOTARIA 2009\COMPRAVENTAS INMUEBLES\GOVINDA LAZO Y OTR.  A LIDIA CARVAJAL.doc</t>
  </si>
  <si>
    <t>C:\Users\franc\OneDrive\Documentos\MALENTIN KARIME\BANCO ESTADO\2012 DEPTO ESCRITURAS fata\NOTARIA 2009\COMPRAVENTAS INMUEBLES\GLADYS AROS Y OTROS A ........doc</t>
  </si>
  <si>
    <t>C:\Users\franc\OneDrive\Documentos\MALENTIN KARIME\BANCO ESTADO\2012 DEPTO ESCRITURAS fata\NOTARIA 2009\COMPRAVENTAS INMUEBLES\GASPAR ROJAS A YURY ROJAS LOTE B.doc</t>
  </si>
  <si>
    <t>C:\Users\franc\OneDrive\Documentos\MALENTIN KARIME\BANCO ESTADO\2012 DEPTO ESCRITURAS fata\NOTARIA 2009\COMPRAVENTAS INMUEBLES\GASPAR ROJAS A LIDIA ROJAS VALDIVIA (NIETA).doc</t>
  </si>
  <si>
    <t>C:\Users\franc\OneDrive\Documentos\MALENTIN KARIME\BANCO ESTADO\2012 DEPTO ESCRITURAS fata\NOTARIA 2009\COMPRAVENTAS INMUEBLES\GASPAR ROJAS A ALVARO ROJAS.doc</t>
  </si>
  <si>
    <t>C:\Users\franc\OneDrive\Documentos\MALENTIN KARIME\BANCO ESTADO\2012 DEPTO ESCRITURAS fata\NOTARIA 2009\COMPRAVENTAS INMUEBLES\FRESIA ARAYA SULANTAY Y OT. A GLORIA PEREIRA.doc</t>
  </si>
  <si>
    <t>C:\Users\franc\OneDrive\Documentos\MALENTIN KARIME\BANCO ESTADO\2012 DEPTO ESCRITURAS fata\NOTARIA 2009\COMPRAVENTAS INMUEBLES\FERNANDO ARAYA A NIBALDO VEAS LOTE 64.doc</t>
  </si>
  <si>
    <t>C:\Users\franc\OneDrive\Documentos\MALENTIN KARIME\BANCO ESTADO\2012 DEPTO ESCRITURAS fata\NOTARIA 2009\COMPRAVENTAS INMUEBLES\FCO. ARAYA A INES BOYD (LOTE A-DOS).doc</t>
  </si>
  <si>
    <t>C:\Users\franc\OneDrive\Documentos\MALENTIN KARIME\BANCO ESTADO\2012 DEPTO ESCRITURAS fata\NOTARIA 2009\COMPRAVENTAS INMUEBLES\ESMELDA GUERRERO A SU HIJO (EL ESPINAL).doc</t>
  </si>
  <si>
    <t>C:\Users\franc\OneDrive\Documentos\MALENTIN KARIME\BANCO ESTADO\2012 DEPTO ESCRITURAS fata\NOTARIA 2009\COMPRAVENTAS INMUEBLES\EMILIO GONZALEZ A JULIA GONZALEZ (VALPO).doc</t>
  </si>
  <si>
    <t>C:\Users\franc\OneDrive\Documentos\MALENTIN KARIME\BANCO ESTADO\2012 DEPTO ESCRITURAS fata\NOTARIA 2009\COMPRAVENTAS INMUEBLES\ELIANA MONARDES A WALDO SANHUEZA (CONYUGE).doc</t>
  </si>
  <si>
    <t>C:\Users\franc\OneDrive\Documentos\MALENTIN KARIME\BANCO ESTADO\2012 DEPTO ESCRITURAS fata\NOTARIA 2009\COMPRAVENTAS INMUEBLES\ELIANA MONARDES A WALDO (CONYUGE) FINAL.doc</t>
  </si>
  <si>
    <t>C:\Users\franc\OneDrive\Documentos\MALENTIN KARIME\BANCO ESTADO\2012 DEPTO ESCRITURAS fata\NOTARIA 2009\COMPRAVENTAS INMUEBLES\Edgardo Pizarro Burrows y otros a LUIS ESPINOSA VEGA.doc</t>
  </si>
  <si>
    <t>C:\Users\franc\OneDrive\Documentos\MALENTIN KARIME\BANCO ESTADO\2012 DEPTO ESCRITURAS fata\NOTARIA 2009\COMPRAVENTAS INMUEBLES\EDELMIRA GONZALEZ A SANTOS CORTES.doc</t>
  </si>
  <si>
    <t>C:\Users\franc\OneDrive\Documentos\MALENTIN KARIME\BANCO ESTADO\2012 DEPTO ESCRITURAS fata\NOTARIA 2009\COMPRAVENTAS INMUEBLES\Doc1.doc</t>
  </si>
  <si>
    <t>C:\Users\franc\OneDrive\Documentos\MALENTIN KARIME\BANCO ESTADO\2012 DEPTO ESCRITURAS fata\NOTARIA 2009\COMPRAVENTAS INMUEBLES\CRESCENTE ALFARO A .........doc</t>
  </si>
  <si>
    <t>C:\Users\franc\OneDrive\Documentos\MALENTIN KARIME\BANCO ESTADO\2012 DEPTO ESCRITURAS fata\NOTARIA 2009\COMPRAVENTAS INMUEBLES\COLOMBRES a municipalidad de Ovalle.doc</t>
  </si>
  <si>
    <t>C:\Users\franc\OneDrive\Documentos\MALENTIN KARIME\BANCO ESTADO\2012 DEPTO ESCRITURAS fata\NOTARIA 2009\COMPRAVENTAS INMUEBLES\CLAUDIO.doc</t>
  </si>
  <si>
    <t>C:\Users\franc\OneDrive\Documentos\MALENTIN KARIME\BANCO ESTADO\2012 DEPTO ESCRITURAS fata\NOTARIA 2009\COMPRAVENTAS INMUEBLES\CAROL MORGADO A  JACQUILEN.doc</t>
  </si>
  <si>
    <t>C:\Users\franc\OneDrive\Documentos\MALENTIN KARIME\BANCO ESTADO\2012 DEPTO ESCRITURAS fata\NOTARIA 2009\COMPRAVENTAS INMUEBLES\CARLOS OGALDE A JOSE JEREZ.doc</t>
  </si>
  <si>
    <t>C:\Users\franc\OneDrive\Documentos\MALENTIN KARIME\BANCO ESTADO\2012 DEPTO ESCRITURAS fata\NOTARIA 2009\COMPRAVENTAS INMUEBLES\CARLOS OGALDE A JOSE JEREZ   2.doc</t>
  </si>
  <si>
    <t>C:\Users\franc\OneDrive\Documentos\MALENTIN KARIME\BANCO ESTADO\2012 DEPTO ESCRITURAS fata\NOTARIA 2009\COMPRAVENTAS INMUEBLES\BORRADOR.doc</t>
  </si>
  <si>
    <t>C:\Users\franc\OneDrive\Documentos\MALENTIN KARIME\BANCO ESTADO\2012 DEPTO ESCRITURAS fata\NOTARIA 2009\COMPRAVENTAS INMUEBLES\ANA VERA A CAMILO FLORES.doc</t>
  </si>
  <si>
    <t>C:\Users\franc\OneDrive\Documentos\MALENTIN KARIME\BANCO ESTADO\2012 DEPTO ESCRITURAS fata\NOTARIA 2009\COMPRAVENTAS INMUEBLES\ANA COLLAO A NEREYA MUNDACA.doc</t>
  </si>
  <si>
    <t>C:\Users\franc\OneDrive\Documentos\MALENTIN KARIME\BANCO ESTADO\2012 DEPTO ESCRITURAS fata\NOTARIA 2009\COMPRAVENTAS INMUEBLES\ANA CAMPUSANO Y OT A JINETTE GARCIA.doc</t>
  </si>
  <si>
    <t>C:\Users\franc\OneDrive\Documentos\MALENTIN KARIME\BANCO ESTADO\2012 DEPTO ESCRITURAS fata\NOTARIA 2009\COMPRAVENTAS INMUEBLES\ANA BENAVENTE Y OTROS A CARLOS BENAVENTE.doc</t>
  </si>
  <si>
    <t>C:\Users\franc\OneDrive\Documentos\MALENTIN KARIME\BANCO ESTADO\2012 DEPTO ESCRITURAS fata\NOTARIA 2009\COMPRAVENTAS INMUEBLES\AMELIA VILLAR A AMELIA ROJAS (CONYUGE).doc</t>
  </si>
  <si>
    <t>C:\Users\franc\OneDrive\Documentos\MALENTIN KARIME\BANCO ESTADO\2012 DEPTO ESCRITURAS fata\NOTARIA 2009\COMPRAVENTAS INMUEBLES\ALICIA SALINAS A DUBERLI.doc</t>
  </si>
  <si>
    <t>C:\Users\franc\OneDrive\Documentos\MALENTIN KARIME\BANCO ESTADO\2012 DEPTO ESCRITURAS fata\NOTARIA 2009\COMPRAVENTAS INMUEBLES\ALICIA ARREDONDO A SU HIJO LOTE C.doc</t>
  </si>
  <si>
    <t>C:\Users\franc\OneDrive\Documentos\MALENTIN KARIME\BANCO ESTADO\2012 DEPTO ESCRITURAS fata\NOTARIA 2009\COMPRAVENTAS  MINERAS\SOCIEDAD MARAMBIO A GERARDO (CONCESIONES).doc</t>
  </si>
  <si>
    <t>C:\Users\franc\OneDrive\Documentos\MALENTIN KARIME\BANCO ESTADO\2012 DEPTO ESCRITURAS fata\NOTARIA 2009\COMPRAVENTAS  MINERAS\PATRICIO ARAYA A LEON CORREA.doc</t>
  </si>
  <si>
    <t>C:\Users\franc\OneDrive\Documentos\MALENTIN KARIME\BANCO ESTADO\2012 DEPTO ESCRITURAS fata\NOTARIA 2009\COMPRAVENTAS  MINERAS\Instrucciones Notariales  A- Compraventa Concesiones_v1.doc</t>
  </si>
  <si>
    <t>C:\Users\franc\OneDrive\Documentos\MALENTIN KARIME\BANCO ESTADO\2012 DEPTO ESCRITURAS fata\NOTARIA 2009\COMPRAVENTA CON USUFRUCTO\TERESA GONZALEZ A CESAR OSSANDON.doc</t>
  </si>
  <si>
    <t>C:\Users\franc\OneDrive\Documentos\MALENTIN KARIME\BANCO ESTADO\2012 DEPTO ESCRITURAS fata\NOTARIA 2009\COMPRAVENTA CON USUFRUCTO\Solange Grondin a Rebeca Tracy.doc</t>
  </si>
  <si>
    <t>C:\Users\franc\OneDrive\Documentos\MALENTIN KARIME\BANCO ESTADO\2012 DEPTO ESCRITURAS fata\NOTARIA 2009\COMPRAVENTA CON USUFRUCTO\SERGIO NUÑEZ A CARLA ARIAS CON USUFRUCTO.doc</t>
  </si>
  <si>
    <t>C:\Users\franc\OneDrive\Documentos\MALENTIN KARIME\BANCO ESTADO\2012 DEPTO ESCRITURAS fata\NOTARIA 2009\COMPRAVENTA CON USUFRUCTO\RIGOBERTO ARAYA A DELINDA VELASQUEZ.doc</t>
  </si>
  <si>
    <t>C:\Users\franc\OneDrive\Documentos\MALENTIN KARIME\BANCO ESTADO\2012 DEPTO ESCRITURAS fata\NOTARIA 2009\COMPRAVENTA CON USUFRUCTO\RENE DIAZ A JUANA ARAYA.doc</t>
  </si>
  <si>
    <t>C:\Users\franc\OneDrive\Documentos\MALENTIN KARIME\BANCO ESTADO\2012 DEPTO ESCRITURAS fata\NOTARIA 2009\COMPRAVENTA CON USUFRUCTO\NELSON TAPIA A AMANDA INAREJO CON USUFRUCTO.doc</t>
  </si>
  <si>
    <t>C:\Users\franc\OneDrive\Documentos\MALENTIN KARIME\BANCO ESTADO\2012 DEPTO ESCRITURAS fata\NOTARIA 2009\COMPRAVENTA CON USUFRUCTO\modelo.doc</t>
  </si>
  <si>
    <t>C:\Users\franc\OneDrive\Documentos\MALENTIN KARIME\BANCO ESTADO\2012 DEPTO ESCRITURAS fata\NOTARIA 2009\COMPRAVENTA CON USUFRUCTO\MARGARITA OLIVARES A CLAUDIO CORTES.doc</t>
  </si>
  <si>
    <t>C:\Users\franc\OneDrive\Documentos\MALENTIN KARIME\BANCO ESTADO\2012 DEPTO ESCRITURAS fata\NOTARIA 2009\COMPRAVENTA CON USUFRUCTO\LIDA TORRES A KAREN MARTINEZ.doc</t>
  </si>
  <si>
    <t>C:\Users\franc\OneDrive\Documentos\MALENTIN KARIME\BANCO ESTADO\2012 DEPTO ESCRITURAS fata\NOTARIA 2009\COMPRAVENTA CON USUFRUCTO\ISABEL MUÑOZ Y CONYUGE A LUISA SEGURA.doc</t>
  </si>
  <si>
    <t>C:\Users\franc\OneDrive\Documentos\MALENTIN KARIME\BANCO ESTADO\2012 DEPTO ESCRITURAS fata\NOTARIA 2009\COMPRAVENTA CON USUFRUCTO\GUILLERMO RAMOS A CESAR ROJAS  (USUFRUC) CON MUEBLES.doc</t>
  </si>
  <si>
    <t>C:\Users\franc\OneDrive\Documentos\MALENTIN KARIME\BANCO ESTADO\2012 DEPTO ESCRITURAS fata\NOTARIA 2009\COMPRAVENTA CON USUFRUCTO\GABRIELA JOPIA A SUS HIJOS.doc</t>
  </si>
  <si>
    <t>C:\Users\franc\OneDrive\Documentos\MALENTIN KARIME\BANCO ESTADO\2012 DEPTO ESCRITURAS fata\NOTARIA 2009\COMPRAVENTA CON USUFRUCTO\Ernestina Ulloa Rojas a RAUL ULLOA.doc</t>
  </si>
  <si>
    <t>C:\Users\franc\OneDrive\Documentos\MALENTIN KARIME\BANCO ESTADO\2012 DEPTO ESCRITURAS fata\NOTARIA 2009\COMPRAVENTA CON USUFRUCTO\EDMUNDO ARAYA Y CONYUGE A GILBERTO TABILOCON USUFRUCTO.doc</t>
  </si>
  <si>
    <t>C:\Users\franc\OneDrive\Documentos\MALENTIN KARIME\BANCO ESTADO\2012 DEPTO ESCRITURAS fata\NOTARIA 2009\COMPRAVENTA CON USUFRUCTO\CELINA PEREZ TORO  A EDUARDO ORTIZ.doc</t>
  </si>
  <si>
    <t>C:\Users\franc\OneDrive\Documentos\MALENTIN KARIME\BANCO ESTADO\2012 DEPTO ESCRITURAS fata\NOTARIA 2009\COMPRAVENTA CON USUFRUCTO\CARLOS ALCAYAGA A SUS NIETAS CON USUFRUCTO.doc</t>
  </si>
  <si>
    <t>C:\Users\franc\OneDrive\Documentos\MALENTIN KARIME\BANCO ESTADO\2012 DEPTO ESCRITURAS fata\NOTARIA 2009\COMPRAVENTA CON USUFRUCTO\CANDIDO MORALES A SUS HIJAS (CON USUFRUCTO).doc</t>
  </si>
  <si>
    <t>C:\Users\franc\OneDrive\Documentos\MALENTIN KARIME\BANCO ESTADO\2012 DEPTO ESCRITURAS fata\NOTARIA 2009\COMPRAVENTA CON USUFRUCTO\BENITA BARRAZA  A SUS HIJOS (SOLA).doc</t>
  </si>
  <si>
    <t>C:\Users\franc\OneDrive\Documentos\MALENTIN KARIME\BANCO ESTADO\2012 DEPTO ESCRITURAS fata\NOTARIA 2009\COMPRAVENTA CON USUFRUCTO\BELLA LAFFERTE ROJAS A MARIA HENRIQUEZ.doc</t>
  </si>
  <si>
    <t>C:\Users\franc\OneDrive\Documentos\MALENTIN KARIME\BANCO ESTADO\2012 DEPTO ESCRITURAS fata\NOTARIA 2009\COMPRAVENTA CON USUFRUCTO\ANA DIAZ A EVELYN CODOCEDO C CONYUGE.doc</t>
  </si>
  <si>
    <t>C:\Users\franc\OneDrive\Documentos\MALENTIN KARIME\BANCO ESTADO\2012 DEPTO ESCRITURAS fata\NOTARIA 2009\COMPRAVENTA CON USUFRUCTO\ALFONSO PALTA A SU HIJO CON USUFRUCTO.doc</t>
  </si>
  <si>
    <t>C:\Users\franc\OneDrive\Documentos\MALENTIN KARIME\BANCO ESTADO\2012 DEPTO ESCRITURAS fata\NOTARIA 2009\COMPRAVENTA CON SUBSIDIO DS 174\NORMA VALLE A VITALIA ARAYA.doc</t>
  </si>
  <si>
    <t>C:\Users\franc\OneDrive\Documentos\MALENTIN KARIME\BANCO ESTADO\2012 DEPTO ESCRITURAS fata\NOTARIA 2009\COMPRAVENTA CON SUBSIDIO DS 174\MARIA ROJAS A CARMEN JOPIA.doc</t>
  </si>
  <si>
    <t>C:\Users\franc\OneDrive\Documentos\MALENTIN KARIME\BANCO ESTADO\2012 DEPTO ESCRITURAS fata\NOTARIA 2009\COMPRAVENTA CON SUBSIDIO DS 174\LUIS JAIME A SANDRA ANDRADE.doc</t>
  </si>
  <si>
    <t>C:\Users\franc\OneDrive\Documentos\MALENTIN KARIME\BANCO ESTADO\2012 DEPTO ESCRITURAS fata\NOTARIA 2009\COMPRAVENTA CON SUBSIDIO DS 174\Firmaron ante  mí.doc</t>
  </si>
  <si>
    <t>C:\Users\franc\OneDrive\Documentos\MALENTIN KARIME\BANCO ESTADO\2012 DEPTO ESCRITURAS fata\NOTARIA 2009\COMPRAVENTA CON SUBSIDIO DS 174\COSME MICHEA A ROMELIO ALUCEMA.doc</t>
  </si>
  <si>
    <t>C:\Users\franc\OneDrive\Documentos\MALENTIN KARIME\BANCO ESTADO\2012 DEPTO ESCRITURAS fata\NOTARIA 2009\COMPRAVENTA BIENES MUEBLES\WILSON SALINAS A SOC. NUEVA VIDA LTDA.doc</t>
  </si>
  <si>
    <t>C:\Users\franc\OneDrive\Documentos\MALENTIN KARIME\BANCO ESTADO\2012 DEPTO ESCRITURAS fata\NOTARIA 2009\COMPRAVENTA BIENES MUEBLES\WILSON SALINAS A SOC. NUEVA VIDA LTDA..doc</t>
  </si>
  <si>
    <t>C:\Users\franc\OneDrive\Documentos\MALENTIN KARIME\BANCO ESTADO\2012 DEPTO ESCRITURAS fata\NOTARIA 2009\COMPRAVENTA BIENES MUEBLES\VINKA TOMELIC.doc</t>
  </si>
  <si>
    <t>C:\Users\franc\OneDrive\Documentos\MALENTIN KARIME\BANCO ESTADO\2012 DEPTO ESCRITURAS fata\NOTARIA 2009\COMPRAVENTA BIENES MUEBLES\FREDY FIGUEROA A MARIA ALFARO 08-10-2007.doc</t>
  </si>
  <si>
    <t>C:\Users\franc\OneDrive\Documentos\MALENTIN KARIME\BANCO ESTADO\2012 DEPTO ESCRITURAS fata\NOTARIA 2009\COMPRAVENTA BIENES MUEBLES\AMELIA CORTES A CLAUDIO CARMONA (SANDRA).doc</t>
  </si>
  <si>
    <t>C:\Users\franc\OneDrive\Documentos\MALENTIN KARIME\BANCO ESTADO\2012 DEPTO ESCRITURAS fata\NOTARIA 2009\COMPRAVENTA BIENES MUEBLES\AIRE NORTE LTDA A MARCIAL VEGA (PAPA).doc</t>
  </si>
  <si>
    <t>C:\Users\franc\OneDrive\Documentos\MALENTIN KARIME\BANCO ESTADO\2012 DEPTO ESCRITURAS fata\NOTARIA 2009\COMPRAVENTA BIENES MUEBLES\ADRIANA JOFRE A IVAN GAMBOA.doc</t>
  </si>
  <si>
    <t>C:\Users\franc\OneDrive\Documentos\MALENTIN KARIME\BANCO ESTADO\2012 DEPTO ESCRITURAS fata\NOTARIA 2009\COMPLEMENTACION\TERESA CASTILLO (CESION DERECHOS HEREDITARIOS).doc</t>
  </si>
  <si>
    <t>C:\Users\franc\OneDrive\Documentos\MALENTIN KARIME\BANCO ESTADO\2012 DEPTO ESCRITURAS fata\NOTARIA 2009\COMPLEMENTACION\ROSA PIZARRO Y OTROS A SONIA GALLEGUILLOS (C. ARDILES).doc</t>
  </si>
  <si>
    <t>C:\Users\franc\OneDrive\Documentos\MALENTIN KARIME\BANCO ESTADO\2012 DEPTO ESCRITURAS fata\NOTARIA 2009\COMPLEMENTACION\ROBINSON DIAZ.doc</t>
  </si>
  <si>
    <t>C:\Users\franc\OneDrive\Documentos\MALENTIN KARIME\BANCO ESTADO\2012 DEPTO ESCRITURAS fata\NOTARIA 2009\COMPLEMENTACION\RAUL ROBLES A JUAN ROBLES.doc</t>
  </si>
  <si>
    <t>C:\Users\franc\OneDrive\Documentos\MALENTIN KARIME\BANCO ESTADO\2012 DEPTO ESCRITURAS fata\NOTARIA 2009\COMPLEMENTACION\RAMON HENRIQUEZ.doc</t>
  </si>
  <si>
    <t>C:\Users\franc\OneDrive\Documentos\MALENTIN KARIME\BANCO ESTADO\2012 DEPTO ESCRITURAS fata\NOTARIA 2009\COMPLEMENTACION\PATSY ABRILOT A SOC. AGRIC. EL SAUCE.doc</t>
  </si>
  <si>
    <t>C:\Users\franc\OneDrive\Documentos\MALENTIN KARIME\BANCO ESTADO\2012 DEPTO ESCRITURAS fata\NOTARIA 2009\COMPLEMENTACION\MODELO.doc</t>
  </si>
  <si>
    <t>C:\Users\franc\OneDrive\Documentos\MALENTIN KARIME\BANCO ESTADO\2012 DEPTO ESCRITURAS fata\NOTARIA 2009\COMPLEMENTACION\MARTA VENEGAS A ABEL ROBLES  (AGUAS).doc</t>
  </si>
  <si>
    <t>C:\Users\franc\OneDrive\Documentos\MALENTIN KARIME\BANCO ESTADO\2012 DEPTO ESCRITURAS fata\NOTARIA 2009\COMPLEMENTACION\MARIA MICHEA HONORES.doc</t>
  </si>
  <si>
    <t>C:\Users\franc\OneDrive\Documentos\MALENTIN KARIME\BANCO ESTADO\2012 DEPTO ESCRITURAS fata\NOTARIA 2009\COMPLEMENTACION\MAILIN SAN FRANCISCO.doc</t>
  </si>
  <si>
    <t>C:\Users\franc\OneDrive\Documentos\MALENTIN KARIME\BANCO ESTADO\2012 DEPTO ESCRITURAS fata\NOTARIA 2009\COMPLEMENTACION\LUIS GARRIDO (CESION DERECHOS GUANAQUEROS).doc</t>
  </si>
  <si>
    <t>C:\Users\franc\OneDrive\Documentos\MALENTIN KARIME\BANCO ESTADO\2012 DEPTO ESCRITURAS fata\NOTARIA 2009\COMPLEMENTACION\L.S.P. AGRICOLA (AGUAS).doc</t>
  </si>
  <si>
    <t>C:\Users\franc\OneDrive\Documentos\MALENTIN KARIME\BANCO ESTADO\2012 DEPTO ESCRITURAS fata\NOTARIA 2009\COMPLEMENTACION\JUAN GALLEGUILLOS A MIRIAS URQUETA.doc</t>
  </si>
  <si>
    <t>C:\Users\franc\OneDrive\Documentos\MALENTIN KARIME\BANCO ESTADO\2012 DEPTO ESCRITURAS fata\NOTARIA 2009\COMPLEMENTACION\JOSE ARAYA A LSP AGRICOLA LIMITADA.doc</t>
  </si>
  <si>
    <t>C:\Users\franc\OneDrive\Documentos\MALENTIN KARIME\BANCO ESTADO\2012 DEPTO ESCRITURAS fata\NOTARIA 2009\COMPLEMENTACION\HUGO CORTES A SAMUEL VILLARROEL  (ACLAR Y COMP).doc</t>
  </si>
  <si>
    <t>C:\Users\franc\OneDrive\Documentos\MALENTIN KARIME\BANCO ESTADO\2012 DEPTO ESCRITURAS fata\NOTARIA 2009\COMPLEMENTACION\GRACIELA CODOCEO ARAYA.doc</t>
  </si>
  <si>
    <t>C:\Users\franc\OneDrive\Documentos\MALENTIN KARIME\BANCO ESTADO\2012 DEPTO ESCRITURAS fata\NOTARIA 2009\COMPLEMENTACION\EMA JARAMILLO A CLAUDIA Y VERONICA.doc</t>
  </si>
  <si>
    <t>C:\Users\franc\OneDrive\Documentos\MALENTIN KARIME\BANCO ESTADO\2012 DEPTO ESCRITURAS fata\NOTARIA 2009\COMPLEMENTACION\EMA JARAMILLO A CLAUDIA Y VERONICA final.doc</t>
  </si>
  <si>
    <t>C:\Users\franc\OneDrive\Documentos\MALENTIN KARIME\BANCO ESTADO\2012 DEPTO ESCRITURAS fata\NOTARIA 2009\COMPLEMENTACION\EDUARDO JULIO.doc</t>
  </si>
  <si>
    <t>C:\Users\franc\OneDrive\Documentos\MALENTIN KARIME\BANCO ESTADO\2012 DEPTO ESCRITURAS fata\NOTARIA 2009\COMPLEMENTACION\COMITE VILLA ESPERANZA.doc</t>
  </si>
  <si>
    <t>C:\Users\franc\OneDrive\Documentos\MALENTIN KARIME\BANCO ESTADO\2012 DEPTO ESCRITURAS fata\NOTARIA 2009\COMPLEMENTACION\CESION E DERECHOS SRA CECILIA (CORREGIDA).doc</t>
  </si>
  <si>
    <t>C:\Users\franc\OneDrive\Documentos\MALENTIN KARIME\BANCO ESTADO\2012 DEPTO ESCRITURAS fata\NOTARIA 2009\COMPLEMENTACION\CESION DE DERECHOS  PARCELAS 6 Y 7 (CORREGIDA).doc</t>
  </si>
  <si>
    <t>C:\Users\franc\OneDrive\Documentos\MALENTIN KARIME\BANCO ESTADO\2012 DEPTO ESCRITURAS fata\NOTARIA 2009\COMPLEMENTACION\BRIJIDA CISTERNAS A JUAN GUTIERREZ.doc</t>
  </si>
  <si>
    <t>C:\Users\franc\OneDrive\Documentos\MALENTIN KARIME\BANCO ESTADO\2012 DEPTO ESCRITURAS fata\NOTARIA 2009\COMPAÑIA PISQUERA DE CHILE\SUBDIVISION TABALI.doc</t>
  </si>
  <si>
    <t>C:\Users\franc\OneDrive\Documentos\MALENTIN KARIME\BANCO ESTADO\2012 DEPTO ESCRITURAS fata\NOTARIA 2009\COMPAÑIA PISQUERA DE CHILE\RATIFICACION GRACIELA PARADA.doc</t>
  </si>
  <si>
    <t>C:\Users\franc\OneDrive\Documentos\MALENTIN KARIME\BANCO ESTADO\2012 DEPTO ESCRITURAS fata\NOTARIA 2009\COMPAÑIA PISQUERA DE CHILE\MANUEL TABILO AGUAS.doc</t>
  </si>
  <si>
    <t>C:\Users\franc\OneDrive\Documentos\MALENTIN KARIME\BANCO ESTADO\2012 DEPTO ESCRITURAS fata\NOTARIA 2009\COMPAÑIA PISQUERA DE CHILE\LORENZO DIAZ AGUAS.doc</t>
  </si>
  <si>
    <t>C:\Users\franc\OneDrive\Documentos\MALENTIN KARIME\BANCO ESTADO\2012 DEPTO ESCRITURAS fata\NOTARIA 2009\COMPAÑIA PISQUERA DE CHILE\JOSE FLORES.doc</t>
  </si>
  <si>
    <t>C:\Users\franc\OneDrive\Documentos\MALENTIN KARIME\BANCO ESTADO\2012 DEPTO ESCRITURAS fata\NOTARIA 2009\COMPAÑIA PISQUERA DE CHILE\INSTRUCCIONES NOT. C-V- AGUAS COGOTI.doc</t>
  </si>
  <si>
    <t>C:\Users\franc\OneDrive\Documentos\MALENTIN KARIME\BANCO ESTADO\2012 DEPTO ESCRITURAS fata\NOTARIA 2009\COMPAÑIA PISQUERA DE CHILE\INSTRUCCIONES NOT- AGUAS H SEGOVIA.doc</t>
  </si>
  <si>
    <t>C:\Users\franc\OneDrive\Documentos\MALENTIN KARIME\BANCO ESTADO\2012 DEPTO ESCRITURAS fata\NOTARIA 2009\COMPAÑIA PISQUERA DE CHILE\INSTRUCCIONES NOT- AGUAS GUINDO.doc</t>
  </si>
  <si>
    <t>C:\Users\franc\OneDrive\Documentos\MALENTIN KARIME\BANCO ESTADO\2012 DEPTO ESCRITURAS fata\NOTARIA 2009\COMPAÑIA PISQUERA DE CHILE\INSTRUCCIONES NOT- AGUAS FLORES.doc</t>
  </si>
  <si>
    <t>C:\Users\franc\OneDrive\Documentos\MALENTIN KARIME\BANCO ESTADO\2012 DEPTO ESCRITURAS fata\NOTARIA 2009\COMPAÑIA PISQUERA DE CHILE\INSTRUCCIONES NOT- AGUAS COGOTI.doc</t>
  </si>
  <si>
    <t>C:\Users\franc\OneDrive\Documentos\MALENTIN KARIME\BANCO ESTADO\2012 DEPTO ESCRITURAS fata\NOTARIA 2009\COMPAÑIA PISQUERA DE CHILE\HUGO SEGOVIA AGUAS.doc</t>
  </si>
  <si>
    <t>C:\Users\franc\OneDrive\Documentos\MALENTIN KARIME\BANCO ESTADO\2012 DEPTO ESCRITURAS fata\NOTARIA 2009\COMPAÑIA PISQUERA DE CHILE\FUSION TABALI.doc</t>
  </si>
  <si>
    <t>C:\Users\franc\OneDrive\Documentos\MALENTIN KARIME\BANCO ESTADO\2012 DEPTO ESCRITURAS fata\NOTARIA 2009\COMPAÑIA PISQUERA DE CHILE\ELORZA MANDATO.doc</t>
  </si>
  <si>
    <t>C:\Users\franc\OneDrive\Documentos\MALENTIN KARIME\BANCO ESTADO\2012 DEPTO ESCRITURAS fata\NOTARIA 2009\COMPAÑIA PISQUERA DE CHILE\DIEGO GARCIA GAHONA.doc</t>
  </si>
  <si>
    <t>C:\Users\franc\OneDrive\Documentos\MALENTIN KARIME\BANCO ESTADO\2012 DEPTO ESCRITURAS fata\NOTARIA 2009\COMPAÑIA PISQUERA DE CHILE\CIA. PISQUERA CHILE A MANUEL LOPEZ.doc</t>
  </si>
  <si>
    <t>C:\Users\franc\OneDrive\Documentos\MALENTIN KARIME\BANCO ESTADO\2012 DEPTO ESCRITURAS fata\NOTARIA 2009\COMPAÑIA PISQUERA DE CHILE\CIA PISQUERA A SOC LAS CABRAS.doc</t>
  </si>
  <si>
    <t>C:\Users\franc\OneDrive\Documentos\MALENTIN KARIME\BANCO ESTADO\2012 DEPTO ESCRITURAS fata\NOTARIA 2009\COMPAÑIA PISQUERA DE CHILE\ANGOSTURA - ACLARA AGUAS.doc</t>
  </si>
  <si>
    <t>C:\Users\franc\OneDrive\Documentos\MALENTIN KARIME\BANCO ESTADO\2012 DEPTO ESCRITURAS fata\NOTARIA 2009\COMPAÑIA MINERA TAMAYA\RECTIFICACION POTRERILLOS.doc</t>
  </si>
  <si>
    <t>C:\Users\franc\OneDrive\Documentos\MALENTIN KARIME\BANCO ESTADO\2012 DEPTO ESCRITURAS fata\NOTARIA 2009\COMPAÑIA MINERA TAMAYA\OPCION MINERA CON S.L.M. ELVIRA.doc</t>
  </si>
  <si>
    <t>C:\Users\franc\OneDrive\Documentos\MALENTIN KARIME\BANCO ESTADO\2012 DEPTO ESCRITURAS fata\NOTARIA 2009\COMPAÑIA MINERA TAMAYA\FREDY BUSTOS  Y STEPHEN PLA.doc</t>
  </si>
  <si>
    <t>C:\Users\franc\OneDrive\Documentos\MALENTIN KARIME\BANCO ESTADO\2012 DEPTO ESCRITURAS fata\NOTARIA 2009\COMPAÑIA MINERA TAMAYA\FINIQUITO CIA. MRA. PUNITAQUI Y OTRAS A ROBERT GEORGE.doc</t>
  </si>
  <si>
    <t>C:\Users\franc\OneDrive\Documentos\MALENTIN KARIME\BANCO ESTADO\2012 DEPTO ESCRITURAS fata\NOTARIA 2009\COMPAÑIA MINERA TAMAYA\CIA. MRA. TAMAYA A FREDY BUSTOS (MANDATO).doc</t>
  </si>
  <si>
    <t>C:\Users\franc\OneDrive\Documentos\MALENTIN KARIME\BANCO ESTADO\2012 DEPTO ESCRITURAS fata\NOTARIA 2009\COMPAÑIA MINERA TAMAYA\CIA. MRA. TAMAYA A COM. AGRIC. PUNITAQUI.doc</t>
  </si>
  <si>
    <t>C:\Users\franc\OneDrive\Documentos\MALENTIN KARIME\BANCO ESTADO\2012 DEPTO ESCRITURAS fata\NOTARIA 2009\COMPAÑIA MINERA TAMAYA\CIA. MRA. PUNITAQUI SCM A FREDY BUSTOS (MANDATO).doc</t>
  </si>
  <si>
    <t>C:\Users\franc\OneDrive\Documentos\MALENTIN KARIME\BANCO ESTADO\2012 DEPTO ESCRITURAS fata\NOTARIA 2009\COMPAÑIA MINERA TAMAYA\CIA. MINERA PUNITAQUI A JUAN PASTEN.doc</t>
  </si>
  <si>
    <t>C:\Users\franc\OneDrive\Documentos\MALENTIN KARIME\BANCO ESTADO\2012 DEPTO ESCRITURAS fata\NOTARIA 2009\COMPAÑIA MINERA PUNITAQUI\SILVIA RODRIGUEZ.doc</t>
  </si>
  <si>
    <t>C:\Users\franc\OneDrive\Documentos\MALENTIN KARIME\BANCO ESTADO\2012 DEPTO ESCRITURAS fata\NOTARIA 2009\COMPAÑIA MINERA PUNITAQUI\SERVIDUMBRE.doc</t>
  </si>
  <si>
    <t>C:\Users\franc\OneDrive\Documentos\MALENTIN KARIME\BANCO ESTADO\2012 DEPTO ESCRITURAS fata\NOTARIA 2009\COMPAÑIA MINERA PUNITAQUI\SERVIDUMBRE JULIO 2007.doc</t>
  </si>
  <si>
    <t>C:\Users\franc\OneDrive\Documentos\MALENTIN KARIME\BANCO ESTADO\2012 DEPTO ESCRITURAS fata\NOTARIA 2009\COMPAÑIA MINERA PUNITAQUI\SERVIDUMBRE COMUNIDAD POTRERILLO ALTO.doc</t>
  </si>
  <si>
    <t>C:\Users\franc\OneDrive\Documentos\MALENTIN KARIME\BANCO ESTADO\2012 DEPTO ESCRITURAS fata\NOTARIA 2009\COMPAÑIA MINERA PUNITAQUI\SEGUNDO TAPIA.doc</t>
  </si>
  <si>
    <t>C:\Users\franc\OneDrive\Documentos\MALENTIN KARIME\BANCO ESTADO\2012 DEPTO ESCRITURAS fata\NOTARIA 2009\COMPAÑIA MINERA PUNITAQUI\RUPERTO ORTIZ.doc</t>
  </si>
  <si>
    <t>C:\Users\franc\OneDrive\Documentos\MALENTIN KARIME\BANCO ESTADO\2012 DEPTO ESCRITURAS fata\NOTARIA 2009\COMPAÑIA MINERA PUNITAQUI\OPCION COMPRA HERNAN ARAYA FINAL.doc</t>
  </si>
  <si>
    <t>C:\Users\franc\OneDrive\Documentos\MALENTIN KARIME\BANCO ESTADO\2012 DEPTO ESCRITURAS fata\NOTARIA 2009\COMPAÑIA MINERA PUNITAQUI\MODIFICACION SERVIDUMBRE.doc</t>
  </si>
  <si>
    <t>C:\Users\franc\OneDrive\Documentos\MALENTIN KARIME\BANCO ESTADO\2012 DEPTO ESCRITURAS fata\NOTARIA 2009\COMPAÑIA MINERA PUNITAQUI\MANDATO JUDICIAL.doc</t>
  </si>
  <si>
    <t>C:\Users\franc\OneDrive\Documentos\MALENTIN KARIME\BANCO ESTADO\2012 DEPTO ESCRITURAS fata\NOTARIA 2009\COMPAÑIA MINERA PUNITAQUI\JUNTA ACCIONES CINABRIO.doc</t>
  </si>
  <si>
    <t>C:\Users\franc\OneDrive\Documentos\MALENTIN KARIME\BANCO ESTADO\2012 DEPTO ESCRITURAS fata\NOTARIA 2009\COMPAÑIA MINERA PUNITAQUI\Instruciones al Notario servidumbre potrerillo 50.doc</t>
  </si>
  <si>
    <t>C:\Users\franc\OneDrive\Documentos\MALENTIN KARIME\BANCO ESTADO\2012 DEPTO ESCRITURAS fata\NOTARIA 2009\COMPAÑIA MINERA PUNITAQUI\Instruciones al Notario servidumbre potrerillo 198.doc</t>
  </si>
  <si>
    <t>C:\Users\franc\OneDrive\Documentos\MALENTIN KARIME\BANCO ESTADO\2012 DEPTO ESCRITURAS fata\NOTARIA 2009\COMPAÑIA MINERA PUNITAQUI\Instruciones al Notario servidumbre dalmacia 250.doc</t>
  </si>
  <si>
    <t>C:\Users\franc\OneDrive\Documentos\MALENTIN KARIME\BANCO ESTADO\2012 DEPTO ESCRITURAS fata\NOTARIA 2009\COMPAÑIA MINERA PUNITAQUI\HUMBERTO CORTES (SERVIDUMBRE).doc</t>
  </si>
  <si>
    <t>C:\Users\franc\OneDrive\Documentos\MALENTIN KARIME\BANCO ESTADO\2012 DEPTO ESCRITURAS fata\NOTARIA 2009\COMPAÑIA MINERA PUNITAQUI\HUMBERTO CORTES (ARRENDAMIENTO).doc</t>
  </si>
  <si>
    <t>C:\Users\franc\OneDrive\Documentos\MALENTIN KARIME\BANCO ESTADO\2012 DEPTO ESCRITURAS fata\NOTARIA 2009\COMPAÑIA MINERA PUNITAQUI\GUILDA RAMIREZ.doc</t>
  </si>
  <si>
    <t>C:\Users\franc\OneDrive\Documentos\MALENTIN KARIME\BANCO ESTADO\2012 DEPTO ESCRITURAS fata\NOTARIA 2009\COMPAÑIA MINERA PUNITAQUI\EDUARDO ROJAS.doc</t>
  </si>
  <si>
    <t>C:\Users\franc\OneDrive\Documentos\MALENTIN KARIME\BANCO ESTADO\2012 DEPTO ESCRITURAS fata\NOTARIA 2009\COMPAÑIA MINERA PUNITAQUI\Doc1.doc</t>
  </si>
  <si>
    <t>C:\Users\franc\OneDrive\Documentos\MALENTIN KARIME\BANCO ESTADO\2012 DEPTO ESCRITURAS fata\NOTARIA 2009\COMPAÑIA MINERA PUNITAQUI\DECLARACION Y MANDATO.doc</t>
  </si>
  <si>
    <t>C:\Users\franc\OneDrive\Documentos\MALENTIN KARIME\BANCO ESTADO\2012 DEPTO ESCRITURAS fata\NOTARIA 2009\COMPAÑIA MINERA PUNITAQUI\COMUNIDAD POTRERILLOS DIC. 2007.doc</t>
  </si>
  <si>
    <t>C:\Users\franc\OneDrive\Documentos\MALENTIN KARIME\BANCO ESTADO\2012 DEPTO ESCRITURAS fata\NOTARIA 2009\COMPAÑIA MINERA PUNITAQUI\COMUNIDAD POTRERILLO ALTO (2).doc</t>
  </si>
  <si>
    <t>C:\Users\franc\OneDrive\Documentos\MALENTIN KARIME\BANCO ESTADO\2012 DEPTO ESCRITURAS fata\NOTARIA 2009\COMPAÑIA MINERA PUNITAQUI\CIA MINERA PUNITAQUI A ANGELICA MIÑO.doc</t>
  </si>
  <si>
    <t>C:\Users\franc\OneDrive\Documentos\MALENTIN KARIME\BANCO ESTADO\2012 DEPTO ESCRITURAS fata\NOTARIA 2009\COMPAÑIA MINERA PUNITAQUI\AUTORIZACION (FREDY BUSTOS).doc</t>
  </si>
  <si>
    <t>C:\Users\franc\OneDrive\Documentos\MALENTIN KARIME\BANCO ESTADO\2012 DEPTO ESCRITURAS fata\NOTARIA 2009\COMPAÑIA MINERA PUNITAQUI\AMELIA ORTIZ.doc</t>
  </si>
  <si>
    <t>C:\Users\franc\OneDrive\Documentos\MALENTIN KARIME\BANCO ESTADO\2012 DEPTO ESCRITURAS fata\NOTARIA 2009\COMPAÑIA MINERA PUNITAQUI\ALEJANDRO VALDES (PROMSA Y MANDATO).doc</t>
  </si>
  <si>
    <t>C:\Users\franc\OneDrive\Documentos\MALENTIN KARIME\BANCO ESTADO\2012 DEPTO ESCRITURAS fata\NOTARIA 2009\COMODATO\COMUNIDAD AGRICOLA BARRAZA A COMITE AGUA RURAL.doc</t>
  </si>
  <si>
    <t>C:\Users\franc\OneDrive\Documentos\MALENTIN KARIME\BANCO ESTADO\2012 DEPTO ESCRITURAS fata\NOTARIA 2009\COMODATO\COMUNIDAD AGRICOLA ALCONES A GRICELDA VEGA.doc</t>
  </si>
  <si>
    <t>C:\Users\franc\OneDrive\Documentos\MALENTIN KARIME\BANCO ESTADO\2012 DEPTO ESCRITURAS fata\NOTARIA 2009\COMODATO\COMUNIDAD AGRICOLA ALCONES A COMITE DE ADELANTO LAS TORCAZAS.doc</t>
  </si>
  <si>
    <t>C:\Users\franc\OneDrive\Documentos\MALENTIN KARIME\BANCO ESTADO\2012 DEPTO ESCRITURAS fata\NOTARIA 2009\COMITE VILLA EL TIGRE\MODELO PROTOCOLIZADO.doc</t>
  </si>
  <si>
    <t>C:\Users\franc\OneDrive\Documentos\MALENTIN KARIME\BANCO ESTADO\2012 DEPTO ESCRITURAS fata\NOTARIA 2009\COMITE VILLA EL TIGRE\MODELO PROT.doc</t>
  </si>
  <si>
    <t>C:\Users\franc\OneDrive\Documentos\MALENTIN KARIME\BANCO ESTADO\2012 DEPTO ESCRITURAS fata\NOTARIA 2009\COMASA\PERMUTA Y SERVIDUMBRE JORGE OLIVARES.doc</t>
  </si>
  <si>
    <t>C:\Users\franc\OneDrive\Documentos\MALENTIN KARIME\BANCO ESTADO\2012 DEPTO ESCRITURAS fata\NOTARIA 2009\COMASA\PERMUTA FINAL OLIVARES (1 VEZ).doc</t>
  </si>
  <si>
    <t>C:\Users\franc\OneDrive\Documentos\MALENTIN KARIME\BANCO ESTADO\2012 DEPTO ESCRITURAS fata\NOTARIA 2009\COMASA\PERMUTA FINAL 17-08-2006.doc</t>
  </si>
  <si>
    <t>C:\Users\franc\OneDrive\Documentos\MALENTIN KARIME\BANCO ESTADO\2012 DEPTO ESCRITURAS fata\NOTARIA 2009\COLOMBRES\CARTA DE INSTRUCCIONES.doc</t>
  </si>
  <si>
    <t>C:\Users\franc\OneDrive\Documentos\MALENTIN KARIME\BANCO ESTADO\2012 DEPTO ESCRITURAS fata\NOTARIA 2009\COLOMBRES\CARTA DE INSTRUCCIONES 2.doc</t>
  </si>
  <si>
    <t>C:\Users\franc\OneDrive\Documentos\MALENTIN KARIME\BANCO ESTADO\2012 DEPTO ESCRITURAS fata\NOTARIA 2009\COLOMBRES\CARLOS BROWNE A ELIZABETH ROBLES.doc</t>
  </si>
  <si>
    <t>C:\Users\franc\OneDrive\Documentos\MALENTIN KARIME\BANCO ESTADO\2012 DEPTO ESCRITURAS fata\NOTARIA 2009\COLOMBRES\CARLOS BROWNE A ELIZABETH ROBLES  2.doc</t>
  </si>
  <si>
    <t>C:\Users\franc\OneDrive\Documentos\MALENTIN KARIME\BANCO ESTADO\2012 DEPTO ESCRITURAS fata\NOTARIA 2009\CLAUDIO MORGADO\SOCIEDAD DMO.doc</t>
  </si>
  <si>
    <t>C:\Users\franc\OneDrive\Documentos\MALENTIN KARIME\BANCO ESTADO\2012 DEPTO ESCRITURAS fata\NOTARIA 2009\CLAUDIO MORGADO\MAURO MANFREDI A KARINA MANFREDI (DERECHOS).doc</t>
  </si>
  <si>
    <t>C:\Users\franc\OneDrive\Documentos\MALENTIN KARIME\BANCO ESTADO\2012 DEPTO ESCRITURAS fata\NOTARIA 2009\CLAUDIO MORGADO\MANDATO GENERAL DMO.doc</t>
  </si>
  <si>
    <t>C:\Users\franc\OneDrive\Documentos\MALENTIN KARIME\BANCO ESTADO\2012 DEPTO ESCRITURAS fata\NOTARIA 2009\CLAUDIO MORGADO\Extracto Modif AGROVAL S.A..doc</t>
  </si>
  <si>
    <t>C:\Users\franc\OneDrive\Documentos\MALENTIN KARIME\BANCO ESTADO\2012 DEPTO ESCRITURAS fata\NOTARIA 2009\CLAUDIO MORGADO\COMODATO CIA. DEMETRIO TELLO.doc</t>
  </si>
  <si>
    <t>C:\Users\franc\OneDrive\Documentos\MALENTIN KARIME\BANCO ESTADO\2012 DEPTO ESCRITURAS fata\NOTARIA 2009\CLAUDIO MORGADO\AGUIRRE CHARLON.doc</t>
  </si>
  <si>
    <t>C:\Users\franc\OneDrive\Documentos\MALENTIN KARIME\BANCO ESTADO\2012 DEPTO ESCRITURAS fata\NOTARIA 2009\CLAUDIO MARCHANT\ISMELDA MILLA A SOC. CONTRACTUAL MINERA.doc</t>
  </si>
  <si>
    <t>C:\Users\franc\OneDrive\Documentos\MALENTIN KARIME\BANCO ESTADO\2012 DEPTO ESCRITURAS fata\NOTARIA 2009\CLAUDIO CASTILLO\MARIANO_DIAZ_A_AGRICOLA_LLANO_NEGRO_20062009_PARA_CORREGIR[1].doc</t>
  </si>
  <si>
    <t>C:\Users\franc\OneDrive\Documentos\MALENTIN KARIME\BANCO ESTADO\2012 DEPTO ESCRITURAS fata\NOTARIA 2009\CLAUDIO ARDILES\transacción.doc</t>
  </si>
  <si>
    <t>C:\Users\franc\OneDrive\Documentos\MALENTIN KARIME\BANCO ESTADO\2012 DEPTO ESCRITURAS fata\NOTARIA 2009\CLAUDIO ARDILES\transacción arnaldo-rosa.doc</t>
  </si>
  <si>
    <t>C:\Users\franc\OneDrive\Documentos\MALENTIN KARIME\BANCO ESTADO\2012 DEPTO ESCRITURAS fata\NOTARIA 2009\CLAUDIO ARDILES\TRANSACCION   FINAL CON CORRECCION.doc</t>
  </si>
  <si>
    <t>C:\Users\franc\OneDrive\Documentos\MALENTIN KARIME\BANCO ESTADO\2012 DEPTO ESCRITURAS fata\NOTARIA 2009\CLAUDIO ARDILES\TECNOCITRUS.doc</t>
  </si>
  <si>
    <t>C:\Users\franc\OneDrive\Documentos\MALENTIN KARIME\BANCO ESTADO\2012 DEPTO ESCRITURAS fata\NOTARIA 2009\CLAUDIO ARDILES\SOCIEDAD MARCELO Y LEONARDO CORRRAL Y CIA.doc</t>
  </si>
  <si>
    <t>C:\Users\franc\OneDrive\Documentos\MALENTIN KARIME\BANCO ESTADO\2012 DEPTO ESCRITURAS fata\NOTARIA 2009\CLAUDIO ARDILES\SOC. MARCELO Y LEONARDO (FINAL).doc</t>
  </si>
  <si>
    <t>C:\Users\franc\OneDrive\Documentos\MALENTIN KARIME\BANCO ESTADO\2012 DEPTO ESCRITURAS fata\NOTARIA 2009\CLAUDIO ARDILES\SOC. COLECTIVA BERNARDO SANTANDER Y OTRA.doc</t>
  </si>
  <si>
    <t>C:\Users\franc\OneDrive\Documentos\MALENTIN KARIME\BANCO ESTADO\2012 DEPTO ESCRITURAS fata\NOTARIA 2009\CLAUDIO ARDILES\SLM EL DORADO Y OTROS A LEONEL ZAPATA (JUNIO 2009).doc</t>
  </si>
  <si>
    <t>C:\Users\franc\OneDrive\Documentos\MALENTIN KARIME\BANCO ESTADO\2012 DEPTO ESCRITURAS fata\NOTARIA 2009\CLAUDIO ARDILES\SERGIO VALDERRAMA A CLAUDIO ARDILES  (Man.  jud).doc</t>
  </si>
  <si>
    <t>C:\Users\franc\OneDrive\Documentos\MALENTIN KARIME\BANCO ESTADO\2012 DEPTO ESCRITURAS fata\NOTARIA 2009\CLAUDIO ARDILES\SELIM DABED Y OTROS A CLAUDIO ARDILES (MANDATO JUDICIAL).doc</t>
  </si>
  <si>
    <t>C:\Users\franc\OneDrive\Documentos\MALENTIN KARIME\BANCO ESTADO\2012 DEPTO ESCRITURAS fata\NOTARIA 2009\CLAUDIO ARDILES\SELIM DABED (RENUNCIA DE USUFRUCTO -.doc</t>
  </si>
  <si>
    <t>C:\Users\franc\OneDrive\Documentos\MALENTIN KARIME\BANCO ESTADO\2012 DEPTO ESCRITURAS fata\NOTARIA 2009\CLAUDIO ARDILES\ROSA PIZARRO Y OTROS A SONIA GALLEGUILLOS.doc</t>
  </si>
  <si>
    <t>C:\Users\franc\OneDrive\Documentos\MALENTIN KARIME\BANCO ESTADO\2012 DEPTO ESCRITURAS fata\NOTARIA 2009\CLAUDIO ARDILES\rodrigo tello a tellcor.doc</t>
  </si>
  <si>
    <t>C:\Users\franc\OneDrive\Documentos\MALENTIN KARIME\BANCO ESTADO\2012 DEPTO ESCRITURAS fata\NOTARIA 2009\CLAUDIO ARDILES\RICARDO CORRAL A CLAUDIO ARDILES Y OTRO (MANDATO JUD).doc</t>
  </si>
  <si>
    <t>C:\Users\franc\OneDrive\Documentos\MALENTIN KARIME\BANCO ESTADO\2012 DEPTO ESCRITURAS fata\NOTARIA 2009\CLAUDIO ARDILES\RENTA E INVERSIONES LAGUNA AZUL A TELLCOR.doc</t>
  </si>
  <si>
    <t>C:\Users\franc\OneDrive\Documentos\MALENTIN KARIME\BANCO ESTADO\2012 DEPTO ESCRITURAS fata\NOTARIA 2009\CLAUDIO ARDILES\REDUCCION ACTA JUNTA ACC. EL DORADO (JUNIO 22).doc</t>
  </si>
  <si>
    <t>C:\Users\franc\OneDrive\Documentos\MALENTIN KARIME\BANCO ESTADO\2012 DEPTO ESCRITURAS fata\NOTARIA 2009\CLAUDIO ARDILES\PROTOCOLIZACION PERMISO NOTARIO.doc</t>
  </si>
  <si>
    <t>C:\Users\franc\OneDrive\Documentos\MALENTIN KARIME\BANCO ESTADO\2012 DEPTO ESCRITURAS fata\NOTARIA 2009\CLAUDIO ARDILES\PROMESA VENTA PERSONAL.doc</t>
  </si>
  <si>
    <t>C:\Users\franc\OneDrive\Documentos\MALENTIN KARIME\BANCO ESTADO\2012 DEPTO ESCRITURAS fata\NOTARIA 2009\CLAUDIO ARDILES\PARTICION HOEFTER.doc</t>
  </si>
  <si>
    <t>C:\Users\franc\OneDrive\Documentos\MALENTIN KARIME\BANCO ESTADO\2012 DEPTO ESCRITURAS fata\NOTARIA 2009\CLAUDIO ARDILES\MAVIS ALVAREZ Y OTROS A LEONEL ZAPATA.doc</t>
  </si>
  <si>
    <t>C:\Users\franc\OneDrive\Documentos\MALENTIN KARIME\BANCO ESTADO\2012 DEPTO ESCRITURAS fata\NOTARIA 2009\CLAUDIO ARDILES\MAVIS ALVAREZ Y OTROS A LEONEL ZAPATA (CONTRATO REVISADO).doc</t>
  </si>
  <si>
    <t>C:\Users\franc\OneDrive\Documentos\MALENTIN KARIME\BANCO ESTADO\2012 DEPTO ESCRITURAS fata\NOTARIA 2009\CLAUDIO ARDILES\MAVIS ALVAREZ (MANDATO JUDICIAL A LUCIANO SARMIENTO).doc</t>
  </si>
  <si>
    <t>C:\Users\franc\OneDrive\Documentos\MALENTIN KARIME\BANCO ESTADO\2012 DEPTO ESCRITURAS fata\NOTARIA 2009\CLAUDIO ARDILES\MARIO LUNA  (MANDATO JUDICIAL A LUCIANO SARMIENTO).doc</t>
  </si>
  <si>
    <t>C:\Users\franc\OneDrive\Documentos\MALENTIN KARIME\BANCO ESTADO\2012 DEPTO ESCRITURAS fata\NOTARIA 2009\CLAUDIO ARDILES\MARCELO CORRAL Y OTRO A CLAUDIO ARDILES (MANDATO ).doc</t>
  </si>
  <si>
    <t>C:\Users\franc\OneDrive\Documentos\MALENTIN KARIME\BANCO ESTADO\2012 DEPTO ESCRITURAS fata\NOTARIA 2009\CLAUDIO ARDILES\MARCELO CORRAL A CLAUDIO ARDILES Y OTR.doc</t>
  </si>
  <si>
    <t>C:\Users\franc\OneDrive\Documentos\MALENTIN KARIME\BANCO ESTADO\2012 DEPTO ESCRITURAS fata\NOTARIA 2009\CLAUDIO ARDILES\LUIS BAEZA (MANDATO JUDICIAL).doc</t>
  </si>
  <si>
    <t>C:\Users\franc\OneDrive\Documentos\MALENTIN KARIME\BANCO ESTADO\2012 DEPTO ESCRITURAS fata\NOTARIA 2009\CLAUDIO ARDILES\LUCIA DONOSO A CLAUDIO ARDILES.doc</t>
  </si>
  <si>
    <t>C:\Users\franc\OneDrive\Documentos\MALENTIN KARIME\BANCO ESTADO\2012 DEPTO ESCRITURAS fata\NOTARIA 2009\CLAUDIO ARDILES\LEONEL ZAPATA A MAVIS Y OTROS (ARRENDA Y OPCION).doc</t>
  </si>
  <si>
    <t>C:\Users\franc\OneDrive\Documentos\MALENTIN KARIME\BANCO ESTADO\2012 DEPTO ESCRITURAS fata\NOTARIA 2009\CLAUDIO ARDILES\JUAN TORRES A IVAN MARTINAC.doc</t>
  </si>
  <si>
    <t>C:\Users\franc\OneDrive\Documentos\MALENTIN KARIME\BANCO ESTADO\2012 DEPTO ESCRITURAS fata\NOTARIA 2009\CLAUDIO ARDILES\JUAN BARRERA A .......doc</t>
  </si>
  <si>
    <t>C:\Users\franc\OneDrive\Documentos\MALENTIN KARIME\BANCO ESTADO\2012 DEPTO ESCRITURAS fata\NOTARIA 2009\CLAUDIO ARDILES\JORGE CUEVAS EXTRACTO.doc</t>
  </si>
  <si>
    <t>C:\Users\franc\OneDrive\Documentos\MALENTIN KARIME\BANCO ESTADO\2012 DEPTO ESCRITURAS fata\NOTARIA 2009\CLAUDIO ARDILES\JORGE CUEVAS E.I.R.L. (MODIFICACION).doc</t>
  </si>
  <si>
    <t>C:\Users\franc\OneDrive\Documentos\MALENTIN KARIME\BANCO ESTADO\2012 DEPTO ESCRITURAS fata\NOTARIA 2009\CLAUDIO ARDILES\INSTRUCCIONES.doc</t>
  </si>
  <si>
    <t>C:\Users\franc\OneDrive\Documentos\MALENTIN KARIME\BANCO ESTADO\2012 DEPTO ESCRITURAS fata\NOTARIA 2009\CLAUDIO ARDILES\INSTRUCCIONES FAMILIA LEDEZMA.doc</t>
  </si>
  <si>
    <t>C:\Users\franc\OneDrive\Documentos\MALENTIN KARIME\BANCO ESTADO\2012 DEPTO ESCRITURAS fata\NOTARIA 2009\CLAUDIO ARDILES\GUSTAVO CORRAL A CLAUDIO ARDILES.doc</t>
  </si>
  <si>
    <t>C:\Users\franc\OneDrive\Documentos\MALENTIN KARIME\BANCO ESTADO\2012 DEPTO ESCRITURAS fata\NOTARIA 2009\CLAUDIO ARDILES\GLADYS ALCAINO A CLAUDIO ARDILES (MANDATO JUDICIAL).doc</t>
  </si>
  <si>
    <t>C:\Users\franc\OneDrive\Documentos\MALENTIN KARIME\BANCO ESTADO\2012 DEPTO ESCRITURAS fata\NOTARIA 2009\CLAUDIO ARDILES\ESMERALDA NUÑEZ  TESTAMENTO.doc</t>
  </si>
  <si>
    <t>C:\Users\franc\OneDrive\Documentos\MALENTIN KARIME\BANCO ESTADO\2012 DEPTO ESCRITURAS fata\NOTARIA 2009\CLAUDIO ARDILES\CORNELIO MICHEA A EVELYN MICHEA (COMPLEMENT.doc</t>
  </si>
  <si>
    <t>C:\Users\franc\OneDrive\Documentos\MALENTIN KARIME\BANCO ESTADO\2012 DEPTO ESCRITURAS fata\NOTARIA 2009\CLAUDIO ARDILES\CONTRATO HONORARIOS SR. ZAPATA.doc</t>
  </si>
  <si>
    <t>C:\Users\franc\OneDrive\Documentos\MALENTIN KARIME\BANCO ESTADO\2012 DEPTO ESCRITURAS fata\NOTARIA 2009\CLAUDIO ARDILES\COMPRAVENTA VEHICULO DESARMADO.doc</t>
  </si>
  <si>
    <t>C:\Users\franc\OneDrive\Documentos\MALENTIN KARIME\BANCO ESTADO\2012 DEPTO ESCRITURAS fata\NOTARIA 2009\CLAUDIO ARDILES\COMPLEMENTACION A FUSION DABED.doc</t>
  </si>
  <si>
    <t>C:\Users\franc\OneDrive\Documentos\MALENTIN KARIME\BANCO ESTADO\2012 DEPTO ESCRITURAS fata\NOTARIA 2009\CLAUDIO ARDILES\BERNARDO SANTANDER SEP. DE BIENES.doc</t>
  </si>
  <si>
    <t>C:\Users\franc\OneDrive\Documentos\MALENTIN KARIME\BANCO ESTADO\2012 DEPTO ESCRITURAS fata\NOTARIA 2009\CLAUDIO ARDILES\ARTURO ZEPEDA SOCIEDAD.doc</t>
  </si>
  <si>
    <t>C:\Users\franc\OneDrive\Documentos\MALENTIN KARIME\BANCO ESTADO\2012 DEPTO ESCRITURAS fata\NOTARIA 2009\CLAUDIO ARDILES\ARNOLDO VALDIVIA A CLAUDIO ARDILES (Man.  jud).doc</t>
  </si>
  <si>
    <t>C:\Users\franc\OneDrive\Documentos\MALENTIN KARIME\BANCO ESTADO\2012 DEPTO ESCRITURAS fata\NOTARIA 2009\CLAUDIO ARDILES\AGRONOBLE A LEONEL ZAPATA.doc</t>
  </si>
  <si>
    <t>C:\Users\franc\OneDrive\Documentos\MALENTIN KARIME\BANCO ESTADO\2012 DEPTO ESCRITURAS fata\NOTARIA 2009\CLAUDIO ARDILES\AGRICOLA E INMB. MARCELO CORRAL A CLAUDIO ARDILES (MANDATO ).doc</t>
  </si>
  <si>
    <t>C:\Users\franc\OneDrive\Documentos\MALENTIN KARIME\BANCO ESTADO\2012 DEPTO ESCRITURAS fata\NOTARIA 2009\CLAUDIO ARDILES\ACTA JUNTA ACCIONISTAS EL DORADO (REVISADA).doc</t>
  </si>
  <si>
    <t>C:\Users\franc\OneDrive\Documentos\MALENTIN KARIME\BANCO ESTADO\2012 DEPTO ESCRITURAS fata\NOTARIA 2009\CLAUDIO ARDILES\ACLARACION LINA HOFTER.doc</t>
  </si>
  <si>
    <t>C:\Users\franc\OneDrive\Documentos\MALENTIN KARIME\BANCO ESTADO\2012 DEPTO ESCRITURAS fata\NOTARIA 2009\CIBERGESTION\JUAN VASQUEZ ORTIZ[1] TRANSACCION.doc</t>
  </si>
  <si>
    <t>C:\Users\franc\OneDrive\Documentos\MALENTIN KARIME\BANCO ESTADO\2012 DEPTO ESCRITURAS fata\NOTARIA 2009\CESION GRATUITA\CENTRO MADRES A JUNTA VECINO POB. TAPIA.doc</t>
  </si>
  <si>
    <t>C:\Users\franc\OneDrive\Documentos\MALENTIN KARIME\BANCO ESTADO\2012 DEPTO ESCRITURAS fata\NOTARIA 2009\CESION DERECHOS COMUNITARIOS\YARELLA ROJAS A FERNANDO VENEGAS  (COM. PUNIT.doc</t>
  </si>
  <si>
    <t>C:\Users\franc\OneDrive\Documentos\MALENTIN KARIME\BANCO ESTADO\2012 DEPTO ESCRITURAS fata\NOTARIA 2009\CESION DERECHOS COMUNITARIOS\YAMILET CARVAJAL A ABELARDO JOPIA.doc</t>
  </si>
  <si>
    <t>C:\Users\franc\OneDrive\Documentos\MALENTIN KARIME\BANCO ESTADO\2012 DEPTO ESCRITURAS fata\NOTARIA 2009\CESION DERECHOS COMUNITARIOS\URBANA ALVAREZ A SU HIJA.doc</t>
  </si>
  <si>
    <t>C:\Users\franc\OneDrive\Documentos\MALENTIN KARIME\BANCO ESTADO\2012 DEPTO ESCRITURAS fata\NOTARIA 2009\CESION DERECHOS COMUNITARIOS\TRANSITO SIERRA A GRIMALDINA ARAYA.doc</t>
  </si>
  <si>
    <t>C:\Users\franc\OneDrive\Documentos\MALENTIN KARIME\BANCO ESTADO\2012 DEPTO ESCRITURAS fata\NOTARIA 2009\CESION DERECHOS COMUNITARIOS\TIO LINO A PEDRO MOLINA.doc</t>
  </si>
  <si>
    <t>C:\Users\franc\OneDrive\Documentos\MALENTIN KARIME\BANCO ESTADO\2012 DEPTO ESCRITURAS fata\NOTARIA 2009\CESION DERECHOS COMUNITARIOS\RODELINDA HIDALGO A ZOILA ZEPEDA.doc</t>
  </si>
  <si>
    <t>C:\Users\franc\OneDrive\Documentos\MALENTIN KARIME\BANCO ESTADO\2012 DEPTO ESCRITURAS fata\NOTARIA 2009\CESION DERECHOS COMUNITARIOS\RENE JERALDO A CELINDA JERALDO.doc</t>
  </si>
  <si>
    <t>C:\Users\franc\OneDrive\Documentos\MALENTIN KARIME\BANCO ESTADO\2012 DEPTO ESCRITURAS fata\NOTARIA 2009\CESION DERECHOS COMUNITARIOS\RAUL VEGA  A SALVADOR VALDIVIA (MINILLAS).doc</t>
  </si>
  <si>
    <t>C:\Users\franc\OneDrive\Documentos\MALENTIN KARIME\BANCO ESTADO\2012 DEPTO ESCRITURAS fata\NOTARIA 2009\CESION DERECHOS COMUNITARIOS\MILLELINA PERALTA A OMAR RIVERA (AGRICOLA PUNITAQUI).doc</t>
  </si>
  <si>
    <t>C:\Users\franc\OneDrive\Documentos\MALENTIN KARIME\BANCO ESTADO\2012 DEPTO ESCRITURAS fata\NOTARIA 2009\CESION DERECHOS COMUNITARIOS\MAURO GUERRA A ALEJANDRO ALFARO (ORURO).doc</t>
  </si>
  <si>
    <t>C:\Users\franc\OneDrive\Documentos\MALENTIN KARIME\BANCO ESTADO\2012 DEPTO ESCRITURAS fata\NOTARIA 2009\CESION DERECHOS COMUNITARIOS\MANUEL ROJAS A MINERVA ROJAS (CASTILLO MAL PASO.doc</t>
  </si>
  <si>
    <t>C:\Users\franc\OneDrive\Documentos\MALENTIN KARIME\BANCO ESTADO\2012 DEPTO ESCRITURAS fata\NOTARIA 2009\CESION DERECHOS COMUNITARIOS\JAIME VILLALOBOS A EMELINA PALAVECINOS.doc</t>
  </si>
  <si>
    <t>C:\Users\franc\OneDrive\Documentos\MALENTIN KARIME\BANCO ESTADO\2012 DEPTO ESCRITURAS fata\NOTARIA 2009\CESION DERECHOS COMUNITARIOS\JAIME RIVERA A ANGELICA MALUENDA  (COM. PUNIT.doc</t>
  </si>
  <si>
    <t>C:\Users\franc\OneDrive\Documentos\MALENTIN KARIME\BANCO ESTADO\2012 DEPTO ESCRITURAS fata\NOTARIA 2009\CESION DERECHOS COMUNITARIOS\HUGO CARVAJAL A NOLVIA LOPEZ.doc</t>
  </si>
  <si>
    <t>C:\Users\franc\OneDrive\Documentos\MALENTIN KARIME\BANCO ESTADO\2012 DEPTO ESCRITURAS fata\NOTARIA 2009\CESION DERECHOS COMUNITARIOS\HERNAN TAPIA A LUIS SEGOVIA (AGRICOLA PUNITAQUI).doc</t>
  </si>
  <si>
    <t>C:\Users\franc\OneDrive\Documentos\MALENTIN KARIME\BANCO ESTADO\2012 DEPTO ESCRITURAS fata\NOTARIA 2009\CESION DERECHOS COMUNITARIOS\HERNAN TAPIA A LUIS SEGOVIA  (AGRICOLA PUNITAQUI).doc</t>
  </si>
  <si>
    <t>C:\Users\franc\OneDrive\Documentos\MALENTIN KARIME\BANCO ESTADO\2012 DEPTO ESCRITURAS fata\NOTARIA 2009\CESION DERECHOS COMUNITARIOS\HELEN ROJAS YOTRO A CESAR ROBLES (ALCONES).doc</t>
  </si>
  <si>
    <t>C:\Users\franc\OneDrive\Documentos\MALENTIN KARIME\BANCO ESTADO\2012 DEPTO ESCRITURAS fata\NOTARIA 2009\CESION DERECHOS COMUNITARIOS\GUSTAVO ZAMBRA A HANS ZEPEDA (COMUN. TOTORALILLO).doc</t>
  </si>
  <si>
    <t>C:\Users\franc\OneDrive\Documentos\MALENTIN KARIME\BANCO ESTADO\2012 DEPTO ESCRITURAS fata\NOTARIA 2009\CESION DERECHOS COMUNITARIOS\ERNESTINA ULLOA A .......doc</t>
  </si>
  <si>
    <t>C:\Users\franc\OneDrive\Documentos\MALENTIN KARIME\BANCO ESTADO\2012 DEPTO ESCRITURAS fata\NOTARIA 2009\CESION DERECHOS COMUNITARIOS\ELIANA LOPEZ A ANDRES MORALES.doc</t>
  </si>
  <si>
    <t>C:\Users\franc\OneDrive\Documentos\MALENTIN KARIME\BANCO ESTADO\2012 DEPTO ESCRITURAS fata\NOTARIA 2009\CESION DERECHOS COMUNITARIOS\ELBA PIZARRO  A JOSE VILLALOBOS (COM. PUNIT.doc</t>
  </si>
  <si>
    <t>C:\Users\franc\OneDrive\Documentos\MALENTIN KARIME\BANCO ESTADO\2012 DEPTO ESCRITURAS fata\NOTARIA 2009\CESION DE DERECHOS HEREDITARIOS\YAMIL ALAMO A SU HIJO YAMIL.doc</t>
  </si>
  <si>
    <t>C:\Users\franc\OneDrive\Documentos\MALENTIN KARIME\BANCO ESTADO\2012 DEPTO ESCRITURAS fata\NOTARIA 2009\CESION DE DERECHOS HEREDITARIOS\VICTOR TAPIA A CARLOS TAPIA.doc</t>
  </si>
  <si>
    <t>C:\Users\franc\OneDrive\Documentos\MALENTIN KARIME\BANCO ESTADO\2012 DEPTO ESCRITURAS fata\NOTARIA 2009\CESION DE DERECHOS HEREDITARIOS\SUCESION VIRGINIA VELASQUEZ (2).doc</t>
  </si>
  <si>
    <t>C:\Users\franc\OneDrive\Documentos\MALENTIN KARIME\BANCO ESTADO\2012 DEPTO ESCRITURAS fata\NOTARIA 2009\CESION DE DERECHOS HEREDITARIOS\SUCESION OSVALDO HENRIQUEZ A RAMON (GANANCIALES).doc</t>
  </si>
  <si>
    <t>C:\Users\franc\OneDrive\Documentos\MALENTIN KARIME\BANCO ESTADO\2012 DEPTO ESCRITURAS fata\NOTARIA 2009\CESION DE DERECHOS HEREDITARIOS\SUCESION OSVALDO HENRIQUEZ A RAMON (BIEN DETERMINADO).doc</t>
  </si>
  <si>
    <t>C:\Users\franc\OneDrive\Documentos\MALENTIN KARIME\BANCO ESTADO\2012 DEPTO ESCRITURAS fata\NOTARIA 2009\CESION DE DERECHOS HEREDITARIOS\SUCESION Contreras.doc</t>
  </si>
  <si>
    <t>C:\Users\franc\OneDrive\Documentos\MALENTIN KARIME\BANCO ESTADO\2012 DEPTO ESCRITURAS fata\NOTARIA 2009\CESION DE DERECHOS HEREDITARIOS\SUC. SENEN VEGA A IVAN VEGA  LOTE G 1.doc</t>
  </si>
  <si>
    <t>C:\Users\franc\OneDrive\Documentos\MALENTIN KARIME\BANCO ESTADO\2012 DEPTO ESCRITURAS fata\NOTARIA 2009\CESION DE DERECHOS HEREDITARIOS\SUC. SENEN VEGA A EUGENIA ROJAS LOTE J 4.doc</t>
  </si>
  <si>
    <t>C:\Users\franc\OneDrive\Documentos\MALENTIN KARIME\BANCO ESTADO\2012 DEPTO ESCRITURAS fata\NOTARIA 2009\CESION DE DERECHOS HEREDITARIOS\SILVIA RODRIGUEZ  A TERESA CASTILLO FEBRERO 2010.doc</t>
  </si>
  <si>
    <t>C:\Users\franc\OneDrive\Documentos\MALENTIN KARIME\BANCO ESTADO\2012 DEPTO ESCRITURAS fata\NOTARIA 2009\CESION DE DERECHOS HEREDITARIOS\SANDRA DIAZ Y OTRS. A MIRTA ARAYA.doc</t>
  </si>
  <si>
    <t>C:\Users\franc\OneDrive\Documentos\MALENTIN KARIME\BANCO ESTADO\2012 DEPTO ESCRITURAS fata\NOTARIA 2009\CESION DE DERECHOS HEREDITARIOS\ROSSANA CIFUENTES Y OTROS A SU MAMA.doc</t>
  </si>
  <si>
    <t>C:\Users\franc\OneDrive\Documentos\MALENTIN KARIME\BANCO ESTADO\2012 DEPTO ESCRITURAS fata\NOTARIA 2009\CESION DE DERECHOS HEREDITARIOS\ROJELIO ROJAS A MAURICIO VEGA CORTES.doc</t>
  </si>
  <si>
    <t>C:\Users\franc\OneDrive\Documentos\MALENTIN KARIME\BANCO ESTADO\2012 DEPTO ESCRITURAS fata\NOTARIA 2009\CESION DE DERECHOS HEREDITARIOS\RAMON NARANJO Y OTRA A PRISCILA ARAYA.doc</t>
  </si>
  <si>
    <t>C:\Users\franc\OneDrive\Documentos\MALENTIN KARIME\BANCO ESTADO\2012 DEPTO ESCRITURAS fata\NOTARIA 2009\CESION DE DERECHOS HEREDITARIOS\PEDRO CASTILLO Y OTRO A EDO CASTILLO.doc</t>
  </si>
  <si>
    <t>C:\Users\franc\OneDrive\Documentos\MALENTIN KARIME\BANCO ESTADO\2012 DEPTO ESCRITURAS fata\NOTARIA 2009\CESION DE DERECHOS HEREDITARIOS\PATRICIO JAMETT A GUILLERMO JAMETT.doc</t>
  </si>
  <si>
    <t>C:\Users\franc\OneDrive\Documentos\MALENTIN KARIME\BANCO ESTADO\2012 DEPTO ESCRITURAS fata\NOTARIA 2009\CESION DE DERECHOS HEREDITARIOS\OSCAR DARRIGRANDE A BRIJIA CISTERNAS.doc</t>
  </si>
  <si>
    <t>C:\Users\franc\OneDrive\Documentos\MALENTIN KARIME\BANCO ESTADO\2012 DEPTO ESCRITURAS fata\NOTARIA 2009\CESION DE DERECHOS HEREDITARIOS\NORA ARAYA Y OTROS A SU MAMA.doc</t>
  </si>
  <si>
    <t>C:\Users\franc\OneDrive\Documentos\MALENTIN KARIME\BANCO ESTADO\2012 DEPTO ESCRITURAS fata\NOTARIA 2009\CESION DE DERECHOS HEREDITARIOS\NELIDA RODRIGUEZ Y OTROS A TERESA CASTILLO.doc</t>
  </si>
  <si>
    <t>C:\Users\franc\OneDrive\Documentos\MALENTIN KARIME\BANCO ESTADO\2012 DEPTO ESCRITURAS fata\NOTARIA 2009\CESION DE DERECHOS HEREDITARIOS\NELIDA RODRIGUEZ  Y OTROS A SU MAMA.doc</t>
  </si>
  <si>
    <t>C:\Users\franc\OneDrive\Documentos\MALENTIN KARIME\BANCO ESTADO\2012 DEPTO ESCRITURAS fata\NOTARIA 2009\CESION DE DERECHOS HEREDITARIOS\MODELO PODER CESION DERECHOS.doc</t>
  </si>
  <si>
    <t>C:\Users\franc\OneDrive\Documentos\MALENTIN KARIME\BANCO ESTADO\2012 DEPTO ESCRITURAS fata\NOTARIA 2009\CESION DE DERECHOS HEREDITARIOS\MODELO CESION SOBRE BIEN DETERMINADO (NO TODOS).doc</t>
  </si>
  <si>
    <t>C:\Users\franc\OneDrive\Documentos\MALENTIN KARIME\BANCO ESTADO\2012 DEPTO ESCRITURAS fata\NOTARIA 2009\CESION DE DERECHOS HEREDITARIOS\MARIO GONZALEZ Y OTROS A ALCIIA VEGA Y OTROS.doc</t>
  </si>
  <si>
    <t>C:\Users\franc\OneDrive\Documentos\MALENTIN KARIME\BANCO ESTADO\2012 DEPTO ESCRITURAS fata\NOTARIA 2009\CESION DE DERECHOS HEREDITARIOS\MARIELA JOFRE Y OTROS A NORMA JOFRE.doc</t>
  </si>
  <si>
    <t>C:\Users\franc\OneDrive\Documentos\MALENTIN KARIME\BANCO ESTADO\2012 DEPTO ESCRITURAS fata\NOTARIA 2009\CESION DE DERECHOS HEREDITARIOS\MARIA ARAYA A SEBASTIAN ROJAS.doc</t>
  </si>
  <si>
    <t>C:\Users\franc\OneDrive\Documentos\MALENTIN KARIME\BANCO ESTADO\2012 DEPTO ESCRITURAS fata\NOTARIA 2009\CESION DE DERECHOS HEREDITARIOS\MARIA ALVARADO Y OTRO A ERNEST ALVARADO.doc</t>
  </si>
  <si>
    <t>C:\Users\franc\OneDrive\Documentos\MALENTIN KARIME\BANCO ESTADO\2012 DEPTO ESCRITURAS fata\NOTARIA 2009\CESION DE DERECHOS HEREDITARIOS\MARIA ACUÑA Y OTROS A SU MAMA (CON CONYUGE AUTOIR).doc</t>
  </si>
  <si>
    <t>C:\Users\franc\OneDrive\Documentos\MALENTIN KARIME\BANCO ESTADO\2012 DEPTO ESCRITURAS fata\NOTARIA 2009\CESION DE DERECHOS HEREDITARIOS\LUIS CARVAJAL Y OTROS A DARIO CARVAJAL.doc</t>
  </si>
  <si>
    <t>C:\Users\franc\OneDrive\Documentos\MALENTIN KARIME\BANCO ESTADO\2012 DEPTO ESCRITURAS fata\NOTARIA 2009\CESION DE DERECHOS HEREDITARIOS\LUIS CARVAJAL A CAROLINA CARVAJAL (FCO. GONZALEZ FIGARI).doc</t>
  </si>
  <si>
    <t>C:\Users\franc\OneDrive\Documentos\MALENTIN KARIME\BANCO ESTADO\2012 DEPTO ESCRITURAS fata\NOTARIA 2009\CESION DE DERECHOS HEREDITARIOS\LUCILA ARAYA Y OTR. A PABLA ARAYA ROJAS.doc</t>
  </si>
  <si>
    <t>C:\Users\franc\OneDrive\Documentos\MALENTIN KARIME\BANCO ESTADO\2012 DEPTO ESCRITURAS fata\NOTARIA 2009\CESION DE DERECHOS HEREDITARIOS\LORENZO LOPEZ A ANA ARRATIA.doc</t>
  </si>
  <si>
    <t>C:\Users\franc\OneDrive\Documentos\MALENTIN KARIME\BANCO ESTADO\2012 DEPTO ESCRITURAS fata\NOTARIA 2009\CESION DE DERECHOS HEREDITARIOS\LAURA ALFARO Y OTS. A LAURA (MUNI).doc</t>
  </si>
  <si>
    <t>C:\Users\franc\OneDrive\Documentos\MALENTIN KARIME\BANCO ESTADO\2012 DEPTO ESCRITURAS fata\NOTARIA 2009\CESION DE DERECHOS HEREDITARIOS\JUAN CARVAJAL Y OTROS A CAROLINA CARVAJAL (FCO. GONZALEZ FIGARI).doc</t>
  </si>
  <si>
    <t>C:\Users\franc\OneDrive\Documentos\MALENTIN KARIME\BANCO ESTADO\2012 DEPTO ESCRITURAS fata\NOTARIA 2009\CESION DE DERECHOS HEREDITARIOS\JANI (PAPA).doc</t>
  </si>
  <si>
    <t>C:\Users\franc\OneDrive\Documentos\MALENTIN KARIME\BANCO ESTADO\2012 DEPTO ESCRITURAS fata\NOTARIA 2009\CESION DE DERECHOS HEREDITARIOS\ISABEL ARAYA A PRUDENCIO ARAYA.doc</t>
  </si>
  <si>
    <t>C:\Users\franc\OneDrive\Documentos\MALENTIN KARIME\BANCO ESTADO\2012 DEPTO ESCRITURAS fata\NOTARIA 2009\CESION DE DERECHOS HEREDITARIOS\IRIS MONDACA Y OTROS A JUAN MONDACA.doc</t>
  </si>
  <si>
    <t>C:\Users\franc\OneDrive\Documentos\MALENTIN KARIME\BANCO ESTADO\2012 DEPTO ESCRITURAS fata\NOTARIA 2009\CESION DE DERECHOS HEREDITARIOS\Hector Santander Araya y otros.doc</t>
  </si>
  <si>
    <t>C:\Users\franc\OneDrive\Documentos\MALENTIN KARIME\BANCO ESTADO\2012 DEPTO ESCRITURAS fata\NOTARIA 2009\CESION DE DERECHOS HEREDITARIOS\HAYDEE MOLINA Y OTRO A ISABEL OGALDE.doc</t>
  </si>
  <si>
    <t>C:\Users\franc\OneDrive\Documentos\MALENTIN KARIME\BANCO ESTADO\2012 DEPTO ESCRITURAS fata\NOTARIA 2009\CESION DE DERECHOS HEREDITARIOS\HAYDEE MOLINA Y OTRO A ELBA OGALDE.doc</t>
  </si>
  <si>
    <t>C:\Users\franc\OneDrive\Documentos\MALENTIN KARIME\BANCO ESTADO\2012 DEPTO ESCRITURAS fata\NOTARIA 2009\CESION DE DERECHOS HEREDITARIOS\GUILLERMO MORGADO A JACQUELINE.doc</t>
  </si>
  <si>
    <t>C:\Users\franc\OneDrive\Documentos\MALENTIN KARIME\BANCO ESTADO\2012 DEPTO ESCRITURAS fata\NOTARIA 2009\CESION DE DERECHOS HEREDITARIOS\GRACIELA VARELA Y OTROS A ADOLFO ARAYA.doc</t>
  </si>
  <si>
    <t>C:\Users\franc\OneDrive\Documentos\MALENTIN KARIME\BANCO ESTADO\2012 DEPTO ESCRITURAS fata\NOTARIA 2009\CESION DE DERECHOS HEREDITARIOS\GRACIELA  VARELA Y OTROS A ANGELA ROJAS (NO TODOS).doc</t>
  </si>
  <si>
    <t>C:\Users\franc\OneDrive\Documentos\MALENTIN KARIME\BANCO ESTADO\2012 DEPTO ESCRITURAS fata\NOTARIA 2009\CESION DE DERECHOS HEREDITARIOS\EVARISTO INAREJO A SU HIJA.doc</t>
  </si>
  <si>
    <t>C:\Users\franc\OneDrive\Documentos\MALENTIN KARIME\BANCO ESTADO\2012 DEPTO ESCRITURAS fata\NOTARIA 2009\CESION DE DERECHOS HEREDITARIOS\ERNESTINA ROJAS y otros.doc</t>
  </si>
  <si>
    <t>C:\Users\franc\OneDrive\Documentos\MALENTIN KARIME\BANCO ESTADO\2012 DEPTO ESCRITURAS fata\NOTARIA 2009\CESION DE DERECHOS HEREDITARIOS\ERNESTINA ROJAS MILLA Y OTROS A DOMINGA ROJAS.doc</t>
  </si>
  <si>
    <t>C:\Users\franc\OneDrive\Documentos\MALENTIN KARIME\BANCO ESTADO\2012 DEPTO ESCRITURAS fata\NOTARIA 2009\CESION DE DERECHOS HEREDITARIOS\DANIEL SANCHEZ Y OT. A FELISA ARANCIBIA.doc</t>
  </si>
  <si>
    <t>C:\Users\franc\OneDrive\Documentos\MALENTIN KARIME\BANCO ESTADO\2012 DEPTO ESCRITURAS fata\NOTARIA 2009\CESION DE DERECHOS HEREDITARIOS\CLARISA TAPIA Y OTROS A SU MAMA.doc</t>
  </si>
  <si>
    <t>C:\Users\franc\OneDrive\Documentos\MALENTIN KARIME\BANCO ESTADO\2012 DEPTO ESCRITURAS fata\NOTARIA 2009\CESION DE DERECHOS HEREDITARIOS\cesion.doc</t>
  </si>
  <si>
    <t>C:\Users\franc\OneDrive\Documentos\MALENTIN KARIME\BANCO ESTADO\2012 DEPTO ESCRITURAS fata\NOTARIA 2009\CESION DE DERECHOS HEREDITARIOS\CARMEN BUGUEÑO Y OTROS A SU PADRE.doc</t>
  </si>
  <si>
    <t>C:\Users\franc\OneDrive\Documentos\MALENTIN KARIME\BANCO ESTADO\2012 DEPTO ESCRITURAS fata\NOTARIA 2009\CESION DE DERECHOS HEREDITARIOS\CARLOS VELIZ Y OTRS. A RICARDO VELIZ.doc</t>
  </si>
  <si>
    <t>C:\Users\franc\OneDrive\Documentos\MALENTIN KARIME\BANCO ESTADO\2012 DEPTO ESCRITURAS fata\NOTARIA 2009\CESION DE DERECHOS HEREDITARIOS\CARLOS CARMONA A MANUEL CARMONA (SOLO).doc</t>
  </si>
  <si>
    <t>C:\Users\franc\OneDrive\Documentos\MALENTIN KARIME\BANCO ESTADO\2012 DEPTO ESCRITURAS fata\NOTARIA 2009\CESION DE DERECHOS HEREDITARIOS\ALEJANDRO VARELA A SUS HIJOS  (NO TODOS).doc</t>
  </si>
  <si>
    <t>C:\Users\franc\OneDrive\Documentos\MALENTIN KARIME\BANCO ESTADO\2012 DEPTO ESCRITURAS fata\NOTARIA 2009\CESION DE DERECHOS HEREDITARIOS\ADOLFO ALVARADO A ERNEST ALVARADO.doc</t>
  </si>
  <si>
    <t>C:\Users\franc\OneDrive\Documentos\MALENTIN KARIME\BANCO ESTADO\2012 DEPTO ESCRITURAS fata\NOTARIA 2009\CESION DE DERECHOS\GABRIELA MONDACA A FRANKLIN MONDACA  PARCE 6 Y 7.doc</t>
  </si>
  <si>
    <t>C:\Users\franc\OneDrive\Documentos\MALENTIN KARIME\BANCO ESTADO\2012 DEPTO ESCRITURAS fata\NOTARIA 2009\CESION DE DERECHOS\FRANKLIN MONDACA A GABRIELA MONDACA TALHUEN.doc</t>
  </si>
  <si>
    <t>C:\Users\franc\OneDrive\Documentos\MALENTIN KARIME\BANCO ESTADO\2012 DEPTO ESCRITURAS fata\NOTARIA 2009\CESION DE DERECHOS\EULALIA ERAZO A GUSTAVO MOLINA.doc</t>
  </si>
  <si>
    <t>C:\Users\franc\OneDrive\Documentos\MALENTIN KARIME\BANCO ESTADO\2012 DEPTO ESCRITURAS fata\NOTARIA 2009\CESION ACCIONES MINERAS\WLADIMIR VALDIVIA A MARJORIE ASTUDILLO (MANUELITO 1-15.doc</t>
  </si>
  <si>
    <t>C:\Users\franc\OneDrive\Documentos\MALENTIN KARIME\BANCO ESTADO\2012 DEPTO ESCRITURAS fata\NOTARIA 2009\CESION ACCIONES MINERAS\WLADIMIR VALDIVIA A MARJORIE ASTUDILLO (50 ACC).doc</t>
  </si>
  <si>
    <t>C:\Users\franc\OneDrive\Documentos\MALENTIN KARIME\BANCO ESTADO\2012 DEPTO ESCRITURAS fata\NOTARIA 2009\CESION ACCIONES MINERAS\SLM LA LAJA A PEDRO ROJAS (PERNENECIAS).doc</t>
  </si>
  <si>
    <t>C:\Users\franc\OneDrive\Documentos\MALENTIN KARIME\BANCO ESTADO\2012 DEPTO ESCRITURAS fata\NOTARIA 2009\CESION ACCIONES MINERAS\MODELO VENTA PERTENENCIAS.doc</t>
  </si>
  <si>
    <t>C:\Users\franc\OneDrive\Documentos\MALENTIN KARIME\BANCO ESTADO\2012 DEPTO ESCRITURAS fata\NOTARIA 2009\CESION ACCIONES MINERAS\MARCIAL VEGA A ROLANDO JERIA (BICKMAR ).doc</t>
  </si>
  <si>
    <t>C:\Users\franc\OneDrive\Documentos\MALENTIN KARIME\BANCO ESTADO\2012 DEPTO ESCRITURAS fata\NOTARIA 2009\CESION ACCIONES MINERAS\MARCELO PIZARRO A AMILCAR PIZARRO.doc</t>
  </si>
  <si>
    <t>C:\Users\franc\OneDrive\Documentos\MALENTIN KARIME\BANCO ESTADO\2012 DEPTO ESCRITURAS fata\NOTARIA 2009\CESION ACCIONES MINERAS\MA. PAZ TELLO A CLAUDIA TELLO.doc</t>
  </si>
  <si>
    <t>C:\Users\franc\OneDrive\Documentos\MALENTIN KARIME\BANCO ESTADO\2012 DEPTO ESCRITURAS fata\NOTARIA 2009\CESION ACCIONES MINERAS\LUZ ALVAREZ A PRISCILLA FLORES (PERNENECIAS).doc</t>
  </si>
  <si>
    <t>C:\Users\franc\OneDrive\Documentos\MALENTIN KARIME\BANCO ESTADO\2012 DEPTO ESCRITURAS fata\NOTARIA 2009\CESION ACCIONES MINERAS\LEANDRO SEGOVIA A  (HIJO ) ACCIONES.doc</t>
  </si>
  <si>
    <t>C:\Users\franc\OneDrive\Documentos\MALENTIN KARIME\BANCO ESTADO\2012 DEPTO ESCRITURAS fata\NOTARIA 2009\CESION ACCIONES MINERAS\JUANA SARMIENTO A SUS HIJOS.doc</t>
  </si>
  <si>
    <t>C:\Users\franc\OneDrive\Documentos\MALENTIN KARIME\BANCO ESTADO\2012 DEPTO ESCRITURAS fata\NOTARIA 2009\CESION ACCIONES MINERAS\JORGE ARACENA A PEDRO VARAS  CES..doc</t>
  </si>
  <si>
    <t>C:\Users\franc\OneDrive\Documentos\MALENTIN KARIME\BANCO ESTADO\2012 DEPTO ESCRITURAS fata\NOTARIA 2009\CESION ACCIONES MINERAS\JORGE ARACENA A PEDRO VARAS  CES. NOV. 2009.-.doc</t>
  </si>
  <si>
    <t>C:\Users\franc\OneDrive\Documentos\MALENTIN KARIME\BANCO ESTADO\2012 DEPTO ESCRITURAS fata\NOTARIA 2009\CESION ACCIONES MINERAS\JORGE ARACENA A CARLOS.doc</t>
  </si>
  <si>
    <t>C:\Users\franc\OneDrive\Documentos\MALENTIN KARIME\BANCO ESTADO\2012 DEPTO ESCRITURAS fata\NOTARIA 2009\CESION ACCIONES MINERAS\ISAAC ALAMO A SU HIJO (VENTA PERTENENCIAS).doc</t>
  </si>
  <si>
    <t>C:\Users\franc\OneDrive\Documentos\MALENTIN KARIME\BANCO ESTADO\2012 DEPTO ESCRITURAS fata\NOTARIA 2009\CESION ACCIONES MINERAS\HERNAN CORTES A JUAN RAMIREZ (DERECHOS).doc</t>
  </si>
  <si>
    <t>C:\Users\franc\OneDrive\Documentos\MALENTIN KARIME\BANCO ESTADO\2012 DEPTO ESCRITURAS fata\NOTARIA 2009\CESION ACCIONES MINERAS\HERIB ERTO RAMOS Y OTR A NICONOR VILLALOBOS.doc</t>
  </si>
  <si>
    <t>C:\Users\franc\OneDrive\Documentos\MALENTIN KARIME\BANCO ESTADO\2012 DEPTO ESCRITURAS fata\NOTARIA 2009\CESION ACCIONES MINERAS\GONZALO GUERRERO A PRISCILLA FLORES.doc</t>
  </si>
  <si>
    <t>C:\Users\franc\OneDrive\Documentos\MALENTIN KARIME\BANCO ESTADO\2012 DEPTO ESCRITURAS fata\NOTARIA 2009\CESION ACCIONES MINERAS\FREDY CORTES A  FRANCISCO BALLON.doc</t>
  </si>
  <si>
    <t>C:\Users\franc\OneDrive\Documentos\MALENTIN KARIME\BANCO ESTADO\2012 DEPTO ESCRITURAS fata\NOTARIA 2009\CESION ACCIONES MINERAS\FREDY CORTES A  FRANCISCO BALLON ( 2).doc</t>
  </si>
  <si>
    <t>C:\Users\franc\OneDrive\Documentos\MALENTIN KARIME\BANCO ESTADO\2012 DEPTO ESCRITURAS fata\NOTARIA 2009\CESION ACCIONES MINERAS\FELIX CORTES A CESAR FLORES (ACCIONES).doc</t>
  </si>
  <si>
    <t>C:\Users\franc\OneDrive\Documentos\MALENTIN KARIME\BANCO ESTADO\2012 DEPTO ESCRITURAS fata\NOTARIA 2009\CESION ACCIONES MINERAS\FALCONERI MUNIZAGA A SUS HIJOS 2.doc</t>
  </si>
  <si>
    <t>C:\Users\franc\OneDrive\Documentos\MALENTIN KARIME\BANCO ESTADO\2012 DEPTO ESCRITURAS fata\NOTARIA 2009\CESION ACCIONES MINERAS\FALCONERI MUNIZAGA A SUS HIJOS (CV DERECHOS.doc</t>
  </si>
  <si>
    <t>C:\Users\franc\OneDrive\Documentos\MALENTIN KARIME\BANCO ESTADO\2012 DEPTO ESCRITURAS fata\NOTARIA 2009\CESION ACCIONES MINERAS\EDUARDO ORDAZ A MANUEL ORDAZ.doc</t>
  </si>
  <si>
    <t>C:\Users\franc\OneDrive\Documentos\MALENTIN KARIME\BANCO ESTADO\2012 DEPTO ESCRITURAS fata\NOTARIA 2009\CESION ACCIONES MINERAS\CESAR ROMERO A ORIEL CISTERNAS (50%) MANIFE.doc</t>
  </si>
  <si>
    <t>C:\Users\franc\OneDrive\Documentos\MALENTIN KARIME\BANCO ESTADO\2012 DEPTO ESCRITURAS fata\NOTARIA 2009\CESION ACCIONES MINERAS\CESAR FLORES A IVAN RAYLYAN (DON FERNANDO ).doc</t>
  </si>
  <si>
    <t>C:\Users\franc\OneDrive\Documentos\MALENTIN KARIME\BANCO ESTADO\2012 DEPTO ESCRITURAS fata\NOTARIA 2009\CESION ACCIONES MINERAS\CESAR FLORES A FELIX CORTES (AGOSTO 2009).doc</t>
  </si>
  <si>
    <t>C:\Users\franc\OneDrive\Documentos\MALENTIN KARIME\BANCO ESTADO\2012 DEPTO ESCRITURAS fata\NOTARIA 2009\CESION ACCIONES MINERAS\ANGEL CASTILLO A ANGEL CASTILLO (HIJO ) ACCIONES.doc</t>
  </si>
  <si>
    <t>C:\Users\franc\OneDrive\Documentos\MALENTIN KARIME\BANCO ESTADO\2012 DEPTO ESCRITURAS fata\NOTARIA 2009\CESION ACCIONES MINERAS\ALBERTO NUÑEZ A AMILCAR NUÑEZ (PERTENTENCIAS).doc</t>
  </si>
  <si>
    <t>C:\Users\franc\OneDrive\Documentos\MALENTIN KARIME\BANCO ESTADO\2012 DEPTO ESCRITURAS fata\NOTARIA 2009\CESION ACCIONES MINERAS\ADRIAN TELLO A WALDO CANEO.doc</t>
  </si>
  <si>
    <t>C:\Users\franc\OneDrive\Documentos\MALENTIN KARIME\BANCO ESTADO\2012 DEPTO ESCRITURAS fata\NOTARIA 2009\CERTIFICADOS MINAS\ESPINAL 1 AL 20.doc</t>
  </si>
  <si>
    <t>C:\Users\franc\OneDrive\Documentos\MALENTIN KARIME\BANCO ESTADO\2012 DEPTO ESCRITURAS fata\NOTARIA 2009\CAROLINA ADAOS\CESION INAREJO.doc</t>
  </si>
  <si>
    <t>C:\Users\franc\OneDrive\Documentos\MALENTIN KARIME\BANCO ESTADO\2012 DEPTO ESCRITURAS fata\NOTARIA 2009\CARLOS BUGUEÑÑ\REDUCCION\COMUNIDAD BUENOS AIRES.doc</t>
  </si>
  <si>
    <t>C:\Users\franc\OneDrive\Documentos\MALENTIN KARIME\BANCO ESTADO\2012 DEPTO ESCRITURAS fata\NOTARIA 2009\CARLOS BUGUEÑÑ\MANLIO METTIFOGO\SOC. AGRIC. STA. ANA A LEONTINA ACUÑA.doc</t>
  </si>
  <si>
    <t>C:\Users\franc\OneDrive\Documentos\MALENTIN KARIME\BANCO ESTADO\2012 DEPTO ESCRITURAS fata\NOTARIA 2009\CARLOS BUGUEÑÑ\MANLIO METTIFOGO\MODELO NOTARIO.doc</t>
  </si>
  <si>
    <t>C:\Users\franc\OneDrive\Documentos\MALENTIN KARIME\BANCO ESTADO\2012 DEPTO ESCRITURAS fata\NOTARIA 2009\CARLOS BUGUEÑÑ\MANLIO METTIFOGO\ANA SALINAS Y OTRO A LEONTINA ACUÑA MANDATO GENERAL.doc</t>
  </si>
  <si>
    <t>C:\Users\franc\OneDrive\Documentos\MALENTIN KARIME\BANCO ESTADO\2012 DEPTO ESCRITURAS fata\NOTARIA 2009\CARLOS BUGUEÑÑ\2009\USUFRUCTO\INMOBIL CORRAL NEWMAN A RICARDO CORRAL.doc</t>
  </si>
  <si>
    <t>C:\Users\franc\OneDrive\Documentos\MALENTIN KARIME\BANCO ESTADO\2012 DEPTO ESCRITURAS fata\NOTARIA 2009\CARLOS BUGUEÑÑ\2009\TRANSACCION\MIGUEL TAPIA A JOSE ARCE.doc</t>
  </si>
  <si>
    <t>C:\Users\franc\OneDrive\Documentos\MALENTIN KARIME\BANCO ESTADO\2012 DEPTO ESCRITURAS fata\NOTARIA 2009\CARLOS BUGUEÑÑ\2009\TRANSACCION\INVERSIONES VIGIA S.A. A SERRAVALLE.doc</t>
  </si>
  <si>
    <t>C:\Users\franc\OneDrive\Documentos\MALENTIN KARIME\BANCO ESTADO\2012 DEPTO ESCRITURAS fata\NOTARIA 2009\CARLOS BUGUEÑÑ\2009\TRANSACCION\INVERSIONES NEWMAN A INV. DEL CAMPO.doc</t>
  </si>
  <si>
    <t>C:\Users\franc\OneDrive\Documentos\MALENTIN KARIME\BANCO ESTADO\2012 DEPTO ESCRITURAS fata\NOTARIA 2009\CARLOS BUGUEÑÑ\2009\TRANSACCION\carta instrucciones - miguel tapia - jose arce - octubre 2009[1][1].doc</t>
  </si>
  <si>
    <t>C:\Users\franc\OneDrive\Documentos\MALENTIN KARIME\BANCO ESTADO\2012 DEPTO ESCRITURAS fata\NOTARIA 2009\CARLOS BUGUEÑÑ\2009\TESTAMENTOS\CARLOS JORQUERA.doc</t>
  </si>
  <si>
    <t>C:\Users\franc\OneDrive\Documentos\MALENTIN KARIME\BANCO ESTADO\2012 DEPTO ESCRITURAS fata\NOTARIA 2009\CARLOS BUGUEÑÑ\2009\TERMINO ARRIENDO\LILIANA ALFARO A SOC. CHACARILLAS.doc</t>
  </si>
  <si>
    <t>C:\Users\franc\OneDrive\Documentos\MALENTIN KARIME\BANCO ESTADO\2012 DEPTO ESCRITURAS fata\NOTARIA 2009\CARLOS BUGUEÑÑ\2009\SUBDIVISION\SOC. AGRICOLA ANGOSTURA.doc</t>
  </si>
  <si>
    <t>C:\Users\franc\OneDrive\Documentos\MALENTIN KARIME\BANCO ESTADO\2012 DEPTO ESCRITURAS fata\NOTARIA 2009\CARLOS BUGUEÑÑ\2009\SOCIEDAD\sostenedora samuel bozo - extracto[1].doc</t>
  </si>
  <si>
    <t>C:\Users\franc\OneDrive\Documentos\MALENTIN KARIME\BANCO ESTADO\2012 DEPTO ESCRITURAS fata\NOTARIA 2009\CARLOS BUGUEÑÑ\2009\SOCIEDAD\SOCIEDAD SOSTENEDORA SANTA TERESA.doc</t>
  </si>
  <si>
    <t>C:\Users\franc\OneDrive\Documentos\MALENTIN KARIME\BANCO ESTADO\2012 DEPTO ESCRITURAS fata\NOTARIA 2009\CARLOS BUGUEÑÑ\2009\SOCIEDAD\SOCE. CARMEN TAPIA.doc</t>
  </si>
  <si>
    <t>C:\Users\franc\OneDrive\Documentos\MALENTIN KARIME\BANCO ESTADO\2012 DEPTO ESCRITURAS fata\NOTARIA 2009\CARLOS BUGUEÑÑ\2009\SOCIEDAD\INMOBILIARIA ATRIA LTDA..doc</t>
  </si>
  <si>
    <t>C:\Users\franc\OneDrive\Documentos\MALENTIN KARIME\BANCO ESTADO\2012 DEPTO ESCRITURAS fata\NOTARIA 2009\CARLOS BUGUEÑÑ\2009\SOCIEDAD\EXTRACTO AGRICOLA LAS CAÑAS.doc</t>
  </si>
  <si>
    <t>C:\Users\franc\OneDrive\Documentos\MALENTIN KARIME\BANCO ESTADO\2012 DEPTO ESCRITURAS fata\NOTARIA 2009\CARLOS BUGUEÑÑ\2009\SOCIEDAD\extracto - cesion derechos y modific carmen tapia octubre 2009[1].doc</t>
  </si>
  <si>
    <t>C:\Users\franc\OneDrive\Documentos\MALENTIN KARIME\BANCO ESTADO\2012 DEPTO ESCRITURAS fata\NOTARIA 2009\CARLOS BUGUEÑÑ\2009\SOCIEDAD\AGRICOLA LAS CAÑAS DE SOTAQUI.doc</t>
  </si>
  <si>
    <t>C:\Users\franc\OneDrive\Documentos\MALENTIN KARIME\BANCO ESTADO\2012 DEPTO ESCRITURAS fata\NOTARIA 2009\CARLOS BUGUEÑÑ\2009\REVOCACION\INMOB. CORRAL NEWMAN A MARCELO CORRAL.doc</t>
  </si>
  <si>
    <t>C:\Users\franc\OneDrive\Documentos\MALENTIN KARIME\BANCO ESTADO\2012 DEPTO ESCRITURAS fata\NOTARIA 2009\CARLOS BUGUEÑÑ\2009\REDUCCION\CO PROPIEDAD GALERIA CORRAL.doc</t>
  </si>
  <si>
    <t>C:\Users\franc\OneDrive\Documentos\MALENTIN KARIME\BANCO ESTADO\2012 DEPTO ESCRITURAS fata\NOTARIA 2009\CARLOS BUGUEÑÑ\2009\RECONOCIMIENTO DEUDA\ANTONIO CORRAL A SOC. ALGARROBO.doc</t>
  </si>
  <si>
    <t>C:\Users\franc\OneDrive\Documentos\MALENTIN KARIME\BANCO ESTADO\2012 DEPTO ESCRITURAS fata\NOTARIA 2009\CARLOS BUGUEÑÑ\2009\PROTOCOLIZACION\ALIRO PINTO (AMPLIACION).doc</t>
  </si>
  <si>
    <t>C:\Users\franc\OneDrive\Documentos\MALENTIN KARIME\BANCO ESTADO\2012 DEPTO ESCRITURAS fata\NOTARIA 2009\CARLOS BUGUEÑÑ\2009\PROMESAS\SOC. ANGOSTURA A SOC. ARKON.doc</t>
  </si>
  <si>
    <t>C:\Users\franc\OneDrive\Documentos\MALENTIN KARIME\BANCO ESTADO\2012 DEPTO ESCRITURAS fata\NOTARIA 2009\CARLOS BUGUEÑÑ\2009\PROMESAS\MIGUEL TAPIA A INV. CIPRES.doc</t>
  </si>
  <si>
    <t>C:\Users\franc\OneDrive\Documentos\MALENTIN KARIME\BANCO ESTADO\2012 DEPTO ESCRITURAS fata\NOTARIA 2009\CARLOS BUGUEÑÑ\2009\PROMESAS\INMOBILIARIA NEWMAN A AGRICOLA LAS CAÑAS.doc</t>
  </si>
  <si>
    <t>C:\Users\franc\OneDrive\Documentos\MALENTIN KARIME\BANCO ESTADO\2012 DEPTO ESCRITURAS fata\NOTARIA 2009\CARLOS BUGUEÑÑ\2009\PERMUTA\PILAR MERUANE A ROSA CONTRERAS.doc</t>
  </si>
  <si>
    <t>C:\Users\franc\OneDrive\Documentos\MALENTIN KARIME\BANCO ESTADO\2012 DEPTO ESCRITURAS fata\NOTARIA 2009\CARLOS BUGUEÑÑ\2009\PARTICION\SERGIO OVANDO A ISABEL MORENO.doc</t>
  </si>
  <si>
    <t>C:\Users\franc\OneDrive\Documentos\MALENTIN KARIME\BANCO ESTADO\2012 DEPTO ESCRITURAS fata\NOTARIA 2009\CARLOS BUGUEÑÑ\2009\PAGARE\pagare - antonio corral y gilberto pardo - agosto 2009[1].doc</t>
  </si>
  <si>
    <t>C:\Users\franc\OneDrive\Documentos\MALENTIN KARIME\BANCO ESTADO\2012 DEPTO ESCRITURAS fata\NOTARIA 2009\CARLOS BUGUEÑÑ\2009\NOVACION\HECTOR BARRAZA A MARCO ARAYA (NOVACION).doc</t>
  </si>
  <si>
    <t>C:\Users\franc\OneDrive\Documentos\MALENTIN KARIME\BANCO ESTADO\2012 DEPTO ESCRITURAS fata\NOTARIA 2009\CARLOS BUGUEÑÑ\2009\MODIFICACION\CANALES LOS AZULES Y OTROS.doc</t>
  </si>
  <si>
    <t>C:\Users\franc\OneDrive\Documentos\MALENTIN KARIME\BANCO ESTADO\2012 DEPTO ESCRITURAS fata\NOTARIA 2009\CARLOS BUGUEÑÑ\2009\MANDATOS\soc. HUALLILLINGA.doc</t>
  </si>
  <si>
    <t>C:\Users\franc\OneDrive\Documentos\MALENTIN KARIME\BANCO ESTADO\2012 DEPTO ESCRITURAS fata\NOTARIA 2009\CARLOS BUGUEÑÑ\2009\MANDATOS\SOC. AGRICOLA ANGOSTURA FINAL.doc</t>
  </si>
  <si>
    <t>C:\Users\franc\OneDrive\Documentos\MALENTIN KARIME\BANCO ESTADO\2012 DEPTO ESCRITURAS fata\NOTARIA 2009\CARLOS BUGUEÑÑ\2009\MANDATOS\SOC. AGRICOLA ANGOSTURA A.doc</t>
  </si>
  <si>
    <t>C:\Users\franc\OneDrive\Documentos\MALENTIN KARIME\BANCO ESTADO\2012 DEPTO ESCRITURAS fata\NOTARIA 2009\CARLOS BUGUEÑÑ\2009\MANDATOS\SILVIA.doc</t>
  </si>
  <si>
    <t>C:\Users\franc\OneDrive\Documentos\MALENTIN KARIME\BANCO ESTADO\2012 DEPTO ESCRITURAS fata\NOTARIA 2009\CARLOS BUGUEÑÑ\2009\MANDATOS\RAUL MIRANDA A.doc</t>
  </si>
  <si>
    <t>C:\Users\franc\OneDrive\Documentos\MALENTIN KARIME\BANCO ESTADO\2012 DEPTO ESCRITURAS fata\NOTARIA 2009\CARLOS BUGUEÑÑ\2009\MANDATOS\GUSTAVO CORRAL A MARCELO CORRAL.doc</t>
  </si>
  <si>
    <t>C:\Users\franc\OneDrive\Documentos\MALENTIN KARIME\BANCO ESTADO\2012 DEPTO ESCRITURAS fata\NOTARIA 2009\CARLOS BUGUEÑÑ\2009\MANDATOS\CARLOS BUGUEÑO A MARIO BARRIOS.doc</t>
  </si>
  <si>
    <t>C:\Users\franc\OneDrive\Documentos\MALENTIN KARIME\BANCO ESTADO\2012 DEPTO ESCRITURAS fata\NOTARIA 2009\CARLOS BUGUEÑÑ\2009\DACION EN PAGO\OSCAR REYES A CARLOS MILLA.doc</t>
  </si>
  <si>
    <t>C:\Users\franc\OneDrive\Documentos\MALENTIN KARIME\BANCO ESTADO\2012 DEPTO ESCRITURAS fata\NOTARIA 2009\CARLOS BUGUEÑÑ\2009\CVI AGUAS\VINICOLA CAMPO LINDO A CIPRES.doc</t>
  </si>
  <si>
    <t>C:\Users\franc\OneDrive\Documentos\MALENTIN KARIME\BANCO ESTADO\2012 DEPTO ESCRITURAS fata\NOTARIA 2009\CARLOS BUGUEÑÑ\2009\CVI AGUAS\SOC. ALGARROBO A ANTONIO CORRAL Y OTRO Y ALZ. CORPBANCA.doc</t>
  </si>
  <si>
    <t>C:\Users\franc\OneDrive\Documentos\MALENTIN KARIME\BANCO ESTADO\2012 DEPTO ESCRITURAS fata\NOTARIA 2009\CARLOS BUGUEÑÑ\2009\CVI AGUAS\SOC. ALGARROBO A AGRICOLA VESPUCIO Y ALZ. CORPBANCA.doc</t>
  </si>
  <si>
    <t>C:\Users\franc\OneDrive\Documentos\MALENTIN KARIME\BANCO ESTADO\2012 DEPTO ESCRITURAS fata\NOTARIA 2009\CARLOS BUGUEÑÑ\2009\CVI AGUAS\SARA SALOMON A CIPRES  (AGUAS).doc</t>
  </si>
  <si>
    <t>C:\Users\franc\OneDrive\Documentos\MALENTIN KARIME\BANCO ESTADO\2012 DEPTO ESCRITURAS fata\NOTARIA 2009\CARLOS BUGUEÑÑ\2009\CVI AGUAS\MARIA RAMOS Y OTROS A CIPRES INVERSIONES.doc</t>
  </si>
  <si>
    <t>C:\Users\franc\OneDrive\Documentos\MALENTIN KARIME\BANCO ESTADO\2012 DEPTO ESCRITURAS fata\NOTARIA 2009\CARLOS BUGUEÑÑ\2009\CVI AGUAS\LUIS LARA A INVERS. BOSMAN.doc</t>
  </si>
  <si>
    <t>C:\Users\franc\OneDrive\Documentos\MALENTIN KARIME\BANCO ESTADO\2012 DEPTO ESCRITURAS fata\NOTARIA 2009\CARLOS BUGUEÑÑ\2009\CVI AGUAS\JOSE ROBLES A INV. BOSMAN.doc</t>
  </si>
  <si>
    <t>C:\Users\franc\OneDrive\Documentos\MALENTIN KARIME\BANCO ESTADO\2012 DEPTO ESCRITURAS fata\NOTARIA 2009\CARLOS BUGUEÑÑ\2009\CVI AGUAS\ISRAEL PEREIRA Y OTROS A AGRICOLA LAS MERCEDES.doc</t>
  </si>
  <si>
    <t>C:\Users\franc\OneDrive\Documentos\MALENTIN KARIME\BANCO ESTADO\2012 DEPTO ESCRITURAS fata\NOTARIA 2009\CARLOS BUGUEÑÑ\2009\CVI AGUAS\carta_instrucc_-_cipres_con_maria_ramos_y_otros[1].doc</t>
  </si>
  <si>
    <t>C:\Users\franc\OneDrive\Documentos\MALENTIN KARIME\BANCO ESTADO\2012 DEPTO ESCRITURAS fata\NOTARIA 2009\CARLOS BUGUEÑÑ\2009\CVI AGUAS\carta[1].inst. compra norman john.doc</t>
  </si>
  <si>
    <t>C:\Users\franc\OneDrive\Documentos\MALENTIN KARIME\BANCO ESTADO\2012 DEPTO ESCRITURAS fata\NOTARIA 2009\CARLOS BUGUEÑÑ\2009\CVI AGUAS\carta.inst._compra_vespucio_sa[1].doc</t>
  </si>
  <si>
    <t>C:\Users\franc\OneDrive\Documentos\MALENTIN KARIME\BANCO ESTADO\2012 DEPTO ESCRITURAS fata\NOTARIA 2009\CARLOS BUGUEÑÑ\2009\CVI AGUAS\carta.inst._compra_san_clemente_ltda[1].doc</t>
  </si>
  <si>
    <t>C:\Users\franc\OneDrive\Documentos\MALENTIN KARIME\BANCO ESTADO\2012 DEPTO ESCRITURAS fata\NOTARIA 2009\CARLOS BUGUEÑÑ\2009\CVI AGUAS\carta.inst._agricola_vespucio_sa[1]  222.doc</t>
  </si>
  <si>
    <t>C:\Users\franc\OneDrive\Documentos\MALENTIN KARIME\BANCO ESTADO\2012 DEPTO ESCRITURAS fata\NOTARIA 2009\CARLOS BUGUEÑÑ\2009\CVI AGUAS\carta instrucc suc pereira sept 2009[1].doc</t>
  </si>
  <si>
    <t>C:\Users\franc\OneDrive\Documentos\MALENTIN KARIME\BANCO ESTADO\2012 DEPTO ESCRITURAS fata\NOTARIA 2009\CARLOS BUGUEÑÑ\2009\CVI AGUAS\AGRICOLA VESPUCIO S.A. A FRUTICOLA RIO  COPIAPO.doc</t>
  </si>
  <si>
    <t>C:\Users\franc\OneDrive\Documentos\MALENTIN KARIME\BANCO ESTADO\2012 DEPTO ESCRITURAS fata\NOTARIA 2009\CARLOS BUGUEÑÑ\2009\CVI AGUAS\AGRICOLA SAN CLEMENTE A FRUTICOLA COPIAPO.doc</t>
  </si>
  <si>
    <t>C:\Users\franc\OneDrive\Documentos\MALENTIN KARIME\BANCO ESTADO\2012 DEPTO ESCRITURAS fata\NOTARIA 2009\CARLOS BUGUEÑÑ\2009\CONTRATOS PRIVADOS\PLAZA TURISMO A JUAN RUILOVA.doc</t>
  </si>
  <si>
    <t>C:\Users\franc\OneDrive\Documentos\MALENTIN KARIME\BANCO ESTADO\2012 DEPTO ESCRITURAS fata\NOTARIA 2009\CARLOS BUGUEÑÑ\2009\CONTRATOS PRIVADOS\arriendo arauco 345 - julio 2009[1].doc</t>
  </si>
  <si>
    <t>C:\Users\franc\OneDrive\Documentos\MALENTIN KARIME\BANCO ESTADO\2012 DEPTO ESCRITURAS fata\NOTARIA 2009\CARLOS BUGUEÑÑ\2009\COMPRAVENTA\SOC. GUSTAVO CORRAL A SOC. MARCELO CORRAL.doc</t>
  </si>
  <si>
    <t>C:\Users\franc\OneDrive\Documentos\MALENTIN KARIME\BANCO ESTADO\2012 DEPTO ESCRITURAS fata\NOTARIA 2009\CARLOS BUGUEÑÑ\2009\COMPRAVENTA\ROGER RIVERA A INELDA BERNAL.doc</t>
  </si>
  <si>
    <t>C:\Users\franc\OneDrive\Documentos\MALENTIN KARIME\BANCO ESTADO\2012 DEPTO ESCRITURAS fata\NOTARIA 2009\CARLOS BUGUEÑÑ\2009\COMPRAVENTA\RENE URZUA A CIPRES (AGUAS).doc</t>
  </si>
  <si>
    <t>C:\Users\franc\OneDrive\Documentos\MALENTIN KARIME\BANCO ESTADO\2012 DEPTO ESCRITURAS fata\NOTARIA 2009\CARLOS BUGUEÑÑ\2009\COMPRAVENTA\RENE ORTIZ A SOC.ANGOSTURA.doc</t>
  </si>
  <si>
    <t>C:\Users\franc\OneDrive\Documentos\MALENTIN KARIME\BANCO ESTADO\2012 DEPTO ESCRITURAS fata\NOTARIA 2009\CARLOS BUGUEÑÑ\2009\COMPRAVENTA\MIGUEL TAPIA A CIPRES.doc</t>
  </si>
  <si>
    <t>C:\Users\franc\OneDrive\Documentos\MALENTIN KARIME\BANCO ESTADO\2012 DEPTO ESCRITURAS fata\NOTARIA 2009\CARLOS BUGUEÑÑ\2009\COMPRAVENTA\MIGUEL TAPIA A CIPRES (CARTA INSTRUCCIONES).doc</t>
  </si>
  <si>
    <t>C:\Users\franc\OneDrive\Documentos\MALENTIN KARIME\BANCO ESTADO\2012 DEPTO ESCRITURAS fata\NOTARIA 2009\CARLOS BUGUEÑÑ\2009\COMPRAVENTA\MARIA FIGARI A INV. BOSMAN Y GIOIA.doc</t>
  </si>
  <si>
    <t>C:\Users\franc\OneDrive\Documentos\MALENTIN KARIME\BANCO ESTADO\2012 DEPTO ESCRITURAS fata\NOTARIA 2009\CARLOS BUGUEÑÑ\2009\COMPRAVENTA\MARCO ARAYA A HECTOR BARRZA (AL REVES).doc</t>
  </si>
  <si>
    <t>C:\Users\franc\OneDrive\Documentos\MALENTIN KARIME\BANCO ESTADO\2012 DEPTO ESCRITURAS fata\NOTARIA 2009\CARLOS BUGUEÑÑ\2009\COMPRAVENTA\LAURA CAMPUSANO Y OTROS A GONZALO CAMPUSANO.doc</t>
  </si>
  <si>
    <t>C:\Users\franc\OneDrive\Documentos\MALENTIN KARIME\BANCO ESTADO\2012 DEPTO ESCRITURAS fata\NOTARIA 2009\CARLOS BUGUEÑÑ\2009\COMPRAVENTA\JUAN INOSTROZA A SOC. FRESSO.doc</t>
  </si>
  <si>
    <t>C:\Users\franc\OneDrive\Documentos\MALENTIN KARIME\BANCO ESTADO\2012 DEPTO ESCRITURAS fata\NOTARIA 2009\CARLOS BUGUEÑÑ\2009\COMPRAVENTA\HOTELERA EL MUELLE A MATIAS SALAS.doc</t>
  </si>
  <si>
    <t>C:\Users\franc\OneDrive\Documentos\MALENTIN KARIME\BANCO ESTADO\2012 DEPTO ESCRITURAS fata\NOTARIA 2009\CARLOS BUGUEÑÑ\2009\COMPRAVENTA\HECTOR BARRAZA A MARCO ARAYA.doc</t>
  </si>
  <si>
    <t>C:\Users\franc\OneDrive\Documentos\MALENTIN KARIME\BANCO ESTADO\2012 DEPTO ESCRITURAS fata\NOTARIA 2009\CARLOS BUGUEÑÑ\2009\COMPRAVENTA\HECTOR BARRAZA A MARCO ARAYA (CONSIGNACION).doc</t>
  </si>
  <si>
    <t>C:\Users\franc\OneDrive\Documentos\MALENTIN KARIME\BANCO ESTADO\2012 DEPTO ESCRITURAS fata\NOTARIA 2009\CARLOS BUGUEÑÑ\2009\COMPRAVENTA\GONZALO CAMPUSANO Y OTROS A SOC. ANGOSTURA.doc</t>
  </si>
  <si>
    <t>C:\Users\franc\OneDrive\Documentos\MALENTIN KARIME\BANCO ESTADO\2012 DEPTO ESCRITURAS fata\NOTARIA 2009\CARLOS BUGUEÑÑ\2009\COMPRAVENTA\CRUZ COLORADA A EDUARDO PLAZA.doc</t>
  </si>
  <si>
    <t>C:\Users\franc\OneDrive\Documentos\MALENTIN KARIME\BANCO ESTADO\2012 DEPTO ESCRITURAS fata\NOTARIA 2009\CARLOS BUGUEÑÑ\2009\COMPRAVENTA\CRUZ COLORADA A COMERCIAL GIBSON.doc</t>
  </si>
  <si>
    <t>C:\Users\franc\OneDrive\Documentos\MALENTIN KARIME\BANCO ESTADO\2012 DEPTO ESCRITURAS fata\NOTARIA 2009\CARLOS BUGUEÑÑ\2009\COMPRAVENTA\carta instrucc compra san julian[1].doc</t>
  </si>
  <si>
    <t>C:\Users\franc\OneDrive\Documentos\MALENTIN KARIME\BANCO ESTADO\2012 DEPTO ESCRITURAS fata\NOTARIA 2009\CARLOS BUGUEÑÑ\2009\COMPRAVENTA\carta instrucc compra rene ortiz - san julian[1].doc</t>
  </si>
  <si>
    <t>C:\Users\franc\OneDrive\Documentos\MALENTIN KARIME\BANCO ESTADO\2012 DEPTO ESCRITURAS fata\NOTARIA 2009\CARLOS BUGUEÑÑ\2009\COMPRAVENTA\carta instrucc - cipres con rene urzua.doc</t>
  </si>
  <si>
    <t>C:\Users\franc\OneDrive\Documentos\MALENTIN KARIME\BANCO ESTADO\2012 DEPTO ESCRITURAS fata\NOTARIA 2009\CARLOS BUGUEÑÑ\2009\COMPRAVENTA\CARMEN ARANCIBIA A ORLANDO DALBOSCO.doc</t>
  </si>
  <si>
    <t>C:\Users\franc\OneDrive\Documentos\MALENTIN KARIME\BANCO ESTADO\2012 DEPTO ESCRITURAS fata\NOTARIA 2009\CARLOS BUGUEÑÑ\2009\CESION DE DERECHOS\ROGER RIVERA CASTILLO.doc</t>
  </si>
  <si>
    <t>C:\Users\franc\OneDrive\Documentos\MALENTIN KARIME\BANCO ESTADO\2012 DEPTO ESCRITURAS fata\NOTARIA 2009\CARLOS BUGUEÑÑ\2009\CESION DE DERECHOS\PATRICIO PIZARRO RAMOS A MARIA RAMOS Y OTROS.doc</t>
  </si>
  <si>
    <t>C:\Users\franc\OneDrive\Documentos\MALENTIN KARIME\BANCO ESTADO\2012 DEPTO ESCRITURAS fata\NOTARIA 2009\CARLOS BUGUEÑÑ\2009\CESION DE DERECHOS\MARIA RODRIGUEZ A FRANCISCA RODRIGUEZ.doc</t>
  </si>
  <si>
    <t>C:\Users\franc\OneDrive\Documentos\MALENTIN KARIME\BANCO ESTADO\2012 DEPTO ESCRITURAS fata\NOTARIA 2009\CARLOS BUGUEÑÑ\2009\CESION DE DERECHOS\MARIA R. A FCA. RODRIGUEZ II.doc</t>
  </si>
  <si>
    <t>C:\Users\franc\OneDrive\Documentos\MALENTIN KARIME\BANCO ESTADO\2012 DEPTO ESCRITURAS fata\NOTARIA 2009\CARLOS BUGUEÑÑ\2009\CESION DE DERECHOS\HAYDEE HIDALGO A MARCO OLIVARES (COMUNIDAD AGRICOLA).doc</t>
  </si>
  <si>
    <t>C:\Users\franc\OneDrive\Documentos\MALENTIN KARIME\BANCO ESTADO\2012 DEPTO ESCRITURAS fata\NOTARIA 2009\CARLOS BUGUEÑÑ\2009\CESION DE DERECHOS\GUSTAVO CORRAL A INMOB. MARCELO CORRAL RENTA VITALICIA.doc</t>
  </si>
  <si>
    <t>C:\Users\franc\OneDrive\Documentos\MALENTIN KARIME\BANCO ESTADO\2012 DEPTO ESCRITURAS fata\NOTARIA 2009\CARLOS BUGUEÑÑ\2009\CESION DE DERECHOS\GUSTAVO CORRAL A INMOB. MARCELO CORRAL (CESION DE DERECHOS USUFRUCTO).doc</t>
  </si>
  <si>
    <t>C:\Users\franc\OneDrive\Documentos\MALENTIN KARIME\BANCO ESTADO\2012 DEPTO ESCRITURAS fata\NOTARIA 2009\CARLOS BUGUEÑÑ\2009\CESION DE DERECHOS\GUSTAVO CORRAL A INMOB. MARCELO CORRAL (2).doc</t>
  </si>
  <si>
    <t>C:\Users\franc\OneDrive\Documentos\MALENTIN KARIME\BANCO ESTADO\2012 DEPTO ESCRITURAS fata\NOTARIA 2009\CARLOS BUGUEÑÑ\2009\CANCELACION\INMOB. CRUZ COLORADA A EDUARDO PLAZA.doc</t>
  </si>
  <si>
    <t>C:\Users\franc\OneDrive\Documentos\MALENTIN KARIME\BANCO ESTADO\2012 DEPTO ESCRITURAS fata\NOTARIA 2009\CARLOS BUGUEÑÑ\2009\ACTAS\PLAZA TURISMO.doc</t>
  </si>
  <si>
    <t>C:\Users\franc\OneDrive\Documentos\MALENTIN KARIME\BANCO ESTADO\2012 DEPTO ESCRITURAS fata\NOTARIA 2009\CARLOS BUGUEÑÑ\2009\ACTAS\INMOB. HUGO JOFRE S.A. Acta Nº 9.doc</t>
  </si>
  <si>
    <t>C:\Users\franc\OneDrive\Documentos\MALENTIN KARIME\BANCO ESTADO\2012 DEPTO ESCRITURAS fata\NOTARIA 2009\CARLOS BUGUEÑÑ\2009\ACTAS\HOTELERA AMERICAN S.A. Acta Nº 3.doc</t>
  </si>
  <si>
    <t>C:\Users\franc\OneDrive\Documentos\MALENTIN KARIME\BANCO ESTADO\2012 DEPTO ESCRITURAS fata\NOTARIA 2009\CARLOS BUGUEÑÑ\2009\ACTAS\AGRICOLA LOS LEONES.doc</t>
  </si>
  <si>
    <t>C:\Users\franc\OneDrive\Documentos\MALENTIN KARIME\BANCO ESTADO\2012 DEPTO ESCRITURAS fata\NOTARIA 2009\CARLOS BUGUEÑÑ\2009\ACLARACION\SERGIO OVANDO.doc</t>
  </si>
  <si>
    <t>C:\Users\franc\OneDrive\Documentos\MALENTIN KARIME\BANCO ESTADO\2012 DEPTO ESCRITURAS fata\NOTARIA 2009\CARLOS BUGUEÑÑ\2009\ACLARACION\HUGO CASTILLO (OCT 2009 FINAL).doc</t>
  </si>
  <si>
    <t>C:\Users\franc\OneDrive\Documentos\MALENTIN KARIME\BANCO ESTADO\2012 DEPTO ESCRITURAS fata\NOTARIA 2009\CARLOS BUGUEÑÑ\2009\ACLARACION\HUGO CASTILLO (LIQ. SOC. CONYUGAL).doc</t>
  </si>
  <si>
    <t>C:\Users\franc\OneDrive\Documentos\MALENTIN KARIME\BANCO ESTADO\2012 DEPTO ESCRITURAS fata\NOTARIA 2009\CARLOS BUGUEÑÑ\2009\ACLARACION\GRACIELA MOYA.doc</t>
  </si>
  <si>
    <t>C:\Users\franc\OneDrive\Documentos\MALENTIN KARIME\BANCO ESTADO\2012 DEPTO ESCRITURAS fata\NOTARIA 2009\CARLOS BUGUEÑÑ\2009\ACLARACION\CARLOS BUFGUEÑO - ISRAEL PEREIRA Y OTROS.doc</t>
  </si>
  <si>
    <t>C:\Users\franc\OneDrive\Documentos\MALENTIN KARIME\BANCO ESTADO\2012 DEPTO ESCRITURAS fata\NOTARIA 2009\CARLOS BUGUEÑÑ\2009\ACLARACION\CARLOS BUFGUEÑO - ALGARROBO A ANTONI CORRAL.doc</t>
  </si>
  <si>
    <t>C:\Users\franc\OneDrive\Documentos\MALENTIN KARIME\BANCO ESTADO\2012 DEPTO ESCRITURAS fata\NOTARIA 2009\CARLOS BUGUEÑÑ\2009\ACLARACION\campo lindo.doc</t>
  </si>
  <si>
    <t>C:\Users\franc\OneDrive\Documentos\MALENTIN KARIME\BANCO ESTADO\2012 DEPTO ESCRITURAS fata\NOTARIA 2009\CARLOS BUGUEÑÑ\2009\TRANSACCION.- MARCELA GONZALEZ - ROSA CONTRERAS.doc</t>
  </si>
  <si>
    <t>C:\Users\franc\OneDrive\Documentos\MALENTIN KARIME\BANCO ESTADO\2012 DEPTO ESCRITURAS fata\NOTARIA 2009\CARLOS BUGUEÑÑ\2009\TRANSACCION.- ANGELICA MERUANE MISLEH-.doc</t>
  </si>
  <si>
    <t>C:\Users\franc\OneDrive\Documentos\MALENTIN KARIME\BANCO ESTADO\2012 DEPTO ESCRITURAS fata\NOTARIA 2009\CARLOS BUGUEÑÑ\2007\TRANSACCION\RICARDO CORRAL A AGRICOLA MARCELO CORRAL.doc</t>
  </si>
  <si>
    <t>C:\Users\franc\OneDrive\Documentos\MALENTIN KARIME\BANCO ESTADO\2012 DEPTO ESCRITURAS fata\NOTARIA 2009\CARLOS BUGUEÑÑ\2007\TRANSACCION\MARCELA GONZALEZ A ROSA CONTRERAS.doc</t>
  </si>
  <si>
    <t>C:\Users\franc\OneDrive\Documentos\MALENTIN KARIME\BANCO ESTADO\2012 DEPTO ESCRITURAS fata\NOTARIA 2009\CARLOS BUGUEÑÑ\2007\TRANSACCION\MARCELA GONZALEZ A ROSA CONTRERAS FINAL.doc</t>
  </si>
  <si>
    <t>C:\Users\franc\OneDrive\Documentos\MALENTIN KARIME\BANCO ESTADO\2012 DEPTO ESCRITURAS fata\NOTARIA 2009\CARLOS BUGUEÑÑ\2007\TRANSACCION\CARLA FIGUEROA CON RODRIGO ALEGRIA.doc</t>
  </si>
  <si>
    <t>C:\Users\franc\OneDrive\Documentos\MALENTIN KARIME\BANCO ESTADO\2012 DEPTO ESCRITURAS fata\NOTARIA 2009\CARLOS BUGUEÑÑ\2007\TRANSACCION\AGRICOLA E INM.MARCELO CORRAL A GUSTAVO CORRAL Y OTRA.doc</t>
  </si>
  <si>
    <t>C:\Users\franc\OneDrive\Documentos\MALENTIN KARIME\BANCO ESTADO\2012 DEPTO ESCRITURAS fata\NOTARIA 2009\CARLOS BUGUEÑÑ\2007\TESTAMENTOS\ROSA CORTES (EDGARDO SAUD).doc</t>
  </si>
  <si>
    <t>C:\Users\franc\OneDrive\Documentos\MALENTIN KARIME\BANCO ESTADO\2012 DEPTO ESCRITURAS fata\NOTARIA 2009\CARLOS BUGUEÑÑ\2007\TESTAMENTOS\EDGARDO SAUD ROJAS.doc</t>
  </si>
  <si>
    <t>C:\Users\franc\OneDrive\Documentos\MALENTIN KARIME\BANCO ESTADO\2012 DEPTO ESCRITURAS fata\NOTARIA 2009\CARLOS BUGUEÑÑ\2007\TERMINO ARRIENDO\NICOMEDES BUGUEÑO.doc</t>
  </si>
  <si>
    <t>C:\Users\franc\OneDrive\Documentos\MALENTIN KARIME\BANCO ESTADO\2012 DEPTO ESCRITURAS fata\NOTARIA 2009\CARLOS BUGUEÑÑ\2007\TERMINO ARRENDAMIENTO\PILAR MUNCADA A SOC. AGRIC. PUNILLA.doc</t>
  </si>
  <si>
    <t>C:\Users\franc\OneDrive\Documentos\MALENTIN KARIME\BANCO ESTADO\2012 DEPTO ESCRITURAS fata\NOTARIA 2009\CARLOS BUGUEÑÑ\2007\SOCIEDAD\TERMINO SOC. HORACIO ALVAREZ EXTRACTO.doc</t>
  </si>
  <si>
    <t>C:\Users\franc\OneDrive\Documentos\MALENTIN KARIME\BANCO ESTADO\2012 DEPTO ESCRITURAS fata\NOTARIA 2009\CARLOS BUGUEÑÑ\2007\SOCIEDAD\SOC. STA MARTA DE MOSTAZAL.doc</t>
  </si>
  <si>
    <t>C:\Users\franc\OneDrive\Documentos\MALENTIN KARIME\BANCO ESTADO\2012 DEPTO ESCRITURAS fata\NOTARIA 2009\CARLOS BUGUEÑÑ\2007\SOCIEDAD\SOC. GASTRONOMICA - LLAMILA PINTO - MODIFICACION.doc</t>
  </si>
  <si>
    <t>C:\Users\franc\OneDrive\Documentos\MALENTIN KARIME\BANCO ESTADO\2012 DEPTO ESCRITURAS fata\NOTARIA 2009\CARLOS BUGUEÑÑ\2007\SOCIEDAD\SOC. ALVAREZ Y JULIA LTDA..doc</t>
  </si>
  <si>
    <t>C:\Users\franc\OneDrive\Documentos\MALENTIN KARIME\BANCO ESTADO\2012 DEPTO ESCRITURAS fata\NOTARIA 2009\CARLOS BUGUEÑÑ\2007\SOCIEDAD\SOC ROBERTO CORTES (MODIFICACION) EXTRACTO.doc</t>
  </si>
  <si>
    <t>C:\Users\franc\OneDrive\Documentos\MALENTIN KARIME\BANCO ESTADO\2012 DEPTO ESCRITURAS fata\NOTARIA 2009\CARLOS BUGUEÑÑ\2007\SOCIEDAD\patricia_julia_-_modifica_sociedad_-_extracto_-_sept_2008[1].doc</t>
  </si>
  <si>
    <t>C:\Users\franc\OneDrive\Documentos\MALENTIN KARIME\BANCO ESTADO\2012 DEPTO ESCRITURAS fata\NOTARIA 2009\CARLOS BUGUEÑÑ\2007\SOCIEDAD\patricia julia - noviembre 2007 - extracto.doc</t>
  </si>
  <si>
    <t>C:\Users\franc\OneDrive\Documentos\MALENTIN KARIME\BANCO ESTADO\2012 DEPTO ESCRITURAS fata\NOTARIA 2009\CARLOS BUGUEÑÑ\2007\SOCIEDAD\PALOMA CORTES - EXTRACTO.doc</t>
  </si>
  <si>
    <t>C:\Users\franc\OneDrive\Documentos\MALENTIN KARIME\BANCO ESTADO\2012 DEPTO ESCRITURAS fata\NOTARIA 2009\CARLOS BUGUEÑÑ\2007\SOCIEDAD\MODIFICACION INMOBILIARIA Y HOTELERA Y TRANSFORMACION INVERSIONES HUGO JOFRE.doc</t>
  </si>
  <si>
    <t>C:\Users\franc\OneDrive\Documentos\MALENTIN KARIME\BANCO ESTADO\2012 DEPTO ESCRITURAS fata\NOTARIA 2009\CARLOS BUGUEÑÑ\2007\SOCIEDAD\MODIF. SOC. CORTES CORRAL (EXTRACTO).doc</t>
  </si>
  <si>
    <t>C:\Users\franc\OneDrive\Documentos\MALENTIN KARIME\BANCO ESTADO\2012 DEPTO ESCRITURAS fata\NOTARIA 2009\CARLOS BUGUEÑÑ\2007\SOCIEDAD\MODELO NOTARIO.doc</t>
  </si>
  <si>
    <t>C:\Users\franc\OneDrive\Documentos\MALENTIN KARIME\BANCO ESTADO\2012 DEPTO ESCRITURAS fata\NOTARIA 2009\CARLOS BUGUEÑÑ\2007\SOCIEDAD\marcelo corral soc diciembre 2007 - extracto.doc</t>
  </si>
  <si>
    <t>C:\Users\franc\OneDrive\Documentos\MALENTIN KARIME\BANCO ESTADO\2012 DEPTO ESCRITURAS fata\NOTARIA 2009\CARLOS BUGUEÑÑ\2007\SOCIEDAD\LORETO CORTES EXTRACTO.doc</t>
  </si>
  <si>
    <t>C:\Users\franc\OneDrive\Documentos\MALENTIN KARIME\BANCO ESTADO\2012 DEPTO ESCRITURAS fata\NOTARIA 2009\CARLOS BUGUEÑÑ\2007\SOCIEDAD\jorge h corral soc - enero 2008 - extracto.doc</t>
  </si>
  <si>
    <t>C:\Users\franc\OneDrive\Documentos\MALENTIN KARIME\BANCO ESTADO\2012 DEPTO ESCRITURAS fata\NOTARIA 2009\CARLOS BUGUEÑÑ\2007\SOCIEDAD\HOTELERA Y SERVICIO AMERICAN S.A. (JOFRE).doc</t>
  </si>
  <si>
    <t>C:\Users\franc\OneDrive\Documentos\MALENTIN KARIME\BANCO ESTADO\2012 DEPTO ESCRITURAS fata\NOTARIA 2009\CARLOS BUGUEÑÑ\2007\SOCIEDAD\HOTELERA PLAZA TURISMO S.A. (JOFRE).doc</t>
  </si>
  <si>
    <t>C:\Users\franc\OneDrive\Documentos\MALENTIN KARIME\BANCO ESTADO\2012 DEPTO ESCRITURAS fata\NOTARIA 2009\CARLOS BUGUEÑÑ\2007\SOCIEDAD\HECTOR ARRIAGADA E.I.R.L..doc</t>
  </si>
  <si>
    <t>C:\Users\franc\OneDrive\Documentos\MALENTIN KARIME\BANCO ESTADO\2012 DEPTO ESCRITURAS fata\NOTARIA 2009\CARLOS BUGUEÑÑ\2007\SOCIEDAD\extracto LAS NIETAS.doc</t>
  </si>
  <si>
    <t>C:\Users\franc\OneDrive\Documentos\MALENTIN KARIME\BANCO ESTADO\2012 DEPTO ESCRITURAS fata\NOTARIA 2009\CARLOS BUGUEÑÑ\2007\SOCIEDAD\COMERCIAL GIBSON.doc</t>
  </si>
  <si>
    <t>C:\Users\franc\OneDrive\Documentos\MALENTIN KARIME\BANCO ESTADO\2012 DEPTO ESCRITURAS fata\NOTARIA 2009\CARLOS BUGUEÑÑ\2007\SOCIEDAD\cesion__lino_hernandez__extracto_-_junio_2008[1].doc</t>
  </si>
  <si>
    <t>C:\Users\franc\OneDrive\Documentos\MALENTIN KARIME\BANCO ESTADO\2012 DEPTO ESCRITURAS fata\NOTARIA 2009\CARLOS BUGUEÑÑ\2007\SOCIEDAD\CESION LINO HERNANDEZ.doc</t>
  </si>
  <si>
    <t>C:\Users\franc\OneDrive\Documentos\MALENTIN KARIME\BANCO ESTADO\2012 DEPTO ESCRITURAS fata\NOTARIA 2009\CARLOS BUGUEÑÑ\2007\SOCIEDAD\CECILIA CORTES PICKERT EIRL.doc</t>
  </si>
  <si>
    <t>C:\Users\franc\OneDrive\Documentos\MALENTIN KARIME\BANCO ESTADO\2012 DEPTO ESCRITURAS fata\NOTARIA 2009\CARLOS BUGUEÑÑ\2007\SOCIEDAD\APORTE MARCELO CORRAL BARRIOS.doc</t>
  </si>
  <si>
    <t>C:\Users\franc\OneDrive\Documentos\MALENTIN KARIME\BANCO ESTADO\2012 DEPTO ESCRITURAS fata\NOTARIA 2009\CARLOS BUGUEÑÑ\2007\SOCIEDAD\ALEXIS DIAZ SANEAMIENTO.doc</t>
  </si>
  <si>
    <t>C:\Users\franc\OneDrive\Documentos\MALENTIN KARIME\BANCO ESTADO\2012 DEPTO ESCRITURAS fata\NOTARIA 2009\CARLOS BUGUEÑÑ\2007\SOCIEDAD\ALEXIS DIAZ MODIFICACION.doc</t>
  </si>
  <si>
    <t>C:\Users\franc\OneDrive\Documentos\MALENTIN KARIME\BANCO ESTADO\2012 DEPTO ESCRITURAS fata\NOTARIA 2009\CARLOS BUGUEÑÑ\2007\SOCIEDAD\ALEXIS DIAZ (MODIFICCION) EXTRACTO.doc</t>
  </si>
  <si>
    <t>C:\Users\franc\OneDrive\Documentos\MALENTIN KARIME\BANCO ESTADO\2012 DEPTO ESCRITURAS fata\NOTARIA 2009\CARLOS BUGUEÑÑ\2007\SOCIEDAD\alexis diaz  saneamiento - extracto.doc</t>
  </si>
  <si>
    <t>C:\Users\franc\OneDrive\Documentos\MALENTIN KARIME\BANCO ESTADO\2012 DEPTO ESCRITURAS fata\NOTARIA 2009\CARLOS BUGUEÑÑ\2007\SOCIEDAD\AGRICOLA SANTA JULIA (CORTES-CORRAL).doc</t>
  </si>
  <si>
    <t>C:\Users\franc\OneDrive\Documentos\MALENTIN KARIME\BANCO ESTADO\2012 DEPTO ESCRITURAS fata\NOTARIA 2009\CARLOS BUGUEÑÑ\2007\SOCIEDAD\AGRICOLA MARYLO (CORTES-CORRAL).doc</t>
  </si>
  <si>
    <t>C:\Users\franc\OneDrive\Documentos\MALENTIN KARIME\BANCO ESTADO\2012 DEPTO ESCRITURAS fata\NOTARIA 2009\CARLOS BUGUEÑÑ\2007\SOCIEDAD\AGRICOLA MARCELO CORRRAL Y CIA.doc</t>
  </si>
  <si>
    <t>C:\Users\franc\OneDrive\Documentos\MALENTIN KARIME\BANCO ESTADO\2012 DEPTO ESCRITURAS fata\NOTARIA 2009\CARLOS BUGUEÑÑ\2007\SOCIEDAD\AGRICOLA MARCELA CORRAL (ACLARACION).doc</t>
  </si>
  <si>
    <t>C:\Users\franc\OneDrive\Documentos\MALENTIN KARIME\BANCO ESTADO\2012 DEPTO ESCRITURAS fata\NOTARIA 2009\CARLOS BUGUEÑÑ\2007\SOCIEDAD\AGRICOLA LOS LEONES S.A. (JOFRE).doc</t>
  </si>
  <si>
    <t>C:\Users\franc\OneDrive\Documentos\MALENTIN KARIME\BANCO ESTADO\2012 DEPTO ESCRITURAS fata\NOTARIA 2009\CARLOS BUGUEÑÑ\2007\SOCIEDAD\AGRICOLA LAS PALOMAS (CORTES-CORRAL).doc</t>
  </si>
  <si>
    <t>C:\Users\franc\OneDrive\Documentos\MALENTIN KARIME\BANCO ESTADO\2012 DEPTO ESCRITURAS fata\NOTARIA 2009\CARLOS BUGUEÑÑ\2007\SOCIEDAD\AGRICOLA LAS NIETAS - SANEAMIENTO.doc</t>
  </si>
  <si>
    <t>C:\Users\franc\OneDrive\Documentos\MALENTIN KARIME\BANCO ESTADO\2012 DEPTO ESCRITURAS fata\NOTARIA 2009\CARLOS BUGUEÑÑ\2007\SOCIEDAD\AGRICOLA LAS NIETAS (CORTES-CORRAL) SOCIEDAD.doc</t>
  </si>
  <si>
    <t>C:\Users\franc\OneDrive\Documentos\MALENTIN KARIME\BANCO ESTADO\2012 DEPTO ESCRITURAS fata\NOTARIA 2009\CARLOS BUGUEÑÑ\2007\SERVIDUMBRES\AGRICOLA STA. ELENA A LUCIA DONOSO.doc</t>
  </si>
  <si>
    <t>C:\Users\franc\OneDrive\Documentos\MALENTIN KARIME\BANCO ESTADO\2012 DEPTO ESCRITURAS fata\NOTARIA 2009\CARLOS BUGUEÑÑ\2007\SEPARACION DE BIENES\ROBERTO CORTES CORRAL.doc</t>
  </si>
  <si>
    <t>C:\Users\franc\OneDrive\Documentos\MALENTIN KARIME\BANCO ESTADO\2012 DEPTO ESCRITURAS fata\NOTARIA 2009\CARLOS BUGUEÑÑ\2007\SEPARACION DE BIENES\PATRICIO SALGADO.doc</t>
  </si>
  <si>
    <t>C:\Users\franc\OneDrive\Documentos\MALENTIN KARIME\BANCO ESTADO\2012 DEPTO ESCRITURAS fata\NOTARIA 2009\CARLOS BUGUEÑÑ\2007\SANTIAGO BOSMAN\JULIA CORTES.doc</t>
  </si>
  <si>
    <t>C:\Users\franc\OneDrive\Documentos\MALENTIN KARIME\BANCO ESTADO\2012 DEPTO ESCRITURAS fata\NOTARIA 2009\CARLOS BUGUEÑÑ\2007\SANTIAGO BOSMAN\JORGE ACUÑA A RIO COPIAPO - AGUAS.doc</t>
  </si>
  <si>
    <t>C:\Users\franc\OneDrive\Documentos\MALENTIN KARIME\BANCO ESTADO\2012 DEPTO ESCRITURAS fata\NOTARIA 2009\CARLOS BUGUEÑÑ\2007\SANTIAGO BOSMAN\APORTE BIENES INMUEBLES A SOC.doc</t>
  </si>
  <si>
    <t>C:\Users\franc\OneDrive\Documentos\MALENTIN KARIME\BANCO ESTADO\2012 DEPTO ESCRITURAS fata\NOTARIA 2009\CARLOS BUGUEÑÑ\2007\REVOCACION\SOCIEDAD  MOSTAZAL (REVOCA).doc</t>
  </si>
  <si>
    <t>C:\Users\franc\OneDrive\Documentos\MALENTIN KARIME\BANCO ESTADO\2012 DEPTO ESCRITURAS fata\NOTARIA 2009\CARLOS BUGUEÑÑ\2007\RENUNCIA USUFRUCTO\RENE ALLENDE.doc</t>
  </si>
  <si>
    <t>C:\Users\franc\OneDrive\Documentos\MALENTIN KARIME\BANCO ESTADO\2012 DEPTO ESCRITURAS fata\NOTARIA 2009\CARLOS BUGUEÑÑ\2007\RENUNCIA USUFRUCTO\HUGO JOFRE.doc</t>
  </si>
  <si>
    <t>C:\Users\franc\OneDrive\Documentos\MALENTIN KARIME\BANCO ESTADO\2012 DEPTO ESCRITURAS fata\NOTARIA 2009\CARLOS BUGUEÑÑ\2007\RECTIFICACION\LUCIA DONOSO.doc</t>
  </si>
  <si>
    <t>C:\Users\franc\OneDrive\Documentos\MALENTIN KARIME\BANCO ESTADO\2012 DEPTO ESCRITURAS fata\NOTARIA 2009\CARLOS BUGUEÑÑ\2007\PROTOCOLIZACION\CECILIA CORTES PICKERT EIRL.doc</t>
  </si>
  <si>
    <t>C:\Users\franc\OneDrive\Documentos\MALENTIN KARIME\BANCO ESTADO\2012 DEPTO ESCRITURAS fata\NOTARIA 2009\CARLOS BUGUEÑÑ\2007\PROMESA\CRUZ COLORADA A SOC. GIBSON+.doc</t>
  </si>
  <si>
    <t>C:\Users\franc\OneDrive\Documentos\MALENTIN KARIME\BANCO ESTADO\2012 DEPTO ESCRITURAS fata\NOTARIA 2009\CARLOS BUGUEÑÑ\2007\PROMESA\AGRICOLA HERNAN CORRAL A AGRICOLA MARCELO CORRAL.doc</t>
  </si>
  <si>
    <t>C:\Users\franc\OneDrive\Documentos\MALENTIN KARIME\BANCO ESTADO\2012 DEPTO ESCRITURAS fata\NOTARIA 2009\CARLOS BUGUEÑÑ\2007\PERMUTA\GILBERTO PARDO A SOC ANGOSTURA.doc</t>
  </si>
  <si>
    <t>C:\Users\franc\OneDrive\Documentos\MALENTIN KARIME\BANCO ESTADO\2012 DEPTO ESCRITURAS fata\NOTARIA 2009\CARLOS BUGUEÑÑ\2007\PERMUTA\ANTONIO CORRAL EIRL A SOC. ANGOSTURA.doc</t>
  </si>
  <si>
    <t>C:\Users\franc\OneDrive\Documentos\MALENTIN KARIME\BANCO ESTADO\2012 DEPTO ESCRITURAS fata\NOTARIA 2009\CARLOS BUGUEÑÑ\2007\MUTUO\JOSE ARAYA A ROSA CASTILLO.doc</t>
  </si>
  <si>
    <t>C:\Users\franc\OneDrive\Documentos\MALENTIN KARIME\BANCO ESTADO\2012 DEPTO ESCRITURAS fata\NOTARIA 2009\CARLOS BUGUEÑÑ\2007\MUTUO\AGRICOLA MARCELA CORRAL A NEWMAN.doc</t>
  </si>
  <si>
    <t>C:\Users\franc\OneDrive\Documentos\MALENTIN KARIME\BANCO ESTADO\2012 DEPTO ESCRITURAS fata\NOTARIA 2009\CARLOS BUGUEÑÑ\2007\MODIFICACION\SOCIEDAD MOSTAZAL.doc</t>
  </si>
  <si>
    <t>C:\Users\franc\OneDrive\Documentos\MALENTIN KARIME\BANCO ESTADO\2012 DEPTO ESCRITURAS fata\NOTARIA 2009\CARLOS BUGUEÑÑ\2007\MODIFICACION\SOC. AGRICOLA ELIANA DE RAPEL.doc</t>
  </si>
  <si>
    <t>C:\Users\franc\OneDrive\Documentos\MALENTIN KARIME\BANCO ESTADO\2012 DEPTO ESCRITURAS fata\NOTARIA 2009\CARLOS BUGUEÑÑ\2007\MODIFICACION\AGRICOLA CORTES CORRAL (MODIFICACION).doc</t>
  </si>
  <si>
    <t>C:\Users\franc\OneDrive\Documentos\MALENTIN KARIME\BANCO ESTADO\2012 DEPTO ESCRITURAS fata\NOTARIA 2009\CARLOS BUGUEÑÑ\2007\MODIFICACION\AGRICOLA ALVAREZ Y JULIA.doc</t>
  </si>
  <si>
    <t>C:\Users\franc\OneDrive\Documentos\MALENTIN KARIME\BANCO ESTADO\2012 DEPTO ESCRITURAS fata\NOTARIA 2009\CARLOS BUGUEÑÑ\2007\mandatos\ESTEBAN ESPEJO A SILVIA PIZARRO.doc</t>
  </si>
  <si>
    <t>C:\Users\franc\OneDrive\Documentos\MALENTIN KARIME\BANCO ESTADO\2012 DEPTO ESCRITURAS fata\NOTARIA 2009\CARLOS BUGUEÑÑ\2007\mandatos\B Y B a BANCO SNTANDER.doc</t>
  </si>
  <si>
    <t>C:\Users\franc\OneDrive\Documentos\MALENTIN KARIME\BANCO ESTADO\2012 DEPTO ESCRITURAS fata\NOTARIA 2009\CARLOS BUGUEÑÑ\2007\mandatos\AGRICOLA HERNAN CORRAL.doc</t>
  </si>
  <si>
    <t>C:\Users\franc\OneDrive\Documentos\MALENTIN KARIME\BANCO ESTADO\2012 DEPTO ESCRITURAS fata\NOTARIA 2009\CARLOS BUGUEÑÑ\2007\MANDATO GENERAL\OSCAR CARMONA.doc</t>
  </si>
  <si>
    <t>C:\Users\franc\OneDrive\Documentos\MALENTIN KARIME\BANCO ESTADO\2012 DEPTO ESCRITURAS fata\NOTARIA 2009\CARLOS BUGUEÑÑ\2007\LIQUIDACION SOC. CONYUGAL\HUGO CASTILLO.doc</t>
  </si>
  <si>
    <t>C:\Users\franc\OneDrive\Documentos\MALENTIN KARIME\BANCO ESTADO\2012 DEPTO ESCRITURAS fata\NOTARIA 2009\CARLOS BUGUEÑÑ\2007\JUNTA DE ACCCIONES\SLM ESPERANZA.doc</t>
  </si>
  <si>
    <t>C:\Users\franc\OneDrive\Documentos\MALENTIN KARIME\BANCO ESTADO\2012 DEPTO ESCRITURAS fata\NOTARIA 2009\CARLOS BUGUEÑÑ\2007\jofre\TURISMO ARRIENDO PRIVADO.doc</t>
  </si>
  <si>
    <t>C:\Users\franc\OneDrive\Documentos\MALENTIN KARIME\BANCO ESTADO\2012 DEPTO ESCRITURAS fata\NOTARIA 2009\CARLOS BUGUEÑÑ\2007\jofre\SEPARACION BIENES CRISTIAN.doc</t>
  </si>
  <si>
    <t>C:\Users\franc\OneDrive\Documentos\MALENTIN KARIME\BANCO ESTADO\2012 DEPTO ESCRITURAS fata\NOTARIA 2009\CARLOS BUGUEÑÑ\2007\jofre\NORMA BECERRA - TESTAMENTO.doc</t>
  </si>
  <si>
    <t>C:\Users\franc\OneDrive\Documentos\MALENTIN KARIME\BANCO ESTADO\2012 DEPTO ESCRITURAS fata\NOTARIA 2009\CARLOS BUGUEÑÑ\2007\jofre\LA SERENA - COQUIMBO.doc</t>
  </si>
  <si>
    <t>C:\Users\franc\OneDrive\Documentos\MALENTIN KARIME\BANCO ESTADO\2012 DEPTO ESCRITURAS fata\NOTARIA 2009\CARLOS BUGUEÑÑ\2007\jofre\INMOB. JOFRE  - MOD. SOC.doc</t>
  </si>
  <si>
    <t>C:\Users\franc\OneDrive\Documentos\MALENTIN KARIME\BANCO ESTADO\2012 DEPTO ESCRITURAS fata\NOTARIA 2009\CARLOS BUGUEÑÑ\2007\jofre\HUGO JOFRE A INMBO. HUGO J  S.A. COMPRAVNETA.doc</t>
  </si>
  <si>
    <t>C:\Users\franc\OneDrive\Documentos\MALENTIN KARIME\BANCO ESTADO\2012 DEPTO ESCRITURAS fata\NOTARIA 2009\CARLOS BUGUEÑÑ\2007\jofre\HUGO JOFRE - TESTAMENTO.doc</t>
  </si>
  <si>
    <t>C:\Users\franc\OneDrive\Documentos\MALENTIN KARIME\BANCO ESTADO\2012 DEPTO ESCRITURAS fata\NOTARIA 2009\CARLOS BUGUEÑÑ\2007\jofre\HUGO JOFRE - MANDATO GENERAL.doc</t>
  </si>
  <si>
    <t>C:\Users\franc\OneDrive\Documentos\MALENTIN KARIME\BANCO ESTADO\2012 DEPTO ESCRITURAS fata\NOTARIA 2009\CARLOS BUGUEÑÑ\2007\jofre\HUGO JOFRE  A AGRIC. LOS LEONES - COMPRAVENTA.doc</t>
  </si>
  <si>
    <t>C:\Users\franc\OneDrive\Documentos\MALENTIN KARIME\BANCO ESTADO\2012 DEPTO ESCRITURAS fata\NOTARIA 2009\CARLOS BUGUEÑÑ\2007\jofre\EXTRACO JOFRE.doc</t>
  </si>
  <si>
    <t>C:\Users\franc\OneDrive\Documentos\MALENTIN KARIME\BANCO ESTADO\2012 DEPTO ESCRITURAS fata\NOTARIA 2009\CARLOS BUGUEÑÑ\2007\jofre\comodato hugo jofre a inmobiliaria y hotelera ltda - enero 2008.doc</t>
  </si>
  <si>
    <t>C:\Users\franc\OneDrive\Documentos\MALENTIN KARIME\BANCO ESTADO\2012 DEPTO ESCRITURAS fata\NOTARIA 2009\CARLOS BUGUEÑÑ\2007\jofre\COMODATO HUGO JOFRE A AGRIC. LOS LEONES - PRIVADO.doc</t>
  </si>
  <si>
    <t>C:\Users\franc\OneDrive\Documentos\MALENTIN KARIME\BANCO ESTADO\2012 DEPTO ESCRITURAS fata\NOTARIA 2009\CARLOS BUGUEÑÑ\2007\jofre\autorizacion domicilio h jofre a agricola los leones sa febrero 2007.doc</t>
  </si>
  <si>
    <t>C:\Users\franc\OneDrive\Documentos\MALENTIN KARIME\BANCO ESTADO\2012 DEPTO ESCRITURAS fata\NOTARIA 2009\CARLOS BUGUEÑÑ\2007\jofre\ARRIENDO SR. PINILLA JUNIO 2008.doc</t>
  </si>
  <si>
    <t>C:\Users\franc\OneDrive\Documentos\MALENTIN KARIME\BANCO ESTADO\2012 DEPTO ESCRITURAS fata\NOTARIA 2009\CARLOS BUGUEÑÑ\2007\jofre\ARRIENDO GUSTAVO CORRAL.doc</t>
  </si>
  <si>
    <t>C:\Users\franc\OneDrive\Documentos\MALENTIN KARIME\BANCO ESTADO\2012 DEPTO ESCRITURAS fata\NOTARIA 2009\CARLOS BUGUEÑÑ\2007\jofre\AMERICAN ARRIENDO PRIVADO.doc</t>
  </si>
  <si>
    <t>C:\Users\franc\OneDrive\Documentos\MALENTIN KARIME\BANCO ESTADO\2012 DEPTO ESCRITURAS fata\NOTARIA 2009\CARLOS BUGUEÑÑ\2007\DISOLUCION SOCIEDAD HORACIO ALVAREZ\HORACIO ALVAREZ Y CIA.doc</t>
  </si>
  <si>
    <t>C:\Users\franc\OneDrive\Documentos\MALENTIN KARIME\BANCO ESTADO\2012 DEPTO ESCRITURAS fata\NOTARIA 2009\CARLOS BUGUEÑÑ\2007\DESIGNACION\SOC. ACME (JORGE CORTES.doc</t>
  </si>
  <si>
    <t>C:\Users\franc\OneDrive\Documentos\MALENTIN KARIME\BANCO ESTADO\2012 DEPTO ESCRITURAS fata\NOTARIA 2009\CARLOS BUGUEÑÑ\2007\DACION EN PAGO\INMB. CORRAL A JORGE CORRAL Y USUF. A GUSTAVO CORRAL.doc</t>
  </si>
  <si>
    <t>C:\Users\franc\OneDrive\Documentos\MALENTIN KARIME\BANCO ESTADO\2012 DEPTO ESCRITURAS fata\NOTARIA 2009\CARLOS BUGUEÑÑ\2007\CRUZ COLORADA\ROXANA RIVERA.doc</t>
  </si>
  <si>
    <t>C:\Users\franc\OneDrive\Documentos\MALENTIN KARIME\BANCO ESTADO\2012 DEPTO ESCRITURAS fata\NOTARIA 2009\CARLOS BUGUEÑÑ\2007\CRUZ COLORADA\RODOLFO HERNANDEZ.doc</t>
  </si>
  <si>
    <t>C:\Users\franc\OneDrive\Documentos\MALENTIN KARIME\BANCO ESTADO\2012 DEPTO ESCRITURAS fata\NOTARIA 2009\CARLOS BUGUEÑÑ\2007\CRUZ COLORADA\PAMELA COFRE (PROMESA).doc</t>
  </si>
  <si>
    <t>C:\Users\franc\OneDrive\Documentos\MALENTIN KARIME\BANCO ESTADO\2012 DEPTO ESCRITURAS fata\NOTARIA 2009\CARLOS BUGUEÑÑ\2007\CRUZ COLORADA\MANUEL VILLARROEL.doc</t>
  </si>
  <si>
    <t>C:\Users\franc\OneDrive\Documentos\MALENTIN KARIME\BANCO ESTADO\2012 DEPTO ESCRITURAS fata\NOTARIA 2009\CARLOS BUGUEÑÑ\2007\CRUZ COLORADA\MANUEL CANIVILO.doc</t>
  </si>
  <si>
    <t>C:\Users\franc\OneDrive\Documentos\MALENTIN KARIME\BANCO ESTADO\2012 DEPTO ESCRITURAS fata\NOTARIA 2009\CARLOS BUGUEÑÑ\2007\CRUZ COLORADA\erick contreras - promesa - enero 2007.doc</t>
  </si>
  <si>
    <t>C:\Users\franc\OneDrive\Documentos\MALENTIN KARIME\BANCO ESTADO\2012 DEPTO ESCRITURAS fata\NOTARIA 2009\CARLOS BUGUEÑÑ\2007\CRUZ COLORADA\ERIC CONTRERAS RESCILIACION.doc</t>
  </si>
  <si>
    <t>C:\Users\franc\OneDrive\Documentos\MALENTIN KARIME\BANCO ESTADO\2012 DEPTO ESCRITURAS fata\NOTARIA 2009\CARLOS BUGUEÑÑ\2007\CRUZ COLORADA\ERIC CONTRERAS CVI.doc</t>
  </si>
  <si>
    <t>C:\Users\franc\OneDrive\Documentos\MALENTIN KARIME\BANCO ESTADO\2012 DEPTO ESCRITURAS fata\NOTARIA 2009\CARLOS BUGUEÑÑ\2007\CRUZ COLORADA\CRISTIAN ROBLES.doc</t>
  </si>
  <si>
    <t>C:\Users\franc\OneDrive\Documentos\MALENTIN KARIME\BANCO ESTADO\2012 DEPTO ESCRITURAS fata\NOTARIA 2009\CARLOS BUGUEÑÑ\2007\CRUZ COLORADA\carta CRISTIAN ROBLES.doc</t>
  </si>
  <si>
    <t>C:\Users\franc\OneDrive\Documentos\MALENTIN KARIME\BANCO ESTADO\2012 DEPTO ESCRITURAS fata\NOTARIA 2009\CARLOS BUGUEÑÑ\2007\CRUZ COLORADA\CARLOS MILLA.doc</t>
  </si>
  <si>
    <t>C:\Users\franc\OneDrive\Documentos\MALENTIN KARIME\BANCO ESTADO\2012 DEPTO ESCRITURAS fata\NOTARIA 2009\CARLOS BUGUEÑÑ\2007\CRUZ COLORADA\CARLOS MILLA (PROMESA).doc</t>
  </si>
  <si>
    <t>C:\Users\franc\OneDrive\Documentos\MALENTIN KARIME\BANCO ESTADO\2012 DEPTO ESCRITURAS fata\NOTARIA 2009\CARLOS BUGUEÑÑ\2007\CRUZ COLORADA\CARLOS M ILLA ( COMPRAVENTA).doc</t>
  </si>
  <si>
    <t>C:\Users\franc\OneDrive\Documentos\MALENTIN KARIME\BANCO ESTADO\2012 DEPTO ESCRITURAS fata\NOTARIA 2009\CARLOS BUGUEÑÑ\2007\CRUZ COLORADA\ALEXIS DIAZ E.I.R.L..doc</t>
  </si>
  <si>
    <t>C:\Users\franc\OneDrive\Documentos\MALENTIN KARIME\BANCO ESTADO\2012 DEPTO ESCRITURAS fata\NOTARIA 2009\CARLOS BUGUEÑÑ\2007\COMPRAVENTA\venta_auto_kia-_oct_2008[1].doc</t>
  </si>
  <si>
    <t>C:\Users\franc\OneDrive\Documentos\MALENTIN KARIME\BANCO ESTADO\2012 DEPTO ESCRITURAS fata\NOTARIA 2009\CARLOS BUGUEÑÑ\2007\COMPRAVENTA\SOC. MOSTAZAL ORIENTE A AGRICOLA.doc</t>
  </si>
  <si>
    <t>C:\Users\franc\OneDrive\Documentos\MALENTIN KARIME\BANCO ESTADO\2012 DEPTO ESCRITURAS fata\NOTARIA 2009\CARLOS BUGUEÑÑ\2007\COMPRAVENTA\RUT CIKUTOVIC A INVEGON.doc</t>
  </si>
  <si>
    <t>C:\Users\franc\OneDrive\Documentos\MALENTIN KARIME\BANCO ESTADO\2012 DEPTO ESCRITURAS fata\NOTARIA 2009\CARLOS BUGUEÑÑ\2007\COMPRAVENTA\rolando vega salas - nov 2008.doc</t>
  </si>
  <si>
    <t>C:\Users\franc\OneDrive\Documentos\MALENTIN KARIME\BANCO ESTADO\2012 DEPTO ESCRITURAS fata\NOTARIA 2009\CARLOS BUGUEÑÑ\2007\COMPRAVENTA\RAFAEL BORQUEZ - JAIME VILLALON.doc</t>
  </si>
  <si>
    <t>C:\Users\franc\OneDrive\Documentos\MALENTIN KARIME\BANCO ESTADO\2012 DEPTO ESCRITURAS fata\NOTARIA 2009\CARLOS BUGUEÑÑ\2007\COMPRAVENTA\PHOLAG CON PATRICIO GONZALEZ.doc</t>
  </si>
  <si>
    <t>C:\Users\franc\OneDrive\Documentos\MALENTIN KARIME\BANCO ESTADO\2012 DEPTO ESCRITURAS fata\NOTARIA 2009\CARLOS BUGUEÑÑ\2007\COMPRAVENTA\PEDRO AVILA A ROSA CASTILLO (VENTA MUEBLES).doc</t>
  </si>
  <si>
    <t>C:\Users\franc\OneDrive\Documentos\MALENTIN KARIME\BANCO ESTADO\2012 DEPTO ESCRITURAS fata\NOTARIA 2009\CARLOS BUGUEÑÑ\2007\COMPRAVENTA\PAULA CORRAL A ANTONIO CORRAL EIRL.doc</t>
  </si>
  <si>
    <t>C:\Users\franc\OneDrive\Documentos\MALENTIN KARIME\BANCO ESTADO\2012 DEPTO ESCRITURAS fata\NOTARIA 2009\CARLOS BUGUEÑÑ\2007\COMPRAVENTA\PATRICIO BUGUEÑO A LUIS PEPPI.doc</t>
  </si>
  <si>
    <t>C:\Users\franc\OneDrive\Documentos\MALENTIN KARIME\BANCO ESTADO\2012 DEPTO ESCRITURAS fata\NOTARIA 2009\CARLOS BUGUEÑÑ\2007\COMPRAVENTA\ORLANDO DALBOSCO A BERNARDO ARAYA Y OTRO.doc</t>
  </si>
  <si>
    <t>C:\Users\franc\OneDrive\Documentos\MALENTIN KARIME\BANCO ESTADO\2012 DEPTO ESCRITURAS fata\NOTARIA 2009\CARLOS BUGUEÑÑ\2007\COMPRAVENTA\OMAR AVILA A ROSA CASTILLO.doc</t>
  </si>
  <si>
    <t>C:\Users\franc\OneDrive\Documentos\MALENTIN KARIME\BANCO ESTADO\2012 DEPTO ESCRITURAS fata\NOTARIA 2009\CARLOS BUGUEÑÑ\2007\COMPRAVENTA\NICOMEDES BUGUEÑO A SU HERMANA.doc</t>
  </si>
  <si>
    <t>C:\Users\franc\OneDrive\Documentos\MALENTIN KARIME\BANCO ESTADO\2012 DEPTO ESCRITURAS fata\NOTARIA 2009\CARLOS BUGUEÑÑ\2007\COMPRAVENTA\MARISOL VARGAS A IRMA ROJAS.doc</t>
  </si>
  <si>
    <t>C:\Users\franc\OneDrive\Documentos\MALENTIN KARIME\BANCO ESTADO\2012 DEPTO ESCRITURAS fata\NOTARIA 2009\CARLOS BUGUEÑÑ\2007\COMPRAVENTA\MARIO ROBLES Y OTR. A SOC. QDA. SECA.doc</t>
  </si>
  <si>
    <t>C:\Users\franc\OneDrive\Documentos\MALENTIN KARIME\BANCO ESTADO\2012 DEPTO ESCRITURAS fata\NOTARIA 2009\CARLOS BUGUEÑÑ\2007\COMPRAVENTA\MARIO ROBLES Y CIA. A SOC. QUEBRADA SECA.doc</t>
  </si>
  <si>
    <t>C:\Users\franc\OneDrive\Documentos\MALENTIN KARIME\BANCO ESTADO\2012 DEPTO ESCRITURAS fata\NOTARIA 2009\CARLOS BUGUEÑÑ\2007\COMPRAVENTA\MARIO ROBLES A SOC. AGRICOLA QDA. SECA.doc</t>
  </si>
  <si>
    <t>C:\Users\franc\OneDrive\Documentos\MALENTIN KARIME\BANCO ESTADO\2012 DEPTO ESCRITURAS fata\NOTARIA 2009\CARLOS BUGUEÑÑ\2007\COMPRAVENTA\MARIO ROBLES A ELIZABETH FAJARDO.doc</t>
  </si>
  <si>
    <t>C:\Users\franc\OneDrive\Documentos\MALENTIN KARIME\BANCO ESTADO\2012 DEPTO ESCRITURAS fata\NOTARIA 2009\CARLOS BUGUEÑÑ\2007\COMPRAVENTA\MARCELO CORRAL A SOC. MARCELO CORRAL.doc</t>
  </si>
  <si>
    <t>C:\Users\franc\OneDrive\Documentos\MALENTIN KARIME\BANCO ESTADO\2012 DEPTO ESCRITURAS fata\NOTARIA 2009\CARLOS BUGUEÑÑ\2007\COMPRAVENTA\LILIANA ALFARO.doc</t>
  </si>
  <si>
    <t>C:\Users\franc\OneDrive\Documentos\MALENTIN KARIME\BANCO ESTADO\2012 DEPTO ESCRITURAS fata\NOTARIA 2009\CARLOS BUGUEÑÑ\2007\COMPRAVENTA\JUAN VILLALON A JORGE MARAMBIO.doc</t>
  </si>
  <si>
    <t>C:\Users\franc\OneDrive\Documentos\MALENTIN KARIME\BANCO ESTADO\2012 DEPTO ESCRITURAS fata\NOTARIA 2009\CARLOS BUGUEÑÑ\2007\COMPRAVENTA\JORGE ACUÑA A RIO COPIAPO - AGUAS.doc</t>
  </si>
  <si>
    <t>C:\Users\franc\OneDrive\Documentos\MALENTIN KARIME\BANCO ESTADO\2012 DEPTO ESCRITURAS fata\NOTARIA 2009\CARLOS BUGUEÑÑ\2007\COMPRAVENTA\jaime.villalon - carlos marambio -  enero 2008.doc</t>
  </si>
  <si>
    <t>C:\Users\franc\OneDrive\Documentos\MALENTIN KARIME\BANCO ESTADO\2012 DEPTO ESCRITURAS fata\NOTARIA 2009\CARLOS BUGUEÑÑ\2007\COMPRAVENTA\JAIME VILLAON A AUDILIO MALDONADO.doc</t>
  </si>
  <si>
    <t>C:\Users\franc\OneDrive\Documentos\MALENTIN KARIME\BANCO ESTADO\2012 DEPTO ESCRITURAS fata\NOTARIA 2009\CARLOS BUGUEÑÑ\2007\COMPRAVENTA\JAIME VILLALON A JORGE MARAMBIO.doc</t>
  </si>
  <si>
    <t>C:\Users\franc\OneDrive\Documentos\MALENTIN KARIME\BANCO ESTADO\2012 DEPTO ESCRITURAS fata\NOTARIA 2009\CARLOS BUGUEÑÑ\2007\COMPRAVENTA\JAIME FERRER.doc</t>
  </si>
  <si>
    <t>C:\Users\franc\OneDrive\Documentos\MALENTIN KARIME\BANCO ESTADO\2012 DEPTO ESCRITURAS fata\NOTARIA 2009\CARLOS BUGUEÑÑ\2007\COMPRAVENTA\HUGO JOFRE Y OTRA A EDISON JOFRE.doc</t>
  </si>
  <si>
    <t>C:\Users\franc\OneDrive\Documentos\MALENTIN KARIME\BANCO ESTADO\2012 DEPTO ESCRITURAS fata\NOTARIA 2009\CARLOS BUGUEÑÑ\2007\COMPRAVENTA\HUGO JOFRE A CRISTIAN JOFRE (PERMUTA).doc</t>
  </si>
  <si>
    <t>C:\Users\franc\OneDrive\Documentos\MALENTIN KARIME\BANCO ESTADO\2012 DEPTO ESCRITURAS fata\NOTARIA 2009\CARLOS BUGUEÑÑ\2007\COMPRAVENTA\ERASMO CARVAJAL A SOC. MARCELO CORRAL.doc</t>
  </si>
  <si>
    <t>C:\Users\franc\OneDrive\Documentos\MALENTIN KARIME\BANCO ESTADO\2012 DEPTO ESCRITURAS fata\NOTARIA 2009\CARLOS BUGUEÑÑ\2007\COMPRAVENTA\CRUZ COLORADA A RICARDO GODOY.doc</t>
  </si>
  <si>
    <t>C:\Users\franc\OneDrive\Documentos\MALENTIN KARIME\BANCO ESTADO\2012 DEPTO ESCRITURAS fata\NOTARIA 2009\CARLOS BUGUEÑÑ\2007\COMPRAVENTA\CRISTIAN JOFRE A INM. Y HOTELERA LTDA. Y REN. USU.doc</t>
  </si>
  <si>
    <t>C:\Users\franc\OneDrive\Documentos\MALENTIN KARIME\BANCO ESTADO\2012 DEPTO ESCRITURAS fata\NOTARIA 2009\CARLOS BUGUEÑÑ\2007\COMPRAVENTA\carta_instrucc_mario_robles_y_cia_ltda_-_julio_2008[1].doc</t>
  </si>
  <si>
    <t>C:\Users\franc\OneDrive\Documentos\MALENTIN KARIME\BANCO ESTADO\2012 DEPTO ESCRITURAS fata\NOTARIA 2009\CARLOS BUGUEÑÑ\2007\COMPRAVENTA\carta_instrucc_mario_robles_-_julio_2008[1].doc</t>
  </si>
  <si>
    <t>C:\Users\franc\OneDrive\Documentos\MALENTIN KARIME\BANCO ESTADO\2012 DEPTO ESCRITURAS fata\NOTARIA 2009\CARLOS BUGUEÑÑ\2007\COMPRAVENTA\carta_instrucciones_-_rosa_contreras_-pilar_meruane_-_abril_2009[1].doc</t>
  </si>
  <si>
    <t>C:\Users\franc\OneDrive\Documentos\MALENTIN KARIME\BANCO ESTADO\2012 DEPTO ESCRITURAS fata\NOTARIA 2009\CARLOS BUGUEÑÑ\2007\COMPRAVENTA\ANTONIETA GODOY A SU PADRE.doc</t>
  </si>
  <si>
    <t>C:\Users\franc\OneDrive\Documentos\MALENTIN KARIME\BANCO ESTADO\2012 DEPTO ESCRITURAS fata\NOTARIA 2009\CARLOS BUGUEÑÑ\2007\COMPRAVENTA\ANGELICA MERUANE Y OTRO A CARLOS ARAYA.doc</t>
  </si>
  <si>
    <t>C:\Users\franc\OneDrive\Documentos\MALENTIN KARIME\BANCO ESTADO\2012 DEPTO ESCRITURAS fata\NOTARIA 2009\CARLOS BUGUEÑÑ\2007\COMPRAVENTA\ANGELICA MERUANE Y OTRO A CARLOS ARAYA FINAL.doc</t>
  </si>
  <si>
    <t>C:\Users\franc\OneDrive\Documentos\MALENTIN KARIME\BANCO ESTADO\2012 DEPTO ESCRITURAS fata\NOTARIA 2009\CARLOS BUGUEÑÑ\2007\COMPRAVENTA\ANGELICA MERUANE A ROSA CONTRERAS.doc</t>
  </si>
  <si>
    <t>C:\Users\franc\OneDrive\Documentos\MALENTIN KARIME\BANCO ESTADO\2012 DEPTO ESCRITURAS fata\NOTARIA 2009\CARLOS BUGUEÑÑ\2007\COMPRAVENTA\ANGELICA MERUANE A ROSA CONTRERAS FINAL.doc</t>
  </si>
  <si>
    <t>C:\Users\franc\OneDrive\Documentos\MALENTIN KARIME\BANCO ESTADO\2012 DEPTO ESCRITURAS fata\NOTARIA 2009\CARLOS BUGUEÑÑ\2007\COMPRAVENTA\ANGELICA MERUANE A ROSA CONTRERAS - DEFINITIVA.doc</t>
  </si>
  <si>
    <t>C:\Users\franc\OneDrive\Documentos\MALENTIN KARIME\BANCO ESTADO\2012 DEPTO ESCRITURAS fata\NOTARIA 2009\CARLOS BUGUEÑÑ\2007\COMPRAVENTA\AGRICOLA MARIO ROBLES A SOC. QUEBRADA SECA.doc</t>
  </si>
  <si>
    <t>C:\Users\franc\OneDrive\Documentos\MALENTIN KARIME\BANCO ESTADO\2012 DEPTO ESCRITURAS fata\NOTARIA 2009\CARLOS BUGUEÑÑ\2007\COMPRAVENTA\AGRICOLA ALIRO PINTO (venta camion).doc</t>
  </si>
  <si>
    <t>C:\Users\franc\OneDrive\Documentos\MALENTIN KARIME\BANCO ESTADO\2012 DEPTO ESCRITURAS fata\NOTARIA 2009\CARLOS BUGUEÑÑ\2007\COMPRAVENTA\AGRIC. HERNAN CORRAL A INMOBL. MARCELO CORRAL.doc</t>
  </si>
  <si>
    <t>C:\Users\franc\OneDrive\Documentos\MALENTIN KARIME\BANCO ESTADO\2012 DEPTO ESCRITURAS fata\NOTARIA 2009\CARLOS BUGUEÑÑ\2007\COMPRAVENTA\AGRIC. HERNAN CORRAL A INMOBL. MARCELO CORRAL (modificada).doc</t>
  </si>
  <si>
    <t>C:\Users\franc\OneDrive\Documentos\MALENTIN KARIME\BANCO ESTADO\2012 DEPTO ESCRITURAS fata\NOTARIA 2009\CARLOS BUGUEÑÑ\2007\COMPLEMENTACION\SOC. AGRICOLA HERNAN CORRAL Y CIA..doc</t>
  </si>
  <si>
    <t>C:\Users\franc\OneDrive\Documentos\MALENTIN KARIME\BANCO ESTADO\2012 DEPTO ESCRITURAS fata\NOTARIA 2009\CARLOS BUGUEÑÑ\2007\COMODATOS\GUSTAVO CORRAL A MARCELO CORRAL LTDA..doc</t>
  </si>
  <si>
    <t>C:\Users\franc\OneDrive\Documentos\MALENTIN KARIME\BANCO ESTADO\2012 DEPTO ESCRITURAS fata\NOTARIA 2009\CARLOS BUGUEÑÑ\2007\CESION\ROSA CASTILLO ROBLES.doc</t>
  </si>
  <si>
    <t>C:\Users\franc\OneDrive\Documentos\MALENTIN KARIME\BANCO ESTADO\2012 DEPTO ESCRITURAS fata\NOTARIA 2009\CARLOS BUGUEÑÑ\2007\CANCELACION\ROSA CONTRERAS A PATRICIO PINTO.doc</t>
  </si>
  <si>
    <t>C:\Users\franc\OneDrive\Documentos\MALENTIN KARIME\BANCO ESTADO\2012 DEPTO ESCRITURAS fata\NOTARIA 2009\CARLOS BUGUEÑÑ\2007\CANCELACION\PHOLAG.doc</t>
  </si>
  <si>
    <t>C:\Users\franc\OneDrive\Documentos\MALENTIN KARIME\BANCO ESTADO\2012 DEPTO ESCRITURAS fata\NOTARIA 2009\CARLOS BUGUEÑÑ\2007\CANCELACION\JUAN VILLALON.doc</t>
  </si>
  <si>
    <t>C:\Users\franc\OneDrive\Documentos\MALENTIN KARIME\BANCO ESTADO\2012 DEPTO ESCRITURAS fata\NOTARIA 2009\CARLOS BUGUEÑÑ\2007\CANCELACION\JUAN VILLALON  2.doc</t>
  </si>
  <si>
    <t>C:\Users\franc\OneDrive\Documentos\MALENTIN KARIME\BANCO ESTADO\2012 DEPTO ESCRITURAS fata\NOTARIA 2009\CARLOS BUGUEÑÑ\2007\CANCELACION\GUSTAVO CORRAL A SOC. MARCELO CORRAL.doc</t>
  </si>
  <si>
    <t>C:\Users\franc\OneDrive\Documentos\MALENTIN KARIME\BANCO ESTADO\2012 DEPTO ESCRITURAS fata\NOTARIA 2009\CARLOS BUGUEÑÑ\2007\CANCELACION\CRISTIAN CISTERNAS.doc</t>
  </si>
  <si>
    <t>C:\Users\franc\OneDrive\Documentos\MALENTIN KARIME\BANCO ESTADO\2012 DEPTO ESCRITURAS fata\NOTARIA 2009\CARLOS BUGUEÑÑ\2007\CANCELACION\ALDO CORDERO.doc</t>
  </si>
  <si>
    <t>C:\Users\franc\OneDrive\Documentos\MALENTIN KARIME\BANCO ESTADO\2012 DEPTO ESCRITURAS fata\NOTARIA 2009\CARLOS BUGUEÑÑ\2007\ARRIENDOS PRIVADOS\TEODORO AGUIRRE.doc</t>
  </si>
  <si>
    <t>C:\Users\franc\OneDrive\Documentos\MALENTIN KARIME\BANCO ESTADO\2012 DEPTO ESCRITURAS fata\NOTARIA 2009\CARLOS BUGUEÑÑ\2007\ARRIENDOS PRIVADOS\RECIBO ARRIENDO.doc</t>
  </si>
  <si>
    <t>C:\Users\franc\OneDrive\Documentos\MALENTIN KARIME\BANCO ESTADO\2012 DEPTO ESCRITURAS fata\NOTARIA 2009\CARLOS BUGUEÑÑ\2007\ARRIENDOS PRIVADOS\PATRICIO BUGUEÑO A LUIS PEPPI.doc</t>
  </si>
  <si>
    <t>C:\Users\franc\OneDrive\Documentos\MALENTIN KARIME\BANCO ESTADO\2012 DEPTO ESCRITURAS fata\NOTARIA 2009\CARLOS BUGUEÑÑ\2007\ARRIENDOS PRIVADOS\INMOBILIARIA HUGO JOFRE A JUAN FLORES.doc</t>
  </si>
  <si>
    <t>C:\Users\franc\OneDrive\Documentos\MALENTIN KARIME\BANCO ESTADO\2012 DEPTO ESCRITURAS fata\NOTARIA 2009\CARLOS BUGUEÑÑ\2007\ARRIENDOS PRIVADOS\INMOBI. HUGO JOFRE A CLAUDIA PEREZ.doc</t>
  </si>
  <si>
    <t>C:\Users\franc\OneDrive\Documentos\MALENTIN KARIME\BANCO ESTADO\2012 DEPTO ESCRITURAS fata\NOTARIA 2009\CARLOS BUGUEÑÑ\2007\ARRIENDOS PRIVADOS\INMOB. HUGO JOFRE S.A.A a CESAR YAÑESZ.doc</t>
  </si>
  <si>
    <t>C:\Users\franc\OneDrive\Documentos\MALENTIN KARIME\BANCO ESTADO\2012 DEPTO ESCRITURAS fata\NOTARIA 2009\CARLOS BUGUEÑÑ\2007\ARRIENDOS PRIVADOS\HUGO JOFRE A MARIA ESPINOZA.doc</t>
  </si>
  <si>
    <t>C:\Users\franc\OneDrive\Documentos\MALENTIN KARIME\BANCO ESTADO\2012 DEPTO ESCRITURAS fata\NOTARIA 2009\CARLOS BUGUEÑÑ\2007\ARRIENDOS PRIVADOS\HUGO JOFRE A ALEJANDRO PINILLA.doc</t>
  </si>
  <si>
    <t>C:\Users\franc\OneDrive\Documentos\MALENTIN KARIME\BANCO ESTADO\2012 DEPTO ESCRITURAS fata\NOTARIA 2009\CARLOS BUGUEÑÑ\2007\ARRIENDOS PRIVADOS\GILBERTO PARDO - YASNA GUERRA.doc</t>
  </si>
  <si>
    <t>C:\Users\franc\OneDrive\Documentos\MALENTIN KARIME\BANCO ESTADO\2012 DEPTO ESCRITURAS fata\NOTARIA 2009\CARLOS BUGUEÑÑ\2007\ARRIENDOS PRIVADOS\arriendo vicuña mackenna 253 - marzo 2009.doc</t>
  </si>
  <si>
    <t>C:\Users\franc\OneDrive\Documentos\MALENTIN KARIME\BANCO ESTADO\2012 DEPTO ESCRITURAS fata\NOTARIA 2009\CARLOS BUGUEÑÑ\2007\ARRENDAMIENTO\SOC. SERRAVALLE A DIN.doc</t>
  </si>
  <si>
    <t>C:\Users\franc\OneDrive\Documentos\MALENTIN KARIME\BANCO ESTADO\2012 DEPTO ESCRITURAS fata\NOTARIA 2009\CARLOS BUGUEÑÑ\2007\ARRENDAMIENTO\RAUL ENRIQUE MIRANDA ROJAS E INMOBILIARIA HOTELERA.doc</t>
  </si>
  <si>
    <t>C:\Users\franc\OneDrive\Documentos\MALENTIN KARIME\BANCO ESTADO\2012 DEPTO ESCRITURAS fata\NOTARIA 2009\CARLOS BUGUEÑÑ\2007\ARRENDAMIENTO\CRISTIAN JOFRE A CELEDON.doc</t>
  </si>
  <si>
    <t>C:\Users\franc\OneDrive\Documentos\MALENTIN KARIME\BANCO ESTADO\2012 DEPTO ESCRITURAS fata\NOTARIA 2009\CARLOS BUGUEÑÑ\2007\APORTE\JORGE CORRAL A AGRICOLA HERNAN CORRAL.doc</t>
  </si>
  <si>
    <t>C:\Users\franc\OneDrive\Documentos\MALENTIN KARIME\BANCO ESTADO\2012 DEPTO ESCRITURAS fata\NOTARIA 2009\CARLOS BUGUEÑÑ\2007\AGUAS\VALLE ESCONDIDO A LOS ALERCES.doc</t>
  </si>
  <si>
    <t>C:\Users\franc\OneDrive\Documentos\MALENTIN KARIME\BANCO ESTADO\2012 DEPTO ESCRITURAS fata\NOTARIA 2009\CARLOS BUGUEÑÑ\2007\AGUAS\SOC. PISCIS A MUBEL (HILDERGARD).doc</t>
  </si>
  <si>
    <t>C:\Users\franc\OneDrive\Documentos\MALENTIN KARIME\BANCO ESTADO\2012 DEPTO ESCRITURAS fata\NOTARIA 2009\CARLOS BUGUEÑÑ\2007\AGUAS\SOC. EL MANZANO A LUCIA JULIA.doc</t>
  </si>
  <si>
    <t>C:\Users\franc\OneDrive\Documentos\MALENTIN KARIME\BANCO ESTADO\2012 DEPTO ESCRITURAS fata\NOTARIA 2009\CARLOS BUGUEÑÑ\2007\AGUAS\ROBERTO AGUILERA A SOC. HDA. MAL PASO.doc</t>
  </si>
  <si>
    <t>C:\Users\franc\OneDrive\Documentos\MALENTIN KARIME\BANCO ESTADO\2012 DEPTO ESCRITURAS fata\NOTARIA 2009\CARLOS BUGUEÑÑ\2007\AGUAS\RAQUEL OGALDE A SOC. MAL PASO.doc</t>
  </si>
  <si>
    <t>C:\Users\franc\OneDrive\Documentos\MALENTIN KARIME\BANCO ESTADO\2012 DEPTO ESCRITURAS fata\NOTARIA 2009\CARLOS BUGUEÑÑ\2007\AGUAS\RAQUEL OGALDE A SOC. HDA. MAL PASO (INSTRUCCIONES.doc</t>
  </si>
  <si>
    <t>C:\Users\franc\OneDrive\Documentos\MALENTIN KARIME\BANCO ESTADO\2012 DEPTO ESCRITURAS fata\NOTARIA 2009\CARLOS BUGUEÑÑ\2007\AGUAS\PAULINA GALVEZ CARTA INSTRUCCION.doc</t>
  </si>
  <si>
    <t>C:\Users\franc\OneDrive\Documentos\MALENTIN KARIME\BANCO ESTADO\2012 DEPTO ESCRITURAS fata\NOTARIA 2009\CARLOS BUGUEÑÑ\2007\AGUAS\PAULINA GALVEZ A LUIS PEPPI Y BDD (ALZ).doc</t>
  </si>
  <si>
    <t>C:\Users\franc\OneDrive\Documentos\MALENTIN KARIME\BANCO ESTADO\2012 DEPTO ESCRITURAS fata\NOTARIA 2009\CARLOS BUGUEÑÑ\2007\AGUAS\NELLY VIDELA A RIO COPIAPO.doc</t>
  </si>
  <si>
    <t>C:\Users\franc\OneDrive\Documentos\MALENTIN KARIME\BANCO ESTADO\2012 DEPTO ESCRITURAS fata\NOTARIA 2009\CARLOS BUGUEÑÑ\2007\AGUAS\MIGUEL TAPIA A MUBEL.doc</t>
  </si>
  <si>
    <t>C:\Users\franc\OneDrive\Documentos\MALENTIN KARIME\BANCO ESTADO\2012 DEPTO ESCRITURAS fata\NOTARIA 2009\CARLOS BUGUEÑÑ\2007\AGUAS\MIGUEL TAPIA A AGRICOLA LAS MERCEDES.doc</t>
  </si>
  <si>
    <t>C:\Users\franc\OneDrive\Documentos\MALENTIN KARIME\BANCO ESTADO\2012 DEPTO ESCRITURAS fata\NOTARIA 2009\CARLOS BUGUEÑÑ\2007\AGUAS\MIGUEL TAPIA A AGRICOLA LAS MERCEDES (INSTRUCCIONES).doc</t>
  </si>
  <si>
    <t>C:\Users\franc\OneDrive\Documentos\MALENTIN KARIME\BANCO ESTADO\2012 DEPTO ESCRITURAS fata\NOTARIA 2009\CARLOS BUGUEÑÑ\2007\AGUAS\MARIO ROBLES A AGRICOLA MARCELO CORRAL.doc</t>
  </si>
  <si>
    <t>C:\Users\franc\OneDrive\Documentos\MALENTIN KARIME\BANCO ESTADO\2012 DEPTO ESCRITURAS fata\NOTARIA 2009\CARLOS BUGUEÑÑ\2007\AGUAS\MARIA PEREZ A SOC. GOIA.doc</t>
  </si>
  <si>
    <t>C:\Users\franc\OneDrive\Documentos\MALENTIN KARIME\BANCO ESTADO\2012 DEPTO ESCRITURAS fata\NOTARIA 2009\CARLOS BUGUEÑÑ\2007\AGUAS\MARIA OLIVARES Y OTRO A JOSE MIGUEL ZEPEDA.doc</t>
  </si>
  <si>
    <t>C:\Users\franc\OneDrive\Documentos\MALENTIN KARIME\BANCO ESTADO\2012 DEPTO ESCRITURAS fata\NOTARIA 2009\CARLOS BUGUEÑÑ\2007\AGUAS\MARIA GABRIELA ZEPEDA A SOC. SAN FRANCISCO.doc</t>
  </si>
  <si>
    <t>C:\Users\franc\OneDrive\Documentos\MALENTIN KARIME\BANCO ESTADO\2012 DEPTO ESCRITURAS fata\NOTARIA 2009\CARLOS BUGUEÑÑ\2007\AGUAS\LUIS TORREJON - RIO COPIAPO.doc</t>
  </si>
  <si>
    <t>C:\Users\franc\OneDrive\Documentos\MALENTIN KARIME\BANCO ESTADO\2012 DEPTO ESCRITURAS fata\NOTARIA 2009\CARLOS BUGUEÑÑ\2007\AGUAS\LUIS ARAYA Y OTRO A MUBEL.doc</t>
  </si>
  <si>
    <t>C:\Users\franc\OneDrive\Documentos\MALENTIN KARIME\BANCO ESTADO\2012 DEPTO ESCRITURAS fata\NOTARIA 2009\CARLOS BUGUEÑÑ\2007\AGUAS\LUIS ARAYA Y OTRO A MUBEL INSTRUCCIONES.doc</t>
  </si>
  <si>
    <t>C:\Users\franc\OneDrive\Documentos\MALENTIN KARIME\BANCO ESTADO\2012 DEPTO ESCRITURAS fata\NOTARIA 2009\CARLOS BUGUEÑÑ\2007\AGUAS\LUIS ARAYA A MAL PASO (AGUAS).doc</t>
  </si>
  <si>
    <t>C:\Users\franc\OneDrive\Documentos\MALENTIN KARIME\BANCO ESTADO\2012 DEPTO ESCRITURAS fata\NOTARIA 2009\CARLOS BUGUEÑÑ\2007\AGUAS\LOS ALERCES A DGA (traslado aguas).doc</t>
  </si>
  <si>
    <t>C:\Users\franc\OneDrive\Documentos\MALENTIN KARIME\BANCO ESTADO\2012 DEPTO ESCRITURAS fata\NOTARIA 2009\CARLOS BUGUEÑÑ\2007\AGUAS\LES TROIS FRERES.doc</t>
  </si>
  <si>
    <t>C:\Users\franc\OneDrive\Documentos\MALENTIN KARIME\BANCO ESTADO\2012 DEPTO ESCRITURAS fata\NOTARIA 2009\CARLOS BUGUEÑÑ\2007\AGUAS\LEONARDO CORRAL A AGRICOLA MARCELO CORRAL.doc</t>
  </si>
  <si>
    <t>C:\Users\franc\OneDrive\Documentos\MALENTIN KARIME\BANCO ESTADO\2012 DEPTO ESCRITURAS fata\NOTARIA 2009\CARLOS BUGUEÑÑ\2007\AGUAS\IVAN RAMIREZ A FRUTI. COPIAPO.doc</t>
  </si>
  <si>
    <t>C:\Users\franc\OneDrive\Documentos\MALENTIN KARIME\BANCO ESTADO\2012 DEPTO ESCRITURAS fata\NOTARIA 2009\CARLOS BUGUEÑÑ\2007\AGUAS\IOLE MANFREDI A FRUT. COPIAPO.doc</t>
  </si>
  <si>
    <t>C:\Users\franc\OneDrive\Documentos\MALENTIN KARIME\BANCO ESTADO\2012 DEPTO ESCRITURAS fata\NOTARIA 2009\CARLOS BUGUEÑÑ\2007\AGUAS\HUGO GALVEZ A RIO COPIAPO.doc</t>
  </si>
  <si>
    <t>C:\Users\franc\OneDrive\Documentos\MALENTIN KARIME\BANCO ESTADO\2012 DEPTO ESCRITURAS fata\NOTARIA 2009\CARLOS BUGUEÑÑ\2007\AGUAS\HORACIO LOPEZ A RIO COPIAPO.doc</t>
  </si>
  <si>
    <t>C:\Users\franc\OneDrive\Documentos\MALENTIN KARIME\BANCO ESTADO\2012 DEPTO ESCRITURAS fata\NOTARIA 2009\CARLOS BUGUEÑÑ\2007\AGUAS\HERNAN ARAYA A RIO COPIAPO.doc</t>
  </si>
  <si>
    <t>C:\Users\franc\OneDrive\Documentos\MALENTIN KARIME\BANCO ESTADO\2012 DEPTO ESCRITURAS fata\NOTARIA 2009\CARLOS BUGUEÑÑ\2007\AGUAS\GILBERTO PARDO - RIO COPIAPO.doc</t>
  </si>
  <si>
    <t>C:\Users\franc\OneDrive\Documentos\MALENTIN KARIME\BANCO ESTADO\2012 DEPTO ESCRITURAS fata\NOTARIA 2009\CARLOS BUGUEÑÑ\2007\AGUAS\ERNESTO ORTIZ A INV. BOSMAN Y GIOIA.doc</t>
  </si>
  <si>
    <t>C:\Users\franc\OneDrive\Documentos\MALENTIN KARIME\BANCO ESTADO\2012 DEPTO ESCRITURAS fata\NOTARIA 2009\CARLOS BUGUEÑÑ\2007\AGUAS\Don MIGUEL ANGEL TAPIA LAGUNAS.doc</t>
  </si>
  <si>
    <t>C:\Users\franc\OneDrive\Documentos\MALENTIN KARIME\BANCO ESTADO\2012 DEPTO ESCRITURAS fata\NOTARIA 2009\CARLOS BUGUEÑÑ\2007\AGUAS\CRUZ PALTA.doc</t>
  </si>
  <si>
    <t>C:\Users\franc\OneDrive\Documentos\MALENTIN KARIME\BANCO ESTADO\2012 DEPTO ESCRITURAS fata\NOTARIA 2009\CARLOS BUGUEÑÑ\2007\AGUAS\CRUZ PALTA (INSTRUCCIONES).doc</t>
  </si>
  <si>
    <t>C:\Users\franc\OneDrive\Documentos\MALENTIN KARIME\BANCO ESTADO\2012 DEPTO ESCRITURAS fata\NOTARIA 2009\CARLOS BUGUEÑÑ\2007\AGUAS\carta_instrucc_miguel_tapia_-_febrero_2009[1].doc</t>
  </si>
  <si>
    <t>C:\Users\franc\OneDrive\Documentos\MALENTIN KARIME\BANCO ESTADO\2012 DEPTO ESCRITURAS fata\NOTARIA 2009\CARLOS BUGUEÑÑ\2007\AGUAS\CARTA INSTRUCCION CIA MINERA PUNITAQUI.doc</t>
  </si>
  <si>
    <t>C:\Users\franc\OneDrive\Documentos\MALENTIN KARIME\BANCO ESTADO\2012 DEPTO ESCRITURAS fata\NOTARIA 2009\CARLOS BUGUEÑÑ\2007\AGUAS\ARNOLDO ARANCIBIA A INVER. MUBEL.doc</t>
  </si>
  <si>
    <t>C:\Users\franc\OneDrive\Documentos\MALENTIN KARIME\BANCO ESTADO\2012 DEPTO ESCRITURAS fata\NOTARIA 2009\CARLOS BUGUEÑÑ\2007\AGUAS\ANTONIO CORRAL EIRL.doc</t>
  </si>
  <si>
    <t>C:\Users\franc\OneDrive\Documentos\MALENTIN KARIME\BANCO ESTADO\2012 DEPTO ESCRITURAS fata\NOTARIA 2009\CARLOS BUGUEÑÑ\2007\AGUAS\ADELMA MANFREDI A FRUT. COPIAPO.doc</t>
  </si>
  <si>
    <t>C:\Users\franc\OneDrive\Documentos\MALENTIN KARIME\BANCO ESTADO\2012 DEPTO ESCRITURAS fata\NOTARIA 2009\CARLOS BUGUEÑÑ\2007\ACTAS\TURISMO FINAL.doc</t>
  </si>
  <si>
    <t>C:\Users\franc\OneDrive\Documentos\MALENTIN KARIME\BANCO ESTADO\2012 DEPTO ESCRITURAS fata\NOTARIA 2009\CARLOS BUGUEÑÑ\2007\ACTAS\TURISMO 30 04 2008.doc</t>
  </si>
  <si>
    <t>C:\Users\franc\OneDrive\Documentos\MALENTIN KARIME\BANCO ESTADO\2012 DEPTO ESCRITURAS fata\NOTARIA 2009\CARLOS BUGUEÑÑ\2007\ACTAS\LOS LEONES.doc</t>
  </si>
  <si>
    <t>C:\Users\franc\OneDrive\Documentos\MALENTIN KARIME\BANCO ESTADO\2012 DEPTO ESCRITURAS fata\NOTARIA 2009\CARLOS BUGUEÑÑ\2007\ACTAS\LOS LEONES FINAL.doc</t>
  </si>
  <si>
    <t>C:\Users\franc\OneDrive\Documentos\MALENTIN KARIME\BANCO ESTADO\2012 DEPTO ESCRITURAS fata\NOTARIA 2009\CARLOS BUGUEÑÑ\2007\ACTAS\LOS LEONES 30 ABRIL 2008.doc</t>
  </si>
  <si>
    <t>C:\Users\franc\OneDrive\Documentos\MALENTIN KARIME\BANCO ESTADO\2012 DEPTO ESCRITURAS fata\NOTARIA 2009\CARLOS BUGUEÑÑ\2007\ACTAS\LOS LEONES - EXTRAORDINARIA DIC. 2008.doc</t>
  </si>
  <si>
    <t>C:\Users\franc\OneDrive\Documentos\MALENTIN KARIME\BANCO ESTADO\2012 DEPTO ESCRITURAS fata\NOTARIA 2009\CARLOS BUGUEÑÑ\2007\ACTAS\LOS LEONES - DIRECTORIO (DIC. 2008).doc</t>
  </si>
  <si>
    <t>C:\Users\franc\OneDrive\Documentos\MALENTIN KARIME\BANCO ESTADO\2012 DEPTO ESCRITURAS fata\NOTARIA 2009\CARLOS BUGUEÑÑ\2007\ACTAS\INMOBILIARIA JOFRE 30 04 2008.doc</t>
  </si>
  <si>
    <t>C:\Users\franc\OneDrive\Documentos\MALENTIN KARIME\BANCO ESTADO\2012 DEPTO ESCRITURAS fata\NOTARIA 2009\CARLOS BUGUEÑÑ\2007\ACTAS\INMOBILIARIA JFORE.doc</t>
  </si>
  <si>
    <t>C:\Users\franc\OneDrive\Documentos\MALENTIN KARIME\BANCO ESTADO\2012 DEPTO ESCRITURAS fata\NOTARIA 2009\CARLOS BUGUEÑÑ\2007\ACTAS\INMOB. HUGO JOFRE FINAL.doc</t>
  </si>
  <si>
    <t>C:\Users\franc\OneDrive\Documentos\MALENTIN KARIME\BANCO ESTADO\2012 DEPTO ESCRITURAS fata\NOTARIA 2009\CARLOS BUGUEÑÑ\2007\ACTAS\HOTEL TURISMO.doc</t>
  </si>
  <si>
    <t>C:\Users\franc\OneDrive\Documentos\MALENTIN KARIME\BANCO ESTADO\2012 DEPTO ESCRITURAS fata\NOTARIA 2009\CARLOS BUGUEÑÑ\2007\ACTAS\HOTEL AMERICAN.doc</t>
  </si>
  <si>
    <t>C:\Users\franc\OneDrive\Documentos\MALENTIN KARIME\BANCO ESTADO\2012 DEPTO ESCRITURAS fata\NOTARIA 2009\CARLOS BUGUEÑÑ\2007\ACTAS\FERIA GANADERA OVALLE.doc</t>
  </si>
  <si>
    <t>C:\Users\franc\OneDrive\Documentos\MALENTIN KARIME\BANCO ESTADO\2012 DEPTO ESCRITURAS fata\NOTARIA 2009\CARLOS BUGUEÑÑ\2007\ACTAS\CANAL LOS AZULES.doc</t>
  </si>
  <si>
    <t>C:\Users\franc\OneDrive\Documentos\MALENTIN KARIME\BANCO ESTADO\2012 DEPTO ESCRITURAS fata\NOTARIA 2009\CARLOS BUGUEÑÑ\2007\ACTAS\CANAL LOS AZULES (2).doc</t>
  </si>
  <si>
    <t>C:\Users\franc\OneDrive\Documentos\MALENTIN KARIME\BANCO ESTADO\2012 DEPTO ESCRITURAS fata\NOTARIA 2009\CARLOS BUGUEÑÑ\2007\ACTAS\CANAL GRANDE SOTAQUI.doc</t>
  </si>
  <si>
    <t>C:\Users\franc\OneDrive\Documentos\MALENTIN KARIME\BANCO ESTADO\2012 DEPTO ESCRITURAS fata\NOTARIA 2009\CARLOS BUGUEÑÑ\2007\ACTAS\CANAL GRANDE SOTAQUI (2).doc</t>
  </si>
  <si>
    <t>C:\Users\franc\OneDrive\Documentos\MALENTIN KARIME\BANCO ESTADO\2012 DEPTO ESCRITURAS fata\NOTARIA 2009\CARLOS BUGUEÑÑ\2007\ACTAS\AMERICAN 30 04 2008.doc</t>
  </si>
  <si>
    <t>C:\Users\franc\OneDrive\Documentos\MALENTIN KARIME\BANCO ESTADO\2012 DEPTO ESCRITURAS fata\NOTARIA 2009\CARLOS BUGUEÑÑ\2007\ACTAS\ACTA NRO. 6 INM. HUGO JOFRE S.A..doc</t>
  </si>
  <si>
    <t>C:\Users\franc\OneDrive\Documentos\MALENTIN KARIME\BANCO ESTADO\2012 DEPTO ESCRITURAS fata\NOTARIA 2009\CARLOS BUGUEÑÑ\2007\ACTAS\ACTA NRO. 4 PLAZA TURISMO.doc</t>
  </si>
  <si>
    <t>C:\Users\franc\OneDrive\Documentos\MALENTIN KARIME\BANCO ESTADO\2012 DEPTO ESCRITURAS fata\NOTARIA 2009\CARLOS BUGUEÑÑ\2007\ACTAS\ACTA NRO. 2 HUGO JOFRE S.A..doc</t>
  </si>
  <si>
    <t>C:\Users\franc\OneDrive\Documentos\MALENTIN KARIME\BANCO ESTADO\2012 DEPTO ESCRITURAS fata\NOTARIA 2009\CARLOS BUGUEÑÑ\2007\ACLARACION\SOC. PHOLAG.doc</t>
  </si>
  <si>
    <t>C:\Users\franc\OneDrive\Documentos\MALENTIN KARIME\BANCO ESTADO\2012 DEPTO ESCRITURAS fata\NOTARIA 2009\CARLOS BUGUEÑÑ\2007\ACLARACION\PILAR MERUANE A CARLOS ARAYA.doc</t>
  </si>
  <si>
    <t>C:\Users\franc\OneDrive\Documentos\MALENTIN KARIME\BANCO ESTADO\2012 DEPTO ESCRITURAS fata\NOTARIA 2009\CARLOS BUGUEÑÑ\2007\ACLARACION\MIGUEL TAPIA.doc</t>
  </si>
  <si>
    <t>C:\Users\franc\OneDrive\Documentos\MALENTIN KARIME\BANCO ESTADO\2012 DEPTO ESCRITURAS fata\NOTARIA 2009\CARLOS BUGUEÑÑ\2007\ACLARACION\LILIANA ALFARO.doc</t>
  </si>
  <si>
    <t>C:\Users\franc\OneDrive\Documentos\MALENTIN KARIME\BANCO ESTADO\2012 DEPTO ESCRITURAS fata\NOTARIA 2009\CARLOS BUGUEÑÑ\2007\ACLARACION\JAIME VILLALON.doc</t>
  </si>
  <si>
    <t>C:\Users\franc\OneDrive\Documentos\MALENTIN KARIME\BANCO ESTADO\2012 DEPTO ESCRITURAS fata\NOTARIA 2009\CARLOS BUGUEÑÑ\2007\ACLARACION\JAIME VILLALON 2.doc</t>
  </si>
  <si>
    <t>C:\Users\franc\OneDrive\Documentos\MALENTIN KARIME\BANCO ESTADO\2012 DEPTO ESCRITURAS fata\NOTARIA 2009\CARLOS BUGUEÑÑ\2007\ACLARACION\INMOBILIARIA CRUZ COLORADA.doc</t>
  </si>
  <si>
    <t>C:\Users\franc\OneDrive\Documentos\MALENTIN KARIME\BANCO ESTADO\2012 DEPTO ESCRITURAS fata\NOTARIA 2009\CARLOS BUGUEÑÑ\2007\ACLARACION\HUGO CASTILLO (LIQ. SOC. CONYUGAL).doc</t>
  </si>
  <si>
    <t>C:\Users\franc\OneDrive\Documentos\MALENTIN KARIME\BANCO ESTADO\2012 DEPTO ESCRITURAS fata\NOTARIA 2009\CARLOS BUGUEÑÑ\2007\ACLARACION\GRIMALDINA AGUIRRE.doc</t>
  </si>
  <si>
    <t>C:\Users\franc\OneDrive\Documentos\MALENTIN KARIME\BANCO ESTADO\2012 DEPTO ESCRITURAS fata\NOTARIA 2009\CARLOS BUGUEÑÑ\2007\ACLARACION\Doc1.doc</t>
  </si>
  <si>
    <t>C:\Users\franc\OneDrive\Documentos\MALENTIN KARIME\BANCO ESTADO\2012 DEPTO ESCRITURAS fata\NOTARIA 2009\CARLOS BUGUEÑÑ\2007\YAMIL ALAMO CARTA INST..doc</t>
  </si>
  <si>
    <t>C:\Users\franc\OneDrive\Documentos\MALENTIN KARIME\BANCO ESTADO\2012 DEPTO ESCRITURAS fata\NOTARIA 2009\CARLOS BUGUEÑÑ\2007\YAMIL ALAMO A INMOB. LOS ALERCES (AGUAS).doc</t>
  </si>
  <si>
    <t>C:\Users\franc\OneDrive\Documentos\MALENTIN KARIME\BANCO ESTADO\2012 DEPTO ESCRITURAS fata\NOTARIA 2009\CARLOS BUGUEÑÑ\2007\VICTORIANO ACUÑA A AGRICOLA COPIAPO.doc</t>
  </si>
  <si>
    <t>C:\Users\franc\OneDrive\Documentos\MALENTIN KARIME\BANCO ESTADO\2012 DEPTO ESCRITURAS fata\NOTARIA 2009\CARLOS BUGUEÑÑ\2007\venta bienes muebles - telefonial INM. HOTELERA.doc</t>
  </si>
  <si>
    <t>C:\Users\franc\OneDrive\Documentos\MALENTIN KARIME\BANCO ESTADO\2012 DEPTO ESCRITURAS fata\NOTARIA 2009\CARLOS BUGUEÑÑ\2007\SOCIEDAD CARLOS BUGUEÑO (CESION).doc</t>
  </si>
  <si>
    <t>C:\Users\franc\OneDrive\Documentos\MALENTIN KARIME\BANCO ESTADO\2012 DEPTO ESCRITURAS fata\NOTARIA 2009\CARLOS BUGUEÑÑ\2007\SOC. MAL PASO = ISMELINDA MUÑOZ AGUAS.doc</t>
  </si>
  <si>
    <t>C:\Users\franc\OneDrive\Documentos\MALENTIN KARIME\BANCO ESTADO\2012 DEPTO ESCRITURAS fata\NOTARIA 2009\CARLOS BUGUEÑÑ\2007\SOC. FRESSO.doc</t>
  </si>
  <si>
    <t>C:\Users\franc\OneDrive\Documentos\MALENTIN KARIME\BANCO ESTADO\2012 DEPTO ESCRITURAS fata\NOTARIA 2009\CARLOS BUGUEÑÑ\2007\servidumbres febrero cyntia 2007.doc</t>
  </si>
  <si>
    <t>C:\Users\franc\OneDrive\Documentos\MALENTIN KARIME\BANCO ESTADO\2012 DEPTO ESCRITURAS fata\NOTARIA 2009\CARLOS BUGUEÑÑ\2007\SERPROAGRO A ALIRO PINTO (CTA. CTE).doc</t>
  </si>
  <si>
    <t>C:\Users\franc\OneDrive\Documentos\MALENTIN KARIME\BANCO ESTADO\2012 DEPTO ESCRITURAS fata\NOTARIA 2009\CARLOS BUGUEÑÑ\2007\SAMUEL ROJO - DELEGACION.doc</t>
  </si>
  <si>
    <t>C:\Users\franc\OneDrive\Documentos\MALENTIN KARIME\BANCO ESTADO\2012 DEPTO ESCRITURAS fata\NOTARIA 2009\CARLOS BUGUEÑÑ\2007\renta vitalicia - lucia donoso.doc</t>
  </si>
  <si>
    <t>C:\Users\franc\OneDrive\Documentos\MALENTIN KARIME\BANCO ESTADO\2012 DEPTO ESCRITURAS fata\NOTARIA 2009\CARLOS BUGUEÑÑ\2007\PROTOCOLIZACION SOC..doc</t>
  </si>
  <si>
    <t>C:\Users\franc\OneDrive\Documentos\MALENTIN KARIME\BANCO ESTADO\2012 DEPTO ESCRITURAS fata\NOTARIA 2009\CARLOS BUGUEÑÑ\2007\PROMESA TUQUI CON POLARIS.doc</t>
  </si>
  <si>
    <t>C:\Users\franc\OneDrive\Documentos\MALENTIN KARIME\BANCO ESTADO\2012 DEPTO ESCRITURAS fata\NOTARIA 2009\CARLOS BUGUEÑÑ\2007\PATRICIO GONZALEZ RATIFICA.doc</t>
  </si>
  <si>
    <t>C:\Users\franc\OneDrive\Documentos\MALENTIN KARIME\BANCO ESTADO\2012 DEPTO ESCRITURAS fata\NOTARIA 2009\CARLOS BUGUEÑÑ\2007\PATRICIA CARMI A HILDEGARD MUNSKI.doc</t>
  </si>
  <si>
    <t>C:\Users\franc\OneDrive\Documentos\MALENTIN KARIME\BANCO ESTADO\2012 DEPTO ESCRITURAS fata\NOTARIA 2009\CARLOS BUGUEÑÑ\2007\PARTICION FEISSE.doc</t>
  </si>
  <si>
    <t>C:\Users\franc\OneDrive\Documentos\MALENTIN KARIME\BANCO ESTADO\2012 DEPTO ESCRITURAS fata\NOTARIA 2009\CARLOS BUGUEÑÑ\2007\ORLANDO DALBOSCO A BERNARDO ARAYA.doc</t>
  </si>
  <si>
    <t>C:\Users\franc\OneDrive\Documentos\MALENTIN KARIME\BANCO ESTADO\2012 DEPTO ESCRITURAS fata\NOTARIA 2009\CARLOS BUGUEÑÑ\2007\ORLANDO DALBOSCO A BERNARDO ARAYA (PROMESA).doc</t>
  </si>
  <si>
    <t>C:\Users\franc\OneDrive\Documentos\MALENTIN KARIME\BANCO ESTADO\2012 DEPTO ESCRITURAS fata\NOTARIA 2009\CARLOS BUGUEÑÑ\2007\MUTUO ALIRO PINTO A SERV..doc</t>
  </si>
  <si>
    <t>C:\Users\franc\OneDrive\Documentos\MALENTIN KARIME\BANCO ESTADO\2012 DEPTO ESCRITURAS fata\NOTARIA 2009\CARLOS BUGUEÑÑ\2007\MODIFICA SOC. MARTINAC.doc</t>
  </si>
  <si>
    <t>C:\Users\franc\OneDrive\Documentos\MALENTIN KARIME\BANCO ESTADO\2012 DEPTO ESCRITURAS fata\NOTARIA 2009\CARLOS BUGUEÑÑ\2007\MARIA ZEPEDA Y OTROS A SAN CLEMENTE.doc</t>
  </si>
  <si>
    <t>C:\Users\franc\OneDrive\Documentos\MALENTIN KARIME\BANCO ESTADO\2012 DEPTO ESCRITURAS fata\NOTARIA 2009\CARLOS BUGUEÑÑ\2007\LUS GUERRA.doc</t>
  </si>
  <si>
    <t>C:\Users\franc\OneDrive\Documentos\MALENTIN KARIME\BANCO ESTADO\2012 DEPTO ESCRITURAS fata\NOTARIA 2009\CARLOS BUGUEÑÑ\2007\LUIS PICERO Y OTRA A SOC. BOZO Y SANDOVAL.doc</t>
  </si>
  <si>
    <t>C:\Users\franc\OneDrive\Documentos\MALENTIN KARIME\BANCO ESTADO\2012 DEPTO ESCRITURAS fata\NOTARIA 2009\CARLOS BUGUEÑÑ\2007\LUCIA DONOSO A VERONICA JULIA (CESION).doc</t>
  </si>
  <si>
    <t>C:\Users\franc\OneDrive\Documentos\MALENTIN KARIME\BANCO ESTADO\2012 DEPTO ESCRITURAS fata\NOTARIA 2009\CARLOS BUGUEÑÑ\2007\LINA HOFTER (MANDATO).doc</t>
  </si>
  <si>
    <t>C:\Users\franc\OneDrive\Documentos\MALENTIN KARIME\BANCO ESTADO\2012 DEPTO ESCRITURAS fata\NOTARIA 2009\CARLOS BUGUEÑÑ\2007\LILIANA ALFARO A FRANCISCO PINTO CVI.doc</t>
  </si>
  <si>
    <t>C:\Users\franc\OneDrive\Documentos\MALENTIN KARIME\BANCO ESTADO\2012 DEPTO ESCRITURAS fata\NOTARIA 2009\CARLOS BUGUEÑÑ\2007\LIDIA ROJAS (ACLARA).doc</t>
  </si>
  <si>
    <t>C:\Users\franc\OneDrive\Documentos\MALENTIN KARIME\BANCO ESTADO\2012 DEPTO ESCRITURAS fata\NOTARIA 2009\CARLOS BUGUEÑÑ\2007\JUAN PLAZA A AGRICOLA MAL PASO (CV. AGUAS).doc</t>
  </si>
  <si>
    <t>C:\Users\franc\OneDrive\Documentos\MALENTIN KARIME\BANCO ESTADO\2012 DEPTO ESCRITURAS fata\NOTARIA 2009\CARLOS BUGUEÑÑ\2007\JUAN GONZALEZ Y OTRA A SAN CLEMENTE.doc</t>
  </si>
  <si>
    <t>C:\Users\franc\OneDrive\Documentos\MALENTIN KARIME\BANCO ESTADO\2012 DEPTO ESCRITURAS fata\NOTARIA 2009\CARLOS BUGUEÑÑ\2007\JUAN FRANCISCO INOSTROZA.doc</t>
  </si>
  <si>
    <t>C:\Users\franc\OneDrive\Documentos\MALENTIN KARIME\BANCO ESTADO\2012 DEPTO ESCRITURAS fata\NOTARIA 2009\CARLOS BUGUEÑÑ\2007\JUAN FARR A FRUTICOLA RIO COPIAPO.doc</t>
  </si>
  <si>
    <t>C:\Users\franc\OneDrive\Documentos\MALENTIN KARIME\BANCO ESTADO\2012 DEPTO ESCRITURAS fata\NOTARIA 2009\CARLOS BUGUEÑÑ\2007\JUAN FARR A FRUTICOLA COPIAPO.doc</t>
  </si>
  <si>
    <t>C:\Users\franc\OneDrive\Documentos\MALENTIN KARIME\BANCO ESTADO\2012 DEPTO ESCRITURAS fata\NOTARIA 2009\CARLOS BUGUEÑÑ\2007\JUAN FARR A AGRICOLA COPIAPO.doc</t>
  </si>
  <si>
    <t>C:\Users\franc\OneDrive\Documentos\MALENTIN KARIME\BANCO ESTADO\2012 DEPTO ESCRITURAS fata\NOTARIA 2009\CARLOS BUGUEÑÑ\2007\JOSE MALUENDA Y ANA CARDENAS LIQ. SOC CONY.doc</t>
  </si>
  <si>
    <t>C:\Users\franc\OneDrive\Documentos\MALENTIN KARIME\BANCO ESTADO\2012 DEPTO ESCRITURAS fata\NOTARIA 2009\CARLOS BUGUEÑÑ\2007\ivan martinac - modifi soc octubre 2007 - extracto.doc</t>
  </si>
  <si>
    <t>C:\Users\franc\OneDrive\Documentos\MALENTIN KARIME\BANCO ESTADO\2012 DEPTO ESCRITURAS fata\NOTARIA 2009\CARLOS BUGUEÑÑ\2007\INVERSIONES MARTINAC (MODIFICACION).doc</t>
  </si>
  <si>
    <t>C:\Users\franc\OneDrive\Documentos\MALENTIN KARIME\BANCO ESTADO\2012 DEPTO ESCRITURAS fata\NOTARIA 2009\CARLOS BUGUEÑÑ\2007\invegon modif julio 2007 - extracto.doc</t>
  </si>
  <si>
    <t>C:\Users\franc\OneDrive\Documentos\MALENTIN KARIME\BANCO ESTADO\2012 DEPTO ESCRITURAS fata\NOTARIA 2009\CARLOS BUGUEÑÑ\2007\INVEGON MODIF (AGOSTO 2007).doc</t>
  </si>
  <si>
    <t>C:\Users\franc\OneDrive\Documentos\MALENTIN KARIME\BANCO ESTADO\2012 DEPTO ESCRITURAS fata\NOTARIA 2009\CARLOS BUGUEÑÑ\2007\INV. STA BARBARA Certif. 153.doc</t>
  </si>
  <si>
    <t>C:\Users\franc\OneDrive\Documentos\MALENTIN KARIME\BANCO ESTADO\2012 DEPTO ESCRITURAS fata\NOTARIA 2009\CARLOS BUGUEÑÑ\2007\INMOBILIARIA CRUZ COLORADA A CRISTIAN ROBLES (CVI).doc</t>
  </si>
  <si>
    <t>C:\Users\franc\OneDrive\Documentos\MALENTIN KARIME\BANCO ESTADO\2012 DEPTO ESCRITURAS fata\NOTARIA 2009\CARLOS BUGUEÑÑ\2007\INMBO. CRUZ COLORADA A CRISTIAN ROBLES (COMPROMISO).doc</t>
  </si>
  <si>
    <t>C:\Users\franc\OneDrive\Documentos\MALENTIN KARIME\BANCO ESTADO\2012 DEPTO ESCRITURAS fata\NOTARIA 2009\CARLOS BUGUEÑÑ\2007\HUGO JOFRE A COM. OHIGGINS.doc</t>
  </si>
  <si>
    <t>C:\Users\franc\OneDrive\Documentos\MALENTIN KARIME\BANCO ESTADO\2012 DEPTO ESCRITURAS fata\NOTARIA 2009\CARLOS BUGUEÑÑ\2007\HILDERGARD CUBILLOS A ESMERALDO VALDIVIA.doc</t>
  </si>
  <si>
    <t>C:\Users\franc\OneDrive\Documentos\MALENTIN KARIME\BANCO ESTADO\2012 DEPTO ESCRITURAS fata\NOTARIA 2009\CARLOS BUGUEÑÑ\2007\GONART MODIFICA. (AGOSTO 2007).doc</t>
  </si>
  <si>
    <t>C:\Users\franc\OneDrive\Documentos\MALENTIN KARIME\BANCO ESTADO\2012 DEPTO ESCRITURAS fata\NOTARIA 2009\CARLOS BUGUEÑÑ\2007\gonart modif julio 2007 - extracto.doc</t>
  </si>
  <si>
    <t>C:\Users\franc\OneDrive\Documentos\MALENTIN KARIME\BANCO ESTADO\2012 DEPTO ESCRITURAS fata\NOTARIA 2009\CARLOS BUGUEÑÑ\2007\ESTEBAN ZEPEDA.doc</t>
  </si>
  <si>
    <t>C:\Users\franc\OneDrive\Documentos\MALENTIN KARIME\BANCO ESTADO\2012 DEPTO ESCRITURAS fata\NOTARIA 2009\CARLOS BUGUEÑÑ\2007\CUPERTINO RODRIGUEZ A IRMA ARAYA PASTEN.doc</t>
  </si>
  <si>
    <t>C:\Users\franc\OneDrive\Documentos\MALENTIN KARIME\BANCO ESTADO\2012 DEPTO ESCRITURAS fata\NOTARIA 2009\CARLOS BUGUEÑÑ\2007\contrato cta cte - inmob - serproagro.doc</t>
  </si>
  <si>
    <t>C:\Users\franc\OneDrive\Documentos\MALENTIN KARIME\BANCO ESTADO\2012 DEPTO ESCRITURAS fata\NOTARIA 2009\CARLOS BUGUEÑÑ\2007\contrato cta cte - inmob - agricola.doc</t>
  </si>
  <si>
    <t>C:\Users\franc\OneDrive\Documentos\MALENTIN KARIME\BANCO ESTADO\2012 DEPTO ESCRITURAS fata\NOTARIA 2009\CARLOS BUGUEÑÑ\2007\contrato cta cte - agricola - serproagro.doc</t>
  </si>
  <si>
    <t>C:\Users\franc\OneDrive\Documentos\MALENTIN KARIME\BANCO ESTADO\2012 DEPTO ESCRITURAS fata\NOTARIA 2009\CARLOS BUGUEÑÑ\2007\COMUNIDAD MIALQUI A LIDIA ROJAS (ACLARA).doc</t>
  </si>
  <si>
    <t>C:\Users\franc\OneDrive\Documentos\MALENTIN KARIME\BANCO ESTADO\2012 DEPTO ESCRITURAS fata\NOTARIA 2009\CARLOS BUGUEÑÑ\2007\COMUNIDAD HUATULAME A PEDRO CORTES ROBLES.doc</t>
  </si>
  <si>
    <t>C:\Users\franc\OneDrive\Documentos\MALENTIN KARIME\BANCO ESTADO\2012 DEPTO ESCRITURAS fata\NOTARIA 2009\CARLOS BUGUEÑÑ\2007\COMUNIDAD DE AGUAS CHAÑARAL CAREN (Poder).doc</t>
  </si>
  <si>
    <t>C:\Users\franc\OneDrive\Documentos\MALENTIN KARIME\BANCO ESTADO\2012 DEPTO ESCRITURAS fata\NOTARIA 2009\CARLOS BUGUEÑÑ\2007\COMER. FARMA. PRAD (EXTRACTO).doc</t>
  </si>
  <si>
    <t>C:\Users\franc\OneDrive\Documentos\MALENTIN KARIME\BANCO ESTADO\2012 DEPTO ESCRITURAS fata\NOTARIA 2009\CARLOS BUGUEÑÑ\2007\COM. FARMA. PRAD  (SANEAMIENTO).doc</t>
  </si>
  <si>
    <t>C:\Users\franc\OneDrive\Documentos\MALENTIN KARIME\BANCO ESTADO\2012 DEPTO ESCRITURAS fata\NOTARIA 2009\CARLOS BUGUEÑÑ\2007\arriendo - local.doc</t>
  </si>
  <si>
    <t>C:\Users\franc\OneDrive\Documentos\MALENTIN KARIME\BANCO ESTADO\2012 DEPTO ESCRITURAS fata\NOTARIA 2009\CARLOS BUGUEÑÑ\2007\ARNOLDO VALDIVIA A LUCIA JULIA DONOSO (AGUAS).doc</t>
  </si>
  <si>
    <t>C:\Users\franc\OneDrive\Documentos\MALENTIN KARIME\BANCO ESTADO\2012 DEPTO ESCRITURAS fata\NOTARIA 2009\CARLOS BUGUEÑÑ\2007\ALIRO PINTO (PODER AGOSTO ).doc</t>
  </si>
  <si>
    <t>C:\Users\franc\OneDrive\Documentos\MALENTIN KARIME\BANCO ESTADO\2012 DEPTO ESCRITURAS fata\NOTARIA 2009\CARLOS BUGUEÑÑ\2007\AGROT. PINEDA (REC. DEUDA).doc</t>
  </si>
  <si>
    <t>C:\Users\franc\OneDrive\Documentos\MALENTIN KARIME\BANCO ESTADO\2012 DEPTO ESCRITURAS fata\NOTARIA 2009\CARLOS BUGUEÑÑ\2007\AGRICOLA FRESSO Y CIA. (MANDATO).doc</t>
  </si>
  <si>
    <t>C:\Users\franc\OneDrive\Documentos\MALENTIN KARIME\BANCO ESTADO\2012 DEPTO ESCRITURAS fata\NOTARIA 2009\CARLOS BUGUEÑÑ\2007\AGRICOLA FRESSO Y CIA (MODIFIC).doc</t>
  </si>
  <si>
    <t>C:\Users\franc\OneDrive\Documentos\MALENTIN KARIME\BANCO ESTADO\2012 DEPTO ESCRITURAS fata\NOTARIA 2009\CARLOS BUGUEÑÑ\2007\AGRICOLA FRESSO RECTIFICACION.doc</t>
  </si>
  <si>
    <t>C:\Users\franc\OneDrive\Documentos\MALENTIN KARIME\BANCO ESTADO\2012 DEPTO ESCRITURAS fata\NOTARIA 2009\CARLOS BUGUEÑÑ\2007\AGRICOLA ALIRO PINTO A AGRICOLA SAN CLEMENTE.doc</t>
  </si>
  <si>
    <t>C:\Users\franc\OneDrive\Documentos\MALENTIN KARIME\BANCO ESTADO\2012 DEPTO ESCRITURAS fata\NOTARIA 2009\CARLOS BUGUEÑÑ\2007\AGRIC. ALIRO PINTO A SAN CLEMENTE (2).doc</t>
  </si>
  <si>
    <t>C:\Users\franc\OneDrive\Documentos\MALENTIN KARIME\BANCO ESTADO\2012 DEPTO ESCRITURAS fata\NOTARIA 2009\CARLOS BUGUEÑÑ\2007\ACTA FERIA GANADERA DE OVALLE S.A..doc</t>
  </si>
  <si>
    <t>C:\Users\franc\OneDrive\Documentos\MALENTIN KARIME\BANCO ESTADO\2012 DEPTO ESCRITURAS fata\NOTARIA 2009\CARLOS BUGUEÑÑ\2007\ACLARA MUTUO SOC. LOS PRIMOS.doc</t>
  </si>
  <si>
    <t>C:\Users\franc\OneDrive\Documentos\MALENTIN KARIME\BANCO ESTADO\2012 DEPTO ESCRITURAS fata\NOTARIA 2009\CARLOS BUGUEÑÑ\2007\ACLARA ESCR. JOSOL.doc</t>
  </si>
  <si>
    <t>C:\Users\franc\OneDrive\Documentos\MALENTIN KARIME\BANCO ESTADO\2012 DEPTO ESCRITURAS fata\NOTARIA 2009\CARLOS BUGUEÑÑ\Usufructo tecnocitrus - noviembre 2006.doc</t>
  </si>
  <si>
    <t>C:\Users\franc\OneDrive\Documentos\MALENTIN KARIME\BANCO ESTADO\2012 DEPTO ESCRITURAS fata\NOTARIA 2009\CARLOS BUGUEÑÑ\TRANSP. BOZO Y SANDOVAL.doc</t>
  </si>
  <si>
    <t>C:\Users\franc\OneDrive\Documentos\MALENTIN KARIME\BANCO ESTADO\2012 DEPTO ESCRITURAS fata\NOTARIA 2009\CARLOS BUGUEÑÑ\SOC. PINEDA HERMANOS.doc</t>
  </si>
  <si>
    <t>C:\Users\franc\OneDrive\Documentos\MALENTIN KARIME\BANCO ESTADO\2012 DEPTO ESCRITURAS fata\NOTARIA 2009\CARLOS BUGUEÑÑ\SOC. COM. PLANETA A ROSA LARA CANCELACION.doc</t>
  </si>
  <si>
    <t>C:\Users\franc\OneDrive\Documentos\MALENTIN KARIME\BANCO ESTADO\2012 DEPTO ESCRITURAS fata\NOTARIA 2009\CARLOS BUGUEÑÑ\SOC. BASCOPE MODIF..doc</t>
  </si>
  <si>
    <t>C:\Users\franc\OneDrive\Documentos\MALENTIN KARIME\BANCO ESTADO\2012 DEPTO ESCRITURAS fata\NOTARIA 2009\CARLOS BUGUEÑÑ\SOC. AGRIC. LA GREDA A INV. BOSMAN Y GIOIA.doc</t>
  </si>
  <si>
    <t>C:\Users\franc\OneDrive\Documentos\MALENTIN KARIME\BANCO ESTADO\2012 DEPTO ESCRITURAS fata\NOTARIA 2009\CARLOS BUGUEÑÑ\SMC GOLD CHILE A FREDY BUSTOS Y STEPEHN PLAY.doc</t>
  </si>
  <si>
    <t>C:\Users\franc\OneDrive\Documentos\MALENTIN KARIME\BANCO ESTADO\2012 DEPTO ESCRITURAS fata\NOTARIA 2009\CARLOS BUGUEÑÑ\servidumbre cap rural mialqui.doc</t>
  </si>
  <si>
    <t>C:\Users\franc\OneDrive\Documentos\MALENTIN KARIME\BANCO ESTADO\2012 DEPTO ESCRITURAS fata\NOTARIA 2009\CARLOS BUGUEÑÑ\SAUL IRIARTE A LUIS PEPPI.doc</t>
  </si>
  <si>
    <t>C:\Users\franc\OneDrive\Documentos\MALENTIN KARIME\BANCO ESTADO\2012 DEPTO ESCRITURAS fata\NOTARIA 2009\CARLOS BUGUEÑÑ\SANTIAGO BOSMAN Y OTRA A SOC. LA GREDA.doc</t>
  </si>
  <si>
    <t>C:\Users\franc\OneDrive\Documentos\MALENTIN KARIME\BANCO ESTADO\2012 DEPTO ESCRITURAS fata\NOTARIA 2009\CARLOS BUGUEÑÑ\SANTIAGO BOSMAN Y OTRA A AGR. BOSMAN Y GOIA.doc</t>
  </si>
  <si>
    <t>C:\Users\franc\OneDrive\Documentos\MALENTIN KARIME\BANCO ESTADO\2012 DEPTO ESCRITURAS fata\NOTARIA 2009\CARLOS BUGUEÑÑ\SANTIAGO BOSMAN USUFRUCTO.doc</t>
  </si>
  <si>
    <t>C:\Users\franc\OneDrive\Documentos\MALENTIN KARIME\BANCO ESTADO\2012 DEPTO ESCRITURAS fata\NOTARIA 2009\CARLOS BUGUEÑÑ\SAMUEL BOZO SEPARACION BIENS.doc</t>
  </si>
  <si>
    <t>C:\Users\franc\OneDrive\Documentos\MALENTIN KARIME\BANCO ESTADO\2012 DEPTO ESCRITURAS fata\NOTARIA 2009\CARLOS BUGUEÑÑ\samuel bozo - transportes - extracto.doc</t>
  </si>
  <si>
    <t>C:\Users\franc\OneDrive\Documentos\MALENTIN KARIME\BANCO ESTADO\2012 DEPTO ESCRITURAS fata\NOTARIA 2009\CARLOS BUGUEÑÑ\samuel bozo - inmobiliaria - extracto.doc</t>
  </si>
  <si>
    <t>C:\Users\franc\OneDrive\Documentos\MALENTIN KARIME\BANCO ESTADO\2012 DEPTO ESCRITURAS fata\NOTARIA 2009\CARLOS BUGUEÑÑ\SAMUEL  ROJO MODIFIC..doc</t>
  </si>
  <si>
    <t>C:\Users\franc\OneDrive\Documentos\MALENTIN KARIME\BANCO ESTADO\2012 DEPTO ESCRITURAS fata\NOTARIA 2009\CARLOS BUGUEÑÑ\resciliacion invegon - sept 2006 - extracto[1].doc</t>
  </si>
  <si>
    <t>C:\Users\franc\OneDrive\Documentos\MALENTIN KARIME\BANCO ESTADO\2012 DEPTO ESCRITURAS fata\NOTARIA 2009\CARLOS BUGUEÑÑ\resciliacion gonart - sept 2006 - extracto[1].doc</t>
  </si>
  <si>
    <t>C:\Users\franc\OneDrive\Documentos\MALENTIN KARIME\BANCO ESTADO\2012 DEPTO ESCRITURAS fata\NOTARIA 2009\CARLOS BUGUEÑÑ\Resciliacion Comunidad Agrícola El Potrero.doc</t>
  </si>
  <si>
    <t>C:\Users\franc\OneDrive\Documentos\MALENTIN KARIME\BANCO ESTADO\2012 DEPTO ESCRITURAS fata\NOTARIA 2009\CARLOS BUGUEÑÑ\RENATO GUERRA A LUIS PEPPI.doc</t>
  </si>
  <si>
    <t>C:\Users\franc\OneDrive\Documentos\MALENTIN KARIME\BANCO ESTADO\2012 DEPTO ESCRITURAS fata\NOTARIA 2009\CARLOS BUGUEÑÑ\RAFAEL MONTALBAN Y OTROS A AGROPAL LTDA..doc</t>
  </si>
  <si>
    <t>C:\Users\franc\OneDrive\Documentos\MALENTIN KARIME\BANCO ESTADO\2012 DEPTO ESCRITURAS fata\NOTARIA 2009\CARLOS BUGUEÑÑ\PAGARE LILIANA ALFARO.doc</t>
  </si>
  <si>
    <t>C:\Users\franc\OneDrive\Documentos\MALENTIN KARIME\BANCO ESTADO\2012 DEPTO ESCRITURAS fata\NOTARIA 2009\CARLOS BUGUEÑÑ\OTILIA OCHOA.doc</t>
  </si>
  <si>
    <t>C:\Users\franc\OneDrive\Documentos\MALENTIN KARIME\BANCO ESTADO\2012 DEPTO ESCRITURAS fata\NOTARIA 2009\CARLOS BUGUEÑÑ\NICOMEDES BUGUEÑO.doc</t>
  </si>
  <si>
    <t>C:\Users\franc\OneDrive\Documentos\MALENTIN KARIME\BANCO ESTADO\2012 DEPTO ESCRITURAS fata\NOTARIA 2009\CARLOS BUGUEÑÑ\NICOMEDES BUGUEÑO A LUIS PEPPI (AGUAS).doc</t>
  </si>
  <si>
    <t>C:\Users\franc\OneDrive\Documentos\MALENTIN KARIME\BANCO ESTADO\2012 DEPTO ESCRITURAS fata\NOTARIA 2009\CARLOS BUGUEÑÑ\MYRNA VEGA A HILDEGARD CUBILLOS.doc</t>
  </si>
  <si>
    <t>C:\Users\franc\OneDrive\Documentos\MALENTIN KARIME\BANCO ESTADO\2012 DEPTO ESCRITURAS fata\NOTARIA 2009\CARLOS BUGUEÑÑ\MODELO USUFRUCTO.doc</t>
  </si>
  <si>
    <t>C:\Users\franc\OneDrive\Documentos\MALENTIN KARIME\BANCO ESTADO\2012 DEPTO ESCRITURAS fata\NOTARIA 2009\CARLOS BUGUEÑÑ\MODELO NOTARIO.doc</t>
  </si>
  <si>
    <t>C:\Users\franc\OneDrive\Documentos\MALENTIN KARIME\BANCO ESTADO\2012 DEPTO ESCRITURAS fata\NOTARIA 2009\CARLOS BUGUEÑÑ\MIGUEL VEGA A SOC. EL CIENAGO.doc</t>
  </si>
  <si>
    <t>C:\Users\franc\OneDrive\Documentos\MALENTIN KARIME\BANCO ESTADO\2012 DEPTO ESCRITURAS fata\NOTARIA 2009\CARLOS BUGUEÑÑ\MARIO ROBLES A AGRICOLA ROBLES.doc</t>
  </si>
  <si>
    <t>C:\Users\franc\OneDrive\Documentos\MALENTIN KARIME\BANCO ESTADO\2012 DEPTO ESCRITURAS fata\NOTARIA 2009\CARLOS BUGUEÑÑ\MARIO ROBLES A ....doc</t>
  </si>
  <si>
    <t>C:\Users\franc\OneDrive\Documentos\MALENTIN KARIME\BANCO ESTADO\2012 DEPTO ESCRITURAS fata\NOTARIA 2009\CARLOS BUGUEÑÑ\MARCIAL VEGA A MARIA ZEPEDA GOMILA.doc</t>
  </si>
  <si>
    <t>C:\Users\franc\OneDrive\Documentos\MALENTIN KARIME\BANCO ESTADO\2012 DEPTO ESCRITURAS fata\NOTARIA 2009\CARLOS BUGUEÑÑ\MAL PASO LIMITADA.doc</t>
  </si>
  <si>
    <t>C:\Users\franc\OneDrive\Documentos\MALENTIN KARIME\BANCO ESTADO\2012 DEPTO ESCRITURAS fata\NOTARIA 2009\CARLOS BUGUEÑÑ\MAL PASO A JUAN MARENTIS}+.doc</t>
  </si>
  <si>
    <t>C:\Users\franc\OneDrive\Documentos\MALENTIN KARIME\BANCO ESTADO\2012 DEPTO ESCRITURAS fata\NOTARIA 2009\CARLOS BUGUEÑÑ\LIMARI TRADING S.A. (P. PINTO).doc</t>
  </si>
  <si>
    <t>C:\Users\franc\OneDrive\Documentos\MALENTIN KARIME\BANCO ESTADO\2012 DEPTO ESCRITURAS fata\NOTARIA 2009\CARLOS BUGUEÑÑ\LILIANA ALFARO A FCO. PINTO CV CON USU.doc</t>
  </si>
  <si>
    <t>C:\Users\franc\OneDrive\Documentos\MALENTIN KARIME\BANCO ESTADO\2012 DEPTO ESCRITURAS fata\NOTARIA 2009\CARLOS BUGUEÑÑ\LILIANA ALFARO A FCO. PINTO (FINAL).doc</t>
  </si>
  <si>
    <t>C:\Users\franc\OneDrive\Documentos\MALENTIN KARIME\BANCO ESTADO\2012 DEPTO ESCRITURAS fata\NOTARIA 2009\CARLOS BUGUEÑÑ\LAS REPRESAS.CONTRATO PROFESIONAL.doc</t>
  </si>
  <si>
    <t>C:\Users\franc\OneDrive\Documentos\MALENTIN KARIME\BANCO ESTADO\2012 DEPTO ESCRITURAS fata\NOTARIA 2009\CARLOS BUGUEÑÑ\JUAN SALINAS A HORACIO ROJAS (PLANTA MINERA).doc</t>
  </si>
  <si>
    <t>C:\Users\franc\OneDrive\Documentos\MALENTIN KARIME\BANCO ESTADO\2012 DEPTO ESCRITURAS fata\NOTARIA 2009\CARLOS BUGUEÑÑ\JORGE HERNAN CORTES A C. ARDILES MAND. JUD.doc</t>
  </si>
  <si>
    <t>C:\Users\franc\OneDrive\Documentos\MALENTIN KARIME\BANCO ESTADO\2012 DEPTO ESCRITURAS fata\NOTARIA 2009\CARLOS BUGUEÑÑ\JORGE EDO. CORTES A C. ARDILES MAND. JUD.doc</t>
  </si>
  <si>
    <t>C:\Users\franc\OneDrive\Documentos\MALENTIN KARIME\BANCO ESTADO\2012 DEPTO ESCRITURAS fata\NOTARIA 2009\CARLOS BUGUEÑÑ\INVERSIONES SERRAVALLE A SOC. VIGIA.doc</t>
  </si>
  <si>
    <t>C:\Users\franc\OneDrive\Documentos\MALENTIN KARIME\BANCO ESTADO\2012 DEPTO ESCRITURAS fata\NOTARIA 2009\CARLOS BUGUEÑÑ\INVERSIONES MARTINAC (COMPRAVENTA).doc</t>
  </si>
  <si>
    <t>C:\Users\franc\OneDrive\Documentos\MALENTIN KARIME\BANCO ESTADO\2012 DEPTO ESCRITURAS fata\NOTARIA 2009\CARLOS BUGUEÑÑ\INVEGON RESCILIACION.doc</t>
  </si>
  <si>
    <t>C:\Users\franc\OneDrive\Documentos\MALENTIN KARIME\BANCO ESTADO\2012 DEPTO ESCRITURAS fata\NOTARIA 2009\CARLOS BUGUEÑÑ\INVEGON LTDA.doc</t>
  </si>
  <si>
    <t>C:\Users\franc\OneDrive\Documentos\MALENTIN KARIME\BANCO ESTADO\2012 DEPTO ESCRITURAS fata\NOTARIA 2009\CARLOS BUGUEÑÑ\Inmobiliaria Cruz Limitada a Verónica Fernandez Arancibia.doc</t>
  </si>
  <si>
    <t>C:\Users\franc\OneDrive\Documentos\MALENTIN KARIME\BANCO ESTADO\2012 DEPTO ESCRITURAS fata\NOTARIA 2009\CARLOS BUGUEÑÑ\INMOBILIARIA CRUZ COLORADA LTDA..doc</t>
  </si>
  <si>
    <t>C:\Users\franc\OneDrive\Documentos\MALENTIN KARIME\BANCO ESTADO\2012 DEPTO ESCRITURAS fata\NOTARIA 2009\CARLOS BUGUEÑÑ\inmobiliaria cruz colorada ltda - extracto.doc</t>
  </si>
  <si>
    <t>C:\Users\franc\OneDrive\Documentos\MALENTIN KARIME\BANCO ESTADO\2012 DEPTO ESCRITURAS fata\NOTARIA 2009\CARLOS BUGUEÑÑ\INMOBILIARIA CRUZ COLORADA a Verónica Fernandez Arancibia.doc</t>
  </si>
  <si>
    <t>C:\Users\franc\OneDrive\Documentos\MALENTIN KARIME\BANCO ESTADO\2012 DEPTO ESCRITURAS fata\NOTARIA 2009\CARLOS BUGUEÑÑ\Inmobiliaria Cruz Colorada a pamela cofre  03-10-2007.doc</t>
  </si>
  <si>
    <t>C:\Users\franc\OneDrive\Documentos\MALENTIN KARIME\BANCO ESTADO\2012 DEPTO ESCRITURAS fata\NOTARIA 2009\CARLOS BUGUEÑÑ\Inmobiliaria Cruz Colorada a Manuel Mendez Madriaza.doc</t>
  </si>
  <si>
    <t>C:\Users\franc\OneDrive\Documentos\MALENTIN KARIME\BANCO ESTADO\2012 DEPTO ESCRITURAS fata\NOTARIA 2009\CARLOS BUGUEÑÑ\Inmobiliaria Cruz Colorada a ESTEBAN ARAYA.doc</t>
  </si>
  <si>
    <t>C:\Users\franc\OneDrive\Documentos\MALENTIN KARIME\BANCO ESTADO\2012 DEPTO ESCRITURAS fata\NOTARIA 2009\CARLOS BUGUEÑÑ\INMOBILIARIA CRUZ COLORADA A CRISTIAN ROBLES.doc</t>
  </si>
  <si>
    <t>C:\Users\franc\OneDrive\Documentos\MALENTIN KARIME\BANCO ESTADO\2012 DEPTO ESCRITURAS fata\NOTARIA 2009\CARLOS BUGUEÑÑ\INMOBILIARIA CRUZ A MANUEL VILLARROEL.doc</t>
  </si>
  <si>
    <t>C:\Users\franc\OneDrive\Documentos\MALENTIN KARIME\BANCO ESTADO\2012 DEPTO ESCRITURAS fata\NOTARIA 2009\CARLOS BUGUEÑÑ\INMOBILIARIA CRUZ A ESTEBAN ARAYA.doc</t>
  </si>
  <si>
    <t>C:\Users\franc\OneDrive\Documentos\MALENTIN KARIME\BANCO ESTADO\2012 DEPTO ESCRITURAS fata\NOTARIA 2009\CARLOS BUGUEÑÑ\INMOBILIARIA BOZO Y SANDOVAL.doc</t>
  </si>
  <si>
    <t>C:\Users\franc\OneDrive\Documentos\MALENTIN KARIME\BANCO ESTADO\2012 DEPTO ESCRITURAS fata\NOTARIA 2009\CARLOS BUGUEÑÑ\HUGO SEGOVIA Y OTROS A LUIS BAEZA (CESION DERECHOS).doc</t>
  </si>
  <si>
    <t>C:\Users\franc\OneDrive\Documentos\MALENTIN KARIME\BANCO ESTADO\2012 DEPTO ESCRITURAS fata\NOTARIA 2009\CARLOS BUGUEÑÑ\HUGO SEGOVIA (CONYUGE) RATIFICACION.doc</t>
  </si>
  <si>
    <t>C:\Users\franc\OneDrive\Documentos\MALENTIN KARIME\BANCO ESTADO\2012 DEPTO ESCRITURAS fata\NOTARIA 2009\CARLOS BUGUEÑÑ\hotelera plaza sa - constit sociedad - dic 2007 - extracto.doc</t>
  </si>
  <si>
    <t>C:\Users\franc\OneDrive\Documentos\MALENTIN KARIME\BANCO ESTADO\2012 DEPTO ESCRITURAS fata\NOTARIA 2009\CARLOS BUGUEÑÑ\hotelera american sa - constit soc dic 2007 - extracto.doc</t>
  </si>
  <si>
    <t>C:\Users\franc\OneDrive\Documentos\MALENTIN KARIME\BANCO ESTADO\2012 DEPTO ESCRITURAS fata\NOTARIA 2009\CARLOS BUGUEÑÑ\HERMAN ROJAS A BOSMAN.doc</t>
  </si>
  <si>
    <t>C:\Users\franc\OneDrive\Documentos\MALENTIN KARIME\BANCO ESTADO\2012 DEPTO ESCRITURAS fata\NOTARIA 2009\CARLOS BUGUEÑÑ\HANS FEISE SERVIDUMBRE FINAL.doc</t>
  </si>
  <si>
    <t>C:\Users\franc\OneDrive\Documentos\MALENTIN KARIME\BANCO ESTADO\2012 DEPTO ESCRITURAS fata\NOTARIA 2009\CARLOS BUGUEÑÑ\HANS FEISE A IVAN VARELA.doc</t>
  </si>
  <si>
    <t>C:\Users\franc\OneDrive\Documentos\MALENTIN KARIME\BANCO ESTADO\2012 DEPTO ESCRITURAS fata\NOTARIA 2009\CARLOS BUGUEÑÑ\HANS FEISE A GLORIA PROHENS.doc</t>
  </si>
  <si>
    <t>C:\Users\franc\OneDrive\Documentos\MALENTIN KARIME\BANCO ESTADO\2012 DEPTO ESCRITURAS fata\NOTARIA 2009\CARLOS BUGUEÑÑ\HANNA MISLEH.doc</t>
  </si>
  <si>
    <t>C:\Users\franc\OneDrive\Documentos\MALENTIN KARIME\BANCO ESTADO\2012 DEPTO ESCRITURAS fata\NOTARIA 2009\CARLOS BUGUEÑÑ\GONART RESCILIACION.doc</t>
  </si>
  <si>
    <t>C:\Users\franc\OneDrive\Documentos\MALENTIN KARIME\BANCO ESTADO\2012 DEPTO ESCRITURAS fata\NOTARIA 2009\CARLOS BUGUEÑÑ\GONART LTDA. (MODIFICACION).doc</t>
  </si>
  <si>
    <t>C:\Users\franc\OneDrive\Documentos\MALENTIN KARIME\BANCO ESTADO\2012 DEPTO ESCRITURAS fata\NOTARIA 2009\CARLOS BUGUEÑÑ\GONAGRO S.A. (MODIFICACION).doc</t>
  </si>
  <si>
    <t>C:\Users\franc\OneDrive\Documentos\MALENTIN KARIME\BANCO ESTADO\2012 DEPTO ESCRITURAS fata\NOTARIA 2009\CARLOS BUGUEÑÑ\FRANCISCO RIVERA A C. ARDILES Y OTRO.doc</t>
  </si>
  <si>
    <t>C:\Users\franc\OneDrive\Documentos\MALENTIN KARIME\BANCO ESTADO\2012 DEPTO ESCRITURAS fata\NOTARIA 2009\CARLOS BUGUEÑÑ\FARMACE. PRAD  SANEAMIENTO.doc</t>
  </si>
  <si>
    <t>C:\Users\franc\OneDrive\Documentos\MALENTIN KARIME\BANCO ESTADO\2012 DEPTO ESCRITURAS fata\NOTARIA 2009\CARLOS BUGUEÑÑ\declaracion jurada jcg jul 2006.doc</t>
  </si>
  <si>
    <t>C:\Users\franc\OneDrive\Documentos\MALENTIN KARIME\BANCO ESTADO\2012 DEPTO ESCRITURAS fata\NOTARIA 2009\CARLOS BUGUEÑÑ\CRUZ COLORADA SANEAMIENTO.doc</t>
  </si>
  <si>
    <t>C:\Users\franc\OneDrive\Documentos\MALENTIN KARIME\BANCO ESTADO\2012 DEPTO ESCRITURAS fata\NOTARIA 2009\CARLOS BUGUEÑÑ\clausula LIDIA AGUAS.doc</t>
  </si>
  <si>
    <t>C:\Users\franc\OneDrive\Documentos\MALENTIN KARIME\BANCO ESTADO\2012 DEPTO ESCRITURAS fata\NOTARIA 2009\CARLOS BUGUEÑÑ\CIA. PISQUERA CHILE A MANUEL LOPEZ.doc</t>
  </si>
  <si>
    <t>C:\Users\franc\OneDrive\Documentos\MALENTIN KARIME\BANCO ESTADO\2012 DEPTO ESCRITURAS fata\NOTARIA 2009\CARLOS BUGUEÑÑ\CHAÑARAL BAJO NORTE (REDUCCION).doc</t>
  </si>
  <si>
    <t>C:\Users\franc\OneDrive\Documentos\MALENTIN KARIME\BANCO ESTADO\2012 DEPTO ESCRITURAS fata\NOTARIA 2009\CARLOS BUGUEÑÑ\carta.instruccMIGUEL TAPIA.doc</t>
  </si>
  <si>
    <t>C:\Users\franc\OneDrive\Documentos\MALENTIN KARIME\BANCO ESTADO\2012 DEPTO ESCRITURAS fata\NOTARIA 2009\CARLOS BUGUEÑÑ\carta.instrucc hildegard.doc</t>
  </si>
  <si>
    <t>C:\Users\franc\OneDrive\Documentos\MALENTIN KARIME\BANCO ESTADO\2012 DEPTO ESCRITURAS fata\NOTARIA 2009\CARLOS BUGUEÑÑ\carta.instrucc ALCONES.doc</t>
  </si>
  <si>
    <t>C:\Users\franc\OneDrive\Documentos\MALENTIN KARIME\BANCO ESTADO\2012 DEPTO ESCRITURAS fata\NOTARIA 2009\CARLOS BUGUEÑÑ\carta.inst. mitimae ltda nov 2006.doc</t>
  </si>
  <si>
    <t>C:\Users\franc\OneDrive\Documentos\MALENTIN KARIME\BANCO ESTADO\2012 DEPTO ESCRITURAS fata\NOTARIA 2009\CARLOS BUGUEÑÑ\CARTA INSTR. FCO. GONZALEZ FIGARI.doc</t>
  </si>
  <si>
    <t>C:\Users\franc\OneDrive\Documentos\MALENTIN KARIME\BANCO ESTADO\2012 DEPTO ESCRITURAS fata\NOTARIA 2009\CARLOS BUGUEÑÑ\CARTA ERIC CONTRERAS.doc</t>
  </si>
  <si>
    <t>C:\Users\franc\OneDrive\Documentos\MALENTIN KARIME\BANCO ESTADO\2012 DEPTO ESCRITURAS fata\NOTARIA 2009\CARLOS BUGUEÑÑ\CARMEN ROJAS A BOSMAN.doc</t>
  </si>
  <si>
    <t>C:\Users\franc\OneDrive\Documentos\MALENTIN KARIME\BANCO ESTADO\2012 DEPTO ESCRITURAS fata\NOTARIA 2009\CARLOS BUGUEÑÑ\Bascope y Zepeda.modif -sep 2006 - extracto.doc</t>
  </si>
  <si>
    <t>C:\Users\franc\OneDrive\Documentos\MALENTIN KARIME\BANCO ESTADO\2012 DEPTO ESCRITURAS fata\NOTARIA 2009\CARLOS BUGUEÑÑ\AVESTRUCES A LUIS PIZARRO LTDA..doc</t>
  </si>
  <si>
    <t>C:\Users\franc\OneDrive\Documentos\MALENTIN KARIME\BANCO ESTADO\2012 DEPTO ESCRITURAS fata\NOTARIA 2009\CARLOS BUGUEÑÑ\AURA NEYRA ERAZO a MARIA ZEPEDA GOMILA.doc</t>
  </si>
  <si>
    <t>C:\Users\franc\OneDrive\Documentos\MALENTIN KARIME\BANCO ESTADO\2012 DEPTO ESCRITURAS fata\NOTARIA 2009\CARLOS BUGUEÑÑ\arriendo agide - agosto 2006.doc</t>
  </si>
  <si>
    <t>C:\Users\franc\OneDrive\Documentos\MALENTIN KARIME\BANCO ESTADO\2012 DEPTO ESCRITURAS fata\NOTARIA 2009\CARLOS BUGUEÑÑ\arriendo adige - agosto 2006.doc</t>
  </si>
  <si>
    <t>C:\Users\franc\OneDrive\Documentos\MALENTIN KARIME\BANCO ESTADO\2012 DEPTO ESCRITURAS fata\NOTARIA 2009\CARLOS BUGUEÑÑ\Antonio Muñoz a Inversiones BOSMAN.doc</t>
  </si>
  <si>
    <t>C:\Users\franc\OneDrive\Documentos\MALENTIN KARIME\BANCO ESTADO\2012 DEPTO ESCRITURAS fata\NOTARIA 2009\CARLOS BUGUEÑÑ\ALICIA ROJAS A CLAUDIO ARDILES Y OTRO.doc</t>
  </si>
  <si>
    <t>C:\Users\franc\OneDrive\Documentos\MALENTIN KARIME\BANCO ESTADO\2012 DEPTO ESCRITURAS fata\NOTARIA 2009\CARLOS BUGUEÑÑ\aguas antonio muñoz miranda AGUAS MARIO.doc</t>
  </si>
  <si>
    <t>C:\Users\franc\OneDrive\Documentos\MALENTIN KARIME\BANCO ESTADO\2012 DEPTO ESCRITURAS fata\NOTARIA 2009\CARLOS BUGUEÑÑ\aguas antonio muñoz miranda AGUAS LUIS.doc</t>
  </si>
  <si>
    <t>C:\Users\franc\OneDrive\Documentos\MALENTIN KARIME\BANCO ESTADO\2012 DEPTO ESCRITURAS fata\NOTARIA 2009\CARLOS BUGUEÑÑ\agrotransportes pineda ltda extracto[1].doc</t>
  </si>
  <si>
    <t>C:\Users\franc\OneDrive\Documentos\MALENTIN KARIME\BANCO ESTADO\2012 DEPTO ESCRITURAS fata\NOTARIA 2009\CARLOS BUGUEÑÑ\AGRICOLA MITIMAE LTDA. 20 NOV 2006.doc</t>
  </si>
  <si>
    <t>C:\Users\franc\OneDrive\Documentos\MALENTIN KARIME\BANCO ESTADO\2012 DEPTO ESCRITURAS fata\NOTARIA 2009\CARLOS BUGUEÑÑ\agricola los leones sa - dic 2007 - extracto.doc</t>
  </si>
  <si>
    <t>C:\Users\franc\OneDrive\Documentos\MALENTIN KARIME\BANCO ESTADO\2012 DEPTO ESCRITURAS fata\NOTARIA 2009\CARLOS BUGUEÑÑ\AGRICOLA JUANA GONZALEZ Y CIA. MOD SOC.doc</t>
  </si>
  <si>
    <t>C:\Users\franc\OneDrive\Documentos\MALENTIN KARIME\BANCO ESTADO\2012 DEPTO ESCRITURAS fata\NOTARIA 2009\CARLOS BUGUEÑÑ\AGRICOLA ALIRO PINTO Y CRUZ COLORADA PARTICION.doc</t>
  </si>
  <si>
    <t>C:\Users\franc\OneDrive\Documentos\MALENTIN KARIME\BANCO ESTADO\2012 DEPTO ESCRITURAS fata\NOTARIA 2009\CARLOS BUGUEÑÑ\AGIDE FINAL.doc</t>
  </si>
  <si>
    <t>C:\Users\franc\OneDrive\Documentos\MALENTIN KARIME\BANCO ESTADO\2012 DEPTO ESCRITURAS fata\NOTARIA 2009\CARLOS BUGUEÑÑ\ACUERDO Y FINIQUITO ORLANDO OLIVARES Y LAS REPRESAS.doc</t>
  </si>
  <si>
    <t>C:\Users\franc\OneDrive\Documentos\MALENTIN KARIME\BANCO ESTADO\2012 DEPTO ESCRITURAS fata\NOTARIA 2009\CARLOS BUGUEÑÑ\acta2 .directorio.agricola chañaral bajo norte sa nov 2006 - esc.doc</t>
  </si>
  <si>
    <t>C:\Users\franc\OneDrive\Documentos\MALENTIN KARIME\BANCO ESTADO\2012 DEPTO ESCRITURAS fata\NOTARIA 2009\CARLOS BUGUEÑÑ\ACTA SESION DIRECTORIO LIMARI TRADING.doc</t>
  </si>
  <si>
    <t>C:\Users\franc\OneDrive\Documentos\MALENTIN KARIME\BANCO ESTADO\2012 DEPTO ESCRITURAS fata\NOTARIA 2009\CARLOS BUGUEÑÑ\ACTA MALLORCA.doc</t>
  </si>
  <si>
    <t>C:\Users\franc\OneDrive\Documentos\MALENTIN KARIME\BANCO ESTADO\2012 DEPTO ESCRITURAS fata\NOTARIA 2009\CARLOS BUGUEÑÑ\Acta Junta Ext 2 agricola chañaral bajo norte sa nov 2006 - esc.doc</t>
  </si>
  <si>
    <t>C:\Users\franc\OneDrive\Documentos\MALENTIN KARIME\BANCO ESTADO\2012 DEPTO ESCRITURAS fata\NOTARIA 2009\CARLOS BUGUEÑÑ\ACTA AVESTRUCES.doc</t>
  </si>
  <si>
    <t>C:\Users\franc\OneDrive\Documentos\MALENTIN KARIME\BANCO ESTADO\2012 DEPTO ESCRITURAS fata\NOTARIA 2009\CARLOS BUGUEÑÑ\ACLARACION CERRO CAMPANARIO.doc</t>
  </si>
  <si>
    <t>C:\Users\franc\OneDrive\Documentos\MALENTIN KARIME\BANCO ESTADO\2012 DEPTO ESCRITURAS fata\NOTARIA 2009\CAPEL\REMIGIO CASTRO.doc</t>
  </si>
  <si>
    <t>C:\Users\franc\OneDrive\Documentos\MALENTIN KARIME\BANCO ESTADO\2012 DEPTO ESCRITURAS fata\NOTARIA 2009\CAPEL\LUZMENIA CORTES (VENTA).doc</t>
  </si>
  <si>
    <t>C:\Users\franc\OneDrive\Documentos\MALENTIN KARIME\BANCO ESTADO\2012 DEPTO ESCRITURAS fata\NOTARIA 2009\CAPEL\LUZMENIA CORTES (VENTA  2).doc</t>
  </si>
  <si>
    <t>C:\Users\franc\OneDrive\Documentos\MALENTIN KARIME\BANCO ESTADO\2012 DEPTO ESCRITURAS fata\NOTARIA 2009\CAPEL\LUZMENIA CORTES (CARTA).doc</t>
  </si>
  <si>
    <t>C:\Users\franc\OneDrive\Documentos\MALENTIN KARIME\BANCO ESTADO\2012 DEPTO ESCRITURAS fata\NOTARIA 2009\CAPEL\JOSE ADAROS.doc</t>
  </si>
  <si>
    <t>C:\Users\franc\OneDrive\Documentos\MALENTIN KARIME\BANCO ESTADO\2012 DEPTO ESCRITURAS fata\NOTARIA 2009\CAPEL\JORGE GUTIERREZ.doc</t>
  </si>
  <si>
    <t>C:\Users\franc\OneDrive\Documentos\MALENTIN KARIME\BANCO ESTADO\2012 DEPTO ESCRITURAS fata\NOTARIA 2009\CAPEL\HUMBERTO AGUIRRE CHARLIN.doc</t>
  </si>
  <si>
    <t>C:\Users\franc\OneDrive\Documentos\MALENTIN KARIME\BANCO ESTADO\2012 DEPTO ESCRITURAS fata\NOTARIA 2009\CAPEL\GLORIA JIMENEZ (VENTA).doc</t>
  </si>
  <si>
    <t>C:\Users\franc\OneDrive\Documentos\MALENTIN KARIME\BANCO ESTADO\2012 DEPTO ESCRITURAS fata\NOTARIA 2009\CAPEL\GLORIA JIMENEZ (CARTA).doc</t>
  </si>
  <si>
    <t>C:\Users\franc\OneDrive\Documentos\MALENTIN KARIME\BANCO ESTADO\2012 DEPTO ESCRITURAS fata\NOTARIA 2009\CAPEL\DOMINGO CHELEN.doc</t>
  </si>
  <si>
    <t>C:\Users\franc\OneDrive\Documentos\MALENTIN KARIME\BANCO ESTADO\2012 DEPTO ESCRITURAS fata\NOTARIA 2009\CAPEL\Chelen_Araya,_Domingo_-__CARTA[1].doc</t>
  </si>
  <si>
    <t>C:\Users\franc\OneDrive\Documentos\MALENTIN KARIME\BANCO ESTADO\2012 DEPTO ESCRITURAS fata\NOTARIA 2009\CAPEL\Aguirre Charlín, CARTA.doc</t>
  </si>
  <si>
    <t>C:\Users\franc\OneDrive\Documentos\MALENTIN KARIME\BANCO ESTADO\2012 DEPTO ESCRITURAS fata\NOTARIA 2009\CANTA RANA\transformación a SA ext.doc</t>
  </si>
  <si>
    <t>C:\Users\franc\OneDrive\Documentos\MALENTIN KARIME\BANCO ESTADO\2012 DEPTO ESCRITURAS fata\NOTARIA 2009\CANTA RANA\MODIFICACION SOCIEAD LOS TILOS.doc</t>
  </si>
  <si>
    <t>C:\Users\franc\OneDrive\Documentos\MALENTIN KARIME\BANCO ESTADO\2012 DEPTO ESCRITURAS fata\NOTARIA 2009\CANTA RANA\Doc6.doc</t>
  </si>
  <si>
    <t>C:\Users\franc\OneDrive\Documentos\MALENTIN KARIME\BANCO ESTADO\2012 DEPTO ESCRITURAS fata\NOTARIA 2009\CANTA RANA\Doc5.doc</t>
  </si>
  <si>
    <t>C:\Users\franc\OneDrive\Documentos\MALENTIN KARIME\BANCO ESTADO\2012 DEPTO ESCRITURAS fata\NOTARIA 2009\CANTA RANA\Doc4.doc</t>
  </si>
  <si>
    <t>C:\Users\franc\OneDrive\Documentos\MALENTIN KARIME\BANCO ESTADO\2012 DEPTO ESCRITURAS fata\NOTARIA 2009\CANCELACION\ULISES ROBLES A INMB. COLOMBRES (CANCELACION PARCIAL).doc</t>
  </si>
  <si>
    <t>C:\Users\franc\OneDrive\Documentos\MALENTIN KARIME\BANCO ESTADO\2012 DEPTO ESCRITURAS fata\NOTARIA 2009\CANCELACION\ROSA LARA A .....doc</t>
  </si>
  <si>
    <t>C:\Users\franc\OneDrive\Documentos\MALENTIN KARIME\BANCO ESTADO\2012 DEPTO ESCRITURAS fata\NOTARIA 2009\CANCELACION\RENE VALUENZUELA.doc</t>
  </si>
  <si>
    <t>C:\Users\franc\OneDrive\Documentos\MALENTIN KARIME\BANCO ESTADO\2012 DEPTO ESCRITURAS fata\NOTARIA 2009\CANCELACION\MIGUEL TAPIA Y JORGE ARACENA A MANTENCION Y CONSTRUCCION.doc</t>
  </si>
  <si>
    <t>C:\Users\franc\OneDrive\Documentos\MALENTIN KARIME\BANCO ESTADO\2012 DEPTO ESCRITURAS fata\NOTARIA 2009\CANCELACION\MIGUEL TAPIA A SOC. EL RECREO.doc</t>
  </si>
  <si>
    <t>C:\Users\franc\OneDrive\Documentos\MALENTIN KARIME\BANCO ESTADO\2012 DEPTO ESCRITURAS fata\NOTARIA 2009\CANCELACION\LUIS BRUNA A MANUEL JIMENEZ.doc</t>
  </si>
  <si>
    <t>C:\Users\franc\OneDrive\Documentos\MALENTIN KARIME\BANCO ESTADO\2012 DEPTO ESCRITURAS fata\NOTARIA 2009\CANCELACION\JAIME VILLALON.doc</t>
  </si>
  <si>
    <t>C:\Users\franc\OneDrive\Documentos\MALENTIN KARIME\BANCO ESTADO\2012 DEPTO ESCRITURAS fata\NOTARIA 2009\CANCELACION\JAIME RIVERA MALUENDA A ANGELICA MALUENDA.doc</t>
  </si>
  <si>
    <t>C:\Users\franc\OneDrive\Documentos\MALENTIN KARIME\BANCO ESTADO\2012 DEPTO ESCRITURAS fata\NOTARIA 2009\CANCELACION\GUSTAVO VERDUGO A MARIA ROJO.doc</t>
  </si>
  <si>
    <t>C:\Users\franc\OneDrive\Documentos\MALENTIN KARIME\BANCO ESTADO\2012 DEPTO ESCRITURAS fata\NOTARIA 2009\CANCELACION\GUILLERMO OSSANDON A DANIEL ZAPATA.doc</t>
  </si>
  <si>
    <t>C:\Users\franc\OneDrive\Documentos\MALENTIN KARIME\BANCO ESTADO\2012 DEPTO ESCRITURAS fata\NOTARIA 2009\CANCELACION\FELIX CORTES A CESAR FLORES.doc</t>
  </si>
  <si>
    <t>C:\Users\franc\OneDrive\Documentos\MALENTIN KARIME\BANCO ESTADO\2012 DEPTO ESCRITURAS fata\NOTARIA 2009\CANCELACION\FELIX CORTES A CESAR FLORES letra f.doc</t>
  </si>
  <si>
    <t>C:\Users\franc\OneDrive\Documentos\MALENTIN KARIME\BANCO ESTADO\2012 DEPTO ESCRITURAS fata\NOTARIA 2009\CANCELACION\FELIX CORTES A CESAR FLORES (MARZO 2008).doc</t>
  </si>
  <si>
    <t>C:\Users\franc\OneDrive\Documentos\MALENTIN KARIME\BANCO ESTADO\2012 DEPTO ESCRITURAS fata\NOTARIA 2009\CANCELACION\FELIX CORTES A CESAR FLORES (ABRIL 2008).doc</t>
  </si>
  <si>
    <t>C:\Users\franc\OneDrive\Documentos\MALENTIN KARIME\BANCO ESTADO\2012 DEPTO ESCRITURAS fata\NOTARIA 2009\CANCELACION\DANIELA TRONCOSO Y OT. A FCO. GOMEZ.doc</t>
  </si>
  <si>
    <t>C:\Users\franc\OneDrive\Documentos\MALENTIN KARIME\BANCO ESTADO\2012 DEPTO ESCRITURAS fata\NOTARIA 2009\CANCELACION\CIA. MRA. CANDELARIA A MARIO RIVERA.doc</t>
  </si>
  <si>
    <t>C:\Users\franc\OneDrive\Documentos\MALENTIN KARIME\BANCO ESTADO\2012 DEPTO ESCRITURAS fata\NOTARIA 2009\CANCELACION\CARLOS ALCAYAGA A GALVARINO VIORKLUMDS.doc</t>
  </si>
  <si>
    <t>C:\Users\franc\OneDrive\Documentos\MALENTIN KARIME\BANCO ESTADO\2012 DEPTO ESCRITURAS fata\NOTARIA 2009\CANCELACION\ARSENIO RODRIGUEZ A GRIMALDINA ROJAS.doc</t>
  </si>
  <si>
    <t>C:\Users\franc\OneDrive\Documentos\MALENTIN KARIME\BANCO ESTADO\2012 DEPTO ESCRITURAS fata\NOTARIA 2009\BANCO SANTANDER\RATIFICACION\SOC. LA ITALIANA A BCO. SANTANDER.doc</t>
  </si>
  <si>
    <t>C:\Users\franc\OneDrive\Documentos\MALENTIN KARIME\BANCO ESTADO\2012 DEPTO ESCRITURAS fata\NOTARIA 2009\BANCO SANTANDER\RATIFICACION\SOC. LA ITALIANA A BCO. SANTANDER (prenda).doc</t>
  </si>
  <si>
    <t>C:\Users\franc\OneDrive\Documentos\MALENTIN KARIME\BANCO ESTADO\2012 DEPTO ESCRITURAS fata\NOTARIA 2009\BANCO SANTANDER\RATIFICACION\SOC. LA ITALIANA A BCO SANTANDER (HIPOTECA).doc</t>
  </si>
  <si>
    <t>C:\Users\franc\OneDrive\Documentos\MALENTIN KARIME\BANCO ESTADO\2012 DEPTO ESCRITURAS fata\NOTARIA 2009\BANCO SANTANDER\PRENDAS\FRANCO PEREZ ZAMBRA EXTRACTO.doc</t>
  </si>
  <si>
    <t>C:\Users\franc\OneDrive\Documentos\MALENTIN KARIME\BANCO ESTADO\2012 DEPTO ESCRITURAS fata\NOTARIA 2009\BANCO SANTANDER\MANDATOS\AGRICOLA CHAÑARAL BAJO.doc</t>
  </si>
  <si>
    <t>C:\Users\franc\OneDrive\Documentos\MALENTIN KARIME\BANCO ESTADO\2012 DEPTO ESCRITURAS fata\NOTARIA 2009\BANCO SANTANDER\HIPOTECAS\MARCOS ARANDA.doc</t>
  </si>
  <si>
    <t>C:\Users\franc\OneDrive\Documentos\MALENTIN KARIME\BANCO ESTADO\2012 DEPTO ESCRITURAS fata\NOTARIA 2009\BANCO SANTANDER\HIPOTECAS\GABRIELA RIVAS.doc</t>
  </si>
  <si>
    <t>C:\Users\franc\OneDrive\Documentos\MALENTIN KARIME\BANCO ESTADO\2012 DEPTO ESCRITURAS fata\NOTARIA 2009\BANCO SANTANDER\HIPOTECAS\COOPERATIVA ELECTRICA LIMARI.doc</t>
  </si>
  <si>
    <t>C:\Users\franc\OneDrive\Documentos\MALENTIN KARIME\BANCO ESTADO\2012 DEPTO ESCRITURAS fata\NOTARIA 2009\BANCO SANTANDER\COMPLEMENTACION\LUIS RAFAEL PROHENS VILLALON.doc</t>
  </si>
  <si>
    <t>C:\Users\franc\OneDrive\Documentos\MALENTIN KARIME\BANCO ESTADO\2012 DEPTO ESCRITURAS fata\NOTARIA 2009\BANCO SANTANDER\COMPLEMENTACION\LUIS RAFAEL PROHENS VILLALON (NELSON MAURICIO).doc</t>
  </si>
  <si>
    <t>C:\Users\franc\OneDrive\Documentos\MALENTIN KARIME\BANCO ESTADO\2012 DEPTO ESCRITURAS fata\NOTARIA 2009\BANCO SANTANDER\BANCO ESTADO (CIBERGESTION)\WILSON ACOSTA CONTRERAS.doc</t>
  </si>
  <si>
    <t>C:\Users\franc\OneDrive\Documentos\MALENTIN KARIME\BANCO ESTADO\2012 DEPTO ESCRITURAS fata\NOTARIA 2009\BANCO SANTANDER\BANCO ESTADO (CIBERGESTION)\VITAL LOPEZ ROJO.doc</t>
  </si>
  <si>
    <t>C:\Users\franc\OneDrive\Documentos\MALENTIN KARIME\BANCO ESTADO\2012 DEPTO ESCRITURAS fata\NOTARIA 2009\BANCO SANTANDER\BANCO ESTADO (CIBERGESTION)\SIMON GUTIERREZ.doc</t>
  </si>
  <si>
    <t>C:\Users\franc\OneDrive\Documentos\MALENTIN KARIME\BANCO ESTADO\2012 DEPTO ESCRITURAS fata\NOTARIA 2009\BANCO SANTANDER\BANCO ESTADO (CIBERGESTION)\SILVIA ARDILES.doc</t>
  </si>
  <si>
    <t>C:\Users\franc\OneDrive\Documentos\MALENTIN KARIME\BANCO ESTADO\2012 DEPTO ESCRITURAS fata\NOTARIA 2009\BANCO SANTANDER\BANCO ESTADO (CIBERGESTION)\SERGIO CORTES (TRANSACCION).doc</t>
  </si>
  <si>
    <t>C:\Users\franc\OneDrive\Documentos\MALENTIN KARIME\BANCO ESTADO\2012 DEPTO ESCRITURAS fata\NOTARIA 2009\BANCO SANTANDER\BANCO ESTADO (CIBERGESTION)\SERGIO CANIHUANTE  PET.doc</t>
  </si>
  <si>
    <t>C:\Users\franc\OneDrive\Documentos\MALENTIN KARIME\BANCO ESTADO\2012 DEPTO ESCRITURAS fata\NOTARIA 2009\BANCO SANTANDER\BANCO ESTADO (CIBERGESTION)\SEGISMUNDO PIZARRO.doc</t>
  </si>
  <si>
    <t>C:\Users\franc\OneDrive\Documentos\MALENTIN KARIME\BANCO ESTADO\2012 DEPTO ESCRITURAS fata\NOTARIA 2009\BANCO SANTANDER\BANCO ESTADO (CIBERGESTION)\SANDRA COLLAO LAFFERTE.doc</t>
  </si>
  <si>
    <t>C:\Users\franc\OneDrive\Documentos\MALENTIN KARIME\BANCO ESTADO\2012 DEPTO ESCRITURAS fata\NOTARIA 2009\BANCO SANTANDER\BANCO ESTADO (CIBERGESTION)\RICARDO JIMENEZ.doc</t>
  </si>
  <si>
    <t>C:\Users\franc\OneDrive\Documentos\MALENTIN KARIME\BANCO ESTADO\2012 DEPTO ESCRITURAS fata\NOTARIA 2009\BANCO SANTANDER\BANCO ESTADO (CIBERGESTION)\RICARDO FIGUEROA.doc</t>
  </si>
  <si>
    <t>C:\Users\franc\OneDrive\Documentos\MALENTIN KARIME\BANCO ESTADO\2012 DEPTO ESCRITURAS fata\NOTARIA 2009\BANCO SANTANDER\BANCO ESTADO (CIBERGESTION)\REGULO ALBANEZ.doc</t>
  </si>
  <si>
    <t>C:\Users\franc\OneDrive\Documentos\MALENTIN KARIME\BANCO ESTADO\2012 DEPTO ESCRITURAS fata\NOTARIA 2009\BANCO SANTANDER\BANCO ESTADO (CIBERGESTION)\RAMON MEDALLA.doc</t>
  </si>
  <si>
    <t>C:\Users\franc\OneDrive\Documentos\MALENTIN KARIME\BANCO ESTADO\2012 DEPTO ESCRITURAS fata\NOTARIA 2009\BANCO SANTANDER\BANCO ESTADO (CIBERGESTION)\RAMON BARRIA.doc</t>
  </si>
  <si>
    <t>C:\Users\franc\OneDrive\Documentos\MALENTIN KARIME\BANCO ESTADO\2012 DEPTO ESCRITURAS fata\NOTARIA 2009\BANCO SANTANDER\BANCO ESTADO (CIBERGESTION)\PEDRO VIVANCO.doc</t>
  </si>
  <si>
    <t>C:\Users\franc\OneDrive\Documentos\MALENTIN KARIME\BANCO ESTADO\2012 DEPTO ESCRITURAS fata\NOTARIA 2009\BANCO SANTANDER\BANCO ESTADO (CIBERGESTION)\PEDRO PIÑONES.doc</t>
  </si>
  <si>
    <t>C:\Users\franc\OneDrive\Documentos\MALENTIN KARIME\BANCO ESTADO\2012 DEPTO ESCRITURAS fata\NOTARIA 2009\BANCO SANTANDER\BANCO ESTADO (CIBERGESTION)\PEDRO CONCHA SALFATE.doc</t>
  </si>
  <si>
    <t>C:\Users\franc\OneDrive\Documentos\MALENTIN KARIME\BANCO ESTADO\2012 DEPTO ESCRITURAS fata\NOTARIA 2009\BANCO SANTANDER\BANCO ESTADO (CIBERGESTION)\PEDRO BRITO.doc</t>
  </si>
  <si>
    <t>C:\Users\franc\OneDrive\Documentos\MALENTIN KARIME\BANCO ESTADO\2012 DEPTO ESCRITURAS fata\NOTARIA 2009\BANCO SANTANDER\BANCO ESTADO (CIBERGESTION)\PEDRO ALFARO.doc</t>
  </si>
  <si>
    <t>C:\Users\franc\OneDrive\Documentos\MALENTIN KARIME\BANCO ESTADO\2012 DEPTO ESCRITURAS fata\NOTARIA 2009\BANCO SANTANDER\BANCO ESTADO (CIBERGESTION)\PATRICIO ASTUDILLO.doc</t>
  </si>
  <si>
    <t>C:\Users\franc\OneDrive\Documentos\MALENTIN KARIME\BANCO ESTADO\2012 DEPTO ESCRITURAS fata\NOTARIA 2009\BANCO SANTANDER\BANCO ESTADO (CIBERGESTION)\PAOLA CONTRERAS.doc</t>
  </si>
  <si>
    <t>C:\Users\franc\OneDrive\Documentos\MALENTIN KARIME\BANCO ESTADO\2012 DEPTO ESCRITURAS fata\NOTARIA 2009\BANCO SANTANDER\BANCO ESTADO (CIBERGESTION)\PAMELA PASTEN.doc</t>
  </si>
  <si>
    <t>C:\Users\franc\OneDrive\Documentos\MALENTIN KARIME\BANCO ESTADO\2012 DEPTO ESCRITURAS fata\NOTARIA 2009\BANCO SANTANDER\BANCO ESTADO (CIBERGESTION)\PAMELA CONTRERAS.doc</t>
  </si>
  <si>
    <t>C:\Users\franc\OneDrive\Documentos\MALENTIN KARIME\BANCO ESTADO\2012 DEPTO ESCRITURAS fata\NOTARIA 2009\BANCO SANTANDER\BANCO ESTADO (CIBERGESTION)\OMAR ROJAS ROJAS.doc</t>
  </si>
  <si>
    <t>C:\Users\franc\OneDrive\Documentos\MALENTIN KARIME\BANCO ESTADO\2012 DEPTO ESCRITURAS fata\NOTARIA 2009\BANCO SANTANDER\BANCO ESTADO (CIBERGESTION)\OCTAVIANO  NAVEA PET.doc</t>
  </si>
  <si>
    <t>C:\Users\franc\OneDrive\Documentos\MALENTIN KARIME\BANCO ESTADO\2012 DEPTO ESCRITURAS fata\NOTARIA 2009\BANCO SANTANDER\BANCO ESTADO (CIBERGESTION)\NORA VALDES.doc</t>
  </si>
  <si>
    <t>C:\Users\franc\OneDrive\Documentos\MALENTIN KARIME\BANCO ESTADO\2012 DEPTO ESCRITURAS fata\NOTARIA 2009\BANCO SANTANDER\BANCO ESTADO (CIBERGESTION)\NELSON CUELLAR.doc</t>
  </si>
  <si>
    <t>C:\Users\franc\OneDrive\Documentos\MALENTIN KARIME\BANCO ESTADO\2012 DEPTO ESCRITURAS fata\NOTARIA 2009\BANCO SANTANDER\BANCO ESTADO (CIBERGESTION)\MIUGEL OLIVARES.doc</t>
  </si>
  <si>
    <t>C:\Users\franc\OneDrive\Documentos\MALENTIN KARIME\BANCO ESTADO\2012 DEPTO ESCRITURAS fata\NOTARIA 2009\BANCO SANTANDER\BANCO ESTADO (CIBERGESTION)\MIGUEL MARTINEZ.doc</t>
  </si>
  <si>
    <t>C:\Users\franc\OneDrive\Documentos\MALENTIN KARIME\BANCO ESTADO\2012 DEPTO ESCRITURAS fata\NOTARIA 2009\BANCO SANTANDER\BANCO ESTADO (CIBERGESTION)\MIGUEL MARTINEZ final.doc</t>
  </si>
  <si>
    <t>C:\Users\franc\OneDrive\Documentos\MALENTIN KARIME\BANCO ESTADO\2012 DEPTO ESCRITURAS fata\NOTARIA 2009\BANCO SANTANDER\BANCO ESTADO (CIBERGESTION)\MIGUEL BORDONES.doc</t>
  </si>
  <si>
    <t>C:\Users\franc\OneDrive\Documentos\MALENTIN KARIME\BANCO ESTADO\2012 DEPTO ESCRITURAS fata\NOTARIA 2009\BANCO SANTANDER\BANCO ESTADO (CIBERGESTION)\MARTA FERNANDEZ.doc</t>
  </si>
  <si>
    <t>C:\Users\franc\OneDrive\Documentos\MALENTIN KARIME\BANCO ESTADO\2012 DEPTO ESCRITURAS fata\NOTARIA 2009\BANCO SANTANDER\BANCO ESTADO (CIBERGESTION)\MARITZA CASTILLO.doc</t>
  </si>
  <si>
    <t>C:\Users\franc\OneDrive\Documentos\MALENTIN KARIME\BANCO ESTADO\2012 DEPTO ESCRITURAS fata\NOTARIA 2009\BANCO SANTANDER\BANCO ESTADO (CIBERGESTION)\MARITZA ALFARO.doc</t>
  </si>
  <si>
    <t>C:\Users\franc\OneDrive\Documentos\MALENTIN KARIME\BANCO ESTADO\2012 DEPTO ESCRITURAS fata\NOTARIA 2009\BANCO SANTANDER\BANCO ESTADO (CIBERGESTION)\MARIO GALLARDO.doc</t>
  </si>
  <si>
    <t>C:\Users\franc\OneDrive\Documentos\MALENTIN KARIME\BANCO ESTADO\2012 DEPTO ESCRITURAS fata\NOTARIA 2009\BANCO SANTANDER\BANCO ESTADO (CIBERGESTION)\MARINA PEÑA.doc</t>
  </si>
  <si>
    <t>C:\Users\franc\OneDrive\Documentos\MALENTIN KARIME\BANCO ESTADO\2012 DEPTO ESCRITURAS fata\NOTARIA 2009\BANCO SANTANDER\BANCO ESTADO (CIBERGESTION)\MARIA PEREZ.doc</t>
  </si>
  <si>
    <t>C:\Users\franc\OneDrive\Documentos\MALENTIN KARIME\BANCO ESTADO\2012 DEPTO ESCRITURAS fata\NOTARIA 2009\BANCO SANTANDER\BANCO ESTADO (CIBERGESTION)\MARIA JARA PEREZ.doc</t>
  </si>
  <si>
    <t>C:\Users\franc\OneDrive\Documentos\MALENTIN KARIME\BANCO ESTADO\2012 DEPTO ESCRITURAS fata\NOTARIA 2009\BANCO SANTANDER\BANCO ESTADO (CIBERGESTION)\MARIA CORTES PET.doc</t>
  </si>
  <si>
    <t>C:\Users\franc\OneDrive\Documentos\MALENTIN KARIME\BANCO ESTADO\2012 DEPTO ESCRITURAS fata\NOTARIA 2009\BANCO SANTANDER\BANCO ESTADO (CIBERGESTION)\MARIA ADAOS.doc</t>
  </si>
  <si>
    <t>C:\Users\franc\OneDrive\Documentos\MALENTIN KARIME\BANCO ESTADO\2012 DEPTO ESCRITURAS fata\NOTARIA 2009\BANCO SANTANDER\BANCO ESTADO (CIBERGESTION)\MARCO ALFARO.doc</t>
  </si>
  <si>
    <t>C:\Users\franc\OneDrive\Documentos\MALENTIN KARIME\BANCO ESTADO\2012 DEPTO ESCRITURAS fata\NOTARIA 2009\BANCO SANTANDER\BANCO ESTADO (CIBERGESTION)\MANUEL CAIMANQUE PET.doc</t>
  </si>
  <si>
    <t>C:\Users\franc\OneDrive\Documentos\MALENTIN KARIME\BANCO ESTADO\2012 DEPTO ESCRITURAS fata\NOTARIA 2009\BANCO SANTANDER\BANCO ESTADO (CIBERGESTION)\MAGALY ZEPEDA PET.doc</t>
  </si>
  <si>
    <t>C:\Users\franc\OneDrive\Documentos\MALENTIN KARIME\BANCO ESTADO\2012 DEPTO ESCRITURAS fata\NOTARIA 2009\BANCO SANTANDER\BANCO ESTADO (CIBERGESTION)\LUIS TABILO MONTENEGRO.doc</t>
  </si>
  <si>
    <t>C:\Users\franc\OneDrive\Documentos\MALENTIN KARIME\BANCO ESTADO\2012 DEPTO ESCRITURAS fata\NOTARIA 2009\BANCO SANTANDER\BANCO ESTADO (CIBERGESTION)\LUIS OLIVARESPET.doc</t>
  </si>
  <si>
    <t>C:\Users\franc\OneDrive\Documentos\MALENTIN KARIME\BANCO ESTADO\2012 DEPTO ESCRITURAS fata\NOTARIA 2009\BANCO SANTANDER\BANCO ESTADO (CIBERGESTION)\LISTADO FIRMAS.doc</t>
  </si>
  <si>
    <t>C:\Users\franc\OneDrive\Documentos\MALENTIN KARIME\BANCO ESTADO\2012 DEPTO ESCRITURAS fata\NOTARIA 2009\BANCO SANTANDER\BANCO ESTADO (CIBERGESTION)\LETICIA AGUILERA.doc</t>
  </si>
  <si>
    <t>C:\Users\franc\OneDrive\Documentos\MALENTIN KARIME\BANCO ESTADO\2012 DEPTO ESCRITURAS fata\NOTARIA 2009\BANCO SANTANDER\BANCO ESTADO (CIBERGESTION)\JULIO CAMPUSANO.doc</t>
  </si>
  <si>
    <t>C:\Users\franc\OneDrive\Documentos\MALENTIN KARIME\BANCO ESTADO\2012 DEPTO ESCRITURAS fata\NOTARIA 2009\BANCO SANTANDER\BANCO ESTADO (CIBERGESTION)\JUAN VASQUEZ (TRANSACCION).doc</t>
  </si>
  <si>
    <t>C:\Users\franc\OneDrive\Documentos\MALENTIN KARIME\BANCO ESTADO\2012 DEPTO ESCRITURAS fata\NOTARIA 2009\BANCO SANTANDER\BANCO ESTADO (CIBERGESTION)\JUAN BARRERA.doc</t>
  </si>
  <si>
    <t>C:\Users\franc\OneDrive\Documentos\MALENTIN KARIME\BANCO ESTADO\2012 DEPTO ESCRITURAS fata\NOTARIA 2009\BANCO SANTANDER\BANCO ESTADO (CIBERGESTION)\JUAN ALFAROPET.doc</t>
  </si>
  <si>
    <t>C:\Users\franc\OneDrive\Documentos\MALENTIN KARIME\BANCO ESTADO\2012 DEPTO ESCRITURAS fata\NOTARIA 2009\BANCO SANTANDER\BANCO ESTADO (CIBERGESTION)\JOSE VIDELA GALLEGOS.doc</t>
  </si>
  <si>
    <t>C:\Users\franc\OneDrive\Documentos\MALENTIN KARIME\BANCO ESTADO\2012 DEPTO ESCRITURAS fata\NOTARIA 2009\BANCO SANTANDER\BANCO ESTADO (CIBERGESTION)\JOSE GALLARDO.doc</t>
  </si>
  <si>
    <t>C:\Users\franc\OneDrive\Documentos\MALENTIN KARIME\BANCO ESTADO\2012 DEPTO ESCRITURAS fata\NOTARIA 2009\BANCO SANTANDER\BANCO ESTADO (CIBERGESTION)\JOSE ARAYA HERRERA.doc</t>
  </si>
  <si>
    <t>C:\Users\franc\OneDrive\Documentos\MALENTIN KARIME\BANCO ESTADO\2012 DEPTO ESCRITURAS fata\NOTARIA 2009\BANCO SANTANDER\BANCO ESTADO (CIBERGESTION)\JOSE ANDRADE.doc</t>
  </si>
  <si>
    <t>C:\Users\franc\OneDrive\Documentos\MALENTIN KARIME\BANCO ESTADO\2012 DEPTO ESCRITURAS fata\NOTARIA 2009\BANCO SANTANDER\BANCO ESTADO (CIBERGESTION)\JORGE ROJAS PET.doc</t>
  </si>
  <si>
    <t>C:\Users\franc\OneDrive\Documentos\MALENTIN KARIME\BANCO ESTADO\2012 DEPTO ESCRITURAS fata\NOTARIA 2009\BANCO SANTANDER\BANCO ESTADO (CIBERGESTION)\JORGE CASTRO CASTRO.doc</t>
  </si>
  <si>
    <t>C:\Users\franc\OneDrive\Documentos\MALENTIN KARIME\BANCO ESTADO\2012 DEPTO ESCRITURAS fata\NOTARIA 2009\BANCO SANTANDER\BANCO ESTADO (CIBERGESTION)\JORGE AVILA.doc</t>
  </si>
  <si>
    <t>C:\Users\franc\OneDrive\Documentos\MALENTIN KARIME\BANCO ESTADO\2012 DEPTO ESCRITURAS fata\NOTARIA 2009\BANCO SANTANDER\BANCO ESTADO (CIBERGESTION)\JANET MICHEA PET.doc</t>
  </si>
  <si>
    <t>C:\Users\franc\OneDrive\Documentos\MALENTIN KARIME\BANCO ESTADO\2012 DEPTO ESCRITURAS fata\NOTARIA 2009\BANCO SANTANDER\BANCO ESTADO (CIBERGESTION)\ISMAEL ARAYA (JULIO).doc</t>
  </si>
  <si>
    <t>C:\Users\franc\OneDrive\Documentos\MALENTIN KARIME\BANCO ESTADO\2012 DEPTO ESCRITURAS fata\NOTARIA 2009\BANCO SANTANDER\BANCO ESTADO (CIBERGESTION)\IRMA MALUENDA CASTRO.doc</t>
  </si>
  <si>
    <t>C:\Users\franc\OneDrive\Documentos\MALENTIN KARIME\BANCO ESTADO\2012 DEPTO ESCRITURAS fata\NOTARIA 2009\BANCO SANTANDER\BANCO ESTADO (CIBERGESTION)\IGNACIA LEIVA.doc</t>
  </si>
  <si>
    <t>C:\Users\franc\OneDrive\Documentos\MALENTIN KARIME\BANCO ESTADO\2012 DEPTO ESCRITURAS fata\NOTARIA 2009\BANCO SANTANDER\BANCO ESTADO (CIBERGESTION)\IGNACIA LEIVA PET.doc</t>
  </si>
  <si>
    <t>C:\Users\franc\OneDrive\Documentos\MALENTIN KARIME\BANCO ESTADO\2012 DEPTO ESCRITURAS fata\NOTARIA 2009\BANCO SANTANDER\BANCO ESTADO (CIBERGESTION)\HOMERO TAPIA ARAYA.doc</t>
  </si>
  <si>
    <t>C:\Users\franc\OneDrive\Documentos\MALENTIN KARIME\BANCO ESTADO\2012 DEPTO ESCRITURAS fata\NOTARIA 2009\BANCO SANTANDER\BANCO ESTADO (CIBERGESTION)\HECTOR SIERRA LOPEZ.doc</t>
  </si>
  <si>
    <t>C:\Users\franc\OneDrive\Documentos\MALENTIN KARIME\BANCO ESTADO\2012 DEPTO ESCRITURAS fata\NOTARIA 2009\BANCO SANTANDER\BANCO ESTADO (CIBERGESTION)\HAROLDO GALLEGUILLOS.doc</t>
  </si>
  <si>
    <t>C:\Users\franc\OneDrive\Documentos\MALENTIN KARIME\BANCO ESTADO\2012 DEPTO ESCRITURAS fata\NOTARIA 2009\BANCO SANTANDER\BANCO ESTADO (CIBERGESTION)\GUILLERMO FERNANDEZ.doc</t>
  </si>
  <si>
    <t>C:\Users\franc\OneDrive\Documentos\MALENTIN KARIME\BANCO ESTADO\2012 DEPTO ESCRITURAS fata\NOTARIA 2009\BANCO SANTANDER\BANCO ESTADO (CIBERGESTION)\GUILLERMO CARVAJAL.doc</t>
  </si>
  <si>
    <t>C:\Users\franc\OneDrive\Documentos\MALENTIN KARIME\BANCO ESTADO\2012 DEPTO ESCRITURAS fata\NOTARIA 2009\BANCO SANTANDER\BANCO ESTADO (CIBERGESTION)\GRACIELA OSSANDON.doc</t>
  </si>
  <si>
    <t>C:\Users\franc\OneDrive\Documentos\MALENTIN KARIME\BANCO ESTADO\2012 DEPTO ESCRITURAS fata\NOTARIA 2009\BANCO SANTANDER\BANCO ESTADO (CIBERGESTION)\GABRIEL SARMIENTO.doc</t>
  </si>
  <si>
    <t>C:\Users\franc\OneDrive\Documentos\MALENTIN KARIME\BANCO ESTADO\2012 DEPTO ESCRITURAS fata\NOTARIA 2009\BANCO SANTANDER\BANCO ESTADO (CIBERGESTION)\GABRIEL SANTANDER.doc</t>
  </si>
  <si>
    <t>C:\Users\franc\OneDrive\Documentos\MALENTIN KARIME\BANCO ESTADO\2012 DEPTO ESCRITURAS fata\NOTARIA 2009\BANCO SANTANDER\BANCO ESTADO (CIBERGESTION)\FERNANDO PIZARRO ROJAS.doc</t>
  </si>
  <si>
    <t>C:\Users\franc\OneDrive\Documentos\MALENTIN KARIME\BANCO ESTADO\2012 DEPTO ESCRITURAS fata\NOTARIA 2009\BANCO SANTANDER\BANCO ESTADO (CIBERGESTION)\FERNANDO ALVARADO PET.doc</t>
  </si>
  <si>
    <t>C:\Users\franc\OneDrive\Documentos\MALENTIN KARIME\BANCO ESTADO\2012 DEPTO ESCRITURAS fata\NOTARIA 2009\BANCO SANTANDER\BANCO ESTADO (CIBERGESTION)\FELIX TAPIA.doc</t>
  </si>
  <si>
    <t>C:\Users\franc\OneDrive\Documentos\MALENTIN KARIME\BANCO ESTADO\2012 DEPTO ESCRITURAS fata\NOTARIA 2009\BANCO SANTANDER\BANCO ESTADO (CIBERGESTION)\EVELYN RIVERA  PET.doc</t>
  </si>
  <si>
    <t>C:\Users\franc\OneDrive\Documentos\MALENTIN KARIME\BANCO ESTADO\2012 DEPTO ESCRITURAS fata\NOTARIA 2009\BANCO SANTANDER\BANCO ESTADO (CIBERGESTION)\EUGENIA GARCIA  PET.doc</t>
  </si>
  <si>
    <t>C:\Users\franc\OneDrive\Documentos\MALENTIN KARIME\BANCO ESTADO\2012 DEPTO ESCRITURAS fata\NOTARIA 2009\BANCO SANTANDER\BANCO ESTADO (CIBERGESTION)\ERICA TELLO.doc</t>
  </si>
  <si>
    <t>C:\Users\franc\OneDrive\Documentos\MALENTIN KARIME\BANCO ESTADO\2012 DEPTO ESCRITURAS fata\NOTARIA 2009\BANCO SANTANDER\BANCO ESTADO (CIBERGESTION)\ENY RODRIGUEZ.doc</t>
  </si>
  <si>
    <t>C:\Users\franc\OneDrive\Documentos\MALENTIN KARIME\BANCO ESTADO\2012 DEPTO ESCRITURAS fata\NOTARIA 2009\BANCO SANTANDER\BANCO ESTADO (CIBERGESTION)\ELSA CORTES PIZARRO  PET.doc</t>
  </si>
  <si>
    <t>C:\Users\franc\OneDrive\Documentos\MALENTIN KARIME\BANCO ESTADO\2012 DEPTO ESCRITURAS fata\NOTARIA 2009\BANCO SANTANDER\BANCO ESTADO (CIBERGESTION)\ELIZABETH GALVEZÇ.doc</t>
  </si>
  <si>
    <t>C:\Users\franc\OneDrive\Documentos\MALENTIN KARIME\BANCO ESTADO\2012 DEPTO ESCRITURAS fata\NOTARIA 2009\BANCO SANTANDER\BANCO ESTADO (CIBERGESTION)\EDITH TOLEDO  PET.doc</t>
  </si>
  <si>
    <t>C:\Users\franc\OneDrive\Documentos\MALENTIN KARIME\BANCO ESTADO\2012 DEPTO ESCRITURAS fata\NOTARIA 2009\BANCO SANTANDER\BANCO ESTADO (CIBERGESTION)\Doc1.doc</t>
  </si>
  <si>
    <t>C:\Users\franc\OneDrive\Documentos\MALENTIN KARIME\BANCO ESTADO\2012 DEPTO ESCRITURAS fata\NOTARIA 2009\BANCO SANTANDER\BANCO ESTADO (CIBERGESTION)\CLAUDIO CASTILLO.doc</t>
  </si>
  <si>
    <t>C:\Users\franc\OneDrive\Documentos\MALENTIN KARIME\BANCO ESTADO\2012 DEPTO ESCRITURAS fata\NOTARIA 2009\BANCO SANTANDER\BANCO ESTADO (CIBERGESTION)\Certificado de Ley 20130.doc</t>
  </si>
  <si>
    <t>C:\Users\franc\OneDrive\Documentos\MALENTIN KARIME\BANCO ESTADO\2012 DEPTO ESCRITURAS fata\NOTARIA 2009\BANCO SANTANDER\BANCO ESTADO (CIBERGESTION)\CELIA DAVID GRANADO.doc</t>
  </si>
  <si>
    <t>C:\Users\franc\OneDrive\Documentos\MALENTIN KARIME\BANCO ESTADO\2012 DEPTO ESCRITURAS fata\NOTARIA 2009\BANCO SANTANDER\BANCO ESTADO (CIBERGESTION)\CECILIA AGUIRRE.doc</t>
  </si>
  <si>
    <t>C:\Users\franc\OneDrive\Documentos\MALENTIN KARIME\BANCO ESTADO\2012 DEPTO ESCRITURAS fata\NOTARIA 2009\BANCO SANTANDER\BANCO ESTADO (CIBERGESTION)\BERNARDA GUZMAN  PET.doc</t>
  </si>
  <si>
    <t>C:\Users\franc\OneDrive\Documentos\MALENTIN KARIME\BANCO ESTADO\2012 DEPTO ESCRITURAS fata\NOTARIA 2009\BANCO SANTANDER\BANCO ESTADO (CIBERGESTION)\ARACELY ASTORGA PET.doc</t>
  </si>
  <si>
    <t>C:\Users\franc\OneDrive\Documentos\MALENTIN KARIME\BANCO ESTADO\2012 DEPTO ESCRITURAS fata\NOTARIA 2009\BANCO SANTANDER\BANCO ESTADO (CIBERGESTION)\ANA ZEPEDA.doc</t>
  </si>
  <si>
    <t>C:\Users\franc\OneDrive\Documentos\MALENTIN KARIME\BANCO ESTADO\2012 DEPTO ESCRITURAS fata\NOTARIA 2009\BANCO SANTANDER\BANCO ESTADO (CIBERGESTION)\AMANDA GUERRERO.doc</t>
  </si>
  <si>
    <t>C:\Users\franc\OneDrive\Documentos\MALENTIN KARIME\BANCO ESTADO\2012 DEPTO ESCRITURAS fata\NOTARIA 2009\BANCO SANTANDER\BANCO ESTADO (CIBERGESTION)\ALEX SEGOVIA.doc</t>
  </si>
  <si>
    <t>C:\Users\franc\OneDrive\Documentos\MALENTIN KARIME\BANCO ESTADO\2012 DEPTO ESCRITURAS fata\NOTARIA 2009\BANCO SANTANDER\ALZAMIENTOS\WILLIAMS ABUSLEME.doc</t>
  </si>
  <si>
    <t>C:\Users\franc\OneDrive\Documentos\MALENTIN KARIME\BANCO ESTADO\2012 DEPTO ESCRITURAS fata\NOTARIA 2009\BANCO SANTANDER\ALZAMIENTOS\SOCIEDAD MANFREDI CARRASCO.doc</t>
  </si>
  <si>
    <t>C:\Users\franc\OneDrive\Documentos\MALENTIN KARIME\BANCO ESTADO\2012 DEPTO ESCRITURAS fata\NOTARIA 2009\BANCO SANTANDER\ALZAMIENTOS\SERV. MEDICOS.doc</t>
  </si>
  <si>
    <t>C:\Users\franc\OneDrive\Documentos\MALENTIN KARIME\BANCO ESTADO\2012 DEPTO ESCRITURAS fata\NOTARIA 2009\BANCO SANTANDER\ALZAMIENTOS\RUBEN SIMON.doc</t>
  </si>
  <si>
    <t>C:\Users\franc\OneDrive\Documentos\MALENTIN KARIME\BANCO ESTADO\2012 DEPTO ESCRITURAS fata\NOTARIA 2009\BANCO SANTANDER\ALZAMIENTOS\LUIS CORTES ROBLES.doc</t>
  </si>
  <si>
    <t>C:\Users\franc\OneDrive\Documentos\MALENTIN KARIME\BANCO ESTADO\2012 DEPTO ESCRITURAS fata\NOTARIA 2009\BANCO SANTANDER\ALZAMIENTOS\IMPORT. Y EXTPO. COMSAT.doc</t>
  </si>
  <si>
    <t>C:\Users\franc\OneDrive\Documentos\MALENTIN KARIME\BANCO ESTADO\2012 DEPTO ESCRITURAS fata\NOTARIA 2009\BANCO SANTANDER\ALZAMIENTOS\BORIS CAMPOSANO.doc</t>
  </si>
  <si>
    <t>C:\Users\franc\OneDrive\Documentos\MALENTIN KARIME\BANCO ESTADO\2012 DEPTO ESCRITURAS fata\NOTARIA 2009\BANCO SANTANDER\YASNA GUERRA (MA. INES).doc</t>
  </si>
  <si>
    <t>C:\Users\franc\OneDrive\Documentos\MALENTIN KARIME\BANCO ESTADO\2012 DEPTO ESCRITURAS fata\NOTARIA 2009\BANCO SANTANDER\YASNA GUERRA (CIBERGESTION ) CARMEN ESPINDOLA.doc</t>
  </si>
  <si>
    <t>C:\Users\franc\OneDrive\Documentos\MALENTIN KARIME\BANCO ESTADO\2012 DEPTO ESCRITURAS fata\NOTARIA 2009\BANCO SANTANDER\XIMENA SALAS A GLADYS RODRIGUEZ MUT HIPO.doc</t>
  </si>
  <si>
    <t>C:\Users\franc\OneDrive\Documentos\MALENTIN KARIME\BANCO ESTADO\2012 DEPTO ESCRITURAS fata\NOTARIA 2009\BANCO SANTANDER\WILFREDO ARAYA.doc</t>
  </si>
  <si>
    <t>C:\Users\franc\OneDrive\Documentos\MALENTIN KARIME\BANCO ESTADO\2012 DEPTO ESCRITURAS fata\NOTARIA 2009\BANCO SANTANDER\WILFREDO ALFARO MAYA (JUILIOM 2007).doc</t>
  </si>
  <si>
    <t>C:\Users\franc\OneDrive\Documentos\MALENTIN KARIME\BANCO ESTADO\2012 DEPTO ESCRITURAS fata\NOTARIA 2009\BANCO SANTANDER\TORREJON HERMANOS (HIPOTECA).doc</t>
  </si>
  <si>
    <t>C:\Users\franc\OneDrive\Documentos\MALENTIN KARIME\BANCO ESTADO\2012 DEPTO ESCRITURAS fata\NOTARIA 2009\BANCO SANTANDER\SOC. LAS  MOLLACAS TIERRA.doc</t>
  </si>
  <si>
    <t>C:\Users\franc\OneDrive\Documentos\MALENTIN KARIME\BANCO ESTADO\2012 DEPTO ESCRITURAS fata\NOTARIA 2009\BANCO SANTANDER\SOC. CONDE Y DIAZ AGUAS.doc</t>
  </si>
  <si>
    <t>C:\Users\franc\OneDrive\Documentos\MALENTIN KARIME\BANCO ESTADO\2012 DEPTO ESCRITURAS fata\NOTARIA 2009\BANCO SANTANDER\SELEME YAGNAM, F 21 FGEN, ALZA B. CHILE.doc</t>
  </si>
  <si>
    <t>C:\Users\franc\OneDrive\Documentos\MALENTIN KARIME\BANCO ESTADO\2012 DEPTO ESCRITURAS fata\NOTARIA 2009\BANCO SANTANDER\SAYIRA OLIVARES (BANEFE).doc</t>
  </si>
  <si>
    <t>C:\Users\franc\OneDrive\Documentos\MALENTIN KARIME\BANCO ESTADO\2012 DEPTO ESCRITURAS fata\NOTARIA 2009\BANCO SANTANDER\RUTH VEGA (MA. INES.doc</t>
  </si>
  <si>
    <t>C:\Users\franc\OneDrive\Documentos\MALENTIN KARIME\BANCO ESTADO\2012 DEPTO ESCRITURAS fata\NOTARIA 2009\BANCO SANTANDER\ROXANA LARRONDO - ELENA CARVAJAL.doc</t>
  </si>
  <si>
    <t>C:\Users\franc\OneDrive\Documentos\MALENTIN KARIME\BANCO ESTADO\2012 DEPTO ESCRITURAS fata\NOTARIA 2009\BANCO SANTANDER\RITTER IRIARTE.doc</t>
  </si>
  <si>
    <t>C:\Users\franc\OneDrive\Documentos\MALENTIN KARIME\BANCO ESTADO\2012 DEPTO ESCRITURAS fata\NOTARIA 2009\BANCO SANTANDER\RICARDO RISI MONDACA.doc</t>
  </si>
  <si>
    <t>C:\Users\franc\OneDrive\Documentos\MALENTIN KARIME\BANCO ESTADO\2012 DEPTO ESCRITURAS fata\NOTARIA 2009\BANCO SANTANDER\RENE VASQUEZ (CIBERGESTION).doc</t>
  </si>
  <si>
    <t>C:\Users\franc\OneDrive\Documentos\MALENTIN KARIME\BANCO ESTADO\2012 DEPTO ESCRITURAS fata\NOTARIA 2009\BANCO SANTANDER\RECTIFICA MA. INES.doc</t>
  </si>
  <si>
    <t>C:\Users\franc\OneDrive\Documentos\MALENTIN KARIME\BANCO ESTADO\2012 DEPTO ESCRITURAS fata\NOTARIA 2009\BANCO SANTANDER\PERSONERIA MAURICIO VELIZ.doc</t>
  </si>
  <si>
    <t>C:\Users\franc\OneDrive\Documentos\MALENTIN KARIME\BANCO ESTADO\2012 DEPTO ESCRITURAS fata\NOTARIA 2009\BANCO SANTANDER\PERSONERIA BANCO SANTANDER.doc</t>
  </si>
  <si>
    <t>C:\Users\franc\OneDrive\Documentos\MALENTIN KARIME\BANCO ESTADO\2012 DEPTO ESCRITURAS fata\NOTARIA 2009\BANCO SANTANDER\PERINES ALVAREZ JUAN, ESC. MUTUO 30-04-2007.doc</t>
  </si>
  <si>
    <t>C:\Users\franc\OneDrive\Documentos\MALENTIN KARIME\BANCO ESTADO\2012 DEPTO ESCRITURAS fata\NOTARIA 2009\BANCO SANTANDER\MODIF. CONTRATO.DOC</t>
  </si>
  <si>
    <t>C:\Users\franc\OneDrive\Documentos\MALENTIN KARIME\BANCO ESTADO\2012 DEPTO ESCRITURAS fata\NOTARIA 2009\BANCO SANTANDER\MODELO.doc</t>
  </si>
  <si>
    <t>C:\Users\franc\OneDrive\Documentos\MALENTIN KARIME\BANCO ESTADO\2012 DEPTO ESCRITURAS fata\NOTARIA 2009\BANCO SANTANDER\MILENA VEGA RODRIGUEZ.doc</t>
  </si>
  <si>
    <t>C:\Users\franc\OneDrive\Documentos\MALENTIN KARIME\BANCO ESTADO\2012 DEPTO ESCRITURAS fata\NOTARIA 2009\BANCO SANTANDER\MAURO MANFREDI  (MA INES).doc</t>
  </si>
  <si>
    <t>C:\Users\franc\OneDrive\Documentos\MALENTIN KARIME\BANCO ESTADO\2012 DEPTO ESCRITURAS fata\NOTARIA 2009\BANCO SANTANDER\MARIA SANTIBAÑEZ.doc</t>
  </si>
  <si>
    <t>C:\Users\franc\OneDrive\Documentos\MALENTIN KARIME\BANCO ESTADO\2012 DEPTO ESCRITURAS fata\NOTARIA 2009\BANCO SANTANDER\MARIA RAGGI A MARIA CARVAJAL (M. INES).doc</t>
  </si>
  <si>
    <t>C:\Users\franc\OneDrive\Documentos\MALENTIN KARIME\BANCO ESTADO\2012 DEPTO ESCRITURAS fata\NOTARIA 2009\BANCO SANTANDER\MARGARITA DURAN (CIBERGESTION).doc</t>
  </si>
  <si>
    <t>C:\Users\franc\OneDrive\Documentos\MALENTIN KARIME\BANCO ESTADO\2012 DEPTO ESCRITURAS fata\NOTARIA 2009\BANCO SANTANDER\MA. RAGGI A MARIA CARVAJAL (M.INES NUÑEZ).doc</t>
  </si>
  <si>
    <t>C:\Users\franc\OneDrive\Documentos\MALENTIN KARIME\BANCO ESTADO\2012 DEPTO ESCRITURAS fata\NOTARIA 2009\BANCO SANTANDER\LUZ BOLVARAN FINAL.doc</t>
  </si>
  <si>
    <t>C:\Users\franc\OneDrive\Documentos\MALENTIN KARIME\BANCO ESTADO\2012 DEPTO ESCRITURAS fata\NOTARIA 2009\BANCO SANTANDER\LUIS PROHENS - MALLORCA.doc</t>
  </si>
  <si>
    <t>C:\Users\franc\OneDrive\Documentos\MALENTIN KARIME\BANCO ESTADO\2012 DEPTO ESCRITURAS fata\NOTARIA 2009\BANCO SANTANDER\KARINA VARAS.doc</t>
  </si>
  <si>
    <t>C:\Users\franc\OneDrive\Documentos\MALENTIN KARIME\BANCO ESTADO\2012 DEPTO ESCRITURAS fata\NOTARIA 2009\BANCO SANTANDER\JULIO MARDONES  (BCO. LA SERENA).doc</t>
  </si>
  <si>
    <t>C:\Users\franc\OneDrive\Documentos\MALENTIN KARIME\BANCO ESTADO\2012 DEPTO ESCRITURAS fata\NOTARIA 2009\BANCO SANTANDER\JUANA ROJAS CALLEJAS.doc</t>
  </si>
  <si>
    <t>C:\Users\franc\OneDrive\Documentos\MALENTIN KARIME\BANCO ESTADO\2012 DEPTO ESCRITURAS fata\NOTARIA 2009\BANCO SANTANDER\JUAN SALINAS MORA.doc</t>
  </si>
  <si>
    <t>C:\Users\franc\OneDrive\Documentos\MALENTIN KARIME\BANCO ESTADO\2012 DEPTO ESCRITURAS fata\NOTARIA 2009\BANCO SANTANDER\JUAN SAAVEDRA (MA. INES).doc</t>
  </si>
  <si>
    <t>C:\Users\franc\OneDrive\Documentos\MALENTIN KARIME\BANCO ESTADO\2012 DEPTO ESCRITURAS fata\NOTARIA 2009\BANCO SANTANDER\JUAN PERINES (MA. INES).doc</t>
  </si>
  <si>
    <t>C:\Users\franc\OneDrive\Documentos\MALENTIN KARIME\BANCO ESTADO\2012 DEPTO ESCRITURAS fata\NOTARIA 2009\BANCO SANTANDER\JUAN MAZU.doc</t>
  </si>
  <si>
    <t>C:\Users\franc\OneDrive\Documentos\MALENTIN KARIME\BANCO ESTADO\2012 DEPTO ESCRITURAS fata\NOTARIA 2009\BANCO SANTANDER\ISAIAS MORA (MA INES).doc</t>
  </si>
  <si>
    <t>C:\Users\franc\OneDrive\Documentos\MALENTIN KARIME\BANCO ESTADO\2012 DEPTO ESCRITURAS fata\NOTARIA 2009\BANCO SANTANDER\HORACIO ALVAREZ Y CIA..doc</t>
  </si>
  <si>
    <t>C:\Users\franc\OneDrive\Documentos\MALENTIN KARIME\BANCO ESTADO\2012 DEPTO ESCRITURAS fata\NOTARIA 2009\BANCO SANTANDER\HERNAN  REYES OLIVARES (MA. INES) FINAL.doc</t>
  </si>
  <si>
    <t>C:\Users\franc\OneDrive\Documentos\MALENTIN KARIME\BANCO ESTADO\2012 DEPTO ESCRITURAS fata\NOTARIA 2009\BANCO SANTANDER\HECTOR TORRES ORELLANA (MA. INES).doc</t>
  </si>
  <si>
    <t>C:\Users\franc\OneDrive\Documentos\MALENTIN KARIME\BANCO ESTADO\2012 DEPTO ESCRITURAS fata\NOTARIA 2009\BANCO SANTANDER\HECTOR RAMIREZ (MA. INES).doc</t>
  </si>
  <si>
    <t>C:\Users\franc\OneDrive\Documentos\MALENTIN KARIME\BANCO ESTADO\2012 DEPTO ESCRITURAS fata\NOTARIA 2009\BANCO SANTANDER\GLORIA PROHENS (CIBERGESTION).doc</t>
  </si>
  <si>
    <t>C:\Users\franc\OneDrive\Documentos\MALENTIN KARIME\BANCO ESTADO\2012 DEPTO ESCRITURAS fata\NOTARIA 2009\BANCO SANTANDER\GAMAL ROJAS PEREZ.doc</t>
  </si>
  <si>
    <t>C:\Users\franc\OneDrive\Documentos\MALENTIN KARIME\BANCO ESTADO\2012 DEPTO ESCRITURAS fata\NOTARIA 2009\BANCO SANTANDER\GABRIELA RIVAS.doc</t>
  </si>
  <si>
    <t>C:\Users\franc\OneDrive\Documentos\MALENTIN KARIME\BANCO ESTADO\2012 DEPTO ESCRITURAS fata\NOTARIA 2009\BANCO SANTANDER\GABRIEL ROJAS LEYTON 2.doc</t>
  </si>
  <si>
    <t>C:\Users\franc\OneDrive\Documentos\MALENTIN KARIME\BANCO ESTADO\2012 DEPTO ESCRITURAS fata\NOTARIA 2009\BANCO SANTANDER\GABRIEL LEYTON (MA. INES).doc</t>
  </si>
  <si>
    <t>C:\Users\franc\OneDrive\Documentos\MALENTIN KARIME\BANCO ESTADO\2012 DEPTO ESCRITURAS fata\NOTARIA 2009\BANCO SANTANDER\FLORENTINA JOFRE.doc</t>
  </si>
  <si>
    <t>C:\Users\franc\OneDrive\Documentos\MALENTIN KARIME\BANCO ESTADO\2012 DEPTO ESCRITURAS fata\NOTARIA 2009\BANCO SANTANDER\FLORENTINA COLLAO (BANEFE).doc</t>
  </si>
  <si>
    <t>C:\Users\franc\OneDrive\Documentos\MALENTIN KARIME\BANCO ESTADO\2012 DEPTO ESCRITURAS fata\NOTARIA 2009\BANCO SANTANDER\ERIK PIZARRO ALVAREZ (MA INES NUÑEZ).doc</t>
  </si>
  <si>
    <t>C:\Users\franc\OneDrive\Documentos\MALENTIN KARIME\BANCO ESTADO\2012 DEPTO ESCRITURAS fata\NOTARIA 2009\BANCO SANTANDER\EDUVINA CARVAJAL RUIZ.doc</t>
  </si>
  <si>
    <t>C:\Users\franc\OneDrive\Documentos\MALENTIN KARIME\BANCO ESTADO\2012 DEPTO ESCRITURAS fata\NOTARIA 2009\BANCO SANTANDER\EDUARDO VERGARA IZQUIERDO  MUTUO HIPOTECARIO.doc</t>
  </si>
  <si>
    <t>C:\Users\franc\OneDrive\Documentos\MALENTIN KARIME\BANCO ESTADO\2012 DEPTO ESCRITURAS fata\NOTARIA 2009\BANCO SANTANDER\EDUARDO VERGARA IZQUIERDO   2 cambio pers. bco. estado.doc</t>
  </si>
  <si>
    <t>C:\Users\franc\OneDrive\Documentos\MALENTIN KARIME\BANCO ESTADO\2012 DEPTO ESCRITURAS fata\NOTARIA 2009\BANCO SANTANDER\EDITH ARAYA ARANCIBIA.doc</t>
  </si>
  <si>
    <t>C:\Users\franc\OneDrive\Documentos\MALENTIN KARIME\BANCO ESTADO\2012 DEPTO ESCRITURAS fata\NOTARIA 2009\BANCO SANTANDER\EDISON JOFRE B. Mutuo Hipotec..doc</t>
  </si>
  <si>
    <t>C:\Users\franc\OneDrive\Documentos\MALENTIN KARIME\BANCO ESTADO\2012 DEPTO ESCRITURAS fata\NOTARIA 2009\BANCO SANTANDER\EDGARDO SAUD ROJAS.doc</t>
  </si>
  <si>
    <t>C:\Users\franc\OneDrive\Documentos\MALENTIN KARIME\BANCO ESTADO\2012 DEPTO ESCRITURAS fata\NOTARIA 2009\BANCO SANTANDER\Doc1.doc</t>
  </si>
  <si>
    <t>C:\Users\franc\OneDrive\Documentos\MALENTIN KARIME\BANCO ESTADO\2012 DEPTO ESCRITURAS fata\NOTARIA 2009\BANCO SANTANDER\DAVID CONTRERAS CON HILDA TELLO Y OTROS.doc</t>
  </si>
  <si>
    <t>C:\Users\franc\OneDrive\Documentos\MALENTIN KARIME\BANCO ESTADO\2012 DEPTO ESCRITURAS fata\NOTARIA 2009\BANCO SANTANDER\cvta y mutuo ANDRADES Y OTRAS A Gilberto Pardo.doc</t>
  </si>
  <si>
    <t>C:\Users\franc\OneDrive\Documentos\MALENTIN KARIME\BANCO ESTADO\2012 DEPTO ESCRITURAS fata\NOTARIA 2009\BANCO SANTANDER\CTTO. OPCION DE COMPRA PUNITAQUI.doc</t>
  </si>
  <si>
    <t>C:\Users\franc\OneDrive\Documentos\MALENTIN KARIME\BANCO ESTADO\2012 DEPTO ESCRITURAS fata\NOTARIA 2009\BANCO SANTANDER\CTTO. OPCION CIA. MRA.PUNITAQUI.doc</t>
  </si>
  <si>
    <t>C:\Users\franc\OneDrive\Documentos\MALENTIN KARIME\BANCO ESTADO\2012 DEPTO ESCRITURAS fata\NOTARIA 2009\BANCO SANTANDER\CTTO. OPCION CIA. MRA.PUNIT 13-09-2006.doc</t>
  </si>
  <si>
    <t>C:\Users\franc\OneDrive\Documentos\MALENTIN KARIME\BANCO ESTADO\2012 DEPTO ESCRITURAS fata\NOTARIA 2009\BANCO SANTANDER\CTTO. OPCION CIA. MRA.PUNIT (7-08-2006.doc</t>
  </si>
  <si>
    <t>C:\Users\franc\OneDrive\Documentos\MALENTIN KARIME\BANCO ESTADO\2012 DEPTO ESCRITURAS fata\NOTARIA 2009\BANCO SANTANDER\CRISTIAN HENRIQUEZ BENAVENTE.doc</t>
  </si>
  <si>
    <t>C:\Users\franc\OneDrive\Documentos\MALENTIN KARIME\BANCO ESTADO\2012 DEPTO ESCRITURAS fata\NOTARIA 2009\BANCO SANTANDER\complementación mardones.doc</t>
  </si>
  <si>
    <t>C:\Users\franc\OneDrive\Documentos\MALENTIN KARIME\BANCO ESTADO\2012 DEPTO ESCRITURAS fata\NOTARIA 2009\BANCO SANTANDER\COMPLEMENTACION MILENA VEGA.doc</t>
  </si>
  <si>
    <t>C:\Users\franc\OneDrive\Documentos\MALENTIN KARIME\BANCO ESTADO\2012 DEPTO ESCRITURAS fata\NOTARIA 2009\BANCO SANTANDER\CLAUDIO CASTILLO.doc</t>
  </si>
  <si>
    <t>C:\Users\franc\OneDrive\Documentos\MALENTIN KARIME\BANCO ESTADO\2012 DEPTO ESCRITURAS fata\NOTARIA 2009\BANCO SANTANDER\CLAUDIO CASTILLO CORREGIDA.doc</t>
  </si>
  <si>
    <t>C:\Users\franc\OneDrive\Documentos\MALENTIN KARIME\BANCO ESTADO\2012 DEPTO ESCRITURAS fata\NOTARIA 2009\BANCO SANTANDER\CL417915 CTTO. OPCION CIA. MRA. PUNITAQUI.DOC</t>
  </si>
  <si>
    <t>C:\Users\franc\OneDrive\Documentos\MALENTIN KARIME\BANCO ESTADO\2012 DEPTO ESCRITURAS fata\NOTARIA 2009\BANCO SANTANDER\CL417763 MODIF. CONTRATO.DOC</t>
  </si>
  <si>
    <t>C:\Users\franc\OneDrive\Documentos\MALENTIN KARIME\BANCO ESTADO\2012 DEPTO ESCRITURAS fata\NOTARIA 2009\BANCO SANTANDER\CECILIA CASTILLO (BANEFE).doc</t>
  </si>
  <si>
    <t>C:\Users\franc\OneDrive\Documentos\MALENTIN KARIME\BANCO ESTADO\2012 DEPTO ESCRITURAS fata\NOTARIA 2009\BANCO SANTANDER\CARTA PARA JUAN MANUEL FUENZALIDA COBO --- SANTANDER.doc</t>
  </si>
  <si>
    <t>C:\Users\franc\OneDrive\Documentos\MALENTIN KARIME\BANCO ESTADO\2012 DEPTO ESCRITURAS fata\NOTARIA 2009\BANCO SANTANDER\CARTA DE RESGUARDO HORACIO ALVAREZ.doc</t>
  </si>
  <si>
    <t>C:\Users\franc\OneDrive\Documentos\MALENTIN KARIME\BANCO ESTADO\2012 DEPTO ESCRITURAS fata\NOTARIA 2009\BANCO SANTANDER\CARTA DE BOLETAS PARA VERONICA VELIZ (CIBER).doc</t>
  </si>
  <si>
    <t>C:\Users\franc\OneDrive\Documentos\MALENTIN KARIME\BANCO ESTADO\2012 DEPTO ESCRITURAS fata\NOTARIA 2009\BANCO SANTANDER\BOLETAS.xls</t>
  </si>
  <si>
    <t>C:\Users\franc\OneDrive\Documentos\MALENTIN KARIME\BANCO ESTADO\2012 DEPTO ESCRITURAS fata\NOTARIA 2009\BANCO SANTANDER\BOLETAS BCO BANEFE.xls</t>
  </si>
  <si>
    <t>C:\Users\franc\OneDrive\Documentos\MALENTIN KARIME\BANCO ESTADO\2012 DEPTO ESCRITURAS fata\NOTARIA 2009\BANCO SANTANDER\BARBARA GONZALEZ.doc</t>
  </si>
  <si>
    <t>C:\Users\franc\OneDrive\Documentos\MALENTIN KARIME\BANCO ESTADO\2012 DEPTO ESCRITURAS fata\NOTARIA 2009\BANCO SANTANDER\Banco Santander chile Follo No.doc</t>
  </si>
  <si>
    <t>C:\Users\franc\OneDrive\Documentos\MALENTIN KARIME\BANCO ESTADO\2012 DEPTO ESCRITURAS fata\NOTARIA 2009\BANCO SANTANDER\ANA VARAS HIDALGO.doc</t>
  </si>
  <si>
    <t>C:\Users\franc\OneDrive\Documentos\MALENTIN KARIME\BANCO ESTADO\2012 DEPTO ESCRITURAS fata\NOTARIA 2009\BANCO SANTANDER\ANA VARAS HIDALGO con correccion.doc</t>
  </si>
  <si>
    <t>C:\Users\franc\OneDrive\Documentos\MALENTIN KARIME\BANCO ESTADO\2012 DEPTO ESCRITURAS fata\NOTARIA 2009\BANCO SANTANDER\ANA VALDERRAMA CORDERO.doc</t>
  </si>
  <si>
    <t>C:\Users\franc\OneDrive\Documentos\MALENTIN KARIME\BANCO ESTADO\2012 DEPTO ESCRITURAS fata\NOTARIA 2009\BANCO SANTANDER\ANA ARAYA ROJO - BANEFE.doc</t>
  </si>
  <si>
    <t>C:\Users\franc\OneDrive\Documentos\MALENTIN KARIME\BANCO ESTADO\2012 DEPTO ESCRITURAS fata\NOTARIA 2009\BANCO SANTANDER\ALEXIS CORTES - HIPOTECA.doc</t>
  </si>
  <si>
    <t>C:\Users\franc\OneDrive\Documentos\MALENTIN KARIME\BANCO ESTADO\2012 DEPTO ESCRITURAS fata\NOTARIA 2009\BANCO PARIS\DANIEL GARCIA LIZARDI (PRENDA SIN DESPLAZA).doc</t>
  </si>
  <si>
    <t>C:\Users\franc\OneDrive\Documentos\MALENTIN KARIME\BANCO ESTADO\2012 DEPTO ESCRITURAS fata\NOTARIA 2009\BANCO PARIS\DANIEL GARCIA EXTRACTO.doc</t>
  </si>
  <si>
    <t>C:\Users\franc\OneDrive\Documentos\MALENTIN KARIME\BANCO ESTADO\2012 DEPTO ESCRITURAS fata\NOTARIA 2009\BANCO ESTADO\VLADIMIR VALDERRAMA - DOBLE M (ESCRIT).doc</t>
  </si>
  <si>
    <t>C:\Users\franc\OneDrive\Documentos\MALENTIN KARIME\BANCO ESTADO\2012 DEPTO ESCRITURAS fata\NOTARIA 2009\BANCO ESTADO\VLADIMIR VALDERRAMA - CARTA INST.doc</t>
  </si>
  <si>
    <t>C:\Users\franc\OneDrive\Documentos\MALENTIN KARIME\BANCO ESTADO\2012 DEPTO ESCRITURAS fata\NOTARIA 2009\BANCO ESTADO\RODRIGO VALDES CARTA RESGUARDO.doc</t>
  </si>
  <si>
    <t>C:\Users\franc\OneDrive\Documentos\MALENTIN KARIME\BANCO ESTADO\2012 DEPTO ESCRITURAS fata\NOTARIA 2009\BANCO ESTADO\RODRIGO VALDES - DOBLE M - BCO. ESTADO.doc</t>
  </si>
  <si>
    <t>C:\Users\franc\OneDrive\Documentos\MALENTIN KARIME\BANCO ESTADO\2012 DEPTO ESCRITURAS fata\NOTARIA 2009\BANCO ESTADO\REINALDO CASTILLO.doc</t>
  </si>
  <si>
    <t>C:\Users\franc\OneDrive\Documentos\MALENTIN KARIME\BANCO ESTADO\2012 DEPTO ESCRITURAS fata\NOTARIA 2009\BANCO ESTADO\PAULINA EBNER A DOBLE M (ESCRIT).doc</t>
  </si>
  <si>
    <t>C:\Users\franc\OneDrive\Documentos\MALENTIN KARIME\BANCO ESTADO\2012 DEPTO ESCRITURAS fata\NOTARIA 2009\BANCO ESTADO\PAULINA EBNER  - CARTA INST.doc</t>
  </si>
  <si>
    <t>C:\Users\franc\OneDrive\Documentos\MALENTIN KARIME\BANCO ESTADO\2012 DEPTO ESCRITURAS fata\NOTARIA 2009\BANCO ESTADO\MIGUEL RIVERA  - DOBLE M - BCO. CHILE.doc</t>
  </si>
  <si>
    <t>C:\Users\franc\OneDrive\Documentos\MALENTIN KARIME\BANCO ESTADO\2012 DEPTO ESCRITURAS fata\NOTARIA 2009\BANCO ESTADO\MARIA ADONES.doc</t>
  </si>
  <si>
    <t>C:\Users\franc\OneDrive\Documentos\MALENTIN KARIME\BANCO ESTADO\2012 DEPTO ESCRITURAS fata\NOTARIA 2009\BANCO ESTADO\LUIS CONTRERAS - DOBLE M - BANCO DE CHILE.doc</t>
  </si>
  <si>
    <t>C:\Users\franc\OneDrive\Documentos\MALENTIN KARIME\BANCO ESTADO\2012 DEPTO ESCRITURAS fata\NOTARIA 2009\BANCO ESTADO\LUIS CONTRERAS - CARTA RESGUARDO.doc</t>
  </si>
  <si>
    <t>C:\Users\franc\OneDrive\Documentos\MALENTIN KARIME\BANCO ESTADO\2012 DEPTO ESCRITURAS fata\NOTARIA 2009\BANCO ESTADO\LILIAN RIQUELME VENEGAS (MUTUO HIPOTECARIO).doc</t>
  </si>
  <si>
    <t>C:\Users\franc\OneDrive\Documentos\MALENTIN KARIME\BANCO ESTADO\2012 DEPTO ESCRITURAS fata\NOTARIA 2009\BANCO ESTADO\JUAN HUERTA.doc</t>
  </si>
  <si>
    <t>C:\Users\franc\OneDrive\Documentos\MALENTIN KARIME\BANCO ESTADO\2012 DEPTO ESCRITURAS fata\NOTARIA 2009\BANCO ESTADO\JORGE TELLO ARANDA (MUTUO HIPOT).doc</t>
  </si>
  <si>
    <t>C:\Users\franc\OneDrive\Documentos\MALENTIN KARIME\BANCO ESTADO\2012 DEPTO ESCRITURAS fata\NOTARIA 2009\BANCO ESTADO\Jorge Tello Aranda (Doble M - Del Atardecer) - Banco Chile[1].doc</t>
  </si>
  <si>
    <t>C:\Users\franc\OneDrive\Documentos\MALENTIN KARIME\BANCO ESTADO\2012 DEPTO ESCRITURAS fata\NOTARIA 2009\BANCO ESTADO\JOCELYN BOYD - DOBLE M - BCO. CHILE.doc</t>
  </si>
  <si>
    <t>C:\Users\franc\OneDrive\Documentos\MALENTIN KARIME\BANCO ESTADO\2012 DEPTO ESCRITURAS fata\NOTARIA 2009\BANCO ESTADO\FALEY PACHECO - DOBLE M - BANCO CHILE.doc</t>
  </si>
  <si>
    <t>C:\Users\franc\OneDrive\Documentos\MALENTIN KARIME\BANCO ESTADO\2012 DEPTO ESCRITURAS fata\NOTARIA 2009\BANCO ESTADO\FALEY PACHECO - CARTA RESGUARDO.doc</t>
  </si>
  <si>
    <t>C:\Users\franc\OneDrive\Documentos\MALENTIN KARIME\BANCO ESTADO\2012 DEPTO ESCRITURAS fata\NOTARIA 2009\BANCO ESTADO\Fabian Gajardo Martinez carta resguardo.doc</t>
  </si>
  <si>
    <t>C:\Users\franc\OneDrive\Documentos\MALENTIN KARIME\BANCO ESTADO\2012 DEPTO ESCRITURAS fata\NOTARIA 2009\BANCO ESTADO\FABIAN GAJARDO - DOBLE M - BCO. ESTADO.doc</t>
  </si>
  <si>
    <t>C:\Users\franc\OneDrive\Documentos\MALENTIN KARIME\BANCO ESTADO\2012 DEPTO ESCRITURAS fata\NOTARIA 2009\BANCO ESTADO\CRISTIAN ROBLES con INMOBILILIARIA DOBLE M.doc</t>
  </si>
  <si>
    <t>C:\Users\franc\OneDrive\Documentos\MALENTIN KARIME\BANCO ESTADO\2012 DEPTO ESCRITURAS fata\NOTARIA 2009\BANCO DEL DESARROLLO\TRABAJADORES BANCO\RODRIGO PASTEN.doc</t>
  </si>
  <si>
    <t>C:\Users\franc\OneDrive\Documentos\MALENTIN KARIME\BANCO ESTADO\2012 DEPTO ESCRITURAS fata\NOTARIA 2009\BANCO DEL DESARROLLO\TRABAJADORES BANCO\MARIO HUERTA.doc</t>
  </si>
  <si>
    <t>C:\Users\franc\OneDrive\Documentos\MALENTIN KARIME\BANCO ESTADO\2012 DEPTO ESCRITURAS fata\NOTARIA 2009\BANCO DEL DESARROLLO\TRABAJADORES BANCO\MARIA CODOCEO.doc</t>
  </si>
  <si>
    <t>C:\Users\franc\OneDrive\Documentos\MALENTIN KARIME\BANCO ESTADO\2012 DEPTO ESCRITURAS fata\NOTARIA 2009\BANCO DEL DESARROLLO\TRABAJADORES BANCO\LORENA SANTIBAÑEZ.doc</t>
  </si>
  <si>
    <t>C:\Users\franc\OneDrive\Documentos\MALENTIN KARIME\BANCO ESTADO\2012 DEPTO ESCRITURAS fata\NOTARIA 2009\BANCO DEL DESARROLLO\TRABAJADORES BANCO\LORENA JARPA.doc</t>
  </si>
  <si>
    <t>C:\Users\franc\OneDrive\Documentos\MALENTIN KARIME\BANCO ESTADO\2012 DEPTO ESCRITURAS fata\NOTARIA 2009\BANCO DEL DESARROLLO\TRABAJADORES BANCO\GERARDO AROS.doc</t>
  </si>
  <si>
    <t>C:\Users\franc\OneDrive\Documentos\MALENTIN KARIME\BANCO ESTADO\2012 DEPTO ESCRITURAS fata\NOTARIA 2009\BANCO DEL DESARROLLO\TRABAJADORES BANCO\EDUARDO HERNANDEZ.doc</t>
  </si>
  <si>
    <t>C:\Users\franc\OneDrive\Documentos\MALENTIN KARIME\BANCO ESTADO\2012 DEPTO ESCRITURAS fata\NOTARIA 2009\BANCO DEL DESARROLLO\TRABAJADORES BANCO\EDGARDO SAUD.doc</t>
  </si>
  <si>
    <t>C:\Users\franc\OneDrive\Documentos\MALENTIN KARIME\BANCO ESTADO\2012 DEPTO ESCRITURAS fata\NOTARIA 2009\BANCO DEL DESARROLLO\SOCIEDAD\EXTRACTO SAUCOR S.A..doc</t>
  </si>
  <si>
    <t>C:\Users\franc\OneDrive\Documentos\MALENTIN KARIME\BANCO ESTADO\2012 DEPTO ESCRITURAS fata\NOTARIA 2009\BANCO DEL DESARROLLO\SOCIEDAD\EDGARDO SAUD.doc</t>
  </si>
  <si>
    <t>C:\Users\franc\OneDrive\Documentos\MALENTIN KARIME\BANCO ESTADO\2012 DEPTO ESCRITURAS fata\NOTARIA 2009\BANCO DEL DESARROLLO\REVOCACION\MANDATO INPROCOL.doc</t>
  </si>
  <si>
    <t>C:\Users\franc\OneDrive\Documentos\MALENTIN KARIME\BANCO ESTADO\2012 DEPTO ESCRITURAS fata\NOTARIA 2009\BANCO DEL DESARROLLO\PROTOCOLIZACION ESCRITURAS\WILSON MARIN.doc</t>
  </si>
  <si>
    <t>C:\Users\franc\OneDrive\Documentos\MALENTIN KARIME\BANCO ESTADO\2012 DEPTO ESCRITURAS fata\NOTARIA 2009\BANCO DEL DESARROLLO\PROTOCOLIZACION ESCRITURAS\Rosa Pizarro Ramirez a Victoria Suarez.doc</t>
  </si>
  <si>
    <t>C:\Users\franc\OneDrive\Documentos\MALENTIN KARIME\BANCO ESTADO\2012 DEPTO ESCRITURAS fata\NOTARIA 2009\BANCO DEL DESARROLLO\PROTOCOLIZACION ESCRITURAS\PROT.ROSA PIZARRO a VICTORIA SUAREZ.doc</t>
  </si>
  <si>
    <t>C:\Users\franc\OneDrive\Documentos\MALENTIN KARIME\BANCO ESTADO\2012 DEPTO ESCRITURAS fata\NOTARIA 2009\BANCO DEL DESARROLLO\PROTOCOLIZACION ESCRITURAS\NICOLAS RAMIREZ.doc</t>
  </si>
  <si>
    <t>C:\Users\franc\OneDrive\Documentos\MALENTIN KARIME\BANCO ESTADO\2012 DEPTO ESCRITURAS fata\NOTARIA 2009\BANCO DEL DESARROLLO\PROTOCOLIZACION ESCRITURAS\NANCY ANDRADES.doc</t>
  </si>
  <si>
    <t>C:\Users\franc\OneDrive\Documentos\MALENTIN KARIME\BANCO ESTADO\2012 DEPTO ESCRITURAS fata\NOTARIA 2009\BANCO DEL DESARROLLO\PROTOCOLIZACION ESCRITURAS\NANCY ANDRADES PROTO ESCRITURA.doc</t>
  </si>
  <si>
    <t>C:\Users\franc\OneDrive\Documentos\MALENTIN KARIME\BANCO ESTADO\2012 DEPTO ESCRITURAS fata\NOTARIA 2009\BANCO DEL DESARROLLO\PROTOCOLIZACION ESCRITURAS\MAURICIO RIVERA.doc</t>
  </si>
  <si>
    <t>C:\Users\franc\OneDrive\Documentos\MALENTIN KARIME\BANCO ESTADO\2012 DEPTO ESCRITURAS fata\NOTARIA 2009\BANCO DEL DESARROLLO\PROTOCOLIZACION ESCRITURAS\LUIS HENRIQUEZ.doc</t>
  </si>
  <si>
    <t>C:\Users\franc\OneDrive\Documentos\MALENTIN KARIME\BANCO ESTADO\2012 DEPTO ESCRITURAS fata\NOTARIA 2009\BANCO DEL DESARROLLO\PROTOCOLIZACION ESCRITURAS\LUIS HENRIQUEZ ARCOS.doc</t>
  </si>
  <si>
    <t>C:\Users\franc\OneDrive\Documentos\MALENTIN KARIME\BANCO ESTADO\2012 DEPTO ESCRITURAS fata\NOTARIA 2009\BANCO DEL DESARROLLO\PROTOCOLIZACION ESCRITURAS\JORGE MONTENEGRO.doc</t>
  </si>
  <si>
    <t>C:\Users\franc\OneDrive\Documentos\MALENTIN KARIME\BANCO ESTADO\2012 DEPTO ESCRITURAS fata\NOTARIA 2009\BANCO DEL DESARROLLO\PROTOCOLIZACION ESCRITURAS\JAVIER PINTO.doc</t>
  </si>
  <si>
    <t>C:\Users\franc\OneDrive\Documentos\MALENTIN KARIME\BANCO ESTADO\2012 DEPTO ESCRITURAS fata\NOTARIA 2009\BANCO DEL DESARROLLO\PROTOCOLIZACION ESCRITURAS\IRELDA MEDALLA ROJAS.doc</t>
  </si>
  <si>
    <t>C:\Users\franc\OneDrive\Documentos\MALENTIN KARIME\BANCO ESTADO\2012 DEPTO ESCRITURAS fata\NOTARIA 2009\BANCO DEL DESARROLLO\PROTOCOLIZACION ESCRITURAS\INGRID ROJAS A SANDRA HERRERA.doc</t>
  </si>
  <si>
    <t>C:\Users\franc\OneDrive\Documentos\MALENTIN KARIME\BANCO ESTADO\2012 DEPTO ESCRITURAS fata\NOTARIA 2009\BANCO DEL DESARROLLO\PROTOCOLIZACION ESCRITURAS\CLAUDIO DIAZ CARVAJAL.doc</t>
  </si>
  <si>
    <t>C:\Users\franc\OneDrive\Documentos\MALENTIN KARIME\BANCO ESTADO\2012 DEPTO ESCRITURAS fata\NOTARIA 2009\BANCO DEL DESARROLLO\PROTOCOLIZACION ESCRITURAS\CAROLINA ARAYA ARAYA.doc</t>
  </si>
  <si>
    <t>C:\Users\franc\OneDrive\Documentos\MALENTIN KARIME\BANCO ESTADO\2012 DEPTO ESCRITURAS fata\NOTARIA 2009\BANCO DEL DESARROLLO\PROTOCOLIZACION ESCRITURAS\CARLOS GARCIA.doc</t>
  </si>
  <si>
    <t>C:\Users\franc\OneDrive\Documentos\MALENTIN KARIME\BANCO ESTADO\2012 DEPTO ESCRITURAS fata\NOTARIA 2009\BANCO DEL DESARROLLO\PROTOCOLIZACION ESCRITURAS\Autorizo las firmas.doc</t>
  </si>
  <si>
    <t>C:\Users\franc\OneDrive\Documentos\MALENTIN KARIME\BANCO ESTADO\2012 DEPTO ESCRITURAS fata\NOTARIA 2009\BANCO DEL DESARROLLO\PROTOCOLIZACION ESCRITURAS\ANDRES TOLEDO.doc</t>
  </si>
  <si>
    <t>C:\Users\franc\OneDrive\Documentos\MALENTIN KARIME\BANCO ESTADO\2012 DEPTO ESCRITURAS fata\NOTARIA 2009\BANCO DEL DESARROLLO\PROTOCOLIZACION ESCRITURAS\ALEX URQUIETA.doc</t>
  </si>
  <si>
    <t>C:\Users\franc\OneDrive\Documentos\MALENTIN KARIME\BANCO ESTADO\2012 DEPTO ESCRITURAS fata\NOTARIA 2009\BANCO DEL DESARROLLO\prendas\REDUCCION\BOMBEROS OVALLE.doc</t>
  </si>
  <si>
    <t>C:\Users\franc\OneDrive\Documentos\MALENTIN KARIME\BANCO ESTADO\2012 DEPTO ESCRITURAS fata\NOTARIA 2009\BANCO DEL DESARROLLO\prendas\REDUCCION\BOMBEROS OVALLE RESOLUCION.doc</t>
  </si>
  <si>
    <t>C:\Users\franc\OneDrive\Documentos\MALENTIN KARIME\BANCO ESTADO\2012 DEPTO ESCRITURAS fata\NOTARIA 2009\BANCO DEL DESARROLLO\prendas\MODELO NOTARIO\MODELO NOTARIO.doc</t>
  </si>
  <si>
    <t>C:\Users\franc\OneDrive\Documentos\MALENTIN KARIME\BANCO ESTADO\2012 DEPTO ESCRITURAS fata\NOTARIA 2009\BANCO DEL DESARROLLO\prendas\MITSUI\WILLIAMS DIAZ A MARIA LIMPERT.doc</t>
  </si>
  <si>
    <t>C:\Users\franc\OneDrive\Documentos\MALENTIN KARIME\BANCO ESTADO\2012 DEPTO ESCRITURAS fata\NOTARIA 2009\BANCO DEL DESARROLLO\prendas\MITSUI\WALDO CARMONA ROJAS.doc</t>
  </si>
  <si>
    <t>C:\Users\franc\OneDrive\Documentos\MALENTIN KARIME\BANCO ESTADO\2012 DEPTO ESCRITURAS fata\NOTARIA 2009\BANCO DEL DESARROLLO\prendas\MITSUI\VERONICA HARO RODRIGUEZ.doc</t>
  </si>
  <si>
    <t>C:\Users\franc\OneDrive\Documentos\MALENTIN KARIME\BANCO ESTADO\2012 DEPTO ESCRITURAS fata\NOTARIA 2009\BANCO DEL DESARROLLO\prendas\MITSUI\RUBEN VARGAS NUÑEZ.doc</t>
  </si>
  <si>
    <t>C:\Users\franc\OneDrive\Documentos\MALENTIN KARIME\BANCO ESTADO\2012 DEPTO ESCRITURAS fata\NOTARIA 2009\BANCO DEL DESARROLLO\prendas\MITSUI\RAMON PEÑA.doc</t>
  </si>
  <si>
    <t>C:\Users\franc\OneDrive\Documentos\MALENTIN KARIME\BANCO ESTADO\2012 DEPTO ESCRITURAS fata\NOTARIA 2009\BANCO DEL DESARROLLO\prendas\MITSUI\PILAR GONZALEZ.doc</t>
  </si>
  <si>
    <t>C:\Users\franc\OneDrive\Documentos\MALENTIN KARIME\BANCO ESTADO\2012 DEPTO ESCRITURAS fata\NOTARIA 2009\BANCO DEL DESARROLLO\prendas\MITSUI\PABLO MUÑOZ.doc</t>
  </si>
  <si>
    <t>C:\Users\franc\OneDrive\Documentos\MALENTIN KARIME\BANCO ESTADO\2012 DEPTO ESCRITURAS fata\NOTARIA 2009\BANCO DEL DESARROLLO\prendas\MITSUI\MARIA ROMERO BERRIOS Y OTRA.doc</t>
  </si>
  <si>
    <t>C:\Users\franc\OneDrive\Documentos\MALENTIN KARIME\BANCO ESTADO\2012 DEPTO ESCRITURAS fata\NOTARIA 2009\BANCO DEL DESARROLLO\prendas\MITSUI\MARIA ARGANDOÑA.doc</t>
  </si>
  <si>
    <t>C:\Users\franc\OneDrive\Documentos\MALENTIN KARIME\BANCO ESTADO\2012 DEPTO ESCRITURAS fata\NOTARIA 2009\BANCO DEL DESARROLLO\prendas\MITSUI\MARCELA ZEPEDA.doc</t>
  </si>
  <si>
    <t>C:\Users\franc\OneDrive\Documentos\MALENTIN KARIME\BANCO ESTADO\2012 DEPTO ESCRITURAS fata\NOTARIA 2009\BANCO DEL DESARROLLO\prendas\MITSUI\LUZ MOLINA GONZALEZ.doc</t>
  </si>
  <si>
    <t>C:\Users\franc\OneDrive\Documentos\MALENTIN KARIME\BANCO ESTADO\2012 DEPTO ESCRITURAS fata\NOTARIA 2009\BANCO DEL DESARROLLO\prendas\MITSUI\LORENA VEGA.doc</t>
  </si>
  <si>
    <t>C:\Users\franc\OneDrive\Documentos\MALENTIN KARIME\BANCO ESTADO\2012 DEPTO ESCRITURAS fata\NOTARIA 2009\BANCO DEL DESARROLLO\prendas\MITSUI\LEYLA RAMIREZ.doc</t>
  </si>
  <si>
    <t>C:\Users\franc\OneDrive\Documentos\MALENTIN KARIME\BANCO ESTADO\2012 DEPTO ESCRITURAS fata\NOTARIA 2009\BANCO DEL DESARROLLO\prendas\MITSUI\KATHERINE BOUSELLET.doc</t>
  </si>
  <si>
    <t>C:\Users\franc\OneDrive\Documentos\MALENTIN KARIME\BANCO ESTADO\2012 DEPTO ESCRITURAS fata\NOTARIA 2009\BANCO DEL DESARROLLO\prendas\MITSUI\JULIE GONZALEZ.doc</t>
  </si>
  <si>
    <t>C:\Users\franc\OneDrive\Documentos\MALENTIN KARIME\BANCO ESTADO\2012 DEPTO ESCRITURAS fata\NOTARIA 2009\BANCO DEL DESARROLLO\prendas\MITSUI\JUAN MARAMBIO.doc</t>
  </si>
  <si>
    <t>C:\Users\franc\OneDrive\Documentos\MALENTIN KARIME\BANCO ESTADO\2012 DEPTO ESCRITURAS fata\NOTARIA 2009\BANCO DEL DESARROLLO\prendas\MITSUI\JUAN MARAMBIO Y OTRA.doc</t>
  </si>
  <si>
    <t>C:\Users\franc\OneDrive\Documentos\MALENTIN KARIME\BANCO ESTADO\2012 DEPTO ESCRITURAS fata\NOTARIA 2009\BANCO DEL DESARROLLO\prendas\MITSUI\JUAN MARAMBIO 2.doc</t>
  </si>
  <si>
    <t>C:\Users\franc\OneDrive\Documentos\MALENTIN KARIME\BANCO ESTADO\2012 DEPTO ESCRITURAS fata\NOTARIA 2009\BANCO DEL DESARROLLO\prendas\MITSUI\JORGE GONZALEZ.doc</t>
  </si>
  <si>
    <t>C:\Users\franc\OneDrive\Documentos\MALENTIN KARIME\BANCO ESTADO\2012 DEPTO ESCRITURAS fata\NOTARIA 2009\BANCO DEL DESARROLLO\prendas\MITSUI\JOAN MANUEL CAMPOS RAMOS.doc</t>
  </si>
  <si>
    <t>C:\Users\franc\OneDrive\Documentos\MALENTIN KARIME\BANCO ESTADO\2012 DEPTO ESCRITURAS fata\NOTARIA 2009\BANCO DEL DESARROLLO\prendas\MITSUI\FERNANDO BASCUR.doc</t>
  </si>
  <si>
    <t>C:\Users\franc\OneDrive\Documentos\MALENTIN KARIME\BANCO ESTADO\2012 DEPTO ESCRITURAS fata\NOTARIA 2009\BANCO DEL DESARROLLO\prendas\MITSUI\Doc1.doc</t>
  </si>
  <si>
    <t>C:\Users\franc\OneDrive\Documentos\MALENTIN KARIME\BANCO ESTADO\2012 DEPTO ESCRITURAS fata\NOTARIA 2009\BANCO DEL DESARROLLO\prendas\MITSUI\CARMEN TAPIA VALLEJOS.doc</t>
  </si>
  <si>
    <t>C:\Users\franc\OneDrive\Documentos\MALENTIN KARIME\BANCO ESTADO\2012 DEPTO ESCRITURAS fata\NOTARIA 2009\BANCO DEL DESARROLLO\prendas\MITSUI\Autorizo la firma.doc</t>
  </si>
  <si>
    <t>C:\Users\franc\OneDrive\Documentos\MALENTIN KARIME\BANCO ESTADO\2012 DEPTO ESCRITURAS fata\NOTARIA 2009\BANCO DEL DESARROLLO\prendas\INP\ALZAMIENTO JUVENAL ACUÑA.doc</t>
  </si>
  <si>
    <t>C:\Users\franc\OneDrive\Documentos\MALENTIN KARIME\BANCO ESTADO\2012 DEPTO ESCRITURAS fata\NOTARIA 2009\BANCO DEL DESARROLLO\prendas\DABED\MUTUO CARLOS ABRILOT.doc</t>
  </si>
  <si>
    <t>C:\Users\franc\OneDrive\Documentos\MALENTIN KARIME\BANCO ESTADO\2012 DEPTO ESCRITURAS fata\NOTARIA 2009\BANCO DEL DESARROLLO\prendas\COMPAÑIA MINERA PUNITAQUI\SILVIA RODRIGUEZ.doc</t>
  </si>
  <si>
    <t>C:\Users\franc\OneDrive\Documentos\MALENTIN KARIME\BANCO ESTADO\2012 DEPTO ESCRITURAS fata\NOTARIA 2009\BANCO DEL DESARROLLO\prendas\BANCO DEL ESTADO }\ALZAMIENTOS\SERGIO PEÑA TIERRA.doc</t>
  </si>
  <si>
    <t>C:\Users\franc\OneDrive\Documentos\MALENTIN KARIME\BANCO ESTADO\2012 DEPTO ESCRITURAS fata\NOTARIA 2009\BANCO DEL DESARROLLO\prendas\BANCO DEL ESTADO }\ALZAMIENTOS\SERGIO PEÑA AGUAS.doc</t>
  </si>
  <si>
    <t>C:\Users\franc\OneDrive\Documentos\MALENTIN KARIME\BANCO ESTADO\2012 DEPTO ESCRITURAS fata\NOTARIA 2009\BANCO DEL DESARROLLO\prendas\BANCO DEL ESTADO }\ALZAMIENTOS\PERSONERIA BANCO ESTADO.doc</t>
  </si>
  <si>
    <t>C:\Users\franc\OneDrive\Documentos\MALENTIN KARIME\BANCO ESTADO\2012 DEPTO ESCRITURAS fata\NOTARIA 2009\BANCO DEL DESARROLLO\prendas\2009\TRANSPORTES ALFALFARES A BDD (PLANTACION).doc</t>
  </si>
  <si>
    <t>C:\Users\franc\OneDrive\Documentos\MALENTIN KARIME\BANCO ESTADO\2012 DEPTO ESCRITURAS fata\NOTARIA 2009\BANCO DEL DESARROLLO\prendas\2009\SOC. LOS ALAMOS (AMP. Y MODIFIC) EXTRACTO.doc</t>
  </si>
  <si>
    <t>C:\Users\franc\OneDrive\Documentos\MALENTIN KARIME\BANCO ESTADO\2012 DEPTO ESCRITURAS fata\NOTARIA 2009\BANCO DEL DESARROLLO\prendas\2009\SOC. AGRICOLA AGRICOR.doc</t>
  </si>
  <si>
    <t>C:\Users\franc\OneDrive\Documentos\MALENTIN KARIME\BANCO ESTADO\2012 DEPTO ESCRITURAS fata\NOTARIA 2009\BANCO DEL DESARROLLO\prendas\2009\AGROIND. AGRICOR  PLANTACION  EXT.doc</t>
  </si>
  <si>
    <t>C:\Users\franc\OneDrive\Documentos\MALENTIN KARIME\BANCO ESTADO\2012 DEPTO ESCRITURAS fata\NOTARIA 2009\BANCO DEL DESARROLLO\prendas\2009\AGRICOLA ALFALFARES  PLANTACION  EXT.doc</t>
  </si>
  <si>
    <t>C:\Users\franc\OneDrive\Documentos\MALENTIN KARIME\BANCO ESTADO\2012 DEPTO ESCRITURAS fata\NOTARIA 2009\BANCO DEL DESARROLLO\prendas\2008\TOMAS CORTES.doc</t>
  </si>
  <si>
    <t>C:\Users\franc\OneDrive\Documentos\MALENTIN KARIME\BANCO ESTADO\2012 DEPTO ESCRITURAS fata\NOTARIA 2009\BANCO DEL DESARROLLO\prendas\2008\TOMAS CORTES  EXTRACTO.doc</t>
  </si>
  <si>
    <t>C:\Users\franc\OneDrive\Documentos\MALENTIN KARIME\BANCO ESTADO\2012 DEPTO ESCRITURAS fata\NOTARIA 2009\BANCO DEL DESARROLLO\prendas\2008\SOC. BOYENS CON ORIEL PERINES (PARTICULAR).doc</t>
  </si>
  <si>
    <t>C:\Users\franc\OneDrive\Documentos\MALENTIN KARIME\BANCO ESTADO\2012 DEPTO ESCRITURAS fata\NOTARIA 2009\BANCO DEL DESARROLLO\prendas\2008\SOC. ARKON LTDA.  A DABED (MANLIO METTIFOGO).doc</t>
  </si>
  <si>
    <t>C:\Users\franc\OneDrive\Documentos\MALENTIN KARIME\BANCO ESTADO\2012 DEPTO ESCRITURAS fata\NOTARIA 2009\BANCO DEL DESARROLLO\prendas\2008\SOC. AGRICOLA ALFALFARES.doc</t>
  </si>
  <si>
    <t>C:\Users\franc\OneDrive\Documentos\MALENTIN KARIME\BANCO ESTADO\2012 DEPTO ESCRITURAS fata\NOTARIA 2009\BANCO DEL DESARROLLO\prendas\2008\SCOTT WILLIAM 1.doc</t>
  </si>
  <si>
    <t>C:\Users\franc\OneDrive\Documentos\MALENTIN KARIME\BANCO ESTADO\2012 DEPTO ESCRITURAS fata\NOTARIA 2009\BANCO DEL DESARROLLO\prendas\2008\MIRIAM VEGA RIQUELME.doc</t>
  </si>
  <si>
    <t>C:\Users\franc\OneDrive\Documentos\MALENTIN KARIME\BANCO ESTADO\2012 DEPTO ESCRITURAS fata\NOTARIA 2009\BANCO DEL DESARROLLO\prendas\2008\MIRIAM VEGA EXTRACTO (MANLIO METTIFOGO).doc</t>
  </si>
  <si>
    <t>C:\Users\franc\OneDrive\Documentos\MALENTIN KARIME\BANCO ESTADO\2012 DEPTO ESCRITURAS fata\NOTARIA 2009\BANCO DEL DESARROLLO\prendas\2008\LAUTARO GONZALEZ.doc</t>
  </si>
  <si>
    <t>C:\Users\franc\OneDrive\Documentos\MALENTIN KARIME\BANCO ESTADO\2012 DEPTO ESCRITURAS fata\NOTARIA 2009\BANCO DEL DESARROLLO\prendas\2008\JULIO GONZALEZ EXTRACTO.doc</t>
  </si>
  <si>
    <t>C:\Users\franc\OneDrive\Documentos\MALENTIN KARIME\BANCO ESTADO\2012 DEPTO ESCRITURAS fata\NOTARIA 2009\BANCO DEL DESARROLLO\prendas\2008\JULIO GONZALEZ CANIVILO.doc</t>
  </si>
  <si>
    <t>C:\Users\franc\OneDrive\Documentos\MALENTIN KARIME\BANCO ESTADO\2012 DEPTO ESCRITURAS fata\NOTARIA 2009\BANCO DEL DESARROLLO\prendas\2008\JAVIER CASTILLO.doc</t>
  </si>
  <si>
    <t>C:\Users\franc\OneDrive\Documentos\MALENTIN KARIME\BANCO ESTADO\2012 DEPTO ESCRITURAS fata\NOTARIA 2009\BANCO DEL DESARROLLO\prendas\2008\JAVIER CASTILLO  EXTRACTO.doc</t>
  </si>
  <si>
    <t>C:\Users\franc\OneDrive\Documentos\MALENTIN KARIME\BANCO ESTADO\2012 DEPTO ESCRITURAS fata\NOTARIA 2009\BANCO DEL DESARROLLO\prendas\2008\INCOVEG LTDA..doc</t>
  </si>
  <si>
    <t>C:\Users\franc\OneDrive\Documentos\MALENTIN KARIME\BANCO ESTADO\2012 DEPTO ESCRITURAS fata\NOTARIA 2009\BANCO DEL DESARROLLO\prendas\2008\INCOVEG LTDA. EXTRACTO (MANLIO METTIFOGO).doc</t>
  </si>
  <si>
    <t>C:\Users\franc\OneDrive\Documentos\MALENTIN KARIME\BANCO ESTADO\2012 DEPTO ESCRITURAS fata\NOTARIA 2009\BANCO DEL DESARROLLO\prendas\2008\HERMAN VARAS.doc</t>
  </si>
  <si>
    <t>C:\Users\franc\OneDrive\Documentos\MALENTIN KARIME\BANCO ESTADO\2012 DEPTO ESCRITURAS fata\NOTARIA 2009\BANCO DEL DESARROLLO\prendas\2008\CIRO BARRIOS.doc</t>
  </si>
  <si>
    <t>C:\Users\franc\OneDrive\Documentos\MALENTIN KARIME\BANCO ESTADO\2012 DEPTO ESCRITURAS fata\NOTARIA 2009\BANCO DEL DESARROLLO\prendas\2008\CIRO BARRIOS EXTRACTO (MANLIO METTIFOGO).doc</t>
  </si>
  <si>
    <t>C:\Users\franc\OneDrive\Documentos\MALENTIN KARIME\BANCO ESTADO\2012 DEPTO ESCRITURAS fata\NOTARIA 2009\BANCO DEL DESARROLLO\prendas\2008\CARLOS ROJAS.doc</t>
  </si>
  <si>
    <t>C:\Users\franc\OneDrive\Documentos\MALENTIN KARIME\BANCO ESTADO\2012 DEPTO ESCRITURAS fata\NOTARIA 2009\BANCO DEL DESARROLLO\prendas\2008\CARLOS ROJAS   EXTRACTO.doc</t>
  </si>
  <si>
    <t>C:\Users\franc\OneDrive\Documentos\MALENTIN KARIME\BANCO ESTADO\2012 DEPTO ESCRITURAS fata\NOTARIA 2009\BANCO DEL DESARROLLO\prendas\2008\BERNARDO TAMBLAY.doc</t>
  </si>
  <si>
    <t>C:\Users\franc\OneDrive\Documentos\MALENTIN KARIME\BANCO ESTADO\2012 DEPTO ESCRITURAS fata\NOTARIA 2009\BANCO DEL DESARROLLO\prendas\2008\BERNARDO TAMBLAY EXTRACTO.doc</t>
  </si>
  <si>
    <t>C:\Users\franc\OneDrive\Documentos\MALENTIN KARIME\BANCO ESTADO\2012 DEPTO ESCRITURAS fata\NOTARIA 2009\BANCO DEL DESARROLLO\prendas\2007\VICTOR TORO.doc</t>
  </si>
  <si>
    <t>C:\Users\franc\OneDrive\Documentos\MALENTIN KARIME\BANCO ESTADO\2012 DEPTO ESCRITURAS fata\NOTARIA 2009\BANCO DEL DESARROLLO\prendas\2007\VICTOR TORO EXTRACTO.doc</t>
  </si>
  <si>
    <t>C:\Users\franc\OneDrive\Documentos\MALENTIN KARIME\BANCO ESTADO\2012 DEPTO ESCRITURAS fata\NOTARIA 2009\BANCO DEL DESARROLLO\prendas\2007\SOC. AGRIC. LOS ALAMOS LTDA..doc</t>
  </si>
  <si>
    <t>C:\Users\franc\OneDrive\Documentos\MALENTIN KARIME\BANCO ESTADO\2012 DEPTO ESCRITURAS fata\NOTARIA 2009\BANCO DEL DESARROLLO\prendas\2007\SANTA BARBARA.doc</t>
  </si>
  <si>
    <t>C:\Users\franc\OneDrive\Documentos\MALENTIN KARIME\BANCO ESTADO\2012 DEPTO ESCRITURAS fata\NOTARIA 2009\BANCO DEL DESARROLLO\prendas\2007\SANTA BARBARA EXTRACTO.doc</t>
  </si>
  <si>
    <t>C:\Users\franc\OneDrive\Documentos\MALENTIN KARIME\BANCO ESTADO\2012 DEPTO ESCRITURAS fata\NOTARIA 2009\BANCO DEL DESARROLLO\prendas\2007\SAMUEL CASTILLO.doc</t>
  </si>
  <si>
    <t>C:\Users\franc\OneDrive\Documentos\MALENTIN KARIME\BANCO ESTADO\2012 DEPTO ESCRITURAS fata\NOTARIA 2009\BANCO DEL DESARROLLO\prendas\2007\SAMUEL CASTILLO EXTRACTO.doc</t>
  </si>
  <si>
    <t>C:\Users\franc\OneDrive\Documentos\MALENTIN KARIME\BANCO ESTADO\2012 DEPTO ESCRITURAS fata\NOTARIA 2009\BANCO DEL DESARROLLO\prendas\2007\SALVADOR CASTILLO HONORES.doc</t>
  </si>
  <si>
    <t>C:\Users\franc\OneDrive\Documentos\MALENTIN KARIME\BANCO ESTADO\2012 DEPTO ESCRITURAS fata\NOTARIA 2009\BANCO DEL DESARROLLO\prendas\2007\RENE URZUA GOMEZ.doc</t>
  </si>
  <si>
    <t>C:\Users\franc\OneDrive\Documentos\MALENTIN KARIME\BANCO ESTADO\2012 DEPTO ESCRITURAS fata\NOTARIA 2009\BANCO DEL DESARROLLO\prendas\2007\RENE URZUA extracto.doc</t>
  </si>
  <si>
    <t>C:\Users\franc\OneDrive\Documentos\MALENTIN KARIME\BANCO ESTADO\2012 DEPTO ESCRITURAS fata\NOTARIA 2009\BANCO DEL DESARROLLO\prendas\2007\RAMON LUNA.doc</t>
  </si>
  <si>
    <t>C:\Users\franc\OneDrive\Documentos\MALENTIN KARIME\BANCO ESTADO\2012 DEPTO ESCRITURAS fata\NOTARIA 2009\BANCO DEL DESARROLLO\prendas\2007\RAMON LUNA EXTRACTO.doc</t>
  </si>
  <si>
    <t>C:\Users\franc\OneDrive\Documentos\MALENTIN KARIME\BANCO ESTADO\2012 DEPTO ESCRITURAS fata\NOTARIA 2009\BANCO DEL DESARROLLO\prendas\2007\POLO HEREDIA.doc</t>
  </si>
  <si>
    <t>C:\Users\franc\OneDrive\Documentos\MALENTIN KARIME\BANCO ESTADO\2012 DEPTO ESCRITURAS fata\NOTARIA 2009\BANCO DEL DESARROLLO\prendas\2007\POLO HEREDIA PLANTACION  EXT.doc</t>
  </si>
  <si>
    <t>C:\Users\franc\OneDrive\Documentos\MALENTIN KARIME\BANCO ESTADO\2012 DEPTO ESCRITURAS fata\NOTARIA 2009\BANCO DEL DESARROLLO\prendas\2007\POLO HEREDIA packing EXT.doc</t>
  </si>
  <si>
    <t>C:\Users\franc\OneDrive\Documentos\MALENTIN KARIME\BANCO ESTADO\2012 DEPTO ESCRITURAS fata\NOTARIA 2009\BANCO DEL DESARROLLO\prendas\2007\POLO HEREDIA (2) PACKING.doc</t>
  </si>
  <si>
    <t>C:\Users\franc\OneDrive\Documentos\MALENTIN KARIME\BANCO ESTADO\2012 DEPTO ESCRITURAS fata\NOTARIA 2009\BANCO DEL DESARROLLO\prendas\2007\NORA AGUIRRE FLORES.doc</t>
  </si>
  <si>
    <t>C:\Users\franc\OneDrive\Documentos\MALENTIN KARIME\BANCO ESTADO\2012 DEPTO ESCRITURAS fata\NOTARIA 2009\BANCO DEL DESARROLLO\prendas\2007\NORA AGUIRRE EXTRACTO.doc</t>
  </si>
  <si>
    <t>C:\Users\franc\OneDrive\Documentos\MALENTIN KARIME\BANCO ESTADO\2012 DEPTO ESCRITURAS fata\NOTARIA 2009\BANCO DEL DESARROLLO\prendas\2007\NIBALDO ORTIZ ORTIZ.doc</t>
  </si>
  <si>
    <t>C:\Users\franc\OneDrive\Documentos\MALENTIN KARIME\BANCO ESTADO\2012 DEPTO ESCRITURAS fata\NOTARIA 2009\BANCO DEL DESARROLLO\prendas\2007\NIBALDO ORTIZ EXTRACTO.doc</t>
  </si>
  <si>
    <t>C:\Users\franc\OneDrive\Documentos\MALENTIN KARIME\BANCO ESTADO\2012 DEPTO ESCRITURAS fata\NOTARIA 2009\BANCO DEL DESARROLLO\prendas\2007\MARIA HERNANDEZ.doc</t>
  </si>
  <si>
    <t>C:\Users\franc\OneDrive\Documentos\MALENTIN KARIME\BANCO ESTADO\2012 DEPTO ESCRITURAS fata\NOTARIA 2009\BANCO DEL DESARROLLO\prendas\2007\MANUEL ROBLES.doc</t>
  </si>
  <si>
    <t>C:\Users\franc\OneDrive\Documentos\MALENTIN KARIME\BANCO ESTADO\2012 DEPTO ESCRITURAS fata\NOTARIA 2009\BANCO DEL DESARROLLO\prendas\2007\MANUEL ROBLES EXTRACTO.doc</t>
  </si>
  <si>
    <t>C:\Users\franc\OneDrive\Documentos\MALENTIN KARIME\BANCO ESTADO\2012 DEPTO ESCRITURAS fata\NOTARIA 2009\BANCO DEL DESARROLLO\prendas\2007\MANUEL CASTAÑEDA.doc</t>
  </si>
  <si>
    <t>C:\Users\franc\OneDrive\Documentos\MALENTIN KARIME\BANCO ESTADO\2012 DEPTO ESCRITURAS fata\NOTARIA 2009\BANCO DEL DESARROLLO\prendas\2007\MANUEL CASTAÑEDA EXTRACTO.doc</t>
  </si>
  <si>
    <t>C:\Users\franc\OneDrive\Documentos\MALENTIN KARIME\BANCO ESTADO\2012 DEPTO ESCRITURAS fata\NOTARIA 2009\BANCO DEL DESARROLLO\prendas\2007\LUIS GARCIA.doc</t>
  </si>
  <si>
    <t>C:\Users\franc\OneDrive\Documentos\MALENTIN KARIME\BANCO ESTADO\2012 DEPTO ESCRITURAS fata\NOTARIA 2009\BANCO DEL DESARROLLO\prendas\2007\LUIS GARCIA GONZALEZ.doc</t>
  </si>
  <si>
    <t>C:\Users\franc\OneDrive\Documentos\MALENTIN KARIME\BANCO ESTADO\2012 DEPTO ESCRITURAS fata\NOTARIA 2009\BANCO DEL DESARROLLO\prendas\2007\LIDIA GONZALEZ EXTRACTO.doc</t>
  </si>
  <si>
    <t>C:\Users\franc\OneDrive\Documentos\MALENTIN KARIME\BANCO ESTADO\2012 DEPTO ESCRITURAS fata\NOTARIA 2009\BANCO DEL DESARROLLO\prendas\2007\JULIO ZEPEDA RAMIREZ.doc</t>
  </si>
  <si>
    <t>C:\Users\franc\OneDrive\Documentos\MALENTIN KARIME\BANCO ESTADO\2012 DEPTO ESCRITURAS fata\NOTARIA 2009\BANCO DEL DESARROLLO\prendas\2007\JULIO ZEPEDA EXTRACTO.doc</t>
  </si>
  <si>
    <t>C:\Users\franc\OneDrive\Documentos\MALENTIN KARIME\BANCO ESTADO\2012 DEPTO ESCRITURAS fata\NOTARIA 2009\BANCO DEL DESARROLLO\prendas\2007\JORGE ROJAS.doc</t>
  </si>
  <si>
    <t>C:\Users\franc\OneDrive\Documentos\MALENTIN KARIME\BANCO ESTADO\2012 DEPTO ESCRITURAS fata\NOTARIA 2009\BANCO DEL DESARROLLO\prendas\2007\JORGE ROJAS EXTRACTO.doc</t>
  </si>
  <si>
    <t>C:\Users\franc\OneDrive\Documentos\MALENTIN KARIME\BANCO ESTADO\2012 DEPTO ESCRITURAS fata\NOTARIA 2009\BANCO DEL DESARROLLO\prendas\2007\JAVIER AROS.doc</t>
  </si>
  <si>
    <t>C:\Users\franc\OneDrive\Documentos\MALENTIN KARIME\BANCO ESTADO\2012 DEPTO ESCRITURAS fata\NOTARIA 2009\BANCO DEL DESARROLLO\prendas\2007\JAVIER AROS EXTRACTO.doc</t>
  </si>
  <si>
    <t>C:\Users\franc\OneDrive\Documentos\MALENTIN KARIME\BANCO ESTADO\2012 DEPTO ESCRITURAS fata\NOTARIA 2009\BANCO DEL DESARROLLO\prendas\2007\JANET ESPINOSA.doc</t>
  </si>
  <si>
    <t>C:\Users\franc\OneDrive\Documentos\MALENTIN KARIME\BANCO ESTADO\2012 DEPTO ESCRITURAS fata\NOTARIA 2009\BANCO DEL DESARROLLO\prendas\2007\JANET ESPINOSA EXTRACTO.doc</t>
  </si>
  <si>
    <t>C:\Users\franc\OneDrive\Documentos\MALENTIN KARIME\BANCO ESTADO\2012 DEPTO ESCRITURAS fata\NOTARIA 2009\BANCO DEL DESARROLLO\prendas\2007\HERNAN CASTRO PIZARRO.doc</t>
  </si>
  <si>
    <t>C:\Users\franc\OneDrive\Documentos\MALENTIN KARIME\BANCO ESTADO\2012 DEPTO ESCRITURAS fata\NOTARIA 2009\BANCO DEL DESARROLLO\prendas\2007\GABRIEL ROBLES.doc</t>
  </si>
  <si>
    <t>C:\Users\franc\OneDrive\Documentos\MALENTIN KARIME\BANCO ESTADO\2012 DEPTO ESCRITURAS fata\NOTARIA 2009\BANCO DEL DESARROLLO\prendas\2007\ERWIN JIMENEZ.doc</t>
  </si>
  <si>
    <t>C:\Users\franc\OneDrive\Documentos\MALENTIN KARIME\BANCO ESTADO\2012 DEPTO ESCRITURAS fata\NOTARIA 2009\BANCO DEL DESARROLLO\prendas\2007\ERWIN JIMENEZ MERCADO extracto.doc</t>
  </si>
  <si>
    <t>C:\Users\franc\OneDrive\Documentos\MALENTIN KARIME\BANCO ESTADO\2012 DEPTO ESCRITURAS fata\NOTARIA 2009\BANCO DEL DESARROLLO\prendas\2007\ELIZABETH JOFRE.doc</t>
  </si>
  <si>
    <t>C:\Users\franc\OneDrive\Documentos\MALENTIN KARIME\BANCO ESTADO\2012 DEPTO ESCRITURAS fata\NOTARIA 2009\BANCO DEL DESARROLLO\prendas\2007\ELIZABETH JOFRE EXTRACTO.doc</t>
  </si>
  <si>
    <t>C:\Users\franc\OneDrive\Documentos\MALENTIN KARIME\BANCO ESTADO\2012 DEPTO ESCRITURAS fata\NOTARIA 2009\BANCO DEL DESARROLLO\prendas\2007\ADOLFO MONTENEGRO VEAS.doc</t>
  </si>
  <si>
    <t>C:\Users\franc\OneDrive\Documentos\MALENTIN KARIME\BANCO ESTADO\2012 DEPTO ESCRITURAS fata\NOTARIA 2009\BANCO DEL DESARROLLO\prendas\2007\ADOLFO MONTENEGRO  EXTRACTO.doc</t>
  </si>
  <si>
    <t>C:\Users\franc\OneDrive\Documentos\MALENTIN KARIME\BANCO ESTADO\2012 DEPTO ESCRITURAS fata\NOTARIA 2009\BANCO DEL DESARROLLO\prendas\YAMIL ROJO.doc</t>
  </si>
  <si>
    <t>C:\Users\franc\OneDrive\Documentos\MALENTIN KARIME\BANCO ESTADO\2012 DEPTO ESCRITURAS fata\NOTARIA 2009\BANCO DEL DESARROLLO\prendas\VICTOR CORTES.doc</t>
  </si>
  <si>
    <t>C:\Users\franc\OneDrive\Documentos\MALENTIN KARIME\BANCO ESTADO\2012 DEPTO ESCRITURAS fata\NOTARIA 2009\BANCO DEL DESARROLLO\prendas\VICTOR CORTES EXT.doc</t>
  </si>
  <si>
    <t>C:\Users\franc\OneDrive\Documentos\MALENTIN KARIME\BANCO ESTADO\2012 DEPTO ESCRITURAS fata\NOTARIA 2009\BANCO DEL DESARROLLO\prendas\SONIA MADRID.doc</t>
  </si>
  <si>
    <t>C:\Users\franc\OneDrive\Documentos\MALENTIN KARIME\BANCO ESTADO\2012 DEPTO ESCRITURAS fata\NOTARIA 2009\BANCO DEL DESARROLLO\prendas\SONIA MADRID EXTRACTO.doc</t>
  </si>
  <si>
    <t>C:\Users\franc\OneDrive\Documentos\MALENTIN KARIME\BANCO ESTADO\2012 DEPTO ESCRITURAS fata\NOTARIA 2009\BANCO DEL DESARROLLO\prendas\SOC. SAN LUIS EXTRACO.doc</t>
  </si>
  <si>
    <t>C:\Users\franc\OneDrive\Documentos\MALENTIN KARIME\BANCO ESTADO\2012 DEPTO ESCRITURAS fata\NOTARIA 2009\BANCO DEL DESARROLLO\prendas\SOC. MITIMAE.doc</t>
  </si>
  <si>
    <t>C:\Users\franc\OneDrive\Documentos\MALENTIN KARIME\BANCO ESTADO\2012 DEPTO ESCRITURAS fata\NOTARIA 2009\BANCO DEL DESARROLLO\prendas\SOC. MITIMAE EXT.doc</t>
  </si>
  <si>
    <t>C:\Users\franc\OneDrive\Documentos\MALENTIN KARIME\BANCO ESTADO\2012 DEPTO ESCRITURAS fata\NOTARIA 2009\BANCO DEL DESARROLLO\prendas\SOC. CONDE Y DIAZ.doc</t>
  </si>
  <si>
    <t>C:\Users\franc\OneDrive\Documentos\MALENTIN KARIME\BANCO ESTADO\2012 DEPTO ESCRITURAS fata\NOTARIA 2009\BANCO DEL DESARROLLO\prendas\SOC. CONDE Y DIAZ EXT.doc</t>
  </si>
  <si>
    <t>C:\Users\franc\OneDrive\Documentos\MALENTIN KARIME\BANCO ESTADO\2012 DEPTO ESCRITURAS fata\NOTARIA 2009\BANCO DEL DESARROLLO\prendas\Soc Agric San Luis Ltda.doc</t>
  </si>
  <si>
    <t>C:\Users\franc\OneDrive\Documentos\MALENTIN KARIME\BANCO ESTADO\2012 DEPTO ESCRITURAS fata\NOTARIA 2009\BANCO DEL DESARROLLO\prendas\SCOTT WILLIAM HEIDMILLER.doc</t>
  </si>
  <si>
    <t>C:\Users\franc\OneDrive\Documentos\MALENTIN KARIME\BANCO ESTADO\2012 DEPTO ESCRITURAS fata\NOTARIA 2009\BANCO DEL DESARROLLO\prendas\SCOTT WILLIAM EXT.doc</t>
  </si>
  <si>
    <t>C:\Users\franc\OneDrive\Documentos\MALENTIN KARIME\BANCO ESTADO\2012 DEPTO ESCRITURAS fata\NOTARIA 2009\BANCO DEL DESARROLLO\prendas\SALVADOR CASTILLO EXTRACTO.doc</t>
  </si>
  <si>
    <t>C:\Users\franc\OneDrive\Documentos\MALENTIN KARIME\BANCO ESTADO\2012 DEPTO ESCRITURAS fata\NOTARIA 2009\BANCO DEL DESARROLLO\prendas\ROSA BRAVO EXTRACTO.doc</t>
  </si>
  <si>
    <t>C:\Users\franc\OneDrive\Documentos\MALENTIN KARIME\BANCO ESTADO\2012 DEPTO ESCRITURAS fata\NOTARIA 2009\BANCO DEL DESARROLLO\prendas\ROSA BRAVO - RENE URZUA.doc</t>
  </si>
  <si>
    <t>C:\Users\franc\OneDrive\Documentos\MALENTIN KARIME\BANCO ESTADO\2012 DEPTO ESCRITURAS fata\NOTARIA 2009\BANCO DEL DESARROLLO\prendas\RICARDO ALLENDE SENTIS.doc</t>
  </si>
  <si>
    <t>C:\Users\franc\OneDrive\Documentos\MALENTIN KARIME\BANCO ESTADO\2012 DEPTO ESCRITURAS fata\NOTARIA 2009\BANCO DEL DESARROLLO\prendas\RICARDO ALLENDE EXT.doc</t>
  </si>
  <si>
    <t>C:\Users\franc\OneDrive\Documentos\MALENTIN KARIME\BANCO ESTADO\2012 DEPTO ESCRITURAS fata\NOTARIA 2009\BANCO DEL DESARROLLO\prendas\PERSONERIA MARIO HUERTA.doc</t>
  </si>
  <si>
    <t>C:\Users\franc\OneDrive\Documentos\MALENTIN KARIME\BANCO ESTADO\2012 DEPTO ESCRITURAS fata\NOTARIA 2009\BANCO DEL DESARROLLO\prendas\PABLINO ROJAS.doc</t>
  </si>
  <si>
    <t>C:\Users\franc\OneDrive\Documentos\MALENTIN KARIME\BANCO ESTADO\2012 DEPTO ESCRITURAS fata\NOTARIA 2009\BANCO DEL DESARROLLO\prendas\OSCIEL BUGUEÑO EXTRACTO.doc</t>
  </si>
  <si>
    <t>C:\Users\franc\OneDrive\Documentos\MALENTIN KARIME\BANCO ESTADO\2012 DEPTO ESCRITURAS fata\NOTARIA 2009\BANCO DEL DESARROLLO\prendas\OSCIEL BUGUEÑO CARVAJAL.doc</t>
  </si>
  <si>
    <t>C:\Users\franc\OneDrive\Documentos\MALENTIN KARIME\BANCO ESTADO\2012 DEPTO ESCRITURAS fata\NOTARIA 2009\BANCO DEL DESARROLLO\prendas\ORLANDO DALBOSCO.doc</t>
  </si>
  <si>
    <t>C:\Users\franc\OneDrive\Documentos\MALENTIN KARIME\BANCO ESTADO\2012 DEPTO ESCRITURAS fata\NOTARIA 2009\BANCO DEL DESARROLLO\prendas\ORLANDO DALBOSCO EXT.doc</t>
  </si>
  <si>
    <t>C:\Users\franc\OneDrive\Documentos\MALENTIN KARIME\BANCO ESTADO\2012 DEPTO ESCRITURAS fata\NOTARIA 2009\BANCO DEL DESARROLLO\prendas\MODELO NOTARIO.doc</t>
  </si>
  <si>
    <t>C:\Users\franc\OneDrive\Documentos\MALENTIN KARIME\BANCO ESTADO\2012 DEPTO ESCRITURAS fata\NOTARIA 2009\BANCO DEL DESARROLLO\prendas\Misael Tapia EXT.doc</t>
  </si>
  <si>
    <t>C:\Users\franc\OneDrive\Documentos\MALENTIN KARIME\BANCO ESTADO\2012 DEPTO ESCRITURAS fata\NOTARIA 2009\BANCO DEL DESARROLLO\prendas\Misael Tapia Campusano.doc</t>
  </si>
  <si>
    <t>C:\Users\franc\OneDrive\Documentos\MALENTIN KARIME\BANCO ESTADO\2012 DEPTO ESCRITURAS fata\NOTARIA 2009\BANCO DEL DESARROLLO\prendas\MANUEL CASTAÑEDA.doc</t>
  </si>
  <si>
    <t>C:\Users\franc\OneDrive\Documentos\MALENTIN KARIME\BANCO ESTADO\2012 DEPTO ESCRITURAS fata\NOTARIA 2009\BANCO DEL DESARROLLO\prendas\MANUEL CASTAÑEDA EXT.doc</t>
  </si>
  <si>
    <t>C:\Users\franc\OneDrive\Documentos\MALENTIN KARIME\BANCO ESTADO\2012 DEPTO ESCRITURAS fata\NOTARIA 2009\BANCO DEL DESARROLLO\prendas\MANUEL AVALOS EXTRACTO.doc</t>
  </si>
  <si>
    <t>C:\Users\franc\OneDrive\Documentos\MALENTIN KARIME\BANCO ESTADO\2012 DEPTO ESCRITURAS fata\NOTARIA 2009\BANCO DEL DESARROLLO\prendas\Manuel Avalos Castillo - cv.marzo.doc</t>
  </si>
  <si>
    <t>C:\Users\franc\OneDrive\Documentos\MALENTIN KARIME\BANCO ESTADO\2012 DEPTO ESCRITURAS fata\NOTARIA 2009\BANCO DEL DESARROLLO\prendas\MANDATO ISAAC ALAMO.doc</t>
  </si>
  <si>
    <t>C:\Users\franc\OneDrive\Documentos\MALENTIN KARIME\BANCO ESTADO\2012 DEPTO ESCRITURAS fata\NOTARIA 2009\BANCO DEL DESARROLLO\prendas\JUANA ROJAS.doc</t>
  </si>
  <si>
    <t>C:\Users\franc\OneDrive\Documentos\MALENTIN KARIME\BANCO ESTADO\2012 DEPTO ESCRITURAS fata\NOTARIA 2009\BANCO DEL DESARROLLO\prendas\JUANA ROJAS EXT.doc</t>
  </si>
  <si>
    <t>C:\Users\franc\OneDrive\Documentos\MALENTIN KARIME\BANCO ESTADO\2012 DEPTO ESCRITURAS fata\NOTARIA 2009\BANCO DEL DESARROLLO\prendas\JUANA ROJAS ARAYA EX.doc</t>
  </si>
  <si>
    <t>C:\Users\franc\OneDrive\Documentos\MALENTIN KARIME\BANCO ESTADO\2012 DEPTO ESCRITURAS fata\NOTARIA 2009\BANCO DEL DESARROLLO\prendas\JUAN DIAZ BUGUEÑO EXT.doc</t>
  </si>
  <si>
    <t>C:\Users\franc\OneDrive\Documentos\MALENTIN KARIME\BANCO ESTADO\2012 DEPTO ESCRITURAS fata\NOTARIA 2009\BANCO DEL DESARROLLO\prendas\JOSE OSSA HUENOLAFF.doc</t>
  </si>
  <si>
    <t>C:\Users\franc\OneDrive\Documentos\MALENTIN KARIME\BANCO ESTADO\2012 DEPTO ESCRITURAS fata\NOTARIA 2009\BANCO DEL DESARROLLO\prendas\JOSE OSSA EXTRACTO.doc</t>
  </si>
  <si>
    <t>C:\Users\franc\OneDrive\Documentos\MALENTIN KARIME\BANCO ESTADO\2012 DEPTO ESCRITURAS fata\NOTARIA 2009\BANCO DEL DESARROLLO\prendas\ISMAEL SEGOVIA - JULIO MEDALLA.doc</t>
  </si>
  <si>
    <t>C:\Users\franc\OneDrive\Documentos\MALENTIN KARIME\BANCO ESTADO\2012 DEPTO ESCRITURAS fata\NOTARIA 2009\BANCO DEL DESARROLLO\prendas\INVERSIONES ARTIGUES (2).doc</t>
  </si>
  <si>
    <t>C:\Users\franc\OneDrive\Documentos\MALENTIN KARIME\BANCO ESTADO\2012 DEPTO ESCRITURAS fata\NOTARIA 2009\BANCO DEL DESARROLLO\prendas\HERNAN CASTRO PIZARRO EXTR.doc</t>
  </si>
  <si>
    <t>C:\Users\franc\OneDrive\Documentos\MALENTIN KARIME\BANCO ESTADO\2012 DEPTO ESCRITURAS fata\NOTARIA 2009\BANCO DEL DESARROLLO\prendas\HERMAN CORTES ROBLE JUNIO 2006.doc</t>
  </si>
  <si>
    <t>C:\Users\franc\OneDrive\Documentos\MALENTIN KARIME\BANCO ESTADO\2012 DEPTO ESCRITURAS fata\NOTARIA 2009\BANCO DEL DESARROLLO\prendas\HERMAN CORTES EXT.doc</t>
  </si>
  <si>
    <t>C:\Users\franc\OneDrive\Documentos\MALENTIN KARIME\BANCO ESTADO\2012 DEPTO ESCRITURAS fata\NOTARIA 2009\BANCO DEL DESARROLLO\prendas\GABRIEL ROBLES MIRANDA EXTR.doc</t>
  </si>
  <si>
    <t>C:\Users\franc\OneDrive\Documentos\MALENTIN KARIME\BANCO ESTADO\2012 DEPTO ESCRITURAS fata\NOTARIA 2009\BANCO DEL DESARROLLO\prendas\FRANCO PEREZ ZAMBRA EXTRACTO.doc</t>
  </si>
  <si>
    <t>C:\Users\franc\OneDrive\Documentos\MALENTIN KARIME\BANCO ESTADO\2012 DEPTO ESCRITURAS fata\NOTARIA 2009\BANCO DEL DESARROLLO\prendas\FRANCISCO SALINAS.doc</t>
  </si>
  <si>
    <t>C:\Users\franc\OneDrive\Documentos\MALENTIN KARIME\BANCO ESTADO\2012 DEPTO ESCRITURAS fata\NOTARIA 2009\BANCO DEL DESARROLLO\prendas\Francisco Niño de Zepeda.doc</t>
  </si>
  <si>
    <t>C:\Users\franc\OneDrive\Documentos\MALENTIN KARIME\BANCO ESTADO\2012 DEPTO ESCRITURAS fata\NOTARIA 2009\BANCO DEL DESARROLLO\prendas\FITO MENDEZ.doc</t>
  </si>
  <si>
    <t>C:\Users\franc\OneDrive\Documentos\MALENTIN KARIME\BANCO ESTADO\2012 DEPTO ESCRITURAS fata\NOTARIA 2009\BANCO DEL DESARROLLO\prendas\FCO. SALINAS EXT.doc</t>
  </si>
  <si>
    <t>C:\Users\franc\OneDrive\Documentos\MALENTIN KARIME\BANCO ESTADO\2012 DEPTO ESCRITURAS fata\NOTARIA 2009\BANCO DEL DESARROLLO\prendas\EDUARDO CORTES AROSTICA.doc</t>
  </si>
  <si>
    <t>C:\Users\franc\OneDrive\Documentos\MALENTIN KARIME\BANCO ESTADO\2012 DEPTO ESCRITURAS fata\NOTARIA 2009\BANCO DEL DESARROLLO\prendas\DAVID CARVAJAL EXT.doc</t>
  </si>
  <si>
    <t>C:\Users\franc\OneDrive\Documentos\MALENTIN KARIME\BANCO ESTADO\2012 DEPTO ESCRITURAS fata\NOTARIA 2009\BANCO DEL DESARROLLO\prendas\CECILIA ROJAS Q..doc</t>
  </si>
  <si>
    <t>C:\Users\franc\OneDrive\Documentos\MALENTIN KARIME\BANCO ESTADO\2012 DEPTO ESCRITURAS fata\NOTARIA 2009\BANCO DEL DESARROLLO\prendas\CECILIA ROJAS  EXT.doc</t>
  </si>
  <si>
    <t>C:\Users\franc\OneDrive\Documentos\MALENTIN KARIME\BANCO ESTADO\2012 DEPTO ESCRITURAS fata\NOTARIA 2009\BANCO DEL DESARROLLO\prendas\CARTA GASTOS.doc</t>
  </si>
  <si>
    <t>C:\Users\franc\OneDrive\Documentos\MALENTIN KARIME\BANCO ESTADO\2012 DEPTO ESCRITURAS fata\NOTARIA 2009\BANCO DEL DESARROLLO\prendas\CARMEN BRAVO Y SOC. FLOR MARIA.doc</t>
  </si>
  <si>
    <t>C:\Users\franc\OneDrive\Documentos\MALENTIN KARIME\BANCO ESTADO\2012 DEPTO ESCRITURAS fata\NOTARIA 2009\BANCO DEL DESARROLLO\prendas\CARMEN BRAVCO.doc</t>
  </si>
  <si>
    <t>C:\Users\franc\OneDrive\Documentos\MALENTIN KARIME\BANCO ESTADO\2012 DEPTO ESCRITURAS fata\NOTARIA 2009\BANCO DEL DESARROLLO\prendas\Carlos Rojas Salinas PRENDA SIN DESPLAZAMIENTO.doc</t>
  </si>
  <si>
    <t>C:\Users\franc\OneDrive\Documentos\MALENTIN KARIME\BANCO ESTADO\2012 DEPTO ESCRITURAS fata\NOTARIA 2009\BANCO DEL DESARROLLO\prendas\Carlos Cisternas Rojas.doc</t>
  </si>
  <si>
    <t>C:\Users\franc\OneDrive\Documentos\MALENTIN KARIME\BANCO ESTADO\2012 DEPTO ESCRITURAS fata\NOTARIA 2009\BANCO DEL DESARROLLO\prendas\CARLOS ASTETE.doc</t>
  </si>
  <si>
    <t>C:\Users\franc\OneDrive\Documentos\MALENTIN KARIME\BANCO ESTADO\2012 DEPTO ESCRITURAS fata\NOTARIA 2009\BANCO DEL DESARROLLO\prendas\CARLOS ASTETE SEPULVEDA EX.doc</t>
  </si>
  <si>
    <t>C:\Users\franc\OneDrive\Documentos\MALENTIN KARIME\BANCO ESTADO\2012 DEPTO ESCRITURAS fata\NOTARIA 2009\BANCO DEL DESARROLLO\prendas\BENITO CASTAÑEDA.doc</t>
  </si>
  <si>
    <t>C:\Users\franc\OneDrive\Documentos\MALENTIN KARIME\BANCO ESTADO\2012 DEPTO ESCRITURAS fata\NOTARIA 2009\BANCO DEL DESARROLLO\prendas\BENITO CASTAÑEDA EXT.doc</t>
  </si>
  <si>
    <t>C:\Users\franc\OneDrive\Documentos\MALENTIN KARIME\BANCO ESTADO\2012 DEPTO ESCRITURAS fata\NOTARIA 2009\BANCO DEL DESARROLLO\prendas\AMILCAR NUÑEZ CASTILLO EXT.doc</t>
  </si>
  <si>
    <t>C:\Users\franc\OneDrive\Documentos\MALENTIN KARIME\BANCO ESTADO\2012 DEPTO ESCRITURAS fata\NOTARIA 2009\BANCO DEL DESARROLLO\prendas\ABEL CASTAÑEDA.doc</t>
  </si>
  <si>
    <t>C:\Users\franc\OneDrive\Documentos\MALENTIN KARIME\BANCO ESTADO\2012 DEPTO ESCRITURAS fata\NOTARIA 2009\BANCO DEL DESARROLLO\prendas\ABEL CASTAÑEDA EXT.doc</t>
  </si>
  <si>
    <t>C:\Users\franc\OneDrive\Documentos\MALENTIN KARIME\BANCO ESTADO\2012 DEPTO ESCRITURAS fata\NOTARIA 2009\BANCO DEL DESARROLLO\prendas\ABEL CASTAÑEDA   JUNIO 2006.doc</t>
  </si>
  <si>
    <t>C:\Users\franc\OneDrive\Documentos\MALENTIN KARIME\BANCO ESTADO\2012 DEPTO ESCRITURAS fata\NOTARIA 2009\BANCO DEL DESARROLLO\PAGO\CARLOS DIAZ PAGO Y SUBROGACION.doc</t>
  </si>
  <si>
    <t>C:\Users\franc\OneDrive\Documentos\MALENTIN KARIME\BANCO ESTADO\2012 DEPTO ESCRITURAS fata\NOTARIA 2009\BANCO DEL DESARROLLO\MUTUO E HIPOTECA\XIMENA RAMOS.doc</t>
  </si>
  <si>
    <t>C:\Users\franc\OneDrive\Documentos\MALENTIN KARIME\BANCO ESTADO\2012 DEPTO ESCRITURAS fata\NOTARIA 2009\BANCO DEL DESARROLLO\MUTUO E HIPOTECA\XIMENA BENAVENTE - ELSA TELLO.doc</t>
  </si>
  <si>
    <t>C:\Users\franc\OneDrive\Documentos\MALENTIN KARIME\BANCO ESTADO\2012 DEPTO ESCRITURAS fata\NOTARIA 2009\BANCO DEL DESARROLLO\MUTUO E HIPOTECA\UBERLINDA CORTES ROBLES.doc</t>
  </si>
  <si>
    <t>C:\Users\franc\OneDrive\Documentos\MALENTIN KARIME\BANCO ESTADO\2012 DEPTO ESCRITURAS fata\NOTARIA 2009\BANCO DEL DESARROLLO\MUTUO E HIPOTECA\SOC. COMERC. DE RIEGOS LTDA.doc</t>
  </si>
  <si>
    <t>C:\Users\franc\OneDrive\Documentos\MALENTIN KARIME\BANCO ESTADO\2012 DEPTO ESCRITURAS fata\NOTARIA 2009\BANCO DEL DESARROLLO\MUTUO E HIPOTECA\SOC ING Y CONST ALFA LTDA.doc</t>
  </si>
  <si>
    <t>C:\Users\franc\OneDrive\Documentos\MALENTIN KARIME\BANCO ESTADO\2012 DEPTO ESCRITURAS fata\NOTARIA 2009\BANCO DEL DESARROLLO\MUTUO E HIPOTECA\SILVIA VEGA VEGA.doc</t>
  </si>
  <si>
    <t>C:\Users\franc\OneDrive\Documentos\MALENTIN KARIME\BANCO ESTADO\2012 DEPTO ESCRITURAS fata\NOTARIA 2009\BANCO DEL DESARROLLO\MUTUO E HIPOTECA\SANDRA ROJAS - ALFONSO LATU.doc</t>
  </si>
  <si>
    <t>C:\Users\franc\OneDrive\Documentos\MALENTIN KARIME\BANCO ESTADO\2012 DEPTO ESCRITURAS fata\NOTARIA 2009\BANCO DEL DESARROLLO\MUTUO E HIPOTECA\ROSSANA SANTIBAÑEZ con BANCO DESARROLLO.doc</t>
  </si>
  <si>
    <t>C:\Users\franc\OneDrive\Documentos\MALENTIN KARIME\BANCO ESTADO\2012 DEPTO ESCRITURAS fata\NOTARIA 2009\BANCO DEL DESARROLLO\MUTUO E HIPOTECA\ROBINSON LABARCA - HERIBERTO CHELEN.doc</t>
  </si>
  <si>
    <t>C:\Users\franc\OneDrive\Documentos\MALENTIN KARIME\BANCO ESTADO\2012 DEPTO ESCRITURAS fata\NOTARIA 2009\BANCO DEL DESARROLLO\MUTUO E HIPOTECA\RENATO GUERRA MIRANDA.doc</t>
  </si>
  <si>
    <t>C:\Users\franc\OneDrive\Documentos\MALENTIN KARIME\BANCO ESTADO\2012 DEPTO ESCRITURAS fata\NOTARIA 2009\BANCO DEL DESARROLLO\MUTUO E HIPOTECA\PAULA Y CONSUELO LIMITADA.doc</t>
  </si>
  <si>
    <t>C:\Users\franc\OneDrive\Documentos\MALENTIN KARIME\BANCO ESTADO\2012 DEPTO ESCRITURAS fata\NOTARIA 2009\BANCO DEL DESARROLLO\MUTUO E HIPOTECA\PAOLA CUEVAS CORTES.doc</t>
  </si>
  <si>
    <t>C:\Users\franc\OneDrive\Documentos\MALENTIN KARIME\BANCO ESTADO\2012 DEPTO ESCRITURAS fata\NOTARIA 2009\BANCO DEL DESARROLLO\MUTUO E HIPOTECA\PABLO CORRAL RIVEROS.doc</t>
  </si>
  <si>
    <t>C:\Users\franc\OneDrive\Documentos\MALENTIN KARIME\BANCO ESTADO\2012 DEPTO ESCRITURAS fata\NOTARIA 2009\BANCO DEL DESARROLLO\MUTUO E HIPOTECA\OSCIEL SILVA - DOBLE M.doc</t>
  </si>
  <si>
    <t>C:\Users\franc\OneDrive\Documentos\MALENTIN KARIME\BANCO ESTADO\2012 DEPTO ESCRITURAS fata\NOTARIA 2009\BANCO DEL DESARROLLO\MUTUO E HIPOTECA\OSCIEL SILVA - DOBLE M final.doc</t>
  </si>
  <si>
    <t>C:\Users\franc\OneDrive\Documentos\MALENTIN KARIME\BANCO ESTADO\2012 DEPTO ESCRITURAS fata\NOTARIA 2009\BANCO DEL DESARROLLO\MUTUO E HIPOTECA\OSCAR BUGUEÑO.doc</t>
  </si>
  <si>
    <t>C:\Users\franc\OneDrive\Documentos\MALENTIN KARIME\BANCO ESTADO\2012 DEPTO ESCRITURAS fata\NOTARIA 2009\BANCO DEL DESARROLLO\MUTUO E HIPOTECA\OMAR VELIZ CARRASCO MUTUO COM.doc</t>
  </si>
  <si>
    <t>C:\Users\franc\OneDrive\Documentos\MALENTIN KARIME\BANCO ESTADO\2012 DEPTO ESCRITURAS fata\NOTARIA 2009\BANCO DEL DESARROLLO\MUTUO E HIPOTECA\NELIDA ZUMARAN (M. METTIFOGO).doc</t>
  </si>
  <si>
    <t>C:\Users\franc\OneDrive\Documentos\MALENTIN KARIME\BANCO ESTADO\2012 DEPTO ESCRITURAS fata\NOTARIA 2009\BANCO DEL DESARROLLO\MUTUO E HIPOTECA\MODELO NOTARIO.doc</t>
  </si>
  <si>
    <t>C:\Users\franc\OneDrive\Documentos\MALENTIN KARIME\BANCO ESTADO\2012 DEPTO ESCRITURAS fata\NOTARIA 2009\BANCO DEL DESARROLLO\MUTUO E HIPOTECA\MAURICIO BRICEÑO - DOBLE M.doc</t>
  </si>
  <si>
    <t>C:\Users\franc\OneDrive\Documentos\MALENTIN KARIME\BANCO ESTADO\2012 DEPTO ESCRITURAS fata\NOTARIA 2009\BANCO DEL DESARROLLO\MUTUO E HIPOTECA\MARTA ALVAREZ ARAYA.doc</t>
  </si>
  <si>
    <t>C:\Users\franc\OneDrive\Documentos\MALENTIN KARIME\BANCO ESTADO\2012 DEPTO ESCRITURAS fata\NOTARIA 2009\BANCO DEL DESARROLLO\MUTUO E HIPOTECA\MARIA MOLINA SOLA.doc</t>
  </si>
  <si>
    <t>C:\Users\franc\OneDrive\Documentos\MALENTIN KARIME\BANCO ESTADO\2012 DEPTO ESCRITURAS fata\NOTARIA 2009\BANCO DEL DESARROLLO\MUTUO E HIPOTECA\MANUEL BRICEÑO - ORLANDO BARRIOS.doc</t>
  </si>
  <si>
    <t>C:\Users\franc\OneDrive\Documentos\MALENTIN KARIME\BANCO ESTADO\2012 DEPTO ESCRITURAS fata\NOTARIA 2009\BANCO DEL DESARROLLO\MUTUO E HIPOTECA\LUIS CORTES ALFARO.doc</t>
  </si>
  <si>
    <t>C:\Users\franc\OneDrive\Documentos\MALENTIN KARIME\BANCO ESTADO\2012 DEPTO ESCRITURAS fata\NOTARIA 2009\BANCO DEL DESARROLLO\MUTUO E HIPOTECA\JULIO CORTES PASTEN.doc</t>
  </si>
  <si>
    <t>C:\Users\franc\OneDrive\Documentos\MALENTIN KARIME\BANCO ESTADO\2012 DEPTO ESCRITURAS fata\NOTARIA 2009\BANCO DEL DESARROLLO\MUTUO E HIPOTECA\JUAN LOPEZ PIZARRO.doc</t>
  </si>
  <si>
    <t>C:\Users\franc\OneDrive\Documentos\MALENTIN KARIME\BANCO ESTADO\2012 DEPTO ESCRITURAS fata\NOTARIA 2009\BANCO DEL DESARROLLO\MUTUO E HIPOTECA\JORGE RIVERA CASTRO.doc</t>
  </si>
  <si>
    <t>C:\Users\franc\OneDrive\Documentos\MALENTIN KARIME\BANCO ESTADO\2012 DEPTO ESCRITURAS fata\NOTARIA 2009\BANCO DEL DESARROLLO\MUTUO E HIPOTECA\JORGE BARRAZA.doc</t>
  </si>
  <si>
    <t>C:\Users\franc\OneDrive\Documentos\MALENTIN KARIME\BANCO ESTADO\2012 DEPTO ESCRITURAS fata\NOTARIA 2009\BANCO DEL DESARROLLO\MUTUO E HIPOTECA\JAIME TAPIA SAEZ MUTUO HIPOTECARIO.doc</t>
  </si>
  <si>
    <t>C:\Users\franc\OneDrive\Documentos\MALENTIN KARIME\BANCO ESTADO\2012 DEPTO ESCRITURAS fata\NOTARIA 2009\BANCO DEL DESARROLLO\MUTUO E HIPOTECA\ISRAEL DUBO.doc</t>
  </si>
  <si>
    <t>C:\Users\franc\OneDrive\Documentos\MALENTIN KARIME\BANCO ESTADO\2012 DEPTO ESCRITURAS fata\NOTARIA 2009\BANCO DEL DESARROLLO\MUTUO E HIPOTECA\ISMAEL SEGOVIA VILLANUEVA.doc</t>
  </si>
  <si>
    <t>C:\Users\franc\OneDrive\Documentos\MALENTIN KARIME\BANCO ESTADO\2012 DEPTO ESCRITURAS fata\NOTARIA 2009\BANCO DEL DESARROLLO\MUTUO E HIPOTECA\INVERS. CAHUR LTDA..doc</t>
  </si>
  <si>
    <t>C:\Users\franc\OneDrive\Documentos\MALENTIN KARIME\BANCO ESTADO\2012 DEPTO ESCRITURAS fata\NOTARIA 2009\BANCO DEL DESARROLLO\MUTUO E HIPOTECA\IBAR MORENO.doc</t>
  </si>
  <si>
    <t>C:\Users\franc\OneDrive\Documentos\MALENTIN KARIME\BANCO ESTADO\2012 DEPTO ESCRITURAS fata\NOTARIA 2009\BANCO DEL DESARROLLO\MUTUO E HIPOTECA\HUGO ROJAS - STA. CATALINA.doc</t>
  </si>
  <si>
    <t>C:\Users\franc\OneDrive\Documentos\MALENTIN KARIME\BANCO ESTADO\2012 DEPTO ESCRITURAS fata\NOTARIA 2009\BANCO DEL DESARROLLO\MUTUO E HIPOTECA\GUILLERMO CORTES - STA. CATALINA.doc</t>
  </si>
  <si>
    <t>C:\Users\franc\OneDrive\Documentos\MALENTIN KARIME\BANCO ESTADO\2012 DEPTO ESCRITURAS fata\NOTARIA 2009\BANCO DEL DESARROLLO\MUTUO E HIPOTECA\GABRIEL VICENCIO.doc</t>
  </si>
  <si>
    <t>C:\Users\franc\OneDrive\Documentos\MALENTIN KARIME\BANCO ESTADO\2012 DEPTO ESCRITURAS fata\NOTARIA 2009\BANCO DEL DESARROLLO\MUTUO E HIPOTECA\FREDT  CARRASCO.doc</t>
  </si>
  <si>
    <t>C:\Users\franc\OneDrive\Documentos\MALENTIN KARIME\BANCO ESTADO\2012 DEPTO ESCRITURAS fata\NOTARIA 2009\BANCO DEL DESARROLLO\MUTUO E HIPOTECA\EXEQUIEL ALFARO MUTUO E HIP.doc</t>
  </si>
  <si>
    <t>C:\Users\franc\OneDrive\Documentos\MALENTIN KARIME\BANCO ESTADO\2012 DEPTO ESCRITURAS fata\NOTARIA 2009\BANCO DEL DESARROLLO\MUTUO E HIPOTECA\ESTEBAN VILCHES.doc</t>
  </si>
  <si>
    <t>C:\Users\franc\OneDrive\Documentos\MALENTIN KARIME\BANCO ESTADO\2012 DEPTO ESCRITURAS fata\NOTARIA 2009\BANCO DEL DESARROLLO\MUTUO E HIPOTECA\EDUARDO CERDA.doc</t>
  </si>
  <si>
    <t>C:\Users\franc\OneDrive\Documentos\MALENTIN KARIME\BANCO ESTADO\2012 DEPTO ESCRITURAS fata\NOTARIA 2009\BANCO DEL DESARROLLO\MUTUO E HIPOTECA\DON VALENTINO S.A..doc</t>
  </si>
  <si>
    <t>C:\Users\franc\OneDrive\Documentos\MALENTIN KARIME\BANCO ESTADO\2012 DEPTO ESCRITURAS fata\NOTARIA 2009\BANCO DEL DESARROLLO\MUTUO E HIPOTECA\DAVID ROJAS.doc</t>
  </si>
  <si>
    <t>C:\Users\franc\OneDrive\Documentos\MALENTIN KARIME\BANCO ESTADO\2012 DEPTO ESCRITURAS fata\NOTARIA 2009\BANCO DEL DESARROLLO\MUTUO E HIPOTECA\CV Ptmo Let Cred Viv MARCELA ROJAS MONARDES.doc</t>
  </si>
  <si>
    <t>C:\Users\franc\OneDrive\Documentos\MALENTIN KARIME\BANCO ESTADO\2012 DEPTO ESCRITURAS fata\NOTARIA 2009\BANCO DEL DESARROLLO\MUTUO E HIPOTECA\CLAUDIO AVALOS ARAYA.doc</t>
  </si>
  <si>
    <t>C:\Users\franc\OneDrive\Documentos\MALENTIN KARIME\BANCO ESTADO\2012 DEPTO ESCRITURAS fata\NOTARIA 2009\BANCO DEL DESARROLLO\MUTUO E HIPOTECA\CARTA INSTRUCCIONES AGROPALQUI.doc</t>
  </si>
  <si>
    <t>C:\Users\franc\OneDrive\Documentos\MALENTIN KARIME\BANCO ESTADO\2012 DEPTO ESCRITURAS fata\NOTARIA 2009\BANCO DEL DESARROLLO\MUTUO E HIPOTECA\CARMEN GALLEGUILLOS A SUC. CORTES SULANTAY.doc</t>
  </si>
  <si>
    <t>C:\Users\franc\OneDrive\Documentos\MALENTIN KARIME\BANCO ESTADO\2012 DEPTO ESCRITURAS fata\NOTARIA 2009\BANCO DEL DESARROLLO\MUTUO E HIPOTECA\AURA CAMPILLAY (STA. BARBARA).doc</t>
  </si>
  <si>
    <t>C:\Users\franc\OneDrive\Documentos\MALENTIN KARIME\BANCO ESTADO\2012 DEPTO ESCRITURAS fata\NOTARIA 2009\BANCO DEL DESARROLLO\MUTUO E HIPOTECA\AQUILES PALACIOS.doc</t>
  </si>
  <si>
    <t>C:\Users\franc\OneDrive\Documentos\MALENTIN KARIME\BANCO ESTADO\2012 DEPTO ESCRITURAS fata\NOTARIA 2009\BANCO DEL DESARROLLO\MUTUO E HIPOTECA\ALTAMIRA[1].CVI.doc</t>
  </si>
  <si>
    <t>C:\Users\franc\OneDrive\Documentos\MALENTIN KARIME\BANCO ESTADO\2012 DEPTO ESCRITURAS fata\NOTARIA 2009\BANCO DEL DESARROLLO\MUTUO E HIPOTECA\ALEXIS TAPIA SANTANDER.doc</t>
  </si>
  <si>
    <t>C:\Users\franc\OneDrive\Documentos\MALENTIN KARIME\BANCO ESTADO\2012 DEPTO ESCRITURAS fata\NOTARIA 2009\BANCO DEL DESARROLLO\MUTUO E HIPOTECA\ALEXIS CORTES HINAREJO.doc</t>
  </si>
  <si>
    <t>C:\Users\franc\OneDrive\Documentos\MALENTIN KARIME\BANCO ESTADO\2012 DEPTO ESCRITURAS fata\NOTARIA 2009\BANCO DEL DESARROLLO\MUTUO E HIPOTECA\ALEJANDRO ROBLES  - STA. CATALINA.doc</t>
  </si>
  <si>
    <t>C:\Users\franc\OneDrive\Documentos\MALENTIN KARIME\BANCO ESTADO\2012 DEPTO ESCRITURAS fata\NOTARIA 2009\BANCO DEL DESARROLLO\MUTUO E HIPOTECA\ALBERTO LANAS.doc</t>
  </si>
  <si>
    <t>C:\Users\franc\OneDrive\Documentos\MALENTIN KARIME\BANCO ESTADO\2012 DEPTO ESCRITURAS fata\NOTARIA 2009\BANCO DEL DESARROLLO\MUTUO E HIPOTECA\ADOLFO MONTENEGRO VEAS 2.doc</t>
  </si>
  <si>
    <t>C:\Users\franc\OneDrive\Documentos\MALENTIN KARIME\BANCO ESTADO\2012 DEPTO ESCRITURAS fata\NOTARIA 2009\BANCO DEL DESARROLLO\MODIFICACIONES\SOC. COMERCIAL ARIDOS.doc</t>
  </si>
  <si>
    <t>C:\Users\franc\OneDrive\Documentos\MALENTIN KARIME\BANCO ESTADO\2012 DEPTO ESCRITURAS fata\NOTARIA 2009\BANCO DEL DESARROLLO\MANDATO COBRO\INPROCOL.doc</t>
  </si>
  <si>
    <t>C:\Users\franc\OneDrive\Documentos\MALENTIN KARIME\BANCO ESTADO\2012 DEPTO ESCRITURAS fata\NOTARIA 2009\BANCO DEL DESARROLLO\MANDATO COBRO\INPROCOL (2).doc</t>
  </si>
  <si>
    <t>C:\Users\franc\OneDrive\Documentos\MALENTIN KARIME\BANCO ESTADO\2012 DEPTO ESCRITURAS fata\NOTARIA 2009\BANCO DEL DESARROLLO\LIBERACION\MARIA SILVA.doc</t>
  </si>
  <si>
    <t>C:\Users\franc\OneDrive\Documentos\MALENTIN KARIME\BANCO ESTADO\2012 DEPTO ESCRITURAS fata\NOTARIA 2009\BANCO DEL DESARROLLO\LIBERACION\DALMACIA.doc</t>
  </si>
  <si>
    <t>C:\Users\franc\OneDrive\Documentos\MALENTIN KARIME\BANCO ESTADO\2012 DEPTO ESCRITURAS fata\NOTARIA 2009\BANCO DEL DESARROLLO\LEASING  (SANTIAGO)\PEDRO ARAYA VALDIVIA (TERMINO ARRIENDO).doc</t>
  </si>
  <si>
    <t>C:\Users\franc\OneDrive\Documentos\MALENTIN KARIME\BANCO ESTADO\2012 DEPTO ESCRITURAS fata\NOTARIA 2009\BANCO DEL DESARROLLO\LEASING  (SANTIAGO)\MODELO NOTARIO.doc</t>
  </si>
  <si>
    <t>C:\Users\franc\OneDrive\Documentos\MALENTIN KARIME\BANCO ESTADO\2012 DEPTO ESCRITURAS fata\NOTARIA 2009\BANCO DEL DESARROLLO\LEASING  (SANTIAGO)\JORGE HERRERA MUÑOZ.doc</t>
  </si>
  <si>
    <t>C:\Users\franc\OneDrive\Documentos\MALENTIN KARIME\BANCO ESTADO\2012 DEPTO ESCRITURAS fata\NOTARIA 2009\BANCO DEL DESARROLLO\LEASING  (SANTIAGO)\CONSTRUCCIONES Y RIEGO S.A..doc</t>
  </si>
  <si>
    <t>C:\Users\franc\OneDrive\Documentos\MALENTIN KARIME\BANCO ESTADO\2012 DEPTO ESCRITURAS fata\NOTARIA 2009\BANCO DEL DESARROLLO\LEASING  (SANTIAGO)\CARMEN SANTIBAÑEZ ZANFORLIN.doc</t>
  </si>
  <si>
    <t>C:\Users\franc\OneDrive\Documentos\MALENTIN KARIME\BANCO ESTADO\2012 DEPTO ESCRITURAS fata\NOTARIA 2009\BANCO DEL DESARROLLO\LEASING  (SANTIAGO)\BDD A MUNICIPALIDAD DE OVALLE.doc</t>
  </si>
  <si>
    <t>C:\Users\franc\OneDrive\Documentos\MALENTIN KARIME\BANCO ESTADO\2012 DEPTO ESCRITURAS fata\NOTARIA 2009\BANCO DEL DESARROLLO\HIPOTECAS\WILSON CALDERON.doc</t>
  </si>
  <si>
    <t>C:\Users\franc\OneDrive\Documentos\MALENTIN KARIME\BANCO ESTADO\2012 DEPTO ESCRITURAS fata\NOTARIA 2009\BANCO DEL DESARROLLO\HIPOTECAS\SOC. PHOLAG LIMITADA.doc</t>
  </si>
  <si>
    <t>C:\Users\franc\OneDrive\Documentos\MALENTIN KARIME\BANCO ESTADO\2012 DEPTO ESCRITURAS fata\NOTARIA 2009\BANCO DEL DESARROLLO\HIPOTECAS\SOC. MITIMAE ABRIL 2006.doc</t>
  </si>
  <si>
    <t>C:\Users\franc\OneDrive\Documentos\MALENTIN KARIME\BANCO ESTADO\2012 DEPTO ESCRITURAS fata\NOTARIA 2009\BANCO DEL DESARROLLO\HIPOTECAS\SOC. AGRIC. LOS ALAMOS LTDA..doc</t>
  </si>
  <si>
    <t>C:\Users\franc\OneDrive\Documentos\MALENTIN KARIME\BANCO ESTADO\2012 DEPTO ESCRITURAS fata\NOTARIA 2009\BANCO DEL DESARROLLO\HIPOTECAS\SCOTT WILLIAMS.doc</t>
  </si>
  <si>
    <t>C:\Users\franc\OneDrive\Documentos\MALENTIN KARIME\BANCO ESTADO\2012 DEPTO ESCRITURAS fata\NOTARIA 2009\BANCO DEL DESARROLLO\HIPOTECAS\SANTA BARBARA.doc</t>
  </si>
  <si>
    <t>C:\Users\franc\OneDrive\Documentos\MALENTIN KARIME\BANCO ESTADO\2012 DEPTO ESCRITURAS fata\NOTARIA 2009\BANCO DEL DESARROLLO\HIPOTECAS\SAMUEL BOZO Y CONYUGE.doc</t>
  </si>
  <si>
    <t>C:\Users\franc\OneDrive\Documentos\MALENTIN KARIME\BANCO ESTADO\2012 DEPTO ESCRITURAS fata\NOTARIA 2009\BANCO DEL DESARROLLO\HIPOTECAS\ROSA BRAVO - RENE URZUA.doc</t>
  </si>
  <si>
    <t>C:\Users\franc\OneDrive\Documentos\MALENTIN KARIME\BANCO ESTADO\2012 DEPTO ESCRITURAS fata\NOTARIA 2009\BANCO DEL DESARROLLO\HIPOTECAS\RICARDO ALLENDE SENTIS.doc</t>
  </si>
  <si>
    <t>C:\Users\franc\OneDrive\Documentos\MALENTIN KARIME\BANCO ESTADO\2012 DEPTO ESCRITURAS fata\NOTARIA 2009\BANCO DEL DESARROLLO\HIPOTECAS\RENE URZUA.doc</t>
  </si>
  <si>
    <t>C:\Users\franc\OneDrive\Documentos\MALENTIN KARIME\BANCO ESTADO\2012 DEPTO ESCRITURAS fata\NOTARIA 2009\BANCO DEL DESARROLLO\HIPOTECAS\RENE URZUA (MANUEL CORTES).doc</t>
  </si>
  <si>
    <t>C:\Users\franc\OneDrive\Documentos\MALENTIN KARIME\BANCO ESTADO\2012 DEPTO ESCRITURAS fata\NOTARIA 2009\BANCO DEL DESARROLLO\HIPOTECAS\RAQUEL LOYOLA ROJAS.doc</t>
  </si>
  <si>
    <t>C:\Users\franc\OneDrive\Documentos\MALENTIN KARIME\BANCO ESTADO\2012 DEPTO ESCRITURAS fata\NOTARIA 2009\BANCO DEL DESARROLLO\HIPOTECAS\RAMON LUNA Y ANGEL CUSTODIO.doc</t>
  </si>
  <si>
    <t>C:\Users\franc\OneDrive\Documentos\MALENTIN KARIME\BANCO ESTADO\2012 DEPTO ESCRITURAS fata\NOTARIA 2009\BANCO DEL DESARROLLO\HIPOTECAS\RAMON LUNA 1.doc</t>
  </si>
  <si>
    <t>C:\Users\franc\OneDrive\Documentos\MALENTIN KARIME\BANCO ESTADO\2012 DEPTO ESCRITURAS fata\NOTARIA 2009\BANCO DEL DESARROLLO\HIPOTECAS\PEDRO SAEZ BUGUEÑO.doc</t>
  </si>
  <si>
    <t>C:\Users\franc\OneDrive\Documentos\MALENTIN KARIME\BANCO ESTADO\2012 DEPTO ESCRITURAS fata\NOTARIA 2009\BANCO DEL DESARROLLO\HIPOTECAS\PATRICIA LUNA.doc</t>
  </si>
  <si>
    <t>C:\Users\franc\OneDrive\Documentos\MALENTIN KARIME\BANCO ESTADO\2012 DEPTO ESCRITURAS fata\NOTARIA 2009\BANCO DEL DESARROLLO\HIPOTECAS\PABLA GOMEZ.doc</t>
  </si>
  <si>
    <t>C:\Users\franc\OneDrive\Documentos\MALENTIN KARIME\BANCO ESTADO\2012 DEPTO ESCRITURAS fata\NOTARIA 2009\BANCO DEL DESARROLLO\HIPOTECAS\ORIANA ALFARO.doc</t>
  </si>
  <si>
    <t>C:\Users\franc\OneDrive\Documentos\MALENTIN KARIME\BANCO ESTADO\2012 DEPTO ESCRITURAS fata\NOTARIA 2009\BANCO DEL DESARROLLO\HIPOTECAS\NORA ALFONSO PERALTA.doc</t>
  </si>
  <si>
    <t>C:\Users\franc\OneDrive\Documentos\MALENTIN KARIME\BANCO ESTADO\2012 DEPTO ESCRITURAS fata\NOTARIA 2009\BANCO DEL DESARROLLO\HIPOTECAS\NORA ALFONSO PERALTA (AGUAS).doc</t>
  </si>
  <si>
    <t>C:\Users\franc\OneDrive\Documentos\MALENTIN KARIME\BANCO ESTADO\2012 DEPTO ESCRITURAS fata\NOTARIA 2009\BANCO DEL DESARROLLO\HIPOTECAS\MODELO NOTARIO.doc</t>
  </si>
  <si>
    <t>C:\Users\franc\OneDrive\Documentos\MALENTIN KARIME\BANCO ESTADO\2012 DEPTO ESCRITURAS fata\NOTARIA 2009\BANCO DEL DESARROLLO\HIPOTECAS\MEDALLA HECTOR.doc</t>
  </si>
  <si>
    <t>C:\Users\franc\OneDrive\Documentos\MALENTIN KARIME\BANCO ESTADO\2012 DEPTO ESCRITURAS fata\NOTARIA 2009\BANCO DEL DESARROLLO\HIPOTECAS\MARIA PLAZA PARTARRIEU (ROSANA SANTIBAÑEZ).doc</t>
  </si>
  <si>
    <t>C:\Users\franc\OneDrive\Documentos\MALENTIN KARIME\BANCO ESTADO\2012 DEPTO ESCRITURAS fata\NOTARIA 2009\BANCO DEL DESARROLLO\HIPOTECAS\MANUEL ROJAS ROJAS.doc</t>
  </si>
  <si>
    <t>C:\Users\franc\OneDrive\Documentos\MALENTIN KARIME\BANCO ESTADO\2012 DEPTO ESCRITURAS fata\NOTARIA 2009\BANCO DEL DESARROLLO\HIPOTECAS\INCOVEG LTDA..doc</t>
  </si>
  <si>
    <t>C:\Users\franc\OneDrive\Documentos\MALENTIN KARIME\BANCO ESTADO\2012 DEPTO ESCRITURAS fata\NOTARIA 2009\BANCO DEL DESARROLLO\HIPOTECAS\Hipoteca SERGIO CASTILLO CODOCEO.doc</t>
  </si>
  <si>
    <t>C:\Users\franc\OneDrive\Documentos\MALENTIN KARIME\BANCO ESTADO\2012 DEPTO ESCRITURAS fata\NOTARIA 2009\BANCO DEL DESARROLLO\HIPOTECAS\HIPOTECA GUILLERMO DIAZ.doc</t>
  </si>
  <si>
    <t>C:\Users\franc\OneDrive\Documentos\MALENTIN KARIME\BANCO ESTADO\2012 DEPTO ESCRITURAS fata\NOTARIA 2009\BANCO DEL DESARROLLO\HIPOTECAS\HELIA VERGARA.doc</t>
  </si>
  <si>
    <t>C:\Users\franc\OneDrive\Documentos\MALENTIN KARIME\BANCO ESTADO\2012 DEPTO ESCRITURAS fata\NOTARIA 2009\BANCO DEL DESARROLLO\HIPOTECAS\HECTOR DIAZ.doc</t>
  </si>
  <si>
    <t>C:\Users\franc\OneDrive\Documentos\MALENTIN KARIME\BANCO ESTADO\2012 DEPTO ESCRITURAS fata\NOTARIA 2009\BANCO DEL DESARROLLO\HIPOTECAS\GLORIA TAPIA HERRERA.doc</t>
  </si>
  <si>
    <t>C:\Users\franc\OneDrive\Documentos\MALENTIN KARIME\BANCO ESTADO\2012 DEPTO ESCRITURAS fata\NOTARIA 2009\BANCO DEL DESARROLLO\HIPOTECAS\CIA. FAST ROAD LTDA..doc</t>
  </si>
  <si>
    <t>C:\Users\franc\OneDrive\Documentos\MALENTIN KARIME\BANCO ESTADO\2012 DEPTO ESCRITURAS fata\NOTARIA 2009\BANCO DEL DESARROLLO\HIPOTECAS\CARMEN BRAVO.doc</t>
  </si>
  <si>
    <t>C:\Users\franc\OneDrive\Documentos\MALENTIN KARIME\BANCO ESTADO\2012 DEPTO ESCRITURAS fata\NOTARIA 2009\BANCO DEL DESARROLLO\HIPOTECAS\CARMEN BRAVO  2  (LA SERENA).doc</t>
  </si>
  <si>
    <t>C:\Users\franc\OneDrive\Documentos\MALENTIN KARIME\BANCO ESTADO\2012 DEPTO ESCRITURAS fata\NOTARIA 2009\BANCO DEL DESARROLLO\HIPOTECAS\AURA NEYRA.doc</t>
  </si>
  <si>
    <t>C:\Users\franc\OneDrive\Documentos\MALENTIN KARIME\BANCO ESTADO\2012 DEPTO ESCRITURAS fata\NOTARIA 2009\BANCO DEL DESARROLLO\HIPOTECAS\AGRICOLA ALIRO PINTO.doc</t>
  </si>
  <si>
    <t>C:\Users\franc\OneDrive\Documentos\MALENTIN KARIME\BANCO ESTADO\2012 DEPTO ESCRITURAS fata\NOTARIA 2009\BANCO DEL DESARROLLO\CV E HIPOTECA\VENTA BDD a AMADIEL MALDONADO.doc</t>
  </si>
  <si>
    <t>C:\Users\franc\OneDrive\Documentos\MALENTIN KARIME\BANCO ESTADO\2012 DEPTO ESCRITURAS fata\NOTARIA 2009\BANCO DEL DESARROLLO\CV E HIPOTECA\SOC. ALFALFARES LTDA. - MITIMAE.doc</t>
  </si>
  <si>
    <t>C:\Users\franc\OneDrive\Documentos\MALENTIN KARIME\BANCO ESTADO\2012 DEPTO ESCRITURAS fata\NOTARIA 2009\BANCO DEL DESARROLLO\CV E HIPOTECA\SERGIO CASTILLO.doc</t>
  </si>
  <si>
    <t>C:\Users\franc\OneDrive\Documentos\MALENTIN KARIME\BANCO ESTADO\2012 DEPTO ESCRITURAS fata\NOTARIA 2009\BANCO DEL DESARROLLO\CV E HIPOTECA\ROSSANA SANTIBAÑEZ.doc</t>
  </si>
  <si>
    <t>C:\Users\franc\OneDrive\Documentos\MALENTIN KARIME\BANCO ESTADO\2012 DEPTO ESCRITURAS fata\NOTARIA 2009\BANCO DEL DESARROLLO\CV E HIPOTECA\ROLANDO LAZO Y OTROS A PABLA GOMEZ.doc</t>
  </si>
  <si>
    <t>C:\Users\franc\OneDrive\Documentos\MALENTIN KARIME\BANCO ESTADO\2012 DEPTO ESCRITURAS fata\NOTARIA 2009\BANCO DEL DESARROLLO\CV E HIPOTECA\RENATO GUERRA.doc</t>
  </si>
  <si>
    <t>C:\Users\franc\OneDrive\Documentos\MALENTIN KARIME\BANCO ESTADO\2012 DEPTO ESCRITURAS fata\NOTARIA 2009\BANCO DEL DESARROLLO\CV E HIPOTECA\OLGA CONTRERAS Y SOC. FLOR DE MAYO.doc</t>
  </si>
  <si>
    <t>C:\Users\franc\OneDrive\Documentos\MALENTIN KARIME\BANCO ESTADO\2012 DEPTO ESCRITURAS fata\NOTARIA 2009\BANCO DEL DESARROLLO\CV E HIPOTECA\MODELO COMPRAVENTA CON HIPOTECA Y ALZAMIENTO.doc</t>
  </si>
  <si>
    <t>C:\Users\franc\OneDrive\Documentos\MALENTIN KARIME\BANCO ESTADO\2012 DEPTO ESCRITURAS fata\NOTARIA 2009\BANCO DEL DESARROLLO\CV E HIPOTECA\FERIA GANADERA A DOBLE M.doc</t>
  </si>
  <si>
    <t>C:\Users\franc\OneDrive\Documentos\MALENTIN KARIME\BANCO ESTADO\2012 DEPTO ESCRITURAS fata\NOTARIA 2009\BANCO DEL DESARROLLO\CV E HIPOTECA\ESMERALDO VALDIVIA.doc</t>
  </si>
  <si>
    <t>C:\Users\franc\OneDrive\Documentos\MALENTIN KARIME\BANCO ESTADO\2012 DEPTO ESCRITURAS fata\NOTARIA 2009\BANCO DEL DESARROLLO\CV E HIPOTECA\EMIR RODRIGUEZ CISTERNA.doc</t>
  </si>
  <si>
    <t>C:\Users\franc\OneDrive\Documentos\MALENTIN KARIME\BANCO ESTADO\2012 DEPTO ESCRITURAS fata\NOTARIA 2009\BANCO DEL DESARROLLO\CV E HIPOTECA\EMIR RODRIGUEZ CARTA INSTRUCCION.doc</t>
  </si>
  <si>
    <t>C:\Users\franc\OneDrive\Documentos\MALENTIN KARIME\BANCO ESTADO\2012 DEPTO ESCRITURAS fata\NOTARIA 2009\BANCO DEL DESARROLLO\CV E HIPOTECA\CV e Hipoteca DOS MIL UNO - DON VALENTINO S.A..doc</t>
  </si>
  <si>
    <t>C:\Users\franc\OneDrive\Documentos\MALENTIN KARIME\BANCO ESTADO\2012 DEPTO ESCRITURAS fata\NOTARIA 2009\BANCO DEL DESARROLLO\CV E HIPOTECA\CERTIFICADOS 4.doc</t>
  </si>
  <si>
    <t>C:\Users\franc\OneDrive\Documentos\MALENTIN KARIME\BANCO ESTADO\2012 DEPTO ESCRITURAS fata\NOTARIA 2009\BANCO DEL DESARROLLO\CV E HIPOTECA\CARTA INSTRUCCION.doc</t>
  </si>
  <si>
    <t>C:\Users\franc\OneDrive\Documentos\MALENTIN KARIME\BANCO ESTADO\2012 DEPTO ESCRITURAS fata\NOTARIA 2009\BANCO DEL DESARROLLO\CV E HIPOTECA\CARMEN BRAVO CASTILLO hipoteca dos.doc</t>
  </si>
  <si>
    <t>C:\Users\franc\OneDrive\Documentos\MALENTIN KARIME\BANCO ESTADO\2012 DEPTO ESCRITURAS fata\NOTARIA 2009\BANCO DEL DESARROLLO\CV E HIPOTECA\ANA MONTENEGRO.doc</t>
  </si>
  <si>
    <t>C:\Users\franc\OneDrive\Documentos\MALENTIN KARIME\BANCO ESTADO\2012 DEPTO ESCRITURAS fata\NOTARIA 2009\BANCO DEL DESARROLLO\CV E HIPOTECA\ALEXIS TAPIA SANTANDER A HUGO ALFARO.doc</t>
  </si>
  <si>
    <t>C:\Users\franc\OneDrive\Documentos\MALENTIN KARIME\BANCO ESTADO\2012 DEPTO ESCRITURAS fata\NOTARIA 2009\BANCO DEL DESARROLLO\CONVENIO MINVU\WILSON MARIN.doc</t>
  </si>
  <si>
    <t>C:\Users\franc\OneDrive\Documentos\MALENTIN KARIME\BANCO ESTADO\2012 DEPTO ESCRITURAS fata\NOTARIA 2009\BANCO DEL DESARROLLO\CONVENIO MINVU\SANDRA HERRERA JARA.doc</t>
  </si>
  <si>
    <t>C:\Users\franc\OneDrive\Documentos\MALENTIN KARIME\BANCO ESTADO\2012 DEPTO ESCRITURAS fata\NOTARIA 2009\BANCO DEL DESARROLLO\CONVENIO MINVU\NICOLAS RAMIREZ.doc</t>
  </si>
  <si>
    <t>C:\Users\franc\OneDrive\Documentos\MALENTIN KARIME\BANCO ESTADO\2012 DEPTO ESCRITURAS fata\NOTARIA 2009\BANCO DEL DESARROLLO\CONVENIO MINVU\NANCY ANDRADES.doc</t>
  </si>
  <si>
    <t>C:\Users\franc\OneDrive\Documentos\MALENTIN KARIME\BANCO ESTADO\2012 DEPTO ESCRITURAS fata\NOTARIA 2009\BANCO DEL DESARROLLO\CONVENIO MINVU\MIRIAM ROJAS.doc</t>
  </si>
  <si>
    <t>C:\Users\franc\OneDrive\Documentos\MALENTIN KARIME\BANCO ESTADO\2012 DEPTO ESCRITURAS fata\NOTARIA 2009\BANCO DEL DESARROLLO\CONVENIO MINVU\MAURICIO RIVERA.doc</t>
  </si>
  <si>
    <t>C:\Users\franc\OneDrive\Documentos\MALENTIN KARIME\BANCO ESTADO\2012 DEPTO ESCRITURAS fata\NOTARIA 2009\BANCO DEL DESARROLLO\CONVENIO MINVU\MARIO NUÑEZ.doc</t>
  </si>
  <si>
    <t>C:\Users\franc\OneDrive\Documentos\MALENTIN KARIME\BANCO ESTADO\2012 DEPTO ESCRITURAS fata\NOTARIA 2009\BANCO DEL DESARROLLO\CONVENIO MINVU\LUIS HENRIQUEZ.doc</t>
  </si>
  <si>
    <t>C:\Users\franc\OneDrive\Documentos\MALENTIN KARIME\BANCO ESTADO\2012 DEPTO ESCRITURAS fata\NOTARIA 2009\BANCO DEL DESARROLLO\CONVENIO MINVU\JORGE MONTENEGRO.doc</t>
  </si>
  <si>
    <t>C:\Users\franc\OneDrive\Documentos\MALENTIN KARIME\BANCO ESTADO\2012 DEPTO ESCRITURAS fata\NOTARIA 2009\BANCO DEL DESARROLLO\CONVENIO MINVU\JAVIER PINTO SALAS.doc</t>
  </si>
  <si>
    <t>C:\Users\franc\OneDrive\Documentos\MALENTIN KARIME\BANCO ESTADO\2012 DEPTO ESCRITURAS fata\NOTARIA 2009\BANCO DEL DESARROLLO\CONVENIO MINVU\ISABEL CORTES.doc</t>
  </si>
  <si>
    <t>C:\Users\franc\OneDrive\Documentos\MALENTIN KARIME\BANCO ESTADO\2012 DEPTO ESCRITURAS fata\NOTARIA 2009\BANCO DEL DESARROLLO\CONVENIO MINVU\IRELDA MEDALLA.doc</t>
  </si>
  <si>
    <t>C:\Users\franc\OneDrive\Documentos\MALENTIN KARIME\BANCO ESTADO\2012 DEPTO ESCRITURAS fata\NOTARIA 2009\BANCO DEL DESARROLLO\CONVENIO MINVU\HUGO DIAZ.doc</t>
  </si>
  <si>
    <t>C:\Users\franc\OneDrive\Documentos\MALENTIN KARIME\BANCO ESTADO\2012 DEPTO ESCRITURAS fata\NOTARIA 2009\BANCO DEL DESARROLLO\CONVENIO MINVU\GUSTAVO PIZARRO.doc</t>
  </si>
  <si>
    <t>C:\Users\franc\OneDrive\Documentos\MALENTIN KARIME\BANCO ESTADO\2012 DEPTO ESCRITURAS fata\NOTARIA 2009\BANCO DEL DESARROLLO\CONVENIO MINVU\CLAUDIO DIAZ CARVAJAL.doc</t>
  </si>
  <si>
    <t>C:\Users\franc\OneDrive\Documentos\MALENTIN KARIME\BANCO ESTADO\2012 DEPTO ESCRITURAS fata\NOTARIA 2009\BANCO DEL DESARROLLO\CONVENIO MINVU\CARLOS GARCIA CASTILLO.doc</t>
  </si>
  <si>
    <t>C:\Users\franc\OneDrive\Documentos\MALENTIN KARIME\BANCO ESTADO\2012 DEPTO ESCRITURAS fata\NOTARIA 2009\BANCO DEL DESARROLLO\CONVENIO MINVU\ANDRES TOLEDO.doc</t>
  </si>
  <si>
    <t>C:\Users\franc\OneDrive\Documentos\MALENTIN KARIME\BANCO ESTADO\2012 DEPTO ESCRITURAS fata\NOTARIA 2009\BANCO DEL DESARROLLO\CONVENIO MINVU\ALIRO ROJAS.doc</t>
  </si>
  <si>
    <t>C:\Users\franc\OneDrive\Documentos\MALENTIN KARIME\BANCO ESTADO\2012 DEPTO ESCRITURAS fata\NOTARIA 2009\BANCO DEL DESARROLLO\CONVENIO MINVU\ALFONSO BERRIOS.doc</t>
  </si>
  <si>
    <t>C:\Users\franc\OneDrive\Documentos\MALENTIN KARIME\BANCO ESTADO\2012 DEPTO ESCRITURAS fata\NOTARIA 2009\BANCO DEL DESARROLLO\CONVENIO MINVU\ALEX URQUIETA.doc</t>
  </si>
  <si>
    <t>C:\Users\franc\OneDrive\Documentos\MALENTIN KARIME\BANCO ESTADO\2012 DEPTO ESCRITURAS fata\NOTARIA 2009\BANCO DEL DESARROLLO\COMPRAVENTA Y ALZAMIENTO BDD\PERSONERIA B.D.D..doc</t>
  </si>
  <si>
    <t>C:\Users\franc\OneDrive\Documentos\MALENTIN KARIME\BANCO ESTADO\2012 DEPTO ESCRITURAS fata\NOTARIA 2009\BANCO DEL DESARROLLO\COMPRAVENTA Y ALZAMIENTO BDD\NARDA ALFARO (VEHICULO).doc</t>
  </si>
  <si>
    <t>C:\Users\franc\OneDrive\Documentos\MALENTIN KARIME\BANCO ESTADO\2012 DEPTO ESCRITURAS fata\NOTARIA 2009\BANCO DEL DESARROLLO\COMPRAVENTA Y ALZAMIENTO BDD\JUAN GALVEZ A SANDRA ALVAREZ Y BDD.doc</t>
  </si>
  <si>
    <t>C:\Users\franc\OneDrive\Documentos\MALENTIN KARIME\BANCO ESTADO\2012 DEPTO ESCRITURAS fata\NOTARIA 2009\BANCO DEL DESARROLLO\COMPRAVENTA Y ALZAMIENTO BDD\JUAN ALBANEZ A JESSICA VERGARA Y BDD.doc</t>
  </si>
  <si>
    <t>C:\Users\franc\OneDrive\Documentos\MALENTIN KARIME\BANCO ESTADO\2012 DEPTO ESCRITURAS fata\NOTARIA 2009\BANCO DEL DESARROLLO\COMPRAVENTA Y ALZAMIENTO BDD\Instrucciones_Rio_Hurtado_09.03.10[1].doc</t>
  </si>
  <si>
    <t>C:\Users\franc\OneDrive\Documentos\MALENTIN KARIME\BANCO ESTADO\2012 DEPTO ESCRITURAS fata\NOTARIA 2009\BANCO DEL DESARROLLO\COMPRAVENTA Y ALZAMIENTO BDD\AGRICOLA RIO NEGRO A NORA ALFONSO Y BDD.doc</t>
  </si>
  <si>
    <t>C:\Users\franc\OneDrive\Documentos\MALENTIN KARIME\BANCO ESTADO\2012 DEPTO ESCRITURAS fata\NOTARIA 2009\BANCO DEL DESARROLLO\CANCELACION\CANCELACION SOC AGRICOLA LOS ALAMOS.doc</t>
  </si>
  <si>
    <t>C:\Users\franc\OneDrive\Documentos\MALENTIN KARIME\BANCO ESTADO\2012 DEPTO ESCRITURAS fata\NOTARIA 2009\BANCO DEL DESARROLLO\ARRENDAMIENTOS\SALVADOR CASTILLO.doc</t>
  </si>
  <si>
    <t>C:\Users\franc\OneDrive\Documentos\MALENTIN KARIME\BANCO ESTADO\2012 DEPTO ESCRITURAS fata\NOTARIA 2009\BANCO DEL DESARROLLO\ARRENDAMIENTOS\PEDRO ARAYA.doc</t>
  </si>
  <si>
    <t>C:\Users\franc\OneDrive\Documentos\MALENTIN KARIME\BANCO ESTADO\2012 DEPTO ESCRITURAS fata\NOTARIA 2009\BANCO DEL DESARROLLO\ARRENDAMIENTOS\MUNICIPALIDAD DE PAIHUANO.doc</t>
  </si>
  <si>
    <t>C:\Users\franc\OneDrive\Documentos\MALENTIN KARIME\BANCO ESTADO\2012 DEPTO ESCRITURAS fata\NOTARIA 2009\BANCO DEL DESARROLLO\ARRENDAMIENTOS\MODELO NOTARIO.doc</t>
  </si>
  <si>
    <t>C:\Users\franc\OneDrive\Documentos\MALENTIN KARIME\BANCO ESTADO\2012 DEPTO ESCRITURAS fata\NOTARIA 2009\BANCO DEL DESARROLLO\ARRENDAMIENTOS\MISAEL TAPIA RESCILIACION.doc</t>
  </si>
  <si>
    <t>C:\Users\franc\OneDrive\Documentos\MALENTIN KARIME\BANCO ESTADO\2012 DEPTO ESCRITURAS fata\NOTARIA 2009\BANCO DEL DESARROLLO\ARRENDAMIENTOS\MISAEL TAPIA CAMPUSANO.doc</t>
  </si>
  <si>
    <t>C:\Users\franc\OneDrive\Documentos\MALENTIN KARIME\BANCO ESTADO\2012 DEPTO ESCRITURAS fata\NOTARIA 2009\BANCO DEL DESARROLLO\ARRENDAMIENTOS\MARCELA CORNEJO.doc</t>
  </si>
  <si>
    <t>C:\Users\franc\OneDrive\Documentos\MALENTIN KARIME\BANCO ESTADO\2012 DEPTO ESCRITURAS fata\NOTARIA 2009\BANCO DEL DESARROLLO\ARRENDAMIENTOS\LAS CABRAS.doc</t>
  </si>
  <si>
    <t>C:\Users\franc\OneDrive\Documentos\MALENTIN KARIME\BANCO ESTADO\2012 DEPTO ESCRITURAS fata\NOTARIA 2009\BANCO DEL DESARROLLO\ARRENDAMIENTOS\LAS CABRAS NISSAN.doc</t>
  </si>
  <si>
    <t>C:\Users\franc\OneDrive\Documentos\MALENTIN KARIME\BANCO ESTADO\2012 DEPTO ESCRITURAS fata\NOTARIA 2009\BANCO DEL DESARROLLO\ARRENDAMIENTOS\LAS CABRAS MITSUBISHI.doc</t>
  </si>
  <si>
    <t>C:\Users\franc\OneDrive\Documentos\MALENTIN KARIME\BANCO ESTADO\2012 DEPTO ESCRITURAS fata\NOTARIA 2009\BANCO DEL DESARROLLO\ARRENDAMIENTOS\GALO LUNA MODIFIC. CONTRATO.doc</t>
  </si>
  <si>
    <t>C:\Users\franc\OneDrive\Documentos\MALENTIN KARIME\BANCO ESTADO\2012 DEPTO ESCRITURAS fata\NOTARIA 2009\BANCO DEL DESARROLLO\ARRENDAMIENTOS\FERNANDO LAYANA.doc</t>
  </si>
  <si>
    <t>C:\Users\franc\OneDrive\Documentos\MALENTIN KARIME\BANCO ESTADO\2012 DEPTO ESCRITURAS fata\NOTARIA 2009\BANCO DEL DESARROLLO\ARRENDAMIENTOS\CONSTRUCCIONES Y RIEGO.doc</t>
  </si>
  <si>
    <t>C:\Users\franc\OneDrive\Documentos\MALENTIN KARIME\BANCO ESTADO\2012 DEPTO ESCRITURAS fata\NOTARIA 2009\BANCO DEL DESARROLLO\ARRENDAMIENTOS\CECILIA ROJAS QUINZACARA.doc</t>
  </si>
  <si>
    <t>C:\Users\franc\OneDrive\Documentos\MALENTIN KARIME\BANCO ESTADO\2012 DEPTO ESCRITURAS fata\NOTARIA 2009\BANCO DEL DESARROLLO\ARRENDAMIENTOS\BERNARDO ALFARO TAMBLAY.doc</t>
  </si>
  <si>
    <t>C:\Users\franc\OneDrive\Documentos\MALENTIN KARIME\BANCO ESTADO\2012 DEPTO ESCRITURAS fata\NOTARIA 2009\BANCO DEL DESARROLLO\ARRENDAMIENTOS\AGRICOLA AGUSTIN ARAYA.doc</t>
  </si>
  <si>
    <t>C:\Users\franc\OneDrive\Documentos\MALENTIN KARIME\BANCO ESTADO\2012 DEPTO ESCRITURAS fata\NOTARIA 2009\BANCO DEL DESARROLLO\ALZAMIENTOS\2009\VICTOR CORTES.doc</t>
  </si>
  <si>
    <t>C:\Users\franc\OneDrive\Documentos\MALENTIN KARIME\BANCO ESTADO\2012 DEPTO ESCRITURAS fata\NOTARIA 2009\BANCO DEL DESARROLLO\ALZAMIENTOS\2009\ROBERTO CORTES CORRAL.doc</t>
  </si>
  <si>
    <t>C:\Users\franc\OneDrive\Documentos\MALENTIN KARIME\BANCO ESTADO\2012 DEPTO ESCRITURAS fata\NOTARIA 2009\BANCO DEL DESARROLLO\ALZAMIENTOS\2009\PATRICIA LUNA.doc</t>
  </si>
  <si>
    <t>C:\Users\franc\OneDrive\Documentos\MALENTIN KARIME\BANCO ESTADO\2012 DEPTO ESCRITURAS fata\NOTARIA 2009\BANCO DEL DESARROLLO\ALZAMIENTOS\2009\OSVALDO CARMONA.doc</t>
  </si>
  <si>
    <t>C:\Users\franc\OneDrive\Documentos\MALENTIN KARIME\BANCO ESTADO\2012 DEPTO ESCRITURAS fata\NOTARIA 2009\BANCO DEL DESARROLLO\ALZAMIENTOS\2009\ORLANDO DALBOSCO.doc</t>
  </si>
  <si>
    <t>C:\Users\franc\OneDrive\Documentos\MALENTIN KARIME\BANCO ESTADO\2012 DEPTO ESCRITURAS fata\NOTARIA 2009\BANCO DEL DESARROLLO\ALZAMIENTOS\2009\NIBALDO OLIVARES.doc</t>
  </si>
  <si>
    <t>C:\Users\franc\OneDrive\Documentos\MALENTIN KARIME\BANCO ESTADO\2012 DEPTO ESCRITURAS fata\NOTARIA 2009\BANCO DEL DESARROLLO\ALZAMIENTOS\2009\LUIS BARRERA.doc</t>
  </si>
  <si>
    <t>C:\Users\franc\OneDrive\Documentos\MALENTIN KARIME\BANCO ESTADO\2012 DEPTO ESCRITURAS fata\NOTARIA 2009\BANCO DEL DESARROLLO\ALZAMIENTOS\2009\JUAN ALVAREZ ROJAS.doc</t>
  </si>
  <si>
    <t>C:\Users\franc\OneDrive\Documentos\MALENTIN KARIME\BANCO ESTADO\2012 DEPTO ESCRITURAS fata\NOTARIA 2009\BANCO DEL DESARROLLO\ALZAMIENTOS\2009\GABRIEL ROBLES MIRANDA.doc</t>
  </si>
  <si>
    <t>C:\Users\franc\OneDrive\Documentos\MALENTIN KARIME\BANCO ESTADO\2012 DEPTO ESCRITURAS fata\NOTARIA 2009\BANCO DEL DESARROLLO\ALZAMIENTOS\2009\FABIAN DIAZ.doc</t>
  </si>
  <si>
    <t>C:\Users\franc\OneDrive\Documentos\MALENTIN KARIME\BANCO ESTADO\2012 DEPTO ESCRITURAS fata\NOTARIA 2009\BANCO DEL DESARROLLO\ALZAMIENTOS\2009\DAVID ROJAS MONARDES.doc</t>
  </si>
  <si>
    <t>C:\Users\franc\OneDrive\Documentos\MALENTIN KARIME\BANCO ESTADO\2012 DEPTO ESCRITURAS fata\NOTARIA 2009\BANCO DEL DESARROLLO\ALZAMIENTOS\2009\DANIEL PIZARRO.doc</t>
  </si>
  <si>
    <t>C:\Users\franc\OneDrive\Documentos\MALENTIN KARIME\BANCO ESTADO\2012 DEPTO ESCRITURAS fata\NOTARIA 2009\BANCO DEL DESARROLLO\ALZAMIENTOS\2009\CLAUDIO ECHEVERRIA.doc</t>
  </si>
  <si>
    <t>C:\Users\franc\OneDrive\Documentos\MALENTIN KARIME\BANCO ESTADO\2012 DEPTO ESCRITURAS fata\NOTARIA 2009\BANCO DEL DESARROLLO\ALZAMIENTOS\2009\ALEJANDRO ROJAS (3).doc</t>
  </si>
  <si>
    <t>C:\Users\franc\OneDrive\Documentos\MALENTIN KARIME\BANCO ESTADO\2012 DEPTO ESCRITURAS fata\NOTARIA 2009\BANCO DEL DESARROLLO\ALZAMIENTOS\2009\ALEJANDRO ROJAS (2).doc</t>
  </si>
  <si>
    <t>C:\Users\franc\OneDrive\Documentos\MALENTIN KARIME\BANCO ESTADO\2012 DEPTO ESCRITURAS fata\NOTARIA 2009\BANCO DEL DESARROLLO\ALZAMIENTOS\2009\ALEJANDRO ROJAS (1).doc</t>
  </si>
  <si>
    <t>C:\Users\franc\OneDrive\Documentos\MALENTIN KARIME\BANCO ESTADO\2012 DEPTO ESCRITURAS fata\NOTARIA 2009\BANCO DEL DESARROLLO\ALZAMIENTOS\2008\RICARDO GUIÑEZ.doc</t>
  </si>
  <si>
    <t>C:\Users\franc\OneDrive\Documentos\MALENTIN KARIME\BANCO ESTADO\2012 DEPTO ESCRITURAS fata\NOTARIA 2009\BANCO DEL DESARROLLO\ALZAMIENTOS\2008\MIGUEL CHACANA.doc</t>
  </si>
  <si>
    <t>C:\Users\franc\OneDrive\Documentos\MALENTIN KARIME\BANCO ESTADO\2012 DEPTO ESCRITURAS fata\NOTARIA 2009\BANCO DEL DESARROLLO\ALZAMIENTOS\2008\MARCOS ZAPATA.doc</t>
  </si>
  <si>
    <t>C:\Users\franc\OneDrive\Documentos\MALENTIN KARIME\BANCO ESTADO\2012 DEPTO ESCRITURAS fata\NOTARIA 2009\BANCO DEL DESARROLLO\ALZAMIENTOS\2008\JUAN GALVEZ SALINAS.doc</t>
  </si>
  <si>
    <t>C:\Users\franc\OneDrive\Documentos\MALENTIN KARIME\BANCO ESTADO\2012 DEPTO ESCRITURAS fata\NOTARIA 2009\BANCO DEL DESARROLLO\ALZAMIENTOS\2008\JORGE FIGUEROA TELLO.doc</t>
  </si>
  <si>
    <t>C:\Users\franc\OneDrive\Documentos\MALENTIN KARIME\BANCO ESTADO\2012 DEPTO ESCRITURAS fata\NOTARIA 2009\BANCO DEL DESARROLLO\ALZAMIENTOS\2008\IGNACIO PIZARRO.doc</t>
  </si>
  <si>
    <t>C:\Users\franc\OneDrive\Documentos\MALENTIN KARIME\BANCO ESTADO\2012 DEPTO ESCRITURAS fata\NOTARIA 2009\BANCO DEL DESARROLLO\ALZAMIENTOS\2008\CRISTINA CASTILLO.doc</t>
  </si>
  <si>
    <t>C:\Users\franc\OneDrive\Documentos\MALENTIN KARIME\BANCO ESTADO\2012 DEPTO ESCRITURAS fata\NOTARIA 2009\BANCO DEL DESARROLLO\ALZAMIENTOS\2008\ALBERTO ALEGRIA.doc</t>
  </si>
  <si>
    <t>C:\Users\franc\OneDrive\Documentos\MALENTIN KARIME\BANCO ESTADO\2012 DEPTO ESCRITURAS fata\NOTARIA 2009\BANCO DEL DESARROLLO\ALZAMIENTOS\2008\AGRICOLA EL CHAÑAR DE RIO HURTADO.doc</t>
  </si>
  <si>
    <t>C:\Users\franc\OneDrive\Documentos\MALENTIN KARIME\BANCO ESTADO\2012 DEPTO ESCRITURAS fata\NOTARIA 2009\BANCO DEL DESARROLLO\ALZAMIENTOS\2007\TAMELCURA.doc</t>
  </si>
  <si>
    <t>C:\Users\franc\OneDrive\Documentos\MALENTIN KARIME\BANCO ESTADO\2012 DEPTO ESCRITURAS fata\NOTARIA 2009\BANCO DEL DESARROLLO\ALZAMIENTOS\2007\SARA MANDUJANO.doc</t>
  </si>
  <si>
    <t>C:\Users\franc\OneDrive\Documentos\MALENTIN KARIME\BANCO ESTADO\2012 DEPTO ESCRITURAS fata\NOTARIA 2009\BANCO DEL DESARROLLO\ALZAMIENTOS\2007\SALVADOR CASTILLO (2).doc</t>
  </si>
  <si>
    <t>C:\Users\franc\OneDrive\Documentos\MALENTIN KARIME\BANCO ESTADO\2012 DEPTO ESCRITURAS fata\NOTARIA 2009\BANCO DEL DESARROLLO\ALZAMIENTOS\2007\SALVADOR CASTILLO (1).doc</t>
  </si>
  <si>
    <t>C:\Users\franc\OneDrive\Documentos\MALENTIN KARIME\BANCO ESTADO\2012 DEPTO ESCRITURAS fata\NOTARIA 2009\BANCO DEL DESARROLLO\ALZAMIENTOS\2007\RAMON MALLEGAS.doc</t>
  </si>
  <si>
    <t>C:\Users\franc\OneDrive\Documentos\MALENTIN KARIME\BANCO ESTADO\2012 DEPTO ESCRITURAS fata\NOTARIA 2009\BANCO DEL DESARROLLO\ALZAMIENTOS\2007\PATRICIA LUNA CORTES.doc</t>
  </si>
  <si>
    <t>C:\Users\franc\OneDrive\Documentos\MALENTIN KARIME\BANCO ESTADO\2012 DEPTO ESCRITURAS fata\NOTARIA 2009\BANCO DEL DESARROLLO\ALZAMIENTOS\2007\PABLO MUÑOZ.doc</t>
  </si>
  <si>
    <t>C:\Users\franc\OneDrive\Documentos\MALENTIN KARIME\BANCO ESTADO\2012 DEPTO ESCRITURAS fata\NOTARIA 2009\BANCO DEL DESARROLLO\ALZAMIENTOS\2007\MARIA ROBLES ARAYA.doc</t>
  </si>
  <si>
    <t>C:\Users\franc\OneDrive\Documentos\MALENTIN KARIME\BANCO ESTADO\2012 DEPTO ESCRITURAS fata\NOTARIA 2009\BANCO DEL DESARROLLO\ALZAMIENTOS\2007\MARIA ARAYA HUERTA.doc</t>
  </si>
  <si>
    <t>C:\Users\franc\OneDrive\Documentos\MALENTIN KARIME\BANCO ESTADO\2012 DEPTO ESCRITURAS fata\NOTARIA 2009\BANCO DEL DESARROLLO\ALZAMIENTOS\2007\JUAN VILLARROEL Y CIA..doc</t>
  </si>
  <si>
    <t>C:\Users\franc\OneDrive\Documentos\MALENTIN KARIME\BANCO ESTADO\2012 DEPTO ESCRITURAS fata\NOTARIA 2009\BANCO DEL DESARROLLO\ALZAMIENTOS\2007\JUAN CUELLO CUELLO.doc</t>
  </si>
  <si>
    <t>C:\Users\franc\OneDrive\Documentos\MALENTIN KARIME\BANCO ESTADO\2012 DEPTO ESCRITURAS fata\NOTARIA 2009\BANCO DEL DESARROLLO\ALZAMIENTOS\2007\JUAN CONTRERAS BALLESTEROS.doc</t>
  </si>
  <si>
    <t>C:\Users\franc\OneDrive\Documentos\MALENTIN KARIME\BANCO ESTADO\2012 DEPTO ESCRITURAS fata\NOTARIA 2009\BANCO DEL DESARROLLO\ALZAMIENTOS\2007\JORGE QUIROZ PENNA.doc</t>
  </si>
  <si>
    <t>C:\Users\franc\OneDrive\Documentos\MALENTIN KARIME\BANCO ESTADO\2012 DEPTO ESCRITURAS fata\NOTARIA 2009\BANCO DEL DESARROLLO\ALZAMIENTOS\2007\JORGE QUIROZ PENNA  2.doc</t>
  </si>
  <si>
    <t>C:\Users\franc\OneDrive\Documentos\MALENTIN KARIME\BANCO ESTADO\2012 DEPTO ESCRITURAS fata\NOTARIA 2009\BANCO DEL DESARROLLO\ALZAMIENTOS\2007\INMOBILIARIA DOBLE M.doc</t>
  </si>
  <si>
    <t>C:\Users\franc\OneDrive\Documentos\MALENTIN KARIME\BANCO ESTADO\2012 DEPTO ESCRITURAS fata\NOTARIA 2009\BANCO DEL DESARROLLO\ALZAMIENTOS\2007\INMOBILIARIA DOBLE M  2.doc</t>
  </si>
  <si>
    <t>C:\Users\franc\OneDrive\Documentos\MALENTIN KARIME\BANCO ESTADO\2012 DEPTO ESCRITURAS fata\NOTARIA 2009\BANCO DEL DESARROLLO\ALZAMIENTOS\2007\INES ARAYA TIRADO.doc</t>
  </si>
  <si>
    <t>C:\Users\franc\OneDrive\Documentos\MALENTIN KARIME\BANCO ESTADO\2012 DEPTO ESCRITURAS fata\NOTARIA 2009\BANCO DEL DESARROLLO\ALZAMIENTOS\2007\GLORIA TAPIA HERRERA.doc</t>
  </si>
  <si>
    <t>C:\Users\franc\OneDrive\Documentos\MALENTIN KARIME\BANCO ESTADO\2012 DEPTO ESCRITURAS fata\NOTARIA 2009\BANCO DEL DESARROLLO\ALZAMIENTOS\2007\CLUB PESCA Y CAZA.doc</t>
  </si>
  <si>
    <t>C:\Users\franc\OneDrive\Documentos\MALENTIN KARIME\BANCO ESTADO\2012 DEPTO ESCRITURAS fata\NOTARIA 2009\BANCO DEL DESARROLLO\ALZAMIENTOS\2007\CARLOS ROJAS (VEHICULO).doc</t>
  </si>
  <si>
    <t>C:\Users\franc\OneDrive\Documentos\MALENTIN KARIME\BANCO ESTADO\2012 DEPTO ESCRITURAS fata\NOTARIA 2009\BANCO DEL DESARROLLO\ALZAMIENTOS\2007\BERNARDO ALFARO 3.doc</t>
  </si>
  <si>
    <t>C:\Users\franc\OneDrive\Documentos\MALENTIN KARIME\BANCO ESTADO\2012 DEPTO ESCRITURAS fata\NOTARIA 2009\BANCO DEL DESARROLLO\ALZAMIENTOS\2007\BERNARDO ALFARO 2.doc</t>
  </si>
  <si>
    <t>C:\Users\franc\OneDrive\Documentos\MALENTIN KARIME\BANCO ESTADO\2012 DEPTO ESCRITURAS fata\NOTARIA 2009\BANCO DEL DESARROLLO\ALZAMIENTOS\2007\BERNARDO ALFARO 1.doc</t>
  </si>
  <si>
    <t>C:\Users\franc\OneDrive\Documentos\MALENTIN KARIME\BANCO ESTADO\2012 DEPTO ESCRITURAS fata\NOTARIA 2009\BANCO DEL DESARROLLO\ALZAMIENTOS\2007\ASOC. CANALISTAS RECOLETA.doc</t>
  </si>
  <si>
    <t>C:\Users\franc\OneDrive\Documentos\MALENTIN KARIME\BANCO ESTADO\2012 DEPTO ESCRITURAS fata\NOTARIA 2009\BANCO DEL DESARROLLO\ALZAMIENTOS\2007\AMADIEL DEL ROSARIO MALDONADO CONTRERAS.doc</t>
  </si>
  <si>
    <t>C:\Users\franc\OneDrive\Documentos\MALENTIN KARIME\BANCO ESTADO\2012 DEPTO ESCRITURAS fata\NOTARIA 2009\BANCO DEL DESARROLLO\ALZAMIENTOS\2007\AGRICOLA ALIRO PINTO.doc</t>
  </si>
  <si>
    <t>C:\Users\franc\OneDrive\Documentos\MALENTIN KARIME\BANCO ESTADO\2012 DEPTO ESCRITURAS fata\NOTARIA 2009\BANCO DEL DESARROLLO\ALZAMIENTOS\2007\ABEL GALLARDO.doc</t>
  </si>
  <si>
    <t>C:\Users\franc\OneDrive\Documentos\MALENTIN KARIME\BANCO ESTADO\2012 DEPTO ESCRITURAS fata\NOTARIA 2009\BANCO DEL DESARROLLO\ALZAMIENTOS\Zulema Alucema Araya.doc</t>
  </si>
  <si>
    <t>C:\Users\franc\OneDrive\Documentos\MALENTIN KARIME\BANCO ESTADO\2012 DEPTO ESCRITURAS fata\NOTARIA 2009\BANCO DEL DESARROLLO\ALZAMIENTOS\ZOILA OLIVARES VALVERDE.doc</t>
  </si>
  <si>
    <t>C:\Users\franc\OneDrive\Documentos\MALENTIN KARIME\BANCO ESTADO\2012 DEPTO ESCRITURAS fata\NOTARIA 2009\BANCO DEL DESARROLLO\ALZAMIENTOS\YESSICA ARAYA ROJAS.doc</t>
  </si>
  <si>
    <t>C:\Users\franc\OneDrive\Documentos\MALENTIN KARIME\BANCO ESTADO\2012 DEPTO ESCRITURAS fata\NOTARIA 2009\BANCO DEL DESARROLLO\ALZAMIENTOS\SOC. ALIRO PINTO.doc</t>
  </si>
  <si>
    <t>C:\Users\franc\OneDrive\Documentos\MALENTIN KARIME\BANCO ESTADO\2012 DEPTO ESCRITURAS fata\NOTARIA 2009\BANCO DEL DESARROLLO\ALZAMIENTOS\SOC. AGRICOLA RECOLETA LTDA..doc</t>
  </si>
  <si>
    <t>C:\Users\franc\OneDrive\Documentos\MALENTIN KARIME\BANCO ESTADO\2012 DEPTO ESCRITURAS fata\NOTARIA 2009\BANCO DEL DESARROLLO\ALZAMIENTOS\SISTINA ROJAS VEGA.doc</t>
  </si>
  <si>
    <t>C:\Users\franc\OneDrive\Documentos\MALENTIN KARIME\BANCO ESTADO\2012 DEPTO ESCRITURAS fata\NOTARIA 2009\BANCO DEL DESARROLLO\ALZAMIENTOS\SERGIO CASTRO.doc</t>
  </si>
  <si>
    <t>C:\Users\franc\OneDrive\Documentos\MALENTIN KARIME\BANCO ESTADO\2012 DEPTO ESCRITURAS fata\NOTARIA 2009\BANCO DEL DESARROLLO\ALZAMIENTOS\ROXANA ROJAS CASTILLO.doc</t>
  </si>
  <si>
    <t>C:\Users\franc\OneDrive\Documentos\MALENTIN KARIME\BANCO ESTADO\2012 DEPTO ESCRITURAS fata\NOTARIA 2009\BANCO DEL DESARROLLO\ALZAMIENTOS\ROSA GODOY AGUIRRE.doc</t>
  </si>
  <si>
    <t>C:\Users\franc\OneDrive\Documentos\MALENTIN KARIME\BANCO ESTADO\2012 DEPTO ESCRITURAS fata\NOTARIA 2009\BANCO DEL DESARROLLO\ALZAMIENTOS\ROSA CORTES ORREGO.doc</t>
  </si>
  <si>
    <t>C:\Users\franc\OneDrive\Documentos\MALENTIN KARIME\BANCO ESTADO\2012 DEPTO ESCRITURAS fata\NOTARIA 2009\BANCO DEL DESARROLLO\ALZAMIENTOS\Rodolfo Rojas Lameles.doc</t>
  </si>
  <si>
    <t>C:\Users\franc\OneDrive\Documentos\MALENTIN KARIME\BANCO ESTADO\2012 DEPTO ESCRITURAS fata\NOTARIA 2009\BANCO DEL DESARROLLO\ALZAMIENTOS\ORLANDO GONZALEZ.doc</t>
  </si>
  <si>
    <t>C:\Users\franc\OneDrive\Documentos\MALENTIN KARIME\BANCO ESTADO\2012 DEPTO ESCRITURAS fata\NOTARIA 2009\BANCO DEL DESARROLLO\ALZAMIENTOS\ORLANDO GONZALEZ alzamiento hipoteca.doc</t>
  </si>
  <si>
    <t>C:\Users\franc\OneDrive\Documentos\MALENTIN KARIME\BANCO ESTADO\2012 DEPTO ESCRITURAS fata\NOTARIA 2009\BANCO DEL DESARROLLO\ALZAMIENTOS\NILDA HIDALGO.doc</t>
  </si>
  <si>
    <t>C:\Users\franc\OneDrive\Documentos\MALENTIN KARIME\BANCO ESTADO\2012 DEPTO ESCRITURAS fata\NOTARIA 2009\BANCO DEL DESARROLLO\ALZAMIENTOS\NATALIA CORREA.doc</t>
  </si>
  <si>
    <t>C:\Users\franc\OneDrive\Documentos\MALENTIN KARIME\BANCO ESTADO\2012 DEPTO ESCRITURAS fata\NOTARIA 2009\BANCO DEL DESARROLLO\ALZAMIENTOS\MODELO NOTARIO.doc</t>
  </si>
  <si>
    <t>C:\Users\franc\OneDrive\Documentos\MALENTIN KARIME\BANCO ESTADO\2012 DEPTO ESCRITURAS fata\NOTARIA 2009\BANCO DEL DESARROLLO\ALZAMIENTOS\MAURICIO LARRONDO ANDRADE.doc</t>
  </si>
  <si>
    <t>C:\Users\franc\OneDrive\Documentos\MALENTIN KARIME\BANCO ESTADO\2012 DEPTO ESCRITURAS fata\NOTARIA 2009\BANCO DEL DESARROLLO\ALZAMIENTOS\MARIANA CARVAJAL.doc</t>
  </si>
  <si>
    <t>C:\Users\franc\OneDrive\Documentos\MALENTIN KARIME\BANCO ESTADO\2012 DEPTO ESCRITURAS fata\NOTARIA 2009\BANCO DEL DESARROLLO\ALZAMIENTOS\MARIA SILVA.doc</t>
  </si>
  <si>
    <t>C:\Users\franc\OneDrive\Documentos\MALENTIN KARIME\BANCO ESTADO\2012 DEPTO ESCRITURAS fata\NOTARIA 2009\BANCO DEL DESARROLLO\ALZAMIENTOS\MARIA PALTA JOFRE.doc</t>
  </si>
  <si>
    <t>C:\Users\franc\OneDrive\Documentos\MALENTIN KARIME\BANCO ESTADO\2012 DEPTO ESCRITURAS fata\NOTARIA 2009\BANCO DEL DESARROLLO\ALZAMIENTOS\MARGARITA OYARCE LANAS.doc</t>
  </si>
  <si>
    <t>C:\Users\franc\OneDrive\Documentos\MALENTIN KARIME\BANCO ESTADO\2012 DEPTO ESCRITURAS fata\NOTARIA 2009\BANCO DEL DESARROLLO\ALZAMIENTOS\MANUEL ROJAS.doc</t>
  </si>
  <si>
    <t>C:\Users\franc\OneDrive\Documentos\MALENTIN KARIME\BANCO ESTADO\2012 DEPTO ESCRITURAS fata\NOTARIA 2009\BANCO DEL DESARROLLO\ALZAMIENTOS\MANUEL CASTILLO.doc</t>
  </si>
  <si>
    <t>C:\Users\franc\OneDrive\Documentos\MALENTIN KARIME\BANCO ESTADO\2012 DEPTO ESCRITURAS fata\NOTARIA 2009\BANCO DEL DESARROLLO\ALZAMIENTOS\LUISA LOPEZ MICHEA.doc</t>
  </si>
  <si>
    <t>C:\Users\franc\OneDrive\Documentos\MALENTIN KARIME\BANCO ESTADO\2012 DEPTO ESCRITURAS fata\NOTARIA 2009\BANCO DEL DESARROLLO\ALZAMIENTOS\LUIS ARAYA ARAYA.doc</t>
  </si>
  <si>
    <t>C:\Users\franc\OneDrive\Documentos\MALENTIN KARIME\BANCO ESTADO\2012 DEPTO ESCRITURAS fata\NOTARIA 2009\BANCO DEL DESARROLLO\ALZAMIENTOS\LUCIA MORENO.doc</t>
  </si>
  <si>
    <t>C:\Users\franc\OneDrive\Documentos\MALENTIN KARIME\BANCO ESTADO\2012 DEPTO ESCRITURAS fata\NOTARIA 2009\BANCO DEL DESARROLLO\ALZAMIENTOS\JULIA SAAVEDRA.doc</t>
  </si>
  <si>
    <t>C:\Users\franc\OneDrive\Documentos\MALENTIN KARIME\BANCO ESTADO\2012 DEPTO ESCRITURAS fata\NOTARIA 2009\BANCO DEL DESARROLLO\ALZAMIENTOS\JORGE ALCAYAGA MOLINA.doc</t>
  </si>
  <si>
    <t>C:\Users\franc\OneDrive\Documentos\MALENTIN KARIME\BANCO ESTADO\2012 DEPTO ESCRITURAS fata\NOTARIA 2009\BANCO DEL DESARROLLO\ALZAMIENTOS\INVERSIONES CERO LTDA..doc</t>
  </si>
  <si>
    <t>C:\Users\franc\OneDrive\Documentos\MALENTIN KARIME\BANCO ESTADO\2012 DEPTO ESCRITURAS fata\NOTARIA 2009\BANCO DEL DESARROLLO\ALZAMIENTOS\HERNAN ARDILES.doc</t>
  </si>
  <si>
    <t>C:\Users\franc\OneDrive\Documentos\MALENTIN KARIME\BANCO ESTADO\2012 DEPTO ESCRITURAS fata\NOTARIA 2009\BANCO DEL DESARROLLO\ALZAMIENTOS\GRACIELA CONTRERAS.doc</t>
  </si>
  <si>
    <t>C:\Users\franc\OneDrive\Documentos\MALENTIN KARIME\BANCO ESTADO\2012 DEPTO ESCRITURAS fata\NOTARIA 2009\BANCO DEL DESARROLLO\ALZAMIENTOS\EUFEMIA DE LA RIVERA.doc</t>
  </si>
  <si>
    <t>C:\Users\franc\OneDrive\Documentos\MALENTIN KARIME\BANCO ESTADO\2012 DEPTO ESCRITURAS fata\NOTARIA 2009\BANCO DEL DESARROLLO\ALZAMIENTOS\ELIANA TORO.doc</t>
  </si>
  <si>
    <t>C:\Users\franc\OneDrive\Documentos\MALENTIN KARIME\BANCO ESTADO\2012 DEPTO ESCRITURAS fata\NOTARIA 2009\BANCO DEL DESARROLLO\ALZAMIENTOS\DOMINGO MOLINA.doc</t>
  </si>
  <si>
    <t>C:\Users\franc\OneDrive\Documentos\MALENTIN KARIME\BANCO ESTADO\2012 DEPTO ESCRITURAS fata\NOTARIA 2009\BANCO DEL DESARROLLO\ALZAMIENTOS\CRISTIAN BARRAZA.doc</t>
  </si>
  <si>
    <t>C:\Users\franc\OneDrive\Documentos\MALENTIN KARIME\BANCO ESTADO\2012 DEPTO ESCRITURAS fata\NOTARIA 2009\BANCO DEL DESARROLLO\ALZAMIENTOS\CONDE Y DIAZ LIMITADA.doc</t>
  </si>
  <si>
    <t>C:\Users\franc\OneDrive\Documentos\MALENTIN KARIME\BANCO ESTADO\2012 DEPTO ESCRITURAS fata\NOTARIA 2009\BANCO DEL DESARROLLO\ALZAMIENTOS\COMERCIAL GONART MODAS.doc</t>
  </si>
  <si>
    <t>C:\Users\franc\OneDrive\Documentos\MALENTIN KARIME\BANCO ESTADO\2012 DEPTO ESCRITURAS fata\NOTARIA 2009\BANCO DEL DESARROLLO\ALZAMIENTOS\CLAUDIO ALFARO.doc</t>
  </si>
  <si>
    <t>C:\Users\franc\OneDrive\Documentos\MALENTIN KARIME\BANCO ESTADO\2012 DEPTO ESCRITURAS fata\NOTARIA 2009\BANCO DEL DESARROLLO\ALZAMIENTOS\CECILIA IBACACHE.doc</t>
  </si>
  <si>
    <t>C:\Users\franc\OneDrive\Documentos\MALENTIN KARIME\BANCO ESTADO\2012 DEPTO ESCRITURAS fata\NOTARIA 2009\BANCO DEL DESARROLLO\ALZAMIENTOS\CECILIA CANTO SOUZA.doc</t>
  </si>
  <si>
    <t>C:\Users\franc\OneDrive\Documentos\MALENTIN KARIME\BANCO ESTADO\2012 DEPTO ESCRITURAS fata\NOTARIA 2009\BANCO DEL DESARROLLO\ALZAMIENTOS\CECILIA BARRAZA.doc</t>
  </si>
  <si>
    <t>C:\Users\franc\OneDrive\Documentos\MALENTIN KARIME\BANCO ESTADO\2012 DEPTO ESCRITURAS fata\NOTARIA 2009\BANCO DEL DESARROLLO\ALZAMIENTOS\CARMEN VEGA.doc</t>
  </si>
  <si>
    <t>C:\Users\franc\OneDrive\Documentos\MALENTIN KARIME\BANCO ESTADO\2012 DEPTO ESCRITURAS fata\NOTARIA 2009\BANCO DEL DESARROLLO\ALZAMIENTOS\CARMEN VEGA CARVAJAL.doc</t>
  </si>
  <si>
    <t>C:\Users\franc\OneDrive\Documentos\MALENTIN KARIME\BANCO ESTADO\2012 DEPTO ESCRITURAS fata\NOTARIA 2009\BANCO DEL DESARROLLO\ALZAMIENTOS\Carlos Cisternas Rojas.doc</t>
  </si>
  <si>
    <t>C:\Users\franc\OneDrive\Documentos\MALENTIN KARIME\BANCO ESTADO\2012 DEPTO ESCRITURAS fata\NOTARIA 2009\BANCO DEL DESARROLLO\ALZAMIENTOS\BLANCA ALFARO.doc</t>
  </si>
  <si>
    <t>C:\Users\franc\OneDrive\Documentos\MALENTIN KARIME\BANCO ESTADO\2012 DEPTO ESCRITURAS fata\NOTARIA 2009\BANCO DEL DESARROLLO\ALZAMIENTOS\ANA CASTRO OGALDE.doc</t>
  </si>
  <si>
    <t>C:\Users\franc\OneDrive\Documentos\MALENTIN KARIME\BANCO ESTADO\2012 DEPTO ESCRITURAS fata\NOTARIA 2009\BANCO DEL DESARROLLO\ALZAMIENTOS\ALIDA FLORES.doc</t>
  </si>
  <si>
    <t>C:\Users\franc\OneDrive\Documentos\MALENTIN KARIME\BANCO ESTADO\2012 DEPTO ESCRITURAS fata\NOTARIA 2009\BANCO DEL DESARROLLO\ALZAMIENTOS\ADRIAN CORTES.doc</t>
  </si>
  <si>
    <t>C:\Users\franc\OneDrive\Documentos\MALENTIN KARIME\BANCO ESTADO\2012 DEPTO ESCRITURAS fata\NOTARIA 2009\BANCO DEL DESARROLLO\ACLARACION\CARLOS CISTERNAS ALZAMIENTO.doc</t>
  </si>
  <si>
    <t>C:\Users\franc\OneDrive\Documentos\MALENTIN KARIME\BANCO ESTADO\2012 DEPTO ESCRITURAS fata\NOTARIA 2009\BANCO DEL DESARROLLO\VENTA AMADIEL MALDONADO Y Alzamiento BDD.doc</t>
  </si>
  <si>
    <t>C:\Users\franc\OneDrive\Documentos\MALENTIN KARIME\BANCO ESTADO\2012 DEPTO ESCRITURAS fata\NOTARIA 2009\BANCO DEL DESARROLLO\UNI-AGRI a POLO HEREDIA.doc</t>
  </si>
  <si>
    <t>C:\Users\franc\OneDrive\Documentos\MALENTIN KARIME\BANCO ESTADO\2012 DEPTO ESCRITURAS fata\NOTARIA 2009\BANCO DEL DESARROLLO\carta banco.doc</t>
  </si>
  <si>
    <t>C:\Users\franc\OneDrive\Documentos\MALENTIN KARIME\BANCO ESTADO\2012 DEPTO ESCRITURAS fata\NOTARIA 2009\BANCO DEL DESARROLLO\carta banc.doc</t>
  </si>
  <si>
    <t>C:\Users\franc\OneDrive\Documentos\MALENTIN KARIME\BANCO ESTADO\2012 DEPTO ESCRITURAS fata\NOTARIA 2009\BANCO DEL DESARROLLO\ALZAMIENTO DE PRENDA Coq.doc</t>
  </si>
  <si>
    <t>C:\Users\franc\OneDrive\Documentos\MALENTIN KARIME\BANCO ESTADO\2012 DEPTO ESCRITURAS fata\NOTARIA 2009\BANCO DE CREDITO E INVERSIONES\La Itiana (Gondolas) 12-08-2009[2] FINAL.doc</t>
  </si>
  <si>
    <t>C:\Users\franc\OneDrive\Documentos\MALENTIN KARIME\BANCO ESTADO\2012 DEPTO ESCRITURAS fata\NOTARIA 2009\BANCO DE CREDITO E INVERSIONES\La Itiana (Gondolas) 12-08-2009[1].doc</t>
  </si>
  <si>
    <t>C:\Users\franc\OneDrive\Documentos\MALENTIN KARIME\BANCO ESTADO\2012 DEPTO ESCRITURAS fata\NOTARIA 2009\BANCO DE CREDITO E INVERSIONES\El Cienago (01 Jeep usado) 11-08-2009[1].doc</t>
  </si>
  <si>
    <t>C:\Users\franc\OneDrive\Documentos\MALENTIN KARIME\BANCO ESTADO\2012 DEPTO ESCRITURAS fata\NOTARIA 2009\BANCO DE CREDITO E INVERSIONES\DIOMEDES CRUZ - LOTE 1 y 2.doc</t>
  </si>
  <si>
    <t>C:\Users\franc\OneDrive\Documentos\MALENTIN KARIME\BANCO ESTADO\2012 DEPTO ESCRITURAS fata\NOTARIA 2009\BANCO DE CREDITO E INVERSIONES\DIOMEDES CRUZ  - AVENIDA LA PAZ.doc</t>
  </si>
  <si>
    <t>C:\Users\franc\OneDrive\Documentos\MALENTIN KARIME\BANCO ESTADO\2012 DEPTO ESCRITURAS fata\NOTARIA 2009\BANCO DE CREDITO E INVERSIONES\Contrato_Rafael Prohens y Cía. Ltda (01 galpón packing)(11-09-2007).doc</t>
  </si>
  <si>
    <t>C:\Users\franc\OneDrive\Documentos\MALENTIN KARIME\BANCO ESTADO\2012 DEPTO ESCRITURAS fata\NOTARIA 2009\BANCO DE CREDITO E INVERSIONES\Comparecencias y Personerias BCI.doc</t>
  </si>
  <si>
    <t>C:\Users\franc\OneDrive\Documentos\MALENTIN KARIME\BANCO ESTADO\2012 DEPTO ESCRITURAS fata\NOTARIA 2009\BANCO DE CREDITO E INVERSIONES\CIA. MRA. POTRERILLOS LTDA. A BCI (HIPOTECA).doc</t>
  </si>
  <si>
    <t>C:\Users\franc\OneDrive\Documentos\MALENTIN KARIME\BANCO ESTADO\2012 DEPTO ESCRITURAS fata\NOTARIA 2009\BANCO DE CREDITO E INVERSIONES\ALCIDES MUÑOZ (FIANZA).doc</t>
  </si>
  <si>
    <t>C:\Users\franc\OneDrive\Documentos\MALENTIN KARIME\BANCO ESTADO\2012 DEPTO ESCRITURAS fata\NOTARIA 2009\BANCO DE CREDITO E INVERSIONES\AGRICOLA LOS PRIMOS (MANDATO Y FIANZA SOLIDARIA).doc</t>
  </si>
  <si>
    <t>C:\Users\franc\OneDrive\Documentos\MALENTIN KARIME\BANCO ESTADO\2012 DEPTO ESCRITURAS fata\NOTARIA 2009\BANCO DE CREDITO E INVERSIONES\AGRICOLA LOS PRIMOS (FACTORING).doc</t>
  </si>
  <si>
    <t>C:\Users\franc\OneDrive\Documentos\MALENTIN KARIME\BANCO ESTADO\2012 DEPTO ESCRITURAS fata\NOTARIA 2009\BANCO DE CREDITO E INVERSIONES\AGRICOLA LOS PRIMOS (DECLARACION).doc</t>
  </si>
  <si>
    <t>C:\Users\franc\OneDrive\Documentos\MALENTIN KARIME\BANCO ESTADO\2012 DEPTO ESCRITURAS fata\NOTARIA 2009\BANCO CHILE\VALDIVIA Y CAMUS - ALZAMIENTO.doc</t>
  </si>
  <si>
    <t>C:\Users\franc\OneDrive\Documentos\MALENTIN KARIME\BANCO ESTADO\2012 DEPTO ESCRITURAS fata\NOTARIA 2009\BANCO CHILE\SANTA ELIANA PRENDA SIN DESPLAZAMIENTO.doc</t>
  </si>
  <si>
    <t>C:\Users\franc\OneDrive\Documentos\MALENTIN KARIME\BANCO ESTADO\2012 DEPTO ESCRITURAS fata\NOTARIA 2009\BANCO CHILE\SANTA BARBARA A ROBERTO CHAMBE.doc</t>
  </si>
  <si>
    <t>C:\Users\franc\OneDrive\Documentos\MALENTIN KARIME\BANCO ESTADO\2012 DEPTO ESCRITURAS fata\NOTARIA 2009\BANCO CHILE\MODELO NOTARIO SUPLENTE.doc</t>
  </si>
  <si>
    <t>C:\Users\franc\OneDrive\Documentos\MALENTIN KARIME\BANCO ESTADO\2012 DEPTO ESCRITURAS fata\NOTARIA 2009\BANCO CHILE\LORENA VELIZ MUTUO HIPOTECARIO.doc</t>
  </si>
  <si>
    <t>C:\Users\franc\OneDrive\Documentos\MALENTIN KARIME\BANCO ESTADO\2012 DEPTO ESCRITURAS fata\NOTARIA 2009\BANCO CHILE\JUAN ANDRADE TELLO.doc</t>
  </si>
  <si>
    <t>C:\Users\franc\OneDrive\Documentos\MALENTIN KARIME\BANCO ESTADO\2012 DEPTO ESCRITURAS fata\NOTARIA 2009\BANCO CHILE\JUAN ANDRADE TELLO RECTIFICACION.doc</t>
  </si>
  <si>
    <t>C:\Users\franc\OneDrive\Documentos\MALENTIN KARIME\BANCO ESTADO\2012 DEPTO ESCRITURAS fata\NOTARIA 2009\BANCO CHILE\GUSTAVO VEGA - CESAR LORCA MUTUO HIPOTECARI.doc</t>
  </si>
  <si>
    <t>C:\Users\franc\OneDrive\Documentos\MALENTIN KARIME\BANCO ESTADO\2012 DEPTO ESCRITURAS fata\NOTARIA 2009\BANCO CHILE\GUILLERMO ARROYO.doc</t>
  </si>
  <si>
    <t>C:\Users\franc\OneDrive\Documentos\MALENTIN KARIME\BANCO ESTADO\2012 DEPTO ESCRITURAS fata\NOTARIA 2009\BANCO CHILE\ELEODORO ESPINOZA (CANCELACION).doc</t>
  </si>
  <si>
    <t>C:\Users\franc\OneDrive\Documentos\MALENTIN KARIME\BANCO ESTADO\2012 DEPTO ESCRITURAS fata\NOTARIA 2009\BANCO CHILE\CERTIFIC. 20130 BCO CHILE.doc</t>
  </si>
  <si>
    <t>C:\Users\franc\OneDrive\Documentos\MALENTIN KARIME\BANCO ESTADO\2012 DEPTO ESCRITURAS fata\NOTARIA 2009\BANCO CHILE\Alberto Jopia Hidalgo a Banco Chile.doc</t>
  </si>
  <si>
    <t>C:\Users\franc\OneDrive\Documentos\MALENTIN KARIME\BANCO ESTADO\2012 DEPTO ESCRITURAS fata\NOTARIA 2009\AUTORIZACION\FRANCISCO PROHENS.doc</t>
  </si>
  <si>
    <t>C:\Users\franc\OneDrive\Documentos\MALENTIN KARIME\BANCO ESTADO\2012 DEPTO ESCRITURAS fata\NOTARIA 2009\ARTIGUES\REVOCACION.doc</t>
  </si>
  <si>
    <t>C:\Users\franc\OneDrive\Documentos\MALENTIN KARIME\BANCO ESTADO\2012 DEPTO ESCRITURAS fata\NOTARIA 2009\ARTIGUES\JAIME PROHENS.doc</t>
  </si>
  <si>
    <t>C:\Users\franc\OneDrive\Documentos\MALENTIN KARIME\BANCO ESTADO\2012 DEPTO ESCRITURAS fata\NOTARIA 2009\ARTIGUES\ARTIGUES A JAIME NUÑEZ (LOTE.doc</t>
  </si>
  <si>
    <t>C:\Users\franc\OneDrive\Documentos\MALENTIN KARIME\BANCO ESTADO\2012 DEPTO ESCRITURAS fata\NOTARIA 2009\ARRIENDOS M INEROS\SOC. SANTA LAURA A LUCY ZEPEDA.doc</t>
  </si>
  <si>
    <t>C:\Users\franc\OneDrive\Documentos\MALENTIN KARIME\BANCO ESTADO\2012 DEPTO ESCRITURAS fata\NOTARIA 2009\ARRIENDOS M INEROS\SLM CARMEN MATILDE A MIGUEL TAPIA.doc</t>
  </si>
  <si>
    <t>C:\Users\franc\OneDrive\Documentos\MALENTIN KARIME\BANCO ESTADO\2012 DEPTO ESCRITURAS fata\NOTARIA 2009\ARRIENDOS M INEROS\SLM AURORITA 1 AL 8.doc</t>
  </si>
  <si>
    <t>C:\Users\franc\OneDrive\Documentos\MALENTIN KARIME\BANCO ESTADO\2012 DEPTO ESCRITURAS fata\NOTARIA 2009\ARRIENDOS M INEROS\ROMELIO HONORES (LA FARELLON) a EMPRESA CONST. LIRCAY Y CIA. LTDA.-.doc</t>
  </si>
  <si>
    <t>C:\Users\franc\OneDrive\Documentos\MALENTIN KARIME\BANCO ESTADO\2012 DEPTO ESCRITURAS fata\NOTARIA 2009\ARRIENDOS M INEROS\RESCILIACION cont. minero (privado) 04-10-2007.doc</t>
  </si>
  <si>
    <t>C:\Users\franc\OneDrive\Documentos\MALENTIN KARIME\BANCO ESTADO\2012 DEPTO ESCRITURAS fata\NOTARIA 2009\ARRIENDOS M INEROS\RESCILIACION cont. minero (privado)  09-04-2010.doc</t>
  </si>
  <si>
    <t>C:\Users\franc\OneDrive\Documentos\MALENTIN KARIME\BANCO ESTADO\2012 DEPTO ESCRITURAS fata\NOTARIA 2009\ARRIENDOS M INEROS\PUSCANA.doc</t>
  </si>
  <si>
    <t>C:\Users\franc\OneDrive\Documentos\MALENTIN KARIME\BANCO ESTADO\2012 DEPTO ESCRITURAS fata\NOTARIA 2009\ARRIENDOS M INEROS\MODELO ARRIENDO MINERO.doc</t>
  </si>
  <si>
    <t>C:\Users\franc\OneDrive\Documentos\MALENTIN KARIME\BANCO ESTADO\2012 DEPTO ESCRITURAS fata\NOTARIA 2009\ARRIENDOS M INEROS\MIGUEL TAPIA Y OTROS A SOCIEDAD DE HECHO ALEJANRO ARAYA Y OTRO.doc</t>
  </si>
  <si>
    <t>C:\Users\franc\OneDrive\Documentos\MALENTIN KARIME\BANCO ESTADO\2012 DEPTO ESCRITURAS fata\NOTARIA 2009\ARRIENDOS M INEROS\MIGUEL TAPIA Y OTROS A ALEJANDRO ARAYA.doc</t>
  </si>
  <si>
    <t>C:\Users\franc\OneDrive\Documentos\MALENTIN KARIME\BANCO ESTADO\2012 DEPTO ESCRITURAS fata\NOTARIA 2009\ARRIENDOS M INEROS\MIGUEL TAPIA Y OTROS A ALEJANDRO ARAYA DEFINIT.doc</t>
  </si>
  <si>
    <t>C:\Users\franc\OneDrive\Documentos\MALENTIN KARIME\BANCO ESTADO\2012 DEPTO ESCRITURAS fata\NOTARIA 2009\ARRIENDOS M INEROS\MANUELITO MINERALS A MARJORIE ASTUDILLO (FDO. ZAPATA).doc</t>
  </si>
  <si>
    <t>C:\Users\franc\OneDrive\Documentos\MALENTIN KARIME\BANCO ESTADO\2012 DEPTO ESCRITURAS fata\NOTARIA 2009\ARRIENDOS M INEROS\ELIANA ARAYA A ROMELIO HONORES (LA FARELLON).doc</t>
  </si>
  <si>
    <t>C:\Users\franc\OneDrive\Documentos\MALENTIN KARIME\BANCO ESTADO\2012 DEPTO ESCRITURAS fata\NOTARIA 2009\ARRIENDOS M INEROS\DUILIO LETTURA A JUAN SANTELICES 05-10-2007.doc</t>
  </si>
  <si>
    <t>C:\Users\franc\OneDrive\Documentos\MALENTIN KARIME\BANCO ESTADO\2012 DEPTO ESCRITURAS fata\NOTARIA 2009\ARRIENDOS M INEROS\CIA. MRA LOS MANTOS (MIGUEL TAPIA) A IVAN JOFRE.doc</t>
  </si>
  <si>
    <t>C:\Users\franc\OneDrive\Documentos\MALENTIN KARIME\BANCO ESTADO\2012 DEPTO ESCRITURAS fata\NOTARIA 2009\ARRIENDOS M INEROS\ARRIENDO olvido.doc</t>
  </si>
  <si>
    <t>C:\Users\franc\OneDrive\Documentos\MALENTIN KARIME\BANCO ESTADO\2012 DEPTO ESCRITURAS fata\NOTARIA 2009\ARRIENDOS M INEROS\ARRENDAMIENTO SALEM.doc</t>
  </si>
  <si>
    <t>C:\Users\franc\OneDrive\Documentos\MALENTIN KARIME\BANCO ESTADO\2012 DEPTO ESCRITURAS fata\NOTARIA 2009\ARRIENDO PRIVADO\SUC. VILLAR.doc</t>
  </si>
  <si>
    <t>C:\Users\franc\OneDrive\Documentos\MALENTIN KARIME\BANCO ESTADO\2012 DEPTO ESCRITURAS fata\NOTARIA 2009\ARRIENDO PRIVADO\SRA. BOU A SOC. VICHUQUEN.doc</t>
  </si>
  <si>
    <t>C:\Users\franc\OneDrive\Documentos\MALENTIN KARIME\BANCO ESTADO\2012 DEPTO ESCRITURAS fata\NOTARIA 2009\ARRIENDO PRIVADO\CTO- ARRENDAMIENTO MI-FIGARI[1].DOC</t>
  </si>
  <si>
    <t>C:\Users\franc\OneDrive\Documentos\MALENTIN KARIME\BANCO ESTADO\2012 DEPTO ESCRITURAS fata\NOTARIA 2009\ARRENDAMIENTOS\TERMINO ARRENDAMIENTO MIGUEL TAPIA - HERNAN ARAYA.doc</t>
  </si>
  <si>
    <t>C:\Users\franc\OneDrive\Documentos\MALENTIN KARIME\BANCO ESTADO\2012 DEPTO ESCRITURAS fata\NOTARIA 2009\ARRENDAMIENTOS\SOC. AGRICOLA EL SAUCE A CRISTIAN OJEDA.doc</t>
  </si>
  <si>
    <t>C:\Users\franc\OneDrive\Documentos\MALENTIN KARIME\BANCO ESTADO\2012 DEPTO ESCRITURAS fata\NOTARIA 2009\ARRENDAMIENTOS\PARROQUIA.doc</t>
  </si>
  <si>
    <t>C:\Users\franc\OneDrive\Documentos\MALENTIN KARIME\BANCO ESTADO\2012 DEPTO ESCRITURAS fata\NOTARIA 2009\ARRENDAMIENTOS\MIGUEL TAPIA Y OTRO A LUIS CORTES.doc</t>
  </si>
  <si>
    <t>C:\Users\franc\OneDrive\Documentos\MALENTIN KARIME\BANCO ESTADO\2012 DEPTO ESCRITURAS fata\NOTARIA 2009\ARRENDAMIENTOS\MIGUEL TAPIA Y OTRO A JUAN CONTRERAS (PAPA).doc</t>
  </si>
  <si>
    <t>C:\Users\franc\OneDrive\Documentos\MALENTIN KARIME\BANCO ESTADO\2012 DEPTO ESCRITURAS fata\NOTARIA 2009\ARRENDAMIENTOS\MIGUEL TAPIA Y OTRO A JUAN CONTRERAS (HIJO).doc</t>
  </si>
  <si>
    <t>C:\Users\franc\OneDrive\Documentos\MALENTIN KARIME\BANCO ESTADO\2012 DEPTO ESCRITURAS fata\NOTARIA 2009\ARRENDAMIENTOS\MIGUEL TAPIA Y OTRO A HECTOR LOPEZ.doc</t>
  </si>
  <si>
    <t>C:\Users\franc\OneDrive\Documentos\MALENTIN KARIME\BANCO ESTADO\2012 DEPTO ESCRITURAS fata\NOTARIA 2009\ARRENDAMIENTOS\MIGUEL TAPIA Y OTRO A DANIEL CUELLO.doc</t>
  </si>
  <si>
    <t>C:\Users\franc\OneDrive\Documentos\MALENTIN KARIME\BANCO ESTADO\2012 DEPTO ESCRITURAS fata\NOTARIA 2009\ARRENDAMIENTOS\MIGUEL SALINAS PLANTA PROCESADORA.doc</t>
  </si>
  <si>
    <t>C:\Users\franc\OneDrive\Documentos\MALENTIN KARIME\BANCO ESTADO\2012 DEPTO ESCRITURAS fata\NOTARIA 2009\ARRENDAMIENTOS\MARIA CLAUSSEN A DRISCOLL.doc</t>
  </si>
  <si>
    <t>C:\Users\franc\OneDrive\Documentos\MALENTIN KARIME\BANCO ESTADO\2012 DEPTO ESCRITURAS fata\NOTARIA 2009\ARRENDAMIENTOS\MARIA CLAUSSEN A DRISCOLL (AGUAS).doc</t>
  </si>
  <si>
    <t>C:\Users\franc\OneDrive\Documentos\MALENTIN KARIME\BANCO ESTADO\2012 DEPTO ESCRITURAS fata\NOTARIA 2009\ARRENDAMIENTOS\MANTENCION MINERA A MIGUEL TAPIA Y OTRO.doc</t>
  </si>
  <si>
    <t>C:\Users\franc\OneDrive\Documentos\MALENTIN KARIME\BANCO ESTADO\2012 DEPTO ESCRITURAS fata\NOTARIA 2009\ARRENDAMIENTOS\MANTENCION MINERA A MIGUEL TAPIA Y OTRO  (PRIVADO).doc</t>
  </si>
  <si>
    <t>C:\Users\franc\OneDrive\Documentos\MALENTIN KARIME\BANCO ESTADO\2012 DEPTO ESCRITURAS fata\NOTARIA 2009\ARRENDAMIENTOS\JUAN OSSANDON A ERNESTO PEREDA (PROMESA).doc</t>
  </si>
  <si>
    <t>C:\Users\franc\OneDrive\Documentos\MALENTIN KARIME\BANCO ESTADO\2012 DEPTO ESCRITURAS fata\NOTARIA 2009\ARRENDAMIENTOS\IRELVA MOYA[2] a su hijo.doc</t>
  </si>
  <si>
    <t>C:\Users\franc\OneDrive\Documentos\MALENTIN KARIME\BANCO ESTADO\2012 DEPTO ESCRITURAS fata\NOTARIA 2009\ARRENDAMIENTOS\IRELVA MOYA[1] a su hijo.doc</t>
  </si>
  <si>
    <t>C:\Users\franc\OneDrive\Documentos\MALENTIN KARIME\BANCO ESTADO\2012 DEPTO ESCRITURAS fata\NOTARIA 2009\ARRENDAMIENTOS\INMB. SERRAVALLE A INST. CENAFOM S.A..doc</t>
  </si>
  <si>
    <t>C:\Users\franc\OneDrive\Documentos\MALENTIN KARIME\BANCO ESTADO\2012 DEPTO ESCRITURAS fata\NOTARIA 2009\ARRENDAMIENTOS\GRACIELA CORTES Y OTROS A MARIA ZEPEDA.doc</t>
  </si>
  <si>
    <t>C:\Users\franc\OneDrive\Documentos\MALENTIN KARIME\BANCO ESTADO\2012 DEPTO ESCRITURAS fata\NOTARIA 2009\ARRENDAMIENTOS\GRACIELA CORTES Y OTROS A MARIA ZEPEDA 2.doc</t>
  </si>
  <si>
    <t>C:\Users\franc\OneDrive\Documentos\MALENTIN KARIME\BANCO ESTADO\2012 DEPTO ESCRITURAS fata\NOTARIA 2009\ARRENDAMIENTOS\FUAD ALAMO A SOC. DE HECHO.doc</t>
  </si>
  <si>
    <t>C:\Users\franc\OneDrive\Documentos\MALENTIN KARIME\BANCO ESTADO\2012 DEPTO ESCRITURAS fata\NOTARIA 2009\ARRENDAMIENTOS\ELIANA (ALCONES).doc</t>
  </si>
  <si>
    <t>C:\Users\franc\OneDrive\Documentos\MALENTIN KARIME\BANCO ESTADO\2012 DEPTO ESCRITURAS fata\NOTARIA 2009\ARRENDAMIENTOS\ELIANA (ALCONES) 2 OCT. 2009.doc</t>
  </si>
  <si>
    <t>C:\Users\franc\OneDrive\Documentos\MALENTIN KARIME\BANCO ESTADO\2012 DEPTO ESCRITURAS fata\NOTARIA 2009\ARRENDAMIENTOS\DORALISA CASTILLO.doc</t>
  </si>
  <si>
    <t>C:\Users\franc\OneDrive\Documentos\MALENTIN KARIME\BANCO ESTADO\2012 DEPTO ESCRITURAS fata\NOTARIA 2009\ARRENDAMIENTOS\DORALISA CASTILLO 2.doc</t>
  </si>
  <si>
    <t>C:\Users\franc\OneDrive\Documentos\MALENTIN KARIME\BANCO ESTADO\2012 DEPTO ESCRITURAS fata\NOTARIA 2009\ARRENDAMIENTOS\COVALSA A KUPFER (PRIVADO).doc</t>
  </si>
  <si>
    <t>C:\Users\franc\OneDrive\Documentos\MALENTIN KARIME\BANCO ESTADO\2012 DEPTO ESCRITURAS fata\NOTARIA 2009\ARRENDAMIENTOS\COMUNIDAD SALASA A ENERTHI (PROMESA 2).doc</t>
  </si>
  <si>
    <t>C:\Users\franc\OneDrive\Documentos\MALENTIN KARIME\BANCO ESTADO\2012 DEPTO ESCRITURAS fata\NOTARIA 2009\ARRENDAMIENTOS\COMUNIDAD SALALA A ENERTHI (PROMESA).doc</t>
  </si>
  <si>
    <t>C:\Users\franc\OneDrive\Documentos\MALENTIN KARIME\BANCO ESTADO\2012 DEPTO ESCRITURAS fata\NOTARIA 2009\ARRENDAMIENTOS\COMUNIDAD AGRICOLA SALALA A ENERTHI.doc</t>
  </si>
  <si>
    <t>C:\Users\franc\OneDrive\Documentos\MALENTIN KARIME\BANCO ESTADO\2012 DEPTO ESCRITURAS fata\NOTARIA 2009\ARRENDAMIENTOS\COMUNIDAD AGRICOLA ALCONES.doc</t>
  </si>
  <si>
    <t>C:\Users\franc\OneDrive\Documentos\MALENTIN KARIME\BANCO ESTADO\2012 DEPTO ESCRITURAS fata\NOTARIA 2009\ARRENDAMIENTOS\COM. AGRICOLA PUNITAQUI A I. MUNICIPA. DE PUNITAQ.doc</t>
  </si>
  <si>
    <t>C:\Users\franc\OneDrive\Documentos\MALENTIN KARIME\BANCO ESTADO\2012 DEPTO ESCRITURAS fata\NOTARIA 2009\ARRENDAMIENTOS\CARMELA ALFARO A IVAN LAGUNAS.doc</t>
  </si>
  <si>
    <t>C:\Users\franc\OneDrive\Documentos\MALENTIN KARIME\BANCO ESTADO\2012 DEPTO ESCRITURAS fata\NOTARIA 2009\ARRENDAMIENTOS\BRIJIDA CISTERNAS A SOC. VARAS.doc</t>
  </si>
  <si>
    <t>C:\Users\franc\OneDrive\Documentos\MALENTIN KARIME\BANCO ESTADO\2012 DEPTO ESCRITURAS fata\NOTARIA 2009\ARMANDO SALAMANCA}\SLM SN RAMON UNO ÑIPAS A SOC. SAN ISIDRO.doc</t>
  </si>
  <si>
    <t>C:\Users\franc\OneDrive\Documentos\MALENTIN KARIME\BANCO ESTADO\2012 DEPTO ESCRITURAS fata\NOTARIA 2009\ANTONIO SABIONCELLO\MANDATO COMPRA FUNDACION MI CASA.doc</t>
  </si>
  <si>
    <t>C:\Users\franc\OneDrive\Documentos\MALENTIN KARIME\BANCO ESTADO\2012 DEPTO ESCRITURAS fata\NOTARIA 2009\ANTONIO SABIONCELLO\LIDIA ZAPATA - ARRIENDO.doc</t>
  </si>
  <si>
    <t>C:\Users\franc\OneDrive\Documentos\MALENTIN KARIME\BANCO ESTADO\2012 DEPTO ESCRITURAS fata\NOTARIA 2009\ANTONIO SABIONCELLO\JOSE LUIS BARRIOS Y SOC..doc</t>
  </si>
  <si>
    <t>C:\Users\franc\OneDrive\Documentos\MALENTIN KARIME\BANCO ESTADO\2012 DEPTO ESCRITURAS fata\NOTARIA 2009\ANTONIO SABIONCELLO\INVERSER (MARCIAL).doc</t>
  </si>
  <si>
    <t>C:\Users\franc\OneDrive\Documentos\MALENTIN KARIME\BANCO ESTADO\2012 DEPTO ESCRITURAS fata\NOTARIA 2009\ANTONIO SABIONCELLO\INSTRUCCIONES JOSE BARRIOS.doc</t>
  </si>
  <si>
    <t>C:\Users\franc\OneDrive\Documentos\MALENTIN KARIME\BANCO ESTADO\2012 DEPTO ESCRITURAS fata\NOTARIA 2009\ANTONIO SABIONCELLO\INSTRUCCIONES INVERSER.doc</t>
  </si>
  <si>
    <t>C:\Users\franc\OneDrive\Documentos\MALENTIN KARIME\BANCO ESTADO\2012 DEPTO ESCRITURAS fata\NOTARIA 2009\ANTONIO SABIONCELLO\INSTRUCCIONES C. JULIO.doc</t>
  </si>
  <si>
    <t>C:\Users\franc\OneDrive\Documentos\MALENTIN KARIME\BANCO ESTADO\2012 DEPTO ESCRITURAS fata\NOTARIA 2009\ANTONIO SABIONCELLO\INSTRUCCIONES ANA BARRAZA.doc</t>
  </si>
  <si>
    <t>C:\Users\franc\OneDrive\Documentos\MALENTIN KARIME\BANCO ESTADO\2012 DEPTO ESCRITURAS fata\NOTARIA 2009\ANTONIO SABIONCELLO\Fundación Mi Casa. Instrucciones compra Ovalle.doc</t>
  </si>
  <si>
    <t>C:\Users\franc\OneDrive\Documentos\MALENTIN KARIME\BANCO ESTADO\2012 DEPTO ESCRITURAS fata\NOTARIA 2009\ANTONIO SABIONCELLO\COMPRAV.  FUNDACION MI CASA.doc</t>
  </si>
  <si>
    <t>C:\Users\franc\OneDrive\Documentos\MALENTIN KARIME\BANCO ESTADO\2012 DEPTO ESCRITURAS fata\NOTARIA 2009\ANTONIO SABIONCELLO\CLAUDINA JULIO PIÑONES.doc</t>
  </si>
  <si>
    <t>C:\Users\franc\OneDrive\Documentos\MALENTIN KARIME\BANCO ESTADO\2012 DEPTO ESCRITURAS fata\NOTARIA 2009\ANTONIO SABIONCELLO\ANA BARRAZA.doc</t>
  </si>
  <si>
    <t>C:\Users\franc\OneDrive\Documentos\MALENTIN KARIME\BANCO ESTADO\2012 DEPTO ESCRITURAS fata\NOTARIA 2009\ANIBAL SERRANO\COMPRAVENTA.doc</t>
  </si>
  <si>
    <t>C:\Users\franc\OneDrive\Documentos\MALENTIN KARIME\BANCO ESTADO\2012 DEPTO ESCRITURAS fata\NOTARIA 2009\ANDRES MORALES\CESION DERECHOS VALLECITO.doc</t>
  </si>
  <si>
    <t>C:\Users\franc\OneDrive\Documentos\MALENTIN KARIME\BANCO ESTADO\2012 DEPTO ESCRITURAS fata\NOTARIA 2009\ANDRES MORALES\carta.doc</t>
  </si>
  <si>
    <t>C:\Users\franc\OneDrive\Documentos\MALENTIN KARIME\BANCO ESTADO\2012 DEPTO ESCRITURAS fata\NOTARIA 2009\ANDRES CORRAL\ALZAMIENTO SERVIU\SERVIU   AURORA SEGOVIA.doc</t>
  </si>
  <si>
    <t>C:\Users\franc\OneDrive\Documentos\MALENTIN KARIME\BANCO ESTADO\2012 DEPTO ESCRITURAS fata\NOTARIA 2009\ANDRES CORRAL\ALZAMIENTO SERVIU\ROSA CASTILLO.doc</t>
  </si>
  <si>
    <t>C:\Users\franc\OneDrive\Documentos\MALENTIN KARIME\BANCO ESTADO\2012 DEPTO ESCRITURAS fata\NOTARIA 2009\ANDRES CORRAL\ALZAMIENTO SERVIU\ORFELIO ARREDONDO.doc</t>
  </si>
  <si>
    <t>C:\Users\franc\OneDrive\Documentos\MALENTIN KARIME\BANCO ESTADO\2012 DEPTO ESCRITURAS fata\NOTARIA 2009\ANDRES CORRAL\ALZAMIENTO SERVIU\OMAR RAMIREZ.doc</t>
  </si>
  <si>
    <t>C:\Users\franc\OneDrive\Documentos\MALENTIN KARIME\BANCO ESTADO\2012 DEPTO ESCRITURAS fata\NOTARIA 2009\ANDRES CORRAL\ALZAMIENTO SERVIU\NORMA ARAYA   (C. ARDILES SUPLENTE).doc</t>
  </si>
  <si>
    <t>C:\Users\franc\OneDrive\Documentos\MALENTIN KARIME\BANCO ESTADO\2012 DEPTO ESCRITURAS fata\NOTARIA 2009\ANDRES CORRAL\ALZAMIENTO SERVIU\Nilda Araya Zepeda.doc</t>
  </si>
  <si>
    <t>C:\Users\franc\OneDrive\Documentos\MALENTIN KARIME\BANCO ESTADO\2012 DEPTO ESCRITURAS fata\NOTARIA 2009\ANDRES CORRAL\ALZAMIENTO SERVIU\MODELO ALZAMIENTO SERVIU.doc</t>
  </si>
  <si>
    <t>C:\Users\franc\OneDrive\Documentos\MALENTIN KARIME\BANCO ESTADO\2012 DEPTO ESCRITURAS fata\NOTARIA 2009\ANDRES CORRAL\ALZAMIENTO SERVIU\MARISEL GODOY.doc</t>
  </si>
  <si>
    <t>C:\Users\franc\OneDrive\Documentos\MALENTIN KARIME\BANCO ESTADO\2012 DEPTO ESCRITURAS fata\NOTARIA 2009\ANDRES CORRAL\ALZAMIENTO SERVIU\MARIA ROBLES.doc</t>
  </si>
  <si>
    <t>C:\Users\franc\OneDrive\Documentos\MALENTIN KARIME\BANCO ESTADO\2012 DEPTO ESCRITURAS fata\NOTARIA 2009\ANDRES CORRAL\ALZAMIENTO SERVIU\MARIA GUTIERREZ.doc</t>
  </si>
  <si>
    <t>C:\Users\franc\OneDrive\Documentos\MALENTIN KARIME\BANCO ESTADO\2012 DEPTO ESCRITURAS fata\NOTARIA 2009\ANDRES CORRAL\ALZAMIENTO SERVIU\MARIA ASTUDILLO.doc</t>
  </si>
  <si>
    <t>C:\Users\franc\OneDrive\Documentos\MALENTIN KARIME\BANCO ESTADO\2012 DEPTO ESCRITURAS fata\NOTARIA 2009\ANDRES CORRAL\ALZAMIENTO SERVIU\MARCELO CORTES  (SUBROGANTE).doc</t>
  </si>
  <si>
    <t>C:\Users\franc\OneDrive\Documentos\MALENTIN KARIME\BANCO ESTADO\2012 DEPTO ESCRITURAS fata\NOTARIA 2009\ANDRES CORRAL\ALZAMIENTO SERVIU\LILIA TAPIA CASTILLO.doc</t>
  </si>
  <si>
    <t>C:\Users\franc\OneDrive\Documentos\MALENTIN KARIME\BANCO ESTADO\2012 DEPTO ESCRITURAS fata\NOTARIA 2009\ANDRES CORRAL\ALZAMIENTO SERVIU\JUAN MUNDACA.doc</t>
  </si>
  <si>
    <t>C:\Users\franc\OneDrive\Documentos\MALENTIN KARIME\BANCO ESTADO\2012 DEPTO ESCRITURAS fata\NOTARIA 2009\ANDRES CORRAL\ALZAMIENTO SERVIU\JUAN HIDALGO CORTES.doc</t>
  </si>
  <si>
    <t>C:\Users\franc\OneDrive\Documentos\MALENTIN KARIME\BANCO ESTADO\2012 DEPTO ESCRITURAS fata\NOTARIA 2009\ANDRES CORRAL\ALZAMIENTO SERVIU\JOSE GUZMAN.doc</t>
  </si>
  <si>
    <t>C:\Users\franc\OneDrive\Documentos\MALENTIN KARIME\BANCO ESTADO\2012 DEPTO ESCRITURAS fata\NOTARIA 2009\ANDRES CORRAL\ALZAMIENTO SERVIU\JOSE CORTES.doc</t>
  </si>
  <si>
    <t>C:\Users\franc\OneDrive\Documentos\MALENTIN KARIME\BANCO ESTADO\2012 DEPTO ESCRITURAS fata\NOTARIA 2009\ANDRES CORRAL\ALZAMIENTO SERVIU\Ismael Castillo Rojas.doc</t>
  </si>
  <si>
    <t>C:\Users\franc\OneDrive\Documentos\MALENTIN KARIME\BANCO ESTADO\2012 DEPTO ESCRITURAS fata\NOTARIA 2009\ANDRES CORRAL\ALZAMIENTO SERVIU\HUMBERTO TAPIA.doc</t>
  </si>
  <si>
    <t>C:\Users\franc\OneDrive\Documentos\MALENTIN KARIME\BANCO ESTADO\2012 DEPTO ESCRITURAS fata\NOTARIA 2009\ANDRES CORRAL\ALZAMIENTO SERVIU\HUGO GONZALEZ.doc</t>
  </si>
  <si>
    <t>C:\Users\franc\OneDrive\Documentos\MALENTIN KARIME\BANCO ESTADO\2012 DEPTO ESCRITURAS fata\NOTARIA 2009\ANDRES CORRAL\ALZAMIENTO SERVIU\HONORIO OLIVARES.doc</t>
  </si>
  <si>
    <t>C:\Users\franc\OneDrive\Documentos\MALENTIN KARIME\BANCO ESTADO\2012 DEPTO ESCRITURAS fata\NOTARIA 2009\ANDRES CORRAL\ALZAMIENTO SERVIU\HERNAN RIVERA RIVERA.doc</t>
  </si>
  <si>
    <t>C:\Users\franc\OneDrive\Documentos\MALENTIN KARIME\BANCO ESTADO\2012 DEPTO ESCRITURAS fata\NOTARIA 2009\ANDRES CORRAL\ALZAMIENTO SERVIU\HERNAN RAMOS.doc</t>
  </si>
  <si>
    <t>C:\Users\franc\OneDrive\Documentos\MALENTIN KARIME\BANCO ESTADO\2012 DEPTO ESCRITURAS fata\NOTARIA 2009\ANDRES CORRAL\ALZAMIENTO SERVIU\GUILLERMO ROLDAN.doc</t>
  </si>
  <si>
    <t>C:\Users\franc\OneDrive\Documentos\MALENTIN KARIME\BANCO ESTADO\2012 DEPTO ESCRITURAS fata\NOTARIA 2009\ANDRES CORRAL\ALZAMIENTO SERVIU\GABRIEL CORTES.doc</t>
  </si>
  <si>
    <t>C:\Users\franc\OneDrive\Documentos\MALENTIN KARIME\BANCO ESTADO\2012 DEPTO ESCRITURAS fata\NOTARIA 2009\ANDRES CORRAL\ALZAMIENTO SERVIU\FRANCISCO RAMIREZ.doc</t>
  </si>
  <si>
    <t>C:\Users\franc\OneDrive\Documentos\MALENTIN KARIME\BANCO ESTADO\2012 DEPTO ESCRITURAS fata\NOTARIA 2009\ANDRES CORRAL\ALZAMIENTO SERVIU\FIRMAS.AUT.doc</t>
  </si>
  <si>
    <t>C:\Users\franc\OneDrive\Documentos\MALENTIN KARIME\BANCO ESTADO\2012 DEPTO ESCRITURAS fata\NOTARIA 2009\ANDRES CORRAL\ALZAMIENTO SERVIU\FIRMAS. SERVIU, TATIANA.dos.doc</t>
  </si>
  <si>
    <t>C:\Users\franc\OneDrive\Documentos\MALENTIN KARIME\BANCO ESTADO\2012 DEPTO ESCRITURAS fata\NOTARIA 2009\ANDRES CORRAL\ALZAMIENTO SERVIU\FIRMAS. dos.doc</t>
  </si>
  <si>
    <t>C:\Users\franc\OneDrive\Documentos\MALENTIN KARIME\BANCO ESTADO\2012 DEPTO ESCRITURAS fata\NOTARIA 2009\ANDRES CORRAL\ALZAMIENTO SERVIU\ERNESTO OSSANDON.doc</t>
  </si>
  <si>
    <t>C:\Users\franc\OneDrive\Documentos\MALENTIN KARIME\BANCO ESTADO\2012 DEPTO ESCRITURAS fata\NOTARIA 2009\ANDRES CORRAL\ALZAMIENTO SERVIU\EGLANTINA ARAYA.doc</t>
  </si>
  <si>
    <t>C:\Users\franc\OneDrive\Documentos\MALENTIN KARIME\BANCO ESTADO\2012 DEPTO ESCRITURAS fata\NOTARIA 2009\ANDRES CORRAL\ALZAMIENTO SERVIU\DARIO CARVAJAL.doc</t>
  </si>
  <si>
    <t>C:\Users\franc\OneDrive\Documentos\MALENTIN KARIME\BANCO ESTADO\2012 DEPTO ESCRITURAS fata\NOTARIA 2009\ANDRES CORRAL\ALZAMIENTO SERVIU\CARMEN CODOCEO.doc</t>
  </si>
  <si>
    <t>C:\Users\franc\OneDrive\Documentos\MALENTIN KARIME\BANCO ESTADO\2012 DEPTO ESCRITURAS fata\NOTARIA 2009\ANDRES CORRAL\ALZAMIENTO SERVIU\ARTURO AGUILAR TORDOLLA.doc</t>
  </si>
  <si>
    <t>C:\Users\franc\OneDrive\Documentos\MALENTIN KARIME\BANCO ESTADO\2012 DEPTO ESCRITURAS fata\NOTARIA 2009\ANDRES CORRAL\ALZAMIENTO SERVIU\ANGEL OLIVARES.doc</t>
  </si>
  <si>
    <t>C:\Users\franc\OneDrive\Documentos\MALENTIN KARIME\BANCO ESTADO\2012 DEPTO ESCRITURAS fata\NOTARIA 2009\ANDRES CORRAL\ALZAMIENTO SERVIU\alzamiento serviu.doc</t>
  </si>
  <si>
    <t>C:\Users\franc\OneDrive\Documentos\MALENTIN KARIME\BANCO ESTADO\2012 DEPTO ESCRITURAS fata\NOTARIA 2009\ANDRES CORRAL\ALZAMIENTO SERVIU\ALICIA ARREDONDO.doc</t>
  </si>
  <si>
    <t>C:\Users\franc\OneDrive\Documentos\MALENTIN KARIME\BANCO ESTADO\2012 DEPTO ESCRITURAS fata\NOTARIA 2009\ANDRES CORRAL\ALZAMIENTO SERVIU\ALFONSO ROJAS PIÑONES.doc</t>
  </si>
  <si>
    <t>C:\Users\franc\OneDrive\Documentos\MALENTIN KARIME\BANCO ESTADO\2012 DEPTO ESCRITURAS fata\NOTARIA 2009\ANDRES CORRAL\ALZAMIENTO SERVIU\ABELARDO SANTANDER.doc</t>
  </si>
  <si>
    <t>C:\Users\franc\OneDrive\Documentos\MALENTIN KARIME\BANCO ESTADO\2012 DEPTO ESCRITURAS fata\NOTARIA 2009\ANDRES CORRAL\SOC. RECOLETA (TRANSFORMACION).doc</t>
  </si>
  <si>
    <t>C:\Users\franc\OneDrive\Documentos\MALENTIN KARIME\BANCO ESTADO\2012 DEPTO ESCRITURAS fata\NOTARIA 2009\ANDRES CORRAL\SOC. JUAN PABLO A CLAUDIO REYES.doc</t>
  </si>
  <si>
    <t>C:\Users\franc\OneDrive\Documentos\MALENTIN KARIME\BANCO ESTADO\2012 DEPTO ESCRITURAS fata\NOTARIA 2009\ANDRES CORRAL\soc. angostura  A RODOLFO ARANEDA (PODER ESPE).doc</t>
  </si>
  <si>
    <t>C:\Users\franc\OneDrive\Documentos\MALENTIN KARIME\BANCO ESTADO\2012 DEPTO ESCRITURAS fata\NOTARIA 2009\ANDRES CORRAL\SOC. ALVAREZ ARTIGUES (SERVDUMBRE).doc</t>
  </si>
  <si>
    <t>C:\Users\franc\OneDrive\Documentos\MALENTIN KARIME\BANCO ESTADO\2012 DEPTO ESCRITURAS fata\NOTARIA 2009\ANDRES CORRAL\REVOCACION COVALSA.doc</t>
  </si>
  <si>
    <t>C:\Users\franc\OneDrive\Documentos\MALENTIN KARIME\BANCO ESTADO\2012 DEPTO ESCRITURAS fata\NOTARIA 2009\ANDRES CORRAL\PERLA MACIAS A ANDRES CORRAL Y OTRO (MANDATO JUDICIAL).doc</t>
  </si>
  <si>
    <t>C:\Users\franc\OneDrive\Documentos\MALENTIN KARIME\BANCO ESTADO\2012 DEPTO ESCRITURAS fata\NOTARIA 2009\ANDRES CORRAL\MODIFICACION ELIO ELORZA.doc</t>
  </si>
  <si>
    <t>C:\Users\franc\OneDrive\Documentos\MALENTIN KARIME\BANCO ESTADO\2012 DEPTO ESCRITURAS fata\NOTARIA 2009\ANDRES CORRAL\MODIF. AGRICOLA JUAN PABLO.doc</t>
  </si>
  <si>
    <t>C:\Users\franc\OneDrive\Documentos\MALENTIN KARIME\BANCO ESTADO\2012 DEPTO ESCRITURAS fata\NOTARIA 2009\ANDRES CORRAL\LUIS ARTIGUES A FCO. ARTIGUES DEPTO..doc</t>
  </si>
  <si>
    <t>C:\Users\franc\OneDrive\Documentos\MALENTIN KARIME\BANCO ESTADO\2012 DEPTO ESCRITURAS fata\NOTARIA 2009\ANDRES CORRAL\liquidacion doña adriana.doc</t>
  </si>
  <si>
    <t>C:\Users\franc\OneDrive\Documentos\MALENTIN KARIME\BANCO ESTADO\2012 DEPTO ESCRITURAS fata\NOTARIA 2009\ANDRES CORRAL\JAIME CAMPOSANO A CLAUDIO ALVAREZ Y OTRA.doc</t>
  </si>
  <si>
    <t>C:\Users\franc\OneDrive\Documentos\MALENTIN KARIME\BANCO ESTADO\2012 DEPTO ESCRITURAS fata\NOTARIA 2009\ANDRES CORRAL\INVERSIONES ARTIGUES A RODOLFO ARAVENA (PODER ESP.doc</t>
  </si>
  <si>
    <t>C:\Users\franc\OneDrive\Documentos\MALENTIN KARIME\BANCO ESTADO\2012 DEPTO ESCRITURAS fata\NOTARIA 2009\ANDRES CORRAL\INVERS. JUAN PABLO (MANDATO JUDICIALo.doc</t>
  </si>
  <si>
    <t>C:\Users\franc\OneDrive\Documentos\MALENTIN KARIME\BANCO ESTADO\2012 DEPTO ESCRITURAS fata\NOTARIA 2009\ANDRES CORRAL\INV. LOS ABETOS A PABLO CONCHA Y OTROS.doc</t>
  </si>
  <si>
    <t>C:\Users\franc\OneDrive\Documentos\MALENTIN KARIME\BANCO ESTADO\2012 DEPTO ESCRITURAS fata\NOTARIA 2009\ANDRES CORRAL\INSTRUC C-V JAIME CAMPOSANO (3).doc</t>
  </si>
  <si>
    <t>C:\Users\franc\OneDrive\Documentos\MALENTIN KARIME\BANCO ESTADO\2012 DEPTO ESCRITURAS fata\NOTARIA 2009\ANDRES CORRAL\GRACIELA PARADA A ELIO ELORZA.doc</t>
  </si>
  <si>
    <t>C:\Users\franc\OneDrive\Documentos\MALENTIN KARIME\BANCO ESTADO\2012 DEPTO ESCRITURAS fata\NOTARIA 2009\ANDRES CORRAL\EXTRART-TRANS-RECOLETA.doc</t>
  </si>
  <si>
    <t>C:\Users\franc\OneDrive\Documentos\MALENTIN KARIME\BANCO ESTADO\2012 DEPTO ESCRITURAS fata\NOTARIA 2009\ANDRES CORRAL\extracto disoluc-adriana[1].doc</t>
  </si>
  <si>
    <t>C:\Users\franc\OneDrive\Documentos\MALENTIN KARIME\BANCO ESTADO\2012 DEPTO ESCRITURAS fata\NOTARIA 2009\ANDRES CORRAL\ELIO ELORZA A AGRICOLA PAIHUEN (ARRIENDO MINERO).doc</t>
  </si>
  <si>
    <t>C:\Users\franc\OneDrive\Documentos\MALENTIN KARIME\BANCO ESTADO\2012 DEPTO ESCRITURAS fata\NOTARIA 2009\ANDRES CORRAL\ELIO ELORZA - CESION ACCIONES.doc</t>
  </si>
  <si>
    <t>C:\Users\franc\OneDrive\Documentos\MALENTIN KARIME\BANCO ESTADO\2012 DEPTO ESCRITURAS fata\NOTARIA 2009\ANDRES CORRAL\DISOLUCION SOC. DOÑA ADRIANA (ALFONSO ARTIGUES).doc</t>
  </si>
  <si>
    <t>C:\Users\franc\OneDrive\Documentos\MALENTIN KARIME\BANCO ESTADO\2012 DEPTO ESCRITURAS fata\NOTARIA 2009\ANDRES CORRAL\COVALSA A RODOLFO ARANEDA.doc</t>
  </si>
  <si>
    <t>C:\Users\franc\OneDrive\Documentos\MALENTIN KARIME\BANCO ESTADO\2012 DEPTO ESCRITURAS fata\NOTARIA 2009\ANDRES CORRAL\COVALSA A RODOLFO ARANEDA (OCT 2009).doc</t>
  </si>
  <si>
    <t>C:\Users\franc\OneDrive\Documentos\MALENTIN KARIME\BANCO ESTADO\2012 DEPTO ESCRITURAS fata\NOTARIA 2009\ANDRES CORRAL\COVALSA A JOSE ANGAN Y RUTH.doc</t>
  </si>
  <si>
    <t>C:\Users\franc\OneDrive\Documentos\MALENTIN KARIME\BANCO ESTADO\2012 DEPTO ESCRITURAS fata\NOTARIA 2009\ANDRES CORRAL\COVALSA (RECTIFICACION, ACLARACIONY COMPLEMENTACION).doc</t>
  </si>
  <si>
    <t>C:\Users\franc\OneDrive\Documentos\MALENTIN KARIME\BANCO ESTADO\2012 DEPTO ESCRITURAS fata\NOTARIA 2009\ANDRES CORRAL\ACTA ARTIGUES.doc</t>
  </si>
  <si>
    <t>C:\Users\franc\OneDrive\Documentos\MALENTIN KARIME\BANCO ESTADO\2012 DEPTO ESCRITURAS fata\NOTARIA 2009\ANDRES CORRAL\ACLARA SERVIDUMBRE.doc</t>
  </si>
  <si>
    <t>C:\Users\franc\OneDrive\Documentos\MALENTIN KARIME\BANCO ESTADO\2012 DEPTO ESCRITURAS fata\NOTARIA 2009\ALZAMIENTO HIPOTECA Y PROHB\VALENTIN ORTIZ A SIMON ROCO.doc</t>
  </si>
  <si>
    <t>C:\Users\franc\OneDrive\Documentos\MALENTIN KARIME\BANCO ESTADO\2012 DEPTO ESCRITURAS fata\NOTARIA 2009\ALZAMIENTO HIPOTECA Y PROHB\MAL PASO A LOS POZOS.doc</t>
  </si>
  <si>
    <t>C:\Users\franc\OneDrive\Documentos\MALENTIN KARIME\BANCO ESTADO\2012 DEPTO ESCRITURAS fata\NOTARIA 2009\ALZAMIENTO HIPOTECA Y PROHB\MAL PASO A COM. AGRICOLA S.A..doc</t>
  </si>
  <si>
    <t>C:\Users\franc\OneDrive\Documentos\MALENTIN KARIME\BANCO ESTADO\2012 DEPTO ESCRITURAS fata\NOTARIA 2009\ALZAMIENTO HIPOTECA Y PROHB\DINA SANCHEZ A LUCIANO CHOQUE.doc</t>
  </si>
  <si>
    <t>C:\Users\franc\OneDrive\Documentos\MALENTIN KARIME\BANCO ESTADO\2012 DEPTO ESCRITURAS fata\NOTARIA 2009\ALFREDO VILLAGRAN\EIRL SANEAMIENTO.doc</t>
  </si>
  <si>
    <t>C:\Users\franc\OneDrive\Documentos\MALENTIN KARIME\BANCO ESTADO\2012 DEPTO ESCRITURAS fata\NOTARIA 2009\ALEJANDRO VILLEGAS\JORGE CARVAJAL Y OTR. A PEDRO VILLALOBOS.doc</t>
  </si>
  <si>
    <t>C:\Users\franc\OneDrive\Documentos\MALENTIN KARIME\BANCO ESTADO\2012 DEPTO ESCRITURAS fata\NOTARIA 2009\AGRICOM\SOC. RECOLETA.doc</t>
  </si>
  <si>
    <t>C:\Users\franc\OneDrive\Documentos\MALENTIN KARIME\BANCO ESTADO\2012 DEPTO ESCRITURAS fata\NOTARIA 2009\AGRICOM\EXTRACTO RECOLETA.doc</t>
  </si>
  <si>
    <t>C:\Users\franc\OneDrive\Documentos\MALENTIN KARIME\BANCO ESTADO\2012 DEPTO ESCRITURAS fata\NOTARIA 2009\AGRELQUI\SOC. SEPRA A CANTA RANA(PRENDA).doc</t>
  </si>
  <si>
    <t>C:\Users\franc\OneDrive\Documentos\MALENTIN KARIME\BANCO ESTADO\2012 DEPTO ESCRITURAS fata\NOTARIA 2009\AGRELQUI\SOC. AGRICOLA MAPAL (PRENDA).doc</t>
  </si>
  <si>
    <t>C:\Users\franc\OneDrive\Documentos\MALENTIN KARIME\BANCO ESTADO\2012 DEPTO ESCRITURAS fata\NOTARIA 2009\AGRELQUI\SOC. AGRICOLA MAPAL (EXTRACTO).doc</t>
  </si>
  <si>
    <t>C:\Users\franc\OneDrive\Documentos\MALENTIN KARIME\BANCO ESTADO\2012 DEPTO ESCRITURAS fata\NOTARIA 2009\AGRELQUI\SOC. AGRICOLA HUANTA  (PRENDA).doc</t>
  </si>
  <si>
    <t>C:\Users\franc\OneDrive\Documentos\MALENTIN KARIME\BANCO ESTADO\2012 DEPTO ESCRITURAS fata\NOTARIA 2009\AGRELQUI\SOC. AGRICOLA COLLIGUAY BAJO  (PRENDA).doc</t>
  </si>
  <si>
    <t>C:\Users\franc\OneDrive\Documentos\MALENTIN KARIME\BANCO ESTADO\2012 DEPTO ESCRITURAS fata\NOTARIA 2009\AGRELQUI\SOC. AGRELQUE A CANTA RANA (PRENDA)Ç.doc</t>
  </si>
  <si>
    <t>C:\Users\franc\OneDrive\Documentos\MALENTIN KARIME\BANCO ESTADO\2012 DEPTO ESCRITURAS fata\NOTARIA 2009\AGRELQUI\PERSONERIAS.doc</t>
  </si>
  <si>
    <t>C:\Users\franc\OneDrive\Documentos\MALENTIN KARIME\BANCO ESTADO\2012 DEPTO ESCRITURAS fata\NOTARIA 2009\AGRELQUI\PAGARE_A_PLAZO_US$,_Mapal[1].doc</t>
  </si>
  <si>
    <t>C:\Users\franc\OneDrive\Documentos\MALENTIN KARIME\BANCO ESTADO\2012 DEPTO ESCRITURAS fata\NOTARIA 2009\AGRELQUI\PAGARE A PLAZO US$,Colliguay[1].doc</t>
  </si>
  <si>
    <t>C:\Users\franc\OneDrive\Documentos\MALENTIN KARIME\BANCO ESTADO\2012 DEPTO ESCRITURAS fata\NOTARIA 2009\AGRELQUI\PAGARE A PLAZO US$, Sepra[1].doc</t>
  </si>
  <si>
    <t>C:\Users\franc\OneDrive\Documentos\MALENTIN KARIME\BANCO ESTADO\2012 DEPTO ESCRITURAS fata\NOTARIA 2009\AGRELQUI\PAGARE A PLAZO US$, Huanta[1].doc</t>
  </si>
  <si>
    <t>C:\Users\franc\OneDrive\Documentos\MALENTIN KARIME\BANCO ESTADO\2012 DEPTO ESCRITURAS fata\NOTARIA 2009\AGRELQUI\PAGARE A LA VISTA.doc</t>
  </si>
  <si>
    <t>C:\Users\franc\OneDrive\Documentos\MALENTIN KARIME\BANCO ESTADO\2012 DEPTO ESCRITURAS fata\NOTARIA 2009\AGRELQUI\MANUEL ECHEVERRIA A AGRELQUI  (COMPRAV).doc</t>
  </si>
  <si>
    <t>C:\Users\franc\OneDrive\Documentos\MALENTIN KARIME\BANCO ESTADO\2012 DEPTO ESCRITURAS fata\NOTARIA 2009\AGRELQUI\Extracto Prenda SEPRA[1].doc</t>
  </si>
  <si>
    <t>C:\Users\franc\OneDrive\Documentos\MALENTIN KARIME\BANCO ESTADO\2012 DEPTO ESCRITURAS fata\NOTARIA 2009\AGRELQUI\Extracto Prenda Sepra  Final.doc</t>
  </si>
  <si>
    <t>C:\Users\franc\OneDrive\Documentos\MALENTIN KARIME\BANCO ESTADO\2012 DEPTO ESCRITURAS fata\NOTARIA 2009\AGRELQUI\Extracto Prenda HUANTA[1].doc</t>
  </si>
  <si>
    <t>C:\Users\franc\OneDrive\Documentos\MALENTIN KARIME\BANCO ESTADO\2012 DEPTO ESCRITURAS fata\NOTARIA 2009\AGRELQUI\Extracto Prenda huanta  Final.doc</t>
  </si>
  <si>
    <t>C:\Users\franc\OneDrive\Documentos\MALENTIN KARIME\BANCO ESTADO\2012 DEPTO ESCRITURAS fata\NOTARIA 2009\AGRELQUI\Extracto Prenda Colliguay[1].doc</t>
  </si>
  <si>
    <t>C:\Users\franc\OneDrive\Documentos\MALENTIN KARIME\BANCO ESTADO\2012 DEPTO ESCRITURAS fata\NOTARIA 2009\AGRELQUI\Extracto Prenda Colliguay Final.doc</t>
  </si>
  <si>
    <t>C:\Users\franc\OneDrive\Documentos\MALENTIN KARIME\BANCO ESTADO\2012 DEPTO ESCRITURAS fata\NOTARIA 2009\AGRELQUI\Extracto Prenda AGRELQUI  Final.doc</t>
  </si>
  <si>
    <t>C:\Users\franc\OneDrive\Documentos\MALENTIN KARIME\BANCO ESTADO\2012 DEPTO ESCRITURAS fata\NOTARIA 2009\AGRELQUI\COMPRAVENTA FRUTAS PRIVADO MAPAL.doc</t>
  </si>
  <si>
    <t>C:\Users\franc\OneDrive\Documentos\MALENTIN KARIME\BANCO ESTADO\2012 DEPTO ESCRITURAS fata\NOTARIA 2009\AGRELQUI\Compraventa Fruta Export Agrelqui-Colliguayi[1].doc</t>
  </si>
  <si>
    <t>C:\Users\franc\OneDrive\Documentos\MALENTIN KARIME\BANCO ESTADO\2012 DEPTO ESCRITURAS fata\NOTARIA 2009\AGRELQUI\Compraventa Fruta Export ACRSA A SEPRA[1].doc</t>
  </si>
  <si>
    <t>C:\Users\franc\OneDrive\Documentos\MALENTIN KARIME\BANCO ESTADO\2012 DEPTO ESCRITURAS fata\NOTARIA 2009\AGRELQUI\Compraventa Fruta Export ACRSA A HUANTA[1].doc</t>
  </si>
  <si>
    <t>C:\Users\franc\OneDrive\Documentos\MALENTIN KARIME\BANCO ESTADO\2012 DEPTO ESCRITURAS fata\NOTARIA 2009\AGRELQUI\Compraventa Fruta Export ACRSA A AGRELQUI[1].doc</t>
  </si>
  <si>
    <t>C:\Users\franc\OneDrive\Documentos\MALENTIN KARIME\BANCO ESTADO\2012 DEPTO ESCRITURAS fata\NOTARIA 2009\ADOLFO LAY\Manuel Arnoldo Tabilo Varas[1].doc</t>
  </si>
  <si>
    <t>C:\Users\franc\OneDrive\Documentos\MALENTIN KARIME\BANCO ESTADO\2012 DEPTO ESCRITURAS fata\NOTARIA 2009\ADOLFO LAY\Manuel Arnoldo  Tabilo Varas[1].doc</t>
  </si>
  <si>
    <t>C:\Users\franc\OneDrive\Documentos\MALENTIN KARIME\BANCO ESTADO\2012 DEPTO ESCRITURAS fata\NOTARIA 2009\ADOLFO LAY\INSTRUCCIONES ALIRO PINTO.doc</t>
  </si>
  <si>
    <t>C:\Users\franc\OneDrive\Documentos\MALENTIN KARIME\BANCO ESTADO\2012 DEPTO ESCRITURAS fata\NOTARIA 2009\ADOLFO LAY\AGRICOLA ALIRO PINTO A CRUZ SOLORZANO.doc</t>
  </si>
  <si>
    <t>C:\Users\franc\OneDrive\Documentos\MALENTIN KARIME\BANCO ESTADO\2012 DEPTO ESCRITURAS fata\NOTARIA 2009\ACTAS\SLM STA LAURA.doc</t>
  </si>
  <si>
    <t>C:\Users\franc\OneDrive\Documentos\MALENTIN KARIME\BANCO ESTADO\2012 DEPTO ESCRITURAS fata\NOTARIA 2009\ACTAS\SESION DON VALENTINO S.A..doc</t>
  </si>
  <si>
    <t>C:\Users\franc\OneDrive\Documentos\MALENTIN KARIME\BANCO ESTADO\2012 DEPTO ESCRITURAS fata\NOTARIA 2009\ACTAS\INVERSIONES ARTIGUES.doc</t>
  </si>
  <si>
    <t>C:\Users\franc\OneDrive\Documentos\MALENTIN KARIME\BANCO ESTADO\2012 DEPTO ESCRITURAS fata\NOTARIA 2009\ACTAS\AGROVAL.doc</t>
  </si>
  <si>
    <t>C:\Users\franc\OneDrive\Documentos\MALENTIN KARIME\BANCO ESTADO\2012 DEPTO ESCRITURAS fata\NOTARIA 2009\ACTAS\AGROVAL SEGUNDA ACTA.doc</t>
  </si>
  <si>
    <t>C:\Users\franc\OneDrive\Documentos\MALENTIN KARIME\BANCO ESTADO\2012 DEPTO ESCRITURAS fata\NOTARIA 2009\ACTAS\ACTA DON VALENTINO S.A..doc</t>
  </si>
  <si>
    <t>C:\Users\franc\OneDrive\Documentos\MALENTIN KARIME\BANCO ESTADO\2012 DEPTO ESCRITURAS fata\NOTARIA 2009\ACLARACION\NELSON CAMPOS (AGUAS).doc</t>
  </si>
  <si>
    <t>C:\Users\franc\OneDrive\Documentos\MALENTIN KARIME\BANCO ESTADO\2012 DEPTO ESCRITURAS fata\NOTARIA 2009\ACLARACION\MARIO PEÑAILILLO.doc</t>
  </si>
  <si>
    <t>C:\Users\franc\OneDrive\Documentos\MALENTIN KARIME\BANCO ESTADO\2012 DEPTO ESCRITURAS fata\NOTARIA 2009\ACLARACION\EMA JARAMILLO.doc</t>
  </si>
  <si>
    <t>C:\Users\franc\OneDrive\Documentos\MALENTIN KARIME\BANCO ESTADO\2012 DEPTO ESCRITURAS fata\NOTARIA 2009\ACLARACION\DANIEL RAPIMAN.doc</t>
  </si>
  <si>
    <t>C:\Users\franc\OneDrive\Documentos\MALENTIN KARIME\BANCO ESTADO\2012 DEPTO ESCRITURAS fata\NOTARIA 2009\ACLARACION\AGRICOLA PAULA Y CONSUELO LTDA..doc</t>
  </si>
  <si>
    <t>C:\Users\franc\OneDrive\Documentos\MALENTIN KARIME\BANCO ESTADO\2012 DEPTO ESCRITURAS fata\NOTARIA 2009\001 MATRICES DE ESCRITURAS PUBLICAS\TIMBRE PRIVILEGIO POBREZA.doc</t>
  </si>
  <si>
    <t>C:\Users\franc\OneDrive\Documentos\MALENTIN KARIME\BANCO ESTADO\2012 DEPTO ESCRITURAS fata\NOTARIA 2009\001 MATRICES DE ESCRITURAS PUBLICAS\PRENDA SIN DESPLAZAMIENTO.doc</t>
  </si>
  <si>
    <t>C:\Users\franc\OneDrive\Documentos\MALENTIN KARIME\BANCO ESTADO\2012 DEPTO ESCRITURAS fata\NOTARIA 2009\001 MATRICES DE ESCRITURAS PUBLICAS\NOTAS COMPLEMENTARIAS CONT..doc</t>
  </si>
  <si>
    <t>C:\Users\franc\OneDrive\Documentos\MALENTIN KARIME\BANCO ESTADO\2012 DEPTO ESCRITURAS fata\NOTARIA 2009\001 MATRICES DE ESCRITURAS PUBLICAS\NOTA.doc</t>
  </si>
  <si>
    <t>C:\Users\franc\OneDrive\Documentos\MALENTIN KARIME\BANCO ESTADO\2012 DEPTO ESCRITURAS fata\NOTARIA 2009\001 MATRICES DE ESCRITURAS PUBLICAS\NOTA MARGINAL.doc</t>
  </si>
  <si>
    <t>C:\Users\franc\OneDrive\Documentos\MALENTIN KARIME\BANCO ESTADO\2012 DEPTO ESCRITURAS fata\NOTARIA 2009\001 MATRICES DE ESCRITURAS PUBLICAS\N. COMPLEMENTARIAS ARUEGO.doc</t>
  </si>
  <si>
    <t>C:\Users\franc\OneDrive\Documentos\MALENTIN KARIME\BANCO ESTADO\2012 DEPTO ESCRITURAS fata\NOTARIA 2009\001 MATRICES DE ESCRITURAS PUBLICAS\MEMBRETE FACSIMIL.doc</t>
  </si>
  <si>
    <t>C:\Users\franc\OneDrive\Documentos\MALENTIN KARIME\BANCO ESTADO\2012 DEPTO ESCRITURAS fata\NOTARIA 2009\001 MATRICES DE ESCRITURAS PUBLICAS\HOJA ANEXA PROT..doc</t>
  </si>
  <si>
    <t>C:\Users\franc\OneDrive\Documentos\MALENTIN KARIME\BANCO ESTADO\2012 DEPTO ESCRITURAS fata\NOTARIA 2009\001 MATRICES DE ESCRITURAS PUBLICAS\ELECCIONES PARTIDOS POLITICOS.doc</t>
  </si>
  <si>
    <t>C:\Users\franc\OneDrive\Documentos\MALENTIN KARIME\BANCO ESTADO\2012 DEPTO ESCRITURAS fata\NOTARIA 2009\001 MATRICES DE ESCRITURAS PUBLICAS\ELECCIONES PARTIDOS POLITICOS lista firmas.doc</t>
  </si>
  <si>
    <t>C:\Users\franc\OneDrive\Documentos\MALENTIN KARIME\BANCO ESTADO\2012 DEPTO ESCRITURAS fata\NOTARIA 2009\001 MATRICES DE ESCRITURAS PUBLICAS\CERTIFICACIONES.doc</t>
  </si>
  <si>
    <t>C:\Users\franc\OneDrive\Documentos\MALENTIN KARIME\BANCO ESTADO\2012 DEPTO ESCRITURAS fata\NOTARIA 2009\001 MATRICES DE ESCRITURAS PUBLICAS\CERTIFICACIONES auto PROTOCOLIZACION.doc</t>
  </si>
  <si>
    <t>C:\Users\franc\OneDrive\Documentos\MALENTIN KARIME\BANCO ESTADO\2012 DEPTO ESCRITURAS fata\NOTARIA 2009\001 MATRICES DE ESCRITURAS PUBLICAS\AUT HOJA SIGUIENTE.doc</t>
  </si>
  <si>
    <t>C:\Users\franc\OneDrive\Documentos\MALENTIN KARIME\BANCO ESTADO\2012 DEPTO ESCRITURAS fata\NOTARIA 2009\001 MATRICES DE ESCRITURAS PUBLICAS\124.1 EXTRACTO LIMITADA.doc</t>
  </si>
  <si>
    <t>C:\Users\franc\OneDrive\Documentos\MALENTIN KARIME\BANCO ESTADO\2012 DEPTO ESCRITURAS fata\NOTARIA 2009\001 MATRICES DE ESCRITURAS PUBLICAS\108 REPERTORIO ESCRITURAS.doc</t>
  </si>
  <si>
    <t>C:\Users\franc\OneDrive\Documentos\MALENTIN KARIME\BANCO ESTADO\2012 DEPTO ESCRITURAS fata\NOTARIA 2009\001 MATRICES DE ESCRITURAS PUBLICAS\107 NOTAS COMPLEMENTARIAS.doc</t>
  </si>
  <si>
    <t>C:\Users\franc\OneDrive\Documentos\MALENTIN KARIME\BANCO ESTADO\2012 DEPTO ESCRITURAS fata\NOTARIA 2009\001 MATRICES DE ESCRITURAS PUBLICAS\107 correcciones escrituras.doc</t>
  </si>
  <si>
    <t>C:\Users\franc\OneDrive\Documentos\MALENTIN KARIME\BANCO ESTADO\2012 DEPTO ESCRITURAS fata\NOTARIA 2009\001 MATRICES DE ESCRITURAS PUBLICAS\103.02 MATRIZ ESCRITURA SUPLENTE.doc</t>
  </si>
  <si>
    <t>C:\Users\franc\OneDrive\Documentos\MALENTIN KARIME\BANCO ESTADO\2012 DEPTO ESCRITURAS fata\NOTARIA 2009\001 MATRICES DE ESCRITURAS PUBLICAS\102.00 MATRIZ PROTOCOLIZACION.doc</t>
  </si>
  <si>
    <t>C:\Users\franc\OneDrive\Documentos\MALENTIN KARIME\BANCO ESTADO\2012 DEPTO ESCRITURAS fata\NOTARIA 2009\001 MATRICES DE ESCRITURAS PUBLICAS\101.02 MATRIZ ESCRITURA CON PRIVILEGIO.doc</t>
  </si>
  <si>
    <t>C:\Users\franc\OneDrive\Documentos\MALENTIN KARIME\BANCO ESTADO\2012 DEPTO ESCRITURAS fata\NOTARIA 2009\001 MATRICES DE ESCRITURAS PUBLICAS\101.01 MATRIZ ESCRITURA.doc</t>
  </si>
  <si>
    <t>C:\Users\franc\OneDrive\Documentos\MALENTIN KARIME\BANCO ESTADO\2012 DEPTO ESCRITURAS fata\NOTARIA 2009\SERGIO HERNANDEZ AGUIRRE.doc</t>
  </si>
  <si>
    <t>C:\Users\franc\OneDrive\Documentos\MALENTIN KARIME\BANCO ESTADO\2012 DEPTO ESCRITURAS fata\NOTARIA 2009\SEPARACION DE BIENES.doc</t>
  </si>
  <si>
    <t>C:\Users\franc\OneDrive\Documentos\MALENTIN KARIME\BANCO ESTADO\2012 DEPTO ESCRITURAS fata\NOTARIA 2009\punitaqui.doc</t>
  </si>
  <si>
    <t>C:\Users\franc\OneDrive\Documentos\MALENTIN KARIME\BANCO ESTADO\2012 DEPTO ESCRITURAS fata\NOTARIA 2009\PAGARE promesa carmelitana.doc</t>
  </si>
  <si>
    <t>C:\Users\franc\OneDrive\Documentos\MALENTIN KARIME\BANCO ESTADO\2012 DEPTO ESCRITURAS fata\NOTARIA 2009\MODELO TRANSACCION judicial.doc</t>
  </si>
  <si>
    <t>C:\Users\franc\OneDrive\Documentos\MALENTIN KARIME\BANCO ESTADO\2012 DEPTO ESCRITURAS fata\NOTARIA 2009\MODELO NOTARIO.doc</t>
  </si>
  <si>
    <t>C:\Users\franc\OneDrive\Documentos\MALENTIN KARIME\BANCO ESTADO\2012 DEPTO ESCRITURAS fata\NOTARIA 2009\MODELO NOTARIO SUPLENTE.doc</t>
  </si>
  <si>
    <t>C:\Users\franc\OneDrive\Documentos\MALENTIN KARIME\BANCO ESTADO\2012 DEPTO ESCRITURAS fata\NOTARIA 2009\MODELO CV.doc</t>
  </si>
  <si>
    <t>C:\Users\franc\OneDrive\Documentos\MALENTIN KARIME\BANCO ESTADO\2012 DEPTO ESCRITURAS fata\NOTARIA 2009\lucia donoso.doc</t>
  </si>
  <si>
    <t>C:\Users\franc\OneDrive\Documentos\MALENTIN KARIME\BANCO ESTADO\2012 DEPTO ESCRITURAS fata\NOTARIA 2009\lucia donoso - usufructo.doc</t>
  </si>
  <si>
    <t>C:\Users\franc\OneDrive\Documentos\MALENTIN KARIME\BANCO ESTADO\2012 DEPTO ESCRITURAS fata\NOTARIA 2009\HILDA VIDELA Y OTROS A DAVID CONTRERAS.doc</t>
  </si>
  <si>
    <t>C:\Users\franc\OneDrive\Documentos\MALENTIN KARIME\BANCO ESTADO\2012 DEPTO ESCRITURAS fata\NOTARIA 2009\HILDA BONILLA.doc</t>
  </si>
  <si>
    <t>C:\Users\franc\OneDrive\Documentos\MALENTIN KARIME\BANCO ESTADO\2012 DEPTO ESCRITURAS fata\NOTARIA 2009\GABRIEL VIII 1-16.doc</t>
  </si>
  <si>
    <t>C:\Users\franc\OneDrive\Documentos\MALENTIN KARIME\BANCO ESTADO\2012 DEPTO ESCRITURAS fata\NOTARIA 2009\FRANCISCO NIÑO DE ZEPEDA FEBRERO 2007.doc</t>
  </si>
  <si>
    <t>C:\Users\franc\OneDrive\Documentos\MALENTIN KARIME\BANCO ESTADO\2012 DEPTO ESCRITURAS fata\NOTARIA 2009\FILOMENA ROJAS (COLEGIO).doc</t>
  </si>
  <si>
    <t>C:\Users\franc\OneDrive\Documentos\MALENTIN KARIME\BANCO ESTADO\2012 DEPTO ESCRITURAS fata\NOTARIA 2009\Estimada Ana Luisa.doc</t>
  </si>
  <si>
    <t>C:\Users\franc\OneDrive\Documentos\MALENTIN KARIME\BANCO ESTADO\2012 DEPTO ESCRITURAS fata\NOTARIA 2009\COVALSA A JOSE ANGAN Y RUTH.doc</t>
  </si>
  <si>
    <t>C:\Users\franc\OneDrive\Documentos\MALENTIN KARIME\BANCO ESTADO\2012 DEPTO ESCRITURAS fata\NOTARIA 2009\CERTIFICO.doc</t>
  </si>
  <si>
    <t>C:\Users\franc\OneDrive\Documentos\MALENTIN KARIME\BANCO ESTADO\2012 DEPTO ESCRITURAS fata\NOTARIA 2009\ARKON.DOC</t>
  </si>
  <si>
    <t>C:\Users\franc\OneDrive\Documentos\MALENTIN KARIME\BANCO ESTADO\2012 DEPTO ESCRITURAS fata\NOTARIA 2009\ALZAMIENTO FABIOLA CONTRERAS.doc</t>
  </si>
  <si>
    <t>C:\Users\franc\OneDrive\Documentos\MALENTIN KARIME\BANCO ESTADO\2012 DEPTO ESCRITURAS fata\Dc Simples\VEHICULOS\PROMESA VEHICULO.doc</t>
  </si>
  <si>
    <t>C:\Users\franc\OneDrive\Documentos\MALENTIN KARIME\BANCO ESTADO\2012 DEPTO ESCRITURAS fata\Dc Simples\RESPALDO comp notaria 27_12_12\NOTARIA 2012\VEHICULOS\VINKO.doc</t>
  </si>
  <si>
    <t>C:\Users\franc\OneDrive\Documentos\MALENTIN KARIME\BANCO ESTADO\2012 DEPTO ESCRITURAS fata\Dc Simples\RESPALDO comp notaria 27_12_12\NOTARIA 2012\VEHICULOS\VEHICULO 1 CON DEUDA.doc</t>
  </si>
  <si>
    <t>C:\Users\franc\OneDrive\Documentos\MALENTIN KARIME\BANCO ESTADO\2012 DEPTO ESCRITURAS fata\Dc Simples\RESPALDO comp notaria 27_12_12\NOTARIA 2012\VEHICULOS\VEHIC. CON REP.doc</t>
  </si>
  <si>
    <t>C:\Users\franc\OneDrive\Documentos\MALENTIN KARIME\BANCO ESTADO\2012 DEPTO ESCRITURAS fata\Dc Simples\RESPALDO comp notaria 27_12_12\NOTARIA 2012\VEHICULOS\VEHIC. CON REP 656.doc</t>
  </si>
  <si>
    <t>C:\Users\franc\OneDrive\Documentos\MALENTIN KARIME\BANCO ESTADO\2012 DEPTO ESCRITURAS fata\Dc Simples\RESPALDO comp notaria 27_12_12\NOTARIA 2012\VEHICULOS\VEHIC. 1 CON LETRA.doc</t>
  </si>
  <si>
    <t>C:\Users\franc\OneDrive\Documentos\MALENTIN KARIME\BANCO ESTADO\2012 DEPTO ESCRITURAS fata\Dc Simples\RESPALDO comp notaria 27_12_12\NOTARIA 2012\VEHICULOS\VARIOS VENDEDORES.doc</t>
  </si>
  <si>
    <t>C:\Users\franc\OneDrive\Documentos\MALENTIN KARIME\BANCO ESTADO\2012 DEPTO ESCRITURAS fata\Dc Simples\RESPALDO comp notaria 27_12_12\NOTARIA 2012\VEHICULOS\SOCOR LTDA..doc</t>
  </si>
  <si>
    <t>C:\Users\franc\OneDrive\Documentos\MALENTIN KARIME\BANCO ESTADO\2012 DEPTO ESCRITURAS fata\Dc Simples\RESPALDO comp notaria 27_12_12\NOTARIA 2012\VEHICULOS\SOC. HECHO.doc</t>
  </si>
  <si>
    <t>C:\Users\franc\OneDrive\Documentos\MALENTIN KARIME\BANCO ESTADO\2012 DEPTO ESCRITURAS fata\Dc Simples\RESPALDO comp notaria 27_12_12\NOTARIA 2012\VEHICULOS\SIN REP..doc</t>
  </si>
  <si>
    <t>C:\Users\franc\OneDrive\Documentos\MALENTIN KARIME\BANCO ESTADO\2012 DEPTO ESCRITURAS fata\Dc Simples\RESPALDO comp notaria 27_12_12\NOTARIA 2012\VEHICULOS\SIMPLE.doc</t>
  </si>
  <si>
    <t>C:\Users\franc\OneDrive\Documentos\MALENTIN KARIME\BANCO ESTADO\2012 DEPTO ESCRITURAS fata\Dc Simples\RESPALDO comp notaria 27_12_12\NOTARIA 2012\VEHICULOS\SIMPLE ok.doc</t>
  </si>
  <si>
    <t>C:\Users\franc\OneDrive\Documentos\MALENTIN KARIME\BANCO ESTADO\2012 DEPTO ESCRITURAS fata\Dc Simples\RESPALDO comp notaria 27_12_12\NOTARIA 2012\VEHICULOS\SIMPLE ok SIN REPERTORIO.doc</t>
  </si>
  <si>
    <t>C:\Users\franc\OneDrive\Documentos\MALENTIN KARIME\BANCO ESTADO\2012 DEPTO ESCRITURAS fata\Dc Simples\RESPALDO comp notaria 27_12_12\NOTARIA 2012\VEHICULOS\SIMPLE ok maleb.doc</t>
  </si>
  <si>
    <t>C:\Users\franc\OneDrive\Documentos\MALENTIN KARIME\BANCO ESTADO\2012 DEPTO ESCRITURAS fata\Dc Simples\RESPALDO comp notaria 27_12_12\NOTARIA 2012\VEHICULOS\simple ok con cheque.doc</t>
  </si>
  <si>
    <t>C:\Users\franc\OneDrive\Documentos\MALENTIN KARIME\BANCO ESTADO\2012 DEPTO ESCRITURAS fata\Dc Simples\RESPALDO comp notaria 27_12_12\NOTARIA 2012\VEHICULOS\SIMPLE ok AUTOVENDER.doc</t>
  </si>
  <si>
    <t>C:\Users\franc\OneDrive\Documentos\MALENTIN KARIME\BANCO ESTADO\2012 DEPTO ESCRITURAS fata\Dc Simples\RESPALDO comp notaria 27_12_12\NOTARIA 2012\VEHICULOS\SIMPLE ok AUTOVENDER richard aviles.doc</t>
  </si>
  <si>
    <t>C:\Users\franc\OneDrive\Documentos\MALENTIN KARIME\BANCO ESTADO\2012 DEPTO ESCRITURAS fata\Dc Simples\RESPALDO comp notaria 27_12_12\NOTARIA 2012\VEHICULOS\SIMPLE ok  taxi colectivo.doc</t>
  </si>
  <si>
    <t>C:\Users\franc\OneDrive\Documentos\MALENTIN KARIME\BANCO ESTADO\2012 DEPTO ESCRITURAS fata\Dc Simples\RESPALDO comp notaria 27_12_12\NOTARIA 2012\VEHICULOS\SIMPLE CON LETRAS.doc</t>
  </si>
  <si>
    <t>C:\Users\franc\OneDrive\Documentos\MALENTIN KARIME\BANCO ESTADO\2012 DEPTO ESCRITURAS fata\Dc Simples\RESPALDO comp notaria 27_12_12\NOTARIA 2012\VEHICULOS\SIMPLE  maquinarias.doc</t>
  </si>
  <si>
    <t>C:\Users\franc\OneDrive\Documentos\MALENTIN KARIME\BANCO ESTADO\2012 DEPTO ESCRITURAS fata\Dc Simples\RESPALDO comp notaria 27_12_12\NOTARIA 2012\VEHICULOS\REP. VENDEDOR SUC..doc</t>
  </si>
  <si>
    <t>C:\Users\franc\OneDrive\Documentos\MALENTIN KARIME\BANCO ESTADO\2012 DEPTO ESCRITURAS fata\Dc Simples\RESPALDO comp notaria 27_12_12\NOTARIA 2012\VEHICULOS\REP. COMPRADOR.doc</t>
  </si>
  <si>
    <t>C:\Users\franc\OneDrive\Documentos\MALENTIN KARIME\BANCO ESTADO\2012 DEPTO ESCRITURAS fata\Dc Simples\RESPALDO comp notaria 27_12_12\NOTARIA 2012\VEHICULOS\REMOLQUE.doc</t>
  </si>
  <si>
    <t>C:\Users\franc\OneDrive\Documentos\MALENTIN KARIME\BANCO ESTADO\2012 DEPTO ESCRITURAS fata\Dc Simples\RESPALDO comp notaria 27_12_12\NOTARIA 2012\VEHICULOS\PROMESA SIN EFECTO.doc</t>
  </si>
  <si>
    <t>C:\Users\franc\OneDrive\Documentos\MALENTIN KARIME\BANCO ESTADO\2012 DEPTO ESCRITURAS fata\Dc Simples\RESPALDO comp notaria 27_12_12\NOTARIA 2012\VEHICULOS\PEND..doc</t>
  </si>
  <si>
    <t>C:\Users\franc\OneDrive\Documentos\MALENTIN KARIME\BANCO ESTADO\2012 DEPTO ESCRITURAS fata\Dc Simples\RESPALDO comp notaria 27_12_12\NOTARIA 2012\VEHICULOS\PATO NICOLAS.doc</t>
  </si>
  <si>
    <t>C:\Users\franc\OneDrive\Documentos\MALENTIN KARIME\BANCO ESTADO\2012 DEPTO ESCRITURAS fata\Dc Simples\RESPALDO comp notaria 27_12_12\NOTARIA 2012\VEHICULOS\PASTEN Y BOU LTDA..doc</t>
  </si>
  <si>
    <t>C:\Users\franc\OneDrive\Documentos\MALENTIN KARIME\BANCO ESTADO\2012 DEPTO ESCRITURAS fata\Dc Simples\RESPALDO comp notaria 27_12_12\NOTARIA 2012\VEHICULOS\P.P. VENDEDOR Y 2 COMP..doc</t>
  </si>
  <si>
    <t>C:\Users\franc\OneDrive\Documentos\MALENTIN KARIME\BANCO ESTADO\2012 DEPTO ESCRITURAS fata\Dc Simples\RESPALDO comp notaria 27_12_12\NOTARIA 2012\VEHICULOS\NUEVO.doc</t>
  </si>
  <si>
    <t>C:\Users\franc\OneDrive\Documentos\MALENTIN KARIME\BANCO ESTADO\2012 DEPTO ESCRITURAS fata\Dc Simples\RESPALDO comp notaria 27_12_12\NOTARIA 2012\VEHICULOS\multa.doc</t>
  </si>
  <si>
    <t>C:\Users\franc\OneDrive\Documentos\MALENTIN KARIME\BANCO ESTADO\2012 DEPTO ESCRITURAS fata\Dc Simples\RESPALDO comp notaria 27_12_12\NOTARIA 2012\VEHICULOS\MOTO.doc</t>
  </si>
  <si>
    <t>C:\Users\franc\OneDrive\Documentos\MALENTIN KARIME\BANCO ESTADO\2012 DEPTO ESCRITURAS fata\Dc Simples\RESPALDO comp notaria 27_12_12\NOTARIA 2012\VEHICULOS\MAQUINA INDUSTRIAL.doc</t>
  </si>
  <si>
    <t>C:\Users\franc\OneDrive\Documentos\MALENTIN KARIME\BANCO ESTADO\2012 DEPTO ESCRITURAS fata\Dc Simples\RESPALDO comp notaria 27_12_12\NOTARIA 2012\VEHICULOS\LOS AROMOS A FLECHA.doc</t>
  </si>
  <si>
    <t>C:\Users\franc\OneDrive\Documentos\MALENTIN KARIME\BANCO ESTADO\2012 DEPTO ESCRITURAS fata\Dc Simples\RESPALDO comp notaria 27_12_12\NOTARIA 2012\VEHICULOS\JUAN SOTO.doc</t>
  </si>
  <si>
    <t>C:\Users\franc\OneDrive\Documentos\MALENTIN KARIME\BANCO ESTADO\2012 DEPTO ESCRITURAS fata\Dc Simples\RESPALDO comp notaria 27_12_12\NOTARIA 2012\VEHICULOS\FUNERARIA.doc</t>
  </si>
  <si>
    <t>C:\Users\franc\OneDrive\Documentos\MALENTIN KARIME\BANCO ESTADO\2012 DEPTO ESCRITURAS fata\Dc Simples\RESPALDO comp notaria 27_12_12\NOTARIA 2012\VEHICULOS\FRANCISCA.doc</t>
  </si>
  <si>
    <t>C:\Users\franc\OneDrive\Documentos\MALENTIN KARIME\BANCO ESTADO\2012 DEPTO ESCRITURAS fata\Dc Simples\RESPALDO comp notaria 27_12_12\NOTARIA 2012\VEHICULOS\FELIPE DIAZ.doc</t>
  </si>
  <si>
    <t>C:\Users\franc\OneDrive\Documentos\MALENTIN KARIME\BANCO ESTADO\2012 DEPTO ESCRITURAS fata\Dc Simples\RESPALDO comp notaria 27_12_12\NOTARIA 2012\VEHICULOS\Exento.doc</t>
  </si>
  <si>
    <t>C:\Users\franc\OneDrive\Documentos\MALENTIN KARIME\BANCO ESTADO\2012 DEPTO ESCRITURAS fata\Dc Simples\RESPALDO comp notaria 27_12_12\NOTARIA 2012\VEHICULOS\DOS REP. COMP Y VEND.doc</t>
  </si>
  <si>
    <t>C:\Users\franc\OneDrive\Documentos\MALENTIN KARIME\BANCO ESTADO\2012 DEPTO ESCRITURAS fata\Dc Simples\RESPALDO comp notaria 27_12_12\NOTARIA 2012\VEHICULOS\CUMPL. PROMESA.doc</t>
  </si>
  <si>
    <t>C:\Users\franc\OneDrive\Documentos\MALENTIN KARIME\BANCO ESTADO\2012 DEPTO ESCRITURAS fata\Dc Simples\RESPALDO comp notaria 27_12_12\NOTARIA 2012\VEHICULOS\CREDITORL6633-0.doc</t>
  </si>
  <si>
    <t>C:\Users\franc\OneDrive\Documentos\MALENTIN KARIME\BANCO ESTADO\2012 DEPTO ESCRITURAS fata\Dc Simples\RESPALDO comp notaria 27_12_12\NOTARIA 2012\VEHICULOS\CREDITO.doc</t>
  </si>
  <si>
    <t>C:\Users\franc\OneDrive\Documentos\MALENTIN KARIME\BANCO ESTADO\2012 DEPTO ESCRITURAS fata\Dc Simples\RESPALDO comp notaria 27_12_12\NOTARIA 2012\VEHICULOS\CREDITO SIMPLE.doc</t>
  </si>
  <si>
    <t>C:\Users\franc\OneDrive\Documentos\MALENTIN KARIME\BANCO ESTADO\2012 DEPTO ESCRITURAS fata\Dc Simples\RESPALDO comp notaria 27_12_12\NOTARIA 2012\VEHICULOS\CREDITO ac7165-1.doc</t>
  </si>
  <si>
    <t>C:\Users\franc\OneDrive\Documentos\MALENTIN KARIME\BANCO ESTADO\2012 DEPTO ESCRITURAS fata\Dc Simples\RESPALDO comp notaria 27_12_12\NOTARIA 2012\VEHICULOS\CONTRATO DE VEHICULO CON REPR..doc</t>
  </si>
  <si>
    <t>C:\Users\franc\OneDrive\Documentos\MALENTIN KARIME\BANCO ESTADO\2012 DEPTO ESCRITURAS fata\Dc Simples\RESPALDO comp notaria 27_12_12\NOTARIA 2012\VEHICULOS\CONTRATO CON PRENDA DE PINCHEIRA.doc</t>
  </si>
  <si>
    <t>C:\Users\franc\OneDrive\Documentos\MALENTIN KARIME\BANCO ESTADO\2012 DEPTO ESCRITURAS fata\Dc Simples\RESPALDO comp notaria 27_12_12\NOTARIA 2012\VEHICULOS\CONTRATO CON PRENDA DE PINCHEIRA con modificacion.doc</t>
  </si>
  <si>
    <t>C:\Users\franc\OneDrive\Documentos\MALENTIN KARIME\BANCO ESTADO\2012 DEPTO ESCRITURAS fata\Dc Simples\RESPALDO comp notaria 27_12_12\NOTARIA 2012\VEHICULOS\compraventa tractor.doc</t>
  </si>
  <si>
    <t>C:\Users\franc\OneDrive\Documentos\MALENTIN KARIME\BANCO ESTADO\2012 DEPTO ESCRITURAS fata\Dc Simples\RESPALDO comp notaria 27_12_12\NOTARIA 2012\VEHICULOS\CLEMENTE FUENTEALBA.doc</t>
  </si>
  <si>
    <t>C:\Users\franc\OneDrive\Documentos\MALENTIN KARIME\BANCO ESTADO\2012 DEPTO ESCRITURAS fata\Dc Simples\RESPALDO comp notaria 27_12_12\NOTARIA 2012\VEHICULOS\CARLOS SARRAS ELTIT.doc</t>
  </si>
  <si>
    <t>C:\Users\franc\OneDrive\Documentos\MALENTIN KARIME\BANCO ESTADO\2012 DEPTO ESCRITURAS fata\Dc Simples\RESPALDO comp notaria 27_12_12\NOTARIA 2012\VEHICULOS\5 VENDEDORES.doc</t>
  </si>
  <si>
    <t>C:\Users\franc\OneDrive\Documentos\MALENTIN KARIME\BANCO ESTADO\2012 DEPTO ESCRITURAS fata\Dc Simples\RESPALDO comp notaria 27_12_12\NOTARIA 2012\VEHICULOS\2 VENDEDORES.doc</t>
  </si>
  <si>
    <t>C:\Users\franc\OneDrive\Documentos\MALENTIN KARIME\BANCO ESTADO\2012 DEPTO ESCRITURAS fata\Dc Simples\RESPALDO comp notaria 27_12_12\NOTARIA 2012\VARIOS\SOBRE MEDIO OF..doc</t>
  </si>
  <si>
    <t>C:\Users\franc\OneDrive\Documentos\MALENTIN KARIME\BANCO ESTADO\2012 DEPTO ESCRITURAS fata\Dc Simples\RESPALDO comp notaria 27_12_12\NOTARIA 2012\VARIOS\SOBRE AMERICANO.doc</t>
  </si>
  <si>
    <t>C:\Users\franc\OneDrive\Documentos\MALENTIN KARIME\BANCO ESTADO\2012 DEPTO ESCRITURAS fata\Dc Simples\RESPALDO comp notaria 27_12_12\NOTARIA 2012\VARIOS\RECIBO RAMIRO BARCELO.doc</t>
  </si>
  <si>
    <t>C:\Users\franc\OneDrive\Documentos\MALENTIN KARIME\BANCO ESTADO\2012 DEPTO ESCRITURAS fata\Dc Simples\RESPALDO comp notaria 27_12_12\NOTARIA 2012\VARIOS\RECIBO DE DINERO.doc</t>
  </si>
  <si>
    <t>C:\Users\franc\OneDrive\Documentos\MALENTIN KARIME\BANCO ESTADO\2012 DEPTO ESCRITURAS fata\Dc Simples\RESPALDO comp notaria 27_12_12\NOTARIA 2012\VARIOS\RECIBO DE DINERO VEHICULO.doc</t>
  </si>
  <si>
    <t>C:\Users\franc\OneDrive\Documentos\MALENTIN KARIME\BANCO ESTADO\2012 DEPTO ESCRITURAS fata\Dc Simples\RESPALDO comp notaria 27_12_12\NOTARIA 2012\VARIOS\RECIBO DE DINERO con rep.doc</t>
  </si>
  <si>
    <t>C:\Users\franc\OneDrive\Documentos\MALENTIN KARIME\BANCO ESTADO\2012 DEPTO ESCRITURAS fata\Dc Simples\RESPALDO comp notaria 27_12_12\NOTARIA 2012\VARIOS\RECIBO DE DINERO 1.doc</t>
  </si>
  <si>
    <t>C:\Users\franc\OneDrive\Documentos\MALENTIN KARIME\BANCO ESTADO\2012 DEPTO ESCRITURAS fata\Dc Simples\RESPALDO comp notaria 27_12_12\NOTARIA 2012\VARIOS\PRECIOS.doc</t>
  </si>
  <si>
    <t>C:\Users\franc\OneDrive\Documentos\MALENTIN KARIME\BANCO ESTADO\2012 DEPTO ESCRITURAS fata\Dc Simples\RESPALDO comp notaria 27_12_12\NOTARIA 2012\VARIOS\PAGARE.doc</t>
  </si>
  <si>
    <t>C:\Users\franc\OneDrive\Documentos\MALENTIN KARIME\BANCO ESTADO\2012 DEPTO ESCRITURAS fata\Dc Simples\RESPALDO comp notaria 27_12_12\NOTARIA 2012\VARIOS\PAGARE PEND..doc</t>
  </si>
  <si>
    <t>C:\Users\franc\OneDrive\Documentos\MALENTIN KARIME\BANCO ESTADO\2012 DEPTO ESCRITURAS fata\Dc Simples\RESPALDO comp notaria 27_12_12\NOTARIA 2012\VARIOS\PAGARE PATO NICOLAS.doc</t>
  </si>
  <si>
    <t>C:\Users\franc\OneDrive\Documentos\MALENTIN KARIME\BANCO ESTADO\2012 DEPTO ESCRITURAS fata\Dc Simples\RESPALDO comp notaria 27_12_12\NOTARIA 2012\VARIOS\PAGARE PATAGONIA.doc</t>
  </si>
  <si>
    <t>C:\Users\franc\OneDrive\Documentos\MALENTIN KARIME\BANCO ESTADO\2012 DEPTO ESCRITURAS fata\Dc Simples\RESPALDO comp notaria 27_12_12\NOTARIA 2012\VARIOS\PAGARE NIVALDO.doc</t>
  </si>
  <si>
    <t>C:\Users\franc\OneDrive\Documentos\MALENTIN KARIME\BANCO ESTADO\2012 DEPTO ESCRITURAS fata\Dc Simples\RESPALDO comp notaria 27_12_12\NOTARIA 2012\VARIOS\PAGARE MINERA EL COBRE.doc</t>
  </si>
  <si>
    <t>C:\Users\franc\OneDrive\Documentos\MALENTIN KARIME\BANCO ESTADO\2012 DEPTO ESCRITURAS fata\Dc Simples\RESPALDO comp notaria 27_12_12\NOTARIA 2012\VARIOS\PAGARE CYNTIA.doc</t>
  </si>
  <si>
    <t>C:\Users\franc\OneDrive\Documentos\MALENTIN KARIME\BANCO ESTADO\2012 DEPTO ESCRITURAS fata\Dc Simples\RESPALDO comp notaria 27_12_12\NOTARIA 2012\VARIOS\PAGARE CLEMENTE FUENTEALBA.doc</t>
  </si>
  <si>
    <t>C:\Users\franc\OneDrive\Documentos\MALENTIN KARIME\BANCO ESTADO\2012 DEPTO ESCRITURAS fata\Dc Simples\RESPALDO comp notaria 27_12_12\NOTARIA 2012\VARIOS\PAGARE 36 CUOTAS.doc</t>
  </si>
  <si>
    <t>C:\Users\franc\OneDrive\Documentos\MALENTIN KARIME\BANCO ESTADO\2012 DEPTO ESCRITURAS fata\Dc Simples\RESPALDO comp notaria 27_12_12\NOTARIA 2012\VARIOS\PAGARE 17 CUOTAS.doc</t>
  </si>
  <si>
    <t>C:\Users\franc\OneDrive\Documentos\MALENTIN KARIME\BANCO ESTADO\2012 DEPTO ESCRITURAS fata\Dc Simples\RESPALDO comp notaria 27_12_12\NOTARIA 2012\VARIOS\PAG.MULTIEXPORT S.A..doc</t>
  </si>
  <si>
    <t>C:\Users\franc\OneDrive\Documentos\MALENTIN KARIME\BANCO ESTADO\2012 DEPTO ESCRITURAS fata\Dc Simples\RESPALDO comp notaria 27_12_12\NOTARIA 2012\VARIOS\PAG. JOSE PIZARRO.doc</t>
  </si>
  <si>
    <t>C:\Users\franc\OneDrive\Documentos\MALENTIN KARIME\BANCO ESTADO\2012 DEPTO ESCRITURAS fata\Dc Simples\RESPALDO comp notaria 27_12_12\NOTARIA 2012\VARIOS\MUTUO.doc</t>
  </si>
  <si>
    <t>C:\Users\franc\OneDrive\Documentos\MALENTIN KARIME\BANCO ESTADO\2012 DEPTO ESCRITURAS fata\Dc Simples\RESPALDO comp notaria 27_12_12\NOTARIA 2012\VARIOS\MUTUO COMPLETO.doc</t>
  </si>
  <si>
    <t>C:\Users\franc\OneDrive\Documentos\MALENTIN KARIME\BANCO ESTADO\2012 DEPTO ESCRITURAS fata\Dc Simples\RESPALDO comp notaria 27_12_12\NOTARIA 2012\VARIOS\MUTUO A LA VISTA.doc</t>
  </si>
  <si>
    <t>C:\Users\franc\OneDrive\Documentos\MALENTIN KARIME\BANCO ESTADO\2012 DEPTO ESCRITURAS fata\Dc Simples\RESPALDO comp notaria 27_12_12\NOTARIA 2012\VARIOS\MINISTERIO DE SALUD.doc</t>
  </si>
  <si>
    <t>C:\Users\franc\OneDrive\Documentos\MALENTIN KARIME\BANCO ESTADO\2012 DEPTO ESCRITURAS fata\Dc Simples\RESPALDO comp notaria 27_12_12\NOTARIA 2012\VARIOS\LETRA MODELO.doc</t>
  </si>
  <si>
    <t>C:\Users\franc\OneDrive\Documentos\MALENTIN KARIME\BANCO ESTADO\2012 DEPTO ESCRITURAS fata\Dc Simples\RESPALDO comp notaria 27_12_12\NOTARIA 2012\VARIOS\LABORAL SIN GOCE.doc</t>
  </si>
  <si>
    <t>C:\Users\franc\OneDrive\Documentos\MALENTIN KARIME\BANCO ESTADO\2012 DEPTO ESCRITURAS fata\Dc Simples\RESPALDO comp notaria 27_12_12\NOTARIA 2012\VARIOS\FORMULARIO  24.doc FRUTICOLA.doc</t>
  </si>
  <si>
    <t>C:\Users\franc\OneDrive\Documentos\MALENTIN KARIME\BANCO ESTADO\2012 DEPTO ESCRITURAS fata\Dc Simples\RESPALDO comp notaria 27_12_12\NOTARIA 2012\VARIOS\FORMULARIO  24.doc</t>
  </si>
  <si>
    <t>C:\Users\franc\OneDrive\Documentos\MALENTIN KARIME\BANCO ESTADO\2012 DEPTO ESCRITURAS fata\Dc Simples\RESPALDO comp notaria 27_12_12\NOTARIA 2012\VARIOS\FORMULARIO  24 REP..doc</t>
  </si>
  <si>
    <t>C:\Users\franc\OneDrive\Documentos\MALENTIN KARIME\BANCO ESTADO\2012 DEPTO ESCRITURAS fata\Dc Simples\RESPALDO comp notaria 27_12_12\NOTARIA 2012\VARIOS\FORMULARIO  24 REP Prohens..doc</t>
  </si>
  <si>
    <t>C:\Users\franc\OneDrive\Documentos\MALENTIN KARIME\BANCO ESTADO\2012 DEPTO ESCRITURAS fata\Dc Simples\RESPALDO comp notaria 27_12_12\NOTARIA 2012\VARIOS\FORM 24 NOTARIA.doc</t>
  </si>
  <si>
    <t>C:\Users\franc\OneDrive\Documentos\MALENTIN KARIME\BANCO ESTADO\2012 DEPTO ESCRITURAS fata\Dc Simples\RESPALDO comp notaria 27_12_12\NOTARIA 2012\VARIOS\EDIFICIO MAL ESTADO.doc</t>
  </si>
  <si>
    <t>C:\Users\franc\OneDrive\Documentos\MALENTIN KARIME\BANCO ESTADO\2012 DEPTO ESCRITURAS fata\Dc Simples\RESPALDO comp notaria 27_12_12\NOTARIA 2012\VARIOS\CLEMENTE.doc</t>
  </si>
  <si>
    <t>C:\Users\franc\OneDrive\Documentos\MALENTIN KARIME\BANCO ESTADO\2012 DEPTO ESCRITURAS fata\Dc Simples\RESPALDO comp notaria 27_12_12\NOTARIA 2012\VARIOS\CHOQUE VEHICULO.doc</t>
  </si>
  <si>
    <t>C:\Users\franc\OneDrive\Documentos\MALENTIN KARIME\BANCO ESTADO\2012 DEPTO ESCRITURAS fata\Dc Simples\RESPALDO comp notaria 27_12_12\NOTARIA 2012\VARIOS\CHOQUE HORIZONTAL.doc</t>
  </si>
  <si>
    <t>C:\Users\franc\OneDrive\Documentos\MALENTIN KARIME\BANCO ESTADO\2012 DEPTO ESCRITURAS fata\Dc Simples\RESPALDO comp notaria 27_12_12\NOTARIA 2012\VARIOS\CERTIFICADO DE PIEZA.doc</t>
  </si>
  <si>
    <t>C:\Users\franc\OneDrive\Documentos\MALENTIN KARIME\BANCO ESTADO\2012 DEPTO ESCRITURAS fata\Dc Simples\RESPALDO comp notaria 27_12_12\NOTARIA 2012\VARIOS\CARTA DE AVISO.doc</t>
  </si>
  <si>
    <t>C:\Users\franc\OneDrive\Documentos\MALENTIN KARIME\BANCO ESTADO\2012 DEPTO ESCRITURAS fata\Dc Simples\RESPALDO comp notaria 27_12_12\NOTARIA 2012\VARIOS\CARTA CERTIFICADA.doc</t>
  </si>
  <si>
    <t>C:\Users\franc\OneDrive\Documentos\MALENTIN KARIME\BANCO ESTADO\2012 DEPTO ESCRITURAS fata\Dc Simples\RESPALDO comp notaria 27_12_12\NOTARIA 2012\VARIOS\CARTA CERTIFICADA Minera punitaqui.doc</t>
  </si>
  <si>
    <t>C:\Users\franc\OneDrive\Documentos\MALENTIN KARIME\BANCO ESTADO\2012 DEPTO ESCRITURAS fata\Dc Simples\RESPALDO comp notaria 27_12_12\NOTARIA 2012\VARIOS\CARTA CERTIFICADA II.doc</t>
  </si>
  <si>
    <t>C:\Users\franc\OneDrive\Documentos\MALENTIN KARIME\BANCO ESTADO\2012 DEPTO ESCRITURAS fata\Dc Simples\RESPALDO comp notaria 27_12_12\NOTARIA 2012\VARIOS\CARILLA VEHICULOS.doc</t>
  </si>
  <si>
    <t>C:\Users\franc\OneDrive\Documentos\MALENTIN KARIME\BANCO ESTADO\2012 DEPTO ESCRITURAS fata\Dc Simples\RESPALDO comp notaria 27_12_12\NOTARIA 2012\VARIOS\CARATULA TESTAMENTO.doc</t>
  </si>
  <si>
    <t>C:\Users\franc\OneDrive\Documentos\MALENTIN KARIME\BANCO ESTADO\2012 DEPTO ESCRITURAS fata\Dc Simples\RESPALDO comp notaria 27_12_12\NOTARIA 2012\VARIOS\CAMBIO CLAUSULA.doc</t>
  </si>
  <si>
    <t>C:\Users\franc\OneDrive\Documentos\MALENTIN KARIME\BANCO ESTADO\2012 DEPTO ESCRITURAS fata\Dc Simples\RESPALDO comp notaria 27_12_12\NOTARIA 2012\VARIOS\Autorizo la firma de don MIGUEL DIAZ ARIAS.docx</t>
  </si>
  <si>
    <t>C:\Users\franc\OneDrive\Documentos\MALENTIN KARIME\BANCO ESTADO\2012 DEPTO ESCRITURAS fata\Dc Simples\RESPALDO comp notaria 27_12_12\NOTARIA 2012\VARIOS\ANEXO VEHICULO.doc</t>
  </si>
  <si>
    <t>C:\Users\franc\OneDrive\Documentos\MALENTIN KARIME\BANCO ESTADO\2012 DEPTO ESCRITURAS fata\Dc Simples\RESPALDO comp notaria 27_12_12\NOTARIA 2012\VARIOS\ANEXO SOC. HECHO.doc</t>
  </si>
  <si>
    <t>C:\Users\franc\OneDrive\Documentos\MALENTIN KARIME\BANCO ESTADO\2012 DEPTO ESCRITURAS fata\Dc Simples\RESPALDO comp notaria 27_12_12\NOTARIA 2012\VARIOS\AMPLIACION plazo perfecto.doc</t>
  </si>
  <si>
    <t>C:\Users\franc\OneDrive\Documentos\MALENTIN KARIME\BANCO ESTADO\2012 DEPTO ESCRITURAS fata\Dc Simples\RESPALDO comp notaria 27_12_12\NOTARIA 2012\VARIOS\AMPLIACION PLAZO german adones.doc</t>
  </si>
  <si>
    <t>C:\Users\franc\OneDrive\Documentos\MALENTIN KARIME\BANCO ESTADO\2012 DEPTO ESCRITURAS fata\Dc Simples\RESPALDO comp notaria 27_12_12\NOTARIA 2012\VARIOS\AMPLIACION PLAZO CRISTIAN RIVERA.doc</t>
  </si>
  <si>
    <t>C:\Users\franc\OneDrive\Documentos\MALENTIN KARIME\BANCO ESTADO\2012 DEPTO ESCRITURAS fata\Dc Simples\RESPALDO comp notaria 27_12_12\NOTARIA 2012\VARIOS\AMPLIACION MARINA.doc</t>
  </si>
  <si>
    <t>C:\Users\franc\OneDrive\Documentos\MALENTIN KARIME\BANCO ESTADO\2012 DEPTO ESCRITURAS fata\Dc Simples\RESPALDO comp notaria 27_12_12\NOTARIA 2012\SOC. DE HECHO\PROTESTOS\UPV\YASNA MUÑOZ.doc</t>
  </si>
  <si>
    <t>C:\Users\franc\OneDrive\Documentos\MALENTIN KARIME\BANCO ESTADO\2012 DEPTO ESCRITURAS fata\Dc Simples\RESPALDO comp notaria 27_12_12\NOTARIA 2012\SOC. DE HECHO\PROTESTOS\UPV\YASNA CUELLO.doc</t>
  </si>
  <si>
    <t>C:\Users\franc\OneDrive\Documentos\MALENTIN KARIME\BANCO ESTADO\2012 DEPTO ESCRITURAS fata\Dc Simples\RESPALDO comp notaria 27_12_12\NOTARIA 2012\SOC. DE HECHO\PROTESTOS\UPV\WILLIAM ARACENA.doc</t>
  </si>
  <si>
    <t>C:\Users\franc\OneDrive\Documentos\MALENTIN KARIME\BANCO ESTADO\2012 DEPTO ESCRITURAS fata\Dc Simples\RESPALDO comp notaria 27_12_12\NOTARIA 2012\SOC. DE HECHO\PROTESTOS\UPV\WILFREDO ROJAS PEREZ.doc</t>
  </si>
  <si>
    <t>C:\Users\franc\OneDrive\Documentos\MALENTIN KARIME\BANCO ESTADO\2012 DEPTO ESCRITURAS fata\Dc Simples\RESPALDO comp notaria 27_12_12\NOTARIA 2012\SOC. DE HECHO\PROTESTOS\UPV\WASHINGTON LEONARDO.doc</t>
  </si>
  <si>
    <t>C:\Users\franc\OneDrive\Documentos\MALENTIN KARIME\BANCO ESTADO\2012 DEPTO ESCRITURAS fata\Dc Simples\RESPALDO comp notaria 27_12_12\NOTARIA 2012\SOC. DE HECHO\PROTESTOS\UPV\VIRGINIA DIAZ.doc</t>
  </si>
  <si>
    <t>C:\Users\franc\OneDrive\Documentos\MALENTIN KARIME\BANCO ESTADO\2012 DEPTO ESCRITURAS fata\Dc Simples\RESPALDO comp notaria 27_12_12\NOTARIA 2012\SOC. DE HECHO\PROTESTOS\UPV\VIOLETA ELENA GONZALEZ ROJAS.doc</t>
  </si>
  <si>
    <t>C:\Users\franc\OneDrive\Documentos\MALENTIN KARIME\BANCO ESTADO\2012 DEPTO ESCRITURAS fata\Dc Simples\RESPALDO comp notaria 27_12_12\NOTARIA 2012\SOC. DE HECHO\PROTESTOS\UPV\VICTORIA DELGADO.doc</t>
  </si>
  <si>
    <t>C:\Users\franc\OneDrive\Documentos\MALENTIN KARIME\BANCO ESTADO\2012 DEPTO ESCRITURAS fata\Dc Simples\RESPALDO comp notaria 27_12_12\NOTARIA 2012\SOC. DE HECHO\PROTESTOS\UPV\VICTOR JARA.doc</t>
  </si>
  <si>
    <t>C:\Users\franc\OneDrive\Documentos\MALENTIN KARIME\BANCO ESTADO\2012 DEPTO ESCRITURAS fata\Dc Simples\RESPALDO comp notaria 27_12_12\NOTARIA 2012\SOC. DE HECHO\PROTESTOS\UPV\VERONICA TORO.doc</t>
  </si>
  <si>
    <t>C:\Users\franc\OneDrive\Documentos\MALENTIN KARIME\BANCO ESTADO\2012 DEPTO ESCRITURAS fata\Dc Simples\RESPALDO comp notaria 27_12_12\NOTARIA 2012\SOC. DE HECHO\PROTESTOS\UPV\VANIA GONZALEZ CORTES.doc</t>
  </si>
  <si>
    <t>C:\Users\franc\OneDrive\Documentos\MALENTIN KARIME\BANCO ESTADO\2012 DEPTO ESCRITURAS fata\Dc Simples\RESPALDO comp notaria 27_12_12\NOTARIA 2012\SOC. DE HECHO\PROTESTOS\UPV\VALERIE TAPIA.doc</t>
  </si>
  <si>
    <t>C:\Users\franc\OneDrive\Documentos\MALENTIN KARIME\BANCO ESTADO\2012 DEPTO ESCRITURAS fata\Dc Simples\RESPALDO comp notaria 27_12_12\NOTARIA 2012\SOC. DE HECHO\PROTESTOS\UPV\VALERIA SILVA MARIQUEO.doc</t>
  </si>
  <si>
    <t>C:\Users\franc\OneDrive\Documentos\MALENTIN KARIME\BANCO ESTADO\2012 DEPTO ESCRITURAS fata\Dc Simples\RESPALDO comp notaria 27_12_12\NOTARIA 2012\SOC. DE HECHO\PROTESTOS\UPV\VALERIA CORTES.doc</t>
  </si>
  <si>
    <t>C:\Users\franc\OneDrive\Documentos\MALENTIN KARIME\BANCO ESTADO\2012 DEPTO ESCRITURAS fata\Dc Simples\RESPALDO comp notaria 27_12_12\NOTARIA 2012\SOC. DE HECHO\PROTESTOS\UPV\TERESA CASTILLO.doc</t>
  </si>
  <si>
    <t>C:\Users\franc\OneDrive\Documentos\MALENTIN KARIME\BANCO ESTADO\2012 DEPTO ESCRITURAS fata\Dc Simples\RESPALDO comp notaria 27_12_12\NOTARIA 2012\SOC. DE HECHO\PROTESTOS\UPV\TANIA MONTENEGRO.doc</t>
  </si>
  <si>
    <t>C:\Users\franc\OneDrive\Documentos\MALENTIN KARIME\BANCO ESTADO\2012 DEPTO ESCRITURAS fata\Dc Simples\RESPALDO comp notaria 27_12_12\NOTARIA 2012\SOC. DE HECHO\PROTESTOS\UPV\TADEO CASTILLO ARAYA.doc</t>
  </si>
  <si>
    <t>C:\Users\franc\OneDrive\Documentos\MALENTIN KARIME\BANCO ESTADO\2012 DEPTO ESCRITURAS fata\Dc Simples\RESPALDO comp notaria 27_12_12\NOTARIA 2012\SOC. DE HECHO\PROTESTOS\UPV\SOLANGE MARIN.doc</t>
  </si>
  <si>
    <t>C:\Users\franc\OneDrive\Documentos\MALENTIN KARIME\BANCO ESTADO\2012 DEPTO ESCRITURAS fata\Dc Simples\RESPALDO comp notaria 27_12_12\NOTARIA 2012\SOC. DE HECHO\PROTESTOS\UPV\SOC. AGRIC. RALIN.doc</t>
  </si>
  <si>
    <t>C:\Users\franc\OneDrive\Documentos\MALENTIN KARIME\BANCO ESTADO\2012 DEPTO ESCRITURAS fata\Dc Simples\RESPALDO comp notaria 27_12_12\NOTARIA 2012\SOC. DE HECHO\PROTESTOS\UPV\SILVIA RAMIREZ DIAZ.doc</t>
  </si>
  <si>
    <t>C:\Users\franc\OneDrive\Documentos\MALENTIN KARIME\BANCO ESTADO\2012 DEPTO ESCRITURAS fata\Dc Simples\RESPALDO comp notaria 27_12_12\NOTARIA 2012\SOC. DE HECHO\PROTESTOS\UPV\SILVIA HALLES.doc</t>
  </si>
  <si>
    <t>C:\Users\franc\OneDrive\Documentos\MALENTIN KARIME\BANCO ESTADO\2012 DEPTO ESCRITURAS fata\Dc Simples\RESPALDO comp notaria 27_12_12\NOTARIA 2012\SOC. DE HECHO\PROTESTOS\UPV\SERGIO VELIZ PEREZ.doc</t>
  </si>
  <si>
    <t>C:\Users\franc\OneDrive\Documentos\MALENTIN KARIME\BANCO ESTADO\2012 DEPTO ESCRITURAS fata\Dc Simples\RESPALDO comp notaria 27_12_12\NOTARIA 2012\SOC. DE HECHO\PROTESTOS\UPV\SERGIO ROJAS CONTRERAS.doc</t>
  </si>
  <si>
    <t>C:\Users\franc\OneDrive\Documentos\MALENTIN KARIME\BANCO ESTADO\2012 DEPTO ESCRITURAS fata\Dc Simples\RESPALDO comp notaria 27_12_12\NOTARIA 2012\SOC. DE HECHO\PROTESTOS\UPV\SERGIO RIVERA MOLINA.doc</t>
  </si>
  <si>
    <t>C:\Users\franc\OneDrive\Documentos\MALENTIN KARIME\BANCO ESTADO\2012 DEPTO ESCRITURAS fata\Dc Simples\RESPALDO comp notaria 27_12_12\NOTARIA 2012\SOC. DE HECHO\PROTESTOS\UPV\SEBASTIAN CORTES.doc</t>
  </si>
  <si>
    <t>C:\Users\franc\OneDrive\Documentos\MALENTIN KARIME\BANCO ESTADO\2012 DEPTO ESCRITURAS fata\Dc Simples\RESPALDO comp notaria 27_12_12\NOTARIA 2012\SOC. DE HECHO\PROTESTOS\UPV\SANDRA CEPEDA.doc</t>
  </si>
  <si>
    <t>C:\Users\franc\OneDrive\Documentos\MALENTIN KARIME\BANCO ESTADO\2012 DEPTO ESCRITURAS fata\Dc Simples\RESPALDO comp notaria 27_12_12\NOTARIA 2012\SOC. DE HECHO\PROTESTOS\UPV\ROSA RUBINA.doc</t>
  </si>
  <si>
    <t>C:\Users\franc\OneDrive\Documentos\MALENTIN KARIME\BANCO ESTADO\2012 DEPTO ESCRITURAS fata\Dc Simples\RESPALDO comp notaria 27_12_12\NOTARIA 2012\SOC. DE HECHO\PROTESTOS\UPV\ROSA ISABEL CORTES CORTES.doc</t>
  </si>
  <si>
    <t>C:\Users\franc\OneDrive\Documentos\MALENTIN KARIME\BANCO ESTADO\2012 DEPTO ESCRITURAS fata\Dc Simples\RESPALDO comp notaria 27_12_12\NOTARIA 2012\SOC. DE HECHO\PROTESTOS\UPV\ROSA DEL C. PIZARRO ROJAS.doc</t>
  </si>
  <si>
    <t>C:\Users\franc\OneDrive\Documentos\MALENTIN KARIME\BANCO ESTADO\2012 DEPTO ESCRITURAS fata\Dc Simples\RESPALDO comp notaria 27_12_12\NOTARIA 2012\SOC. DE HECHO\PROTESTOS\UPV\ROMINA RUIZ.doc</t>
  </si>
  <si>
    <t>C:\Users\franc\OneDrive\Documentos\MALENTIN KARIME\BANCO ESTADO\2012 DEPTO ESCRITURAS fata\Dc Simples\RESPALDO comp notaria 27_12_12\NOTARIA 2012\SOC. DE HECHO\PROTESTOS\UPV\ROCIO MUÑOZ CARMONA.doc</t>
  </si>
  <si>
    <t>C:\Users\franc\OneDrive\Documentos\MALENTIN KARIME\BANCO ESTADO\2012 DEPTO ESCRITURAS fata\Dc Simples\RESPALDO comp notaria 27_12_12\NOTARIA 2012\SOC. DE HECHO\PROTESTOS\UPV\RICHARD VARAS.doc</t>
  </si>
  <si>
    <t>C:\Users\franc\OneDrive\Documentos\MALENTIN KARIME\BANCO ESTADO\2012 DEPTO ESCRITURAS fata\Dc Simples\RESPALDO comp notaria 27_12_12\NOTARIA 2012\SOC. DE HECHO\PROTESTOS\UPV\RICARDO RAMIREZ.doc</t>
  </si>
  <si>
    <t>C:\Users\franc\OneDrive\Documentos\MALENTIN KARIME\BANCO ESTADO\2012 DEPTO ESCRITURAS fata\Dc Simples\RESPALDO comp notaria 27_12_12\NOTARIA 2012\SOC. DE HECHO\PROTESTOS\UPV\REINALDO RUIZ LOPEZ.doc</t>
  </si>
  <si>
    <t>C:\Users\franc\OneDrive\Documentos\MALENTIN KARIME\BANCO ESTADO\2012 DEPTO ESCRITURAS fata\Dc Simples\RESPALDO comp notaria 27_12_12\NOTARIA 2012\SOC. DE HECHO\PROTESTOS\UPV\RAUL OJEDA GROBIER.doc</t>
  </si>
  <si>
    <t>C:\Users\franc\OneDrive\Documentos\MALENTIN KARIME\BANCO ESTADO\2012 DEPTO ESCRITURAS fata\Dc Simples\RESPALDO comp notaria 27_12_12\NOTARIA 2012\SOC. DE HECHO\PROTESTOS\UPV\PILAR RODRIGUEZ.doc</t>
  </si>
  <si>
    <t>C:\Users\franc\OneDrive\Documentos\MALENTIN KARIME\BANCO ESTADO\2012 DEPTO ESCRITURAS fata\Dc Simples\RESPALDO comp notaria 27_12_12\NOTARIA 2012\SOC. DE HECHO\PROTESTOS\UPV\PAULO BARRAZA.doc</t>
  </si>
  <si>
    <t>C:\Users\franc\OneDrive\Documentos\MALENTIN KARIME\BANCO ESTADO\2012 DEPTO ESCRITURAS fata\Dc Simples\RESPALDO comp notaria 27_12_12\NOTARIA 2012\SOC. DE HECHO\PROTESTOS\UPV\PAULINA RIVERA.doc</t>
  </si>
  <si>
    <t>C:\Users\franc\OneDrive\Documentos\MALENTIN KARIME\BANCO ESTADO\2012 DEPTO ESCRITURAS fata\Dc Simples\RESPALDO comp notaria 27_12_12\NOTARIA 2012\SOC. DE HECHO\PROTESTOS\UPV\PAULINA OSSANDON.doc</t>
  </si>
  <si>
    <t>C:\Users\franc\OneDrive\Documentos\MALENTIN KARIME\BANCO ESTADO\2012 DEPTO ESCRITURAS fata\Dc Simples\RESPALDO comp notaria 27_12_12\NOTARIA 2012\SOC. DE HECHO\PROTESTOS\UPV\PAULINA CHELEN.doc</t>
  </si>
  <si>
    <t>C:\Users\franc\OneDrive\Documentos\MALENTIN KARIME\BANCO ESTADO\2012 DEPTO ESCRITURAS fata\Dc Simples\RESPALDO comp notaria 27_12_12\NOTARIA 2012\SOC. DE HECHO\PROTESTOS\UPV\PAULINA CASANOVA BARRAZA.doc</t>
  </si>
  <si>
    <t>C:\Users\franc\OneDrive\Documentos\MALENTIN KARIME\BANCO ESTADO\2012 DEPTO ESCRITURAS fata\Dc Simples\RESPALDO comp notaria 27_12_12\NOTARIA 2012\SOC. DE HECHO\PROTESTOS\UPV\PAULA VALENZUELA.doc</t>
  </si>
  <si>
    <t>C:\Users\franc\OneDrive\Documentos\MALENTIN KARIME\BANCO ESTADO\2012 DEPTO ESCRITURAS fata\Dc Simples\RESPALDO comp notaria 27_12_12\NOTARIA 2012\SOC. DE HECHO\PROTESTOS\UPV\PAULA MANRIQUEZ.doc</t>
  </si>
  <si>
    <t>C:\Users\franc\OneDrive\Documentos\MALENTIN KARIME\BANCO ESTADO\2012 DEPTO ESCRITURAS fata\Dc Simples\RESPALDO comp notaria 27_12_12\NOTARIA 2012\SOC. DE HECHO\PROTESTOS\UPV\PATRICIO JAMETT.doc</t>
  </si>
  <si>
    <t>C:\Users\franc\OneDrive\Documentos\MALENTIN KARIME\BANCO ESTADO\2012 DEPTO ESCRITURAS fata\Dc Simples\RESPALDO comp notaria 27_12_12\NOTARIA 2012\SOC. DE HECHO\PROTESTOS\UPV\PATRICIA RAMIREZ GOMEZ.doc</t>
  </si>
  <si>
    <t>C:\Users\franc\OneDrive\Documentos\MALENTIN KARIME\BANCO ESTADO\2012 DEPTO ESCRITURAS fata\Dc Simples\RESPALDO comp notaria 27_12_12\NOTARIA 2012\SOC. DE HECHO\PROTESTOS\UPV\PATRICIA MARGOT LEDEZMA.doc</t>
  </si>
  <si>
    <t>C:\Users\franc\OneDrive\Documentos\MALENTIN KARIME\BANCO ESTADO\2012 DEPTO ESCRITURAS fata\Dc Simples\RESPALDO comp notaria 27_12_12\NOTARIA 2012\SOC. DE HECHO\PROTESTOS\UPV\PATRICIA CATALAN.doc</t>
  </si>
  <si>
    <t>C:\Users\franc\OneDrive\Documentos\MALENTIN KARIME\BANCO ESTADO\2012 DEPTO ESCRITURAS fata\Dc Simples\RESPALDO comp notaria 27_12_12\NOTARIA 2012\SOC. DE HECHO\PROTESTOS\UPV\PAOLA VIVIANA GARCIA PEÑA.doc</t>
  </si>
  <si>
    <t>C:\Users\franc\OneDrive\Documentos\MALENTIN KARIME\BANCO ESTADO\2012 DEPTO ESCRITURAS fata\Dc Simples\RESPALDO comp notaria 27_12_12\NOTARIA 2012\SOC. DE HECHO\PROTESTOS\UPV\PAOLA ALFARO.doc</t>
  </si>
  <si>
    <t>C:\Users\franc\OneDrive\Documentos\MALENTIN KARIME\BANCO ESTADO\2012 DEPTO ESCRITURAS fata\Dc Simples\RESPALDO comp notaria 27_12_12\NOTARIA 2012\SOC. DE HECHO\PROTESTOS\UPV\OLGA DIAZ CASTILLO.doc</t>
  </si>
  <si>
    <t>C:\Users\franc\OneDrive\Documentos\MALENTIN KARIME\BANCO ESTADO\2012 DEPTO ESCRITURAS fata\Dc Simples\RESPALDO comp notaria 27_12_12\NOTARIA 2012\SOC. DE HECHO\PROTESTOS\UPV\OLGA ARANCIBIA.doc</t>
  </si>
  <si>
    <t>C:\Users\franc\OneDrive\Documentos\MALENTIN KARIME\BANCO ESTADO\2012 DEPTO ESCRITURAS fata\Dc Simples\RESPALDO comp notaria 27_12_12\NOTARIA 2012\SOC. DE HECHO\PROTESTOS\UPV\NORMA ALVAREZ OLIVARES.doc</t>
  </si>
  <si>
    <t>C:\Users\franc\OneDrive\Documentos\MALENTIN KARIME\BANCO ESTADO\2012 DEPTO ESCRITURAS fata\Dc Simples\RESPALDO comp notaria 27_12_12\NOTARIA 2012\SOC. DE HECHO\PROTESTOS\UPV\NILDA LOPEZ.doc</t>
  </si>
  <si>
    <t>C:\Users\franc\OneDrive\Documentos\MALENTIN KARIME\BANCO ESTADO\2012 DEPTO ESCRITURAS fata\Dc Simples\RESPALDO comp notaria 27_12_12\NOTARIA 2012\SOC. DE HECHO\PROTESTOS\UPV\NICOLAS CAÑETE VALDIVIA.doc</t>
  </si>
  <si>
    <t>C:\Users\franc\OneDrive\Documentos\MALENTIN KARIME\BANCO ESTADO\2012 DEPTO ESCRITURAS fata\Dc Simples\RESPALDO comp notaria 27_12_12\NOTARIA 2012\SOC. DE HECHO\PROTESTOS\UPV\MONICA PEREZ CHAZARRO.doc</t>
  </si>
  <si>
    <t>C:\Users\franc\OneDrive\Documentos\MALENTIN KARIME\BANCO ESTADO\2012 DEPTO ESCRITURAS fata\Dc Simples\RESPALDO comp notaria 27_12_12\NOTARIA 2012\SOC. DE HECHO\PROTESTOS\UPV\MIRIAM CERDA ARAYA.doc</t>
  </si>
  <si>
    <t>C:\Users\franc\OneDrive\Documentos\MALENTIN KARIME\BANCO ESTADO\2012 DEPTO ESCRITURAS fata\Dc Simples\RESPALDO comp notaria 27_12_12\NOTARIA 2012\SOC. DE HECHO\PROTESTOS\UPV\MIGUEL MAIRA.doc</t>
  </si>
  <si>
    <t>C:\Users\franc\OneDrive\Documentos\MALENTIN KARIME\BANCO ESTADO\2012 DEPTO ESCRITURAS fata\Dc Simples\RESPALDO comp notaria 27_12_12\NOTARIA 2012\SOC. DE HECHO\PROTESTOS\UPV\MIGUEL GRANDON VEGA.doc</t>
  </si>
  <si>
    <t>C:\Users\franc\OneDrive\Documentos\MALENTIN KARIME\BANCO ESTADO\2012 DEPTO ESCRITURAS fata\Dc Simples\RESPALDO comp notaria 27_12_12\NOTARIA 2012\SOC. DE HECHO\PROTESTOS\UPV\MIGUEL ADONES ORREGO.doc</t>
  </si>
  <si>
    <t>C:\Users\franc\OneDrive\Documentos\MALENTIN KARIME\BANCO ESTADO\2012 DEPTO ESCRITURAS fata\Dc Simples\RESPALDO comp notaria 27_12_12\NOTARIA 2012\SOC. DE HECHO\PROTESTOS\UPV\MICHAEL OJEDA DIAZ.doc</t>
  </si>
  <si>
    <t>C:\Users\franc\OneDrive\Documentos\MALENTIN KARIME\BANCO ESTADO\2012 DEPTO ESCRITURAS fata\Dc Simples\RESPALDO comp notaria 27_12_12\NOTARIA 2012\SOC. DE HECHO\PROTESTOS\UPV\MAYKOL PACHECO.doc</t>
  </si>
  <si>
    <t>C:\Users\franc\OneDrive\Documentos\MALENTIN KARIME\BANCO ESTADO\2012 DEPTO ESCRITURAS fata\Dc Simples\RESPALDO comp notaria 27_12_12\NOTARIA 2012\SOC. DE HECHO\PROTESTOS\UPV\MAURO ARACENA.doc</t>
  </si>
  <si>
    <t>C:\Users\franc\OneDrive\Documentos\MALENTIN KARIME\BANCO ESTADO\2012 DEPTO ESCRITURAS fata\Dc Simples\RESPALDO comp notaria 27_12_12\NOTARIA 2012\SOC. DE HECHO\PROTESTOS\UPV\MAURICIO JULIO GONZALEZ.doc</t>
  </si>
  <si>
    <t>C:\Users\franc\OneDrive\Documentos\MALENTIN KARIME\BANCO ESTADO\2012 DEPTO ESCRITURAS fata\Dc Simples\RESPALDO comp notaria 27_12_12\NOTARIA 2012\SOC. DE HECHO\PROTESTOS\UPV\MARJORIE ARAYA ROBLES.doc</t>
  </si>
  <si>
    <t>C:\Users\franc\OneDrive\Documentos\MALENTIN KARIME\BANCO ESTADO\2012 DEPTO ESCRITURAS fata\Dc Simples\RESPALDO comp notaria 27_12_12\NOTARIA 2012\SOC. DE HECHO\PROTESTOS\UPV\MARISOL GONZALEZ.doc</t>
  </si>
  <si>
    <t>C:\Users\franc\OneDrive\Documentos\MALENTIN KARIME\BANCO ESTADO\2012 DEPTO ESCRITURAS fata\Dc Simples\RESPALDO comp notaria 27_12_12\NOTARIA 2012\SOC. DE HECHO\PROTESTOS\UPV\MARIO ARACENA.doc</t>
  </si>
  <si>
    <t>C:\Users\franc\OneDrive\Documentos\MALENTIN KARIME\BANCO ESTADO\2012 DEPTO ESCRITURAS fata\Dc Simples\RESPALDO comp notaria 27_12_12\NOTARIA 2012\SOC. DE HECHO\PROTESTOS\UPV\MARINA BRICEÑO.doc</t>
  </si>
  <si>
    <t>C:\Users\franc\OneDrive\Documentos\MALENTIN KARIME\BANCO ESTADO\2012 DEPTO ESCRITURAS fata\Dc Simples\RESPALDO comp notaria 27_12_12\NOTARIA 2012\SOC. DE HECHO\PROTESTOS\UPV\MARIANELA MONTALVAN.doc</t>
  </si>
  <si>
    <t>C:\Users\franc\OneDrive\Documentos\MALENTIN KARIME\BANCO ESTADO\2012 DEPTO ESCRITURAS fata\Dc Simples\RESPALDO comp notaria 27_12_12\NOTARIA 2012\SOC. DE HECHO\PROTESTOS\UPV\MARIA VERGARA CASTILLO.doc</t>
  </si>
  <si>
    <t>C:\Users\franc\OneDrive\Documentos\MALENTIN KARIME\BANCO ESTADO\2012 DEPTO ESCRITURAS fata\Dc Simples\RESPALDO comp notaria 27_12_12\NOTARIA 2012\SOC. DE HECHO\PROTESTOS\UPV\MARIA VALDIVIA TORREJON.doc</t>
  </si>
  <si>
    <t>C:\Users\franc\OneDrive\Documentos\MALENTIN KARIME\BANCO ESTADO\2012 DEPTO ESCRITURAS fata\Dc Simples\RESPALDO comp notaria 27_12_12\NOTARIA 2012\SOC. DE HECHO\PROTESTOS\UPV\MARIA TORRES.doc</t>
  </si>
  <si>
    <t>C:\Users\franc\OneDrive\Documentos\MALENTIN KARIME\BANCO ESTADO\2012 DEPTO ESCRITURAS fata\Dc Simples\RESPALDO comp notaria 27_12_12\NOTARIA 2012\SOC. DE HECHO\PROTESTOS\UPV\MARIA TELLO FLORES.doc</t>
  </si>
  <si>
    <t>C:\Users\franc\OneDrive\Documentos\MALENTIN KARIME\BANCO ESTADO\2012 DEPTO ESCRITURAS fata\Dc Simples\RESPALDO comp notaria 27_12_12\NOTARIA 2012\SOC. DE HECHO\PROTESTOS\UPV\MARIA PIZARRO CASTILLO.doc</t>
  </si>
  <si>
    <t>C:\Users\franc\OneDrive\Documentos\MALENTIN KARIME\BANCO ESTADO\2012 DEPTO ESCRITURAS fata\Dc Simples\RESPALDO comp notaria 27_12_12\NOTARIA 2012\SOC. DE HECHO\PROTESTOS\UPV\MARIA NAVEA TREVERTON.doc</t>
  </si>
  <si>
    <t>C:\Users\franc\OneDrive\Documentos\MALENTIN KARIME\BANCO ESTADO\2012 DEPTO ESCRITURAS fata\Dc Simples\RESPALDO comp notaria 27_12_12\NOTARIA 2012\SOC. DE HECHO\PROTESTOS\UPV\MARIA LUISA CUELLO ASCUETA.doc</t>
  </si>
  <si>
    <t>C:\Users\franc\OneDrive\Documentos\MALENTIN KARIME\BANCO ESTADO\2012 DEPTO ESCRITURAS fata\Dc Simples\RESPALDO comp notaria 27_12_12\NOTARIA 2012\SOC. DE HECHO\PROTESTOS\UPV\MARIA LEON LUCO.doc</t>
  </si>
  <si>
    <t>C:\Users\franc\OneDrive\Documentos\MALENTIN KARIME\BANCO ESTADO\2012 DEPTO ESCRITURAS fata\Dc Simples\RESPALDO comp notaria 27_12_12\NOTARIA 2012\SOC. DE HECHO\PROTESTOS\UPV\MARIA FRANCO FLORES.doc</t>
  </si>
  <si>
    <t>C:\Users\franc\OneDrive\Documentos\MALENTIN KARIME\BANCO ESTADO\2012 DEPTO ESCRITURAS fata\Dc Simples\RESPALDO comp notaria 27_12_12\NOTARIA 2012\SOC. DE HECHO\PROTESTOS\UPV\MARIA ELVIRA CORTES.doc</t>
  </si>
  <si>
    <t>C:\Users\franc\OneDrive\Documentos\MALENTIN KARIME\BANCO ESTADO\2012 DEPTO ESCRITURAS fata\Dc Simples\RESPALDO comp notaria 27_12_12\NOTARIA 2012\SOC. DE HECHO\PROTESTOS\UPV\MARIA DE LA PAZ.doc</t>
  </si>
  <si>
    <t>C:\Users\franc\OneDrive\Documentos\MALENTIN KARIME\BANCO ESTADO\2012 DEPTO ESCRITURAS fata\Dc Simples\RESPALDO comp notaria 27_12_12\NOTARIA 2012\SOC. DE HECHO\PROTESTOS\UPV\MARIA CORTES TAPIA.doc</t>
  </si>
  <si>
    <t>C:\Users\franc\OneDrive\Documentos\MALENTIN KARIME\BANCO ESTADO\2012 DEPTO ESCRITURAS fata\Dc Simples\RESPALDO comp notaria 27_12_12\NOTARIA 2012\SOC. DE HECHO\PROTESTOS\UPV\MARIA ANGELICA PIZARRO.doc</t>
  </si>
  <si>
    <t>C:\Users\franc\OneDrive\Documentos\MALENTIN KARIME\BANCO ESTADO\2012 DEPTO ESCRITURAS fata\Dc Simples\RESPALDO comp notaria 27_12_12\NOTARIA 2012\SOC. DE HECHO\PROTESTOS\UPV\MARCELA SEGOVIA IBARRA.doc</t>
  </si>
  <si>
    <t>C:\Users\franc\OneDrive\Documentos\MALENTIN KARIME\BANCO ESTADO\2012 DEPTO ESCRITURAS fata\Dc Simples\RESPALDO comp notaria 27_12_12\NOTARIA 2012\SOC. DE HECHO\PROTESTOS\UPV\MARCELA ORTIZ DIAZ.doc</t>
  </si>
  <si>
    <t>C:\Users\franc\OneDrive\Documentos\MALENTIN KARIME\BANCO ESTADO\2012 DEPTO ESCRITURAS fata\Dc Simples\RESPALDO comp notaria 27_12_12\NOTARIA 2012\SOC. DE HECHO\PROTESTOS\UPV\MARCELA GUARDIA.doc</t>
  </si>
  <si>
    <t>C:\Users\franc\OneDrive\Documentos\MALENTIN KARIME\BANCO ESTADO\2012 DEPTO ESCRITURAS fata\Dc Simples\RESPALDO comp notaria 27_12_12\NOTARIA 2012\SOC. DE HECHO\PROTESTOS\UPV\MANUEL ROBLES PEREZ.doc</t>
  </si>
  <si>
    <t>C:\Users\franc\OneDrive\Documentos\MALENTIN KARIME\BANCO ESTADO\2012 DEPTO ESCRITURAS fata\Dc Simples\RESPALDO comp notaria 27_12_12\NOTARIA 2012\SOC. DE HECHO\PROTESTOS\UPV\MANUEL JOFRE ROJAS.doc</t>
  </si>
  <si>
    <t>C:\Users\franc\OneDrive\Documentos\MALENTIN KARIME\BANCO ESTADO\2012 DEPTO ESCRITURAS fata\Dc Simples\RESPALDO comp notaria 27_12_12\NOTARIA 2012\SOC. DE HECHO\PROTESTOS\UPV\MANUEL FARIAS BARRAZA.doc</t>
  </si>
  <si>
    <t>C:\Users\franc\OneDrive\Documentos\MALENTIN KARIME\BANCO ESTADO\2012 DEPTO ESCRITURAS fata\Dc Simples\RESPALDO comp notaria 27_12_12\NOTARIA 2012\SOC. DE HECHO\PROTESTOS\UPV\MAGDA TAPIA.doc</t>
  </si>
  <si>
    <t>C:\Users\franc\OneDrive\Documentos\MALENTIN KARIME\BANCO ESTADO\2012 DEPTO ESCRITURAS fata\Dc Simples\RESPALDO comp notaria 27_12_12\NOTARIA 2012\SOC. DE HECHO\PROTESTOS\UPV\MAGALY HERBAS.doc</t>
  </si>
  <si>
    <t>C:\Users\franc\OneDrive\Documentos\MALENTIN KARIME\BANCO ESTADO\2012 DEPTO ESCRITURAS fata\Dc Simples\RESPALDO comp notaria 27_12_12\NOTARIA 2012\SOC. DE HECHO\PROTESTOS\UPV\MABEL MUNDACA MICHEA.doc</t>
  </si>
  <si>
    <t>C:\Users\franc\OneDrive\Documentos\MALENTIN KARIME\BANCO ESTADO\2012 DEPTO ESCRITURAS fata\Dc Simples\RESPALDO comp notaria 27_12_12\NOTARIA 2012\SOC. DE HECHO\PROTESTOS\UPV\LUIS RODOLFO TELLO.doc</t>
  </si>
  <si>
    <t>C:\Users\franc\OneDrive\Documentos\MALENTIN KARIME\BANCO ESTADO\2012 DEPTO ESCRITURAS fata\Dc Simples\RESPALDO comp notaria 27_12_12\NOTARIA 2012\SOC. DE HECHO\PROTESTOS\UPV\LUIS OLIVARES RODRIGUEZ.doc</t>
  </si>
  <si>
    <t>C:\Users\franc\OneDrive\Documentos\MALENTIN KARIME\BANCO ESTADO\2012 DEPTO ESCRITURAS fata\Dc Simples\RESPALDO comp notaria 27_12_12\NOTARIA 2012\SOC. DE HECHO\PROTESTOS\UPV\LUIS MUÑOZ.doc</t>
  </si>
  <si>
    <t>C:\Users\franc\OneDrive\Documentos\MALENTIN KARIME\BANCO ESTADO\2012 DEPTO ESCRITURAS fata\Dc Simples\RESPALDO comp notaria 27_12_12\NOTARIA 2012\SOC. DE HECHO\PROTESTOS\UPV\LORETO CORTES.doc</t>
  </si>
  <si>
    <t>C:\Users\franc\OneDrive\Documentos\MALENTIN KARIME\BANCO ESTADO\2012 DEPTO ESCRITURAS fata\Dc Simples\RESPALDO comp notaria 27_12_12\NOTARIA 2012\SOC. DE HECHO\PROTESTOS\UPV\LORENA CEBALLOS.doc</t>
  </si>
  <si>
    <t>C:\Users\franc\OneDrive\Documentos\MALENTIN KARIME\BANCO ESTADO\2012 DEPTO ESCRITURAS fata\Dc Simples\RESPALDO comp notaria 27_12_12\NOTARIA 2012\SOC. DE HECHO\PROTESTOS\UPV\LISETTE DONOSO.doc</t>
  </si>
  <si>
    <t>C:\Users\franc\OneDrive\Documentos\MALENTIN KARIME\BANCO ESTADO\2012 DEPTO ESCRITURAS fata\Dc Simples\RESPALDO comp notaria 27_12_12\NOTARIA 2012\SOC. DE HECHO\PROTESTOS\UPV\LEYLA OVALLE.doc</t>
  </si>
  <si>
    <t>C:\Users\franc\OneDrive\Documentos\MALENTIN KARIME\BANCO ESTADO\2012 DEPTO ESCRITURAS fata\Dc Simples\RESPALDO comp notaria 27_12_12\NOTARIA 2012\SOC. DE HECHO\PROTESTOS\UPV\KATTYA TABILO.doc</t>
  </si>
  <si>
    <t>C:\Users\franc\OneDrive\Documentos\MALENTIN KARIME\BANCO ESTADO\2012 DEPTO ESCRITURAS fata\Dc Simples\RESPALDO comp notaria 27_12_12\NOTARIA 2012\SOC. DE HECHO\PROTESTOS\UPV\KATHERINE VASQUEZ.doc</t>
  </si>
  <si>
    <t>C:\Users\franc\OneDrive\Documentos\MALENTIN KARIME\BANCO ESTADO\2012 DEPTO ESCRITURAS fata\Dc Simples\RESPALDO comp notaria 27_12_12\NOTARIA 2012\SOC. DE HECHO\PROTESTOS\UPV\KATHERINE ROJAS.doc</t>
  </si>
  <si>
    <t>C:\Users\franc\OneDrive\Documentos\MALENTIN KARIME\BANCO ESTADO\2012 DEPTO ESCRITURAS fata\Dc Simples\RESPALDO comp notaria 27_12_12\NOTARIA 2012\SOC. DE HECHO\PROTESTOS\UPV\KAROLA ALFARO ARAYA.doc</t>
  </si>
  <si>
    <t>C:\Users\franc\OneDrive\Documentos\MALENTIN KARIME\BANCO ESTADO\2012 DEPTO ESCRITURAS fata\Dc Simples\RESPALDO comp notaria 27_12_12\NOTARIA 2012\SOC. DE HECHO\PROTESTOS\UPV\KAROL JORQUERA.doc</t>
  </si>
  <si>
    <t>C:\Users\franc\OneDrive\Documentos\MALENTIN KARIME\BANCO ESTADO\2012 DEPTO ESCRITURAS fata\Dc Simples\RESPALDO comp notaria 27_12_12\NOTARIA 2012\SOC. DE HECHO\PROTESTOS\UPV\JULY CASTRO HONORES.doc</t>
  </si>
  <si>
    <t>C:\Users\franc\OneDrive\Documentos\MALENTIN KARIME\BANCO ESTADO\2012 DEPTO ESCRITURAS fata\Dc Simples\RESPALDO comp notaria 27_12_12\NOTARIA 2012\SOC. DE HECHO\PROTESTOS\UPV\JULIA CASTILLO.doc</t>
  </si>
  <si>
    <t>C:\Users\franc\OneDrive\Documentos\MALENTIN KARIME\BANCO ESTADO\2012 DEPTO ESCRITURAS fata\Dc Simples\RESPALDO comp notaria 27_12_12\NOTARIA 2012\SOC. DE HECHO\PROTESTOS\UPV\JUAN NARVAEZ BARAHONA.doc</t>
  </si>
  <si>
    <t>C:\Users\franc\OneDrive\Documentos\MALENTIN KARIME\BANCO ESTADO\2012 DEPTO ESCRITURAS fata\Dc Simples\RESPALDO comp notaria 27_12_12\NOTARIA 2012\SOC. DE HECHO\PROTESTOS\UPV\JOSE SALGADO.doc</t>
  </si>
  <si>
    <t>C:\Users\franc\OneDrive\Documentos\MALENTIN KARIME\BANCO ESTADO\2012 DEPTO ESCRITURAS fata\Dc Simples\RESPALDO comp notaria 27_12_12\NOTARIA 2012\SOC. DE HECHO\PROTESTOS\UPV\JOSE JULIA.doc</t>
  </si>
  <si>
    <t>C:\Users\franc\OneDrive\Documentos\MALENTIN KARIME\BANCO ESTADO\2012 DEPTO ESCRITURAS fata\Dc Simples\RESPALDO comp notaria 27_12_12\NOTARIA 2012\SOC. DE HECHO\PROTESTOS\UPV\JORGE ROGELIO AVILEZ.doc</t>
  </si>
  <si>
    <t>C:\Users\franc\OneDrive\Documentos\MALENTIN KARIME\BANCO ESTADO\2012 DEPTO ESCRITURAS fata\Dc Simples\RESPALDO comp notaria 27_12_12\NOTARIA 2012\SOC. DE HECHO\PROTESTOS\UPV\JORGE CORTES.doc</t>
  </si>
  <si>
    <t>C:\Users\franc\OneDrive\Documentos\MALENTIN KARIME\BANCO ESTADO\2012 DEPTO ESCRITURAS fata\Dc Simples\RESPALDO comp notaria 27_12_12\NOTARIA 2012\SOC. DE HECHO\PROTESTOS\UPV\JONATHAN GUTIERREZ.doc</t>
  </si>
  <si>
    <t>C:\Users\franc\OneDrive\Documentos\MALENTIN KARIME\BANCO ESTADO\2012 DEPTO ESCRITURAS fata\Dc Simples\RESPALDO comp notaria 27_12_12\NOTARIA 2012\SOC. DE HECHO\PROTESTOS\UPV\JOHANNA PIZARRO.doc</t>
  </si>
  <si>
    <t>C:\Users\franc\OneDrive\Documentos\MALENTIN KARIME\BANCO ESTADO\2012 DEPTO ESCRITURAS fata\Dc Simples\RESPALDO comp notaria 27_12_12\NOTARIA 2012\SOC. DE HECHO\PROTESTOS\UPV\JOEL CAMPUSANO.doc</t>
  </si>
  <si>
    <t>C:\Users\franc\OneDrive\Documentos\MALENTIN KARIME\BANCO ESTADO\2012 DEPTO ESCRITURAS fata\Dc Simples\RESPALDO comp notaria 27_12_12\NOTARIA 2012\SOC. DE HECHO\PROTESTOS\UPV\JOCELYN NAVARRO CASTILLO.doc</t>
  </si>
  <si>
    <t>C:\Users\franc\OneDrive\Documentos\MALENTIN KARIME\BANCO ESTADO\2012 DEPTO ESCRITURAS fata\Dc Simples\RESPALDO comp notaria 27_12_12\NOTARIA 2012\SOC. DE HECHO\PROTESTOS\UPV\JOCELYN IRIGOYEN CORTES.doc</t>
  </si>
  <si>
    <t>C:\Users\franc\OneDrive\Documentos\MALENTIN KARIME\BANCO ESTADO\2012 DEPTO ESCRITURAS fata\Dc Simples\RESPALDO comp notaria 27_12_12\NOTARIA 2012\SOC. DE HECHO\PROTESTOS\UPV\JOAQUIN MONTERO.doc</t>
  </si>
  <si>
    <t>C:\Users\franc\OneDrive\Documentos\MALENTIN KARIME\BANCO ESTADO\2012 DEPTO ESCRITURAS fata\Dc Simples\RESPALDO comp notaria 27_12_12\NOTARIA 2012\SOC. DE HECHO\PROTESTOS\UPV\JIMENA ZEPEDA FUENTES.doc</t>
  </si>
  <si>
    <t>C:\Users\franc\OneDrive\Documentos\MALENTIN KARIME\BANCO ESTADO\2012 DEPTO ESCRITURAS fata\Dc Simples\RESPALDO comp notaria 27_12_12\NOTARIA 2012\SOC. DE HECHO\PROTESTOS\UPV\JESSICA CARVAJAL.doc</t>
  </si>
  <si>
    <t>C:\Users\franc\OneDrive\Documentos\MALENTIN KARIME\BANCO ESTADO\2012 DEPTO ESCRITURAS fata\Dc Simples\RESPALDO comp notaria 27_12_12\NOTARIA 2012\SOC. DE HECHO\PROTESTOS\UPV\JENY BONILLA.doc</t>
  </si>
  <si>
    <t>C:\Users\franc\OneDrive\Documentos\MALENTIN KARIME\BANCO ESTADO\2012 DEPTO ESCRITURAS fata\Dc Simples\RESPALDO comp notaria 27_12_12\NOTARIA 2012\SOC. DE HECHO\PROTESTOS\UPV\JENIFER PIZARRO.doc</t>
  </si>
  <si>
    <t>C:\Users\franc\OneDrive\Documentos\MALENTIN KARIME\BANCO ESTADO\2012 DEPTO ESCRITURAS fata\Dc Simples\RESPALDO comp notaria 27_12_12\NOTARIA 2012\SOC. DE HECHO\PROTESTOS\UPV\JANETT ESPINOSA.doc</t>
  </si>
  <si>
    <t>C:\Users\franc\OneDrive\Documentos\MALENTIN KARIME\BANCO ESTADO\2012 DEPTO ESCRITURAS fata\Dc Simples\RESPALDO comp notaria 27_12_12\NOTARIA 2012\SOC. DE HECHO\PROTESTOS\UPV\IVETTE MAURIN.doc</t>
  </si>
  <si>
    <t>C:\Users\franc\OneDrive\Documentos\MALENTIN KARIME\BANCO ESTADO\2012 DEPTO ESCRITURAS fata\Dc Simples\RESPALDO comp notaria 27_12_12\NOTARIA 2012\SOC. DE HECHO\PROTESTOS\UPV\ISNELDA GUERRA CAMPOS.doc</t>
  </si>
  <si>
    <t>C:\Users\franc\OneDrive\Documentos\MALENTIN KARIME\BANCO ESTADO\2012 DEPTO ESCRITURAS fata\Dc Simples\RESPALDO comp notaria 27_12_12\NOTARIA 2012\SOC. DE HECHO\PROTESTOS\UPV\ISABEL MANRIQUEZ.doc</t>
  </si>
  <si>
    <t>C:\Users\franc\OneDrive\Documentos\MALENTIN KARIME\BANCO ESTADO\2012 DEPTO ESCRITURAS fata\Dc Simples\RESPALDO comp notaria 27_12_12\NOTARIA 2012\SOC. DE HECHO\PROTESTOS\UPV\IRLANDA GONZALEZ.doc</t>
  </si>
  <si>
    <t>C:\Users\franc\OneDrive\Documentos\MALENTIN KARIME\BANCO ESTADO\2012 DEPTO ESCRITURAS fata\Dc Simples\RESPALDO comp notaria 27_12_12\NOTARIA 2012\SOC. DE HECHO\PROTESTOS\UPV\INES CASTILLO VELASQUEZ.doc</t>
  </si>
  <si>
    <t>C:\Users\franc\OneDrive\Documentos\MALENTIN KARIME\BANCO ESTADO\2012 DEPTO ESCRITURAS fata\Dc Simples\RESPALDO comp notaria 27_12_12\NOTARIA 2012\SOC. DE HECHO\PROTESTOS\UPV\HONORIO PIZARRO.doc</t>
  </si>
  <si>
    <t>C:\Users\franc\OneDrive\Documentos\MALENTIN KARIME\BANCO ESTADO\2012 DEPTO ESCRITURAS fata\Dc Simples\RESPALDO comp notaria 27_12_12\NOTARIA 2012\SOC. DE HECHO\PROTESTOS\UPV\HERNAN VILLANUEVA.doc</t>
  </si>
  <si>
    <t>C:\Users\franc\OneDrive\Documentos\MALENTIN KARIME\BANCO ESTADO\2012 DEPTO ESCRITURAS fata\Dc Simples\RESPALDO comp notaria 27_12_12\NOTARIA 2012\SOC. DE HECHO\PROTESTOS\UPV\HERNAN TAPIA.doc</t>
  </si>
  <si>
    <t>C:\Users\franc\OneDrive\Documentos\MALENTIN KARIME\BANCO ESTADO\2012 DEPTO ESCRITURAS fata\Dc Simples\RESPALDO comp notaria 27_12_12\NOTARIA 2012\SOC. DE HECHO\PROTESTOS\UPV\HARRY VALENZUELA.doc</t>
  </si>
  <si>
    <t>C:\Users\franc\OneDrive\Documentos\MALENTIN KARIME\BANCO ESTADO\2012 DEPTO ESCRITURAS fata\Dc Simples\RESPALDO comp notaria 27_12_12\NOTARIA 2012\SOC. DE HECHO\PROTESTOS\UPV\HARRY DICTTER.doc</t>
  </si>
  <si>
    <t>C:\Users\franc\OneDrive\Documentos\MALENTIN KARIME\BANCO ESTADO\2012 DEPTO ESCRITURAS fata\Dc Simples\RESPALDO comp notaria 27_12_12\NOTARIA 2012\SOC. DE HECHO\PROTESTOS\UPV\GONZALO VEGA GODOY.doc</t>
  </si>
  <si>
    <t>C:\Users\franc\OneDrive\Documentos\MALENTIN KARIME\BANCO ESTADO\2012 DEPTO ESCRITURAS fata\Dc Simples\RESPALDO comp notaria 27_12_12\NOTARIA 2012\SOC. DE HECHO\PROTESTOS\UPV\GLADYS ADAROS.doc</t>
  </si>
  <si>
    <t>C:\Users\franc\OneDrive\Documentos\MALENTIN KARIME\BANCO ESTADO\2012 DEPTO ESCRITURAS fata\Dc Simples\RESPALDO comp notaria 27_12_12\NOTARIA 2012\SOC. DE HECHO\PROTESTOS\UPV\GILBERTO CORDOVA.doc</t>
  </si>
  <si>
    <t>C:\Users\franc\OneDrive\Documentos\MALENTIN KARIME\BANCO ESTADO\2012 DEPTO ESCRITURAS fata\Dc Simples\RESPALDO comp notaria 27_12_12\NOTARIA 2012\SOC. DE HECHO\PROTESTOS\UPV\FRESIA MONARDES TORRES.doc</t>
  </si>
  <si>
    <t>C:\Users\franc\OneDrive\Documentos\MALENTIN KARIME\BANCO ESTADO\2012 DEPTO ESCRITURAS fata\Dc Simples\RESPALDO comp notaria 27_12_12\NOTARIA 2012\SOC. DE HECHO\PROTESTOS\UPV\FREDDY DIAZ ARDILES.doc</t>
  </si>
  <si>
    <t>C:\Users\franc\OneDrive\Documentos\MALENTIN KARIME\BANCO ESTADO\2012 DEPTO ESCRITURAS fata\Dc Simples\RESPALDO comp notaria 27_12_12\NOTARIA 2012\SOC. DE HECHO\PROTESTOS\UPV\FRANCY IRIGOYEN CORTES.doc</t>
  </si>
  <si>
    <t>C:\Users\franc\OneDrive\Documentos\MALENTIN KARIME\BANCO ESTADO\2012 DEPTO ESCRITURAS fata\Dc Simples\RESPALDO comp notaria 27_12_12\NOTARIA 2012\SOC. DE HECHO\PROTESTOS\UPV\FRANCISCO VEGA SALAS.doc</t>
  </si>
  <si>
    <t>C:\Users\franc\OneDrive\Documentos\MALENTIN KARIME\BANCO ESTADO\2012 DEPTO ESCRITURAS fata\Dc Simples\RESPALDO comp notaria 27_12_12\NOTARIA 2012\SOC. DE HECHO\PROTESTOS\UPV\FRANCISCO GODOY ROJAS.doc</t>
  </si>
  <si>
    <t>C:\Users\franc\OneDrive\Documentos\MALENTIN KARIME\BANCO ESTADO\2012 DEPTO ESCRITURAS fata\Dc Simples\RESPALDO comp notaria 27_12_12\NOTARIA 2012\SOC. DE HECHO\PROTESTOS\UPV\FRANCISCO CORTES.doc</t>
  </si>
  <si>
    <t>C:\Users\franc\OneDrive\Documentos\MALENTIN KARIME\BANCO ESTADO\2012 DEPTO ESCRITURAS fata\Dc Simples\RESPALDO comp notaria 27_12_12\NOTARIA 2012\SOC. DE HECHO\PROTESTOS\UPV\FERNANDA BOLADOS.doc</t>
  </si>
  <si>
    <t>C:\Users\franc\OneDrive\Documentos\MALENTIN KARIME\BANCO ESTADO\2012 DEPTO ESCRITURAS fata\Dc Simples\RESPALDO comp notaria 27_12_12\NOTARIA 2012\SOC. DE HECHO\PROTESTOS\UPV\FELIPE CORDOVA.doc</t>
  </si>
  <si>
    <t>C:\Users\franc\OneDrive\Documentos\MALENTIN KARIME\BANCO ESTADO\2012 DEPTO ESCRITURAS fata\Dc Simples\RESPALDO comp notaria 27_12_12\NOTARIA 2012\SOC. DE HECHO\PROTESTOS\UPV\FABIOLA JARA CERDA.doc</t>
  </si>
  <si>
    <t>C:\Users\franc\OneDrive\Documentos\MALENTIN KARIME\BANCO ESTADO\2012 DEPTO ESCRITURAS fata\Dc Simples\RESPALDO comp notaria 27_12_12\NOTARIA 2012\SOC. DE HECHO\PROTESTOS\UPV\FABIOLA FARIAS HEREBIA.doc</t>
  </si>
  <si>
    <t>C:\Users\franc\OneDrive\Documentos\MALENTIN KARIME\BANCO ESTADO\2012 DEPTO ESCRITURAS fata\Dc Simples\RESPALDO comp notaria 27_12_12\NOTARIA 2012\SOC. DE HECHO\PROTESTOS\UPV\ERICH GUERRERO ARAYA.doc</t>
  </si>
  <si>
    <t>C:\Users\franc\OneDrive\Documentos\MALENTIN KARIME\BANCO ESTADO\2012 DEPTO ESCRITURAS fata\Dc Simples\RESPALDO comp notaria 27_12_12\NOTARIA 2012\SOC. DE HECHO\PROTESTOS\UPV\ELIZABETH ROBLES.doc</t>
  </si>
  <si>
    <t>C:\Users\franc\OneDrive\Documentos\MALENTIN KARIME\BANCO ESTADO\2012 DEPTO ESCRITURAS fata\Dc Simples\RESPALDO comp notaria 27_12_12\NOTARIA 2012\SOC. DE HECHO\PROTESTOS\UPV\ELISEO DEL R. BARRAZA CASTRO.doc</t>
  </si>
  <si>
    <t>C:\Users\franc\OneDrive\Documentos\MALENTIN KARIME\BANCO ESTADO\2012 DEPTO ESCRITURAS fata\Dc Simples\RESPALDO comp notaria 27_12_12\NOTARIA 2012\SOC. DE HECHO\PROTESTOS\UPV\EKATERINNE ARAYA LAYANA.doc</t>
  </si>
  <si>
    <t>C:\Users\franc\OneDrive\Documentos\MALENTIN KARIME\BANCO ESTADO\2012 DEPTO ESCRITURAS fata\Dc Simples\RESPALDO comp notaria 27_12_12\NOTARIA 2012\SOC. DE HECHO\PROTESTOS\UPV\EDITH MUÑOZ.doc</t>
  </si>
  <si>
    <t>C:\Users\franc\OneDrive\Documentos\MALENTIN KARIME\BANCO ESTADO\2012 DEPTO ESCRITURAS fata\Dc Simples\RESPALDO comp notaria 27_12_12\NOTARIA 2012\SOC. DE HECHO\PROTESTOS\UPV\DORIS ARAYA.doc</t>
  </si>
  <si>
    <t>C:\Users\franc\OneDrive\Documentos\MALENTIN KARIME\BANCO ESTADO\2012 DEPTO ESCRITURAS fata\Dc Simples\RESPALDO comp notaria 27_12_12\NOTARIA 2012\SOC. DE HECHO\PROTESTOS\UPV\DINA CAMPUSANO.doc</t>
  </si>
  <si>
    <t>C:\Users\franc\OneDrive\Documentos\MALENTIN KARIME\BANCO ESTADO\2012 DEPTO ESCRITURAS fata\Dc Simples\RESPALDO comp notaria 27_12_12\NOTARIA 2012\SOC. DE HECHO\PROTESTOS\UPV\DIEGO VEGA LEON.doc</t>
  </si>
  <si>
    <t>C:\Users\franc\OneDrive\Documentos\MALENTIN KARIME\BANCO ESTADO\2012 DEPTO ESCRITURAS fata\Dc Simples\RESPALDO comp notaria 27_12_12\NOTARIA 2012\SOC. DE HECHO\PROTESTOS\UPV\DHAPNE PIZARRO.doc</t>
  </si>
  <si>
    <t>C:\Users\franc\OneDrive\Documentos\MALENTIN KARIME\BANCO ESTADO\2012 DEPTO ESCRITURAS fata\Dc Simples\RESPALDO comp notaria 27_12_12\NOTARIA 2012\SOC. DE HECHO\PROTESTOS\UPV\DANIELA BENAVIDES AVALOS.doc</t>
  </si>
  <si>
    <t>C:\Users\franc\OneDrive\Documentos\MALENTIN KARIME\BANCO ESTADO\2012 DEPTO ESCRITURAS fata\Dc Simples\RESPALDO comp notaria 27_12_12\NOTARIA 2012\SOC. DE HECHO\PROTESTOS\UPV\CONSTANZA OSSANDON.doc</t>
  </si>
  <si>
    <t>C:\Users\franc\OneDrive\Documentos\MALENTIN KARIME\BANCO ESTADO\2012 DEPTO ESCRITURAS fata\Dc Simples\RESPALDO comp notaria 27_12_12\NOTARIA 2012\SOC. DE HECHO\PROTESTOS\UPV\CONSTANZA GONZALEZ.doc</t>
  </si>
  <si>
    <t>C:\Users\franc\OneDrive\Documentos\MALENTIN KARIME\BANCO ESTADO\2012 DEPTO ESCRITURAS fata\Dc Simples\RESPALDO comp notaria 27_12_12\NOTARIA 2012\SOC. DE HECHO\PROTESTOS\UPV\CLAUDIO VELIZ.doc</t>
  </si>
  <si>
    <t>C:\Users\franc\OneDrive\Documentos\MALENTIN KARIME\BANCO ESTADO\2012 DEPTO ESCRITURAS fata\Dc Simples\RESPALDO comp notaria 27_12_12\NOTARIA 2012\SOC. DE HECHO\PROTESTOS\UPV\CLAUDIO MORGADO GONZALEZ.doc</t>
  </si>
  <si>
    <t>C:\Users\franc\OneDrive\Documentos\MALENTIN KARIME\BANCO ESTADO\2012 DEPTO ESCRITURAS fata\Dc Simples\RESPALDO comp notaria 27_12_12\NOTARIA 2012\SOC. DE HECHO\PROTESTOS\UPV\CLAUDIA FARIAS.doc</t>
  </si>
  <si>
    <t>C:\Users\franc\OneDrive\Documentos\MALENTIN KARIME\BANCO ESTADO\2012 DEPTO ESCRITURAS fata\Dc Simples\RESPALDO comp notaria 27_12_12\NOTARIA 2012\SOC. DE HECHO\PROTESTOS\UPV\CINTHIA OSSANDON.doc</t>
  </si>
  <si>
    <t>C:\Users\franc\OneDrive\Documentos\MALENTIN KARIME\BANCO ESTADO\2012 DEPTO ESCRITURAS fata\Dc Simples\RESPALDO comp notaria 27_12_12\NOTARIA 2012\SOC. DE HECHO\PROTESTOS\UPV\CESAR DIAZ OLIVARES.doc</t>
  </si>
  <si>
    <t>C:\Users\franc\OneDrive\Documentos\MALENTIN KARIME\BANCO ESTADO\2012 DEPTO ESCRITURAS fata\Dc Simples\RESPALDO comp notaria 27_12_12\NOTARIA 2012\SOC. DE HECHO\PROTESTOS\UPV\CATALINA GONZALEZ OYARZUN.doc</t>
  </si>
  <si>
    <t>C:\Users\franc\OneDrive\Documentos\MALENTIN KARIME\BANCO ESTADO\2012 DEPTO ESCRITURAS fata\Dc Simples\RESPALDO comp notaria 27_12_12\NOTARIA 2012\SOC. DE HECHO\PROTESTOS\UPV\CARY WORREN ALFARO DICTTER.doc</t>
  </si>
  <si>
    <t>C:\Users\franc\OneDrive\Documentos\MALENTIN KARIME\BANCO ESTADO\2012 DEPTO ESCRITURAS fata\Dc Simples\RESPALDO comp notaria 27_12_12\NOTARIA 2012\SOC. DE HECHO\PROTESTOS\UPV\CAROLINA GATICA.doc</t>
  </si>
  <si>
    <t>C:\Users\franc\OneDrive\Documentos\MALENTIN KARIME\BANCO ESTADO\2012 DEPTO ESCRITURAS fata\Dc Simples\RESPALDO comp notaria 27_12_12\NOTARIA 2012\SOC. DE HECHO\PROTESTOS\UPV\CAROLA TELLO.doc</t>
  </si>
  <si>
    <t>C:\Users\franc\OneDrive\Documentos\MALENTIN KARIME\BANCO ESTADO\2012 DEPTO ESCRITURAS fata\Dc Simples\RESPALDO comp notaria 27_12_12\NOTARIA 2012\SOC. DE HECHO\PROTESTOS\UPV\CARLOS IRIARTE.doc</t>
  </si>
  <si>
    <t>C:\Users\franc\OneDrive\Documentos\MALENTIN KARIME\BANCO ESTADO\2012 DEPTO ESCRITURAS fata\Dc Simples\RESPALDO comp notaria 27_12_12\NOTARIA 2012\SOC. DE HECHO\PROTESTOS\UPV\CARLOS FLORES.doc</t>
  </si>
  <si>
    <t>C:\Users\franc\OneDrive\Documentos\MALENTIN KARIME\BANCO ESTADO\2012 DEPTO ESCRITURAS fata\Dc Simples\RESPALDO comp notaria 27_12_12\NOTARIA 2012\SOC. DE HECHO\PROTESTOS\UPV\CARLOS CAMPUSANO.doc</t>
  </si>
  <si>
    <t>C:\Users\franc\OneDrive\Documentos\MALENTIN KARIME\BANCO ESTADO\2012 DEPTO ESCRITURAS fata\Dc Simples\RESPALDO comp notaria 27_12_12\NOTARIA 2012\SOC. DE HECHO\PROTESTOS\UPV\CARLOS ARAYA.doc</t>
  </si>
  <si>
    <t>C:\Users\franc\OneDrive\Documentos\MALENTIN KARIME\BANCO ESTADO\2012 DEPTO ESCRITURAS fata\Dc Simples\RESPALDO comp notaria 27_12_12\NOTARIA 2012\SOC. DE HECHO\PROTESTOS\UPV\CARLOS ALFARO.doc</t>
  </si>
  <si>
    <t>C:\Users\franc\OneDrive\Documentos\MALENTIN KARIME\BANCO ESTADO\2012 DEPTO ESCRITURAS fata\Dc Simples\RESPALDO comp notaria 27_12_12\NOTARIA 2012\SOC. DE HECHO\PROTESTOS\UPV\CAREN CASTRO ARAYA.doc</t>
  </si>
  <si>
    <t>C:\Users\franc\OneDrive\Documentos\MALENTIN KARIME\BANCO ESTADO\2012 DEPTO ESCRITURAS fata\Dc Simples\RESPALDO comp notaria 27_12_12\NOTARIA 2012\SOC. DE HECHO\PROTESTOS\UPV\BARBARA JARA.doc</t>
  </si>
  <si>
    <t>C:\Users\franc\OneDrive\Documentos\MALENTIN KARIME\BANCO ESTADO\2012 DEPTO ESCRITURAS fata\Dc Simples\RESPALDO comp notaria 27_12_12\NOTARIA 2012\SOC. DE HECHO\PROTESTOS\UPV\ANGELA SALAS.doc</t>
  </si>
  <si>
    <t>C:\Users\franc\OneDrive\Documentos\MALENTIN KARIME\BANCO ESTADO\2012 DEPTO ESCRITURAS fata\Dc Simples\RESPALDO comp notaria 27_12_12\NOTARIA 2012\SOC. DE HECHO\PROTESTOS\UPV\ANDREA CAPDEVILA TORRES.doc</t>
  </si>
  <si>
    <t>C:\Users\franc\OneDrive\Documentos\MALENTIN KARIME\BANCO ESTADO\2012 DEPTO ESCRITURAS fata\Dc Simples\RESPALDO comp notaria 27_12_12\NOTARIA 2012\SOC. DE HECHO\PROTESTOS\UPV\ANDREA  BOLADOS.doc</t>
  </si>
  <si>
    <t>C:\Users\franc\OneDrive\Documentos\MALENTIN KARIME\BANCO ESTADO\2012 DEPTO ESCRITURAS fata\Dc Simples\RESPALDO comp notaria 27_12_12\NOTARIA 2012\SOC. DE HECHO\PROTESTOS\UPV\ANA MATAMOROS ZEPEDA.doc</t>
  </si>
  <si>
    <t>C:\Users\franc\OneDrive\Documentos\MALENTIN KARIME\BANCO ESTADO\2012 DEPTO ESCRITURAS fata\Dc Simples\RESPALDO comp notaria 27_12_12\NOTARIA 2012\SOC. DE HECHO\PROTESTOS\UPV\ANA CASTILLO.doc</t>
  </si>
  <si>
    <t>C:\Users\franc\OneDrive\Documentos\MALENTIN KARIME\BANCO ESTADO\2012 DEPTO ESCRITURAS fata\Dc Simples\RESPALDO comp notaria 27_12_12\NOTARIA 2012\SOC. DE HECHO\PROTESTOS\UPV\ALISON GUERRA TAPIA.doc</t>
  </si>
  <si>
    <t>C:\Users\franc\OneDrive\Documentos\MALENTIN KARIME\BANCO ESTADO\2012 DEPTO ESCRITURAS fata\Dc Simples\RESPALDO comp notaria 27_12_12\NOTARIA 2012\SOC. DE HECHO\PROTESTOS\UPV\ALIRO GUILLERMO GONZALEZ.doc</t>
  </si>
  <si>
    <t>C:\Users\franc\OneDrive\Documentos\MALENTIN KARIME\BANCO ESTADO\2012 DEPTO ESCRITURAS fata\Dc Simples\RESPALDO comp notaria 27_12_12\NOTARIA 2012\SOC. DE HECHO\PROTESTOS\UPV\ALFONSO ARAYA.doc</t>
  </si>
  <si>
    <t>C:\Users\franc\OneDrive\Documentos\MALENTIN KARIME\BANCO ESTADO\2012 DEPTO ESCRITURAS fata\Dc Simples\RESPALDO comp notaria 27_12_12\NOTARIA 2012\SOC. DE HECHO\PROTESTOS\UPV\ALEXIS VALENZUELA.doc</t>
  </si>
  <si>
    <t>C:\Users\franc\OneDrive\Documentos\MALENTIN KARIME\BANCO ESTADO\2012 DEPTO ESCRITURAS fata\Dc Simples\RESPALDO comp notaria 27_12_12\NOTARIA 2012\SOC. DE HECHO\PROTESTOS\UPV\ALEXIS LOPEZ.doc</t>
  </si>
  <si>
    <t>C:\Users\franc\OneDrive\Documentos\MALENTIN KARIME\BANCO ESTADO\2012 DEPTO ESCRITURAS fata\Dc Simples\RESPALDO comp notaria 27_12_12\NOTARIA 2012\SOC. DE HECHO\PROTESTOS\XENIT LTDA..xls</t>
  </si>
  <si>
    <t>C:\Users\franc\OneDrive\Documentos\MALENTIN KARIME\BANCO ESTADO\2012 DEPTO ESCRITURAS fata\Dc Simples\RESPALDO comp notaria 27_12_12\NOTARIA 2012\SOC. DE HECHO\PROTESTOS\SIN PROTESTO.xls</t>
  </si>
  <si>
    <t>C:\Users\franc\OneDrive\Documentos\MALENTIN KARIME\BANCO ESTADO\2012 DEPTO ESCRITURAS fata\Dc Simples\RESPALDO comp notaria 27_12_12\NOTARIA 2012\SOC. DE HECHO\PROTESTOS\RECIBO JACINTO.doc</t>
  </si>
  <si>
    <t>C:\Users\franc\OneDrive\Documentos\MALENTIN KARIME\BANCO ESTADO\2012 DEPTO ESCRITURAS fata\Dc Simples\RESPALDO comp notaria 27_12_12\NOTARIA 2012\SOC. DE HECHO\PROTESTOS\RECIBO IMPUESTO.doc</t>
  </si>
  <si>
    <t>C:\Users\franc\OneDrive\Documentos\MALENTIN KARIME\BANCO ESTADO\2012 DEPTO ESCRITURAS fata\Dc Simples\RESPALDO comp notaria 27_12_12\NOTARIA 2012\SOC. DE HECHO\PROTESTOS\PRECIOS SOBRE $2.000.000.doc</t>
  </si>
  <si>
    <t>C:\Users\franc\OneDrive\Documentos\MALENTIN KARIME\BANCO ESTADO\2012 DEPTO ESCRITURAS fata\Dc Simples\RESPALDO comp notaria 27_12_12\NOTARIA 2012\SOC. DE HECHO\PROTESTOS\PRECIOS PROTESTO.xls</t>
  </si>
  <si>
    <t>C:\Users\franc\OneDrive\Documentos\MALENTIN KARIME\BANCO ESTADO\2012 DEPTO ESCRITURAS fata\Dc Simples\RESPALDO comp notaria 27_12_12\NOTARIA 2012\SOC. DE HECHO\PROTESTOS\PAGARE URBANO.doc</t>
  </si>
  <si>
    <t>C:\Users\franc\OneDrive\Documentos\MALENTIN KARIME\BANCO ESTADO\2012 DEPTO ESCRITURAS fata\Dc Simples\RESPALDO comp notaria 27_12_12\NOTARIA 2012\SOC. DE HECHO\PROTESTOS\PAGARE RURAL.doc</t>
  </si>
  <si>
    <t>C:\Users\franc\OneDrive\Documentos\MALENTIN KARIME\BANCO ESTADO\2012 DEPTO ESCRITURAS fata\Dc Simples\RESPALDO comp notaria 27_12_12\NOTARIA 2012\SOC. DE HECHO\PROTESTOS\PAG. GONART URBANO.doc</t>
  </si>
  <si>
    <t>C:\Users\franc\OneDrive\Documentos\MALENTIN KARIME\BANCO ESTADO\2012 DEPTO ESCRITURAS fata\Dc Simples\RESPALDO comp notaria 27_12_12\NOTARIA 2012\SOC. DE HECHO\PROTESTOS\PAG. GONART RURAL.doc</t>
  </si>
  <si>
    <t>C:\Users\franc\OneDrive\Documentos\MALENTIN KARIME\BANCO ESTADO\2012 DEPTO ESCRITURAS fata\Dc Simples\RESPALDO comp notaria 27_12_12\NOTARIA 2012\SOC. DE HECHO\PROTESTOS\LISTADO GONART.xls</t>
  </si>
  <si>
    <t>C:\Users\franc\OneDrive\Documentos\MALENTIN KARIME\BANCO ESTADO\2012 DEPTO ESCRITURAS fata\Dc Simples\RESPALDO comp notaria 27_12_12\NOTARIA 2012\SOC. DE HECHO\PROTESTOS\LISTA.xls</t>
  </si>
  <si>
    <t>C:\Users\franc\OneDrive\Documentos\MALENTIN KARIME\BANCO ESTADO\2012 DEPTO ESCRITURAS fata\Dc Simples\RESPALDO comp notaria 27_12_12\NOTARIA 2012\SOC. DE HECHO\PROTESTOS\LISTA U. CENTRAL.xls</t>
  </si>
  <si>
    <t>C:\Users\franc\OneDrive\Documentos\MALENTIN KARIME\BANCO ESTADO\2012 DEPTO ESCRITURAS fata\Dc Simples\RESPALDO comp notaria 27_12_12\NOTARIA 2012\SOC. DE HECHO\PROTESTOS\LISTA LARGA CORPBANCA.xls</t>
  </si>
  <si>
    <t>C:\Users\franc\OneDrive\Documentos\MALENTIN KARIME\BANCO ESTADO\2012 DEPTO ESCRITURAS fata\Dc Simples\RESPALDO comp notaria 27_12_12\NOTARIA 2012\SOC. DE HECHO\PROTESTOS\LISTA INACAP.xls</t>
  </si>
  <si>
    <t>C:\Users\franc\OneDrive\Documentos\MALENTIN KARIME\BANCO ESTADO\2012 DEPTO ESCRITURAS fata\Dc Simples\RESPALDO comp notaria 27_12_12\NOTARIA 2012\SOC. DE HECHO\PROTESTOS\LISTA CORPBANCA.xls</t>
  </si>
  <si>
    <t>C:\Users\franc\OneDrive\Documentos\MALENTIN KARIME\BANCO ESTADO\2012 DEPTO ESCRITURAS fata\Dc Simples\RESPALDO comp notaria 27_12_12\NOTARIA 2012\SOC. DE HECHO\PROTESTOS\LETRA URBANA.doc</t>
  </si>
  <si>
    <t>C:\Users\franc\OneDrive\Documentos\MALENTIN KARIME\BANCO ESTADO\2012 DEPTO ESCRITURAS fata\Dc Simples\RESPALDO comp notaria 27_12_12\NOTARIA 2012\SOC. DE HECHO\PROTESTOS\LETRA RURAL.doc</t>
  </si>
  <si>
    <t>C:\Users\franc\OneDrive\Documentos\MALENTIN KARIME\BANCO ESTADO\2012 DEPTO ESCRITURAS fata\Dc Simples\RESPALDO comp notaria 27_12_12\NOTARIA 2012\SOC. DE HECHO\PROTESTOS\ESTRELLA ALPINA.xls</t>
  </si>
  <si>
    <t>C:\Users\franc\OneDrive\Documentos\MALENTIN KARIME\BANCO ESTADO\2012 DEPTO ESCRITURAS fata\Dc Simples\RESPALDO comp notaria 27_12_12\NOTARIA 2012\SOC. DE HECHO\PROTESTOS\ESTRELLA ALP. CORTA.xls</t>
  </si>
  <si>
    <t>C:\Users\franc\OneDrive\Documentos\MALENTIN KARIME\BANCO ESTADO\2012 DEPTO ESCRITURAS fata\Dc Simples\RESPALDO comp notaria 27_12_12\NOTARIA 2012\SOC. DE HECHO\PROTESTOS\DALBOSCO URBANO.doc</t>
  </si>
  <si>
    <t>C:\Users\franc\OneDrive\Documentos\MALENTIN KARIME\BANCO ESTADO\2012 DEPTO ESCRITURAS fata\Dc Simples\RESPALDO comp notaria 27_12_12\NOTARIA 2012\SOC. DE HECHO\PROTESTOS\DALBOSCO RURAL.doc</t>
  </si>
  <si>
    <t>C:\Users\franc\OneDrive\Documentos\MALENTIN KARIME\BANCO ESTADO\2012 DEPTO ESCRITURAS fata\Dc Simples\RESPALDO comp notaria 27_12_12\NOTARIA 2012\SOC. DE HECHO\PROTESTOS\CORCAP.xls</t>
  </si>
  <si>
    <t>C:\Users\franc\OneDrive\Documentos\MALENTIN KARIME\BANCO ESTADO\2012 DEPTO ESCRITURAS fata\Dc Simples\RESPALDO comp notaria 27_12_12\NOTARIA 2012\SOC. DE HECHO\PROTESTOS\CITACION.doc</t>
  </si>
  <si>
    <t>C:\Users\franc\OneDrive\Documentos\MALENTIN KARIME\BANCO ESTADO\2012 DEPTO ESCRITURAS fata\Dc Simples\RESPALDO comp notaria 27_12_12\NOTARIA 2012\SOC. DE HECHO\PROTESTOS\CERTIFICADO BANCO.doc</t>
  </si>
  <si>
    <t>C:\Users\franc\OneDrive\Documentos\MALENTIN KARIME\BANCO ESTADO\2012 DEPTO ESCRITURAS fata\Dc Simples\RESPALDO comp notaria 27_12_12\NOTARIA 2012\SOC. DE HECHO\PROTESTOS\CANCELACION DE LETRAS.doc</t>
  </si>
  <si>
    <t>C:\Users\franc\OneDrive\Documentos\MALENTIN KARIME\BANCO ESTADO\2012 DEPTO ESCRITURAS fata\Dc Simples\RESPALDO comp notaria 27_12_12\NOTARIA 2012\SOC. DE HECHO\PROTESTOS\BCO.ESTADO PROT..xls</t>
  </si>
  <si>
    <t>C:\Users\franc\OneDrive\Documentos\MALENTIN KARIME\BANCO ESTADO\2012 DEPTO ESCRITURAS fata\Dc Simples\RESPALDO comp notaria 27_12_12\NOTARIA 2012\SOC. DE HECHO\PROTESTOS\BCO.ESTADO CANC..xls</t>
  </si>
  <si>
    <t>C:\Users\franc\OneDrive\Documentos\MALENTIN KARIME\BANCO ESTADO\2012 DEPTO ESCRITURAS fata\Dc Simples\RESPALDO comp notaria 27_12_12\NOTARIA 2012\SOC. DE HECHO\PROTESTOS\BANCO NOVA.xls</t>
  </si>
  <si>
    <t>C:\Users\franc\OneDrive\Documentos\MALENTIN KARIME\BANCO ESTADO\2012 DEPTO ESCRITURAS fata\Dc Simples\RESPALDO comp notaria 27_12_12\NOTARIA 2012\SOC. DE HECHO\SOTRAC.doc</t>
  </si>
  <si>
    <t>C:\Users\franc\OneDrive\Documentos\MALENTIN KARIME\BANCO ESTADO\2012 DEPTO ESCRITURAS fata\Dc Simples\RESPALDO comp notaria 27_12_12\NOTARIA 2012\SOC. DE HECHO\Sociedad de Hecho Mina San Ignacio.doc</t>
  </si>
  <si>
    <t>C:\Users\franc\OneDrive\Documentos\MALENTIN KARIME\BANCO ESTADO\2012 DEPTO ESCRITURAS fata\Dc Simples\RESPALDO comp notaria 27_12_12\NOTARIA 2012\SOC. DE HECHO\SOCIEDAD DE HECHO Cyntia.doc</t>
  </si>
  <si>
    <t>C:\Users\franc\OneDrive\Documentos\MALENTIN KARIME\BANCO ESTADO\2012 DEPTO ESCRITURAS fata\Dc Simples\RESPALDO comp notaria 27_12_12\NOTARIA 2012\SOC. DE HECHO\SOC. HECHO. BERNARDINA Y OTROS.doc</t>
  </si>
  <si>
    <t>C:\Users\franc\OneDrive\Documentos\MALENTIN KARIME\BANCO ESTADO\2012 DEPTO ESCRITURAS fata\Dc Simples\RESPALDO comp notaria 27_12_12\NOTARIA 2012\SOC. DE HECHO\SOC. HECHO PEDRO SEGOVIA.doc</t>
  </si>
  <si>
    <t>C:\Users\franc\OneDrive\Documentos\MALENTIN KARIME\BANCO ESTADO\2012 DEPTO ESCRITURAS fata\Dc Simples\RESPALDO comp notaria 27_12_12\NOTARIA 2012\SOC. DE HECHO\SOC. HECHO MYRIAM CASTRO Y OTRO.doc</t>
  </si>
  <si>
    <t>C:\Users\franc\OneDrive\Documentos\MALENTIN KARIME\BANCO ESTADO\2012 DEPTO ESCRITURAS fata\Dc Simples\RESPALDO comp notaria 27_12_12\NOTARIA 2012\SOC. DE HECHO\RUBINA ROBINSON Y OTRA.doc</t>
  </si>
  <si>
    <t>C:\Users\franc\OneDrive\Documentos\MALENTIN KARIME\BANCO ESTADO\2012 DEPTO ESCRITURAS fata\Dc Simples\RESPALDO comp notaria 27_12_12\NOTARIA 2012\SOC. DE HECHO\PRONTOLUZ.doc</t>
  </si>
  <si>
    <t>C:\Users\franc\OneDrive\Documentos\MALENTIN KARIME\BANCO ESTADO\2012 DEPTO ESCRITURAS fata\Dc Simples\RESPALDO comp notaria 27_12_12\NOTARIA 2012\SOC. DE HECHO\PATRICIA ARAYA Y OTROS.doc</t>
  </si>
  <si>
    <t>C:\Users\franc\OneDrive\Documentos\MALENTIN KARIME\BANCO ESTADO\2012 DEPTO ESCRITURAS fata\Dc Simples\RESPALDO comp notaria 27_12_12\NOTARIA 2012\SOC. DE HECHO\OLIVARES ARAYA SANDRO Y OTRO.doc</t>
  </si>
  <si>
    <t>C:\Users\franc\OneDrive\Documentos\MALENTIN KARIME\BANCO ESTADO\2012 DEPTO ESCRITURAS fata\Dc Simples\RESPALDO comp notaria 27_12_12\NOTARIA 2012\SOC. DE HECHO\MUÑOZ MARTA LIDIA Y OTRO.doc</t>
  </si>
  <si>
    <t>C:\Users\franc\OneDrive\Documentos\MALENTIN KARIME\BANCO ESTADO\2012 DEPTO ESCRITURAS fata\Dc Simples\RESPALDO comp notaria 27_12_12\NOTARIA 2012\SOC. DE HECHO\MOD. Y AMPLIACION PLAZO.doc</t>
  </si>
  <si>
    <t>C:\Users\franc\OneDrive\Documentos\MALENTIN KARIME\BANCO ESTADO\2012 DEPTO ESCRITURAS fata\Dc Simples\RESPALDO comp notaria 27_12_12\NOTARIA 2012\SOC. DE HECHO\MIRIAM ISABEL PLAZA COLLAO Y OTRA.doc</t>
  </si>
  <si>
    <t>C:\Users\franc\OneDrive\Documentos\MALENTIN KARIME\BANCO ESTADO\2012 DEPTO ESCRITURAS fata\Dc Simples\RESPALDO comp notaria 27_12_12\NOTARIA 2012\SOC. DE HECHO\MAYA SALVADOR Y OTRO.doc</t>
  </si>
  <si>
    <t>C:\Users\franc\OneDrive\Documentos\MALENTIN KARIME\BANCO ESTADO\2012 DEPTO ESCRITURAS fata\Dc Simples\RESPALDO comp notaria 27_12_12\NOTARIA 2012\SOC. DE HECHO\MARIA ANGELICA CORTES Y OTRA.doc</t>
  </si>
  <si>
    <t>C:\Users\franc\OneDrive\Documentos\MALENTIN KARIME\BANCO ESTADO\2012 DEPTO ESCRITURAS fata\Dc Simples\RESPALDO comp notaria 27_12_12\NOTARIA 2012\SOC. DE HECHO\MARCELO SEPULVEDA Y OTRO.doc</t>
  </si>
  <si>
    <t>C:\Users\franc\OneDrive\Documentos\MALENTIN KARIME\BANCO ESTADO\2012 DEPTO ESCRITURAS fata\Dc Simples\RESPALDO comp notaria 27_12_12\NOTARIA 2012\SOC. DE HECHO\LUIS CARRASCO Y OTRA.doc</t>
  </si>
  <si>
    <t>C:\Users\franc\OneDrive\Documentos\MALENTIN KARIME\BANCO ESTADO\2012 DEPTO ESCRITURAS fata\Dc Simples\RESPALDO comp notaria 27_12_12\NOTARIA 2012\SOC. DE HECHO\EUGENIA ROJAS Y OTRO.doc</t>
  </si>
  <si>
    <t>C:\Users\franc\OneDrive\Documentos\MALENTIN KARIME\BANCO ESTADO\2012 DEPTO ESCRITURAS fata\Dc Simples\RESPALDO comp notaria 27_12_12\NOTARIA 2012\SOC. DE HECHO\CAMPUSANO BERNARDO Y OTRO.doc</t>
  </si>
  <si>
    <t>C:\Users\franc\OneDrive\Documentos\MALENTIN KARIME\BANCO ESTADO\2012 DEPTO ESCRITURAS fata\Dc Simples\RESPALDO comp notaria 27_12_12\NOTARIA 2012\SOC. DE HECHO\AMPL. MIRIAM CASTRO Y OTRO.doc</t>
  </si>
  <si>
    <t>C:\Users\franc\OneDrive\Documentos\MALENTIN KARIME\BANCO ESTADO\2012 DEPTO ESCRITURAS fata\Dc Simples\RESPALDO comp notaria 27_12_12\NOTARIA 2012\PODERES\XENIT.doc</t>
  </si>
  <si>
    <t>C:\Users\franc\OneDrive\Documentos\MALENTIN KARIME\BANCO ESTADO\2012 DEPTO ESCRITURAS fata\Dc Simples\RESPALDO comp notaria 27_12_12\NOTARIA 2012\PODERES\VENTA VEHIC. SOCIEDAD.doc</t>
  </si>
  <si>
    <t>C:\Users\franc\OneDrive\Documentos\MALENTIN KARIME\BANCO ESTADO\2012 DEPTO ESCRITURAS fata\Dc Simples\RESPALDO comp notaria 27_12_12\NOTARIA 2012\PODERES\VENTA DE VEH. 2 pers..doc</t>
  </si>
  <si>
    <t>C:\Users\franc\OneDrive\Documentos\MALENTIN KARIME\BANCO ESTADO\2012 DEPTO ESCRITURAS fata\Dc Simples\RESPALDO comp notaria 27_12_12\NOTARIA 2012\PODERES\VENTA DE EMBARCACION.doc</t>
  </si>
  <si>
    <t>C:\Users\franc\OneDrive\Documentos\MALENTIN KARIME\BANCO ESTADO\2012 DEPTO ESCRITURAS fata\Dc Simples\RESPALDO comp notaria 27_12_12\NOTARIA 2012\PODERES\VENDER MOTO.doc</t>
  </si>
  <si>
    <t>C:\Users\franc\OneDrive\Documentos\MALENTIN KARIME\BANCO ESTADO\2012 DEPTO ESCRITURAS fata\Dc Simples\RESPALDO comp notaria 27_12_12\NOTARIA 2012\PODERES\VENDER ARMA.doc</t>
  </si>
  <si>
    <t>C:\Users\franc\OneDrive\Documentos\MALENTIN KARIME\BANCO ESTADO\2012 DEPTO ESCRITURAS fata\Dc Simples\RESPALDO comp notaria 27_12_12\NOTARIA 2012\PODERES\VEHICULOMANDATO Modelo.doc</t>
  </si>
  <si>
    <t>C:\Users\franc\OneDrive\Documentos\MALENTIN KARIME\BANCO ESTADO\2012 DEPTO ESCRITURAS fata\Dc Simples\RESPALDO comp notaria 27_12_12\NOTARIA 2012\PODERES\VEHICULO simple.doc</t>
  </si>
  <si>
    <t>C:\Users\franc\OneDrive\Documentos\MALENTIN KARIME\BANCO ESTADO\2012 DEPTO ESCRITURAS fata\Dc Simples\RESPALDO comp notaria 27_12_12\NOTARIA 2012\PODERES\VEHICULO simple CON ZONA FRANCA.doc</t>
  </si>
  <si>
    <t>C:\Users\franc\OneDrive\Documentos\MALENTIN KARIME\BANCO ESTADO\2012 DEPTO ESCRITURAS fata\Dc Simples\RESPALDO comp notaria 27_12_12\NOTARIA 2012\PODERES\VEHICULO REP..doc</t>
  </si>
  <si>
    <t>C:\Users\franc\OneDrive\Documentos\MALENTIN KARIME\BANCO ESTADO\2012 DEPTO ESCRITURAS fata\Dc Simples\RESPALDO comp notaria 27_12_12\NOTARIA 2012\PODERES\VEHICULO PATRICIO NICOLAS.doc</t>
  </si>
  <si>
    <t>C:\Users\franc\OneDrive\Documentos\MALENTIN KARIME\BANCO ESTADO\2012 DEPTO ESCRITURAS fata\Dc Simples\RESPALDO comp notaria 27_12_12\NOTARIA 2012\PODERES\VEHICULO PATRICIO NICOLAS tercero.doc</t>
  </si>
  <si>
    <t>C:\Users\franc\OneDrive\Documentos\MALENTIN KARIME\BANCO ESTADO\2012 DEPTO ESCRITURAS fata\Dc Simples\RESPALDO comp notaria 27_12_12\NOTARIA 2012\PODERES\VEHICULO amplio.doc</t>
  </si>
  <si>
    <t>C:\Users\franc\OneDrive\Documentos\MALENTIN KARIME\BANCO ESTADO\2012 DEPTO ESCRITURAS fata\Dc Simples\RESPALDO comp notaria 27_12_12\NOTARIA 2012\PODERES\VEHICULO amplio ok.doc</t>
  </si>
  <si>
    <t>C:\Users\franc\OneDrive\Documentos\MALENTIN KARIME\BANCO ESTADO\2012 DEPTO ESCRITURAS fata\Dc Simples\RESPALDO comp notaria 27_12_12\NOTARIA 2012\PODERES\VEHICULO  gerardo liendoamplio ok.doc</t>
  </si>
  <si>
    <t>C:\Users\franc\OneDrive\Documentos\MALENTIN KARIME\BANCO ESTADO\2012 DEPTO ESCRITURAS fata\Dc Simples\RESPALDO comp notaria 27_12_12\NOTARIA 2012\PODERES\USO CHEQUE EN BLANCO.doc</t>
  </si>
  <si>
    <t>C:\Users\franc\OneDrive\Documentos\MALENTIN KARIME\BANCO ESTADO\2012 DEPTO ESCRITURAS fata\Dc Simples\RESPALDO comp notaria 27_12_12\NOTARIA 2012\PODERES\universidad.doc</t>
  </si>
  <si>
    <t>C:\Users\franc\OneDrive\Documentos\MALENTIN KARIME\BANCO ESTADO\2012 DEPTO ESCRITURAS fata\Dc Simples\RESPALDO comp notaria 27_12_12\NOTARIA 2012\PODERES\universidad ASISTENCIA REUNION.doc</t>
  </si>
  <si>
    <t>C:\Users\franc\OneDrive\Documentos\MALENTIN KARIME\BANCO ESTADO\2012 DEPTO ESCRITURAS fata\Dc Simples\RESPALDO comp notaria 27_12_12\NOTARIA 2012\PODERES\UNION Y PATRIA.doc</t>
  </si>
  <si>
    <t>C:\Users\franc\OneDrive\Documentos\MALENTIN KARIME\BANCO ESTADO\2012 DEPTO ESCRITURAS fata\Dc Simples\RESPALDO comp notaria 27_12_12\NOTARIA 2012\PODERES\TRASPASO ACCIONES ELECOP.doc</t>
  </si>
  <si>
    <t>C:\Users\franc\OneDrive\Documentos\MALENTIN KARIME\BANCO ESTADO\2012 DEPTO ESCRITURAS fata\Dc Simples\RESPALDO comp notaria 27_12_12\NOTARIA 2012\PODERES\TRASPASO ACCIONES AGUA.doc</t>
  </si>
  <si>
    <t>C:\Users\franc\OneDrive\Documentos\MALENTIN KARIME\BANCO ESTADO\2012 DEPTO ESCRITURAS fata\Dc Simples\RESPALDO comp notaria 27_12_12\NOTARIA 2012\PODERES\TRASLADO REO.doc</t>
  </si>
  <si>
    <t>C:\Users\franc\OneDrive\Documentos\MALENTIN KARIME\BANCO ESTADO\2012 DEPTO ESCRITURAS fata\Dc Simples\RESPALDO comp notaria 27_12_12\NOTARIA 2012\PODERES\TRAMITES GENDARMERIA.doc</t>
  </si>
  <si>
    <t>C:\Users\franc\OneDrive\Documentos\MALENTIN KARIME\BANCO ESTADO\2012 DEPTO ESCRITURAS fata\Dc Simples\RESPALDO comp notaria 27_12_12\NOTARIA 2012\PODERES\TRAMITES EXONERADOS.doc</t>
  </si>
  <si>
    <t>C:\Users\franc\OneDrive\Documentos\MALENTIN KARIME\BANCO ESTADO\2012 DEPTO ESCRITURAS fata\Dc Simples\RESPALDO comp notaria 27_12_12\NOTARIA 2012\PODERES\TRAMITES CAMBIO LINEA.doc</t>
  </si>
  <si>
    <t>C:\Users\franc\OneDrive\Documentos\MALENTIN KARIME\BANCO ESTADO\2012 DEPTO ESCRITURAS fata\Dc Simples\RESPALDO comp notaria 27_12_12\NOTARIA 2012\PODERES\TRAMITAR POSESION.doc</t>
  </si>
  <si>
    <t>C:\Users\franc\OneDrive\Documentos\MALENTIN KARIME\BANCO ESTADO\2012 DEPTO ESCRITURAS fata\Dc Simples\RESPALDO comp notaria 27_12_12\NOTARIA 2012\PODERES\TRAMITAR POSESION SRA. MARIA.doc</t>
  </si>
  <si>
    <t>C:\Users\franc\OneDrive\Documentos\MALENTIN KARIME\BANCO ESTADO\2012 DEPTO ESCRITURAS fata\Dc Simples\RESPALDO comp notaria 27_12_12\NOTARIA 2012\PODERES\TERMINO GIRO POSESION.doc</t>
  </si>
  <si>
    <t>C:\Users\franc\OneDrive\Documentos\MALENTIN KARIME\BANCO ESTADO\2012 DEPTO ESCRITURAS fata\Dc Simples\RESPALDO comp notaria 27_12_12\NOTARIA 2012\PODERES\TERMINO DE GIRO.doc</t>
  </si>
  <si>
    <t>C:\Users\franc\OneDrive\Documentos\MALENTIN KARIME\BANCO ESTADO\2012 DEPTO ESCRITURAS fata\Dc Simples\RESPALDO comp notaria 27_12_12\NOTARIA 2012\PODERES\TELEVIA.doc</t>
  </si>
  <si>
    <t>C:\Users\franc\OneDrive\Documentos\MALENTIN KARIME\BANCO ESTADO\2012 DEPTO ESCRITURAS fata\Dc Simples\RESPALDO comp notaria 27_12_12\NOTARIA 2012\PODERES\TAG.doc</t>
  </si>
  <si>
    <t>C:\Users\franc\OneDrive\Documentos\MALENTIN KARIME\BANCO ESTADO\2012 DEPTO ESCRITURAS fata\Dc Simples\RESPALDO comp notaria 27_12_12\NOTARIA 2012\PODERES\TAG covalsa.doc</t>
  </si>
  <si>
    <t>C:\Users\franc\OneDrive\Documentos\MALENTIN KARIME\BANCO ESTADO\2012 DEPTO ESCRITURAS fata\Dc Simples\RESPALDO comp notaria 27_12_12\NOTARIA 2012\PODERES\SOLO ARR. PROPIEDADES dos.doc</t>
  </si>
  <si>
    <t>C:\Users\franc\OneDrive\Documentos\MALENTIN KARIME\BANCO ESTADO\2012 DEPTO ESCRITURAS fata\Dc Simples\RESPALDO comp notaria 27_12_12\NOTARIA 2012\PODERES\SOCIEDAD DE HECHO.doc</t>
  </si>
  <si>
    <t>C:\Users\franc\OneDrive\Documentos\MALENTIN KARIME\BANCO ESTADO\2012 DEPTO ESCRITURAS fata\Dc Simples\RESPALDO comp notaria 27_12_12\NOTARIA 2012\PODERES\SII.MODELO.doc</t>
  </si>
  <si>
    <t>C:\Users\franc\OneDrive\Documentos\MALENTIN KARIME\BANCO ESTADO\2012 DEPTO ESCRITURAS fata\Dc Simples\RESPALDO comp notaria 27_12_12\NOTARIA 2012\PODERES\SII.MARIA BAHAMONDESdoc.doc</t>
  </si>
  <si>
    <t>C:\Users\franc\OneDrive\Documentos\MALENTIN KARIME\BANCO ESTADO\2012 DEPTO ESCRITURAS fata\Dc Simples\RESPALDO comp notaria 27_12_12\NOTARIA 2012\PODERES\SII. PEDRO IRARRAZABAL.doc</t>
  </si>
  <si>
    <t>C:\Users\franc\OneDrive\Documentos\MALENTIN KARIME\BANCO ESTADO\2012 DEPTO ESCRITURAS fata\Dc Simples\RESPALDO comp notaria 27_12_12\NOTARIA 2012\PODERES\SII. NOVLIA PLAZAdoc.doc</t>
  </si>
  <si>
    <t>C:\Users\franc\OneDrive\Documentos\MALENTIN KARIME\BANCO ESTADO\2012 DEPTO ESCRITURAS fata\Dc Simples\RESPALDO comp notaria 27_12_12\NOTARIA 2012\PODERES\SII. MALVINA URRUTIA.doc</t>
  </si>
  <si>
    <t>C:\Users\franc\OneDrive\Documentos\MALENTIN KARIME\BANCO ESTADO\2012 DEPTO ESCRITURAS fata\Dc Simples\RESPALDO comp notaria 27_12_12\NOTARIA 2012\PODERES\SII. IRIS VEGAdoc.doc</t>
  </si>
  <si>
    <t>C:\Users\franc\OneDrive\Documentos\MALENTIN KARIME\BANCO ESTADO\2012 DEPTO ESCRITURAS fata\Dc Simples\RESPALDO comp notaria 27_12_12\NOTARIA 2012\PODERES\SII. FILOMENA CASTILLO.doc</t>
  </si>
  <si>
    <t>C:\Users\franc\OneDrive\Documentos\MALENTIN KARIME\BANCO ESTADO\2012 DEPTO ESCRITURAS fata\Dc Simples\RESPALDO comp notaria 27_12_12\NOTARIA 2012\PODERES\SII. FILOMENA CASTILLO II.doc</t>
  </si>
  <si>
    <t>C:\Users\franc\OneDrive\Documentos\MALENTIN KARIME\BANCO ESTADO\2012 DEPTO ESCRITURAS fata\Dc Simples\RESPALDO comp notaria 27_12_12\NOTARIA 2012\PODERES\SII. DEYSI ANTIQUERAdoc.doc</t>
  </si>
  <si>
    <t>C:\Users\franc\OneDrive\Documentos\MALENTIN KARIME\BANCO ESTADO\2012 DEPTO ESCRITURAS fata\Dc Simples\RESPALDO comp notaria 27_12_12\NOTARIA 2012\PODERES\SII. ARDILES TAPIA.doc</t>
  </si>
  <si>
    <t>C:\Users\franc\OneDrive\Documentos\MALENTIN KARIME\BANCO ESTADO\2012 DEPTO ESCRITURAS fata\Dc Simples\RESPALDO comp notaria 27_12_12\NOTARIA 2012\PODERES\SII. ARDILES TAPIA COM..doc</t>
  </si>
  <si>
    <t>C:\Users\franc\OneDrive\Documentos\MALENTIN KARIME\BANCO ESTADO\2012 DEPTO ESCRITURAS fata\Dc Simples\RESPALDO comp notaria 27_12_12\NOTARIA 2012\PODERES\SERVIU, SUBSIDIOS.doc</t>
  </si>
  <si>
    <t>C:\Users\franc\OneDrive\Documentos\MALENTIN KARIME\BANCO ESTADO\2012 DEPTO ESCRITURAS fata\Dc Simples\RESPALDO comp notaria 27_12_12\NOTARIA 2012\PODERES\SERVIPAG.doc</t>
  </si>
  <si>
    <t>C:\Users\franc\OneDrive\Documentos\MALENTIN KARIME\BANCO ESTADO\2012 DEPTO ESCRITURAS fata\Dc Simples\RESPALDO comp notaria 27_12_12\NOTARIA 2012\PODERES\SERVICIO MILITAR.doc</t>
  </si>
  <si>
    <t>C:\Users\franc\OneDrive\Documentos\MALENTIN KARIME\BANCO ESTADO\2012 DEPTO ESCRITURAS fata\Dc Simples\RESPALDO comp notaria 27_12_12\NOTARIA 2012\PODERES\SANEAR PROPIEDAD.doc</t>
  </si>
  <si>
    <t>C:\Users\franc\OneDrive\Documentos\MALENTIN KARIME\BANCO ESTADO\2012 DEPTO ESCRITURAS fata\Dc Simples\RESPALDO comp notaria 27_12_12\NOTARIA 2012\PODERES\SAMUEL ROJO.doc</t>
  </si>
  <si>
    <t>C:\Users\franc\OneDrive\Documentos\MALENTIN KARIME\BANCO ESTADO\2012 DEPTO ESCRITURAS fata\Dc Simples\RESPALDO comp notaria 27_12_12\NOTARIA 2012\PODERES\REVOCACION PODER.doc</t>
  </si>
  <si>
    <t>C:\Users\franc\OneDrive\Documentos\MALENTIN KARIME\BANCO ESTADO\2012 DEPTO ESCRITURAS fata\Dc Simples\RESPALDO comp notaria 27_12_12\NOTARIA 2012\PODERES\RETIRO vehiculo.doc</t>
  </si>
  <si>
    <t>C:\Users\franc\OneDrive\Documentos\MALENTIN KARIME\BANCO ESTADO\2012 DEPTO ESCRITURAS fata\Dc Simples\RESPALDO comp notaria 27_12_12\NOTARIA 2012\PODERES\RETIRO TITULO.doc</t>
  </si>
  <si>
    <t>C:\Users\franc\OneDrive\Documentos\MALENTIN KARIME\BANCO ESTADO\2012 DEPTO ESCRITURAS fata\Dc Simples\RESPALDO comp notaria 27_12_12\NOTARIA 2012\PODERES\RETIRO PLATA SUCESION.doc</t>
  </si>
  <si>
    <t>C:\Users\franc\OneDrive\Documentos\MALENTIN KARIME\BANCO ESTADO\2012 DEPTO ESCRITURAS fata\Dc Simples\RESPALDO comp notaria 27_12_12\NOTARIA 2012\PODERES\RETIRO PLATA pension.doc</t>
  </si>
  <si>
    <t>C:\Users\franc\OneDrive\Documentos\MALENTIN KARIME\BANCO ESTADO\2012 DEPTO ESCRITURAS fata\Dc Simples\RESPALDO comp notaria 27_12_12\NOTARIA 2012\PODERES\RETIRO PLANO.doc</t>
  </si>
  <si>
    <t>C:\Users\franc\OneDrive\Documentos\MALENTIN KARIME\BANCO ESTADO\2012 DEPTO ESCRITURAS fata\Dc Simples\RESPALDO comp notaria 27_12_12\NOTARIA 2012\PODERES\RETIRO PASAPORTE.doc</t>
  </si>
  <si>
    <t>C:\Users\franc\OneDrive\Documentos\MALENTIN KARIME\BANCO ESTADO\2012 DEPTO ESCRITURAS fata\Dc Simples\RESPALDO comp notaria 27_12_12\NOTARIA 2012\PODERES\RETIRO padron.doc</t>
  </si>
  <si>
    <t>C:\Users\franc\OneDrive\Documentos\MALENTIN KARIME\BANCO ESTADO\2012 DEPTO ESCRITURAS fata\Dc Simples\RESPALDO comp notaria 27_12_12\NOTARIA 2012\PODERES\RETIRO mercaderias en aduanas.doc</t>
  </si>
  <si>
    <t>C:\Users\franc\OneDrive\Documentos\MALENTIN KARIME\BANCO ESTADO\2012 DEPTO ESCRITURAS fata\Dc Simples\RESPALDO comp notaria 27_12_12\NOTARIA 2012\PODERES\RETIRO LICENCIA.doc</t>
  </si>
  <si>
    <t>C:\Users\franc\OneDrive\Documentos\MALENTIN KARIME\BANCO ESTADO\2012 DEPTO ESCRITURAS fata\Dc Simples\RESPALDO comp notaria 27_12_12\NOTARIA 2012\PODERES\RETIRO INSCRIPCION MINERA.doc</t>
  </si>
  <si>
    <t>C:\Users\franc\OneDrive\Documentos\MALENTIN KARIME\BANCO ESTADO\2012 DEPTO ESCRITURAS fata\Dc Simples\RESPALDO comp notaria 27_12_12\NOTARIA 2012\PODERES\RETIRO finiquito.doc</t>
  </si>
  <si>
    <t>C:\Users\franc\OneDrive\Documentos\MALENTIN KARIME\BANCO ESTADO\2012 DEPTO ESCRITURAS fata\Dc Simples\RESPALDO comp notaria 27_12_12\NOTARIA 2012\PODERES\RETIRO ficha medica.doc</t>
  </si>
  <si>
    <t>C:\Users\franc\OneDrive\Documentos\MALENTIN KARIME\BANCO ESTADO\2012 DEPTO ESCRITURAS fata\Dc Simples\RESPALDO comp notaria 27_12_12\NOTARIA 2012\PODERES\RETIRO documento.doc</t>
  </si>
  <si>
    <t>C:\Users\franc\OneDrive\Documentos\MALENTIN KARIME\BANCO ESTADO\2012 DEPTO ESCRITURAS fata\Dc Simples\RESPALDO comp notaria 27_12_12\NOTARIA 2012\PODERES\RETIRO DE PLACA PATENTE.doc</t>
  </si>
  <si>
    <t>C:\Users\franc\OneDrive\Documentos\MALENTIN KARIME\BANCO ESTADO\2012 DEPTO ESCRITURAS fata\Dc Simples\RESPALDO comp notaria 27_12_12\NOTARIA 2012\PODERES\RETIRO DE DOCUMENTOS padron.doc</t>
  </si>
  <si>
    <t>C:\Users\franc\OneDrive\Documentos\MALENTIN KARIME\BANCO ESTADO\2012 DEPTO ESCRITURAS fata\Dc Simples\RESPALDO comp notaria 27_12_12\NOTARIA 2012\PODERES\RETIRO COBRO INDEMNIZACION.doc</t>
  </si>
  <si>
    <t>C:\Users\franc\OneDrive\Documentos\MALENTIN KARIME\BANCO ESTADO\2012 DEPTO ESCRITURAS fata\Dc Simples\RESPALDO comp notaria 27_12_12\NOTARIA 2012\PODERES\RETIRO  CHEQUE INSTRUCCION.doc</t>
  </si>
  <si>
    <t>C:\Users\franc\OneDrive\Documentos\MALENTIN KARIME\BANCO ESTADO\2012 DEPTO ESCRITURAS fata\Dc Simples\RESPALDO comp notaria 27_12_12\NOTARIA 2012\PODERES\retirar documento.doc</t>
  </si>
  <si>
    <t>C:\Users\franc\OneDrive\Documentos\MALENTIN KARIME\BANCO ESTADO\2012 DEPTO ESCRITURAS fata\Dc Simples\RESPALDO comp notaria 27_12_12\NOTARIA 2012\PODERES\REPACTAR DEUDA.doc</t>
  </si>
  <si>
    <t>C:\Users\franc\OneDrive\Documentos\MALENTIN KARIME\BANCO ESTADO\2012 DEPTO ESCRITURAS fata\Dc Simples\RESPALDO comp notaria 27_12_12\NOTARIA 2012\PODERES\renovaacion de TAG.doc</t>
  </si>
  <si>
    <t>C:\Users\franc\OneDrive\Documentos\MALENTIN KARIME\BANCO ESTADO\2012 DEPTO ESCRITURAS fata\Dc Simples\RESPALDO comp notaria 27_12_12\NOTARIA 2012\PODERES\RADIO TULAHUEN.doc</t>
  </si>
  <si>
    <t>C:\Users\franc\OneDrive\Documentos\MALENTIN KARIME\BANCO ESTADO\2012 DEPTO ESCRITURAS fata\Dc Simples\RESPALDO comp notaria 27_12_12\NOTARIA 2012\PODERES\PODER VTR. CMC.doc</t>
  </si>
  <si>
    <t>C:\Users\franc\OneDrive\Documentos\MALENTIN KARIME\BANCO ESTADO\2012 DEPTO ESCRITURAS fata\Dc Simples\RESPALDO comp notaria 27_12_12\NOTARIA 2012\PODERES\PODER PARA SUBSIDIO.doc</t>
  </si>
  <si>
    <t>C:\Users\franc\OneDrive\Documentos\MALENTIN KARIME\BANCO ESTADO\2012 DEPTO ESCRITURAS fata\Dc Simples\RESPALDO comp notaria 27_12_12\NOTARIA 2012\PODERES\PODER movistar.doc</t>
  </si>
  <si>
    <t>C:\Users\franc\OneDrive\Documentos\MALENTIN KARIME\BANCO ESTADO\2012 DEPTO ESCRITURAS fata\Dc Simples\RESPALDO comp notaria 27_12_12\NOTARIA 2012\PODERES\poder minera el treval.doc</t>
  </si>
  <si>
    <t>C:\Users\franc\OneDrive\Documentos\MALENTIN KARIME\BANCO ESTADO\2012 DEPTO ESCRITURAS fata\Dc Simples\RESPALDO comp notaria 27_12_12\NOTARIA 2012\PODERES\PODER mercaderia.doc</t>
  </si>
  <si>
    <t>C:\Users\franc\OneDrive\Documentos\MALENTIN KARIME\BANCO ESTADO\2012 DEPTO ESCRITURAS fata\Dc Simples\RESPALDO comp notaria 27_12_12\NOTARIA 2012\PODERES\PODER indemniza.doc</t>
  </si>
  <si>
    <t>C:\Users\franc\OneDrive\Documentos\MALENTIN KARIME\BANCO ESTADO\2012 DEPTO ESCRITURAS fata\Dc Simples\RESPALDO comp notaria 27_12_12\NOTARIA 2012\PODERES\PODER ENTEL.doc</t>
  </si>
  <si>
    <t>C:\Users\franc\OneDrive\Documentos\MALENTIN KARIME\BANCO ESTADO\2012 DEPTO ESCRITURAS fata\Dc Simples\RESPALDO comp notaria 27_12_12\NOTARIA 2012\PODERES\PODER CUIDAR P.AGRICOLA.doc</t>
  </si>
  <si>
    <t>C:\Users\franc\OneDrive\Documentos\MALENTIN KARIME\BANCO ESTADO\2012 DEPTO ESCRITURAS fata\Dc Simples\RESPALDO comp notaria 27_12_12\NOTARIA 2012\PODERES\PODER CLARO.doc</t>
  </si>
  <si>
    <t>C:\Users\franc\OneDrive\Documentos\MALENTIN KARIME\BANCO ESTADO\2012 DEPTO ESCRITURAS fata\Dc Simples\RESPALDO comp notaria 27_12_12\NOTARIA 2012\PODERES\PODER CHEQUE ARAUCANA.doc</t>
  </si>
  <si>
    <t>C:\Users\franc\OneDrive\Documentos\MALENTIN KARIME\BANCO ESTADO\2012 DEPTO ESCRITURAS fata\Dc Simples\RESPALDO comp notaria 27_12_12\NOTARIA 2012\PODERES\PODER BANCO ESTADO.doc</t>
  </si>
  <si>
    <t>C:\Users\franc\OneDrive\Documentos\MALENTIN KARIME\BANCO ESTADO\2012 DEPTO ESCRITURAS fata\Dc Simples\RESPALDO comp notaria 27_12_12\NOTARIA 2012\PODERES\PODER BANCO ESTADO amplio.doc</t>
  </si>
  <si>
    <t>C:\Users\franc\OneDrive\Documentos\MALENTIN KARIME\BANCO ESTADO\2012 DEPTO ESCRITURAS fata\Dc Simples\RESPALDO comp notaria 27_12_12\NOTARIA 2012\PODERES\PODER AMPLIO.doc</t>
  </si>
  <si>
    <t>C:\Users\franc\OneDrive\Documentos\MALENTIN KARIME\BANCO ESTADO\2012 DEPTO ESCRITURAS fata\Dc Simples\RESPALDO comp notaria 27_12_12\NOTARIA 2012\PODERES\poder amplio x3.doc</t>
  </si>
  <si>
    <t>C:\Users\franc\OneDrive\Documentos\MALENTIN KARIME\BANCO ESTADO\2012 DEPTO ESCRITURAS fata\Dc Simples\RESPALDO comp notaria 27_12_12\NOTARIA 2012\PODERES\PODER AMPLIO TERMINO DE CONTRATO.doc</t>
  </si>
  <si>
    <t>C:\Users\franc\OneDrive\Documentos\MALENTIN KARIME\BANCO ESTADO\2012 DEPTO ESCRITURAS fata\Dc Simples\RESPALDO comp notaria 27_12_12\NOTARIA 2012\PODERES\PODER AMPLIO para...MENOR DE EDAD.doc</t>
  </si>
  <si>
    <t>C:\Users\franc\OneDrive\Documentos\MALENTIN KARIME\BANCO ESTADO\2012 DEPTO ESCRITURAS fata\Dc Simples\RESPALDO comp notaria 27_12_12\NOTARIA 2012\PODERES\PODER AMPLIO para....doc</t>
  </si>
  <si>
    <t>C:\Users\franc\OneDrive\Documentos\MALENTIN KARIME\BANCO ESTADO\2012 DEPTO ESCRITURAS fata\Dc Simples\RESPALDO comp notaria 27_12_12\NOTARIA 2012\PODERES\PODER AMPLIO para REPRESENTACION.doc</t>
  </si>
  <si>
    <t>C:\Users\franc\OneDrive\Documentos\MALENTIN KARIME\BANCO ESTADO\2012 DEPTO ESCRITURAS fata\Dc Simples\RESPALDO comp notaria 27_12_12\NOTARIA 2012\PODERES\PODER AMPLIO para expropiacion.doc</t>
  </si>
  <si>
    <t>C:\Users\franc\OneDrive\Documentos\MALENTIN KARIME\BANCO ESTADO\2012 DEPTO ESCRITURAS fata\Dc Simples\RESPALDO comp notaria 27_12_12\NOTARIA 2012\PODERES\PODER AMPLIO franklin gallardo.doc</t>
  </si>
  <si>
    <t>C:\Users\franc\OneDrive\Documentos\MALENTIN KARIME\BANCO ESTADO\2012 DEPTO ESCRITURAS fata\Dc Simples\RESPALDO comp notaria 27_12_12\NOTARIA 2012\PODERES\poder alvarez.doc</t>
  </si>
  <si>
    <t>C:\Users\franc\OneDrive\Documentos\MALENTIN KARIME\BANCO ESTADO\2012 DEPTO ESCRITURAS fata\Dc Simples\RESPALDO comp notaria 27_12_12\NOTARIA 2012\PODERES\PAULI.doc</t>
  </si>
  <si>
    <t>C:\Users\franc\OneDrive\Documentos\MALENTIN KARIME\BANCO ESTADO\2012 DEPTO ESCRITURAS fata\Dc Simples\RESPALDO comp notaria 27_12_12\NOTARIA 2012\PODERES\PARA DEPOSITAR EN CTA CTE.doc</t>
  </si>
  <si>
    <t>C:\Users\franc\OneDrive\Documentos\MALENTIN KARIME\BANCO ESTADO\2012 DEPTO ESCRITURAS fata\Dc Simples\RESPALDO comp notaria 27_12_12\NOTARIA 2012\PODERES\PANCHO.doc</t>
  </si>
  <si>
    <t>C:\Users\franc\OneDrive\Documentos\MALENTIN KARIME\BANCO ESTADO\2012 DEPTO ESCRITURAS fata\Dc Simples\RESPALDO comp notaria 27_12_12\NOTARIA 2012\PODERES\PAGO ASOC. CANALISTAS.doc</t>
  </si>
  <si>
    <t>C:\Users\franc\OneDrive\Documentos\MALENTIN KARIME\BANCO ESTADO\2012 DEPTO ESCRITURAS fata\Dc Simples\RESPALDO comp notaria 27_12_12\NOTARIA 2012\PODERES\PAGAR PARTE.doc</t>
  </si>
  <si>
    <t>C:\Users\franc\OneDrive\Documentos\MALENTIN KARIME\BANCO ESTADO\2012 DEPTO ESCRITURAS fata\Dc Simples\RESPALDO comp notaria 27_12_12\NOTARIA 2012\PODERES\PAGAR CON CHEQUE.doc</t>
  </si>
  <si>
    <t>C:\Users\franc\OneDrive\Documentos\MALENTIN KARIME\BANCO ESTADO\2012 DEPTO ESCRITURAS fata\Dc Simples\RESPALDO comp notaria 27_12_12\NOTARIA 2012\PODERES\OSSA Y ASOCIADOS.doc</t>
  </si>
  <si>
    <t>C:\Users\franc\OneDrive\Documentos\MALENTIN KARIME\BANCO ESTADO\2012 DEPTO ESCRITURAS fata\Dc Simples\RESPALDO comp notaria 27_12_12\NOTARIA 2012\PODERES\ORGANISMOS PUBLICOS.doc</t>
  </si>
  <si>
    <t>C:\Users\franc\OneDrive\Documentos\MALENTIN KARIME\BANCO ESTADO\2012 DEPTO ESCRITURAS fata\Dc Simples\RESPALDO comp notaria 27_12_12\NOTARIA 2012\PODERES\OFRECER PROPIEDAD.doc</t>
  </si>
  <si>
    <t>C:\Users\franc\OneDrive\Documentos\MALENTIN KARIME\BANCO ESTADO\2012 DEPTO ESCRITURAS fata\Dc Simples\RESPALDO comp notaria 27_12_12\NOTARIA 2012\PODERES\OFRECER PROPIEDAD VTA.doc</t>
  </si>
  <si>
    <t>C:\Users\franc\OneDrive\Documentos\MALENTIN KARIME\BANCO ESTADO\2012 DEPTO ESCRITURAS fata\Dc Simples\RESPALDO comp notaria 27_12_12\NOTARIA 2012\PODERES\OBTENCION TAG.doc</t>
  </si>
  <si>
    <t>C:\Users\franc\OneDrive\Documentos\MALENTIN KARIME\BANCO ESTADO\2012 DEPTO ESCRITURAS fata\Dc Simples\RESPALDO comp notaria 27_12_12\NOTARIA 2012\PODERES\MODIFA PROMESA.doc</t>
  </si>
  <si>
    <t>C:\Users\franc\OneDrive\Documentos\MALENTIN KARIME\BANCO ESTADO\2012 DEPTO ESCRITURAS fata\Dc Simples\RESPALDO comp notaria 27_12_12\NOTARIA 2012\PODERES\Ministerio.doc</t>
  </si>
  <si>
    <t>C:\Users\franc\OneDrive\Documentos\MALENTIN KARIME\BANCO ESTADO\2012 DEPTO ESCRITURAS fata\Dc Simples\RESPALDO comp notaria 27_12_12\NOTARIA 2012\PODERES\MANDATO MINERO.doc</t>
  </si>
  <si>
    <t>C:\Users\franc\OneDrive\Documentos\MALENTIN KARIME\BANCO ESTADO\2012 DEPTO ESCRITURAS fata\Dc Simples\RESPALDO comp notaria 27_12_12\NOTARIA 2012\PODERES\MANDATO MINERO Nelson Cornejo.doc</t>
  </si>
  <si>
    <t>C:\Users\franc\OneDrive\Documentos\MALENTIN KARIME\BANCO ESTADO\2012 DEPTO ESCRITURAS fata\Dc Simples\RESPALDO comp notaria 27_12_12\NOTARIA 2012\PODERES\MANDATO ESPECIAL.doc</t>
  </si>
  <si>
    <t>C:\Users\franc\OneDrive\Documentos\MALENTIN KARIME\BANCO ESTADO\2012 DEPTO ESCRITURAS fata\Dc Simples\RESPALDO comp notaria 27_12_12\NOTARIA 2012\PODERES\MANDATO ESPECIAL VARIOS DINERO.doc</t>
  </si>
  <si>
    <t>C:\Users\franc\OneDrive\Documentos\MALENTIN KARIME\BANCO ESTADO\2012 DEPTO ESCRITURAS fata\Dc Simples\RESPALDO comp notaria 27_12_12\NOTARIA 2012\PODERES\MANDATO ESPECIAL SRA, MARIA.doc</t>
  </si>
  <si>
    <t>C:\Users\franc\OneDrive\Documentos\MALENTIN KARIME\BANCO ESTADO\2012 DEPTO ESCRITURAS fata\Dc Simples\RESPALDO comp notaria 27_12_12\NOTARIA 2012\PODERES\MANDATO ESPECIAL RETIRO DE HERENCIA.doc</t>
  </si>
  <si>
    <t>C:\Users\franc\OneDrive\Documentos\MALENTIN KARIME\BANCO ESTADO\2012 DEPTO ESCRITURAS fata\Dc Simples\RESPALDO comp notaria 27_12_12\NOTARIA 2012\PODERES\MANDATO ESPECIAL RETIRO DE HERENCIA CONYUGE.doc</t>
  </si>
  <si>
    <t>C:\Users\franc\OneDrive\Documentos\MALENTIN KARIME\BANCO ESTADO\2012 DEPTO ESCRITURAS fata\Dc Simples\RESPALDO comp notaria 27_12_12\NOTARIA 2012\PODERES\MANDATO ESPECIAL RETIRAR SUELDO.doc</t>
  </si>
  <si>
    <t>C:\Users\franc\OneDrive\Documentos\MALENTIN KARIME\BANCO ESTADO\2012 DEPTO ESCRITURAS fata\Dc Simples\RESPALDO comp notaria 27_12_12\NOTARIA 2012\PODERES\MANDATO ESPECIAL PARA TRANSPORTE.doc</t>
  </si>
  <si>
    <t>C:\Users\franc\OneDrive\Documentos\MALENTIN KARIME\BANCO ESTADO\2012 DEPTO ESCRITURAS fata\Dc Simples\RESPALDO comp notaria 27_12_12\NOTARIA 2012\PODERES\MANDATO ESPECIAL INP.doc</t>
  </si>
  <si>
    <t>C:\Users\franc\OneDrive\Documentos\MALENTIN KARIME\BANCO ESTADO\2012 DEPTO ESCRITURAS fata\Dc Simples\RESPALDO comp notaria 27_12_12\NOTARIA 2012\PODERES\MANDATO CAPEL Y COMPRAR CON FACTURA.doc</t>
  </si>
  <si>
    <t>C:\Users\franc\OneDrive\Documentos\MALENTIN KARIME\BANCO ESTADO\2012 DEPTO ESCRITURAS fata\Dc Simples\RESPALDO comp notaria 27_12_12\NOTARIA 2012\PODERES\MANDATO AFP RETIRO DE FINIQUITO.docx</t>
  </si>
  <si>
    <t>C:\Users\franc\OneDrive\Documentos\MALENTIN KARIME\BANCO ESTADO\2012 DEPTO ESCRITURAS fata\Dc Simples\RESPALDO comp notaria 27_12_12\NOTARIA 2012\PODERES\MAMI TERESA.doc</t>
  </si>
  <si>
    <t>C:\Users\franc\OneDrive\Documentos\MALENTIN KARIME\BANCO ESTADO\2012 DEPTO ESCRITURAS fata\Dc Simples\RESPALDO comp notaria 27_12_12\NOTARIA 2012\PODERES\LEYES LABORALES.doc</t>
  </si>
  <si>
    <t>C:\Users\franc\OneDrive\Documentos\MALENTIN KARIME\BANCO ESTADO\2012 DEPTO ESCRITURAS fata\Dc Simples\RESPALDO comp notaria 27_12_12\NOTARIA 2012\PODERES\LAYANA CASTILLO.doc</t>
  </si>
  <si>
    <t>C:\Users\franc\OneDrive\Documentos\MALENTIN KARIME\BANCO ESTADO\2012 DEPTO ESCRITURAS fata\Dc Simples\RESPALDO comp notaria 27_12_12\NOTARIA 2012\PODERES\KARIME.doc</t>
  </si>
  <si>
    <t>C:\Users\franc\OneDrive\Documentos\MALENTIN KARIME\BANCO ESTADO\2012 DEPTO ESCRITURAS fata\Dc Simples\RESPALDO comp notaria 27_12_12\NOTARIA 2012\PODERES\JUZGADO.doc</t>
  </si>
  <si>
    <t>C:\Users\franc\OneDrive\Documentos\MALENTIN KARIME\BANCO ESTADO\2012 DEPTO ESCRITURAS fata\Dc Simples\RESPALDO comp notaria 27_12_12\NOTARIA 2012\PODERES\JUZGADO PEDIMENTOS.doc</t>
  </si>
  <si>
    <t>C:\Users\franc\OneDrive\Documentos\MALENTIN KARIME\BANCO ESTADO\2012 DEPTO ESCRITURAS fata\Dc Simples\RESPALDO comp notaria 27_12_12\NOTARIA 2012\PODERES\JORGE CARVAJAL.doc</t>
  </si>
  <si>
    <t>C:\Users\franc\OneDrive\Documentos\MALENTIN KARIME\BANCO ESTADO\2012 DEPTO ESCRITURAS fata\Dc Simples\RESPALDO comp notaria 27_12_12\NOTARIA 2012\PODERES\JAVIER CORRAL.doc</t>
  </si>
  <si>
    <t>C:\Users\franc\OneDrive\Documentos\MALENTIN KARIME\BANCO ESTADO\2012 DEPTO ESCRITURAS fata\Dc Simples\RESPALDO comp notaria 27_12_12\NOTARIA 2012\PODERES\ISKRA.doc</t>
  </si>
  <si>
    <t>C:\Users\franc\OneDrive\Documentos\MALENTIN KARIME\BANCO ESTADO\2012 DEPTO ESCRITURAS fata\Dc Simples\RESPALDO comp notaria 27_12_12\NOTARIA 2012\PODERES\INSTALAR NEGOCIO.doc</t>
  </si>
  <si>
    <t>C:\Users\franc\OneDrive\Documentos\MALENTIN KARIME\BANCO ESTADO\2012 DEPTO ESCRITURAS fata\Dc Simples\RESPALDO comp notaria 27_12_12\NOTARIA 2012\PODERES\INSPECCION DEL TRABAJO.doc</t>
  </si>
  <si>
    <t>C:\Users\franc\OneDrive\Documentos\MALENTIN KARIME\BANCO ESTADO\2012 DEPTO ESCRITURAS fata\Dc Simples\RESPALDO comp notaria 27_12_12\NOTARIA 2012\PODERES\ING MODELO.doc</t>
  </si>
  <si>
    <t>C:\Users\franc\OneDrive\Documentos\MALENTIN KARIME\BANCO ESTADO\2012 DEPTO ESCRITURAS fata\Dc Simples\RESPALDO comp notaria 27_12_12\NOTARIA 2012\PODERES\INACAP.doc</t>
  </si>
  <si>
    <t>C:\Users\franc\OneDrive\Documentos\MALENTIN KARIME\BANCO ESTADO\2012 DEPTO ESCRITURAS fata\Dc Simples\RESPALDO comp notaria 27_12_12\NOTARIA 2012\PODERES\IMPUESTOS INTERNOS SUC..doc</t>
  </si>
  <si>
    <t>C:\Users\franc\OneDrive\Documentos\MALENTIN KARIME\BANCO ESTADO\2012 DEPTO ESCRITURAS fata\Dc Simples\RESPALDO comp notaria 27_12_12\NOTARIA 2012\PODERES\IMPUESTOS INTERNOS RCA.doc</t>
  </si>
  <si>
    <t>C:\Users\franc\OneDrive\Documentos\MALENTIN KARIME\BANCO ESTADO\2012 DEPTO ESCRITURAS fata\Dc Simples\RESPALDO comp notaria 27_12_12\NOTARIA 2012\PODERES\IMPUESTOS INTERNOS 1 PERS.sra Laura velasquez.doc</t>
  </si>
  <si>
    <t>C:\Users\franc\OneDrive\Documentos\MALENTIN KARIME\BANCO ESTADO\2012 DEPTO ESCRITURAS fata\Dc Simples\RESPALDO comp notaria 27_12_12\NOTARIA 2012\PODERES\IMPUESTOS INTERNOS 1 PERS..doc</t>
  </si>
  <si>
    <t>C:\Users\franc\OneDrive\Documentos\MALENTIN KARIME\BANCO ESTADO\2012 DEPTO ESCRITURAS fata\Dc Simples\RESPALDO comp notaria 27_12_12\NOTARIA 2012\PODERES\IMPUESTOS INTERNOS 1 PERS. termino de giro.doc</t>
  </si>
  <si>
    <t>C:\Users\franc\OneDrive\Documentos\MALENTIN KARIME\BANCO ESTADO\2012 DEPTO ESCRITURAS fata\Dc Simples\RESPALDO comp notaria 27_12_12\NOTARIA 2012\PODERES\IMPUESTOS INTERNOS 1 PERS. termino de giro  DE VEHICULO.doc</t>
  </si>
  <si>
    <t>C:\Users\franc\OneDrive\Documentos\MALENTIN KARIME\BANCO ESTADO\2012 DEPTO ESCRITURAS fata\Dc Simples\RESPALDO comp notaria 27_12_12\NOTARIA 2012\PODERES\IMPUESTOS INTERNOS 1 PERS. GUSTAVO.doc</t>
  </si>
  <si>
    <t>C:\Users\franc\OneDrive\Documentos\MALENTIN KARIME\BANCO ESTADO\2012 DEPTO ESCRITURAS fata\Dc Simples\RESPALDO comp notaria 27_12_12\NOTARIA 2012\PODERES\IMPUESTOS INTERNOS 1 PERS. CON REP.doc</t>
  </si>
  <si>
    <t>C:\Users\franc\OneDrive\Documentos\MALENTIN KARIME\BANCO ESTADO\2012 DEPTO ESCRITURAS fata\Dc Simples\RESPALDO comp notaria 27_12_12\NOTARIA 2012\PODERES\IMPUESTOS INTERNOS 1 PERS. CON REP TRAUMAMED.doc</t>
  </si>
  <si>
    <t>C:\Users\franc\OneDrive\Documentos\MALENTIN KARIME\BANCO ESTADO\2012 DEPTO ESCRITURAS fata\Dc Simples\RESPALDO comp notaria 27_12_12\NOTARIA 2012\PODERES\IMPUESTOS INTERNOS 1 PERS. CON REP EIRL.doc</t>
  </si>
  <si>
    <t>C:\Users\franc\OneDrive\Documentos\MALENTIN KARIME\BANCO ESTADO\2012 DEPTO ESCRITURAS fata\Dc Simples\RESPALDO comp notaria 27_12_12\NOTARIA 2012\PODERES\IMPUESTOS INTERNOS 1 PERS JUAN JOEL CLAVERIA.doc</t>
  </si>
  <si>
    <t>C:\Users\franc\OneDrive\Documentos\MALENTIN KARIME\BANCO ESTADO\2012 DEPTO ESCRITURAS fata\Dc Simples\RESPALDO comp notaria 27_12_12\NOTARIA 2012\PODERES\I. INTERNOS simple.doc</t>
  </si>
  <si>
    <t>C:\Users\franc\OneDrive\Documentos\MALENTIN KARIME\BANCO ESTADO\2012 DEPTO ESCRITURAS fata\Dc Simples\RESPALDO comp notaria 27_12_12\NOTARIA 2012\PODERES\I. INTERNOS Pedro.doc</t>
  </si>
  <si>
    <t>C:\Users\franc\OneDrive\Documentos\MALENTIN KARIME\BANCO ESTADO\2012 DEPTO ESCRITURAS fata\Dc Simples\RESPALDO comp notaria 27_12_12\NOTARIA 2012\PODERES\I. INTERNOS 4 PERS.doc</t>
  </si>
  <si>
    <t>C:\Users\franc\OneDrive\Documentos\MALENTIN KARIME\BANCO ESTADO\2012 DEPTO ESCRITURAS fata\Dc Simples\RESPALDO comp notaria 27_12_12\NOTARIA 2012\PODERES\I. INTERNOS 2 PERS.sierralta.doc</t>
  </si>
  <si>
    <t>C:\Users\franc\OneDrive\Documentos\MALENTIN KARIME\BANCO ESTADO\2012 DEPTO ESCRITURAS fata\Dc Simples\RESPALDO comp notaria 27_12_12\NOTARIA 2012\PODERES\I. INTERNOS 2 PERS..doc</t>
  </si>
  <si>
    <t>C:\Users\franc\OneDrive\Documentos\MALENTIN KARIME\BANCO ESTADO\2012 DEPTO ESCRITURAS fata\Dc Simples\RESPALDO comp notaria 27_12_12\NOTARIA 2012\PODERES\I. INTERNOS 2 PERS. ZEPEDA Y PEDRO.doc</t>
  </si>
  <si>
    <t>C:\Users\franc\OneDrive\Documentos\MALENTIN KARIME\BANCO ESTADO\2012 DEPTO ESCRITURAS fata\Dc Simples\RESPALDO comp notaria 27_12_12\NOTARIA 2012\PODERES\I. INTERNOS 2 PERS. ZAPATA.doc</t>
  </si>
  <si>
    <t>C:\Users\franc\OneDrive\Documentos\MALENTIN KARIME\BANCO ESTADO\2012 DEPTO ESCRITURAS fata\Dc Simples\RESPALDO comp notaria 27_12_12\NOTARIA 2012\PODERES\I. INTERNOS 2 PERS. zamorano.doc</t>
  </si>
  <si>
    <t>C:\Users\franc\OneDrive\Documentos\MALENTIN KARIME\BANCO ESTADO\2012 DEPTO ESCRITURAS fata\Dc Simples\RESPALDO comp notaria 27_12_12\NOTARIA 2012\PODERES\I. INTERNOS 2 PERS. YASNA GUERRA.doc</t>
  </si>
  <si>
    <t>C:\Users\franc\OneDrive\Documentos\MALENTIN KARIME\BANCO ESTADO\2012 DEPTO ESCRITURAS fata\Dc Simples\RESPALDO comp notaria 27_12_12\NOTARIA 2012\PODERES\I. INTERNOS 2 PERS. Lagunas Palacios.doc</t>
  </si>
  <si>
    <t>C:\Users\franc\OneDrive\Documentos\MALENTIN KARIME\BANCO ESTADO\2012 DEPTO ESCRITURAS fata\Dc Simples\RESPALDO comp notaria 27_12_12\NOTARIA 2012\PODERES\I. INTERNOS 2 PERS. KARINA ARAYA.doc</t>
  </si>
  <si>
    <t>C:\Users\franc\OneDrive\Documentos\MALENTIN KARIME\BANCO ESTADO\2012 DEPTO ESCRITURAS fata\Dc Simples\RESPALDO comp notaria 27_12_12\NOTARIA 2012\PODERES\I. INTERNOS 2 PERS. CAROLA PLAZA.doc</t>
  </si>
  <si>
    <t>C:\Users\franc\OneDrive\Documentos\MALENTIN KARIME\BANCO ESTADO\2012 DEPTO ESCRITURAS fata\Dc Simples\RESPALDO comp notaria 27_12_12\NOTARIA 2012\PODERES\I. INTERNOS 2 PERS. bahamondes.doc</t>
  </si>
  <si>
    <t>C:\Users\franc\OneDrive\Documentos\MALENTIN KARIME\BANCO ESTADO\2012 DEPTO ESCRITURAS fata\Dc Simples\RESPALDO comp notaria 27_12_12\NOTARIA 2012\PODERES\I. INTERNOS 2 PERS.  JOHANNA MARAMBIO.doc</t>
  </si>
  <si>
    <t>C:\Users\franc\OneDrive\Documentos\MALENTIN KARIME\BANCO ESTADO\2012 DEPTO ESCRITURAS fata\Dc Simples\RESPALDO comp notaria 27_12_12\NOTARIA 2012\PODERES\I. INTERNOS 1 PERS. IRIS MENARES.doc</t>
  </si>
  <si>
    <t>C:\Users\franc\OneDrive\Documentos\MALENTIN KARIME\BANCO ESTADO\2012 DEPTO ESCRITURAS fata\Dc Simples\RESPALDO comp notaria 27_12_12\NOTARIA 2012\PODERES\I. INTERNOS 1 PERS. HANFENG CHEN.doc</t>
  </si>
  <si>
    <t>C:\Users\franc\OneDrive\Documentos\MALENTIN KARIME\BANCO ESTADO\2012 DEPTO ESCRITURAS fata\Dc Simples\RESPALDO comp notaria 27_12_12\NOTARIA 2012\PODERES\I. INTERNOS 1 PERS. GLORIA CORTES.doc</t>
  </si>
  <si>
    <t>C:\Users\franc\OneDrive\Documentos\MALENTIN KARIME\BANCO ESTADO\2012 DEPTO ESCRITURAS fata\Dc Simples\RESPALDO comp notaria 27_12_12\NOTARIA 2012\PODERES\I. INTERNOS 1 PERS. FRESIA ROJAS.doc</t>
  </si>
  <si>
    <t>C:\Users\franc\OneDrive\Documentos\MALENTIN KARIME\BANCO ESTADO\2012 DEPTO ESCRITURAS fata\Dc Simples\RESPALDO comp notaria 27_12_12\NOTARIA 2012\PODERES\I. INTERNOS 1 PERS. FILOMENA CASTILLO.doc</t>
  </si>
  <si>
    <t>C:\Users\franc\OneDrive\Documentos\MALENTIN KARIME\BANCO ESTADO\2012 DEPTO ESCRITURAS fata\Dc Simples\RESPALDO comp notaria 27_12_12\NOTARIA 2012\PODERES\I. INTERNOS 1 PERS.  DR. SLATER.doc</t>
  </si>
  <si>
    <t>C:\Users\franc\OneDrive\Documentos\MALENTIN KARIME\BANCO ESTADO\2012 DEPTO ESCRITURAS fata\Dc Simples\RESPALDO comp notaria 27_12_12\NOTARIA 2012\PODERES\I. INTERNOS 1 PERS.  DR. SLATER X SOC.doc</t>
  </si>
  <si>
    <t>C:\Users\franc\OneDrive\Documentos\MALENTIN KARIME\BANCO ESTADO\2012 DEPTO ESCRITURAS fata\Dc Simples\RESPALDO comp notaria 27_12_12\NOTARIA 2012\PODERES\HNOS. MILLAHUALA LTDA..doc</t>
  </si>
  <si>
    <t>C:\Users\franc\OneDrive\Documentos\MALENTIN KARIME\BANCO ESTADO\2012 DEPTO ESCRITURAS fata\Dc Simples\RESPALDO comp notaria 27_12_12\NOTARIA 2012\PODERES\HECHIZO.doc</t>
  </si>
  <si>
    <t>C:\Users\franc\OneDrive\Documentos\MALENTIN KARIME\BANCO ESTADO\2012 DEPTO ESCRITURAS fata\Dc Simples\RESPALDO comp notaria 27_12_12\NOTARIA 2012\PODERES\GISPERT LTDA..doc</t>
  </si>
  <si>
    <t>C:\Users\franc\OneDrive\Documentos\MALENTIN KARIME\BANCO ESTADO\2012 DEPTO ESCRITURAS fata\Dc Simples\RESPALDO comp notaria 27_12_12\NOTARIA 2012\PODERES\GIRO FALLECIDO.doc</t>
  </si>
  <si>
    <t>C:\Users\franc\OneDrive\Documentos\MALENTIN KARIME\BANCO ESTADO\2012 DEPTO ESCRITURAS fata\Dc Simples\RESPALDO comp notaria 27_12_12\NOTARIA 2012\PODERES\FORMATO.doc</t>
  </si>
  <si>
    <t>C:\Users\franc\OneDrive\Documentos\MALENTIN KARIME\BANCO ESTADO\2012 DEPTO ESCRITURAS fata\Dc Simples\RESPALDO comp notaria 27_12_12\NOTARIA 2012\PODERES\FINIQUITO COMPLETO CARTA PODER.doc</t>
  </si>
  <si>
    <t>C:\Users\franc\OneDrive\Documentos\MALENTIN KARIME\BANCO ESTADO\2012 DEPTO ESCRITURAS fata\Dc Simples\RESPALDO comp notaria 27_12_12\NOTARIA 2012\PODERES\FACTURACION.doc</t>
  </si>
  <si>
    <t>C:\Users\franc\OneDrive\Documentos\MALENTIN KARIME\BANCO ESTADO\2012 DEPTO ESCRITURAS fata\Dc Simples\RESPALDO comp notaria 27_12_12\NOTARIA 2012\PODERES\EXPROPIACION.doc</t>
  </si>
  <si>
    <t>C:\Users\franc\OneDrive\Documentos\MALENTIN KARIME\BANCO ESTADO\2012 DEPTO ESCRITURAS fata\Dc Simples\RESPALDO comp notaria 27_12_12\NOTARIA 2012\PODERES\EXPROPIACION VARIOS.doc</t>
  </si>
  <si>
    <t>C:\Users\franc\OneDrive\Documentos\MALENTIN KARIME\BANCO ESTADO\2012 DEPTO ESCRITURAS fata\Dc Simples\RESPALDO comp notaria 27_12_12\NOTARIA 2012\PODERES\ENTABLAR DEMANDA.doc</t>
  </si>
  <si>
    <t>C:\Users\franc\OneDrive\Documentos\MALENTIN KARIME\BANCO ESTADO\2012 DEPTO ESCRITURAS fata\Dc Simples\RESPALDO comp notaria 27_12_12\NOTARIA 2012\PODERES\ENELSA REUNIONES.doc</t>
  </si>
  <si>
    <t>C:\Users\franc\OneDrive\Documentos\MALENTIN KARIME\BANCO ESTADO\2012 DEPTO ESCRITURAS fata\Dc Simples\RESPALDO comp notaria 27_12_12\NOTARIA 2012\PODERES\ENELSA otros.doc</t>
  </si>
  <si>
    <t>C:\Users\franc\OneDrive\Documentos\MALENTIN KARIME\BANCO ESTADO\2012 DEPTO ESCRITURAS fata\Dc Simples\RESPALDO comp notaria 27_12_12\NOTARIA 2012\PODERES\ENAMI.doc</t>
  </si>
  <si>
    <t>C:\Users\franc\OneDrive\Documentos\MALENTIN KARIME\BANCO ESTADO\2012 DEPTO ESCRITURAS fata\Dc Simples\RESPALDO comp notaria 27_12_12\NOTARIA 2012\PODERES\ENAMI y otros.doc</t>
  </si>
  <si>
    <t>C:\Users\franc\OneDrive\Documentos\MALENTIN KARIME\BANCO ESTADO\2012 DEPTO ESCRITURAS fata\Dc Simples\RESPALDO comp notaria 27_12_12\NOTARIA 2012\PODERES\ENAMI muestreo.doc</t>
  </si>
  <si>
    <t>C:\Users\franc\OneDrive\Documentos\MALENTIN KARIME\BANCO ESTADO\2012 DEPTO ESCRITURAS fata\Dc Simples\RESPALDO comp notaria 27_12_12\NOTARIA 2012\PODERES\ENAMI informacion.doc</t>
  </si>
  <si>
    <t>C:\Users\franc\OneDrive\Documentos\MALENTIN KARIME\BANCO ESTADO\2012 DEPTO ESCRITURAS fata\Dc Simples\RESPALDO comp notaria 27_12_12\NOTARIA 2012\PODERES\DESALOJO PROPIEDAD USURPADA.doc</t>
  </si>
  <si>
    <t>C:\Users\franc\OneDrive\Documentos\MALENTIN KARIME\BANCO ESTADO\2012 DEPTO ESCRITURAS fata\Dc Simples\RESPALDO comp notaria 27_12_12\NOTARIA 2012\PODERES\DESALOJAR.doc</t>
  </si>
  <si>
    <t>C:\Users\franc\OneDrive\Documentos\MALENTIN KARIME\BANCO ESTADO\2012 DEPTO ESCRITURAS fata\Dc Simples\RESPALDO comp notaria 27_12_12\NOTARIA 2012\PODERES\DEPOSITOS A PLAZOS.doc</t>
  </si>
  <si>
    <t>C:\Users\franc\OneDrive\Documentos\MALENTIN KARIME\BANCO ESTADO\2012 DEPTO ESCRITURAS fata\Dc Simples\RESPALDO comp notaria 27_12_12\NOTARIA 2012\PODERES\DEPOSITOS A PLAZOS NOTARIA.doc</t>
  </si>
  <si>
    <t>C:\Users\franc\OneDrive\Documentos\MALENTIN KARIME\BANCO ESTADO\2012 DEPTO ESCRITURAS fata\Dc Simples\RESPALDO comp notaria 27_12_12\NOTARIA 2012\PODERES\CUERPO EMBALSE PALOMA.doc</t>
  </si>
  <si>
    <t>C:\Users\franc\OneDrive\Documentos\MALENTIN KARIME\BANCO ESTADO\2012 DEPTO ESCRITURAS fata\Dc Simples\RESPALDO comp notaria 27_12_12\NOTARIA 2012\PODERES\CREDICHILE.doc</t>
  </si>
  <si>
    <t>C:\Users\franc\OneDrive\Documentos\MALENTIN KARIME\BANCO ESTADO\2012 DEPTO ESCRITURAS fata\Dc Simples\RESPALDO comp notaria 27_12_12\NOTARIA 2012\PODERES\COVALSA.doc</t>
  </si>
  <si>
    <t>C:\Users\franc\OneDrive\Documentos\MALENTIN KARIME\BANCO ESTADO\2012 DEPTO ESCRITURAS fata\Dc Simples\RESPALDO comp notaria 27_12_12\NOTARIA 2012\PODERES\CONTROL PISQUERO.doc</t>
  </si>
  <si>
    <t>C:\Users\franc\OneDrive\Documentos\MALENTIN KARIME\BANCO ESTADO\2012 DEPTO ESCRITURAS fata\Dc Simples\RESPALDO comp notaria 27_12_12\NOTARIA 2012\PODERES\COMUNIDAD AGRICOLA LA VERDIONA.doc</t>
  </si>
  <si>
    <t>C:\Users\franc\OneDrive\Documentos\MALENTIN KARIME\BANCO ESTADO\2012 DEPTO ESCRITURAS fata\Dc Simples\RESPALDO comp notaria 27_12_12\NOTARIA 2012\PODERES\COMUNEROS.doc</t>
  </si>
  <si>
    <t>C:\Users\franc\OneDrive\Documentos\MALENTIN KARIME\BANCO ESTADO\2012 DEPTO ESCRITURAS fata\Dc Simples\RESPALDO comp notaria 27_12_12\NOTARIA 2012\PODERES\COMUNEROS varios.doc</t>
  </si>
  <si>
    <t>C:\Users\franc\OneDrive\Documentos\MALENTIN KARIME\BANCO ESTADO\2012 DEPTO ESCRITURAS fata\Dc Simples\RESPALDO comp notaria 27_12_12\NOTARIA 2012\PODERES\COMUNEROS con posesion efectiva.doc</t>
  </si>
  <si>
    <t>C:\Users\franc\OneDrive\Documentos\MALENTIN KARIME\BANCO ESTADO\2012 DEPTO ESCRITURAS fata\Dc Simples\RESPALDO comp notaria 27_12_12\NOTARIA 2012\PODERES\COMPRAR VEHÍCULO completo.doc</t>
  </si>
  <si>
    <t>C:\Users\franc\OneDrive\Documentos\MALENTIN KARIME\BANCO ESTADO\2012 DEPTO ESCRITURAS fata\Dc Simples\RESPALDO comp notaria 27_12_12\NOTARIA 2012\PODERES\COMPRAR TIROS.doc</t>
  </si>
  <si>
    <t>C:\Users\franc\OneDrive\Documentos\MALENTIN KARIME\BANCO ESTADO\2012 DEPTO ESCRITURAS fata\Dc Simples\RESPALDO comp notaria 27_12_12\NOTARIA 2012\PODERES\COMPRA VEHICULO.doc</t>
  </si>
  <si>
    <t>C:\Users\franc\OneDrive\Documentos\MALENTIN KARIME\BANCO ESTADO\2012 DEPTO ESCRITURAS fata\Dc Simples\RESPALDO comp notaria 27_12_12\NOTARIA 2012\PODERES\COMPIN.doc</t>
  </si>
  <si>
    <t>C:\Users\franc\OneDrive\Documentos\MALENTIN KARIME\BANCO ESTADO\2012 DEPTO ESCRITURAS fata\Dc Simples\RESPALDO comp notaria 27_12_12\NOTARIA 2012\PODERES\COMITE PROCASA.doc</t>
  </si>
  <si>
    <t>C:\Users\franc\OneDrive\Documentos\MALENTIN KARIME\BANCO ESTADO\2012 DEPTO ESCRITURAS fata\Dc Simples\RESPALDO comp notaria 27_12_12\NOTARIA 2012\PODERES\COMERCIO AMBULANTE.doc</t>
  </si>
  <si>
    <t>C:\Users\franc\OneDrive\Documentos\MALENTIN KARIME\BANCO ESTADO\2012 DEPTO ESCRITURAS fata\Dc Simples\RESPALDO comp notaria 27_12_12\NOTARIA 2012\PODERES\COBRO CUOTA MORTUORIA.doc</t>
  </si>
  <si>
    <t>C:\Users\franc\OneDrive\Documentos\MALENTIN KARIME\BANCO ESTADO\2012 DEPTO ESCRITURAS fata\Dc Simples\RESPALDO comp notaria 27_12_12\NOTARIA 2012\PODERES\COBRAR SEGURO.doc</t>
  </si>
  <si>
    <t>C:\Users\franc\OneDrive\Documentos\MALENTIN KARIME\BANCO ESTADO\2012 DEPTO ESCRITURAS fata\Dc Simples\RESPALDO comp notaria 27_12_12\NOTARIA 2012\PODERES\COBRAR SEGURO CESANTIA.doc</t>
  </si>
  <si>
    <t>C:\Users\franc\OneDrive\Documentos\MALENTIN KARIME\BANCO ESTADO\2012 DEPTO ESCRITURAS fata\Dc Simples\RESPALDO comp notaria 27_12_12\NOTARIA 2012\PODERES\COBRAR PAGO PENSION.doc</t>
  </si>
  <si>
    <t>C:\Users\franc\OneDrive\Documentos\MALENTIN KARIME\BANCO ESTADO\2012 DEPTO ESCRITURAS fata\Dc Simples\RESPALDO comp notaria 27_12_12\NOTARIA 2012\PODERES\COBRAR PAGO PENSION Herman Aguileradoc.doc</t>
  </si>
  <si>
    <t>C:\Users\franc\OneDrive\Documentos\MALENTIN KARIME\BANCO ESTADO\2012 DEPTO ESCRITURAS fata\Dc Simples\RESPALDO comp notaria 27_12_12\NOTARIA 2012\PODERES\cobrar jubilacion con huella.doc</t>
  </si>
  <si>
    <t>C:\Users\franc\OneDrive\Documentos\MALENTIN KARIME\BANCO ESTADO\2012 DEPTO ESCRITURAS fata\Dc Simples\RESPALDO comp notaria 27_12_12\NOTARIA 2012\PODERES\cobrar jubilacion con huella abuela sabina.doc</t>
  </si>
  <si>
    <t>C:\Users\franc\OneDrive\Documentos\MALENTIN KARIME\BANCO ESTADO\2012 DEPTO ESCRITURAS fata\Dc Simples\RESPALDO comp notaria 27_12_12\NOTARIA 2012\PODERES\COBRAR bono por hijo.doc</t>
  </si>
  <si>
    <t>C:\Users\franc\OneDrive\Documentos\MALENTIN KARIME\BANCO ESTADO\2012 DEPTO ESCRITURAS fata\Dc Simples\RESPALDO comp notaria 27_12_12\NOTARIA 2012\PODERES\CLINDIGO.doc</t>
  </si>
  <si>
    <t>C:\Users\franc\OneDrive\Documentos\MALENTIN KARIME\BANCO ESTADO\2012 DEPTO ESCRITURAS fata\Dc Simples\RESPALDO comp notaria 27_12_12\NOTARIA 2012\PODERES\CESION DE DERECHOS Elecoop.doc</t>
  </si>
  <si>
    <t>C:\Users\franc\OneDrive\Documentos\MALENTIN KARIME\BANCO ESTADO\2012 DEPTO ESCRITURAS fata\Dc Simples\RESPALDO comp notaria 27_12_12\NOTARIA 2012\PODERES\CARTA RETIRO CHEQUES.doc</t>
  </si>
  <si>
    <t>C:\Users\franc\OneDrive\Documentos\MALENTIN KARIME\BANCO ESTADO\2012 DEPTO ESCRITURAS fata\Dc Simples\RESPALDO comp notaria 27_12_12\NOTARIA 2012\PODERES\CARTA PODER.doc</t>
  </si>
  <si>
    <t>C:\Users\franc\OneDrive\Documentos\MALENTIN KARIME\BANCO ESTADO\2012 DEPTO ESCRITURAS fata\Dc Simples\RESPALDO comp notaria 27_12_12\NOTARIA 2012\PODERES\CARTA PODER. ADMINISTRA CASAdoc.doc</t>
  </si>
  <si>
    <t>C:\Users\franc\OneDrive\Documentos\MALENTIN KARIME\BANCO ESTADO\2012 DEPTO ESCRITURAS fata\Dc Simples\RESPALDO comp notaria 27_12_12\NOTARIA 2012\PODERES\CARTA PODER SEGURO.doc</t>
  </si>
  <si>
    <t>C:\Users\franc\OneDrive\Documentos\MALENTIN KARIME\BANCO ESTADO\2012 DEPTO ESCRITURAS fata\Dc Simples\RESPALDO comp notaria 27_12_12\NOTARIA 2012\PODERES\CARTA PODER MANEJAR.doc</t>
  </si>
  <si>
    <t>C:\Users\franc\OneDrive\Documentos\MALENTIN KARIME\BANCO ESTADO\2012 DEPTO ESCRITURAS fata\Dc Simples\RESPALDO comp notaria 27_12_12\NOTARIA 2012\PODERES\CARTA PODER LICENCIA.doc</t>
  </si>
  <si>
    <t>C:\Users\franc\OneDrive\Documentos\MALENTIN KARIME\BANCO ESTADO\2012 DEPTO ESCRITURAS fata\Dc Simples\RESPALDO comp notaria 27_12_12\NOTARIA 2012\PODERES\CARTA PODER LICENCIA 2.doc</t>
  </si>
  <si>
    <t>C:\Users\franc\OneDrive\Documentos\MALENTIN KARIME\BANCO ESTADO\2012 DEPTO ESCRITURAS fata\Dc Simples\RESPALDO comp notaria 27_12_12\NOTARIA 2012\PODERES\CARTA PODER EN REP..doc</t>
  </si>
  <si>
    <t>C:\Users\franc\OneDrive\Documentos\MALENTIN KARIME\BANCO ESTADO\2012 DEPTO ESCRITURAS fata\Dc Simples\RESPALDO comp notaria 27_12_12\NOTARIA 2012\PODERES\CARTA PODER COMPING.doc</t>
  </si>
  <si>
    <t>C:\Users\franc\OneDrive\Documentos\MALENTIN KARIME\BANCO ESTADO\2012 DEPTO ESCRITURAS fata\Dc Simples\RESPALDO comp notaria 27_12_12\NOTARIA 2012\PODERES\CARTA PODER CEMENTERIO.doc</t>
  </si>
  <si>
    <t>C:\Users\franc\OneDrive\Documentos\MALENTIN KARIME\BANCO ESTADO\2012 DEPTO ESCRITURAS fata\Dc Simples\RESPALDO comp notaria 27_12_12\NOTARIA 2012\PODERES\CARTA PODER CEMENTERIO MODELO 2.doc</t>
  </si>
  <si>
    <t>C:\Users\franc\OneDrive\Documentos\MALENTIN KARIME\BANCO ESTADO\2012 DEPTO ESCRITURAS fata\Dc Simples\RESPALDO comp notaria 27_12_12\NOTARIA 2012\PODERES\CAPEL.doc</t>
  </si>
  <si>
    <t>C:\Users\franc\OneDrive\Documentos\MALENTIN KARIME\BANCO ESTADO\2012 DEPTO ESCRITURAS fata\Dc Simples\RESPALDO comp notaria 27_12_12\NOTARIA 2012\PODERES\CAPEL SUC..doc</t>
  </si>
  <si>
    <t>C:\Users\franc\OneDrive\Documentos\MALENTIN KARIME\BANCO ESTADO\2012 DEPTO ESCRITURAS fata\Dc Simples\RESPALDO comp notaria 27_12_12\NOTARIA 2012\PODERES\CAMBIO NOMBRE.doc</t>
  </si>
  <si>
    <t>C:\Users\franc\OneDrive\Documentos\MALENTIN KARIME\BANCO ESTADO\2012 DEPTO ESCRITURAS fata\Dc Simples\RESPALDO comp notaria 27_12_12\NOTARIA 2012\PODERES\CAMBIO DE ROL.doc</t>
  </si>
  <si>
    <t>C:\Users\franc\OneDrive\Documentos\MALENTIN KARIME\BANCO ESTADO\2012 DEPTO ESCRITURAS fata\Dc Simples\RESPALDO comp notaria 27_12_12\NOTARIA 2012\PODERES\BANCO SCOTIABANK.doc</t>
  </si>
  <si>
    <t>C:\Users\franc\OneDrive\Documentos\MALENTIN KARIME\BANCO ESTADO\2012 DEPTO ESCRITURAS fata\Dc Simples\RESPALDO comp notaria 27_12_12\NOTARIA 2012\PODERES\BANCO SCOTIABANK rep.doc</t>
  </si>
  <si>
    <t>C:\Users\franc\OneDrive\Documentos\MALENTIN KARIME\BANCO ESTADO\2012 DEPTO ESCRITURAS fata\Dc Simples\RESPALDO comp notaria 27_12_12\NOTARIA 2012\PODERES\BANCO SANTANDER.doc</t>
  </si>
  <si>
    <t>C:\Users\franc\OneDrive\Documentos\MALENTIN KARIME\BANCO ESTADO\2012 DEPTO ESCRITURAS fata\Dc Simples\RESPALDO comp notaria 27_12_12\NOTARIA 2012\PODERES\BANCO SANTANDER soc..doc</t>
  </si>
  <si>
    <t>C:\Users\franc\OneDrive\Documentos\MALENTIN KARIME\BANCO ESTADO\2012 DEPTO ESCRITURAS fata\Dc Simples\RESPALDO comp notaria 27_12_12\NOTARIA 2012\PODERES\BANCO SANTANDER EIRL.doc</t>
  </si>
  <si>
    <t>C:\Users\franc\OneDrive\Documentos\MALENTIN KARIME\BANCO ESTADO\2012 DEPTO ESCRITURAS fata\Dc Simples\RESPALDO comp notaria 27_12_12\NOTARIA 2012\PODERES\BANCO SANTANDER Comite.doc</t>
  </si>
  <si>
    <t>C:\Users\franc\OneDrive\Documentos\MALENTIN KARIME\BANCO ESTADO\2012 DEPTO ESCRITURAS fata\Dc Simples\RESPALDO comp notaria 27_12_12\NOTARIA 2012\PODERES\BANCO SANTANDER COBRAR SUELDO.doc</t>
  </si>
  <si>
    <t>C:\Users\franc\OneDrive\Documentos\MALENTIN KARIME\BANCO ESTADO\2012 DEPTO ESCRITURAS fata\Dc Simples\RESPALDO comp notaria 27_12_12\NOTARIA 2012\PODERES\BANCO SANTANDER Alcones.doc</t>
  </si>
  <si>
    <t>C:\Users\franc\OneDrive\Documentos\MALENTIN KARIME\BANCO ESTADO\2012 DEPTO ESCRITURAS fata\Dc Simples\RESPALDO comp notaria 27_12_12\NOTARIA 2012\PODERES\BANCO ESTADO.doc</t>
  </si>
  <si>
    <t>C:\Users\franc\OneDrive\Documentos\MALENTIN KARIME\BANCO ESTADO\2012 DEPTO ESCRITURAS fata\Dc Simples\RESPALDO comp notaria 27_12_12\NOTARIA 2012\PODERES\BANCO ESTADO completo.doc</t>
  </si>
  <si>
    <t>C:\Users\franc\OneDrive\Documentos\MALENTIN KARIME\BANCO ESTADO\2012 DEPTO ESCRITURAS fata\Dc Simples\RESPALDO comp notaria 27_12_12\NOTARIA 2012\PODERES\BANCO ESTADO aut. soc conyugal.doc</t>
  </si>
  <si>
    <t>C:\Users\franc\OneDrive\Documentos\MALENTIN KARIME\BANCO ESTADO\2012 DEPTO ESCRITURAS fata\Dc Simples\RESPALDO comp notaria 27_12_12\NOTARIA 2012\PODERES\banco bbva, cobrar fondo pension.doc</t>
  </si>
  <si>
    <t>C:\Users\franc\OneDrive\Documentos\MALENTIN KARIME\BANCO ESTADO\2012 DEPTO ESCRITURAS fata\Dc Simples\RESPALDO comp notaria 27_12_12\NOTARIA 2012\PODERES\autoridad fiscalizadora patricio.doc</t>
  </si>
  <si>
    <t>C:\Users\franc\OneDrive\Documentos\MALENTIN KARIME\BANCO ESTADO\2012 DEPTO ESCRITURAS fata\Dc Simples\RESPALDO comp notaria 27_12_12\NOTARIA 2012\PODERES\ASISTIR  A REUNION.doc</t>
  </si>
  <si>
    <t>C:\Users\franc\OneDrive\Documentos\MALENTIN KARIME\BANCO ESTADO\2012 DEPTO ESCRITURAS fata\Dc Simples\RESPALDO comp notaria 27_12_12\NOTARIA 2012\PODERES\ASISTIR  A REUNION COLECTIVO.doc</t>
  </si>
  <si>
    <t>C:\Users\franc\OneDrive\Documentos\MALENTIN KARIME\BANCO ESTADO\2012 DEPTO ESCRITURAS fata\Dc Simples\RESPALDO comp notaria 27_12_12\NOTARIA 2012\PODERES\ARRENDAR Y POST. SUBSIDIOS.doc</t>
  </si>
  <si>
    <t>C:\Users\franc\OneDrive\Documentos\MALENTIN KARIME\BANCO ESTADO\2012 DEPTO ESCRITURAS fata\Dc Simples\RESPALDO comp notaria 27_12_12\NOTARIA 2012\PODERES\ARRENDAR VEHICULO.doc</t>
  </si>
  <si>
    <t>C:\Users\franc\OneDrive\Documentos\MALENTIN KARIME\BANCO ESTADO\2012 DEPTO ESCRITURAS fata\Dc Simples\RESPALDO comp notaria 27_12_12\NOTARIA 2012\PODERES\ARR. PROPIEDADES dos.doc</t>
  </si>
  <si>
    <t>C:\Users\franc\OneDrive\Documentos\MALENTIN KARIME\BANCO ESTADO\2012 DEPTO ESCRITURAS fata\Dc Simples\RESPALDO comp notaria 27_12_12\NOTARIA 2012\PODERES\ARR. PROPIEDADES COMPLETO.doc</t>
  </si>
  <si>
    <t>C:\Users\franc\OneDrive\Documentos\MALENTIN KARIME\BANCO ESTADO\2012 DEPTO ESCRITURAS fata\Dc Simples\RESPALDO comp notaria 27_12_12\NOTARIA 2012\PODERES\ARR. PROPIEDAD.doc</t>
  </si>
  <si>
    <t>C:\Users\franc\OneDrive\Documentos\MALENTIN KARIME\BANCO ESTADO\2012 DEPTO ESCRITURAS fata\Dc Simples\RESPALDO comp notaria 27_12_12\NOTARIA 2012\PODERES\ARR. PROP Y OTRAS FACULT..doc</t>
  </si>
  <si>
    <t>C:\Users\franc\OneDrive\Documentos\MALENTIN KARIME\BANCO ESTADO\2012 DEPTO ESCRITURAS fata\Dc Simples\RESPALDO comp notaria 27_12_12\NOTARIA 2012\PODERES\ARMANDO SALAMANCA.doc</t>
  </si>
  <si>
    <t>C:\Users\franc\OneDrive\Documentos\MALENTIN KARIME\BANCO ESTADO\2012 DEPTO ESCRITURAS fata\Dc Simples\RESPALDO comp notaria 27_12_12\NOTARIA 2012\PODERES\ARMANDO SALAMANCA MOTO.doc</t>
  </si>
  <si>
    <t>C:\Users\franc\OneDrive\Documentos\MALENTIN KARIME\BANCO ESTADO\2012 DEPTO ESCRITURAS fata\Dc Simples\RESPALDO comp notaria 27_12_12\NOTARIA 2012\PODERES\araya rojas.doc</t>
  </si>
  <si>
    <t>C:\Users\franc\OneDrive\Documentos\MALENTIN KARIME\BANCO ESTADO\2012 DEPTO ESCRITURAS fata\Dc Simples\RESPALDO comp notaria 27_12_12\NOTARIA 2012\PODERES\ADUANA.doc</t>
  </si>
  <si>
    <t>C:\Users\franc\OneDrive\Documentos\MALENTIN KARIME\BANCO ESTADO\2012 DEPTO ESCRITURAS fata\Dc Simples\RESPALDO comp notaria 27_12_12\NOTARIA 2012\PODERES\ADMINISTRACION VEHICULO.doc</t>
  </si>
  <si>
    <t>C:\Users\franc\OneDrive\Documentos\MALENTIN KARIME\BANCO ESTADO\2012 DEPTO ESCRITURAS fata\Dc Simples\RESPALDO comp notaria 27_12_12\NOTARIA 2012\PODERES\ADMINISTRACION VEHICULO ITALO.doc</t>
  </si>
  <si>
    <t>C:\Users\franc\OneDrive\Documentos\MALENTIN KARIME\BANCO ESTADO\2012 DEPTO ESCRITURAS fata\Dc Simples\RESPALDO comp notaria 27_12_12\NOTARIA 2012\PODERES\ADMINISTRACION BUSES.doc</t>
  </si>
  <si>
    <t>C:\Users\franc\OneDrive\Documentos\MALENTIN KARIME\BANCO ESTADO\2012 DEPTO ESCRITURAS fata\Dc Simples\RESPALDO comp notaria 27_12_12\NOTARIA 2012\PODERES\000.doc</t>
  </si>
  <si>
    <t>C:\Users\franc\OneDrive\Documentos\MALENTIN KARIME\BANCO ESTADO\2012 DEPTO ESCRITURAS fata\Dc Simples\RESPALDO comp notaria 27_12_12\NOTARIA 2012\PERSONERÍAS\YUM YUM LTDA..doc</t>
  </si>
  <si>
    <t>C:\Users\franc\OneDrive\Documentos\MALENTIN KARIME\BANCO ESTADO\2012 DEPTO ESCRITURAS fata\Dc Simples\RESPALDO comp notaria 27_12_12\NOTARIA 2012\PERSONERÍAS\XENIT.doc</t>
  </si>
  <si>
    <t>C:\Users\franc\OneDrive\Documentos\MALENTIN KARIME\BANCO ESTADO\2012 DEPTO ESCRITURAS fata\Dc Simples\RESPALDO comp notaria 27_12_12\NOTARIA 2012\PERSONERÍAS\VIÑA FRANCISCO DE AGUIRRE S.A..doc</t>
  </si>
  <si>
    <t>C:\Users\franc\OneDrive\Documentos\MALENTIN KARIME\BANCO ESTADO\2012 DEPTO ESCRITURAS fata\Dc Simples\RESPALDO comp notaria 27_12_12\NOTARIA 2012\PERSONERÍAS\VINKO E.I.R.L..doc</t>
  </si>
  <si>
    <t>C:\Users\franc\OneDrive\Documentos\MALENTIN KARIME\BANCO ESTADO\2012 DEPTO ESCRITURAS fata\Dc Simples\RESPALDO comp notaria 27_12_12\NOTARIA 2012\PERSONERÍAS\VIENTO NORTE LTDA..doc</t>
  </si>
  <si>
    <t>C:\Users\franc\OneDrive\Documentos\MALENTIN KARIME\BANCO ESTADO\2012 DEPTO ESCRITURAS fata\Dc Simples\RESPALDO comp notaria 27_12_12\NOTARIA 2012\PERSONERÍAS\VH MAQUINARIAS LTDA..doc</t>
  </si>
  <si>
    <t>C:\Users\franc\OneDrive\Documentos\MALENTIN KARIME\BANCO ESTADO\2012 DEPTO ESCRITURAS fata\Dc Simples\RESPALDO comp notaria 27_12_12\NOTARIA 2012\PERSONERÍAS\VELCA LTDA..doc</t>
  </si>
  <si>
    <t>C:\Users\franc\OneDrive\Documentos\MALENTIN KARIME\BANCO ESTADO\2012 DEPTO ESCRITURAS fata\Dc Simples\RESPALDO comp notaria 27_12_12\NOTARIA 2012\PERSONERÍAS\VALLE SALUD LTDA..doc</t>
  </si>
  <si>
    <t>C:\Users\franc\OneDrive\Documentos\MALENTIN KARIME\BANCO ESTADO\2012 DEPTO ESCRITURAS fata\Dc Simples\RESPALDO comp notaria 27_12_12\NOTARIA 2012\PERSONERÍAS\VALLE LIMARI S.A..doc</t>
  </si>
  <si>
    <t>C:\Users\franc\OneDrive\Documentos\MALENTIN KARIME\BANCO ESTADO\2012 DEPTO ESCRITURAS fata\Dc Simples\RESPALDO comp notaria 27_12_12\NOTARIA 2012\PERSONERÍAS\UGARTE Y SCOTT S.A..doc</t>
  </si>
  <si>
    <t>C:\Users\franc\OneDrive\Documentos\MALENTIN KARIME\BANCO ESTADO\2012 DEPTO ESCRITURAS fata\Dc Simples\RESPALDO comp notaria 27_12_12\NOTARIA 2012\PERSONERÍAS\TV CABLE COLOR S.A..doc</t>
  </si>
  <si>
    <t>C:\Users\franc\OneDrive\Documentos\MALENTIN KARIME\BANCO ESTADO\2012 DEPTO ESCRITURAS fata\Dc Simples\RESPALDO comp notaria 27_12_12\NOTARIA 2012\PERSONERÍAS\TRES HNAS. LTDA..doc</t>
  </si>
  <si>
    <t>C:\Users\franc\OneDrive\Documentos\MALENTIN KARIME\BANCO ESTADO\2012 DEPTO ESCRITURAS fata\Dc Simples\RESPALDO comp notaria 27_12_12\NOTARIA 2012\PERSONERÍAS\TRANSPORTES Y SERVICIOS SIBERIA LTDA..doc</t>
  </si>
  <si>
    <t>C:\Users\franc\OneDrive\Documentos\MALENTIN KARIME\BANCO ESTADO\2012 DEPTO ESCRITURAS fata\Dc Simples\RESPALDO comp notaria 27_12_12\NOTARIA 2012\PERSONERÍAS\TRANSPORTES SEM LTDA..doc</t>
  </si>
  <si>
    <t>C:\Users\franc\OneDrive\Documentos\MALENTIN KARIME\BANCO ESTADO\2012 DEPTO ESCRITURAS fata\Dc Simples\RESPALDO comp notaria 27_12_12\NOTARIA 2012\PERSONERÍAS\TRANSPORTES SAN JUAN LTDA..doc</t>
  </si>
  <si>
    <t>C:\Users\franc\OneDrive\Documentos\MALENTIN KARIME\BANCO ESTADO\2012 DEPTO ESCRITURAS fata\Dc Simples\RESPALDO comp notaria 27_12_12\NOTARIA 2012\PERSONERÍAS\TRANSPORTES POLANCO LTDA..doc</t>
  </si>
  <si>
    <t>C:\Users\franc\OneDrive\Documentos\MALENTIN KARIME\BANCO ESTADO\2012 DEPTO ESCRITURAS fata\Dc Simples\RESPALDO comp notaria 27_12_12\NOTARIA 2012\PERSONERÍAS\TRANSPORTES PATRICIO GUZMAN.doc</t>
  </si>
  <si>
    <t>C:\Users\franc\OneDrive\Documentos\MALENTIN KARIME\BANCO ESTADO\2012 DEPTO ESCRITURAS fata\Dc Simples\RESPALDO comp notaria 27_12_12\NOTARIA 2012\PERSONERÍAS\TRANSPORTES DABED LTDA.doc</t>
  </si>
  <si>
    <t>C:\Users\franc\OneDrive\Documentos\MALENTIN KARIME\BANCO ESTADO\2012 DEPTO ESCRITURAS fata\Dc Simples\RESPALDO comp notaria 27_12_12\NOTARIA 2012\PERSONERÍAS\TRANSER E.I.R.L..doc</t>
  </si>
  <si>
    <t>C:\Users\franc\OneDrive\Documentos\MALENTIN KARIME\BANCO ESTADO\2012 DEPTO ESCRITURAS fata\Dc Simples\RESPALDO comp notaria 27_12_12\NOTARIA 2012\PERSONERÍAS\TIRADO AGROTRANSPORTES.doc</t>
  </si>
  <si>
    <t>C:\Users\franc\OneDrive\Documentos\MALENTIN KARIME\BANCO ESTADO\2012 DEPTO ESCRITURAS fata\Dc Simples\RESPALDO comp notaria 27_12_12\NOTARIA 2012\PERSONERÍAS\TELLCOR LTDA..doc</t>
  </si>
  <si>
    <t>C:\Users\franc\OneDrive\Documentos\MALENTIN KARIME\BANCO ESTADO\2012 DEPTO ESCRITURAS fata\Dc Simples\RESPALDO comp notaria 27_12_12\NOTARIA 2012\PERSONERÍAS\SUCESION OSCAR ROBERTO TORO.doc</t>
  </si>
  <si>
    <t>C:\Users\franc\OneDrive\Documentos\MALENTIN KARIME\BANCO ESTADO\2012 DEPTO ESCRITURAS fata\Dc Simples\RESPALDO comp notaria 27_12_12\NOTARIA 2012\PERSONERÍAS\SUC. ROSENDO ARAYA.doc</t>
  </si>
  <si>
    <t>C:\Users\franc\OneDrive\Documentos\MALENTIN KARIME\BANCO ESTADO\2012 DEPTO ESCRITURAS fata\Dc Simples\RESPALDO comp notaria 27_12_12\NOTARIA 2012\PERSONERÍAS\SUC. RAUL MORA.doc</t>
  </si>
  <si>
    <t>C:\Users\franc\OneDrive\Documentos\MALENTIN KARIME\BANCO ESTADO\2012 DEPTO ESCRITURAS fata\Dc Simples\RESPALDO comp notaria 27_12_12\NOTARIA 2012\PERSONERÍAS\SUC. CARLOS VALDIVIA MARIN.doc</t>
  </si>
  <si>
    <t>C:\Users\franc\OneDrive\Documentos\MALENTIN KARIME\BANCO ESTADO\2012 DEPTO ESCRITURAS fata\Dc Simples\RESPALDO comp notaria 27_12_12\NOTARIA 2012\PERSONERÍAS\STA. TERESA.doc</t>
  </si>
  <si>
    <t>C:\Users\franc\OneDrive\Documentos\MALENTIN KARIME\BANCO ESTADO\2012 DEPTO ESCRITURAS fata\Dc Simples\RESPALDO comp notaria 27_12_12\NOTARIA 2012\PERSONERÍAS\SPA Aura.docx</t>
  </si>
  <si>
    <t>C:\Users\franc\OneDrive\Documentos\MALENTIN KARIME\BANCO ESTADO\2012 DEPTO ESCRITURAS fata\Dc Simples\RESPALDO comp notaria 27_12_12\NOTARIA 2012\PERSONERÍAS\SOTAQUI LTDA..doc</t>
  </si>
  <si>
    <t>C:\Users\franc\OneDrive\Documentos\MALENTIN KARIME\BANCO ESTADO\2012 DEPTO ESCRITURAS fata\Dc Simples\RESPALDO comp notaria 27_12_12\NOTARIA 2012\PERSONERÍAS\SOLUCION MAESTRO LTDA..doc</t>
  </si>
  <si>
    <t>C:\Users\franc\OneDrive\Documentos\MALENTIN KARIME\BANCO ESTADO\2012 DEPTO ESCRITURAS fata\Dc Simples\RESPALDO comp notaria 27_12_12\NOTARIA 2012\PERSONERÍAS\SOCOR LTDA..doc</t>
  </si>
  <si>
    <t>C:\Users\franc\OneDrive\Documentos\MALENTIN KARIME\BANCO ESTADO\2012 DEPTO ESCRITURAS fata\Dc Simples\RESPALDO comp notaria 27_12_12\NOTARIA 2012\PERSONERÍAS\SOCOMAR LTDA..doc</t>
  </si>
  <si>
    <t>C:\Users\franc\OneDrive\Documentos\MALENTIN KARIME\BANCO ESTADO\2012 DEPTO ESCRITURAS fata\Dc Simples\RESPALDO comp notaria 27_12_12\NOTARIA 2012\PERSONERÍAS\SOCIEDAD COMERCIAL EL RELOJ LTDA..doc</t>
  </si>
  <si>
    <t>C:\Users\franc\OneDrive\Documentos\MALENTIN KARIME\BANCO ESTADO\2012 DEPTO ESCRITURAS fata\Dc Simples\RESPALDO comp notaria 27_12_12\NOTARIA 2012\PERSONERÍAS\SOC. LUPE Y CARVAJAL Y CIA LTDA. ARMANDO SALAMANCA.doc</t>
  </si>
  <si>
    <t>C:\Users\franc\OneDrive\Documentos\MALENTIN KARIME\BANCO ESTADO\2012 DEPTO ESCRITURAS fata\Dc Simples\RESPALDO comp notaria 27_12_12\NOTARIA 2012\PERSONERÍAS\SOC. ESTRIBO.doc</t>
  </si>
  <si>
    <t>C:\Users\franc\OneDrive\Documentos\MALENTIN KARIME\BANCO ESTADO\2012 DEPTO ESCRITURAS fata\Dc Simples\RESPALDO comp notaria 27_12_12\NOTARIA 2012\PERSONERÍAS\SOC. AGRICOLA LOS PRIMOS LTDA..doc</t>
  </si>
  <si>
    <t>C:\Users\franc\OneDrive\Documentos\MALENTIN KARIME\BANCO ESTADO\2012 DEPTO ESCRITURAS fata\Dc Simples\RESPALDO comp notaria 27_12_12\NOTARIA 2012\PERSONERÍAS\SOC. AGRIC. LOS ALAMOS LTDA..doc</t>
  </si>
  <si>
    <t>C:\Users\franc\OneDrive\Documentos\MALENTIN KARIME\BANCO ESTADO\2012 DEPTO ESCRITURAS fata\Dc Simples\RESPALDO comp notaria 27_12_12\NOTARIA 2012\PERSONERÍAS\SOC. AGRIC. DOS HNOS. LTDA..doc</t>
  </si>
  <si>
    <t>C:\Users\franc\OneDrive\Documentos\MALENTIN KARIME\BANCO ESTADO\2012 DEPTO ESCRITURAS fata\Dc Simples\RESPALDO comp notaria 27_12_12\NOTARIA 2012\PERSONERÍAS\SOC. AGRIC. CHIRIPE LTDA.doc</t>
  </si>
  <si>
    <t>C:\Users\franc\OneDrive\Documentos\MALENTIN KARIME\BANCO ESTADO\2012 DEPTO ESCRITURAS fata\Dc Simples\RESPALDO comp notaria 27_12_12\NOTARIA 2012\PERSONERÍAS\SOC. AGRIC. AVENDAÑO Y ESPINOSA LTDA..doc</t>
  </si>
  <si>
    <t>C:\Users\franc\OneDrive\Documentos\MALENTIN KARIME\BANCO ESTADO\2012 DEPTO ESCRITURAS fata\Dc Simples\RESPALDO comp notaria 27_12_12\NOTARIA 2012\PERSONERÍAS\SOC. AGRIC, MINERA PAULA Y CONSUELO LTDA.doc</t>
  </si>
  <si>
    <t>C:\Users\franc\OneDrive\Documentos\MALENTIN KARIME\BANCO ESTADO\2012 DEPTO ESCRITURAS fata\Dc Simples\RESPALDO comp notaria 27_12_12\NOTARIA 2012\PERSONERÍAS\SOC. AGRIC, MINERA H.A.G.A.doc</t>
  </si>
  <si>
    <t>C:\Users\franc\OneDrive\Documentos\MALENTIN KARIME\BANCO ESTADO\2012 DEPTO ESCRITURAS fata\Dc Simples\RESPALDO comp notaria 27_12_12\NOTARIA 2012\PERSONERÍAS\SIND. MINEROS RIO HURTADO.doc</t>
  </si>
  <si>
    <t>C:\Users\franc\OneDrive\Documentos\MALENTIN KARIME\BANCO ESTADO\2012 DEPTO ESCRITURAS fata\Dc Simples\RESPALDO comp notaria 27_12_12\NOTARIA 2012\PERSONERÍAS\SERRAVALLE.doc</t>
  </si>
  <si>
    <t>C:\Users\franc\OneDrive\Documentos\MALENTIN KARIME\BANCO ESTADO\2012 DEPTO ESCRITURAS fata\Dc Simples\RESPALDO comp notaria 27_12_12\NOTARIA 2012\PERSONERÍAS\SELIM DABED, Roberto.doc</t>
  </si>
  <si>
    <t>C:\Users\franc\OneDrive\Documentos\MALENTIN KARIME\BANCO ESTADO\2012 DEPTO ESCRITURAS fata\Dc Simples\RESPALDO comp notaria 27_12_12\NOTARIA 2012\PERSONERÍAS\SELIM DABED, Roberto Dabed Martinac.doc</t>
  </si>
  <si>
    <t>C:\Users\franc\OneDrive\Documentos\MALENTIN KARIME\BANCO ESTADO\2012 DEPTO ESCRITURAS fata\Dc Simples\RESPALDO comp notaria 27_12_12\NOTARIA 2012\PERSONERÍAS\SELIM DABED, Arturo.doc</t>
  </si>
  <si>
    <t>C:\Users\franc\OneDrive\Documentos\MALENTIN KARIME\BANCO ESTADO\2012 DEPTO ESCRITURAS fata\Dc Simples\RESPALDO comp notaria 27_12_12\NOTARIA 2012\PERSONERÍAS\SELIM DABED Y TODAS POR DON ROBERTO.doc</t>
  </si>
  <si>
    <t>C:\Users\franc\OneDrive\Documentos\MALENTIN KARIME\BANCO ESTADO\2012 DEPTO ESCRITURAS fata\Dc Simples\RESPALDO comp notaria 27_12_12\NOTARIA 2012\PERSONERÍAS\SEGOVAL LIMITADA.doc</t>
  </si>
  <si>
    <t>C:\Users\franc\OneDrive\Documentos\MALENTIN KARIME\BANCO ESTADO\2012 DEPTO ESCRITURAS fata\Dc Simples\RESPALDO comp notaria 27_12_12\NOTARIA 2012\PERSONERÍAS\SANTA CARMEN LTDA..doc</t>
  </si>
  <si>
    <t>C:\Users\franc\OneDrive\Documentos\MALENTIN KARIME\BANCO ESTADO\2012 DEPTO ESCRITURAS fata\Dc Simples\RESPALDO comp notaria 27_12_12\NOTARIA 2012\PERSONERÍAS\SAN SEBASTIAN LIMITADA.doc</t>
  </si>
  <si>
    <t>C:\Users\franc\OneDrive\Documentos\MALENTIN KARIME\BANCO ESTADO\2012 DEPTO ESCRITURAS fata\Dc Simples\RESPALDO comp notaria 27_12_12\NOTARIA 2012\PERSONERÍAS\SAMUEL ROJO M Y CIA. LTDA..doc</t>
  </si>
  <si>
    <t>C:\Users\franc\OneDrive\Documentos\MALENTIN KARIME\BANCO ESTADO\2012 DEPTO ESCRITURAS fata\Dc Simples\RESPALDO comp notaria 27_12_12\NOTARIA 2012\PERSONERÍAS\S.A LOS ALAMOS LTDA..doc</t>
  </si>
  <si>
    <t>C:\Users\franc\OneDrive\Documentos\MALENTIN KARIME\BANCO ESTADO\2012 DEPTO ESCRITURAS fata\Dc Simples\RESPALDO comp notaria 27_12_12\NOTARIA 2012\PERSONERÍAS\RUKA LICAN LTDA..doc</t>
  </si>
  <si>
    <t>C:\Users\franc\OneDrive\Documentos\MALENTIN KARIME\BANCO ESTADO\2012 DEPTO ESCRITURAS fata\Dc Simples\RESPALDO comp notaria 27_12_12\NOTARIA 2012\PERSONERÍAS\ROMANO DALBOSCO.doc</t>
  </si>
  <si>
    <t>C:\Users\franc\OneDrive\Documentos\MALENTIN KARIME\BANCO ESTADO\2012 DEPTO ESCRITURAS fata\Dc Simples\RESPALDO comp notaria 27_12_12\NOTARIA 2012\PERSONERÍAS\ROCK DRILL.doc</t>
  </si>
  <si>
    <t>C:\Users\franc\OneDrive\Documentos\MALENTIN KARIME\BANCO ESTADO\2012 DEPTO ESCRITURAS fata\Dc Simples\RESPALDO comp notaria 27_12_12\NOTARIA 2012\PERSONERÍAS\rock drill mining chile spa.doc</t>
  </si>
  <si>
    <t>C:\Users\franc\OneDrive\Documentos\MALENTIN KARIME\BANCO ESTADO\2012 DEPTO ESCRITURAS fata\Dc Simples\RESPALDO comp notaria 27_12_12\NOTARIA 2012\PERSONERÍAS\ROBERTO DABED por todas.doc</t>
  </si>
  <si>
    <t>C:\Users\franc\OneDrive\Documentos\MALENTIN KARIME\BANCO ESTADO\2012 DEPTO ESCRITURAS fata\Dc Simples\RESPALDO comp notaria 27_12_12\NOTARIA 2012\PERSONERÍAS\RECIPAPEL.doc</t>
  </si>
  <si>
    <t>C:\Users\franc\OneDrive\Documentos\MALENTIN KARIME\BANCO ESTADO\2012 DEPTO ESCRITURAS fata\Dc Simples\RESPALDO comp notaria 27_12_12\NOTARIA 2012\PERSONERÍAS\RAFAEL PROHENS Y CIA. LTDA..doc</t>
  </si>
  <si>
    <t>C:\Users\franc\OneDrive\Documentos\MALENTIN KARIME\BANCO ESTADO\2012 DEPTO ESCRITURAS fata\Dc Simples\RESPALDO comp notaria 27_12_12\NOTARIA 2012\PERSONERÍAS\RAFAEL PROHENS Y CIA. LTDA. María Paula.doc</t>
  </si>
  <si>
    <t>C:\Users\franc\OneDrive\Documentos\MALENTIN KARIME\BANCO ESTADO\2012 DEPTO ESCRITURAS fata\Dc Simples\RESPALDO comp notaria 27_12_12\NOTARIA 2012\PERSONERÍAS\RADIOTAXI MONTAÑA.doc</t>
  </si>
  <si>
    <t>C:\Users\franc\OneDrive\Documentos\MALENTIN KARIME\BANCO ESTADO\2012 DEPTO ESCRITURAS fata\Dc Simples\RESPALDO comp notaria 27_12_12\NOTARIA 2012\PERSONERÍAS\PROSOM S.A..doc</t>
  </si>
  <si>
    <t>C:\Users\franc\OneDrive\Documentos\MALENTIN KARIME\BANCO ESTADO\2012 DEPTO ESCRITURAS fata\Dc Simples\RESPALDO comp notaria 27_12_12\NOTARIA 2012\PERSONERÍAS\PROPAM.doc</t>
  </si>
  <si>
    <t>C:\Users\franc\OneDrive\Documentos\MALENTIN KARIME\BANCO ESTADO\2012 DEPTO ESCRITURAS fata\Dc Simples\RESPALDO comp notaria 27_12_12\NOTARIA 2012\PERSONERÍAS\PROJECT S.A.doc</t>
  </si>
  <si>
    <t>C:\Users\franc\OneDrive\Documentos\MALENTIN KARIME\BANCO ESTADO\2012 DEPTO ESCRITURAS fata\Dc Simples\RESPALDO comp notaria 27_12_12\NOTARIA 2012\PERSONERÍAS\PEÑA SPOERER Y BOMBEROS.doc</t>
  </si>
  <si>
    <t>C:\Users\franc\OneDrive\Documentos\MALENTIN KARIME\BANCO ESTADO\2012 DEPTO ESCRITURAS fata\Dc Simples\RESPALDO comp notaria 27_12_12\NOTARIA 2012\PERSONERÍAS\PERSONERIA  OLGA MARIZA TORO PIZARRO.docx</t>
  </si>
  <si>
    <t>C:\Users\franc\OneDrive\Documentos\MALENTIN KARIME\BANCO ESTADO\2012 DEPTO ESCRITURAS fata\Dc Simples\RESPALDO comp notaria 27_12_12\NOTARIA 2012\PERSONERÍAS\PERSOL S.A..doc</t>
  </si>
  <si>
    <t>C:\Users\franc\OneDrive\Documentos\MALENTIN KARIME\BANCO ESTADO\2012 DEPTO ESCRITURAS fata\Dc Simples\RESPALDO comp notaria 27_12_12\NOTARIA 2012\PERSONERÍAS\PEDRO ALFONSO MUÑOZ EIRL.doc</t>
  </si>
  <si>
    <t>C:\Users\franc\OneDrive\Documentos\MALENTIN KARIME\BANCO ESTADO\2012 DEPTO ESCRITURAS fata\Dc Simples\RESPALDO comp notaria 27_12_12\NOTARIA 2012\PERSONERÍAS\PAULINA GALVEZ Y CIA. LTDA..doc</t>
  </si>
  <si>
    <t>C:\Users\franc\OneDrive\Documentos\MALENTIN KARIME\BANCO ESTADO\2012 DEPTO ESCRITURAS fata\Dc Simples\RESPALDO comp notaria 27_12_12\NOTARIA 2012\PERSONERÍAS\PASTEN Y BOU LTDA..doc</t>
  </si>
  <si>
    <t>C:\Users\franc\OneDrive\Documentos\MALENTIN KARIME\BANCO ESTADO\2012 DEPTO ESCRITURAS fata\Dc Simples\RESPALDO comp notaria 27_12_12\NOTARIA 2012\PERSONERÍAS\PAPELES ANDINOS.doc</t>
  </si>
  <si>
    <t>C:\Users\franc\OneDrive\Documentos\MALENTIN KARIME\BANCO ESTADO\2012 DEPTO ESCRITURAS fata\Dc Simples\RESPALDO comp notaria 27_12_12\NOTARIA 2012\PERSONERÍAS\PANULCILLO S.A..doc</t>
  </si>
  <si>
    <t>C:\Users\franc\OneDrive\Documentos\MALENTIN KARIME\BANCO ESTADO\2012 DEPTO ESCRITURAS fata\Dc Simples\RESPALDO comp notaria 27_12_12\NOTARIA 2012\PERSONERÍAS\PANULCILLO PERS..doc</t>
  </si>
  <si>
    <t>C:\Users\franc\OneDrive\Documentos\MALENTIN KARIME\BANCO ESTADO\2012 DEPTO ESCRITURAS fata\Dc Simples\RESPALDO comp notaria 27_12_12\NOTARIA 2012\PERSONERÍAS\PALQUI MAURAT.doc</t>
  </si>
  <si>
    <t>C:\Users\franc\OneDrive\Documentos\MALENTIN KARIME\BANCO ESTADO\2012 DEPTO ESCRITURAS fata\Dc Simples\RESPALDO comp notaria 27_12_12\NOTARIA 2012\PERSONERÍAS\OVALLE CASINO RESORT.doc</t>
  </si>
  <si>
    <t>C:\Users\franc\OneDrive\Documentos\MALENTIN KARIME\BANCO ESTADO\2012 DEPTO ESCRITURAS fata\Dc Simples\RESPALDO comp notaria 27_12_12\NOTARIA 2012\PERSONERÍAS\OLIVOS OLIMPO Y ARKON.doc</t>
  </si>
  <si>
    <t>C:\Users\franc\OneDrive\Documentos\MALENTIN KARIME\BANCO ESTADO\2012 DEPTO ESCRITURAS fata\Dc Simples\RESPALDO comp notaria 27_12_12\NOTARIA 2012\PERSONERÍAS\OLGA TORO E.I.R.L..doc</t>
  </si>
  <si>
    <t>C:\Users\franc\OneDrive\Documentos\MALENTIN KARIME\BANCO ESTADO\2012 DEPTO ESCRITURAS fata\Dc Simples\RESPALDO comp notaria 27_12_12\NOTARIA 2012\PERSONERÍAS\OCHOTIERRAS VIN rodrigo.doc</t>
  </si>
  <si>
    <t>C:\Users\franc\OneDrive\Documentos\MALENTIN KARIME\BANCO ESTADO\2012 DEPTO ESCRITURAS fata\Dc Simples\RESPALDO comp notaria 27_12_12\NOTARIA 2012\PERSONERÍAS\OCHOTIERRAS agric. Ronald.doc</t>
  </si>
  <si>
    <t>C:\Users\franc\OneDrive\Documentos\MALENTIN KARIME\BANCO ESTADO\2012 DEPTO ESCRITURAS fata\Dc Simples\RESPALDO comp notaria 27_12_12\NOTARIA 2012\PERSONERÍAS\OCHOTIERRA Vin Ronald.doc</t>
  </si>
  <si>
    <t>C:\Users\franc\OneDrive\Documentos\MALENTIN KARIME\BANCO ESTADO\2012 DEPTO ESCRITURAS fata\Dc Simples\RESPALDO comp notaria 27_12_12\NOTARIA 2012\PERSONERÍAS\OASIS LTDA..doc</t>
  </si>
  <si>
    <t>C:\Users\franc\OneDrive\Documentos\MALENTIN KARIME\BANCO ESTADO\2012 DEPTO ESCRITURAS fata\Dc Simples\RESPALDO comp notaria 27_12_12\NOTARIA 2012\PERSONERÍAS\NOGALES DEL NORTE SPA.doc</t>
  </si>
  <si>
    <t>C:\Users\franc\OneDrive\Documentos\MALENTIN KARIME\BANCO ESTADO\2012 DEPTO ESCRITURAS fata\Dc Simples\RESPALDO comp notaria 27_12_12\NOTARIA 2012\PERSONERÍAS\MIRADOR ORIENTE LTDA..doc</t>
  </si>
  <si>
    <t>C:\Users\franc\OneDrive\Documentos\MALENTIN KARIME\BANCO ESTADO\2012 DEPTO ESCRITURAS fata\Dc Simples\RESPALDO comp notaria 27_12_12\NOTARIA 2012\PERSONERÍAS\MINERA ZUPILOCOS LTDA..doc</t>
  </si>
  <si>
    <t>C:\Users\franc\OneDrive\Documentos\MALENTIN KARIME\BANCO ESTADO\2012 DEPTO ESCRITURAS fata\Dc Simples\RESPALDO comp notaria 27_12_12\NOTARIA 2012\PERSONERÍAS\MINERA TIERRA DEL FUEGO.doc</t>
  </si>
  <si>
    <t>C:\Users\franc\OneDrive\Documentos\MALENTIN KARIME\BANCO ESTADO\2012 DEPTO ESCRITURAS fata\Dc Simples\RESPALDO comp notaria 27_12_12\NOTARIA 2012\PERSONERÍAS\MINERA POTRERILLOS.doc</t>
  </si>
  <si>
    <t>C:\Users\franc\OneDrive\Documentos\MALENTIN KARIME\BANCO ESTADO\2012 DEPTO ESCRITURAS fata\Dc Simples\RESPALDO comp notaria 27_12_12\NOTARIA 2012\PERSONERÍAS\MINERA EL COBRE.doc</t>
  </si>
  <si>
    <t>C:\Users\franc\OneDrive\Documentos\MALENTIN KARIME\BANCO ESTADO\2012 DEPTO ESCRITURAS fata\Dc Simples\RESPALDO comp notaria 27_12_12\NOTARIA 2012\PERSONERÍAS\MINERA EL COBRE Cristian.doc</t>
  </si>
  <si>
    <t>C:\Users\franc\OneDrive\Documentos\MALENTIN KARIME\BANCO ESTADO\2012 DEPTO ESCRITURAS fata\Dc Simples\RESPALDO comp notaria 27_12_12\NOTARIA 2012\PERSONERÍAS\MINERA CRUZ LTDA.doc</t>
  </si>
  <si>
    <t>C:\Users\franc\OneDrive\Documentos\MALENTIN KARIME\BANCO ESTADO\2012 DEPTO ESCRITURAS fata\Dc Simples\RESPALDO comp notaria 27_12_12\NOTARIA 2012\PERSONERÍAS\MINERA CRUZ LTDA carolina.doc</t>
  </si>
  <si>
    <t>C:\Users\franc\OneDrive\Documentos\MALENTIN KARIME\BANCO ESTADO\2012 DEPTO ESCRITURAS fata\Dc Simples\RESPALDO comp notaria 27_12_12\NOTARIA 2012\PERSONERÍAS\MINERA ALTOS DE PUNITAQUI Dn Lautaro Callejas.docx</t>
  </si>
  <si>
    <t>C:\Users\franc\OneDrive\Documentos\MALENTIN KARIME\BANCO ESTADO\2012 DEPTO ESCRITURAS fata\Dc Simples\RESPALDO comp notaria 27_12_12\NOTARIA 2012\PERSONERÍAS\MINERA  PATRICIO GUZMAN.doc</t>
  </si>
  <si>
    <t>C:\Users\franc\OneDrive\Documentos\MALENTIN KARIME\BANCO ESTADO\2012 DEPTO ESCRITURAS fata\Dc Simples\RESPALDO comp notaria 27_12_12\NOTARIA 2012\PERSONERÍAS\MIGUEL BRAVO E.I.R.L..doc</t>
  </si>
  <si>
    <t>C:\Users\franc\OneDrive\Documentos\MALENTIN KARIME\BANCO ESTADO\2012 DEPTO ESCRITURAS fata\Dc Simples\RESPALDO comp notaria 27_12_12\NOTARIA 2012\PERSONERÍAS\MAURICIO ESTEBAN PEREZ ESCOBAR, transmaqui.doc</t>
  </si>
  <si>
    <t>C:\Users\franc\OneDrive\Documentos\MALENTIN KARIME\BANCO ESTADO\2012 DEPTO ESCRITURAS fata\Dc Simples\RESPALDO comp notaria 27_12_12\NOTARIA 2012\PERSONERÍAS\MAURICIO ESTEBAN PEREZ ESCOBAR, MINERA PUNTO TRES.doc</t>
  </si>
  <si>
    <t>C:\Users\franc\OneDrive\Documentos\MALENTIN KARIME\BANCO ESTADO\2012 DEPTO ESCRITURAS fata\Dc Simples\RESPALDO comp notaria 27_12_12\NOTARIA 2012\PERSONERÍAS\MAPUE LTDA..doc</t>
  </si>
  <si>
    <t>C:\Users\franc\OneDrive\Documentos\MALENTIN KARIME\BANCO ESTADO\2012 DEPTO ESCRITURAS fata\Dc Simples\RESPALDO comp notaria 27_12_12\NOTARIA 2012\PERSONERÍAS\LUZMIRA GOMILA E.I.R.L..doc</t>
  </si>
  <si>
    <t>C:\Users\franc\OneDrive\Documentos\MALENTIN KARIME\BANCO ESTADO\2012 DEPTO ESCRITURAS fata\Dc Simples\RESPALDO comp notaria 27_12_12\NOTARIA 2012\PERSONERÍAS\LUISA TERRONES E.I.R.L..doc</t>
  </si>
  <si>
    <t>C:\Users\franc\OneDrive\Documentos\MALENTIN KARIME\BANCO ESTADO\2012 DEPTO ESCRITURAS fata\Dc Simples\RESPALDO comp notaria 27_12_12\NOTARIA 2012\PERSONERÍAS\luis roman eirl.doc</t>
  </si>
  <si>
    <t>C:\Users\franc\OneDrive\Documentos\MALENTIN KARIME\BANCO ESTADO\2012 DEPTO ESCRITURAS fata\Dc Simples\RESPALDO comp notaria 27_12_12\NOTARIA 2012\PERSONERÍAS\LUIS AREYUNA E.I.R.L..doc</t>
  </si>
  <si>
    <t>C:\Users\franc\OneDrive\Documentos\MALENTIN KARIME\BANCO ESTADO\2012 DEPTO ESCRITURAS fata\Dc Simples\RESPALDO comp notaria 27_12_12\NOTARIA 2012\PERSONERÍAS\LOS CRISTALES.doc</t>
  </si>
  <si>
    <t>C:\Users\franc\OneDrive\Documentos\MALENTIN KARIME\BANCO ESTADO\2012 DEPTO ESCRITURAS fata\Dc Simples\RESPALDO comp notaria 27_12_12\NOTARIA 2012\PERSONERÍAS\LOS AROMOS S.A..doc</t>
  </si>
  <si>
    <t>C:\Users\franc\OneDrive\Documentos\MALENTIN KARIME\BANCO ESTADO\2012 DEPTO ESCRITURAS fata\Dc Simples\RESPALDO comp notaria 27_12_12\NOTARIA 2012\PERSONERÍAS\LOS ALAMOS y otro.doc</t>
  </si>
  <si>
    <t>C:\Users\franc\OneDrive\Documentos\MALENTIN KARIME\BANCO ESTADO\2012 DEPTO ESCRITURAS fata\Dc Simples\RESPALDO comp notaria 27_12_12\NOTARIA 2012\PERSONERÍAS\LOMA LARGA.doc</t>
  </si>
  <si>
    <t>C:\Users\franc\OneDrive\Documentos\MALENTIN KARIME\BANCO ESTADO\2012 DEPTO ESCRITURAS fata\Dc Simples\RESPALDO comp notaria 27_12_12\NOTARIA 2012\PERSONERÍAS\LOMA LARGA LTDA..doc</t>
  </si>
  <si>
    <t>C:\Users\franc\OneDrive\Documentos\MALENTIN KARIME\BANCO ESTADO\2012 DEPTO ESCRITURAS fata\Dc Simples\RESPALDO comp notaria 27_12_12\NOTARIA 2012\PERSONERÍAS\LLANO NEGRO LTDA..doc</t>
  </si>
  <si>
    <t>C:\Users\franc\OneDrive\Documentos\MALENTIN KARIME\BANCO ESTADO\2012 DEPTO ESCRITURAS fata\Dc Simples\RESPALDO comp notaria 27_12_12\NOTARIA 2012\PERSONERÍAS\LILIANA ALCAYAGA.doc</t>
  </si>
  <si>
    <t>C:\Users\franc\OneDrive\Documentos\MALENTIN KARIME\BANCO ESTADO\2012 DEPTO ESCRITURAS fata\Dc Simples\RESPALDO comp notaria 27_12_12\NOTARIA 2012\PERSONERÍAS\LAS PIRAMIDES LTDA..doc</t>
  </si>
  <si>
    <t>C:\Users\franc\OneDrive\Documentos\MALENTIN KARIME\BANCO ESTADO\2012 DEPTO ESCRITURAS fata\Dc Simples\RESPALDO comp notaria 27_12_12\NOTARIA 2012\PERSONERÍAS\LAS PERDICES LTDA..doc</t>
  </si>
  <si>
    <t>C:\Users\franc\OneDrive\Documentos\MALENTIN KARIME\BANCO ESTADO\2012 DEPTO ESCRITURAS fata\Dc Simples\RESPALDO comp notaria 27_12_12\NOTARIA 2012\PERSONERÍAS\LAS MERCEDES DE LIMARI.doc</t>
  </si>
  <si>
    <t>C:\Users\franc\OneDrive\Documentos\MALENTIN KARIME\BANCO ESTADO\2012 DEPTO ESCRITURAS fata\Dc Simples\RESPALDO comp notaria 27_12_12\NOTARIA 2012\PERSONERÍAS\LAS CAÑAS LTDA..doc</t>
  </si>
  <si>
    <t>C:\Users\franc\OneDrive\Documentos\MALENTIN KARIME\BANCO ESTADO\2012 DEPTO ESCRITURAS fata\Dc Simples\RESPALDO comp notaria 27_12_12\NOTARIA 2012\PERSONERÍAS\LAS CASAS LTDA..doc</t>
  </si>
  <si>
    <t>C:\Users\franc\OneDrive\Documentos\MALENTIN KARIME\BANCO ESTADO\2012 DEPTO ESCRITURAS fata\Dc Simples\RESPALDO comp notaria 27_12_12\NOTARIA 2012\PERSONERÍAS\LAPERS~4.DOC</t>
  </si>
  <si>
    <t>C:\Users\franc\OneDrive\Documentos\MALENTIN KARIME\BANCO ESTADO\2012 DEPTO ESCRITURAS fata\Dc Simples\RESPALDO comp notaria 27_12_12\NOTARIA 2012\PERSONERÍAS\LAPERS~3.DOC</t>
  </si>
  <si>
    <t>C:\Users\franc\OneDrive\Documentos\MALENTIN KARIME\BANCO ESTADO\2012 DEPTO ESCRITURAS fata\Dc Simples\RESPALDO comp notaria 27_12_12\NOTARIA 2012\PERSONERÍAS\Junta Vecinos Nº3.doc</t>
  </si>
  <si>
    <t>C:\Users\franc\OneDrive\Documentos\MALENTIN KARIME\BANCO ESTADO\2012 DEPTO ESCRITURAS fata\Dc Simples\RESPALDO comp notaria 27_12_12\NOTARIA 2012\PERSONERÍAS\JULIA CORTES EIRL.doc</t>
  </si>
  <si>
    <t>C:\Users\franc\OneDrive\Documentos\MALENTIN KARIME\BANCO ESTADO\2012 DEPTO ESCRITURAS fata\Dc Simples\RESPALDO comp notaria 27_12_12\NOTARIA 2012\PERSONERÍAS\JUAN PORTILLA E.I.R.L..doc</t>
  </si>
  <si>
    <t>C:\Users\franc\OneDrive\Documentos\MALENTIN KARIME\BANCO ESTADO\2012 DEPTO ESCRITURAS fata\Dc Simples\RESPALDO comp notaria 27_12_12\NOTARIA 2012\PERSONERÍAS\JORGE HERNANDEZ Y CIA. LTDA..doc</t>
  </si>
  <si>
    <t>C:\Users\franc\OneDrive\Documentos\MALENTIN KARIME\BANCO ESTADO\2012 DEPTO ESCRITURAS fata\Dc Simples\RESPALDO comp notaria 27_12_12\NOTARIA 2012\PERSONERÍAS\JEANETTE GIANZO EIRL.doc</t>
  </si>
  <si>
    <t>C:\Users\franc\OneDrive\Documentos\MALENTIN KARIME\BANCO ESTADO\2012 DEPTO ESCRITURAS fata\Dc Simples\RESPALDO comp notaria 27_12_12\NOTARIA 2012\PERSONERÍAS\JAVIER CONTADOR (TODOS).doc</t>
  </si>
  <si>
    <t>C:\Users\franc\OneDrive\Documentos\MALENTIN KARIME\BANCO ESTADO\2012 DEPTO ESCRITURAS fata\Dc Simples\RESPALDO comp notaria 27_12_12\NOTARIA 2012\PERSONERÍAS\JAIME PROHENS V. Y CIA. LTDA..doc</t>
  </si>
  <si>
    <t>C:\Users\franc\OneDrive\Documentos\MALENTIN KARIME\BANCO ESTADO\2012 DEPTO ESCRITURAS fata\Dc Simples\RESPALDO comp notaria 27_12_12\NOTARIA 2012\PERSONERÍAS\JAIME PROHENS Eduardo Erazo.doc</t>
  </si>
  <si>
    <t>C:\Users\franc\OneDrive\Documentos\MALENTIN KARIME\BANCO ESTADO\2012 DEPTO ESCRITURAS fata\Dc Simples\RESPALDO comp notaria 27_12_12\NOTARIA 2012\PERSONERÍAS\ISKRA CAPACITACION.doc</t>
  </si>
  <si>
    <t>C:\Users\franc\OneDrive\Documentos\MALENTIN KARIME\BANCO ESTADO\2012 DEPTO ESCRITURAS fata\Dc Simples\RESPALDO comp notaria 27_12_12\NOTARIA 2012\PERSONERÍAS\ISKRA CAPACITACION LTDA..doc</t>
  </si>
  <si>
    <t>C:\Users\franc\OneDrive\Documentos\MALENTIN KARIME\BANCO ESTADO\2012 DEPTO ESCRITURAS fata\Dc Simples\RESPALDO comp notaria 27_12_12\NOTARIA 2012\PERSONERÍAS\ISIDRO CHILE S.A..doc</t>
  </si>
  <si>
    <t>C:\Users\franc\OneDrive\Documentos\MALENTIN KARIME\BANCO ESTADO\2012 DEPTO ESCRITURAS fata\Dc Simples\RESPALDO comp notaria 27_12_12\NOTARIA 2012\PERSONERÍAS\INVERSIONES ZEPEDA HNOS..doc</t>
  </si>
  <si>
    <t>C:\Users\franc\OneDrive\Documentos\MALENTIN KARIME\BANCO ESTADO\2012 DEPTO ESCRITURAS fata\Dc Simples\RESPALDO comp notaria 27_12_12\NOTARIA 2012\PERSONERÍAS\INVERSIONES VERDE MAR LTDA..doc</t>
  </si>
  <si>
    <t>C:\Users\franc\OneDrive\Documentos\MALENTIN KARIME\BANCO ESTADO\2012 DEPTO ESCRITURAS fata\Dc Simples\RESPALDO comp notaria 27_12_12\NOTARIA 2012\PERSONERÍAS\INVERSIONES TRANSMAQUI.doc</t>
  </si>
  <si>
    <t>C:\Users\franc\OneDrive\Documentos\MALENTIN KARIME\BANCO ESTADO\2012 DEPTO ESCRITURAS fata\Dc Simples\RESPALDO comp notaria 27_12_12\NOTARIA 2012\PERSONERÍAS\INVERSIONES RECOLETA.doc</t>
  </si>
  <si>
    <t>C:\Users\franc\OneDrive\Documentos\MALENTIN KARIME\BANCO ESTADO\2012 DEPTO ESCRITURAS fata\Dc Simples\RESPALDO comp notaria 27_12_12\NOTARIA 2012\PERSONERÍAS\INVERSIONES ESCOBAR LTDA..doc</t>
  </si>
  <si>
    <t>C:\Users\franc\OneDrive\Documentos\MALENTIN KARIME\BANCO ESTADO\2012 DEPTO ESCRITURAS fata\Dc Simples\RESPALDO comp notaria 27_12_12\NOTARIA 2012\PERSONERÍAS\INVERSIONES EM DOS LTDA..doc</t>
  </si>
  <si>
    <t>C:\Users\franc\OneDrive\Documentos\MALENTIN KARIME\BANCO ESTADO\2012 DEPTO ESCRITURAS fata\Dc Simples\RESPALDO comp notaria 27_12_12\NOTARIA 2012\PERSONERÍAS\INVERCIONES ALEJANDRA PARRA SILVA.doc</t>
  </si>
  <si>
    <t>C:\Users\franc\OneDrive\Documentos\MALENTIN KARIME\BANCO ESTADO\2012 DEPTO ESCRITURAS fata\Dc Simples\RESPALDO comp notaria 27_12_12\NOTARIA 2012\PERSONERÍAS\INV. SAN FRANCISCO LTDA..doc</t>
  </si>
  <si>
    <t>C:\Users\franc\OneDrive\Documentos\MALENTIN KARIME\BANCO ESTADO\2012 DEPTO ESCRITURAS fata\Dc Simples\RESPALDO comp notaria 27_12_12\NOTARIA 2012\PERSONERÍAS\INV. PK LIMITADA.doc</t>
  </si>
  <si>
    <t>C:\Users\franc\OneDrive\Documentos\MALENTIN KARIME\BANCO ESTADO\2012 DEPTO ESCRITURAS fata\Dc Simples\RESPALDO comp notaria 27_12_12\NOTARIA 2012\PERSONERÍAS\INV. DOS RIOS  LTDA..doc</t>
  </si>
  <si>
    <t>C:\Users\franc\OneDrive\Documentos\MALENTIN KARIME\BANCO ESTADO\2012 DEPTO ESCRITURAS fata\Dc Simples\RESPALDO comp notaria 27_12_12\NOTARIA 2012\PERSONERÍAS\INSELELEC.doc</t>
  </si>
  <si>
    <t>C:\Users\franc\OneDrive\Documentos\MALENTIN KARIME\BANCO ESTADO\2012 DEPTO ESCRITURAS fata\Dc Simples\RESPALDO comp notaria 27_12_12\NOTARIA 2012\PERSONERÍAS\INSELEC LTDA..doc</t>
  </si>
  <si>
    <t>C:\Users\franc\OneDrive\Documentos\MALENTIN KARIME\BANCO ESTADO\2012 DEPTO ESCRITURAS fata\Dc Simples\RESPALDO comp notaria 27_12_12\NOTARIA 2012\PERSONERÍAS\INPROCOL Ricardo.doc</t>
  </si>
  <si>
    <t>C:\Users\franc\OneDrive\Documentos\MALENTIN KARIME\BANCO ESTADO\2012 DEPTO ESCRITURAS fata\Dc Simples\RESPALDO comp notaria 27_12_12\NOTARIA 2012\PERSONERÍAS\INPROCOL Galvarino.doc</t>
  </si>
  <si>
    <t>C:\Users\franc\OneDrive\Documentos\MALENTIN KARIME\BANCO ESTADO\2012 DEPTO ESCRITURAS fata\Dc Simples\RESPALDO comp notaria 27_12_12\NOTARIA 2012\PERSONERÍAS\INMOBILIARIA RIO LIMARI LTDA..doc</t>
  </si>
  <si>
    <t>C:\Users\franc\OneDrive\Documentos\MALENTIN KARIME\BANCO ESTADO\2012 DEPTO ESCRITURAS fata\Dc Simples\RESPALDO comp notaria 27_12_12\NOTARIA 2012\PERSONERÍAS\ING.y  CONST. CAMARICO.doc</t>
  </si>
  <si>
    <t>C:\Users\franc\OneDrive\Documentos\MALENTIN KARIME\BANCO ESTADO\2012 DEPTO ESCRITURAS fata\Dc Simples\RESPALDO comp notaria 27_12_12\NOTARIA 2012\PERSONERÍAS\INFORSOFT LTDA..doc</t>
  </si>
  <si>
    <t>C:\Users\franc\OneDrive\Documentos\MALENTIN KARIME\BANCO ESTADO\2012 DEPTO ESCRITURAS fata\Dc Simples\RESPALDO comp notaria 27_12_12\NOTARIA 2012\PERSONERÍAS\INDAP REFINANCIAMIENTO Personeria.doc</t>
  </si>
  <si>
    <t>C:\Users\franc\OneDrive\Documentos\MALENTIN KARIME\BANCO ESTADO\2012 DEPTO ESCRITURAS fata\Dc Simples\RESPALDO comp notaria 27_12_12\NOTARIA 2012\PERSONERÍAS\INCOVEG LTDA..doc</t>
  </si>
  <si>
    <t>C:\Users\franc\OneDrive\Documentos\MALENTIN KARIME\BANCO ESTADO\2012 DEPTO ESCRITURAS fata\Dc Simples\RESPALDO comp notaria 27_12_12\NOTARIA 2012\PERSONERÍAS\IMPORTADORA Y COM ALIM PREST SILVIA PEÑA.doc</t>
  </si>
  <si>
    <t>C:\Users\franc\OneDrive\Documentos\MALENTIN KARIME\BANCO ESTADO\2012 DEPTO ESCRITURAS fata\Dc Simples\RESPALDO comp notaria 27_12_12\NOTARIA 2012\PERSONERÍAS\HEROVAL.doc</t>
  </si>
  <si>
    <t>C:\Users\franc\OneDrive\Documentos\MALENTIN KARIME\BANCO ESTADO\2012 DEPTO ESCRITURAS fata\Dc Simples\RESPALDO comp notaria 27_12_12\NOTARIA 2012\PERSONERÍAS\HACIENDA MAL PASO Y CIA. LTDA..doc</t>
  </si>
  <si>
    <t>C:\Users\franc\OneDrive\Documentos\MALENTIN KARIME\BANCO ESTADO\2012 DEPTO ESCRITURAS fata\Dc Simples\RESPALDO comp notaria 27_12_12\NOTARIA 2012\PERSONERÍAS\GUTIERREZ HNOS LTDA..doc</t>
  </si>
  <si>
    <t>C:\Users\franc\OneDrive\Documentos\MALENTIN KARIME\BANCO ESTADO\2012 DEPTO ESCRITURAS fata\Dc Simples\RESPALDO comp notaria 27_12_12\NOTARIA 2012\PERSONERÍAS\GUILLAVE LTDA..doc</t>
  </si>
  <si>
    <t>C:\Users\franc\OneDrive\Documentos\MALENTIN KARIME\BANCO ESTADO\2012 DEPTO ESCRITURAS fata\Dc Simples\RESPALDO comp notaria 27_12_12\NOTARIA 2012\PERSONERÍAS\GRUPO NORTE LTDA..doc</t>
  </si>
  <si>
    <t>C:\Users\franc\OneDrive\Documentos\MALENTIN KARIME\BANCO ESTADO\2012 DEPTO ESCRITURAS fata\Dc Simples\RESPALDO comp notaria 27_12_12\NOTARIA 2012\PERSONERÍAS\GOTA LECHE.doc</t>
  </si>
  <si>
    <t>C:\Users\franc\OneDrive\Documentos\MALENTIN KARIME\BANCO ESTADO\2012 DEPTO ESCRITURAS fata\Dc Simples\RESPALDO comp notaria 27_12_12\NOTARIA 2012\PERSONERÍAS\GONZALEZ Y TORREALBA LTDA..doc</t>
  </si>
  <si>
    <t>C:\Users\franc\OneDrive\Documentos\MALENTIN KARIME\BANCO ESTADO\2012 DEPTO ESCRITURAS fata\Dc Simples\RESPALDO comp notaria 27_12_12\NOTARIA 2012\PERSONERÍAS\GONZALEZ Y PEREIRA LTDA..doc</t>
  </si>
  <si>
    <t>C:\Users\franc\OneDrive\Documentos\MALENTIN KARIME\BANCO ESTADO\2012 DEPTO ESCRITURAS fata\Dc Simples\RESPALDO comp notaria 27_12_12\NOTARIA 2012\PERSONERÍAS\GONART. María Boric.doc</t>
  </si>
  <si>
    <t>C:\Users\franc\OneDrive\Documentos\MALENTIN KARIME\BANCO ESTADO\2012 DEPTO ESCRITURAS fata\Dc Simples\RESPALDO comp notaria 27_12_12\NOTARIA 2012\PERSONERÍAS\GONART Glen.doc</t>
  </si>
  <si>
    <t>C:\Users\franc\OneDrive\Documentos\MALENTIN KARIME\BANCO ESTADO\2012 DEPTO ESCRITURAS fata\Dc Simples\RESPALDO comp notaria 27_12_12\NOTARIA 2012\PERSONERÍAS\GILBERTO CARMONA E HIJOS S.A..doc</t>
  </si>
  <si>
    <t>C:\Users\franc\OneDrive\Documentos\MALENTIN KARIME\BANCO ESTADO\2012 DEPTO ESCRITURAS fata\Dc Simples\RESPALDO comp notaria 27_12_12\NOTARIA 2012\PERSONERÍAS\GEMA LIMITADA.doc</t>
  </si>
  <si>
    <t>C:\Users\franc\OneDrive\Documentos\MALENTIN KARIME\BANCO ESTADO\2012 DEPTO ESCRITURAS fata\Dc Simples\RESPALDO comp notaria 27_12_12\NOTARIA 2012\PERSONERÍAS\FRIGORIFICO SOTAQUI.doc</t>
  </si>
  <si>
    <t>C:\Users\franc\OneDrive\Documentos\MALENTIN KARIME\BANCO ESTADO\2012 DEPTO ESCRITURAS fata\Dc Simples\RESPALDO comp notaria 27_12_12\NOTARIA 2012\PERSONERÍAS\FRIG. SANTA ADRIANA LTDA.doc</t>
  </si>
  <si>
    <t>C:\Users\franc\OneDrive\Documentos\MALENTIN KARIME\BANCO ESTADO\2012 DEPTO ESCRITURAS fata\Dc Simples\RESPALDO comp notaria 27_12_12\NOTARIA 2012\PERSONERÍAS\FRESSO Y CIA. LTDA..doc</t>
  </si>
  <si>
    <t>C:\Users\franc\OneDrive\Documentos\MALENTIN KARIME\BANCO ESTADO\2012 DEPTO ESCRITURAS fata\Dc Simples\RESPALDO comp notaria 27_12_12\NOTARIA 2012\PERSONERÍAS\FRESH &amp; DRY LTDA..doc</t>
  </si>
  <si>
    <t>C:\Users\franc\OneDrive\Documentos\MALENTIN KARIME\BANCO ESTADO\2012 DEPTO ESCRITURAS fata\Dc Simples\RESPALDO comp notaria 27_12_12\NOTARIA 2012\PERSONERÍAS\FORMA LIMITDA.doc</t>
  </si>
  <si>
    <t>C:\Users\franc\OneDrive\Documentos\MALENTIN KARIME\BANCO ESTADO\2012 DEPTO ESCRITURAS fata\Dc Simples\RESPALDO comp notaria 27_12_12\NOTARIA 2012\PERSONERÍAS\FORMA INVERSIONES.doc</t>
  </si>
  <si>
    <t>C:\Users\franc\OneDrive\Documentos\MALENTIN KARIME\BANCO ESTADO\2012 DEPTO ESCRITURAS fata\Dc Simples\RESPALDO comp notaria 27_12_12\NOTARIA 2012\PERSONERÍAS\FLECHA DEL NORTE LTDA..doc</t>
  </si>
  <si>
    <t>C:\Users\franc\OneDrive\Documentos\MALENTIN KARIME\BANCO ESTADO\2012 DEPTO ESCRITURAS fata\Dc Simples\RESPALDO comp notaria 27_12_12\NOTARIA 2012\PERSONERÍAS\FF MINERALS S.A.doc</t>
  </si>
  <si>
    <t>C:\Users\franc\OneDrive\Documentos\MALENTIN KARIME\BANCO ESTADO\2012 DEPTO ESCRITURAS fata\Dc Simples\RESPALDO comp notaria 27_12_12\NOTARIA 2012\PERSONERÍAS\FAPISA S.A..doc</t>
  </si>
  <si>
    <t>C:\Users\franc\OneDrive\Documentos\MALENTIN KARIME\BANCO ESTADO\2012 DEPTO ESCRITURAS fata\Dc Simples\RESPALDO comp notaria 27_12_12\NOTARIA 2012\PERSONERÍAS\Exportadora convalli s.a. felix espinosa.doc</t>
  </si>
  <si>
    <t>C:\Users\franc\OneDrive\Documentos\MALENTIN KARIME\BANCO ESTADO\2012 DEPTO ESCRITURAS fata\Dc Simples\RESPALDO comp notaria 27_12_12\NOTARIA 2012\PERSONERÍAS\ESTANCIA HULLILLINGA S.A.doc</t>
  </si>
  <si>
    <t>C:\Users\franc\OneDrive\Documentos\MALENTIN KARIME\BANCO ESTADO\2012 DEPTO ESCRITURAS fata\Dc Simples\RESPALDO comp notaria 27_12_12\NOTARIA 2012\PERSONERÍAS\ESPECIERA DEL SUR.doc</t>
  </si>
  <si>
    <t>C:\Users\franc\OneDrive\Documentos\MALENTIN KARIME\BANCO ESTADO\2012 DEPTO ESCRITURAS fata\Dc Simples\RESPALDO comp notaria 27_12_12\NOTARIA 2012\PERSONERÍAS\EMB. COGOTI.doc</t>
  </si>
  <si>
    <t>C:\Users\franc\OneDrive\Documentos\MALENTIN KARIME\BANCO ESTADO\2012 DEPTO ESCRITURAS fata\Dc Simples\RESPALDO comp notaria 27_12_12\NOTARIA 2012\PERSONERÍAS\EL RELOJ LTDA..doc</t>
  </si>
  <si>
    <t>C:\Users\franc\OneDrive\Documentos\MALENTIN KARIME\BANCO ESTADO\2012 DEPTO ESCRITURAS fata\Dc Simples\RESPALDO comp notaria 27_12_12\NOTARIA 2012\PERSONERÍAS\EL MAUCO LTDA..doc</t>
  </si>
  <si>
    <t>C:\Users\franc\OneDrive\Documentos\MALENTIN KARIME\BANCO ESTADO\2012 DEPTO ESCRITURAS fata\Dc Simples\RESPALDO comp notaria 27_12_12\NOTARIA 2012\PERSONERÍAS\DICAVE LTDA..doc</t>
  </si>
  <si>
    <t>C:\Users\franc\OneDrive\Documentos\MALENTIN KARIME\BANCO ESTADO\2012 DEPTO ESCRITURAS fata\Dc Simples\RESPALDO comp notaria 27_12_12\NOTARIA 2012\PERSONERÍAS\DENT SERVICIOS.doc</t>
  </si>
  <si>
    <t>C:\Users\franc\OneDrive\Documentos\MALENTIN KARIME\BANCO ESTADO\2012 DEPTO ESCRITURAS fata\Dc Simples\RESPALDO comp notaria 27_12_12\NOTARIA 2012\PERSONERÍAS\CONTADOR FRUTOS S.A..doc</t>
  </si>
  <si>
    <t>C:\Users\franc\OneDrive\Documentos\MALENTIN KARIME\BANCO ESTADO\2012 DEPTO ESCRITURAS fata\Dc Simples\RESPALDO comp notaria 27_12_12\NOTARIA 2012\PERSONERÍAS\CONSTRUCTORA QUILPOCO.doc</t>
  </si>
  <si>
    <t>C:\Users\franc\OneDrive\Documentos\MALENTIN KARIME\BANCO ESTADO\2012 DEPTO ESCRITURAS fata\Dc Simples\RESPALDO comp notaria 27_12_12\NOTARIA 2012\PERSONERÍAS\CONSTRUCTORA NUEVO NORTE LTDA..doc</t>
  </si>
  <si>
    <t>C:\Users\franc\OneDrive\Documentos\MALENTIN KARIME\BANCO ESTADO\2012 DEPTO ESCRITURAS fata\Dc Simples\RESPALDO comp notaria 27_12_12\NOTARIA 2012\PERSONERÍAS\CONSTRUCTORA N Y R LTDA..doc</t>
  </si>
  <si>
    <t>C:\Users\franc\OneDrive\Documentos\MALENTIN KARIME\BANCO ESTADO\2012 DEPTO ESCRITURAS fata\Dc Simples\RESPALDO comp notaria 27_12_12\NOTARIA 2012\PERSONERÍAS\COMUNIDAD AGRICOLA EL DURAZNO.docx</t>
  </si>
  <si>
    <t>C:\Users\franc\OneDrive\Documentos\MALENTIN KARIME\BANCO ESTADO\2012 DEPTO ESCRITURAS fata\Dc Simples\RESPALDO comp notaria 27_12_12\NOTARIA 2012\PERSONERÍAS\COMUNIDAD AGRIC. ORURO.doc</t>
  </si>
  <si>
    <t>C:\Users\franc\OneDrive\Documentos\MALENTIN KARIME\BANCO ESTADO\2012 DEPTO ESCRITURAS fata\Dc Simples\RESPALDO comp notaria 27_12_12\NOTARIA 2012\PERSONERÍAS\COMUNIDAD AGRIC. EL DURAZNO.doc</t>
  </si>
  <si>
    <t>C:\Users\franc\OneDrive\Documentos\MALENTIN KARIME\BANCO ESTADO\2012 DEPTO ESCRITURAS fata\Dc Simples\RESPALDO comp notaria 27_12_12\NOTARIA 2012\PERSONERÍAS\COMSAT LTDA..doc</t>
  </si>
  <si>
    <t>C:\Users\franc\OneDrive\Documentos\MALENTIN KARIME\BANCO ESTADO\2012 DEPTO ESCRITURAS fata\Dc Simples\RESPALDO comp notaria 27_12_12\NOTARIA 2012\PERSONERÍAS\compañia pisquera de chile s.a.doc</t>
  </si>
  <si>
    <t>C:\Users\franc\OneDrive\Documentos\MALENTIN KARIME\BANCO ESTADO\2012 DEPTO ESCRITURAS fata\Dc Simples\RESPALDO comp notaria 27_12_12\NOTARIA 2012\PERSONERÍAS\COMP. 6 CANAL MATRIZ PALOMA.doc</t>
  </si>
  <si>
    <t>C:\Users\franc\OneDrive\Documentos\MALENTIN KARIME\BANCO ESTADO\2012 DEPTO ESCRITURAS fata\Dc Simples\RESPALDO comp notaria 27_12_12\NOTARIA 2012\PERSONERÍAS\COMITE EL DESPERTAR.doc</t>
  </si>
  <si>
    <t>C:\Users\franc\OneDrive\Documentos\MALENTIN KARIME\BANCO ESTADO\2012 DEPTO ESCRITURAS fata\Dc Simples\RESPALDO comp notaria 27_12_12\NOTARIA 2012\PERSONERÍAS\comexport ltda. gonzalo varas.doc</t>
  </si>
  <si>
    <t>C:\Users\franc\OneDrive\Documentos\MALENTIN KARIME\BANCO ESTADO\2012 DEPTO ESCRITURAS fata\Dc Simples\RESPALDO comp notaria 27_12_12\NOTARIA 2012\PERSONERÍAS\COMERCIALIZADORA SAN FABIAN LTDA..doc</t>
  </si>
  <si>
    <t>C:\Users\franc\OneDrive\Documentos\MALENTIN KARIME\BANCO ESTADO\2012 DEPTO ESCRITURAS fata\Dc Simples\RESPALDO comp notaria 27_12_12\NOTARIA 2012\PERSONERÍAS\COMERCIAL Y SERVICIOS UNO.doc</t>
  </si>
  <si>
    <t>C:\Users\franc\OneDrive\Documentos\MALENTIN KARIME\BANCO ESTADO\2012 DEPTO ESCRITURAS fata\Dc Simples\RESPALDO comp notaria 27_12_12\NOTARIA 2012\PERSONERÍAS\COMERCIAL Y AGRICOLA S.A..doc</t>
  </si>
  <si>
    <t>C:\Users\franc\OneDrive\Documentos\MALENTIN KARIME\BANCO ESTADO\2012 DEPTO ESCRITURAS fata\Dc Simples\RESPALDO comp notaria 27_12_12\NOTARIA 2012\PERSONERÍAS\COMERCIAL SELECTA.doc</t>
  </si>
  <si>
    <t>C:\Users\franc\OneDrive\Documentos\MALENTIN KARIME\BANCO ESTADO\2012 DEPTO ESCRITURAS fata\Dc Simples\RESPALDO comp notaria 27_12_12\NOTARIA 2012\PERSONERÍAS\COMERCIAL SANTA FE.doc</t>
  </si>
  <si>
    <t>C:\Users\franc\OneDrive\Documentos\MALENTIN KARIME\BANCO ESTADO\2012 DEPTO ESCRITURAS fata\Dc Simples\RESPALDO comp notaria 27_12_12\NOTARIA 2012\PERSONERÍAS\COMERCIAL REQUENA.docx</t>
  </si>
  <si>
    <t>C:\Users\franc\OneDrive\Documentos\MALENTIN KARIME\BANCO ESTADO\2012 DEPTO ESCRITURAS fata\Dc Simples\RESPALDO comp notaria 27_12_12\NOTARIA 2012\PERSONERÍAS\COMERCIAL REQUENA Y OTROS LTDA..doc</t>
  </si>
  <si>
    <t>C:\Users\franc\OneDrive\Documentos\MALENTIN KARIME\BANCO ESTADO\2012 DEPTO ESCRITURAS fata\Dc Simples\RESPALDO comp notaria 27_12_12\NOTARIA 2012\PERSONERÍAS\COMERCIAL ESTEBAN ARIAS.doc</t>
  </si>
  <si>
    <t>C:\Users\franc\OneDrive\Documentos\MALENTIN KARIME\BANCO ESTADO\2012 DEPTO ESCRITURAS fata\Dc Simples\RESPALDO comp notaria 27_12_12\NOTARIA 2012\PERSONERÍAS\COMERCIAL BUENAVENTURA LTDA..doc</t>
  </si>
  <si>
    <t>C:\Users\franc\OneDrive\Documentos\MALENTIN KARIME\BANCO ESTADO\2012 DEPTO ESCRITURAS fata\Dc Simples\RESPALDO comp notaria 27_12_12\NOTARIA 2012\PERSONERÍAS\COM. VALDIVIA DE PUNILLA.doc</t>
  </si>
  <si>
    <t>C:\Users\franc\OneDrive\Documentos\MALENTIN KARIME\BANCO ESTADO\2012 DEPTO ESCRITURAS fata\Dc Simples\RESPALDO comp notaria 27_12_12\NOTARIA 2012\PERSONERÍAS\COM. SALALA.doc</t>
  </si>
  <si>
    <t>C:\Users\franc\OneDrive\Documentos\MALENTIN KARIME\BANCO ESTADO\2012 DEPTO ESCRITURAS fata\Dc Simples\RESPALDO comp notaria 27_12_12\NOTARIA 2012\PERSONERÍAS\COM. PEQ. PRODC. DE UVAS CAREN.doc</t>
  </si>
  <si>
    <t>C:\Users\franc\OneDrive\Documentos\MALENTIN KARIME\BANCO ESTADO\2012 DEPTO ESCRITURAS fata\Dc Simples\RESPALDO comp notaria 27_12_12\NOTARIA 2012\PERSONERÍAS\COM. CERRO BLANCO.doc</t>
  </si>
  <si>
    <t>C:\Users\franc\OneDrive\Documentos\MALENTIN KARIME\BANCO ESTADO\2012 DEPTO ESCRITURAS fata\Dc Simples\RESPALDO comp notaria 27_12_12\NOTARIA 2012\PERSONERÍAS\COM. AGUA LIMARI.doc</t>
  </si>
  <si>
    <t>C:\Users\franc\OneDrive\Documentos\MALENTIN KARIME\BANCO ESTADO\2012 DEPTO ESCRITURAS fata\Dc Simples\RESPALDO comp notaria 27_12_12\NOTARIA 2012\PERSONERÍAS\CISTERNAS HNOS. LTDA..doc</t>
  </si>
  <si>
    <t>C:\Users\franc\OneDrive\Documentos\MALENTIN KARIME\BANCO ESTADO\2012 DEPTO ESCRITURAS fata\Dc Simples\RESPALDO comp notaria 27_12_12\NOTARIA 2012\PERSONERÍAS\CISSO.doc</t>
  </si>
  <si>
    <t>C:\Users\franc\OneDrive\Documentos\MALENTIN KARIME\BANCO ESTADO\2012 DEPTO ESCRITURAS fata\Dc Simples\RESPALDO comp notaria 27_12_12\NOTARIA 2012\PERSONERÍAS\CIELO CLARO.doc</t>
  </si>
  <si>
    <t>C:\Users\franc\OneDrive\Documentos\MALENTIN KARIME\BANCO ESTADO\2012 DEPTO ESCRITURAS fata\Dc Simples\RESPALDO comp notaria 27_12_12\NOTARIA 2012\PERSONERÍAS\CIA. MINERA MUNIZAGA.doc</t>
  </si>
  <si>
    <t>C:\Users\franc\OneDrive\Documentos\MALENTIN KARIME\BANCO ESTADO\2012 DEPTO ESCRITURAS fata\Dc Simples\RESPALDO comp notaria 27_12_12\NOTARIA 2012\PERSONERÍAS\CESAR ALVAREZ.doc</t>
  </si>
  <si>
    <t>C:\Users\franc\OneDrive\Documentos\MALENTIN KARIME\BANCO ESTADO\2012 DEPTO ESCRITURAS fata\Dc Simples\RESPALDO comp notaria 27_12_12\NOTARIA 2012\PERSONERÍAS\CERRO CAMPANARIO.doc</t>
  </si>
  <si>
    <t>C:\Users\franc\OneDrive\Documentos\MALENTIN KARIME\BANCO ESTADO\2012 DEPTO ESCRITURAS fata\Dc Simples\RESPALDO comp notaria 27_12_12\NOTARIA 2012\PERSONERÍAS\CERRO CAMPANARIO JUAN.doc</t>
  </si>
  <si>
    <t>C:\Users\franc\OneDrive\Documentos\MALENTIN KARIME\BANCO ESTADO\2012 DEPTO ESCRITURAS fata\Dc Simples\RESPALDO comp notaria 27_12_12\NOTARIA 2012\PERSONERÍAS\CEGECAP.doc</t>
  </si>
  <si>
    <t>C:\Users\franc\OneDrive\Documentos\MALENTIN KARIME\BANCO ESTADO\2012 DEPTO ESCRITURAS fata\Dc Simples\RESPALDO comp notaria 27_12_12\NOTARIA 2012\PERSONERÍAS\CEGECAP REP.doc</t>
  </si>
  <si>
    <t>C:\Users\franc\OneDrive\Documentos\MALENTIN KARIME\BANCO ESTADO\2012 DEPTO ESCRITURAS fata\Dc Simples\RESPALDO comp notaria 27_12_12\NOTARIA 2012\PERSONERÍAS\CECILIA CORTES E.I.R.L..doc</t>
  </si>
  <si>
    <t>C:\Users\franc\OneDrive\Documentos\MALENTIN KARIME\BANCO ESTADO\2012 DEPTO ESCRITURAS fata\Dc Simples\RESPALDO comp notaria 27_12_12\NOTARIA 2012\PERSONERÍAS\CARVAJAL Y SALINAS LTDA..doc</t>
  </si>
  <si>
    <t>C:\Users\franc\OneDrive\Documentos\MALENTIN KARIME\BANCO ESTADO\2012 DEPTO ESCRITURAS fata\Dc Simples\RESPALDO comp notaria 27_12_12\NOTARIA 2012\PERSONERÍAS\CARGONORTE LTDA.Jaime Alamo.doc</t>
  </si>
  <si>
    <t>C:\Users\franc\OneDrive\Documentos\MALENTIN KARIME\BANCO ESTADO\2012 DEPTO ESCRITURAS fata\Dc Simples\RESPALDO comp notaria 27_12_12\NOTARIA 2012\PERSONERÍAS\CAPSICUM.doc</t>
  </si>
  <si>
    <t>C:\Users\franc\OneDrive\Documentos\MALENTIN KARIME\BANCO ESTADO\2012 DEPTO ESCRITURAS fata\Dc Simples\RESPALDO comp notaria 27_12_12\NOTARIA 2012\PERSONERÍAS\CAPRIGEN LTDA..doc</t>
  </si>
  <si>
    <t>C:\Users\franc\OneDrive\Documentos\MALENTIN KARIME\BANCO ESTADO\2012 DEPTO ESCRITURAS fata\Dc Simples\RESPALDO comp notaria 27_12_12\NOTARIA 2012\PERSONERÍAS\capel.doc</t>
  </si>
  <si>
    <t>C:\Users\franc\OneDrive\Documentos\MALENTIN KARIME\BANCO ESTADO\2012 DEPTO ESCRITURAS fata\Dc Simples\RESPALDO comp notaria 27_12_12\NOTARIA 2012\PERSONERÍAS\CANAL PALQUI MAURAT.doc</t>
  </si>
  <si>
    <t>C:\Users\franc\OneDrive\Documentos\MALENTIN KARIME\BANCO ESTADO\2012 DEPTO ESCRITURAS fata\Dc Simples\RESPALDO comp notaria 27_12_12\NOTARIA 2012\PERSONERÍAS\CANAL CAMARICO.doc</t>
  </si>
  <si>
    <t>C:\Users\franc\OneDrive\Documentos\MALENTIN KARIME\BANCO ESTADO\2012 DEPTO ESCRITURAS fata\Dc Simples\RESPALDO comp notaria 27_12_12\NOTARIA 2012\PERSONERÍAS\CAMINO ALTO LTDA..doc</t>
  </si>
  <si>
    <t>C:\Users\franc\OneDrive\Documentos\MALENTIN KARIME\BANCO ESTADO\2012 DEPTO ESCRITURAS fata\Dc Simples\RESPALDO comp notaria 27_12_12\NOTARIA 2012\PERSONERÍAS\BRÜNDL CONSTRUCCIONES S.A..doc</t>
  </si>
  <si>
    <t>C:\Users\franc\OneDrive\Documentos\MALENTIN KARIME\BANCO ESTADO\2012 DEPTO ESCRITURAS fata\Dc Simples\RESPALDO comp notaria 27_12_12\NOTARIA 2012\PERSONERÍAS\BOZO Y SANDOVAL LTDA..doc</t>
  </si>
  <si>
    <t>C:\Users\franc\OneDrive\Documentos\MALENTIN KARIME\BANCO ESTADO\2012 DEPTO ESCRITURAS fata\Dc Simples\RESPALDO comp notaria 27_12_12\NOTARIA 2012\PERSONERÍAS\BOYENS..doc</t>
  </si>
  <si>
    <t>C:\Users\franc\OneDrive\Documentos\MALENTIN KARIME\BANCO ESTADO\2012 DEPTO ESCRITURAS fata\Dc Simples\RESPALDO comp notaria 27_12_12\NOTARIA 2012\PERSONERÍAS\BOSMAN Y GIOIA LTDA..doc</t>
  </si>
  <si>
    <t>C:\Users\franc\OneDrive\Documentos\MALENTIN KARIME\BANCO ESTADO\2012 DEPTO ESCRITURAS fata\Dc Simples\RESPALDO comp notaria 27_12_12\NOTARIA 2012\PERSONERÍAS\BONANI Y RIVEROS LTDA..doc</t>
  </si>
  <si>
    <t>C:\Users\franc\OneDrive\Documentos\MALENTIN KARIME\BANCO ESTADO\2012 DEPTO ESCRITURAS fata\Dc Simples\RESPALDO comp notaria 27_12_12\NOTARIA 2012\PERSONERÍAS\BAUZA Gabriel Alvarez.doc</t>
  </si>
  <si>
    <t>C:\Users\franc\OneDrive\Documentos\MALENTIN KARIME\BANCO ESTADO\2012 DEPTO ESCRITURAS fata\Dc Simples\RESPALDO comp notaria 27_12_12\NOTARIA 2012\PERSONERÍAS\Autorizo la firma de don JAIME ALBERTO MIÑO GONZALEZ.docx</t>
  </si>
  <si>
    <t>C:\Users\franc\OneDrive\Documentos\MALENTIN KARIME\BANCO ESTADO\2012 DEPTO ESCRITURAS fata\Dc Simples\RESPALDO comp notaria 27_12_12\NOTARIA 2012\PERSONERÍAS\ATRIA ZEPEDA LTDA..doc</t>
  </si>
  <si>
    <t>C:\Users\franc\OneDrive\Documentos\MALENTIN KARIME\BANCO ESTADO\2012 DEPTO ESCRITURAS fata\Dc Simples\RESPALDO comp notaria 27_12_12\NOTARIA 2012\PERSONERÍAS\ASPI LTDA..doc</t>
  </si>
  <si>
    <t>C:\Users\franc\OneDrive\Documentos\MALENTIN KARIME\BANCO ESTADO\2012 DEPTO ESCRITURAS fata\Dc Simples\RESPALDO comp notaria 27_12_12\NOTARIA 2012\PERSONERÍAS\ASOC. GREMIAL MINERA.doc</t>
  </si>
  <si>
    <t>C:\Users\franc\OneDrive\Documentos\MALENTIN KARIME\BANCO ESTADO\2012 DEPTO ESCRITURAS fata\Dc Simples\RESPALDO comp notaria 27_12_12\NOTARIA 2012\PERSONERÍAS\ASOC. CANALISTA DEL CANAL DERIVADO  PUNITAQUI.doc</t>
  </si>
  <si>
    <t>C:\Users\franc\OneDrive\Documentos\MALENTIN KARIME\BANCO ESTADO\2012 DEPTO ESCRITURAS fata\Dc Simples\RESPALDO comp notaria 27_12_12\NOTARIA 2012\PERSONERÍAS\ARKON LTDA..doc</t>
  </si>
  <si>
    <t>C:\Users\franc\OneDrive\Documentos\MALENTIN KARIME\BANCO ESTADO\2012 DEPTO ESCRITURAS fata\Dc Simples\RESPALDO comp notaria 27_12_12\NOTARIA 2012\PERSONERÍAS\ANDALUCIA.doc</t>
  </si>
  <si>
    <t>C:\Users\franc\OneDrive\Documentos\MALENTIN KARIME\BANCO ESTADO\2012 DEPTO ESCRITURAS fata\Dc Simples\RESPALDO comp notaria 27_12_12\NOTARIA 2012\PERSONERÍAS\ANA MARIA BOU PIZARRO E.I.R.L..doc</t>
  </si>
  <si>
    <t>C:\Users\franc\OneDrive\Documentos\MALENTIN KARIME\BANCO ESTADO\2012 DEPTO ESCRITURAS fata\Dc Simples\RESPALDO comp notaria 27_12_12\NOTARIA 2012\PERSONERÍAS\ALTOVALSOL LTDA..doc</t>
  </si>
  <si>
    <t>C:\Users\franc\OneDrive\Documentos\MALENTIN KARIME\BANCO ESTADO\2012 DEPTO ESCRITURAS fata\Dc Simples\RESPALDO comp notaria 27_12_12\NOTARIA 2012\PERSONERÍAS\ALTAZOR LTDA..doc</t>
  </si>
  <si>
    <t>C:\Users\franc\OneDrive\Documentos\MALENTIN KARIME\BANCO ESTADO\2012 DEPTO ESCRITURAS fata\Dc Simples\RESPALDO comp notaria 27_12_12\NOTARIA 2012\PERSONERÍAS\ALTAMIRANO BUONO-CORE.docx</t>
  </si>
  <si>
    <t>C:\Users\franc\OneDrive\Documentos\MALENTIN KARIME\BANCO ESTADO\2012 DEPTO ESCRITURAS fata\Dc Simples\RESPALDO comp notaria 27_12_12\NOTARIA 2012\PERSONERÍAS\ALIANZA CONSULTORES.doc</t>
  </si>
  <si>
    <t>C:\Users\franc\OneDrive\Documentos\MALENTIN KARIME\BANCO ESTADO\2012 DEPTO ESCRITURAS fata\Dc Simples\RESPALDO comp notaria 27_12_12\NOTARIA 2012\PERSONERÍAS\ALFALFARES LTDA..doc</t>
  </si>
  <si>
    <t>C:\Users\franc\OneDrive\Documentos\MALENTIN KARIME\BANCO ESTADO\2012 DEPTO ESCRITURAS fata\Dc Simples\RESPALDO comp notaria 27_12_12\NOTARIA 2012\PERSONERÍAS\ALCIDES NIN.doc</t>
  </si>
  <si>
    <t>C:\Users\franc\OneDrive\Documentos\MALENTIN KARIME\BANCO ESTADO\2012 DEPTO ESCRITURAS fata\Dc Simples\RESPALDO comp notaria 27_12_12\NOTARIA 2012\PERSONERÍAS\ALAMO BLANCO LTDA..doc</t>
  </si>
  <si>
    <t>C:\Users\franc\OneDrive\Documentos\MALENTIN KARIME\BANCO ESTADO\2012 DEPTO ESCRITURAS fata\Dc Simples\RESPALDO comp notaria 27_12_12\NOTARIA 2012\PERSONERÍAS\AIRENORTE LTDA..doc</t>
  </si>
  <si>
    <t>C:\Users\franc\OneDrive\Documentos\MALENTIN KARIME\BANCO ESTADO\2012 DEPTO ESCRITURAS fata\Dc Simples\RESPALDO comp notaria 27_12_12\NOTARIA 2012\PERSONERÍAS\AGRUPACION DISCAPACITADOS GENESIS.doc</t>
  </si>
  <si>
    <t>C:\Users\franc\OneDrive\Documentos\MALENTIN KARIME\BANCO ESTADO\2012 DEPTO ESCRITURAS fata\Dc Simples\RESPALDO comp notaria 27_12_12\NOTARIA 2012\PERSONERÍAS\AGROSERVICIOS.doc</t>
  </si>
  <si>
    <t>C:\Users\franc\OneDrive\Documentos\MALENTIN KARIME\BANCO ESTADO\2012 DEPTO ESCRITURAS fata\Dc Simples\RESPALDO comp notaria 27_12_12\NOTARIA 2012\PERSONERÍAS\AGROMILENIO S.A..doc</t>
  </si>
  <si>
    <t>C:\Users\franc\OneDrive\Documentos\MALENTIN KARIME\BANCO ESTADO\2012 DEPTO ESCRITURAS fata\Dc Simples\RESPALDO comp notaria 27_12_12\NOTARIA 2012\PERSONERÍAS\AGROIND. ALBERTO AGUIRRE LTDA..doc</t>
  </si>
  <si>
    <t>C:\Users\franc\OneDrive\Documentos\MALENTIN KARIME\BANCO ESTADO\2012 DEPTO ESCRITURAS fata\Dc Simples\RESPALDO comp notaria 27_12_12\NOTARIA 2012\PERSONERÍAS\AGROC.SAN ANDRES.doc</t>
  </si>
  <si>
    <t>C:\Users\franc\OneDrive\Documentos\MALENTIN KARIME\BANCO ESTADO\2012 DEPTO ESCRITURAS fata\Dc Simples\RESPALDO comp notaria 27_12_12\NOTARIA 2012\PERSONERÍAS\AGRIVET LTDA..doc</t>
  </si>
  <si>
    <t>C:\Users\franc\OneDrive\Documentos\MALENTIN KARIME\BANCO ESTADO\2012 DEPTO ESCRITURAS fata\Dc Simples\RESPALDO comp notaria 27_12_12\NOTARIA 2012\PERSONERÍAS\AGRICOR S.A..doc</t>
  </si>
  <si>
    <t>C:\Users\franc\OneDrive\Documentos\MALENTIN KARIME\BANCO ESTADO\2012 DEPTO ESCRITURAS fata\Dc Simples\RESPALDO comp notaria 27_12_12\NOTARIA 2012\PERSONERÍAS\AGRICOLA VALLE DEL ALBA.doc</t>
  </si>
  <si>
    <t>C:\Users\franc\OneDrive\Documentos\MALENTIN KARIME\BANCO ESTADO\2012 DEPTO ESCRITURAS fata\Dc Simples\RESPALDO comp notaria 27_12_12\NOTARIA 2012\PERSONERÍAS\AGRICOLA VALDIVIA.doc</t>
  </si>
  <si>
    <t>C:\Users\franc\OneDrive\Documentos\MALENTIN KARIME\BANCO ESTADO\2012 DEPTO ESCRITURAS fata\Dc Simples\RESPALDO comp notaria 27_12_12\NOTARIA 2012\PERSONERÍAS\AGRICOLA SICOR.doc</t>
  </si>
  <si>
    <t>C:\Users\franc\OneDrive\Documentos\MALENTIN KARIME\BANCO ESTADO\2012 DEPTO ESCRITURAS fata\Dc Simples\RESPALDO comp notaria 27_12_12\NOTARIA 2012\PERSONERÍAS\AGRICOLA SANTA JOSEFINA LTDA..doc</t>
  </si>
  <si>
    <t>C:\Users\franc\OneDrive\Documentos\MALENTIN KARIME\BANCO ESTADO\2012 DEPTO ESCRITURAS fata\Dc Simples\RESPALDO comp notaria 27_12_12\NOTARIA 2012\PERSONERÍAS\AGRICOLA SANTA EMILIA LTDA..doc</t>
  </si>
  <si>
    <t>C:\Users\franc\OneDrive\Documentos\MALENTIN KARIME\BANCO ESTADO\2012 DEPTO ESCRITURAS fata\Dc Simples\RESPALDO comp notaria 27_12_12\NOTARIA 2012\PERSONERÍAS\AGRICOLA SAN MARCOS LTDA..doc</t>
  </si>
  <si>
    <t>C:\Users\franc\OneDrive\Documentos\MALENTIN KARIME\BANCO ESTADO\2012 DEPTO ESCRITURAS fata\Dc Simples\RESPALDO comp notaria 27_12_12\NOTARIA 2012\PERSONERÍAS\AGRICOLA SAN FELIPE ORIENTE LTDA..doc</t>
  </si>
  <si>
    <t>C:\Users\franc\OneDrive\Documentos\MALENTIN KARIME\BANCO ESTADO\2012 DEPTO ESCRITURAS fata\Dc Simples\RESPALDO comp notaria 27_12_12\NOTARIA 2012\PERSONERÍAS\AGRICOLA ROSA PALACIOS.doc</t>
  </si>
  <si>
    <t>C:\Users\franc\OneDrive\Documentos\MALENTIN KARIME\BANCO ESTADO\2012 DEPTO ESCRITURAS fata\Dc Simples\RESPALDO comp notaria 27_12_12\NOTARIA 2012\PERSONERÍAS\AGRICOLA RIO NEGRO LTDA..doc</t>
  </si>
  <si>
    <t>C:\Users\franc\OneDrive\Documentos\MALENTIN KARIME\BANCO ESTADO\2012 DEPTO ESCRITURAS fata\Dc Simples\RESPALDO comp notaria 27_12_12\NOTARIA 2012\PERSONERÍAS\AGRICOLA PROFI LTDA..doc</t>
  </si>
  <si>
    <t>C:\Users\franc\OneDrive\Documentos\MALENTIN KARIME\BANCO ESTADO\2012 DEPTO ESCRITURAS fata\Dc Simples\RESPALDO comp notaria 27_12_12\NOTARIA 2012\PERSONERÍAS\AGRICOLA PISCIS.doc</t>
  </si>
  <si>
    <t>C:\Users\franc\OneDrive\Documentos\MALENTIN KARIME\BANCO ESTADO\2012 DEPTO ESCRITURAS fata\Dc Simples\RESPALDO comp notaria 27_12_12\NOTARIA 2012\PERSONERÍAS\AGRICOLA PEDREGAL LTDA..doc</t>
  </si>
  <si>
    <t>C:\Users\franc\OneDrive\Documentos\MALENTIN KARIME\BANCO ESTADO\2012 DEPTO ESCRITURAS fata\Dc Simples\RESPALDO comp notaria 27_12_12\NOTARIA 2012\PERSONERÍAS\AGRICOLA OSVALDO LAGUNAS.doc</t>
  </si>
  <si>
    <t>C:\Users\franc\OneDrive\Documentos\MALENTIN KARIME\BANCO ESTADO\2012 DEPTO ESCRITURAS fata\Dc Simples\RESPALDO comp notaria 27_12_12\NOTARIA 2012\PERSONERÍAS\AGRICOLA MALLORCA S.A..doc</t>
  </si>
  <si>
    <t>C:\Users\franc\OneDrive\Documentos\MALENTIN KARIME\BANCO ESTADO\2012 DEPTO ESCRITURAS fata\Dc Simples\RESPALDO comp notaria 27_12_12\NOTARIA 2012\PERSONERÍAS\AGRICOLA MAL PASO DE LIMARI LTDA..doc</t>
  </si>
  <si>
    <t>C:\Users\franc\OneDrive\Documentos\MALENTIN KARIME\BANCO ESTADO\2012 DEPTO ESCRITURAS fata\Dc Simples\RESPALDO comp notaria 27_12_12\NOTARIA 2012\PERSONERÍAS\AGRICOLA LA VIÑA LTDA..doc</t>
  </si>
  <si>
    <t>C:\Users\franc\OneDrive\Documentos\MALENTIN KARIME\BANCO ESTADO\2012 DEPTO ESCRITURAS fata\Dc Simples\RESPALDO comp notaria 27_12_12\NOTARIA 2012\PERSONERÍAS\AGRICOLA LA GREDA Santiago B.doc</t>
  </si>
  <si>
    <t>C:\Users\franc\OneDrive\Documentos\MALENTIN KARIME\BANCO ESTADO\2012 DEPTO ESCRITURAS fata\Dc Simples\RESPALDO comp notaria 27_12_12\NOTARIA 2012\PERSONERÍAS\AGRICOLA HERZAN LTDA..doc</t>
  </si>
  <si>
    <t>C:\Users\franc\OneDrive\Documentos\MALENTIN KARIME\BANCO ESTADO\2012 DEPTO ESCRITURAS fata\Dc Simples\RESPALDO comp notaria 27_12_12\NOTARIA 2012\PERSONERÍAS\AGRICOLA GUERRERO E HIJO LTDA.doc</t>
  </si>
  <si>
    <t>C:\Users\franc\OneDrive\Documentos\MALENTIN KARIME\BANCO ESTADO\2012 DEPTO ESCRITURAS fata\Dc Simples\RESPALDO comp notaria 27_12_12\NOTARIA 2012\PERSONERÍAS\AGRICOLA EL PARRON.doc</t>
  </si>
  <si>
    <t>C:\Users\franc\OneDrive\Documentos\MALENTIN KARIME\BANCO ESTADO\2012 DEPTO ESCRITURAS fata\Dc Simples\RESPALDO comp notaria 27_12_12\NOTARIA 2012\PERSONERÍAS\AGRICOLA EL MIRADOR ORIENTE.doc</t>
  </si>
  <si>
    <t>C:\Users\franc\OneDrive\Documentos\MALENTIN KARIME\BANCO ESTADO\2012 DEPTO ESCRITURAS fata\Dc Simples\RESPALDO comp notaria 27_12_12\NOTARIA 2012\PERSONERÍAS\AGRICOLA EL LLANO LTDA..doc</t>
  </si>
  <si>
    <t>C:\Users\franc\OneDrive\Documentos\MALENTIN KARIME\BANCO ESTADO\2012 DEPTO ESCRITURAS fata\Dc Simples\RESPALDO comp notaria 27_12_12\NOTARIA 2012\PERSONERÍAS\AGRICOLA EL CHAÑAR DE RIO HURTADO.doc</t>
  </si>
  <si>
    <t>C:\Users\franc\OneDrive\Documentos\MALENTIN KARIME\BANCO ESTADO\2012 DEPTO ESCRITURAS fata\Dc Simples\RESPALDO comp notaria 27_12_12\NOTARIA 2012\PERSONERÍAS\AGRICOLA E INV. LAS NIETAS LTDA..doc</t>
  </si>
  <si>
    <t>C:\Users\franc\OneDrive\Documentos\MALENTIN KARIME\BANCO ESTADO\2012 DEPTO ESCRITURAS fata\Dc Simples\RESPALDO comp notaria 27_12_12\NOTARIA 2012\PERSONERÍAS\AGRICOLA CERRO NEGRO LTDA..doc</t>
  </si>
  <si>
    <t>C:\Users\franc\OneDrive\Documentos\MALENTIN KARIME\BANCO ESTADO\2012 DEPTO ESCRITURAS fata\Dc Simples\RESPALDO comp notaria 27_12_12\NOTARIA 2012\PERSONERÍAS\AGRICOLA BOU DE RAPEL LTDA..doc</t>
  </si>
  <si>
    <t>C:\Users\franc\OneDrive\Documentos\MALENTIN KARIME\BANCO ESTADO\2012 DEPTO ESCRITURAS fata\Dc Simples\RESPALDO comp notaria 27_12_12\NOTARIA 2012\PERSONERÍAS\AGRICOLA ALFONSO LTDA..doc</t>
  </si>
  <si>
    <t>C:\Users\franc\OneDrive\Documentos\MALENTIN KARIME\BANCO ESTADO\2012 DEPTO ESCRITURAS fata\Dc Simples\RESPALDO comp notaria 27_12_12\NOTARIA 2012\PERSONERÍAS\AGRICOLA AGUSTIN ARAYA.doc</t>
  </si>
  <si>
    <t>C:\Users\franc\OneDrive\Documentos\MALENTIN KARIME\BANCO ESTADO\2012 DEPTO ESCRITURAS fata\Dc Simples\RESPALDO comp notaria 27_12_12\NOTARIA 2012\PERSONERÍAS\AGRIC.JUANA GONZALEZ.doc</t>
  </si>
  <si>
    <t>C:\Users\franc\OneDrive\Documentos\MALENTIN KARIME\BANCO ESTADO\2012 DEPTO ESCRITURAS fata\Dc Simples\RESPALDO comp notaria 27_12_12\NOTARIA 2012\PERSONERÍAS\AGRIC. Y COM. BOU Y CIA.LTDA..doc</t>
  </si>
  <si>
    <t>C:\Users\franc\OneDrive\Documentos\MALENTIN KARIME\BANCO ESTADO\2012 DEPTO ESCRITURAS fata\Dc Simples\RESPALDO comp notaria 27_12_12\NOTARIA 2012\PERSONERÍAS\AGRIC. SEGUNDA CAREN LTDA..doc</t>
  </si>
  <si>
    <t>C:\Users\franc\OneDrive\Documentos\MALENTIN KARIME\BANCO ESTADO\2012 DEPTO ESCRITURAS fata\Dc Simples\RESPALDO comp notaria 27_12_12\NOTARIA 2012\PERSONERÍAS\AGRIC. RIO NOS LTDA..doc</t>
  </si>
  <si>
    <t>C:\Users\franc\OneDrive\Documentos\MALENTIN KARIME\BANCO ESTADO\2012 DEPTO ESCRITURAS fata\Dc Simples\RESPALDO comp notaria 27_12_12\NOTARIA 2012\PERSONERÍAS\AGRIC. MOSTAZAL ORIENTE LTDA..doc</t>
  </si>
  <si>
    <t>C:\Users\franc\OneDrive\Documentos\MALENTIN KARIME\BANCO ESTADO\2012 DEPTO ESCRITURAS fata\Dc Simples\RESPALDO comp notaria 27_12_12\NOTARIA 2012\PERSONERÍAS\AGRIC. INV. VARELA LTDA..doc</t>
  </si>
  <si>
    <t>C:\Users\franc\OneDrive\Documentos\MALENTIN KARIME\BANCO ESTADO\2012 DEPTO ESCRITURAS fata\Dc Simples\RESPALDO comp notaria 27_12_12\NOTARIA 2012\PERSONERÍAS\AGRIC. E INVERS.JUAN PABLO LTDA..doc</t>
  </si>
  <si>
    <t>C:\Users\franc\OneDrive\Documentos\MALENTIN KARIME\BANCO ESTADO\2012 DEPTO ESCRITURAS fata\Dc Simples\RESPALDO comp notaria 27_12_12\NOTARIA 2012\PERSONERÍAS\AGRIC. AMABLE BARRAZA.doc</t>
  </si>
  <si>
    <t>C:\Users\franc\OneDrive\Documentos\MALENTIN KARIME\BANCO ESTADO\2012 DEPTO ESCRITURAS fata\Dc Simples\RESPALDO comp notaria 27_12_12\NOTARIA 2012\PERSONERÍAS\ADMINISTRADORA DE CREDITOS LTDA..doc</t>
  </si>
  <si>
    <t>C:\Users\franc\OneDrive\Documentos\MALENTIN KARIME\BANCO ESTADO\2012 DEPTO ESCRITURAS fata\Dc Simples\RESPALDO comp notaria 27_12_12\NOTARIA 2012\PERSONERÍAS\ADM. CREDITOS LTDA.Arturo.doc</t>
  </si>
  <si>
    <t>C:\Users\franc\OneDrive\Documentos\MALENTIN KARIME\BANCO ESTADO\2012 DEPTO ESCRITURAS fata\Dc Simples\RESPALDO comp notaria 27_12_12\NOTARIA 2012\PERSONERÍAS\ACCION CONSULTORES LTDA..doc</t>
  </si>
  <si>
    <t>C:\Users\franc\OneDrive\Documentos\MALENTIN KARIME\BANCO ESTADO\2012 DEPTO ESCRITURAS fata\Dc Simples\RESPALDO comp notaria 27_12_12\NOTARIA 2012\MINAS\YUBI 1AL 10.doc</t>
  </si>
  <si>
    <t>C:\Users\franc\OneDrive\Documentos\MALENTIN KARIME\BANCO ESTADO\2012 DEPTO ESCRITURAS fata\Dc Simples\RESPALDO comp notaria 27_12_12\NOTARIA 2012\MINAS\YIYO.doc</t>
  </si>
  <si>
    <t>C:\Users\franc\OneDrive\Documentos\MALENTIN KARIME\BANCO ESTADO\2012 DEPTO ESCRITURAS fata\Dc Simples\RESPALDO comp notaria 27_12_12\NOTARIA 2012\MINAS\VICTORIA I-10.doc</t>
  </si>
  <si>
    <t>C:\Users\franc\OneDrive\Documentos\MALENTIN KARIME\BANCO ESTADO\2012 DEPTO ESCRITURAS fata\Dc Simples\RESPALDO comp notaria 27_12_12\NOTARIA 2012\MINAS\VICTORIA 1-8.doc</t>
  </si>
  <si>
    <t>C:\Users\franc\OneDrive\Documentos\MALENTIN KARIME\BANCO ESTADO\2012 DEPTO ESCRITURAS fata\Dc Simples\RESPALDO comp notaria 27_12_12\NOTARIA 2012\MINAS\VENTA ESCORIA.doc</t>
  </si>
  <si>
    <t>C:\Users\franc\OneDrive\Documentos\MALENTIN KARIME\BANCO ESTADO\2012 DEPTO ESCRITURAS fata\Dc Simples\RESPALDO comp notaria 27_12_12\NOTARIA 2012\MINAS\VENCEDORA UNO AL SIETE.doc</t>
  </si>
  <si>
    <t>C:\Users\franc\OneDrive\Documentos\MALENTIN KARIME\BANCO ESTADO\2012 DEPTO ESCRITURAS fata\Dc Simples\RESPALDO comp notaria 27_12_12\NOTARIA 2012\MINAS\VENCEDORA A PEDRO SEGOVIA.DOC</t>
  </si>
  <si>
    <t>C:\Users\franc\OneDrive\Documentos\MALENTIN KARIME\BANCO ESTADO\2012 DEPTO ESCRITURAS fata\Dc Simples\RESPALDO comp notaria 27_12_12\NOTARIA 2012\MINAS\VARIOLA RENACIENTE.doc</t>
  </si>
  <si>
    <t>C:\Users\franc\OneDrive\Documentos\MALENTIN KARIME\BANCO ESTADO\2012 DEPTO ESCRITURAS fata\Dc Simples\RESPALDO comp notaria 27_12_12\NOTARIA 2012\MINAS\VALLECITO I.doc</t>
  </si>
  <si>
    <t>C:\Users\franc\OneDrive\Documentos\MALENTIN KARIME\BANCO ESTADO\2012 DEPTO ESCRITURAS fata\Dc Simples\RESPALDO comp notaria 27_12_12\NOTARIA 2012\MINAS\TRES AMIGOS.doc</t>
  </si>
  <si>
    <t>C:\Users\franc\OneDrive\Documentos\MALENTIN KARIME\BANCO ESTADO\2012 DEPTO ESCRITURAS fata\Dc Simples\RESPALDO comp notaria 27_12_12\NOTARIA 2012\MINAS\TRES AMIGOS 1 AL 18.doc</t>
  </si>
  <si>
    <t>C:\Users\franc\OneDrive\Documentos\MALENTIN KARIME\BANCO ESTADO\2012 DEPTO ESCRITURAS fata\Dc Simples\RESPALDO comp notaria 27_12_12\NOTARIA 2012\MINAS\SUBARRENDAMIENTO.doc</t>
  </si>
  <si>
    <t>C:\Users\franc\OneDrive\Documentos\MALENTIN KARIME\BANCO ESTADO\2012 DEPTO ESCRITURAS fata\Dc Simples\RESPALDO comp notaria 27_12_12\NOTARIA 2012\MINAS\SUBARRENDAMIENTO MINERO.doc</t>
  </si>
  <si>
    <t>C:\Users\franc\OneDrive\Documentos\MALENTIN KARIME\BANCO ESTADO\2012 DEPTO ESCRITURAS fata\Dc Simples\RESPALDO comp notaria 27_12_12\NOTARIA 2012\MINAS\SUBARRENDAMIENTO MANUEL.doc</t>
  </si>
  <si>
    <t>C:\Users\franc\OneDrive\Documentos\MALENTIN KARIME\BANCO ESTADO\2012 DEPTO ESCRITURAS fata\Dc Simples\RESPALDO comp notaria 27_12_12\NOTARIA 2012\MINAS\SUBARRENDAMIENTO LINO.doc</t>
  </si>
  <si>
    <t>C:\Users\franc\OneDrive\Documentos\MALENTIN KARIME\BANCO ESTADO\2012 DEPTO ESCRITURAS fata\Dc Simples\RESPALDO comp notaria 27_12_12\NOTARIA 2012\MINAS\SUBARRENDAMIENTO CARLOS BUGUEÑO.doc</t>
  </si>
  <si>
    <t>C:\Users\franc\OneDrive\Documentos\MALENTIN KARIME\BANCO ESTADO\2012 DEPTO ESCRITURAS fata\Dc Simples\RESPALDO comp notaria 27_12_12\NOTARIA 2012\MINAS\SUBARR.EXPLOTADORA.doc</t>
  </si>
  <si>
    <t>C:\Users\franc\OneDrive\Documentos\MALENTIN KARIME\BANCO ESTADO\2012 DEPTO ESCRITURAS fata\Dc Simples\RESPALDO comp notaria 27_12_12\NOTARIA 2012\MINAS\SUBARR. LUIS CARRASCO.doc</t>
  </si>
  <si>
    <t>C:\Users\franc\OneDrive\Documentos\MALENTIN KARIME\BANCO ESTADO\2012 DEPTO ESCRITURAS fata\Dc Simples\RESPALDO comp notaria 27_12_12\NOTARIA 2012\MINAS\SUB. XAVIER.doc</t>
  </si>
  <si>
    <t>C:\Users\franc\OneDrive\Documentos\MALENTIN KARIME\BANCO ESTADO\2012 DEPTO ESCRITURAS fata\Dc Simples\RESPALDO comp notaria 27_12_12\NOTARIA 2012\MINAS\SUB. XAVIER a JIMMY.doc</t>
  </si>
  <si>
    <t>C:\Users\franc\OneDrive\Documentos\MALENTIN KARIME\BANCO ESTADO\2012 DEPTO ESCRITURAS fata\Dc Simples\RESPALDO comp notaria 27_12_12\NOTARIA 2012\MINAS\STOCK 1 AL 5.doc</t>
  </si>
  <si>
    <t>C:\Users\franc\OneDrive\Documentos\MALENTIN KARIME\BANCO ESTADO\2012 DEPTO ESCRITURAS fata\Dc Simples\RESPALDO comp notaria 27_12_12\NOTARIA 2012\MINAS\SOLEDAD 1 AL 10.doc</t>
  </si>
  <si>
    <t>C:\Users\franc\OneDrive\Documentos\MALENTIN KARIME\BANCO ESTADO\2012 DEPTO ESCRITURAS fata\Dc Simples\RESPALDO comp notaria 27_12_12\NOTARIA 2012\MINAS\SLM. LA RESAGADA.doc</t>
  </si>
  <si>
    <t>C:\Users\franc\OneDrive\Documentos\MALENTIN KARIME\BANCO ESTADO\2012 DEPTO ESCRITURAS fata\Dc Simples\RESPALDO comp notaria 27_12_12\NOTARIA 2012\MINAS\SLM PRODIGA A XAVIER.DOC</t>
  </si>
  <si>
    <t>C:\Users\franc\OneDrive\Documentos\MALENTIN KARIME\BANCO ESTADO\2012 DEPTO ESCRITURAS fata\Dc Simples\RESPALDO comp notaria 27_12_12\NOTARIA 2012\MINAS\SLM MINA ESTRELLA.doc</t>
  </si>
  <si>
    <t>C:\Users\franc\OneDrive\Documentos\MALENTIN KARIME\BANCO ESTADO\2012 DEPTO ESCRITURAS fata\Dc Simples\RESPALDO comp notaria 27_12_12\NOTARIA 2012\MINAS\SLM LA LEJANA.doc</t>
  </si>
  <si>
    <t>C:\Users\franc\OneDrive\Documentos\MALENTIN KARIME\BANCO ESTADO\2012 DEPTO ESCRITURAS fata\Dc Simples\RESPALDO comp notaria 27_12_12\NOTARIA 2012\MINAS\SLM EL LIMON.doc</t>
  </si>
  <si>
    <t>C:\Users\franc\OneDrive\Documentos\MALENTIN KARIME\BANCO ESTADO\2012 DEPTO ESCRITURAS fata\Dc Simples\RESPALDO comp notaria 27_12_12\NOTARIA 2012\MINAS\SANTA ROSA 1-5.doc</t>
  </si>
  <si>
    <t>C:\Users\franc\OneDrive\Documentos\MALENTIN KARIME\BANCO ESTADO\2012 DEPTO ESCRITURAS fata\Dc Simples\RESPALDO comp notaria 27_12_12\NOTARIA 2012\MINAS\SANTA RITA.doc</t>
  </si>
  <si>
    <t>C:\Users\franc\OneDrive\Documentos\MALENTIN KARIME\BANCO ESTADO\2012 DEPTO ESCRITURAS fata\Dc Simples\RESPALDO comp notaria 27_12_12\NOTARIA 2012\MINAS\SANTA RITA UNO AL DOCE.doc</t>
  </si>
  <si>
    <t>C:\Users\franc\OneDrive\Documentos\MALENTIN KARIME\BANCO ESTADO\2012 DEPTO ESCRITURAS fata\Dc Simples\RESPALDO comp notaria 27_12_12\NOTARIA 2012\MINAS\SANTA MARTA.doc</t>
  </si>
  <si>
    <t>C:\Users\franc\OneDrive\Documentos\MALENTIN KARIME\BANCO ESTADO\2012 DEPTO ESCRITURAS fata\Dc Simples\RESPALDO comp notaria 27_12_12\NOTARIA 2012\MINAS\SANTA LUCIA.doc</t>
  </si>
  <si>
    <t>C:\Users\franc\OneDrive\Documentos\MALENTIN KARIME\BANCO ESTADO\2012 DEPTO ESCRITURAS fata\Dc Simples\RESPALDO comp notaria 27_12_12\NOTARIA 2012\MINAS\SANTA ANGELA 1-20.doc</t>
  </si>
  <si>
    <t>C:\Users\franc\OneDrive\Documentos\MALENTIN KARIME\BANCO ESTADO\2012 DEPTO ESCRITURAS fata\Dc Simples\RESPALDO comp notaria 27_12_12\NOTARIA 2012\MINAS\SANTA ALICIA.doc</t>
  </si>
  <si>
    <t>C:\Users\franc\OneDrive\Documentos\MALENTIN KARIME\BANCO ESTADO\2012 DEPTO ESCRITURAS fata\Dc Simples\RESPALDO comp notaria 27_12_12\NOTARIA 2012\MINAS\SAN MIGUEL 1 AL 20.doc</t>
  </si>
  <si>
    <t>C:\Users\franc\OneDrive\Documentos\MALENTIN KARIME\BANCO ESTADO\2012 DEPTO ESCRITURAS fata\Dc Simples\RESPALDO comp notaria 27_12_12\NOTARIA 2012\MINAS\SAN MANUEL 1 AL 5.doc</t>
  </si>
  <si>
    <t>C:\Users\franc\OneDrive\Documentos\MALENTIN KARIME\BANCO ESTADO\2012 DEPTO ESCRITURAS fata\Dc Simples\RESPALDO comp notaria 27_12_12\NOTARIA 2012\MINAS\SAN LUIS I AL 100.doc</t>
  </si>
  <si>
    <t>C:\Users\franc\OneDrive\Documentos\MALENTIN KARIME\BANCO ESTADO\2012 DEPTO ESCRITURAS fata\Dc Simples\RESPALDO comp notaria 27_12_12\NOTARIA 2012\MINAS\SAN LUIS 1-100.doc</t>
  </si>
  <si>
    <t>C:\Users\franc\OneDrive\Documentos\MALENTIN KARIME\BANCO ESTADO\2012 DEPTO ESCRITURAS fata\Dc Simples\RESPALDO comp notaria 27_12_12\NOTARIA 2012\MINAS\SAN JOAQUIN LTDA..doc</t>
  </si>
  <si>
    <t>C:\Users\franc\OneDrive\Documentos\MALENTIN KARIME\BANCO ESTADO\2012 DEPTO ESCRITURAS fata\Dc Simples\RESPALDO comp notaria 27_12_12\NOTARIA 2012\MINAS\SAN FELIX.doc</t>
  </si>
  <si>
    <t>C:\Users\franc\OneDrive\Documentos\MALENTIN KARIME\BANCO ESTADO\2012 DEPTO ESCRITURAS fata\Dc Simples\RESPALDO comp notaria 27_12_12\NOTARIA 2012\MINAS\SAN FELIX III.doc</t>
  </si>
  <si>
    <t>C:\Users\franc\OneDrive\Documentos\MALENTIN KARIME\BANCO ESTADO\2012 DEPTO ESCRITURAS fata\Dc Simples\RESPALDO comp notaria 27_12_12\NOTARIA 2012\MINAS\SAN ANDRES 1-10.doc</t>
  </si>
  <si>
    <t>C:\Users\franc\OneDrive\Documentos\MALENTIN KARIME\BANCO ESTADO\2012 DEPTO ESCRITURAS fata\Dc Simples\RESPALDO comp notaria 27_12_12\NOTARIA 2012\MINAS\SALEM UNA AL SEIS.doc</t>
  </si>
  <si>
    <t>C:\Users\franc\OneDrive\Documentos\MALENTIN KARIME\BANCO ESTADO\2012 DEPTO ESCRITURAS fata\Dc Simples\RESPALDO comp notaria 27_12_12\NOTARIA 2012\MINAS\SALEM DOS.doc</t>
  </si>
  <si>
    <t>C:\Users\franc\OneDrive\Documentos\MALENTIN KARIME\BANCO ESTADO\2012 DEPTO ESCRITURAS fata\Dc Simples\RESPALDO comp notaria 27_12_12\NOTARIA 2012\MINAS\S.L.M.PORTEZUELO LINO BRAVO.doc</t>
  </si>
  <si>
    <t>C:\Users\franc\OneDrive\Documentos\MALENTIN KARIME\BANCO ESTADO\2012 DEPTO ESCRITURAS fata\Dc Simples\RESPALDO comp notaria 27_12_12\NOTARIA 2012\MINAS\S.L.M.PORTEZUELO 1-9.doc</t>
  </si>
  <si>
    <t>C:\Users\franc\OneDrive\Documentos\MALENTIN KARIME\BANCO ESTADO\2012 DEPTO ESCRITURAS fata\Dc Simples\RESPALDO comp notaria 27_12_12\NOTARIA 2012\MINAS\S.L.M.PORTEZUELO 1-9, tio.doc</t>
  </si>
  <si>
    <t>C:\Users\franc\OneDrive\Documentos\MALENTIN KARIME\BANCO ESTADO\2012 DEPTO ESCRITURAS fata\Dc Simples\RESPALDO comp notaria 27_12_12\NOTARIA 2012\MINAS\S.L.M.LOS CUMPAS UNO DE SAN PEDRO.doc</t>
  </si>
  <si>
    <t>C:\Users\franc\OneDrive\Documentos\MALENTIN KARIME\BANCO ESTADO\2012 DEPTO ESCRITURAS fata\Dc Simples\RESPALDO comp notaria 27_12_12\NOTARIA 2012\MINAS\S.L.M.CRISTAL.doc</t>
  </si>
  <si>
    <t>C:\Users\franc\OneDrive\Documentos\MALENTIN KARIME\BANCO ESTADO\2012 DEPTO ESCRITURAS fata\Dc Simples\RESPALDO comp notaria 27_12_12\NOTARIA 2012\MINAS\S.L.M.CERRO NEGRO.doc</t>
  </si>
  <si>
    <t>C:\Users\franc\OneDrive\Documentos\MALENTIN KARIME\BANCO ESTADO\2012 DEPTO ESCRITURAS fata\Dc Simples\RESPALDO comp notaria 27_12_12\NOTARIA 2012\MINAS\S.L.M.ATUTEMA.doc</t>
  </si>
  <si>
    <t>C:\Users\franc\OneDrive\Documentos\MALENTIN KARIME\BANCO ESTADO\2012 DEPTO ESCRITURAS fata\Dc Simples\RESPALDO comp notaria 27_12_12\NOTARIA 2012\MINAS\S.L.M.ANA KAMILA.doc</t>
  </si>
  <si>
    <t>C:\Users\franc\OneDrive\Documentos\MALENTIN KARIME\BANCO ESTADO\2012 DEPTO ESCRITURAS fata\Dc Simples\RESPALDO comp notaria 27_12_12\NOTARIA 2012\MINAS\S.L.M.ALBERTINA.doc</t>
  </si>
  <si>
    <t>C:\Users\franc\OneDrive\Documentos\MALENTIN KARIME\BANCO ESTADO\2012 DEPTO ESCRITURAS fata\Dc Simples\RESPALDO comp notaria 27_12_12\NOTARIA 2012\MINAS\S.L.M. VISTA AL MAR UNO DE OVALLE.doc</t>
  </si>
  <si>
    <t>C:\Users\franc\OneDrive\Documentos\MALENTIN KARIME\BANCO ESTADO\2012 DEPTO ESCRITURAS fata\Dc Simples\RESPALDO comp notaria 27_12_12\NOTARIA 2012\MINAS\S.L.M. SOL Y LLUVIA.doc</t>
  </si>
  <si>
    <t>C:\Users\franc\OneDrive\Documentos\MALENTIN KARIME\BANCO ESTADO\2012 DEPTO ESCRITURAS fata\Dc Simples\RESPALDO comp notaria 27_12_12\NOTARIA 2012\MINAS\S.L.M. SEGUNDA HERRADURA.doc</t>
  </si>
  <si>
    <t>C:\Users\franc\OneDrive\Documentos\MALENTIN KARIME\BANCO ESTADO\2012 DEPTO ESCRITURAS fata\Dc Simples\RESPALDO comp notaria 27_12_12\NOTARIA 2012\MINAS\S.L.M. SAN BASILIO.doc</t>
  </si>
  <si>
    <t>C:\Users\franc\OneDrive\Documentos\MALENTIN KARIME\BANCO ESTADO\2012 DEPTO ESCRITURAS fata\Dc Simples\RESPALDO comp notaria 27_12_12\NOTARIA 2012\MINAS\S.L.M. PRODIGA UNA DEL COBRE.doc</t>
  </si>
  <si>
    <t>C:\Users\franc\OneDrive\Documentos\MALENTIN KARIME\BANCO ESTADO\2012 DEPTO ESCRITURAS fata\Dc Simples\RESPALDO comp notaria 27_12_12\NOTARIA 2012\MINAS\S.L.M. PACUL UNO DE PUNITAQUI.doc</t>
  </si>
  <si>
    <t>C:\Users\franc\OneDrive\Documentos\MALENTIN KARIME\BANCO ESTADO\2012 DEPTO ESCRITURAS fata\Dc Simples\RESPALDO comp notaria 27_12_12\NOTARIA 2012\MINAS\S.L.M. NUEVA ESPERANZA.doc</t>
  </si>
  <si>
    <t>C:\Users\franc\OneDrive\Documentos\MALENTIN KARIME\BANCO ESTADO\2012 DEPTO ESCRITURAS fata\Dc Simples\RESPALDO comp notaria 27_12_12\NOTARIA 2012\MINAS\S.L.M. MINA LOS MANTOS PRIMERA.doc</t>
  </si>
  <si>
    <t>C:\Users\franc\OneDrive\Documentos\MALENTIN KARIME\BANCO ESTADO\2012 DEPTO ESCRITURAS fata\Dc Simples\RESPALDO comp notaria 27_12_12\NOTARIA 2012\MINAS\S.L.M. MINA LA DUDA A LUIS ARAYA.doc</t>
  </si>
  <si>
    <t>C:\Users\franc\OneDrive\Documentos\MALENTIN KARIME\BANCO ESTADO\2012 DEPTO ESCRITURAS fata\Dc Simples\RESPALDO comp notaria 27_12_12\NOTARIA 2012\MINAS\S.L.M. MINA LA DUDA A FCO.MALUENDA.doc</t>
  </si>
  <si>
    <t>C:\Users\franc\OneDrive\Documentos\MALENTIN KARIME\BANCO ESTADO\2012 DEPTO ESCRITURAS fata\Dc Simples\RESPALDO comp notaria 27_12_12\NOTARIA 2012\MINAS\S.L.M. MINA ELENA.doc</t>
  </si>
  <si>
    <t>C:\Users\franc\OneDrive\Documentos\MALENTIN KARIME\BANCO ESTADO\2012 DEPTO ESCRITURAS fata\Dc Simples\RESPALDO comp notaria 27_12_12\NOTARIA 2012\MINAS\S.L.M. MINA CUPRITA DOS.doc</t>
  </si>
  <si>
    <t>C:\Users\franc\OneDrive\Documentos\MALENTIN KARIME\BANCO ESTADO\2012 DEPTO ESCRITURAS fata\Dc Simples\RESPALDO comp notaria 27_12_12\NOTARIA 2012\MINAS\S.L.M. MINA CAMANELI.doc</t>
  </si>
  <si>
    <t>C:\Users\franc\OneDrive\Documentos\MALENTIN KARIME\BANCO ESTADO\2012 DEPTO ESCRITURAS fata\Dc Simples\RESPALDO comp notaria 27_12_12\NOTARIA 2012\MINAS\S.L.M. MINA CAMANELI a javier.doc</t>
  </si>
  <si>
    <t>C:\Users\franc\OneDrive\Documentos\MALENTIN KARIME\BANCO ESTADO\2012 DEPTO ESCRITURAS fata\Dc Simples\RESPALDO comp notaria 27_12_12\NOTARIA 2012\MINAS\S.L.M. MANUELITA.doc</t>
  </si>
  <si>
    <t>C:\Users\franc\OneDrive\Documentos\MALENTIN KARIME\BANCO ESTADO\2012 DEPTO ESCRITURAS fata\Dc Simples\RESPALDO comp notaria 27_12_12\NOTARIA 2012\MINAS\S.L.M. LOS TRES AMIGOS.doc</t>
  </si>
  <si>
    <t>C:\Users\franc\OneDrive\Documentos\MALENTIN KARIME\BANCO ESTADO\2012 DEPTO ESCRITURAS fata\Dc Simples\RESPALDO comp notaria 27_12_12\NOTARIA 2012\MINAS\S.L.M. LOS DOS AMIGOS.doc</t>
  </si>
  <si>
    <t>C:\Users\franc\OneDrive\Documentos\MALENTIN KARIME\BANCO ESTADO\2012 DEPTO ESCRITURAS fata\Dc Simples\RESPALDO comp notaria 27_12_12\NOTARIA 2012\MINAS\S.L.M. LLANO GRANDE.doc</t>
  </si>
  <si>
    <t>C:\Users\franc\OneDrive\Documentos\MALENTIN KARIME\BANCO ESTADO\2012 DEPTO ESCRITURAS fata\Dc Simples\RESPALDO comp notaria 27_12_12\NOTARIA 2012\MINAS\S.L.M. LAY MU.doc</t>
  </si>
  <si>
    <t>C:\Users\franc\OneDrive\Documentos\MALENTIN KARIME\BANCO ESTADO\2012 DEPTO ESCRITURAS fata\Dc Simples\RESPALDO comp notaria 27_12_12\NOTARIA 2012\MINAS\S.L.M. LAS LECHUZAS.doc</t>
  </si>
  <si>
    <t>C:\Users\franc\OneDrive\Documentos\MALENTIN KARIME\BANCO ESTADO\2012 DEPTO ESCRITURAS fata\Dc Simples\RESPALDO comp notaria 27_12_12\NOTARIA 2012\MINAS\S.L.M. LA VEGA.doc</t>
  </si>
  <si>
    <t>C:\Users\franc\OneDrive\Documentos\MALENTIN KARIME\BANCO ESTADO\2012 DEPTO ESCRITURAS fata\Dc Simples\RESPALDO comp notaria 27_12_12\NOTARIA 2012\MINAS\S.L.M. LA VALERIA PRIMERA DE MANQUEHUA.doc</t>
  </si>
  <si>
    <t>C:\Users\franc\OneDrive\Documentos\MALENTIN KARIME\BANCO ESTADO\2012 DEPTO ESCRITURAS fata\Dc Simples\RESPALDO comp notaria 27_12_12\NOTARIA 2012\MINAS\S.L.M. LA ULTIMA ESPERANZA 1-20.doc</t>
  </si>
  <si>
    <t>C:\Users\franc\OneDrive\Documentos\MALENTIN KARIME\BANCO ESTADO\2012 DEPTO ESCRITURAS fata\Dc Simples\RESPALDO comp notaria 27_12_12\NOTARIA 2012\MINAS\S.L.M. LA TERNURA.doc</t>
  </si>
  <si>
    <t>C:\Users\franc\OneDrive\Documentos\MALENTIN KARIME\BANCO ESTADO\2012 DEPTO ESCRITURAS fata\Dc Simples\RESPALDO comp notaria 27_12_12\NOTARIA 2012\MINAS\S.L.M. LA SUERTE.doc</t>
  </si>
  <si>
    <t>C:\Users\franc\OneDrive\Documentos\MALENTIN KARIME\BANCO ESTADO\2012 DEPTO ESCRITURAS fata\Dc Simples\RESPALDO comp notaria 27_12_12\NOTARIA 2012\MINAS\S.L.M. LA REPETIDA.doc</t>
  </si>
  <si>
    <t>C:\Users\franc\OneDrive\Documentos\MALENTIN KARIME\BANCO ESTADO\2012 DEPTO ESCRITURAS fata\Dc Simples\RESPALDO comp notaria 27_12_12\NOTARIA 2012\MINAS\S.L.M. LA PUNTA DE HUANA.doc</t>
  </si>
  <si>
    <t>C:\Users\franc\OneDrive\Documentos\MALENTIN KARIME\BANCO ESTADO\2012 DEPTO ESCRITURAS fata\Dc Simples\RESPALDO comp notaria 27_12_12\NOTARIA 2012\MINAS\S.L.M. LA LUNA UNO DE QUEBRADA AMARILLA.doc</t>
  </si>
  <si>
    <t>C:\Users\franc\OneDrive\Documentos\MALENTIN KARIME\BANCO ESTADO\2012 DEPTO ESCRITURAS fata\Dc Simples\RESPALDO comp notaria 27_12_12\NOTARIA 2012\MINAS\S.L.M. LA FORTUNA UNO.doc</t>
  </si>
  <si>
    <t>C:\Users\franc\OneDrive\Documentos\MALENTIN KARIME\BANCO ESTADO\2012 DEPTO ESCRITURAS fata\Dc Simples\RESPALDO comp notaria 27_12_12\NOTARIA 2012\MINAS\S.L.M. LA FORTUNA PRIMERA.doc</t>
  </si>
  <si>
    <t>C:\Users\franc\OneDrive\Documentos\MALENTIN KARIME\BANCO ESTADO\2012 DEPTO ESCRITURAS fata\Dc Simples\RESPALDO comp notaria 27_12_12\NOTARIA 2012\MINAS\S.L.M. LA ESPERAZA 1.doc</t>
  </si>
  <si>
    <t>C:\Users\franc\OneDrive\Documentos\MALENTIN KARIME\BANCO ESTADO\2012 DEPTO ESCRITURAS fata\Dc Simples\RESPALDO comp notaria 27_12_12\NOTARIA 2012\MINAS\S.L.M. LA ESPERANZA.doc</t>
  </si>
  <si>
    <t>C:\Users\franc\OneDrive\Documentos\MALENTIN KARIME\BANCO ESTADO\2012 DEPTO ESCRITURAS fata\Dc Simples\RESPALDO comp notaria 27_12_12\NOTARIA 2012\MINAS\S.L.M. LA ESPERANZA III.doc</t>
  </si>
  <si>
    <t>C:\Users\franc\OneDrive\Documentos\MALENTIN KARIME\BANCO ESTADO\2012 DEPTO ESCRITURAS fata\Dc Simples\RESPALDO comp notaria 27_12_12\NOTARIA 2012\MINAS\S.L.M. LA CUPRITA.doc</t>
  </si>
  <si>
    <t>C:\Users\franc\OneDrive\Documentos\MALENTIN KARIME\BANCO ESTADO\2012 DEPTO ESCRITURAS fata\Dc Simples\RESPALDO comp notaria 27_12_12\NOTARIA 2012\MINAS\S.L.M. LA CORTINA 1-10.doc</t>
  </si>
  <si>
    <t>C:\Users\franc\OneDrive\Documentos\MALENTIN KARIME\BANCO ESTADO\2012 DEPTO ESCRITURAS fata\Dc Simples\RESPALDO comp notaria 27_12_12\NOTARIA 2012\MINAS\S.L.M. LA COPETE UNO DE OVALLE.doc</t>
  </si>
  <si>
    <t>C:\Users\franc\OneDrive\Documentos\MALENTIN KARIME\BANCO ESTADO\2012 DEPTO ESCRITURAS fata\Dc Simples\RESPALDO comp notaria 27_12_12\NOTARIA 2012\MINAS\S.L.M. LA COIPA.doc</t>
  </si>
  <si>
    <t>C:\Users\franc\OneDrive\Documentos\MALENTIN KARIME\BANCO ESTADO\2012 DEPTO ESCRITURAS fata\Dc Simples\RESPALDO comp notaria 27_12_12\NOTARIA 2012\MINAS\S.L.M. LA CARMELITA.doc</t>
  </si>
  <si>
    <t>C:\Users\franc\OneDrive\Documentos\MALENTIN KARIME\BANCO ESTADO\2012 DEPTO ESCRITURAS fata\Dc Simples\RESPALDO comp notaria 27_12_12\NOTARIA 2012\MINAS\S.L.M. LA CARLITA.doc</t>
  </si>
  <si>
    <t>C:\Users\franc\OneDrive\Documentos\MALENTIN KARIME\BANCO ESTADO\2012 DEPTO ESCRITURAS fata\Dc Simples\RESPALDO comp notaria 27_12_12\NOTARIA 2012\MINAS\S.L.M. LA CANDIDATA.doc</t>
  </si>
  <si>
    <t>C:\Users\franc\OneDrive\Documentos\MALENTIN KARIME\BANCO ESTADO\2012 DEPTO ESCRITURAS fata\Dc Simples\RESPALDO comp notaria 27_12_12\NOTARIA 2012\MINAS\S.L.M. LA CAHUINERA.doc</t>
  </si>
  <si>
    <t>C:\Users\franc\OneDrive\Documentos\MALENTIN KARIME\BANCO ESTADO\2012 DEPTO ESCRITURAS fata\Dc Simples\RESPALDO comp notaria 27_12_12\NOTARIA 2012\MINAS\S.L.M. LA BELEN.doc</t>
  </si>
  <si>
    <t>C:\Users\franc\OneDrive\Documentos\MALENTIN KARIME\BANCO ESTADO\2012 DEPTO ESCRITURAS fata\Dc Simples\RESPALDO comp notaria 27_12_12\NOTARIA 2012\MINAS\S.L.M. LA BELEN UNO DE OVALLE.doc</t>
  </si>
  <si>
    <t>C:\Users\franc\OneDrive\Documentos\MALENTIN KARIME\BANCO ESTADO\2012 DEPTO ESCRITURAS fata\Dc Simples\RESPALDO comp notaria 27_12_12\NOTARIA 2012\MINAS\S.L.M. LA AURORITA.doc</t>
  </si>
  <si>
    <t>C:\Users\franc\OneDrive\Documentos\MALENTIN KARIME\BANCO ESTADO\2012 DEPTO ESCRITURAS fata\Dc Simples\RESPALDO comp notaria 27_12_12\NOTARIA 2012\MINAS\S.L.M. LA AMOLANA.doc</t>
  </si>
  <si>
    <t>C:\Users\franc\OneDrive\Documentos\MALENTIN KARIME\BANCO ESTADO\2012 DEPTO ESCRITURAS fata\Dc Simples\RESPALDO comp notaria 27_12_12\NOTARIA 2012\MINAS\S.L.M. LA AMARILLA 1-20.doc</t>
  </si>
  <si>
    <t>C:\Users\franc\OneDrive\Documentos\MALENTIN KARIME\BANCO ESTADO\2012 DEPTO ESCRITURAS fata\Dc Simples\RESPALDO comp notaria 27_12_12\NOTARIA 2012\MINAS\S.L.M. JUANA A.doc</t>
  </si>
  <si>
    <t>C:\Users\franc\OneDrive\Documentos\MALENTIN KARIME\BANCO ESTADO\2012 DEPTO ESCRITURAS fata\Dc Simples\RESPALDO comp notaria 27_12_12\NOTARIA 2012\MINAS\S.L.M. FLOR DEL BOSQUE.doc</t>
  </si>
  <si>
    <t>C:\Users\franc\OneDrive\Documentos\MALENTIN KARIME\BANCO ESTADO\2012 DEPTO ESCRITURAS fata\Dc Simples\RESPALDO comp notaria 27_12_12\NOTARIA 2012\MINAS\S.L.M. EL ROSARIO UNO DE PUNITAQUI.doc</t>
  </si>
  <si>
    <t>C:\Users\franc\OneDrive\Documentos\MALENTIN KARIME\BANCO ESTADO\2012 DEPTO ESCRITURAS fata\Dc Simples\RESPALDO comp notaria 27_12_12\NOTARIA 2012\MINAS\S.L.M. EL REVENTON.doc</t>
  </si>
  <si>
    <t>C:\Users\franc\OneDrive\Documentos\MALENTIN KARIME\BANCO ESTADO\2012 DEPTO ESCRITURAS fata\Dc Simples\RESPALDO comp notaria 27_12_12\NOTARIA 2012\MINAS\S.L.M. EL MANTO UNO DE LIMARI.doc</t>
  </si>
  <si>
    <t>C:\Users\franc\OneDrive\Documentos\MALENTIN KARIME\BANCO ESTADO\2012 DEPTO ESCRITURAS fata\Dc Simples\RESPALDO comp notaria 27_12_12\NOTARIA 2012\MINAS\S.L.M. DOS AMIGOS UNO DE RIO HURTADO.doc</t>
  </si>
  <si>
    <t>C:\Users\franc\OneDrive\Documentos\MALENTIN KARIME\BANCO ESTADO\2012 DEPTO ESCRITURAS fata\Dc Simples\RESPALDO comp notaria 27_12_12\NOTARIA 2012\MINAS\S.L.M. DOS AMIGOS a Juan Cortes.doc</t>
  </si>
  <si>
    <t>C:\Users\franc\OneDrive\Documentos\MALENTIN KARIME\BANCO ESTADO\2012 DEPTO ESCRITURAS fata\Dc Simples\RESPALDO comp notaria 27_12_12\NOTARIA 2012\MINAS\S.L.M. DON MATIAS.doc</t>
  </si>
  <si>
    <t>C:\Users\franc\OneDrive\Documentos\MALENTIN KARIME\BANCO ESTADO\2012 DEPTO ESCRITURAS fata\Dc Simples\RESPALDO comp notaria 27_12_12\NOTARIA 2012\MINAS\S.L.M. DIVISADERO.doc</t>
  </si>
  <si>
    <t>C:\Users\franc\OneDrive\Documentos\MALENTIN KARIME\BANCO ESTADO\2012 DEPTO ESCRITURAS fata\Dc Simples\RESPALDO comp notaria 27_12_12\NOTARIA 2012\MINAS\S.L.M. DIVISADERO DOS a victor.doc</t>
  </si>
  <si>
    <t>C:\Users\franc\OneDrive\Documentos\MALENTIN KARIME\BANCO ESTADO\2012 DEPTO ESCRITURAS fata\Dc Simples\RESPALDO comp notaria 27_12_12\NOTARIA 2012\MINAS\S.L.M. DIVISADERO DOS a herman.doc</t>
  </si>
  <si>
    <t>C:\Users\franc\OneDrive\Documentos\MALENTIN KARIME\BANCO ESTADO\2012 DEPTO ESCRITURAS fata\Dc Simples\RESPALDO comp notaria 27_12_12\NOTARIA 2012\MINAS\S.L.M. CHILE UNO DE PUNITAQUI.doc</t>
  </si>
  <si>
    <t>C:\Users\franc\OneDrive\Documentos\MALENTIN KARIME\BANCO ESTADO\2012 DEPTO ESCRITURAS fata\Dc Simples\RESPALDO comp notaria 27_12_12\NOTARIA 2012\MINAS\S.L.M. CHANY.doc</t>
  </si>
  <si>
    <t>C:\Users\franc\OneDrive\Documentos\MALENTIN KARIME\BANCO ESTADO\2012 DEPTO ESCRITURAS fata\Dc Simples\RESPALDO comp notaria 27_12_12\NOTARIA 2012\MINAS\S.L.M. CAROLINA.doc</t>
  </si>
  <si>
    <t>C:\Users\franc\OneDrive\Documentos\MALENTIN KARIME\BANCO ESTADO\2012 DEPTO ESCRITURAS fata\Dc Simples\RESPALDO comp notaria 27_12_12\NOTARIA 2012\MINAS\S.L.M. AREA 51.doc</t>
  </si>
  <si>
    <t>C:\Users\franc\OneDrive\Documentos\MALENTIN KARIME\BANCO ESTADO\2012 DEPTO ESCRITURAS fata\Dc Simples\RESPALDO comp notaria 27_12_12\NOTARIA 2012\MINAS\S.L.M. ARAUCANA.doc</t>
  </si>
  <si>
    <t>C:\Users\franc\OneDrive\Documentos\MALENTIN KARIME\BANCO ESTADO\2012 DEPTO ESCRITURAS fata\Dc Simples\RESPALDO comp notaria 27_12_12\NOTARIA 2012\MINAS\S.L.M. AGUA LOS PAJARITOS.doc</t>
  </si>
  <si>
    <t>C:\Users\franc\OneDrive\Documentos\MALENTIN KARIME\BANCO ESTADO\2012 DEPTO ESCRITURAS fata\Dc Simples\RESPALDO comp notaria 27_12_12\NOTARIA 2012\MINAS\S.L.M NUEVA VIGORENA.doc</t>
  </si>
  <si>
    <t>C:\Users\franc\OneDrive\Documentos\MALENTIN KARIME\BANCO ESTADO\2012 DEPTO ESCRITURAS fata\Dc Simples\RESPALDO comp notaria 27_12_12\NOTARIA 2012\MINAS\S.L.M MINA ESCORPION.doc</t>
  </si>
  <si>
    <t>C:\Users\franc\OneDrive\Documentos\MALENTIN KARIME\BANCO ESTADO\2012 DEPTO ESCRITURAS fata\Dc Simples\RESPALDO comp notaria 27_12_12\NOTARIA 2012\MINAS\S.L.M LOS IBACACHES.doc</t>
  </si>
  <si>
    <t>C:\Users\franc\OneDrive\Documentos\MALENTIN KARIME\BANCO ESTADO\2012 DEPTO ESCRITURAS fata\Dc Simples\RESPALDO comp notaria 27_12_12\NOTARIA 2012\MINAS\S.L.M LA SOCIEDAD MTE. P..doc</t>
  </si>
  <si>
    <t>C:\Users\franc\OneDrive\Documentos\MALENTIN KARIME\BANCO ESTADO\2012 DEPTO ESCRITURAS fata\Dc Simples\RESPALDO comp notaria 27_12_12\NOTARIA 2012\MINAS\S.L.M LA ESPERANZA.doc</t>
  </si>
  <si>
    <t>C:\Users\franc\OneDrive\Documentos\MALENTIN KARIME\BANCO ESTADO\2012 DEPTO ESCRITURAS fata\Dc Simples\RESPALDO comp notaria 27_12_12\NOTARIA 2012\MINAS\S.L.M LA DESPRECIADA.doc</t>
  </si>
  <si>
    <t>C:\Users\franc\OneDrive\Documentos\MALENTIN KARIME\BANCO ESTADO\2012 DEPTO ESCRITURAS fata\Dc Simples\RESPALDO comp notaria 27_12_12\NOTARIA 2012\MINAS\S.L.M ESPERANZA UNO HERMAN.doc</t>
  </si>
  <si>
    <t>C:\Users\franc\OneDrive\Documentos\MALENTIN KARIME\BANCO ESTADO\2012 DEPTO ESCRITURAS fata\Dc Simples\RESPALDO comp notaria 27_12_12\NOTARIA 2012\MINAS\S.L.M ESPERANZA UNO DE SAN PEDRO DE QUILES.doc</t>
  </si>
  <si>
    <t>C:\Users\franc\OneDrive\Documentos\MALENTIN KARIME\BANCO ESTADO\2012 DEPTO ESCRITURAS fata\Dc Simples\RESPALDO comp notaria 27_12_12\NOTARIA 2012\MINAS\S.L.M BUENA VISTA UNO.doc</t>
  </si>
  <si>
    <t>C:\Users\franc\OneDrive\Documentos\MALENTIN KARIME\BANCO ESTADO\2012 DEPTO ESCRITURAS fata\Dc Simples\RESPALDO comp notaria 27_12_12\NOTARIA 2012\MINAS\S.L.M BUENA VISTA DOS.doc</t>
  </si>
  <si>
    <t>C:\Users\franc\OneDrive\Documentos\MALENTIN KARIME\BANCO ESTADO\2012 DEPTO ESCRITURAS fata\Dc Simples\RESPALDO comp notaria 27_12_12\NOTARIA 2012\MINAS\ROCIO RAMIREZ.doc</t>
  </si>
  <si>
    <t>C:\Users\franc\OneDrive\Documentos\MALENTIN KARIME\BANCO ESTADO\2012 DEPTO ESCRITURAS fata\Dc Simples\RESPALDO comp notaria 27_12_12\NOTARIA 2012\MINAS\RESCILIACIONooo.doc</t>
  </si>
  <si>
    <t>C:\Users\franc\OneDrive\Documentos\MALENTIN KARIME\BANCO ESTADO\2012 DEPTO ESCRITURAS fata\Dc Simples\RESPALDO comp notaria 27_12_12\NOTARIA 2012\MINAS\RESCILIACION.doc</t>
  </si>
  <si>
    <t>C:\Users\franc\OneDrive\Documentos\MALENTIN KARIME\BANCO ESTADO\2012 DEPTO ESCRITURAS fata\Dc Simples\RESPALDO comp notaria 27_12_12\NOTARIA 2012\MINAS\RESCILIACION XAVIER.doc</t>
  </si>
  <si>
    <t>C:\Users\franc\OneDrive\Documentos\MALENTIN KARIME\BANCO ESTADO\2012 DEPTO ESCRITURAS fata\Dc Simples\RESPALDO comp notaria 27_12_12\NOTARIA 2012\MINAS\RESCILIACION SOC..doc</t>
  </si>
  <si>
    <t>C:\Users\franc\OneDrive\Documentos\MALENTIN KARIME\BANCO ESTADO\2012 DEPTO ESCRITURAS fata\Dc Simples\RESPALDO comp notaria 27_12_12\NOTARIA 2012\MINAS\RESCILIACION MOLLE.doc</t>
  </si>
  <si>
    <t>C:\Users\franc\OneDrive\Documentos\MALENTIN KARIME\BANCO ESTADO\2012 DEPTO ESCRITURAS fata\Dc Simples\RESPALDO comp notaria 27_12_12\NOTARIA 2012\MINAS\RESCILIACION LOLO.doc</t>
  </si>
  <si>
    <t>C:\Users\franc\OneDrive\Documentos\MALENTIN KARIME\BANCO ESTADO\2012 DEPTO ESCRITURAS fata\Dc Simples\RESPALDO comp notaria 27_12_12\NOTARIA 2012\MINAS\RESCILIACION LINO.doc</t>
  </si>
  <si>
    <t>C:\Users\franc\OneDrive\Documentos\MALENTIN KARIME\BANCO ESTADO\2012 DEPTO ESCRITURAS fata\Dc Simples\RESPALDO comp notaria 27_12_12\NOTARIA 2012\MINAS\RESCILIACION CONTRATO MINERO.doc</t>
  </si>
  <si>
    <t>C:\Users\franc\OneDrive\Documentos\MALENTIN KARIME\BANCO ESTADO\2012 DEPTO ESCRITURAS fata\Dc Simples\RESPALDO comp notaria 27_12_12\NOTARIA 2012\MINAS\RESC. WLADIMIRO TAPIA.doc</t>
  </si>
  <si>
    <t>C:\Users\franc\OneDrive\Documentos\MALENTIN KARIME\BANCO ESTADO\2012 DEPTO ESCRITURAS fata\Dc Simples\RESPALDO comp notaria 27_12_12\NOTARIA 2012\MINAS\RESC. SAN FELIX.doc</t>
  </si>
  <si>
    <t>C:\Users\franc\OneDrive\Documentos\MALENTIN KARIME\BANCO ESTADO\2012 DEPTO ESCRITURAS fata\Dc Simples\RESPALDO comp notaria 27_12_12\NOTARIA 2012\MINAS\RESC. CARMEN 1-20.doc</t>
  </si>
  <si>
    <t>C:\Users\franc\OneDrive\Documentos\MALENTIN KARIME\BANCO ESTADO\2012 DEPTO ESCRITURAS fata\Dc Simples\RESPALDO comp notaria 27_12_12\NOTARIA 2012\MINAS\RESC. BLANCO Y NEGRO.doc</t>
  </si>
  <si>
    <t>C:\Users\franc\OneDrive\Documentos\MALENTIN KARIME\BANCO ESTADO\2012 DEPTO ESCRITURAS fata\Dc Simples\RESPALDO comp notaria 27_12_12\NOTARIA 2012\MINAS\RES.  EL  FRONTON.doc</t>
  </si>
  <si>
    <t>C:\Users\franc\OneDrive\Documentos\MALENTIN KARIME\BANCO ESTADO\2012 DEPTO ESCRITURAS fata\Dc Simples\RESPALDO comp notaria 27_12_12\NOTARIA 2012\MINAS\REGRESO A LA GRANJA.doc</t>
  </si>
  <si>
    <t>C:\Users\franc\OneDrive\Documentos\MALENTIN KARIME\BANCO ESTADO\2012 DEPTO ESCRITURAS fata\Dc Simples\RESPALDO comp notaria 27_12_12\NOTARIA 2012\MINAS\PUNTA DIAMANTE.doc</t>
  </si>
  <si>
    <t>C:\Users\franc\OneDrive\Documentos\MALENTIN KARIME\BANCO ESTADO\2012 DEPTO ESCRITURAS fata\Dc Simples\RESPALDO comp notaria 27_12_12\NOTARIA 2012\MINAS\PORTEZUELO A SERMIN.doc</t>
  </si>
  <si>
    <t>C:\Users\franc\OneDrive\Documentos\MALENTIN KARIME\BANCO ESTADO\2012 DEPTO ESCRITURAS fata\Dc Simples\RESPALDO comp notaria 27_12_12\NOTARIA 2012\MINAS\POR CASUALIDAD.doc</t>
  </si>
  <si>
    <t>C:\Users\franc\OneDrive\Documentos\MALENTIN KARIME\BANCO ESTADO\2012 DEPTO ESCRITURAS fata\Dc Simples\RESPALDO comp notaria 27_12_12\NOTARIA 2012\MINAS\PEÑABLANCA 1 AL 14.doc</t>
  </si>
  <si>
    <t>C:\Users\franc\OneDrive\Documentos\MALENTIN KARIME\BANCO ESTADO\2012 DEPTO ESCRITURAS fata\Dc Simples\RESPALDO comp notaria 27_12_12\NOTARIA 2012\MINAS\PERFECTO OLIVARES.doc</t>
  </si>
  <si>
    <t>C:\Users\franc\OneDrive\Documentos\MALENTIN KARIME\BANCO ESTADO\2012 DEPTO ESCRITURAS fata\Dc Simples\RESPALDO comp notaria 27_12_12\NOTARIA 2012\MINAS\PELICANO.doc</t>
  </si>
  <si>
    <t>C:\Users\franc\OneDrive\Documentos\MALENTIN KARIME\BANCO ESTADO\2012 DEPTO ESCRITURAS fata\Dc Simples\RESPALDO comp notaria 27_12_12\NOTARIA 2012\MINAS\PATRIA Y LIBERTAD.doc</t>
  </si>
  <si>
    <t>C:\Users\franc\OneDrive\Documentos\MALENTIN KARIME\BANCO ESTADO\2012 DEPTO ESCRITURAS fata\Dc Simples\RESPALDO comp notaria 27_12_12\NOTARIA 2012\MINAS\ORQUIDEA 1-10.doc</t>
  </si>
  <si>
    <t>C:\Users\franc\OneDrive\Documentos\MALENTIN KARIME\BANCO ESTADO\2012 DEPTO ESCRITURAS fata\Dc Simples\RESPALDO comp notaria 27_12_12\NOTARIA 2012\MINAS\OLIBILLO.doc</t>
  </si>
  <si>
    <t>C:\Users\franc\OneDrive\Documentos\MALENTIN KARIME\BANCO ESTADO\2012 DEPTO ESCRITURAS fata\Dc Simples\RESPALDO comp notaria 27_12_12\NOTARIA 2012\MINAS\NOEMI.doc</t>
  </si>
  <si>
    <t>C:\Users\franc\OneDrive\Documentos\MALENTIN KARIME\BANCO ESTADO\2012 DEPTO ESCRITURAS fata\Dc Simples\RESPALDO comp notaria 27_12_12\NOTARIA 2012\MINAS\NOEMI A SERGIO MUÑOZ.doc</t>
  </si>
  <si>
    <t>C:\Users\franc\OneDrive\Documentos\MALENTIN KARIME\BANCO ESTADO\2012 DEPTO ESCRITURAS fata\Dc Simples\RESPALDO comp notaria 27_12_12\NOTARIA 2012\MINAS\NOEMI A LEONARDO MUÑOZ.doc</t>
  </si>
  <si>
    <t>C:\Users\franc\OneDrive\Documentos\MALENTIN KARIME\BANCO ESTADO\2012 DEPTO ESCRITURAS fata\Dc Simples\RESPALDO comp notaria 27_12_12\NOTARIA 2012\MINAS\NOEMI 1-16.doc</t>
  </si>
  <si>
    <t>C:\Users\franc\OneDrive\Documentos\MALENTIN KARIME\BANCO ESTADO\2012 DEPTO ESCRITURAS fata\Dc Simples\RESPALDO comp notaria 27_12_12\NOTARIA 2012\MINAS\NISI UNA AL SIETE.doc</t>
  </si>
  <si>
    <t>C:\Users\franc\OneDrive\Documentos\MALENTIN KARIME\BANCO ESTADO\2012 DEPTO ESCRITURAS fata\Dc Simples\RESPALDO comp notaria 27_12_12\NOTARIA 2012\MINAS\NICO 1 AL 3.doc</t>
  </si>
  <si>
    <t>C:\Users\franc\OneDrive\Documentos\MALENTIN KARIME\BANCO ESTADO\2012 DEPTO ESCRITURAS fata\Dc Simples\RESPALDO comp notaria 27_12_12\NOTARIA 2012\MINAS\MUSTANG 1-20.doc</t>
  </si>
  <si>
    <t>C:\Users\franc\OneDrive\Documentos\MALENTIN KARIME\BANCO ESTADO\2012 DEPTO ESCRITURAS fata\Dc Simples\RESPALDO comp notaria 27_12_12\NOTARIA 2012\MINAS\MONSERRAT.doc</t>
  </si>
  <si>
    <t>C:\Users\franc\OneDrive\Documentos\MALENTIN KARIME\BANCO ESTADO\2012 DEPTO ESCRITURAS fata\Dc Simples\RESPALDO comp notaria 27_12_12\NOTARIA 2012\MINAS\MONO BLANCO 1-10.doc</t>
  </si>
  <si>
    <t>C:\Users\franc\OneDrive\Documentos\MALENTIN KARIME\BANCO ESTADO\2012 DEPTO ESCRITURAS fata\Dc Simples\RESPALDO comp notaria 27_12_12\NOTARIA 2012\MINAS\MODELO.doc</t>
  </si>
  <si>
    <t>C:\Users\franc\OneDrive\Documentos\MALENTIN KARIME\BANCO ESTADO\2012 DEPTO ESCRITURAS fata\Dc Simples\RESPALDO comp notaria 27_12_12\NOTARIA 2012\MINAS\MINA TRICAHUE DOS.doc</t>
  </si>
  <si>
    <t>C:\Users\franc\OneDrive\Documentos\MALENTIN KARIME\BANCO ESTADO\2012 DEPTO ESCRITURAS fata\Dc Simples\RESPALDO comp notaria 27_12_12\NOTARIA 2012\MINAS\MINA SANTA HILDA 1 AL 20.doc</t>
  </si>
  <si>
    <t>C:\Users\franc\OneDrive\Documentos\MALENTIN KARIME\BANCO ESTADO\2012 DEPTO ESCRITURAS fata\Dc Simples\RESPALDO comp notaria 27_12_12\NOTARIA 2012\MINAS\MINA LA ESTRELLA.doc</t>
  </si>
  <si>
    <t>C:\Users\franc\OneDrive\Documentos\MALENTIN KARIME\BANCO ESTADO\2012 DEPTO ESCRITURAS fata\Dc Simples\RESPALDO comp notaria 27_12_12\NOTARIA 2012\MINAS\MINA LA ESTRELLA- GENARA.doc</t>
  </si>
  <si>
    <t>C:\Users\franc\OneDrive\Documentos\MALENTIN KARIME\BANCO ESTADO\2012 DEPTO ESCRITURAS fata\Dc Simples\RESPALDO comp notaria 27_12_12\NOTARIA 2012\MINAS\MINA LA ESTRELLA a Juan Ramírez.doc</t>
  </si>
  <si>
    <t>C:\Users\franc\OneDrive\Documentos\MALENTIN KARIME\BANCO ESTADO\2012 DEPTO ESCRITURAS fata\Dc Simples\RESPALDO comp notaria 27_12_12\NOTARIA 2012\MINAS\MINA ALGARROBO UNO.doc</t>
  </si>
  <si>
    <t>C:\Users\franc\OneDrive\Documentos\MALENTIN KARIME\BANCO ESTADO\2012 DEPTO ESCRITURAS fata\Dc Simples\RESPALDO comp notaria 27_12_12\NOTARIA 2012\MINAS\MIGUEL TAPIA LAGUNAS.doc</t>
  </si>
  <si>
    <t>C:\Users\franc\OneDrive\Documentos\MALENTIN KARIME\BANCO ESTADO\2012 DEPTO ESCRITURAS fata\Dc Simples\RESPALDO comp notaria 27_12_12\NOTARIA 2012\MINAS\MICAL 1-4.doc</t>
  </si>
  <si>
    <t>C:\Users\franc\OneDrive\Documentos\MALENTIN KARIME\BANCO ESTADO\2012 DEPTO ESCRITURAS fata\Dc Simples\RESPALDO comp notaria 27_12_12\NOTARIA 2012\MINAS\MATEO 1 AL 25.doc</t>
  </si>
  <si>
    <t>C:\Users\franc\OneDrive\Documentos\MALENTIN KARIME\BANCO ESTADO\2012 DEPTO ESCRITURAS fata\Dc Simples\RESPALDO comp notaria 27_12_12\NOTARIA 2012\MINAS\MARTINA UNA PUNITAQUI.doc</t>
  </si>
  <si>
    <t>C:\Users\franc\OneDrive\Documentos\MALENTIN KARIME\BANCO ESTADO\2012 DEPTO ESCRITURAS fata\Dc Simples\RESPALDO comp notaria 27_12_12\NOTARIA 2012\MINAS\MANTO NEGRO.doc</t>
  </si>
  <si>
    <t>C:\Users\franc\OneDrive\Documentos\MALENTIN KARIME\BANCO ESTADO\2012 DEPTO ESCRITURAS fata\Dc Simples\RESPALDO comp notaria 27_12_12\NOTARIA 2012\MINAS\MANIF. VULCANO 1-20.doc</t>
  </si>
  <si>
    <t>C:\Users\franc\OneDrive\Documentos\MALENTIN KARIME\BANCO ESTADO\2012 DEPTO ESCRITURAS fata\Dc Simples\RESPALDO comp notaria 27_12_12\NOTARIA 2012\MINAS\MADRE DE DIOS.doc</t>
  </si>
  <si>
    <t>C:\Users\franc\OneDrive\Documentos\MALENTIN KARIME\BANCO ESTADO\2012 DEPTO ESCRITURAS fata\Dc Simples\RESPALDO comp notaria 27_12_12\NOTARIA 2012\MINAS\LUIS YUTRONIC.doc</t>
  </si>
  <si>
    <t>C:\Users\franc\OneDrive\Documentos\MALENTIN KARIME\BANCO ESTADO\2012 DEPTO ESCRITURAS fata\Dc Simples\RESPALDO comp notaria 27_12_12\NOTARIA 2012\MINAS\LOS TRES AMIGOS.doc</t>
  </si>
  <si>
    <t>C:\Users\franc\OneDrive\Documentos\MALENTIN KARIME\BANCO ESTADO\2012 DEPTO ESCRITURAS fata\Dc Simples\RESPALDO comp notaria 27_12_12\NOTARIA 2012\MINAS\LOS RANCHOS.doc</t>
  </si>
  <si>
    <t>C:\Users\franc\OneDrive\Documentos\MALENTIN KARIME\BANCO ESTADO\2012 DEPTO ESCRITURAS fata\Dc Simples\RESPALDO comp notaria 27_12_12\NOTARIA 2012\MINAS\LOS RANCHOS Y LOLO.doc</t>
  </si>
  <si>
    <t>C:\Users\franc\OneDrive\Documentos\MALENTIN KARIME\BANCO ESTADO\2012 DEPTO ESCRITURAS fata\Dc Simples\RESPALDO comp notaria 27_12_12\NOTARIA 2012\MINAS\LOS RANCHOS A SOC. LOLO.DOC</t>
  </si>
  <si>
    <t>C:\Users\franc\OneDrive\Documentos\MALENTIN KARIME\BANCO ESTADO\2012 DEPTO ESCRITURAS fata\Dc Simples\RESPALDO comp notaria 27_12_12\NOTARIA 2012\MINAS\LOS RANCHOS A RAMON BORQUEZ.doc</t>
  </si>
  <si>
    <t>C:\Users\franc\OneDrive\Documentos\MALENTIN KARIME\BANCO ESTADO\2012 DEPTO ESCRITURAS fata\Dc Simples\RESPALDO comp notaria 27_12_12\NOTARIA 2012\MINAS\LOS MANTOS 1 AL 10.doc</t>
  </si>
  <si>
    <t>C:\Users\franc\OneDrive\Documentos\MALENTIN KARIME\BANCO ESTADO\2012 DEPTO ESCRITURAS fata\Dc Simples\RESPALDO comp notaria 27_12_12\NOTARIA 2012\MINAS\LOS DOS AMIGOS UNO DE CERRILLOS DE RAPEL.doc</t>
  </si>
  <si>
    <t>C:\Users\franc\OneDrive\Documentos\MALENTIN KARIME\BANCO ESTADO\2012 DEPTO ESCRITURAS fata\Dc Simples\RESPALDO comp notaria 27_12_12\NOTARIA 2012\MINAS\LAS MOLLACAS.doc</t>
  </si>
  <si>
    <t>C:\Users\franc\OneDrive\Documentos\MALENTIN KARIME\BANCO ESTADO\2012 DEPTO ESCRITURAS fata\Dc Simples\RESPALDO comp notaria 27_12_12\NOTARIA 2012\MINAS\LAS ARENILLAS 1 AL 5.doc</t>
  </si>
  <si>
    <t>C:\Users\franc\OneDrive\Documentos\MALENTIN KARIME\BANCO ESTADO\2012 DEPTO ESCRITURAS fata\Dc Simples\RESPALDO comp notaria 27_12_12\NOTARIA 2012\MINAS\LAS ABEJAS.doc</t>
  </si>
  <si>
    <t>C:\Users\franc\OneDrive\Documentos\MALENTIN KARIME\BANCO ESTADO\2012 DEPTO ESCRITURAS fata\Dc Simples\RESPALDO comp notaria 27_12_12\NOTARIA 2012\MINAS\LA VENCEDORA MODELO.DOC</t>
  </si>
  <si>
    <t>C:\Users\franc\OneDrive\Documentos\MALENTIN KARIME\BANCO ESTADO\2012 DEPTO ESCRITURAS fata\Dc Simples\RESPALDO comp notaria 27_12_12\NOTARIA 2012\MINAS\LA VENCEDORA ADOLFO VELIZ.DOC</t>
  </si>
  <si>
    <t>C:\Users\franc\OneDrive\Documentos\MALENTIN KARIME\BANCO ESTADO\2012 DEPTO ESCRITURAS fata\Dc Simples\RESPALDO comp notaria 27_12_12\NOTARIA 2012\MINAS\LA ULTIMA ESPERANZA.doc</t>
  </si>
  <si>
    <t>C:\Users\franc\OneDrive\Documentos\MALENTIN KARIME\BANCO ESTADO\2012 DEPTO ESCRITURAS fata\Dc Simples\RESPALDO comp notaria 27_12_12\NOTARIA 2012\MINAS\LA TAMY 1-20.doc</t>
  </si>
  <si>
    <t>C:\Users\franc\OneDrive\Documentos\MALENTIN KARIME\BANCO ESTADO\2012 DEPTO ESCRITURAS fata\Dc Simples\RESPALDO comp notaria 27_12_12\NOTARIA 2012\MINAS\LA SOLITARIA.doc</t>
  </si>
  <si>
    <t>C:\Users\franc\OneDrive\Documentos\MALENTIN KARIME\BANCO ESTADO\2012 DEPTO ESCRITURAS fata\Dc Simples\RESPALDO comp notaria 27_12_12\NOTARIA 2012\MINAS\LA SOLITARIA 1 EL POTRERO.doc</t>
  </si>
  <si>
    <t>C:\Users\franc\OneDrive\Documentos\MALENTIN KARIME\BANCO ESTADO\2012 DEPTO ESCRITURAS fata\Dc Simples\RESPALDO comp notaria 27_12_12\NOTARIA 2012\MINAS\LA RUBIA UNO.doc</t>
  </si>
  <si>
    <t>C:\Users\franc\OneDrive\Documentos\MALENTIN KARIME\BANCO ESTADO\2012 DEPTO ESCRITURAS fata\Dc Simples\RESPALDO comp notaria 27_12_12\NOTARIA 2012\MINAS\LA RUBIA 1 AL 20.doc</t>
  </si>
  <si>
    <t>C:\Users\franc\OneDrive\Documentos\MALENTIN KARIME\BANCO ESTADO\2012 DEPTO ESCRITURAS fata\Dc Simples\RESPALDO comp notaria 27_12_12\NOTARIA 2012\MINAS\LA REINA 1 AL 6.doc</t>
  </si>
  <si>
    <t>C:\Users\franc\OneDrive\Documentos\MALENTIN KARIME\BANCO ESTADO\2012 DEPTO ESCRITURAS fata\Dc Simples\RESPALDO comp notaria 27_12_12\NOTARIA 2012\MINAS\LA RECOMPENSA III.doc</t>
  </si>
  <si>
    <t>C:\Users\franc\OneDrive\Documentos\MALENTIN KARIME\BANCO ESTADO\2012 DEPTO ESCRITURAS fata\Dc Simples\RESPALDO comp notaria 27_12_12\NOTARIA 2012\MINAS\LA POR SI ACASO 1 AL 10.doc</t>
  </si>
  <si>
    <t>C:\Users\franc\OneDrive\Documentos\MALENTIN KARIME\BANCO ESTADO\2012 DEPTO ESCRITURAS fata\Dc Simples\RESPALDO comp notaria 27_12_12\NOTARIA 2012\MINAS\LA PONDEROSA.doc</t>
  </si>
  <si>
    <t>C:\Users\franc\OneDrive\Documentos\MALENTIN KARIME\BANCO ESTADO\2012 DEPTO ESCRITURAS fata\Dc Simples\RESPALDO comp notaria 27_12_12\NOTARIA 2012\MINAS\LA PODEROSA.doc</t>
  </si>
  <si>
    <t>C:\Users\franc\OneDrive\Documentos\MALENTIN KARIME\BANCO ESTADO\2012 DEPTO ESCRITURAS fata\Dc Simples\RESPALDO comp notaria 27_12_12\NOTARIA 2012\MINAS\LA PIMIENTA DOS.doc</t>
  </si>
  <si>
    <t>C:\Users\franc\OneDrive\Documentos\MALENTIN KARIME\BANCO ESTADO\2012 DEPTO ESCRITURAS fata\Dc Simples\RESPALDO comp notaria 27_12_12\NOTARIA 2012\MINAS\LA PIMIENTA 1 AL 3.doc</t>
  </si>
  <si>
    <t>C:\Users\franc\OneDrive\Documentos\MALENTIN KARIME\BANCO ESTADO\2012 DEPTO ESCRITURAS fata\Dc Simples\RESPALDO comp notaria 27_12_12\NOTARIA 2012\MINAS\LA PASCUALA.doc</t>
  </si>
  <si>
    <t>C:\Users\franc\OneDrive\Documentos\MALENTIN KARIME\BANCO ESTADO\2012 DEPTO ESCRITURAS fata\Dc Simples\RESPALDO comp notaria 27_12_12\NOTARIA 2012\MINAS\LA OVALLINA.doc</t>
  </si>
  <si>
    <t>C:\Users\franc\OneDrive\Documentos\MALENTIN KARIME\BANCO ESTADO\2012 DEPTO ESCRITURAS fata\Dc Simples\RESPALDO comp notaria 27_12_12\NOTARIA 2012\MINAS\LA NEGRA 1 AL 6.doc</t>
  </si>
  <si>
    <t>C:\Users\franc\OneDrive\Documentos\MALENTIN KARIME\BANCO ESTADO\2012 DEPTO ESCRITURAS fata\Dc Simples\RESPALDO comp notaria 27_12_12\NOTARIA 2012\MINAS\LA NARANJA.doc</t>
  </si>
  <si>
    <t>C:\Users\franc\OneDrive\Documentos\MALENTIN KARIME\BANCO ESTADO\2012 DEPTO ESCRITURAS fata\Dc Simples\RESPALDO comp notaria 27_12_12\NOTARIA 2012\MINAS\LA MOLLAQUITA 1-20.doc</t>
  </si>
  <si>
    <t>C:\Users\franc\OneDrive\Documentos\MALENTIN KARIME\BANCO ESTADO\2012 DEPTO ESCRITURAS fata\Dc Simples\RESPALDO comp notaria 27_12_12\NOTARIA 2012\MINAS\LA MANQUEHUINA.doc</t>
  </si>
  <si>
    <t>C:\Users\franc\OneDrive\Documentos\MALENTIN KARIME\BANCO ESTADO\2012 DEPTO ESCRITURAS fata\Dc Simples\RESPALDO comp notaria 27_12_12\NOTARIA 2012\MINAS\LA MANABA 1 AL 15.doc</t>
  </si>
  <si>
    <t>C:\Users\franc\OneDrive\Documentos\MALENTIN KARIME\BANCO ESTADO\2012 DEPTO ESCRITURAS fata\Dc Simples\RESPALDO comp notaria 27_12_12\NOTARIA 2012\MINAS\LA LOICA UNO DEL RELOJ.doc</t>
  </si>
  <si>
    <t>C:\Users\franc\OneDrive\Documentos\MALENTIN KARIME\BANCO ESTADO\2012 DEPTO ESCRITURAS fata\Dc Simples\RESPALDO comp notaria 27_12_12\NOTARIA 2012\MINAS\LA LOCA NENA.doc</t>
  </si>
  <si>
    <t>C:\Users\franc\OneDrive\Documentos\MALENTIN KARIME\BANCO ESTADO\2012 DEPTO ESCRITURAS fata\Dc Simples\RESPALDO comp notaria 27_12_12\NOTARIA 2012\MINAS\LA HUANACA.doc</t>
  </si>
  <si>
    <t>C:\Users\franc\OneDrive\Documentos\MALENTIN KARIME\BANCO ESTADO\2012 DEPTO ESCRITURAS fata\Dc Simples\RESPALDO comp notaria 27_12_12\NOTARIA 2012\MINAS\LA HUANACA 1 AL 10.doc</t>
  </si>
  <si>
    <t>C:\Users\franc\OneDrive\Documentos\MALENTIN KARIME\BANCO ESTADO\2012 DEPTO ESCRITURAS fata\Dc Simples\RESPALDO comp notaria 27_12_12\NOTARIA 2012\MINAS\LA GITANA.doc</t>
  </si>
  <si>
    <t>C:\Users\franc\OneDrive\Documentos\MALENTIN KARIME\BANCO ESTADO\2012 DEPTO ESCRITURAS fata\Dc Simples\RESPALDO comp notaria 27_12_12\NOTARIA 2012\MINAS\LA GITANA UNO AL CUATRO.doc</t>
  </si>
  <si>
    <t>C:\Users\franc\OneDrive\Documentos\MALENTIN KARIME\BANCO ESTADO\2012 DEPTO ESCRITURAS fata\Dc Simples\RESPALDO comp notaria 27_12_12\NOTARIA 2012\MINAS\LA FORTUNA UNO DE oVALLE.doc</t>
  </si>
  <si>
    <t>C:\Users\franc\OneDrive\Documentos\MALENTIN KARIME\BANCO ESTADO\2012 DEPTO ESCRITURAS fata\Dc Simples\RESPALDO comp notaria 27_12_12\NOTARIA 2012\MINAS\LA FORTUNA 1-6.doc</t>
  </si>
  <si>
    <t>C:\Users\franc\OneDrive\Documentos\MALENTIN KARIME\BANCO ESTADO\2012 DEPTO ESCRITURAS fata\Dc Simples\RESPALDO comp notaria 27_12_12\NOTARIA 2012\MINAS\LA FORTUNA 1-5.doc</t>
  </si>
  <si>
    <t>C:\Users\franc\OneDrive\Documentos\MALENTIN KARIME\BANCO ESTADO\2012 DEPTO ESCRITURAS fata\Dc Simples\RESPALDO comp notaria 27_12_12\NOTARIA 2012\MINAS\LA FORTUNA 1-20.doc</t>
  </si>
  <si>
    <t>C:\Users\franc\OneDrive\Documentos\MALENTIN KARIME\BANCO ESTADO\2012 DEPTO ESCRITURAS fata\Dc Simples\RESPALDO comp notaria 27_12_12\NOTARIA 2012\MINAS\LA ESPERANZA 1-20.doc</t>
  </si>
  <si>
    <t>C:\Users\franc\OneDrive\Documentos\MALENTIN KARIME\BANCO ESTADO\2012 DEPTO ESCRITURAS fata\Dc Simples\RESPALDO comp notaria 27_12_12\NOTARIA 2012\MINAS\LA ESPERANZA 1 AL 50.doc</t>
  </si>
  <si>
    <t>C:\Users\franc\OneDrive\Documentos\MALENTIN KARIME\BANCO ESTADO\2012 DEPTO ESCRITURAS fata\Dc Simples\RESPALDO comp notaria 27_12_12\NOTARIA 2012\MINAS\LA ESFUERZO.doc</t>
  </si>
  <si>
    <t>C:\Users\franc\OneDrive\Documentos\MALENTIN KARIME\BANCO ESTADO\2012 DEPTO ESCRITURAS fata\Dc Simples\RESPALDO comp notaria 27_12_12\NOTARIA 2012\MINAS\LA ESCONDIDA 1-10.doc</t>
  </si>
  <si>
    <t>C:\Users\franc\OneDrive\Documentos\MALENTIN KARIME\BANCO ESTADO\2012 DEPTO ESCRITURAS fata\Dc Simples\RESPALDO comp notaria 27_12_12\NOTARIA 2012\MINAS\LA ESCONDIDA 1 AL 5.doc</t>
  </si>
  <si>
    <t>C:\Users\franc\OneDrive\Documentos\MALENTIN KARIME\BANCO ESTADO\2012 DEPTO ESCRITURAS fata\Dc Simples\RESPALDO comp notaria 27_12_12\NOTARIA 2012\MINAS\LA DUDA LOS CORRALES.doc</t>
  </si>
  <si>
    <t>C:\Users\franc\OneDrive\Documentos\MALENTIN KARIME\BANCO ESTADO\2012 DEPTO ESCRITURAS fata\Dc Simples\RESPALDO comp notaria 27_12_12\NOTARIA 2012\MINAS\LA DAMIANA.doc</t>
  </si>
  <si>
    <t>C:\Users\franc\OneDrive\Documentos\MALENTIN KARIME\BANCO ESTADO\2012 DEPTO ESCRITURAS fata\Dc Simples\RESPALDO comp notaria 27_12_12\NOTARIA 2012\MINAS\LA CORVINA.doc</t>
  </si>
  <si>
    <t>C:\Users\franc\OneDrive\Documentos\MALENTIN KARIME\BANCO ESTADO\2012 DEPTO ESCRITURAS fata\Dc Simples\RESPALDO comp notaria 27_12_12\NOTARIA 2012\MINAS\LA CORTADERA.doc</t>
  </si>
  <si>
    <t>C:\Users\franc\OneDrive\Documentos\MALENTIN KARIME\BANCO ESTADO\2012 DEPTO ESCRITURAS fata\Dc Simples\RESPALDO comp notaria 27_12_12\NOTARIA 2012\MINAS\LA CHINITA.doc</t>
  </si>
  <si>
    <t>C:\Users\franc\OneDrive\Documentos\MALENTIN KARIME\BANCO ESTADO\2012 DEPTO ESCRITURAS fata\Dc Simples\RESPALDO comp notaria 27_12_12\NOTARIA 2012\MINAS\LA CAÑA EXPL..doc</t>
  </si>
  <si>
    <t>C:\Users\franc\OneDrive\Documentos\MALENTIN KARIME\BANCO ESTADO\2012 DEPTO ESCRITURAS fata\Dc Simples\RESPALDO comp notaria 27_12_12\NOTARIA 2012\MINAS\LA CAÑA 1-20.doc</t>
  </si>
  <si>
    <t>C:\Users\franc\OneDrive\Documentos\MALENTIN KARIME\BANCO ESTADO\2012 DEPTO ESCRITURAS fata\Dc Simples\RESPALDO comp notaria 27_12_12\NOTARIA 2012\MINAS\LA CAÑA 1 AL 10.doc</t>
  </si>
  <si>
    <t>C:\Users\franc\OneDrive\Documentos\MALENTIN KARIME\BANCO ESTADO\2012 DEPTO ESCRITURAS fata\Dc Simples\RESPALDO comp notaria 27_12_12\NOTARIA 2012\MINAS\LA CARMELITA.doc</t>
  </si>
  <si>
    <t>C:\Users\franc\OneDrive\Documentos\MALENTIN KARIME\BANCO ESTADO\2012 DEPTO ESCRITURAS fata\Dc Simples\RESPALDO comp notaria 27_12_12\NOTARIA 2012\MINAS\LA CANTA GALLO.doc</t>
  </si>
  <si>
    <t>C:\Users\franc\OneDrive\Documentos\MALENTIN KARIME\BANCO ESTADO\2012 DEPTO ESCRITURAS fata\Dc Simples\RESPALDO comp notaria 27_12_12\NOTARIA 2012\MINAS\LA BRILLANTE.doc</t>
  </si>
  <si>
    <t>C:\Users\franc\OneDrive\Documentos\MALENTIN KARIME\BANCO ESTADO\2012 DEPTO ESCRITURAS fata\Dc Simples\RESPALDO comp notaria 27_12_12\NOTARIA 2012\MINAS\LA ARQUEADA.doc</t>
  </si>
  <si>
    <t>C:\Users\franc\OneDrive\Documentos\MALENTIN KARIME\BANCO ESTADO\2012 DEPTO ESCRITURAS fata\Dc Simples\RESPALDO comp notaria 27_12_12\NOTARIA 2012\MINAS\LA AMARILLA ARR. MANIFEST..doc</t>
  </si>
  <si>
    <t>C:\Users\franc\OneDrive\Documentos\MALENTIN KARIME\BANCO ESTADO\2012 DEPTO ESCRITURAS fata\Dc Simples\RESPALDO comp notaria 27_12_12\NOTARIA 2012\MINAS\LA ALMENDRA 1-20.doc</t>
  </si>
  <si>
    <t>C:\Users\franc\OneDrive\Documentos\MALENTIN KARIME\BANCO ESTADO\2012 DEPTO ESCRITURAS fata\Dc Simples\RESPALDO comp notaria 27_12_12\NOTARIA 2012\MINAS\JULIAN.doc</t>
  </si>
  <si>
    <t>C:\Users\franc\OneDrive\Documentos\MALENTIN KARIME\BANCO ESTADO\2012 DEPTO ESCRITURAS fata\Dc Simples\RESPALDO comp notaria 27_12_12\NOTARIA 2012\MINAS\JULIA ANDREA 1-20.doc</t>
  </si>
  <si>
    <t>C:\Users\franc\OneDrive\Documentos\MALENTIN KARIME\BANCO ESTADO\2012 DEPTO ESCRITURAS fata\Dc Simples\RESPALDO comp notaria 27_12_12\NOTARIA 2012\MINAS\JUAN RAMIREZ C.doc</t>
  </si>
  <si>
    <t>C:\Users\franc\OneDrive\Documentos\MALENTIN KARIME\BANCO ESTADO\2012 DEPTO ESCRITURAS fata\Dc Simples\RESPALDO comp notaria 27_12_12\NOTARIA 2012\MINAS\JAVY 1 AL 10.doc</t>
  </si>
  <si>
    <t>C:\Users\franc\OneDrive\Documentos\MALENTIN KARIME\BANCO ESTADO\2012 DEPTO ESCRITURAS fata\Dc Simples\RESPALDO comp notaria 27_12_12\NOTARIA 2012\MINAS\HECTOR X.doc</t>
  </si>
  <si>
    <t>C:\Users\franc\OneDrive\Documentos\MALENTIN KARIME\BANCO ESTADO\2012 DEPTO ESCRITURAS fata\Dc Simples\RESPALDO comp notaria 27_12_12\NOTARIA 2012\MINAS\HALCON 1 AL 10.doc</t>
  </si>
  <si>
    <t>C:\Users\franc\OneDrive\Documentos\MALENTIN KARIME\BANCO ESTADO\2012 DEPTO ESCRITURAS fata\Dc Simples\RESPALDO comp notaria 27_12_12\NOTARIA 2012\MINAS\FRONTON 3.doc</t>
  </si>
  <si>
    <t>C:\Users\franc\OneDrive\Documentos\MALENTIN KARIME\BANCO ESTADO\2012 DEPTO ESCRITURAS fata\Dc Simples\RESPALDO comp notaria 27_12_12\NOTARIA 2012\MINAS\FRAILE DOS.doc</t>
  </si>
  <si>
    <t>C:\Users\franc\OneDrive\Documentos\MALENTIN KARIME\BANCO ESTADO\2012 DEPTO ESCRITURAS fata\Dc Simples\RESPALDO comp notaria 27_12_12\NOTARIA 2012\MINAS\FLOR DE ESPINO.doc</t>
  </si>
  <si>
    <t>C:\Users\franc\OneDrive\Documentos\MALENTIN KARIME\BANCO ESTADO\2012 DEPTO ESCRITURAS fata\Dc Simples\RESPALDO comp notaria 27_12_12\NOTARIA 2012\MINAS\EXPLOTACION MINERA LA ESPERANZA.doc</t>
  </si>
  <si>
    <t>C:\Users\franc\OneDrive\Documentos\MALENTIN KARIME\BANCO ESTADO\2012 DEPTO ESCRITURAS fata\Dc Simples\RESPALDO comp notaria 27_12_12\NOTARIA 2012\MINAS\EXPLOTACION LEONIDES.doc</t>
  </si>
  <si>
    <t>C:\Users\franc\OneDrive\Documentos\MALENTIN KARIME\BANCO ESTADO\2012 DEPTO ESCRITURAS fata\Dc Simples\RESPALDO comp notaria 27_12_12\NOTARIA 2012\MINAS\EXPLOTACION LA CORTADERA.doc</t>
  </si>
  <si>
    <t>C:\Users\franc\OneDrive\Documentos\MALENTIN KARIME\BANCO ESTADO\2012 DEPTO ESCRITURAS fata\Dc Simples\RESPALDO comp notaria 27_12_12\NOTARIA 2012\MINAS\EXPLOT 4 PERS..doc</t>
  </si>
  <si>
    <t>C:\Users\franc\OneDrive\Documentos\MALENTIN KARIME\BANCO ESTADO\2012 DEPTO ESCRITURAS fata\Dc Simples\RESPALDO comp notaria 27_12_12\NOTARIA 2012\MINAS\EXPL.YAYITA.doc</t>
  </si>
  <si>
    <t>C:\Users\franc\OneDrive\Documentos\MALENTIN KARIME\BANCO ESTADO\2012 DEPTO ESCRITURAS fata\Dc Simples\RESPALDO comp notaria 27_12_12\NOTARIA 2012\MINAS\EXPL.OSVALDO GUERRERO.doc</t>
  </si>
  <si>
    <t>C:\Users\franc\OneDrive\Documentos\MALENTIN KARIME\BANCO ESTADO\2012 DEPTO ESCRITURAS fata\Dc Simples\RESPALDO comp notaria 27_12_12\NOTARIA 2012\MINAS\EXPL. PETUNIA.doc</t>
  </si>
  <si>
    <t>C:\Users\franc\OneDrive\Documentos\MALENTIN KARIME\BANCO ESTADO\2012 DEPTO ESCRITURAS fata\Dc Simples\RESPALDO comp notaria 27_12_12\NOTARIA 2012\MINAS\EXPL. MESIAS ROBLES.doc</t>
  </si>
  <si>
    <t>C:\Users\franc\OneDrive\Documentos\MALENTIN KARIME\BANCO ESTADO\2012 DEPTO ESCRITURAS fata\Dc Simples\RESPALDO comp notaria 27_12_12\NOTARIA 2012\MINAS\EXPL. LOS VILOS.doc</t>
  </si>
  <si>
    <t>C:\Users\franc\OneDrive\Documentos\MALENTIN KARIME\BANCO ESTADO\2012 DEPTO ESCRITURAS fata\Dc Simples\RESPALDO comp notaria 27_12_12\NOTARIA 2012\MINAS\Expl. LA AGUADA II.doc</t>
  </si>
  <si>
    <t>C:\Users\franc\OneDrive\Documentos\MALENTIN KARIME\BANCO ESTADO\2012 DEPTO ESCRITURAS fata\Dc Simples\RESPALDO comp notaria 27_12_12\NOTARIA 2012\MINAS\Exp.AURORA.doc</t>
  </si>
  <si>
    <t>C:\Users\franc\OneDrive\Documentos\MALENTIN KARIME\BANCO ESTADO\2012 DEPTO ESCRITURAS fata\Dc Simples\RESPALDO comp notaria 27_12_12\NOTARIA 2012\MINAS\EXP. ENTROPIA.doc</t>
  </si>
  <si>
    <t>C:\Users\franc\OneDrive\Documentos\MALENTIN KARIME\BANCO ESTADO\2012 DEPTO ESCRITURAS fata\Dc Simples\RESPALDO comp notaria 27_12_12\NOTARIA 2012\MINAS\Exp. BUENA VISTA.doc</t>
  </si>
  <si>
    <t>C:\Users\franc\OneDrive\Documentos\MALENTIN KARIME\BANCO ESTADO\2012 DEPTO ESCRITURAS fata\Dc Simples\RESPALDO comp notaria 27_12_12\NOTARIA 2012\MINAS\EXP. AMOLANA.doc</t>
  </si>
  <si>
    <t>C:\Users\franc\OneDrive\Documentos\MALENTIN KARIME\BANCO ESTADO\2012 DEPTO ESCRITURAS fata\Dc Simples\RESPALDO comp notaria 27_12_12\NOTARIA 2012\MINAS\ERMITA A LINO BRAVO.doc</t>
  </si>
  <si>
    <t>C:\Users\franc\OneDrive\Documentos\MALENTIN KARIME\BANCO ESTADO\2012 DEPTO ESCRITURAS fata\Dc Simples\RESPALDO comp notaria 27_12_12\NOTARIA 2012\MINAS\ERMITA A JUAN VEGA DURAN.DOC</t>
  </si>
  <si>
    <t>C:\Users\franc\OneDrive\Documentos\MALENTIN KARIME\BANCO ESTADO\2012 DEPTO ESCRITURAS fata\Dc Simples\RESPALDO comp notaria 27_12_12\NOTARIA 2012\MINAS\ERMITA 16-46.doc</t>
  </si>
  <si>
    <t>C:\Users\franc\OneDrive\Documentos\MALENTIN KARIME\BANCO ESTADO\2012 DEPTO ESCRITURAS fata\Dc Simples\RESPALDO comp notaria 27_12_12\NOTARIA 2012\MINAS\ENTROPIA 1-10.doc</t>
  </si>
  <si>
    <t>C:\Users\franc\OneDrive\Documentos\MALENTIN KARIME\BANCO ESTADO\2012 DEPTO ESCRITURAS fata\Dc Simples\RESPALDO comp notaria 27_12_12\NOTARIA 2012\MINAS\EL PEÑON UNO.doc</t>
  </si>
  <si>
    <t>C:\Users\franc\OneDrive\Documentos\MALENTIN KARIME\BANCO ESTADO\2012 DEPTO ESCRITURAS fata\Dc Simples\RESPALDO comp notaria 27_12_12\NOTARIA 2012\MINAS\EL FRONTON.doc</t>
  </si>
  <si>
    <t>C:\Users\franc\OneDrive\Documentos\MALENTIN KARIME\BANCO ESTADO\2012 DEPTO ESCRITURAS fata\Dc Simples\RESPALDO comp notaria 27_12_12\NOTARIA 2012\MINAS\EL FRONTON II 07-08-2007.doc</t>
  </si>
  <si>
    <t>C:\Users\franc\OneDrive\Documentos\MALENTIN KARIME\BANCO ESTADO\2012 DEPTO ESCRITURAS fata\Dc Simples\RESPALDO comp notaria 27_12_12\NOTARIA 2012\MINAS\EL CHORRIAO UNO.doc</t>
  </si>
  <si>
    <t>C:\Users\franc\OneDrive\Documentos\MALENTIN KARIME\BANCO ESTADO\2012 DEPTO ESCRITURAS fata\Dc Simples\RESPALDO comp notaria 27_12_12\NOTARIA 2012\MINAS\EL CASTILLO.doc</t>
  </si>
  <si>
    <t>C:\Users\franc\OneDrive\Documentos\MALENTIN KARIME\BANCO ESTADO\2012 DEPTO ESCRITURAS fata\Dc Simples\RESPALDO comp notaria 27_12_12\NOTARIA 2012\MINAS\DOÑA ANDREA.doc</t>
  </si>
  <si>
    <t>C:\Users\franc\OneDrive\Documentos\MALENTIN KARIME\BANCO ESTADO\2012 DEPTO ESCRITURAS fata\Dc Simples\RESPALDO comp notaria 27_12_12\NOTARIA 2012\MINAS\DOS AMIGOS.doc</t>
  </si>
  <si>
    <t>C:\Users\franc\OneDrive\Documentos\MALENTIN KARIME\BANCO ESTADO\2012 DEPTO ESCRITURAS fata\Dc Simples\RESPALDO comp notaria 27_12_12\NOTARIA 2012\MINAS\DON MANUEL-angelo.doc</t>
  </si>
  <si>
    <t>C:\Users\franc\OneDrive\Documentos\MALENTIN KARIME\BANCO ESTADO\2012 DEPTO ESCRITURAS fata\Dc Simples\RESPALDO comp notaria 27_12_12\NOTARIA 2012\MINAS\DOM MANUEL 1-9.doc</t>
  </si>
  <si>
    <t>C:\Users\franc\OneDrive\Documentos\MALENTIN KARIME\BANCO ESTADO\2012 DEPTO ESCRITURAS fata\Dc Simples\RESPALDO comp notaria 27_12_12\NOTARIA 2012\MINAS\DET NYA SVERIGE.doc</t>
  </si>
  <si>
    <t>C:\Users\franc\OneDrive\Documentos\MALENTIN KARIME\BANCO ESTADO\2012 DEPTO ESCRITURAS fata\Dc Simples\RESPALDO comp notaria 27_12_12\NOTARIA 2012\MINAS\DET NYA SVERIGE II.doc</t>
  </si>
  <si>
    <t>C:\Users\franc\OneDrive\Documentos\MALENTIN KARIME\BANCO ESTADO\2012 DEPTO ESCRITURAS fata\Dc Simples\RESPALDO comp notaria 27_12_12\NOTARIA 2012\MINAS\COPPELIA 1 A 2.doc</t>
  </si>
  <si>
    <t>C:\Users\franc\OneDrive\Documentos\MALENTIN KARIME\BANCO ESTADO\2012 DEPTO ESCRITURAS fata\Dc Simples\RESPALDO comp notaria 27_12_12\NOTARIA 2012\MINAS\CONVENIO VENTA MINERAL.doc</t>
  </si>
  <si>
    <t>C:\Users\franc\OneDrive\Documentos\MALENTIN KARIME\BANCO ESTADO\2012 DEPTO ESCRITURAS fata\Dc Simples\RESPALDO comp notaria 27_12_12\NOTARIA 2012\MINAS\CONTRATO EXPLOTACION MINERA.doc</t>
  </si>
  <si>
    <t>C:\Users\franc\OneDrive\Documentos\MALENTIN KARIME\BANCO ESTADO\2012 DEPTO ESCRITURAS fata\Dc Simples\RESPALDO comp notaria 27_12_12\NOTARIA 2012\MINAS\CONT. MOLLE I-6 Y COMINCID.doc</t>
  </si>
  <si>
    <t>C:\Users\franc\OneDrive\Documentos\MALENTIN KARIME\BANCO ESTADO\2012 DEPTO ESCRITURAS fata\Dc Simples\RESPALDO comp notaria 27_12_12\NOTARIA 2012\MINAS\CONT. LA NONITA UNO AL NUEVE.doc</t>
  </si>
  <si>
    <t>C:\Users\franc\OneDrive\Documentos\MALENTIN KARIME\BANCO ESTADO\2012 DEPTO ESCRITURAS fata\Dc Simples\RESPALDO comp notaria 27_12_12\NOTARIA 2012\MINAS\COMPRAVENTA DE MINERAL.doc</t>
  </si>
  <si>
    <t>C:\Users\franc\OneDrive\Documentos\MALENTIN KARIME\BANCO ESTADO\2012 DEPTO ESCRITURAS fata\Dc Simples\RESPALDO comp notaria 27_12_12\NOTARIA 2012\MINAS\CHANTY.doc</t>
  </si>
  <si>
    <t>C:\Users\franc\OneDrive\Documentos\MALENTIN KARIME\BANCO ESTADO\2012 DEPTO ESCRITURAS fata\Dc Simples\RESPALDO comp notaria 27_12_12\NOTARIA 2012\MINAS\CAROL DOS UNO DE QUEBRADA LA HIGUERA.doc</t>
  </si>
  <si>
    <t>C:\Users\franc\OneDrive\Documentos\MALENTIN KARIME\BANCO ESTADO\2012 DEPTO ESCRITURAS fata\Dc Simples\RESPALDO comp notaria 27_12_12\NOTARIA 2012\MINAS\CARMENCITA.doc</t>
  </si>
  <si>
    <t>C:\Users\franc\OneDrive\Documentos\MALENTIN KARIME\BANCO ESTADO\2012 DEPTO ESCRITURAS fata\Dc Simples\RESPALDO comp notaria 27_12_12\NOTARIA 2012\MINAS\CARMENCITA COMBARBALA.doc</t>
  </si>
  <si>
    <t>C:\Users\franc\OneDrive\Documentos\MALENTIN KARIME\BANCO ESTADO\2012 DEPTO ESCRITURAS fata\Dc Simples\RESPALDO comp notaria 27_12_12\NOTARIA 2012\MINAS\CARMEN UNO AL VEINTE.doc</t>
  </si>
  <si>
    <t>C:\Users\franc\OneDrive\Documentos\MALENTIN KARIME\BANCO ESTADO\2012 DEPTO ESCRITURAS fata\Dc Simples\RESPALDO comp notaria 27_12_12\NOTARIA 2012\MINAS\CARMEN 1 AL 20.doc</t>
  </si>
  <si>
    <t>C:\Users\franc\OneDrive\Documentos\MALENTIN KARIME\BANCO ESTADO\2012 DEPTO ESCRITURAS fata\Dc Simples\RESPALDO comp notaria 27_12_12\NOTARIA 2012\MINAS\CARMEN 1 AL 20  II ctto.doc</t>
  </si>
  <si>
    <t>C:\Users\franc\OneDrive\Documentos\MALENTIN KARIME\BANCO ESTADO\2012 DEPTO ESCRITURAS fata\Dc Simples\RESPALDO comp notaria 27_12_12\NOTARIA 2012\MINAS\CARDA PRIMERA DE COQUIMBO.doc</t>
  </si>
  <si>
    <t>C:\Users\franc\OneDrive\Documentos\MALENTIN KARIME\BANCO ESTADO\2012 DEPTO ESCRITURAS fata\Dc Simples\RESPALDO comp notaria 27_12_12\NOTARIA 2012\MINAS\CALCITA 1 AL 10.doc</t>
  </si>
  <si>
    <t>C:\Users\franc\OneDrive\Documentos\MALENTIN KARIME\BANCO ESTADO\2012 DEPTO ESCRITURAS fata\Dc Simples\RESPALDO comp notaria 27_12_12\NOTARIA 2012\MINAS\CACHO.doc</t>
  </si>
  <si>
    <t>C:\Users\franc\OneDrive\Documentos\MALENTIN KARIME\BANCO ESTADO\2012 DEPTO ESCRITURAS fata\Dc Simples\RESPALDO comp notaria 27_12_12\NOTARIA 2012\MINAS\BRANCO A AL CINCO.doc</t>
  </si>
  <si>
    <t>C:\Users\franc\OneDrive\Documentos\MALENTIN KARIME\BANCO ESTADO\2012 DEPTO ESCRITURAS fata\Dc Simples\RESPALDO comp notaria 27_12_12\NOTARIA 2012\MINAS\BLANCO Y NEGRO 1-20.doc</t>
  </si>
  <si>
    <t>C:\Users\franc\OneDrive\Documentos\MALENTIN KARIME\BANCO ESTADO\2012 DEPTO ESCRITURAS fata\Dc Simples\RESPALDO comp notaria 27_12_12\NOTARIA 2012\MINAS\BLANCO Y  NEGRO 1 AL 10.doc</t>
  </si>
  <si>
    <t>C:\Users\franc\OneDrive\Documentos\MALENTIN KARIME\BANCO ESTADO\2012 DEPTO ESCRITURAS fata\Dc Simples\RESPALDO comp notaria 27_12_12\NOTARIA 2012\MINAS\BELLA ESPERANZA.doc</t>
  </si>
  <si>
    <t>C:\Users\franc\OneDrive\Documentos\MALENTIN KARIME\BANCO ESTADO\2012 DEPTO ESCRITURAS fata\Dc Simples\RESPALDO comp notaria 27_12_12\NOTARIA 2012\MINAS\BELEN 1 AL 2.doc</t>
  </si>
  <si>
    <t>C:\Users\franc\OneDrive\Documentos\MALENTIN KARIME\BANCO ESTADO\2012 DEPTO ESCRITURAS fata\Dc Simples\RESPALDO comp notaria 27_12_12\NOTARIA 2012\MINAS\BACHITO 1 AL 10.doc</t>
  </si>
  <si>
    <t>C:\Users\franc\OneDrive\Documentos\MALENTIN KARIME\BANCO ESTADO\2012 DEPTO ESCRITURAS fata\Dc Simples\RESPALDO comp notaria 27_12_12\NOTARIA 2012\MINAS\AZOR.doc</t>
  </si>
  <si>
    <t>C:\Users\franc\OneDrive\Documentos\MALENTIN KARIME\BANCO ESTADO\2012 DEPTO ESCRITURAS fata\Dc Simples\RESPALDO comp notaria 27_12_12\NOTARIA 2012\MINAS\ASOC. CUENTAS EN PARTICIPACION.doc</t>
  </si>
  <si>
    <t>C:\Users\franc\OneDrive\Documentos\MALENTIN KARIME\BANCO ESTADO\2012 DEPTO ESCRITURAS fata\Dc Simples\RESPALDO comp notaria 27_12_12\NOTARIA 2012\MINAS\ARRIENDO MINERO.doc</t>
  </si>
  <si>
    <t>C:\Users\franc\OneDrive\Documentos\MALENTIN KARIME\BANCO ESTADO\2012 DEPTO ESCRITURAS fata\Dc Simples\RESPALDO comp notaria 27_12_12\NOTARIA 2012\MINAS\ARR.COMPLETO.doc</t>
  </si>
  <si>
    <t>C:\Users\franc\OneDrive\Documentos\MALENTIN KARIME\BANCO ESTADO\2012 DEPTO ESCRITURAS fata\Dc Simples\RESPALDO comp notaria 27_12_12\NOTARIA 2012\MINAS\ANTONELLA 1.doc</t>
  </si>
  <si>
    <t>C:\Users\franc\OneDrive\Documentos\MALENTIN KARIME\BANCO ESTADO\2012 DEPTO ESCRITURAS fata\Dc Simples\RESPALDO comp notaria 27_12_12\NOTARIA 2012\MINAS\ANEXO MINERO.doc</t>
  </si>
  <si>
    <t>C:\Users\franc\OneDrive\Documentos\MALENTIN KARIME\BANCO ESTADO\2012 DEPTO ESCRITURAS fata\Dc Simples\RESPALDO comp notaria 27_12_12\NOTARIA 2012\MINAS\ANEXO MINERO yiyo.doc</t>
  </si>
  <si>
    <t>C:\Users\franc\OneDrive\Documentos\MALENTIN KARIME\BANCO ESTADO\2012 DEPTO ESCRITURAS fata\Dc Simples\RESPALDO comp notaria 27_12_12\NOTARIA 2012\MINAS\ANEXO MINERO SOC..doc</t>
  </si>
  <si>
    <t>C:\Users\franc\OneDrive\Documentos\MALENTIN KARIME\BANCO ESTADO\2012 DEPTO ESCRITURAS fata\Dc Simples\RESPALDO comp notaria 27_12_12\NOTARIA 2012\MINAS\ANEXO MINERO SOC. II.doc</t>
  </si>
  <si>
    <t>C:\Users\franc\OneDrive\Documentos\MALENTIN KARIME\BANCO ESTADO\2012 DEPTO ESCRITURAS fata\Dc Simples\RESPALDO comp notaria 27_12_12\NOTARIA 2012\MINAS\ANEXO MINERO lolo.doc</t>
  </si>
  <si>
    <t>C:\Users\franc\OneDrive\Documentos\MALENTIN KARIME\BANCO ESTADO\2012 DEPTO ESCRITURAS fata\Dc Simples\RESPALDO comp notaria 27_12_12\NOTARIA 2012\MINAS\ANEXO MINERO Edgardo.doc</t>
  </si>
  <si>
    <t>C:\Users\franc\OneDrive\Documentos\MALENTIN KARIME\BANCO ESTADO\2012 DEPTO ESCRITURAS fata\Dc Simples\RESPALDO comp notaria 27_12_12\NOTARIA 2012\LABORAL\VIATICO.doc</t>
  </si>
  <si>
    <t>C:\Users\franc\OneDrive\Documentos\MALENTIN KARIME\BANCO ESTADO\2012 DEPTO ESCRITURAS fata\Dc Simples\RESPALDO comp notaria 27_12_12\NOTARIA 2012\LABORAL\VERONICA VILLEGAS.doc</t>
  </si>
  <si>
    <t>C:\Users\franc\OneDrive\Documentos\MALENTIN KARIME\BANCO ESTADO\2012 DEPTO ESCRITURAS fata\Dc Simples\RESPALDO comp notaria 27_12_12\NOTARIA 2012\LABORAL\VENTA DE PUESTO FERIA.doc</t>
  </si>
  <si>
    <t>C:\Users\franc\OneDrive\Documentos\MALENTIN KARIME\BANCO ESTADO\2012 DEPTO ESCRITURAS fata\Dc Simples\RESPALDO comp notaria 27_12_12\NOTARIA 2012\LABORAL\VALLE SALUD.doc</t>
  </si>
  <si>
    <t>C:\Users\franc\OneDrive\Documentos\MALENTIN KARIME\BANCO ESTADO\2012 DEPTO ESCRITURAS fata\Dc Simples\RESPALDO comp notaria 27_12_12\NOTARIA 2012\LABORAL\TRASP. P. FERIA.doc</t>
  </si>
  <si>
    <t>C:\Users\franc\OneDrive\Documentos\MALENTIN KARIME\BANCO ESTADO\2012 DEPTO ESCRITURAS fata\Dc Simples\RESPALDO comp notaria 27_12_12\NOTARIA 2012\LABORAL\TRASLADO DE DOCUMENTACION.doc</t>
  </si>
  <si>
    <t>C:\Users\franc\OneDrive\Documentos\MALENTIN KARIME\BANCO ESTADO\2012 DEPTO ESCRITURAS fata\Dc Simples\RESPALDO comp notaria 27_12_12\NOTARIA 2012\LABORAL\TRABAJO AGRICULTOR.doc</t>
  </si>
  <si>
    <t>C:\Users\franc\OneDrive\Documentos\MALENTIN KARIME\BANCO ESTADO\2012 DEPTO ESCRITURAS fata\Dc Simples\RESPALDO comp notaria 27_12_12\NOTARIA 2012\LABORAL\TIO LUCHO.doc</t>
  </si>
  <si>
    <t>C:\Users\franc\OneDrive\Documentos\MALENTIN KARIME\BANCO ESTADO\2012 DEPTO ESCRITURAS fata\Dc Simples\RESPALDO comp notaria 27_12_12\NOTARIA 2012\LABORAL\TERMINO CONTRATO ARRIENDO.doc</t>
  </si>
  <si>
    <t>C:\Users\franc\OneDrive\Documentos\MALENTIN KARIME\BANCO ESTADO\2012 DEPTO ESCRITURAS fata\Dc Simples\RESPALDO comp notaria 27_12_12\NOTARIA 2012\LABORAL\TERM.ARR.SITIO.doc</t>
  </si>
  <si>
    <t>C:\Users\franc\OneDrive\Documentos\MALENTIN KARIME\BANCO ESTADO\2012 DEPTO ESCRITURAS fata\Dc Simples\RESPALDO comp notaria 27_12_12\NOTARIA 2012\LABORAL\TERM. LAS ABEJAS I.doc</t>
  </si>
  <si>
    <t>C:\Users\franc\OneDrive\Documentos\MALENTIN KARIME\BANCO ESTADO\2012 DEPTO ESCRITURAS fata\Dc Simples\RESPALDO comp notaria 27_12_12\NOTARIA 2012\LABORAL\TERM. LA ESTRELLA.doc</t>
  </si>
  <si>
    <t>C:\Users\franc\OneDrive\Documentos\MALENTIN KARIME\BANCO ESTADO\2012 DEPTO ESCRITURAS fata\Dc Simples\RESPALDO comp notaria 27_12_12\NOTARIA 2012\LABORAL\TERM. LA CHINITA.doc</t>
  </si>
  <si>
    <t>C:\Users\franc\OneDrive\Documentos\MALENTIN KARIME\BANCO ESTADO\2012 DEPTO ESCRITURAS fata\Dc Simples\RESPALDO comp notaria 27_12_12\NOTARIA 2012\LABORAL\TERM CTTO. ricardo risi.doc</t>
  </si>
  <si>
    <t>C:\Users\franc\OneDrive\Documentos\MALENTIN KARIME\BANCO ESTADO\2012 DEPTO ESCRITURAS fata\Dc Simples\RESPALDO comp notaria 27_12_12\NOTARIA 2012\LABORAL\TERM CTTO. ARR. CASA4.doc</t>
  </si>
  <si>
    <t>C:\Users\franc\OneDrive\Documentos\MALENTIN KARIME\BANCO ESTADO\2012 DEPTO ESCRITURAS fata\Dc Simples\RESPALDO comp notaria 27_12_12\NOTARIA 2012\LABORAL\TERM CTTO. ARR. CASA.doc</t>
  </si>
  <si>
    <t>C:\Users\franc\OneDrive\Documentos\MALENTIN KARIME\BANCO ESTADO\2012 DEPTO ESCRITURAS fata\Dc Simples\RESPALDO comp notaria 27_12_12\NOTARIA 2012\LABORAL\TERM CTTO. ARR. CASA ROB.doc</t>
  </si>
  <si>
    <t>C:\Users\franc\OneDrive\Documentos\MALENTIN KARIME\BANCO ESTADO\2012 DEPTO ESCRITURAS fata\Dc Simples\RESPALDO comp notaria 27_12_12\NOTARIA 2012\LABORAL\TERM CTTO. ARR. CASA 2.doc</t>
  </si>
  <si>
    <t>C:\Users\franc\OneDrive\Documentos\MALENTIN KARIME\BANCO ESTADO\2012 DEPTO ESCRITURAS fata\Dc Simples\RESPALDO comp notaria 27_12_12\NOTARIA 2012\LABORAL\SOLICITUD.doc</t>
  </si>
  <si>
    <t>C:\Users\franc\OneDrive\Documentos\MALENTIN KARIME\BANCO ESTADO\2012 DEPTO ESCRITURAS fata\Dc Simples\RESPALDO comp notaria 27_12_12\NOTARIA 2012\LABORAL\SOLIC. ALZ..doc</t>
  </si>
  <si>
    <t>C:\Users\franc\OneDrive\Documentos\MALENTIN KARIME\BANCO ESTADO\2012 DEPTO ESCRITURAS fata\Dc Simples\RESPALDO comp notaria 27_12_12\NOTARIA 2012\LABORAL\SERVIU CAMB. CHEQUE.doc</t>
  </si>
  <si>
    <t>C:\Users\franc\OneDrive\Documentos\MALENTIN KARIME\BANCO ESTADO\2012 DEPTO ESCRITURAS fata\Dc Simples\RESPALDO comp notaria 27_12_12\NOTARIA 2012\LABORAL\SERVICIOS A HONORARIOS.doc</t>
  </si>
  <si>
    <t>C:\Users\franc\OneDrive\Documentos\MALENTIN KARIME\BANCO ESTADO\2012 DEPTO ESCRITURAS fata\Dc Simples\RESPALDO comp notaria 27_12_12\NOTARIA 2012\LABORAL\SANTA TERESA.doc</t>
  </si>
  <si>
    <t>C:\Users\franc\OneDrive\Documentos\MALENTIN KARIME\BANCO ESTADO\2012 DEPTO ESCRITURAS fata\Dc Simples\RESPALDO comp notaria 27_12_12\NOTARIA 2012\LABORAL\SAN ANDRES 1-16.doc</t>
  </si>
  <si>
    <t>C:\Users\franc\OneDrive\Documentos\MALENTIN KARIME\BANCO ESTADO\2012 DEPTO ESCRITURAS fata\Dc Simples\RESPALDO comp notaria 27_12_12\NOTARIA 2012\LABORAL\RETOMA SALA CUNA.doc</t>
  </si>
  <si>
    <t>C:\Users\franc\OneDrive\Documentos\MALENTIN KARIME\BANCO ESTADO\2012 DEPTO ESCRITURAS fata\Dc Simples\RESPALDO comp notaria 27_12_12\NOTARIA 2012\LABORAL\RENUNCIA SEGURO.doc</t>
  </si>
  <si>
    <t>C:\Users\franc\OneDrive\Documentos\MALENTIN KARIME\BANCO ESTADO\2012 DEPTO ESCRITURAS fata\Dc Simples\RESPALDO comp notaria 27_12_12\NOTARIA 2012\LABORAL\RENUNCIA COMITE.doc</t>
  </si>
  <si>
    <t>C:\Users\franc\OneDrive\Documentos\MALENTIN KARIME\BANCO ESTADO\2012 DEPTO ESCRITURAS fata\Dc Simples\RESPALDO comp notaria 27_12_12\NOTARIA 2012\LABORAL\REN. TRABAJO.doc</t>
  </si>
  <si>
    <t>C:\Users\franc\OneDrive\Documentos\MALENTIN KARIME\BANCO ESTADO\2012 DEPTO ESCRITURAS fata\Dc Simples\RESPALDO comp notaria 27_12_12\NOTARIA 2012\LABORAL\REN. SALA CUNA.doc</t>
  </si>
  <si>
    <t>C:\Users\franc\OneDrive\Documentos\MALENTIN KARIME\BANCO ESTADO\2012 DEPTO ESCRITURAS fata\Dc Simples\RESPALDO comp notaria 27_12_12\NOTARIA 2012\LABORAL\PRORROGA.doc</t>
  </si>
  <si>
    <t>C:\Users\franc\OneDrive\Documentos\MALENTIN KARIME\BANCO ESTADO\2012 DEPTO ESCRITURAS fata\Dc Simples\RESPALDO comp notaria 27_12_12\NOTARIA 2012\LABORAL\PRESTACION DE SERVICIOS.doc</t>
  </si>
  <si>
    <t>C:\Users\franc\OneDrive\Documentos\MALENTIN KARIME\BANCO ESTADO\2012 DEPTO ESCRITURAS fata\Dc Simples\RESPALDO comp notaria 27_12_12\NOTARIA 2012\LABORAL\PREST. SERVICIOS.doc</t>
  </si>
  <si>
    <t>C:\Users\franc\OneDrive\Documentos\MALENTIN KARIME\BANCO ESTADO\2012 DEPTO ESCRITURAS fata\Dc Simples\RESPALDO comp notaria 27_12_12\NOTARIA 2012\LABORAL\PREST. SERVICIOS p..doc</t>
  </si>
  <si>
    <t>C:\Users\franc\OneDrive\Documentos\MALENTIN KARIME\BANCO ESTADO\2012 DEPTO ESCRITURAS fata\Dc Simples\RESPALDO comp notaria 27_12_12\NOTARIA 2012\LABORAL\PREST. SERVICIOS Feria.doc</t>
  </si>
  <si>
    <t>C:\Users\franc\OneDrive\Documentos\MALENTIN KARIME\BANCO ESTADO\2012 DEPTO ESCRITURAS fata\Dc Simples\RESPALDO comp notaria 27_12_12\NOTARIA 2012\LABORAL\PREST. SERVICIOS DUBERLY.doc</t>
  </si>
  <si>
    <t>C:\Users\franc\OneDrive\Documentos\MALENTIN KARIME\BANCO ESTADO\2012 DEPTO ESCRITURAS fata\Dc Simples\RESPALDO comp notaria 27_12_12\NOTARIA 2012\LABORAL\PREST. SERV. Túnel.doc</t>
  </si>
  <si>
    <t>C:\Users\franc\OneDrive\Documentos\MALENTIN KARIME\BANCO ESTADO\2012 DEPTO ESCRITURAS fata\Dc Simples\RESPALDO comp notaria 27_12_12\NOTARIA 2012\LABORAL\PREST. SERV. Sol del Pacífico.doc</t>
  </si>
  <si>
    <t>C:\Users\franc\OneDrive\Documentos\MALENTIN KARIME\BANCO ESTADO\2012 DEPTO ESCRITURAS fata\Dc Simples\RESPALDO comp notaria 27_12_12\NOTARIA 2012\LABORAL\PREST. SERV. Gota de leche.doc</t>
  </si>
  <si>
    <t>C:\Users\franc\OneDrive\Documentos\MALENTIN KARIME\BANCO ESTADO\2012 DEPTO ESCRITURAS fata\Dc Simples\RESPALDO comp notaria 27_12_12\NOTARIA 2012\LABORAL\PREST. SERV. bus.doc</t>
  </si>
  <si>
    <t>C:\Users\franc\OneDrive\Documentos\MALENTIN KARIME\BANCO ESTADO\2012 DEPTO ESCRITURAS fata\Dc Simples\RESPALDO comp notaria 27_12_12\NOTARIA 2012\LABORAL\PETRONILA.doc</t>
  </si>
  <si>
    <t>C:\Users\franc\OneDrive\Documentos\MALENTIN KARIME\BANCO ESTADO\2012 DEPTO ESCRITURAS fata\Dc Simples\RESPALDO comp notaria 27_12_12\NOTARIA 2012\LABORAL\PARTE ERRONEO.doc</t>
  </si>
  <si>
    <t>C:\Users\franc\OneDrive\Documentos\MALENTIN KARIME\BANCO ESTADO\2012 DEPTO ESCRITURAS fata\Dc Simples\RESPALDO comp notaria 27_12_12\NOTARIA 2012\LABORAL\PAMA.doc</t>
  </si>
  <si>
    <t>C:\Users\franc\OneDrive\Documentos\MALENTIN KARIME\BANCO ESTADO\2012 DEPTO ESCRITURAS fata\Dc Simples\RESPALDO comp notaria 27_12_12\NOTARIA 2012\LABORAL\PAGO ARRIENDO.doc</t>
  </si>
  <si>
    <t>C:\Users\franc\OneDrive\Documentos\MALENTIN KARIME\BANCO ESTADO\2012 DEPTO ESCRITURAS fata\Dc Simples\RESPALDO comp notaria 27_12_12\NOTARIA 2012\LABORAL\MESIAS.doc</t>
  </si>
  <si>
    <t>C:\Users\franc\OneDrive\Documentos\MALENTIN KARIME\BANCO ESTADO\2012 DEPTO ESCRITURAS fata\Dc Simples\RESPALDO comp notaria 27_12_12\NOTARIA 2012\LABORAL\MABEL ABU-GOSH.doc</t>
  </si>
  <si>
    <t>C:\Users\franc\OneDrive\Documentos\MALENTIN KARIME\BANCO ESTADO\2012 DEPTO ESCRITURAS fata\Dc Simples\RESPALDO comp notaria 27_12_12\NOTARIA 2012\LABORAL\LABORAL SIN GOCE.doc</t>
  </si>
  <si>
    <t>C:\Users\franc\OneDrive\Documentos\MALENTIN KARIME\BANCO ESTADO\2012 DEPTO ESCRITURAS fata\Dc Simples\RESPALDO comp notaria 27_12_12\NOTARIA 2012\LABORAL\INP Jorge Rojo.doc</t>
  </si>
  <si>
    <t>C:\Users\franc\OneDrive\Documentos\MALENTIN KARIME\BANCO ESTADO\2012 DEPTO ESCRITURAS fata\Dc Simples\RESPALDO comp notaria 27_12_12\NOTARIA 2012\LABORAL\FORMATO CURR..doc</t>
  </si>
  <si>
    <t>C:\Users\franc\OneDrive\Documentos\MALENTIN KARIME\BANCO ESTADO\2012 DEPTO ESCRITURAS fata\Dc Simples\RESPALDO comp notaria 27_12_12\NOTARIA 2012\LABORAL\FISCALIA.doc</t>
  </si>
  <si>
    <t>C:\Users\franc\OneDrive\Documentos\MALENTIN KARIME\BANCO ESTADO\2012 DEPTO ESCRITURAS fata\Dc Simples\RESPALDO comp notaria 27_12_12\NOTARIA 2012\LABORAL\FISCALIA 2 LICENCIAS.doc</t>
  </si>
  <si>
    <t>C:\Users\franc\OneDrive\Documentos\MALENTIN KARIME\BANCO ESTADO\2012 DEPTO ESCRITURAS fata\Dc Simples\RESPALDO comp notaria 27_12_12\NOTARIA 2012\LABORAL\FINIQUITO.doc</t>
  </si>
  <si>
    <t>C:\Users\franc\OneDrive\Documentos\MALENTIN KARIME\BANCO ESTADO\2012 DEPTO ESCRITURAS fata\Dc Simples\RESPALDO comp notaria 27_12_12\NOTARIA 2012\LABORAL\Finiquito de trabajador.doc</t>
  </si>
  <si>
    <t>C:\Users\franc\OneDrive\Documentos\MALENTIN KARIME\BANCO ESTADO\2012 DEPTO ESCRITURAS fata\Dc Simples\RESPALDO comp notaria 27_12_12\NOTARIA 2012\LABORAL\FIN CONTRATO AGRIC..doc</t>
  </si>
  <si>
    <t>C:\Users\franc\OneDrive\Documentos\MALENTIN KARIME\BANCO ESTADO\2012 DEPTO ESCRITURAS fata\Dc Simples\RESPALDO comp notaria 27_12_12\NOTARIA 2012\LABORAL\EXTRAVIO LIBRETA BANCO.doc</t>
  </si>
  <si>
    <t>C:\Users\franc\OneDrive\Documentos\MALENTIN KARIME\BANCO ESTADO\2012 DEPTO ESCRITURAS fata\Dc Simples\RESPALDO comp notaria 27_12_12\NOTARIA 2012\LABORAL\CONT. TRABAJO.doc</t>
  </si>
  <si>
    <t>C:\Users\franc\OneDrive\Documentos\MALENTIN KARIME\BANCO ESTADO\2012 DEPTO ESCRITURAS fata\Dc Simples\RESPALDO comp notaria 27_12_12\NOTARIA 2012\LABORAL\CONST. CASA GUANAQUEROS.doc</t>
  </si>
  <si>
    <t>C:\Users\franc\OneDrive\Documentos\MALENTIN KARIME\BANCO ESTADO\2012 DEPTO ESCRITURAS fata\Dc Simples\RESPALDO comp notaria 27_12_12\NOTARIA 2012\LABORAL\CARTA REN. CYNTIA.doc</t>
  </si>
  <si>
    <t>C:\Users\franc\OneDrive\Documentos\MALENTIN KARIME\BANCO ESTADO\2012 DEPTO ESCRITURAS fata\Dc Simples\RESPALDO comp notaria 27_12_12\NOTARIA 2012\LABORAL\CARTA EXTRANJERÍA.doc</t>
  </si>
  <si>
    <t>C:\Users\franc\OneDrive\Documentos\MALENTIN KARIME\BANCO ESTADO\2012 DEPTO ESCRITURAS fata\Dc Simples\RESPALDO comp notaria 27_12_12\NOTARIA 2012\LABORAL\carta de termino de contrato de juan delmo.doc</t>
  </si>
  <si>
    <t>C:\Users\franc\OneDrive\Documentos\MALENTIN KARIME\BANCO ESTADO\2012 DEPTO ESCRITURAS fata\Dc Simples\RESPALDO comp notaria 27_12_12\NOTARIA 2012\LABORAL\CARTA CONSERVADOR.doc</t>
  </si>
  <si>
    <t>C:\Users\franc\OneDrive\Documentos\MALENTIN KARIME\BANCO ESTADO\2012 DEPTO ESCRITURAS fata\Dc Simples\RESPALDO comp notaria 27_12_12\NOTARIA 2012\LABORAL\CARTA AVISO TERMINO.doc</t>
  </si>
  <si>
    <t>C:\Users\franc\OneDrive\Documentos\MALENTIN KARIME\BANCO ESTADO\2012 DEPTO ESCRITURAS fata\Dc Simples\RESPALDO comp notaria 27_12_12\NOTARIA 2012\LABORAL\CARTA AVISO TERMINO 1.doc</t>
  </si>
  <si>
    <t>C:\Users\franc\OneDrive\Documentos\MALENTIN KARIME\BANCO ESTADO\2012 DEPTO ESCRITURAS fata\Dc Simples\RESPALDO comp notaria 27_12_12\NOTARIA 2012\LABORAL\CANOPY.doc</t>
  </si>
  <si>
    <t>C:\Users\franc\OneDrive\Documentos\MALENTIN KARIME\BANCO ESTADO\2012 DEPTO ESCRITURAS fata\Dc Simples\RESPALDO comp notaria 27_12_12\NOTARIA 2012\LABORAL\CAMBIO HORARIO.doc</t>
  </si>
  <si>
    <t>C:\Users\franc\OneDrive\Documentos\MALENTIN KARIME\BANCO ESTADO\2012 DEPTO ESCRITURAS fata\Dc Simples\RESPALDO comp notaria 27_12_12\NOTARIA 2012\LABORAL\BBVA COLOMBIA.doc</t>
  </si>
  <si>
    <t>C:\Users\franc\OneDrive\Documentos\MALENTIN KARIME\BANCO ESTADO\2012 DEPTO ESCRITURAS fata\Dc Simples\RESPALDO comp notaria 27_12_12\NOTARIA 2012\LABORAL\BANCO ESTADO.doc</t>
  </si>
  <si>
    <t>C:\Users\franc\OneDrive\Documentos\MALENTIN KARIME\BANCO ESTADO\2012 DEPTO ESCRITURAS fata\Dc Simples\RESPALDO comp notaria 27_12_12\NOTARIA 2012\LABORAL\AVISO DESALOJO.doc</t>
  </si>
  <si>
    <t>C:\Users\franc\OneDrive\Documentos\MALENTIN KARIME\BANCO ESTADO\2012 DEPTO ESCRITURAS fata\Dc Simples\RESPALDO comp notaria 27_12_12\NOTARIA 2012\LABORAL\AUMENTO GOCE SINGULAR.doc</t>
  </si>
  <si>
    <t>C:\Users\franc\OneDrive\Documentos\MALENTIN KARIME\BANCO ESTADO\2012 DEPTO ESCRITURAS fata\Dc Simples\RESPALDO comp notaria 27_12_12\NOTARIA 2012\LABORAL\ANEXO.doc</t>
  </si>
  <si>
    <t>C:\Users\franc\OneDrive\Documentos\MALENTIN KARIME\BANCO ESTADO\2012 DEPTO ESCRITURAS fata\Dc Simples\RESPALDO comp notaria 27_12_12\NOTARIA 2012\LABORAL\ANDI.doc</t>
  </si>
  <si>
    <t>C:\Users\franc\OneDrive\Documentos\MALENTIN KARIME\BANCO ESTADO\2012 DEPTO ESCRITURAS fata\Dc Simples\RESPALDO comp notaria 27_12_12\NOTARIA 2012\LABORAL\ALVARO GUERRERO.doc</t>
  </si>
  <si>
    <t>C:\Users\franc\OneDrive\Documentos\MALENTIN KARIME\BANCO ESTADO\2012 DEPTO ESCRITURAS fata\Dc Simples\RESPALDO comp notaria 27_12_12\NOTARIA 2012\LABORAL\ACTA AVENIMIENTO.doc</t>
  </si>
  <si>
    <t>C:\Users\franc\OneDrive\Documentos\MALENTIN KARIME\BANCO ESTADO\2012 DEPTO ESCRITURAS fata\Dc Simples\RESPALDO comp notaria 27_12_12\NOTARIA 2012\DECLARACION JURADA\ZONA DE FUMADORES.doc</t>
  </si>
  <si>
    <t>C:\Users\franc\OneDrive\Documentos\MALENTIN KARIME\BANCO ESTADO\2012 DEPTO ESCRITURAS fata\Dc Simples\RESPALDO comp notaria 27_12_12\NOTARIA 2012\DECLARACION JURADA\VIVIENDA UNICA.doc</t>
  </si>
  <si>
    <t>C:\Users\franc\OneDrive\Documentos\MALENTIN KARIME\BANCO ESTADO\2012 DEPTO ESCRITURAS fata\Dc Simples\RESPALDO comp notaria 27_12_12\NOTARIA 2012\DECLARACION JURADA\VIGENCIA CONTRATO.doc</t>
  </si>
  <si>
    <t>C:\Users\franc\OneDrive\Documentos\MALENTIN KARIME\BANCO ESTADO\2012 DEPTO ESCRITURAS fata\Dc Simples\RESPALDO comp notaria 27_12_12\NOTARIA 2012\DECLARACION JURADA\VENTA CYNTIA.doc</t>
  </si>
  <si>
    <t>C:\Users\franc\OneDrive\Documentos\MALENTIN KARIME\BANCO ESTADO\2012 DEPTO ESCRITURAS fata\Dc Simples\RESPALDO comp notaria 27_12_12\NOTARIA 2012\DECLARACION JURADA\VENTA AGUA.doc</t>
  </si>
  <si>
    <t>C:\Users\franc\OneDrive\Documentos\MALENTIN KARIME\BANCO ESTADO\2012 DEPTO ESCRITURAS fata\Dc Simples\RESPALDO comp notaria 27_12_12\NOTARIA 2012\DECLARACION JURADA\VENTA AGUA Los Primos.doc</t>
  </si>
  <si>
    <t>C:\Users\franc\OneDrive\Documentos\MALENTIN KARIME\BANCO ESTADO\2012 DEPTO ESCRITURAS fata\Dc Simples\RESPALDO comp notaria 27_12_12\NOTARIA 2012\DECLARACION JURADA\vehículo.doc</t>
  </si>
  <si>
    <t>C:\Users\franc\OneDrive\Documentos\MALENTIN KARIME\BANCO ESTADO\2012 DEPTO ESCRITURAS fata\Dc Simples\RESPALDO comp notaria 27_12_12\NOTARIA 2012\DECLARACION JURADA\vehículo a particular.doc</t>
  </si>
  <si>
    <t>C:\Users\franc\OneDrive\Documentos\MALENTIN KARIME\BANCO ESTADO\2012 DEPTO ESCRITURAS fata\Dc Simples\RESPALDO comp notaria 27_12_12\NOTARIA 2012\DECLARACION JURADA\vacio AFP.doc</t>
  </si>
  <si>
    <t>C:\Users\franc\OneDrive\Documentos\MALENTIN KARIME\BANCO ESTADO\2012 DEPTO ESCRITURAS fata\Dc Simples\RESPALDO comp notaria 27_12_12\NOTARIA 2012\DECLARACION JURADA\TV HUACHALALUME.doc</t>
  </si>
  <si>
    <t>C:\Users\franc\OneDrive\Documentos\MALENTIN KARIME\BANCO ESTADO\2012 DEPTO ESCRITURAS fata\Dc Simples\RESPALDO comp notaria 27_12_12\NOTARIA 2012\DECLARACION JURADA\TRASLADO DE HOGAR ANCIANO.doc</t>
  </si>
  <si>
    <t>C:\Users\franc\OneDrive\Documentos\MALENTIN KARIME\BANCO ESTADO\2012 DEPTO ESCRITURAS fata\Dc Simples\RESPALDO comp notaria 27_12_12\NOTARIA 2012\DECLARACION JURADA\TRABAJA.doc</t>
  </si>
  <si>
    <t>C:\Users\franc\OneDrive\Documentos\MALENTIN KARIME\BANCO ESTADO\2012 DEPTO ESCRITURAS fata\Dc Simples\RESPALDO comp notaria 27_12_12\NOTARIA 2012\DECLARACION JURADA\TATIANA GASTOS.doc</t>
  </si>
  <si>
    <t>C:\Users\franc\OneDrive\Documentos\MALENTIN KARIME\BANCO ESTADO\2012 DEPTO ESCRITURAS fata\Dc Simples\RESPALDO comp notaria 27_12_12\NOTARIA 2012\DECLARACION JURADA\SUPERVIVENCIA.doc</t>
  </si>
  <si>
    <t>C:\Users\franc\OneDrive\Documentos\MALENTIN KARIME\BANCO ESTADO\2012 DEPTO ESCRITURAS fata\Dc Simples\RESPALDO comp notaria 27_12_12\NOTARIA 2012\DECLARACION JURADA\SOLTERO VARIOS.doc</t>
  </si>
  <si>
    <t>C:\Users\franc\OneDrive\Documentos\MALENTIN KARIME\BANCO ESTADO\2012 DEPTO ESCRITURAS fata\Dc Simples\RESPALDO comp notaria 27_12_12\NOTARIA 2012\DECLARACION JURADA\SOLTERO CON 3 HIJOS.doc</t>
  </si>
  <si>
    <t>C:\Users\franc\OneDrive\Documentos\MALENTIN KARIME\BANCO ESTADO\2012 DEPTO ESCRITURAS fata\Dc Simples\RESPALDO comp notaria 27_12_12\NOTARIA 2012\DECLARACION JURADA\SOLTERIA.doc</t>
  </si>
  <si>
    <t>C:\Users\franc\OneDrive\Documentos\MALENTIN KARIME\BANCO ESTADO\2012 DEPTO ESCRITURAS fata\Dc Simples\RESPALDO comp notaria 27_12_12\NOTARIA 2012\DECLARACION JURADA\SOLICITUD DE REGRESO TRAB.doc</t>
  </si>
  <si>
    <t>C:\Users\franc\OneDrive\Documentos\MALENTIN KARIME\BANCO ESTADO\2012 DEPTO ESCRITURAS fata\Dc Simples\RESPALDO comp notaria 27_12_12\NOTARIA 2012\DECLARACION JURADA\SOLICITA GOCE SINGULAR.doc</t>
  </si>
  <si>
    <t>C:\Users\franc\OneDrive\Documentos\MALENTIN KARIME\BANCO ESTADO\2012 DEPTO ESCRITURAS fata\Dc Simples\RESPALDO comp notaria 27_12_12\NOTARIA 2012\DECLARACION JURADA\SOC.DE HECHO.doc</t>
  </si>
  <si>
    <t>C:\Users\franc\OneDrive\Documentos\MALENTIN KARIME\BANCO ESTADO\2012 DEPTO ESCRITURAS fata\Dc Simples\RESPALDO comp notaria 27_12_12\NOTARIA 2012\DECLARACION JURADA\SIN VINCULO LABORAL.doc</t>
  </si>
  <si>
    <t>C:\Users\franc\OneDrive\Documentos\MALENTIN KARIME\BANCO ESTADO\2012 DEPTO ESCRITURAS fata\Dc Simples\RESPALDO comp notaria 27_12_12\NOTARIA 2012\DECLARACION JURADA\SIN TAG.doc</t>
  </si>
  <si>
    <t>C:\Users\franc\OneDrive\Documentos\MALENTIN KARIME\BANCO ESTADO\2012 DEPTO ESCRITURAS fata\Dc Simples\RESPALDO comp notaria 27_12_12\NOTARIA 2012\DECLARACION JURADA\SIN PRODUCCION.doc</t>
  </si>
  <si>
    <t>C:\Users\franc\OneDrive\Documentos\MALENTIN KARIME\BANCO ESTADO\2012 DEPTO ESCRITURAS fata\Dc Simples\RESPALDO comp notaria 27_12_12\NOTARIA 2012\DECLARACION JURADA\SIN PATENTE.doc</t>
  </si>
  <si>
    <t>C:\Users\franc\OneDrive\Documentos\MALENTIN KARIME\BANCO ESTADO\2012 DEPTO ESCRITURAS fata\Dc Simples\RESPALDO comp notaria 27_12_12\NOTARIA 2012\DECLARACION JURADA\SIN PARTIDO POLITICO.doc</t>
  </si>
  <si>
    <t>C:\Users\franc\OneDrive\Documentos\MALENTIN KARIME\BANCO ESTADO\2012 DEPTO ESCRITURAS fata\Dc Simples\RESPALDO comp notaria 27_12_12\NOTARIA 2012\DECLARACION JURADA\SIN PARTIDO POLITICO  cargo carabineros.doc</t>
  </si>
  <si>
    <t>C:\Users\franc\OneDrive\Documentos\MALENTIN KARIME\BANCO ESTADO\2012 DEPTO ESCRITURAS fata\Dc Simples\RESPALDO comp notaria 27_12_12\NOTARIA 2012\DECLARACION JURADA\sin deuda a trabajadores.doc</t>
  </si>
  <si>
    <t>C:\Users\franc\OneDrive\Documentos\MALENTIN KARIME\BANCO ESTADO\2012 DEPTO ESCRITURAS fata\Dc Simples\RESPALDO comp notaria 27_12_12\NOTARIA 2012\DECLARACION JURADA\SIN COTIZACIONES.doc</t>
  </si>
  <si>
    <t>C:\Users\franc\OneDrive\Documentos\MALENTIN KARIME\BANCO ESTADO\2012 DEPTO ESCRITURAS fata\Dc Simples\RESPALDO comp notaria 27_12_12\NOTARIA 2012\DECLARACION JURADA\SIN COTIZACIONES SANTANDER.doc</t>
  </si>
  <si>
    <t>C:\Users\franc\OneDrive\Documentos\MALENTIN KARIME\BANCO ESTADO\2012 DEPTO ESCRITURAS fata\Dc Simples\RESPALDO comp notaria 27_12_12\NOTARIA 2012\DECLARACION JURADA\SIN COTIZACIONES DENTRO DE LA EMPRESA.doc</t>
  </si>
  <si>
    <t>C:\Users\franc\OneDrive\Documentos\MALENTIN KARIME\BANCO ESTADO\2012 DEPTO ESCRITURAS fata\Dc Simples\RESPALDO comp notaria 27_12_12\NOTARIA 2012\DECLARACION JURADA\SERVIU.doc</t>
  </si>
  <si>
    <t>C:\Users\franc\OneDrive\Documentos\MALENTIN KARIME\BANCO ESTADO\2012 DEPTO ESCRITURAS fata\Dc Simples\RESPALDO comp notaria 27_12_12\NOTARIA 2012\DECLARACION JURADA\SEPARO DE HECHO 1 PERSONA.doc</t>
  </si>
  <si>
    <t>C:\Users\franc\OneDrive\Documentos\MALENTIN KARIME\BANCO ESTADO\2012 DEPTO ESCRITURAS fata\Dc Simples\RESPALDO comp notaria 27_12_12\NOTARIA 2012\DECLARACION JURADA\SEPARACION DE HECHO.doc</t>
  </si>
  <si>
    <t>C:\Users\franc\OneDrive\Documentos\MALENTIN KARIME\BANCO ESTADO\2012 DEPTO ESCRITURAS fata\Dc Simples\RESPALDO comp notaria 27_12_12\NOTARIA 2012\DECLARACION JURADA\SALVOCONDUCTO.doc</t>
  </si>
  <si>
    <t>C:\Users\franc\OneDrive\Documentos\MALENTIN KARIME\BANCO ESTADO\2012 DEPTO ESCRITURAS fata\Dc Simples\RESPALDO comp notaria 27_12_12\NOTARIA 2012\DECLARACION JURADA\SALVOCONDUCTO xxx.doc</t>
  </si>
  <si>
    <t>C:\Users\franc\OneDrive\Documentos\MALENTIN KARIME\BANCO ESTADO\2012 DEPTO ESCRITURAS fata\Dc Simples\RESPALDO comp notaria 27_12_12\NOTARIA 2012\DECLARACION JURADA\REVOCACION DEC. JURADA.doc</t>
  </si>
  <si>
    <t>C:\Users\franc\OneDrive\Documentos\MALENTIN KARIME\BANCO ESTADO\2012 DEPTO ESCRITURAS fata\Dc Simples\RESPALDO comp notaria 27_12_12\NOTARIA 2012\DECLARACION JURADA\RENUNCIA SEGURO AUTO.doc</t>
  </si>
  <si>
    <t>C:\Users\franc\OneDrive\Documentos\MALENTIN KARIME\BANCO ESTADO\2012 DEPTO ESCRITURAS fata\Dc Simples\RESPALDO comp notaria 27_12_12\NOTARIA 2012\DECLARACION JURADA\RENUNCIA FONDOS DE CTA AHORRO.doc</t>
  </si>
  <si>
    <t>C:\Users\franc\OneDrive\Documentos\MALENTIN KARIME\BANCO ESTADO\2012 DEPTO ESCRITURAS fata\Dc Simples\RESPALDO comp notaria 27_12_12\NOTARIA 2012\DECLARACION JURADA\RENUNCIA FONDOS DE CTA AHORRO TRABAJADOR.doc</t>
  </si>
  <si>
    <t>C:\Users\franc\OneDrive\Documentos\MALENTIN KARIME\BANCO ESTADO\2012 DEPTO ESCRITURAS fata\Dc Simples\RESPALDO comp notaria 27_12_12\NOTARIA 2012\DECLARACION JURADA\RENUNCIA CARGA FAMILIAR.doc</t>
  </si>
  <si>
    <t>C:\Users\franc\OneDrive\Documentos\MALENTIN KARIME\BANCO ESTADO\2012 DEPTO ESCRITURAS fata\Dc Simples\RESPALDO comp notaria 27_12_12\NOTARIA 2012\DECLARACION JURADA\RENUNCIA CARGA FAMILIAR CON ACEPTANTE.doc</t>
  </si>
  <si>
    <t>C:\Users\franc\OneDrive\Documentos\MALENTIN KARIME\BANCO ESTADO\2012 DEPTO ESCRITURAS fata\Dc Simples\RESPALDO comp notaria 27_12_12\NOTARIA 2012\DECLARACION JURADA\RENTA PARA Tercero.doc</t>
  </si>
  <si>
    <t>C:\Users\franc\OneDrive\Documentos\MALENTIN KARIME\BANCO ESTADO\2012 DEPTO ESCRITURAS fata\Dc Simples\RESPALDO comp notaria 27_12_12\NOTARIA 2012\DECLARACION JURADA\RENTA para bco chile.doc</t>
  </si>
  <si>
    <t>C:\Users\franc\OneDrive\Documentos\MALENTIN KARIME\BANCO ESTADO\2012 DEPTO ESCRITURAS fata\Dc Simples\RESPALDO comp notaria 27_12_12\NOTARIA 2012\DECLARACION JURADA\RENTA DETALLADA.doc</t>
  </si>
  <si>
    <t>C:\Users\franc\OneDrive\Documentos\MALENTIN KARIME\BANCO ESTADO\2012 DEPTO ESCRITURAS fata\Dc Simples\RESPALDO comp notaria 27_12_12\NOTARIA 2012\DECLARACION JURADA\RENTA DE APORTE.doc</t>
  </si>
  <si>
    <t>C:\Users\franc\OneDrive\Documentos\MALENTIN KARIME\BANCO ESTADO\2012 DEPTO ESCRITURAS fata\Dc Simples\RESPALDO comp notaria 27_12_12\NOTARIA 2012\DECLARACION JURADA\RENTA Cyntia.doc</t>
  </si>
  <si>
    <t>C:\Users\franc\OneDrive\Documentos\MALENTIN KARIME\BANCO ESTADO\2012 DEPTO ESCRITURAS fata\Dc Simples\RESPALDO comp notaria 27_12_12\NOTARIA 2012\DECLARACION JURADA\REBAJA TARIFA.doc</t>
  </si>
  <si>
    <t>C:\Users\franc\OneDrive\Documentos\MALENTIN KARIME\BANCO ESTADO\2012 DEPTO ESCRITURAS fata\Dc Simples\RESPALDO comp notaria 27_12_12\NOTARIA 2012\DECLARACION JURADA\PROYECTO SIN LUCRO EL TRAPICHE.doc</t>
  </si>
  <si>
    <t>C:\Users\franc\OneDrive\Documentos\MALENTIN KARIME\BANCO ESTADO\2012 DEPTO ESCRITURAS fata\Dc Simples\RESPALDO comp notaria 27_12_12\NOTARIA 2012\DECLARACION JURADA\PROYECTO SERNAGEOMIN.doc</t>
  </si>
  <si>
    <t>C:\Users\franc\OneDrive\Documentos\MALENTIN KARIME\BANCO ESTADO\2012 DEPTO ESCRITURAS fata\Dc Simples\RESPALDO comp notaria 27_12_12\NOTARIA 2012\DECLARACION JURADA\PROPIETARIO DE.doc</t>
  </si>
  <si>
    <t>C:\Users\franc\OneDrive\Documentos\MALENTIN KARIME\BANCO ESTADO\2012 DEPTO ESCRITURAS fata\Dc Simples\RESPALDO comp notaria 27_12_12\NOTARIA 2012\DECLARACION JURADA\prestamo dinero.doc</t>
  </si>
  <si>
    <t>C:\Users\franc\OneDrive\Documentos\MALENTIN KARIME\BANCO ESTADO\2012 DEPTO ESCRITURAS fata\Dc Simples\RESPALDO comp notaria 27_12_12\NOTARIA 2012\DECLARACION JURADA\PRESTAMO DE AGUA.doc</t>
  </si>
  <si>
    <t>C:\Users\franc\OneDrive\Documentos\MALENTIN KARIME\BANCO ESTADO\2012 DEPTO ESCRITURAS fata\Dc Simples\RESPALDO comp notaria 27_12_12\NOTARIA 2012\DECLARACION JURADA\PRESTACION DE SERVICIOS.doc</t>
  </si>
  <si>
    <t>C:\Users\franc\OneDrive\Documentos\MALENTIN KARIME\BANCO ESTADO\2012 DEPTO ESCRITURAS fata\Dc Simples\RESPALDO comp notaria 27_12_12\NOTARIA 2012\DECLARACION JURADA\PRESIDIR CEREMONIA.doc</t>
  </si>
  <si>
    <t>C:\Users\franc\OneDrive\Documentos\MALENTIN KARIME\BANCO ESTADO\2012 DEPTO ESCRITURAS fata\Dc Simples\RESPALDO comp notaria 27_12_12\NOTARIA 2012\DECLARACION JURADA\POSTACION VARIOS.doc</t>
  </si>
  <si>
    <t>C:\Users\franc\OneDrive\Documentos\MALENTIN KARIME\BANCO ESTADO\2012 DEPTO ESCRITURAS fata\Dc Simples\RESPALDO comp notaria 27_12_12\NOTARIA 2012\DECLARACION JURADA\PERDIDA CHEQUE.doc</t>
  </si>
  <si>
    <t>C:\Users\franc\OneDrive\Documentos\MALENTIN KARIME\BANCO ESTADO\2012 DEPTO ESCRITURAS fata\Dc Simples\RESPALDO comp notaria 27_12_12\NOTARIA 2012\DECLARACION JURADA\PARENTESCO.doc</t>
  </si>
  <si>
    <t>C:\Users\franc\OneDrive\Documentos\MALENTIN KARIME\BANCO ESTADO\2012 DEPTO ESCRITURAS fata\Dc Simples\RESPALDO comp notaria 27_12_12\NOTARIA 2012\DECLARACION JURADA\PARENTESCO serviu.doc</t>
  </si>
  <si>
    <t>C:\Users\franc\OneDrive\Documentos\MALENTIN KARIME\BANCO ESTADO\2012 DEPTO ESCRITURAS fata\Dc Simples\RESPALDO comp notaria 27_12_12\NOTARIA 2012\DECLARACION JURADA\NO TIENE REV. TECNICA.doc</t>
  </si>
  <si>
    <t>C:\Users\franc\OneDrive\Documentos\MALENTIN KARIME\BANCO ESTADO\2012 DEPTO ESCRITURAS fata\Dc Simples\RESPALDO comp notaria 27_12_12\NOTARIA 2012\DECLARACION JURADA\NO REQUIERE COTIZACIONESÇ.doc</t>
  </si>
  <si>
    <t>C:\Users\franc\OneDrive\Documentos\MALENTIN KARIME\BANCO ESTADO\2012 DEPTO ESCRITURAS fata\Dc Simples\RESPALDO comp notaria 27_12_12\NOTARIA 2012\DECLARACION JURADA\NO REQUIERE  CUOTA MORTUORIA.doc</t>
  </si>
  <si>
    <t>C:\Users\franc\OneDrive\Documentos\MALENTIN KARIME\BANCO ESTADO\2012 DEPTO ESCRITURAS fata\Dc Simples\RESPALDO comp notaria 27_12_12\NOTARIA 2012\DECLARACION JURADA\NO PARENTESCO ART 60.doc</t>
  </si>
  <si>
    <t>C:\Users\franc\OneDrive\Documentos\MALENTIN KARIME\BANCO ESTADO\2012 DEPTO ESCRITURAS fata\Dc Simples\RESPALDO comp notaria 27_12_12\NOTARIA 2012\DECLARACION JURADA\NO OCUPACION SEGURO.doc</t>
  </si>
  <si>
    <t>C:\Users\franc\OneDrive\Documentos\MALENTIN KARIME\BANCO ESTADO\2012 DEPTO ESCRITURAS fata\Dc Simples\RESPALDO comp notaria 27_12_12\NOTARIA 2012\DECLARACION JURADA\NO INSUMOS RADIOACTIVOS.doc</t>
  </si>
  <si>
    <t>C:\Users\franc\OneDrive\Documentos\MALENTIN KARIME\BANCO ESTADO\2012 DEPTO ESCRITURAS fata\Dc Simples\RESPALDO comp notaria 27_12_12\NOTARIA 2012\DECLARACION JURADA\NO CONSUME DROGAS.doc</t>
  </si>
  <si>
    <t>C:\Users\franc\OneDrive\Documentos\MALENTIN KARIME\BANCO ESTADO\2012 DEPTO ESCRITURAS fata\Dc Simples\RESPALDO comp notaria 27_12_12\NOTARIA 2012\DECLARACION JURADA\NO ALERGICO.doc</t>
  </si>
  <si>
    <t>C:\Users\franc\OneDrive\Documentos\MALENTIN KARIME\BANCO ESTADO\2012 DEPTO ESCRITURAS fata\Dc Simples\RESPALDO comp notaria 27_12_12\NOTARIA 2012\DECLARACION JURADA\MEDIDA DISCIPLINARIA.doc</t>
  </si>
  <si>
    <t>C:\Users\franc\OneDrive\Documentos\MALENTIN KARIME\BANCO ESTADO\2012 DEPTO ESCRITURAS fata\Dc Simples\RESPALDO comp notaria 27_12_12\NOTARIA 2012\DECLARACION JURADA\MANIPULADOR MAQUINARIA.doc</t>
  </si>
  <si>
    <t>C:\Users\franc\OneDrive\Documentos\MALENTIN KARIME\BANCO ESTADO\2012 DEPTO ESCRITURAS fata\Dc Simples\RESPALDO comp notaria 27_12_12\NOTARIA 2012\DECLARACION JURADA\MANIPULADOR EXPLOSIVOS.doc</t>
  </si>
  <si>
    <t>C:\Users\franc\OneDrive\Documentos\MALENTIN KARIME\BANCO ESTADO\2012 DEPTO ESCRITURAS fata\Dc Simples\RESPALDO comp notaria 27_12_12\NOTARIA 2012\DECLARACION JURADA\MAMI ELI.doc</t>
  </si>
  <si>
    <t>C:\Users\franc\OneDrive\Documentos\MALENTIN KARIME\BANCO ESTADO\2012 DEPTO ESCRITURAS fata\Dc Simples\RESPALDO comp notaria 27_12_12\NOTARIA 2012\DECLARACION JURADA\LICENCIA EN CASA.doc</t>
  </si>
  <si>
    <t>C:\Users\franc\OneDrive\Documentos\MALENTIN KARIME\BANCO ESTADO\2012 DEPTO ESCRITURAS fata\Dc Simples\RESPALDO comp notaria 27_12_12\NOTARIA 2012\DECLARACION JURADA\licencia casa.doc</t>
  </si>
  <si>
    <t>C:\Users\franc\OneDrive\Documentos\MALENTIN KARIME\BANCO ESTADO\2012 DEPTO ESCRITURAS fata\Dc Simples\RESPALDO comp notaria 27_12_12\NOTARIA 2012\DECLARACION JURADA\LEY Nº19.728.doc</t>
  </si>
  <si>
    <t>C:\Users\franc\OneDrive\Documentos\MALENTIN KARIME\BANCO ESTADO\2012 DEPTO ESCRITURAS fata\Dc Simples\RESPALDO comp notaria 27_12_12\NOTARIA 2012\DECLARACION JURADA\LEY 20.378.doc</t>
  </si>
  <si>
    <t>C:\Users\franc\OneDrive\Documentos\MALENTIN KARIME\BANCO ESTADO\2012 DEPTO ESCRITURAS fata\Dc Simples\RESPALDO comp notaria 27_12_12\NOTARIA 2012\DECLARACION JURADA\Ley 19366 (Profes).doc</t>
  </si>
  <si>
    <t>C:\Users\franc\OneDrive\Documentos\MALENTIN KARIME\BANCO ESTADO\2012 DEPTO ESCRITURAS fata\Dc Simples\RESPALDO comp notaria 27_12_12\NOTARIA 2012\DECLARACION JURADA\LEY 19.925 ALCOHOLES.doc</t>
  </si>
  <si>
    <t>C:\Users\franc\OneDrive\Documentos\MALENTIN KARIME\BANCO ESTADO\2012 DEPTO ESCRITURAS fata\Dc Simples\RESPALDO comp notaria 27_12_12\NOTARIA 2012\DECLARACION JURADA\LEY 19.925 ALCOHOLES Sucesion.doc</t>
  </si>
  <si>
    <t>C:\Users\franc\OneDrive\Documentos\MALENTIN KARIME\BANCO ESTADO\2012 DEPTO ESCRITURAS fata\Dc Simples\RESPALDO comp notaria 27_12_12\NOTARIA 2012\DECLARACION JURADA\LEY 19.653.doc</t>
  </si>
  <si>
    <t>C:\Users\franc\OneDrive\Documentos\MALENTIN KARIME\BANCO ESTADO\2012 DEPTO ESCRITURAS fata\Dc Simples\RESPALDO comp notaria 27_12_12\NOTARIA 2012\DECLARACION JURADA\LEY 18.834.docCARGO PUBLICO.doc</t>
  </si>
  <si>
    <t>C:\Users\franc\OneDrive\Documentos\MALENTIN KARIME\BANCO ESTADO\2012 DEPTO ESCRITURAS fata\Dc Simples\RESPALDO comp notaria 27_12_12\NOTARIA 2012\DECLARACION JURADA\LEY 18.834.doc</t>
  </si>
  <si>
    <t>C:\Users\franc\OneDrive\Documentos\MALENTIN KARIME\BANCO ESTADO\2012 DEPTO ESCRITURAS fata\Dc Simples\RESPALDO comp notaria 27_12_12\NOTARIA 2012\DECLARACION JURADA\LEY 18.695 MUNICIPALIDADES.doc</t>
  </si>
  <si>
    <t>C:\Users\franc\OneDrive\Documentos\MALENTIN KARIME\BANCO ESTADO\2012 DEPTO ESCRITURAS fata\Dc Simples\RESPALDO comp notaria 27_12_12\NOTARIA 2012\DECLARACION JURADA\LEY 18.575, ART 54 Y 56.doc</t>
  </si>
  <si>
    <t>C:\Users\franc\OneDrive\Documentos\MALENTIN KARIME\BANCO ESTADO\2012 DEPTO ESCRITURAS fata\Dc Simples\RESPALDO comp notaria 27_12_12\NOTARIA 2012\DECLARACION JURADA\LEY 18.575, ART 54 Y 56 nueva.doc</t>
  </si>
  <si>
    <t>C:\Users\franc\OneDrive\Documentos\MALENTIN KARIME\BANCO ESTADO\2012 DEPTO ESCRITURAS fata\Dc Simples\RESPALDO comp notaria 27_12_12\NOTARIA 2012\DECLARACION JURADA\LEY 18.575, ART 54 Y 19.866 ART 4.doc</t>
  </si>
  <si>
    <t>C:\Users\franc\OneDrive\Documentos\MALENTIN KARIME\BANCO ESTADO\2012 DEPTO ESCRITURAS fata\Dc Simples\RESPALDO comp notaria 27_12_12\NOTARIA 2012\DECLARACION JURADA\LELO.doc</t>
  </si>
  <si>
    <t>C:\Users\franc\OneDrive\Documentos\MALENTIN KARIME\BANCO ESTADO\2012 DEPTO ESCRITURAS fata\Dc Simples\RESPALDO comp notaria 27_12_12\NOTARIA 2012\DECLARACION JURADA\Juez Interino Sr. Bustos.doc</t>
  </si>
  <si>
    <t>C:\Users\franc\OneDrive\Documentos\MALENTIN KARIME\BANCO ESTADO\2012 DEPTO ESCRITURAS fata\Dc Simples\RESPALDO comp notaria 27_12_12\NOTARIA 2012\DECLARACION JURADA\INVITACION ESPAÑA.doc</t>
  </si>
  <si>
    <t>C:\Users\franc\OneDrive\Documentos\MALENTIN KARIME\BANCO ESTADO\2012 DEPTO ESCRITURAS fata\Dc Simples\RESPALDO comp notaria 27_12_12\NOTARIA 2012\DECLARACION JURADA\INVITACION ESPAÑA Y EXPENSASdoc.doc</t>
  </si>
  <si>
    <t>C:\Users\franc\OneDrive\Documentos\MALENTIN KARIME\BANCO ESTADO\2012 DEPTO ESCRITURAS fata\Dc Simples\RESPALDO comp notaria 27_12_12\NOTARIA 2012\DECLARACION JURADA\INGRESO ARTEFACTO A LA CARCEL.doc</t>
  </si>
  <si>
    <t>C:\Users\franc\OneDrive\Documentos\MALENTIN KARIME\BANCO ESTADO\2012 DEPTO ESCRITURAS fata\Dc Simples\RESPALDO comp notaria 27_12_12\NOTARIA 2012\DECLARACION JURADA\INGRESO  A LA CARCEL SOC. CONYUGAL.doc</t>
  </si>
  <si>
    <t>C:\Users\franc\OneDrive\Documentos\MALENTIN KARIME\BANCO ESTADO\2012 DEPTO ESCRITURAS fata\Dc Simples\RESPALDO comp notaria 27_12_12\NOTARIA 2012\DECLARACION JURADA\HIJOS A CARGO.doc</t>
  </si>
  <si>
    <t>C:\Users\franc\OneDrive\Documentos\MALENTIN KARIME\BANCO ESTADO\2012 DEPTO ESCRITURAS fata\Dc Simples\RESPALDO comp notaria 27_12_12\NOTARIA 2012\DECLARACION JURADA\Formato_Declaracion_Jurada.doc</t>
  </si>
  <si>
    <t>C:\Users\franc\OneDrive\Documentos\MALENTIN KARIME\BANCO ESTADO\2012 DEPTO ESCRITURAS fata\Dc Simples\RESPALDO comp notaria 27_12_12\NOTARIA 2012\DECLARACION JURADA\FORMATO.doc</t>
  </si>
  <si>
    <t>C:\Users\franc\OneDrive\Documentos\MALENTIN KARIME\BANCO ESTADO\2012 DEPTO ESCRITURAS fata\Dc Simples\RESPALDO comp notaria 27_12_12\NOTARIA 2012\DECLARACION JURADA\finiquito en tramite.doc</t>
  </si>
  <si>
    <t>C:\Users\franc\OneDrive\Documentos\MALENTIN KARIME\BANCO ESTADO\2012 DEPTO ESCRITURAS fata\Dc Simples\RESPALDO comp notaria 27_12_12\NOTARIA 2012\DECLARACION JURADA\finiquito en tramite damian.doc</t>
  </si>
  <si>
    <t>C:\Users\franc\OneDrive\Documentos\MALENTIN KARIME\BANCO ESTADO\2012 DEPTO ESCRITURAS fata\Dc Simples\RESPALDO comp notaria 27_12_12\NOTARIA 2012\DECLARACION JURADA\finiquito en EXTRAVIADO.doc</t>
  </si>
  <si>
    <t>C:\Users\franc\OneDrive\Documentos\MALENTIN KARIME\BANCO ESTADO\2012 DEPTO ESCRITURAS fata\Dc Simples\RESPALDO comp notaria 27_12_12\NOTARIA 2012\DECLARACION JURADA\EXTRAVIO SOLICITUD DE PLACA.doc</t>
  </si>
  <si>
    <t>C:\Users\franc\OneDrive\Documentos\MALENTIN KARIME\BANCO ESTADO\2012 DEPTO ESCRITURAS fata\Dc Simples\RESPALDO comp notaria 27_12_12\NOTARIA 2012\DECLARACION JURADA\EXTRAVIO SEGURO OBLIGATORIO.doc</t>
  </si>
  <si>
    <t>C:\Users\franc\OneDrive\Documentos\MALENTIN KARIME\BANCO ESTADO\2012 DEPTO ESCRITURAS fata\Dc Simples\RESPALDO comp notaria 27_12_12\NOTARIA 2012\DECLARACION JURADA\EXTRAVIO PASAPORTE.doc</t>
  </si>
  <si>
    <t>C:\Users\franc\OneDrive\Documentos\MALENTIN KARIME\BANCO ESTADO\2012 DEPTO ESCRITURAS fata\Dc Simples\RESPALDO comp notaria 27_12_12\NOTARIA 2012\DECLARACION JURADA\EXTRAVIO PARTE.doc</t>
  </si>
  <si>
    <t>C:\Users\franc\OneDrive\Documentos\MALENTIN KARIME\BANCO ESTADO\2012 DEPTO ESCRITURAS fata\Dc Simples\RESPALDO comp notaria 27_12_12\NOTARIA 2012\DECLARACION JURADA\EXTRAVIO LICENCIA EN CASA.doc</t>
  </si>
  <si>
    <t>C:\Users\franc\OneDrive\Documentos\MALENTIN KARIME\BANCO ESTADO\2012 DEPTO ESCRITURAS fata\Dc Simples\RESPALDO comp notaria 27_12_12\NOTARIA 2012\DECLARACION JURADA\EXTRAVIO DOCU. VEHICULO.doc</t>
  </si>
  <si>
    <t>C:\Users\franc\OneDrive\Documentos\MALENTIN KARIME\BANCO ESTADO\2012 DEPTO ESCRITURAS fata\Dc Simples\RESPALDO comp notaria 27_12_12\NOTARIA 2012\DECLARACION JURADA\EXTRAVIO DOCU. VEHICULO DCTS.doc</t>
  </si>
  <si>
    <t>C:\Users\franc\OneDrive\Documentos\MALENTIN KARIME\BANCO ESTADO\2012 DEPTO ESCRITURAS fata\Dc Simples\RESPALDO comp notaria 27_12_12\NOTARIA 2012\DECLARACION JURADA\EXTRAVIO DOCU. VEHICULO ANA ROSA.doc</t>
  </si>
  <si>
    <t>C:\Users\franc\OneDrive\Documentos\MALENTIN KARIME\BANCO ESTADO\2012 DEPTO ESCRITURAS fata\Dc Simples\RESPALDO comp notaria 27_12_12\NOTARIA 2012\DECLARACION JURADA\EXTRAVIO DOCU. CREDENCIAL TAXI.doc</t>
  </si>
  <si>
    <t>C:\Users\franc\OneDrive\Documentos\MALENTIN KARIME\BANCO ESTADO\2012 DEPTO ESCRITURAS fata\Dc Simples\RESPALDO comp notaria 27_12_12\NOTARIA 2012\DECLARACION JURADA\EXTRAVIO DETERIORO DE PLACA.doc</t>
  </si>
  <si>
    <t>C:\Users\franc\OneDrive\Documentos\MALENTIN KARIME\BANCO ESTADO\2012 DEPTO ESCRITURAS fata\Dc Simples\RESPALDO comp notaria 27_12_12\NOTARIA 2012\DECLARACION JURADA\EXTRAVIO deposito.doc</t>
  </si>
  <si>
    <t>C:\Users\franc\OneDrive\Documentos\MALENTIN KARIME\BANCO ESTADO\2012 DEPTO ESCRITURAS fata\Dc Simples\RESPALDO comp notaria 27_12_12\NOTARIA 2012\DECLARACION JURADA\EXT.LIBRETA BCO.ESTADO.doc</t>
  </si>
  <si>
    <t>C:\Users\franc\OneDrive\Documentos\MALENTIN KARIME\BANCO ESTADO\2012 DEPTO ESCRITURAS fata\Dc Simples\RESPALDO comp notaria 27_12_12\NOTARIA 2012\DECLARACION JURADA\EXT.DE CHEQUE.doc</t>
  </si>
  <si>
    <t>C:\Users\franc\OneDrive\Documentos\MALENTIN KARIME\BANCO ESTADO\2012 DEPTO ESCRITURAS fata\Dc Simples\RESPALDO comp notaria 27_12_12\NOTARIA 2012\DECLARACION JURADA\EXPERIENCIA EN MINERIA.doc</t>
  </si>
  <si>
    <t>C:\Users\franc\OneDrive\Documentos\MALENTIN KARIME\BANCO ESTADO\2012 DEPTO ESCRITURAS fata\Dc Simples\RESPALDO comp notaria 27_12_12\NOTARIA 2012\DECLARACION JURADA\EXPENSAS.doc</t>
  </si>
  <si>
    <t>C:\Users\franc\OneDrive\Documentos\MALENTIN KARIME\BANCO ESTADO\2012 DEPTO ESCRITURAS fata\Dc Simples\RESPALDO comp notaria 27_12_12\NOTARIA 2012\DECLARACION JURADA\EXPENSAS PERUANO.doc</t>
  </si>
  <si>
    <t>C:\Users\franc\OneDrive\Documentos\MALENTIN KARIME\BANCO ESTADO\2012 DEPTO ESCRITURAS fata\Dc Simples\RESPALDO comp notaria 27_12_12\NOTARIA 2012\DECLARACION JURADA\EXPENSAS HIJOS.doc</t>
  </si>
  <si>
    <t>C:\Users\franc\OneDrive\Documentos\MALENTIN KARIME\BANCO ESTADO\2012 DEPTO ESCRITURAS fata\Dc Simples\RESPALDO comp notaria 27_12_12\NOTARIA 2012\DECLARACION JURADA\EXPENSAS DOMICILIO.doc</t>
  </si>
  <si>
    <t>C:\Users\franc\OneDrive\Documentos\MALENTIN KARIME\BANCO ESTADO\2012 DEPTO ESCRITURAS fata\Dc Simples\RESPALDO comp notaria 27_12_12\NOTARIA 2012\DECLARACION JURADA\ENAMI.doc</t>
  </si>
  <si>
    <t>C:\Users\franc\OneDrive\Documentos\MALENTIN KARIME\BANCO ESTADO\2012 DEPTO ESCRITURAS fata\Dc Simples\RESPALDO comp notaria 27_12_12\NOTARIA 2012\DECLARACION JURADA\EMPLEADORES.doc</t>
  </si>
  <si>
    <t>C:\Users\franc\OneDrive\Documentos\MALENTIN KARIME\BANCO ESTADO\2012 DEPTO ESCRITURAS fata\Dc Simples\RESPALDO comp notaria 27_12_12\NOTARIA 2012\DECLARACION JURADA\DUEÑOS DE POSTACION.doc</t>
  </si>
  <si>
    <t>C:\Users\franc\OneDrive\Documentos\MALENTIN KARIME\BANCO ESTADO\2012 DEPTO ESCRITURAS fata\Dc Simples\RESPALDO comp notaria 27_12_12\NOTARIA 2012\DECLARACION JURADA\DUEÑO DE...nicho cementerio.doc</t>
  </si>
  <si>
    <t>C:\Users\franc\OneDrive\Documentos\MALENTIN KARIME\BANCO ESTADO\2012 DEPTO ESCRITURAS fata\Dc Simples\RESPALDO comp notaria 27_12_12\NOTARIA 2012\DECLARACION JURADA\DUEÑO DE...con inventario.doc</t>
  </si>
  <si>
    <t>C:\Users\franc\OneDrive\Documentos\MALENTIN KARIME\BANCO ESTADO\2012 DEPTO ESCRITURAS fata\Dc Simples\RESPALDO comp notaria 27_12_12\NOTARIA 2012\DECLARACION JURADA\DUEÑO DE....doc</t>
  </si>
  <si>
    <t>C:\Users\franc\OneDrive\Documentos\MALENTIN KARIME\BANCO ESTADO\2012 DEPTO ESCRITURAS fata\Dc Simples\RESPALDO comp notaria 27_12_12\NOTARIA 2012\DECLARACION JURADA\DOMICILIO VARIOS.doc</t>
  </si>
  <si>
    <t>C:\Users\franc\OneDrive\Documentos\MALENTIN KARIME\BANCO ESTADO\2012 DEPTO ESCRITURAS fata\Dc Simples\RESPALDO comp notaria 27_12_12\NOTARIA 2012\DECLARACION JURADA\DOMICILIO OK.1.doc</t>
  </si>
  <si>
    <t>C:\Users\franc\OneDrive\Documentos\MALENTIN KARIME\BANCO ESTADO\2012 DEPTO ESCRITURAS fata\Dc Simples\RESPALDO comp notaria 27_12_12\NOTARIA 2012\DECLARACION JURADA\DOMICILIO MENOR DE EDAD.doc</t>
  </si>
  <si>
    <t>C:\Users\franc\OneDrive\Documentos\MALENTIN KARIME\BANCO ESTADO\2012 DEPTO ESCRITURAS fata\Dc Simples\RESPALDO comp notaria 27_12_12\NOTARIA 2012\DECLARACION JURADA\DOMICILIO IVETTE EUGENIA.docx</t>
  </si>
  <si>
    <t>C:\Users\franc\OneDrive\Documentos\MALENTIN KARIME\BANCO ESTADO\2012 DEPTO ESCRITURAS fata\Dc Simples\RESPALDO comp notaria 27_12_12\NOTARIA 2012\DECLARACION JURADA\DOMICILIO de TERCERO1.docx</t>
  </si>
  <si>
    <t>C:\Users\franc\OneDrive\Documentos\MALENTIN KARIME\BANCO ESTADO\2012 DEPTO ESCRITURAS fata\Dc Simples\RESPALDO comp notaria 27_12_12\NOTARIA 2012\DECLARACION JURADA\DOMICILIO 2 TESTIGOS.doc</t>
  </si>
  <si>
    <t>C:\Users\franc\OneDrive\Documentos\MALENTIN KARIME\BANCO ESTADO\2012 DEPTO ESCRITURAS fata\Dc Simples\RESPALDO comp notaria 27_12_12\NOTARIA 2012\DECLARACION JURADA\DISCAPACIDAD.doc</t>
  </si>
  <si>
    <t>C:\Users\franc\OneDrive\Documentos\MALENTIN KARIME\BANCO ESTADO\2012 DEPTO ESCRITURAS fata\Dc Simples\RESPALDO comp notaria 27_12_12\NOTARIA 2012\DECLARACION JURADA\DISCAPACIDAD VIAJAR.doc</t>
  </si>
  <si>
    <t>C:\Users\franc\OneDrive\Documentos\MALENTIN KARIME\BANCO ESTADO\2012 DEPTO ESCRITURAS fata\Dc Simples\RESPALDO comp notaria 27_12_12\NOTARIA 2012\DECLARACION JURADA\DFL Nº1 AÑO 2005.doc</t>
  </si>
  <si>
    <t>C:\Users\franc\OneDrive\Documentos\MALENTIN KARIME\BANCO ESTADO\2012 DEPTO ESCRITURAS fata\Dc Simples\RESPALDO comp notaria 27_12_12\NOTARIA 2012\DECLARACION JURADA\DFL 1 Art.26 (FGHI).doc</t>
  </si>
  <si>
    <t>C:\Users\franc\OneDrive\Documentos\MALENTIN KARIME\BANCO ESTADO\2012 DEPTO ESCRITURAS fata\Dc Simples\RESPALDO comp notaria 27_12_12\NOTARIA 2012\DECLARACION JURADA\DESALOJO.doc</t>
  </si>
  <si>
    <t>C:\Users\franc\OneDrive\Documentos\MALENTIN KARIME\BANCO ESTADO\2012 DEPTO ESCRITURAS fata\Dc Simples\RESPALDO comp notaria 27_12_12\NOTARIA 2012\DECLARACION JURADA\DERECHO REAL DE USO.doc</t>
  </si>
  <si>
    <t>C:\Users\franc\OneDrive\Documentos\MALENTIN KARIME\BANCO ESTADO\2012 DEPTO ESCRITURAS fata\Dc Simples\RESPALDO comp notaria 27_12_12\NOTARIA 2012\DECLARACION JURADA\DECLARACION.doc</t>
  </si>
  <si>
    <t>C:\Users\franc\OneDrive\Documentos\MALENTIN KARIME\BANCO ESTADO\2012 DEPTO ESCRITURAS fata\Dc Simples\RESPALDO comp notaria 27_12_12\NOTARIA 2012\DECLARACION JURADA\DECLARACION VOTACION.doc</t>
  </si>
  <si>
    <t>C:\Users\franc\OneDrive\Documentos\MALENTIN KARIME\BANCO ESTADO\2012 DEPTO ESCRITURAS fata\Dc Simples\RESPALDO comp notaria 27_12_12\NOTARIA 2012\DECLARACION JURADA\DECLARACION vehiculo arreglo.doc</t>
  </si>
  <si>
    <t>C:\Users\franc\OneDrive\Documentos\MALENTIN KARIME\BANCO ESTADO\2012 DEPTO ESCRITURAS fata\Dc Simples\RESPALDO comp notaria 27_12_12\NOTARIA 2012\DECLARACION JURADA\DECLARACION Responsable.doc</t>
  </si>
  <si>
    <t>C:\Users\franc\OneDrive\Documentos\MALENTIN KARIME\BANCO ESTADO\2012 DEPTO ESCRITURAS fata\Dc Simples\RESPALDO comp notaria 27_12_12\NOTARIA 2012\DECLARACION JURADA\DECLARACION no psu.doc</t>
  </si>
  <si>
    <t>C:\Users\franc\OneDrive\Documentos\MALENTIN KARIME\BANCO ESTADO\2012 DEPTO ESCRITURAS fata\Dc Simples\RESPALDO comp notaria 27_12_12\NOTARIA 2012\DECLARACION JURADA\DECLARACION NICOLLE.doc</t>
  </si>
  <si>
    <t>C:\Users\franc\OneDrive\Documentos\MALENTIN KARIME\BANCO ESTADO\2012 DEPTO ESCRITURAS fata\Dc Simples\RESPALDO comp notaria 27_12_12\NOTARIA 2012\DECLARACION JURADA\DECLARACION JURADA ADUANA.docx</t>
  </si>
  <si>
    <t>C:\Users\franc\OneDrive\Documentos\MALENTIN KARIME\BANCO ESTADO\2012 DEPTO ESCRITURAS fata\Dc Simples\RESPALDO comp notaria 27_12_12\NOTARIA 2012\DECLARACION JURADA\DECLARACION IDONEIDAD FISICA NEO 53 2006.doc</t>
  </si>
  <si>
    <t>C:\Users\franc\OneDrive\Documentos\MALENTIN KARIME\BANCO ESTADO\2012 DEPTO ESCRITURAS fata\Dc Simples\RESPALDO comp notaria 27_12_12\NOTARIA 2012\DECLARACION JURADA\DECLARACION de goce.doc</t>
  </si>
  <si>
    <t>C:\Users\franc\OneDrive\Documentos\MALENTIN KARIME\BANCO ESTADO\2012 DEPTO ESCRITURAS fata\Dc Simples\RESPALDO comp notaria 27_12_12\NOTARIA 2012\DECLARACION JURADA\DECLARACION DE FINIQUITO ART.doc</t>
  </si>
  <si>
    <t>C:\Users\franc\OneDrive\Documentos\MALENTIN KARIME\BANCO ESTADO\2012 DEPTO ESCRITURAS fata\Dc Simples\RESPALDO comp notaria 27_12_12\NOTARIA 2012\DECLARACION JURADA\DECLARACION armas.doc</t>
  </si>
  <si>
    <t>C:\Users\franc\OneDrive\Documentos\MALENTIN KARIME\BANCO ESTADO\2012 DEPTO ESCRITURAS fata\Dc Simples\RESPALDO comp notaria 27_12_12\NOTARIA 2012\DECLARACION JURADA\DECLARACION AFP.doc</t>
  </si>
  <si>
    <t>C:\Users\franc\OneDrive\Documentos\MALENTIN KARIME\BANCO ESTADO\2012 DEPTO ESCRITURAS fata\Dc Simples\RESPALDO comp notaria 27_12_12\NOTARIA 2012\DECLARACION JURADA\DECLARACION AFP VACIO COTIZACION.docx</t>
  </si>
  <si>
    <t>C:\Users\franc\OneDrive\Documentos\MALENTIN KARIME\BANCO ESTADO\2012 DEPTO ESCRITURAS fata\Dc Simples\RESPALDO comp notaria 27_12_12\NOTARIA 2012\DECLARACION JURADA\DECLARACION AFP VACIO COTIZACION Raquel Oliva.docx</t>
  </si>
  <si>
    <t>C:\Users\franc\OneDrive\Documentos\MALENTIN KARIME\BANCO ESTADO\2012 DEPTO ESCRITURAS fata\Dc Simples\RESPALDO comp notaria 27_12_12\NOTARIA 2012\DECLARACION JURADA\DECLARACION AFP VACIO COTIZACION Para Univer.docx</t>
  </si>
  <si>
    <t>C:\Users\franc\OneDrive\Documentos\MALENTIN KARIME\BANCO ESTADO\2012 DEPTO ESCRITURAS fata\Dc Simples\RESPALDO comp notaria 27_12_12\NOTARIA 2012\DECLARACION JURADA\DECLARACION AFP COTIZACION.docx</t>
  </si>
  <si>
    <t>C:\Users\franc\OneDrive\Documentos\MALENTIN KARIME\BANCO ESTADO\2012 DEPTO ESCRITURAS fata\Dc Simples\RESPALDO comp notaria 27_12_12\NOTARIA 2012\DECLARACION JURADA\DECLARA TERMINO DE GIRO.doc</t>
  </si>
  <si>
    <t>C:\Users\franc\OneDrive\Documentos\MALENTIN KARIME\BANCO ESTADO\2012 DEPTO ESCRITURAS fata\Dc Simples\RESPALDO comp notaria 27_12_12\NOTARIA 2012\DECLARACION JURADA\DAR DE BAJA VEHICULO.doc</t>
  </si>
  <si>
    <t>C:\Users\franc\OneDrive\Documentos\MALENTIN KARIME\BANCO ESTADO\2012 DEPTO ESCRITURAS fata\Dc Simples\RESPALDO comp notaria 27_12_12\NOTARIA 2012\DECLARACION JURADA\D.L 2757 DE 1979.doc</t>
  </si>
  <si>
    <t>C:\Users\franc\OneDrive\Documentos\MALENTIN KARIME\BANCO ESTADO\2012 DEPTO ESCRITURAS fata\Dc Simples\RESPALDO comp notaria 27_12_12\NOTARIA 2012\DECLARACION JURADA\CONVIVENCIA.doc</t>
  </si>
  <si>
    <t>C:\Users\franc\OneDrive\Documentos\MALENTIN KARIME\BANCO ESTADO\2012 DEPTO ESCRITURAS fata\Dc Simples\RESPALDO comp notaria 27_12_12\NOTARIA 2012\DECLARACION JURADA\CONAFE POR PRESTAMO.doc</t>
  </si>
  <si>
    <t>C:\Users\franc\OneDrive\Documentos\MALENTIN KARIME\BANCO ESTADO\2012 DEPTO ESCRITURAS fata\Dc Simples\RESPALDO comp notaria 27_12_12\NOTARIA 2012\DECLARACION JURADA\COMPRA DE MOTO.doc</t>
  </si>
  <si>
    <t>C:\Users\franc\OneDrive\Documentos\MALENTIN KARIME\BANCO ESTADO\2012 DEPTO ESCRITURAS fata\Dc Simples\RESPALDO comp notaria 27_12_12\NOTARIA 2012\DECLARACION JURADA\COMPARTEN GASTOS.doc</t>
  </si>
  <si>
    <t>C:\Users\franc\OneDrive\Documentos\MALENTIN KARIME\BANCO ESTADO\2012 DEPTO ESCRITURAS fata\Dc Simples\RESPALDO comp notaria 27_12_12\NOTARIA 2012\DECLARACION JURADA\CESION ELECOP.doc</t>
  </si>
  <si>
    <t>C:\Users\franc\OneDrive\Documentos\MALENTIN KARIME\BANCO ESTADO\2012 DEPTO ESCRITURAS fata\Dc Simples\RESPALDO comp notaria 27_12_12\NOTARIA 2012\DECLARACION JURADA\CESION CEMENTERIO.doc</t>
  </si>
  <si>
    <t>C:\Users\franc\OneDrive\Documentos\MALENTIN KARIME\BANCO ESTADO\2012 DEPTO ESCRITURAS fata\Dc Simples\RESPALDO comp notaria 27_12_12\NOTARIA 2012\DECLARACION JURADA\CESAR CARGO PUBLICO.doc</t>
  </si>
  <si>
    <t>C:\Users\franc\OneDrive\Documentos\MALENTIN KARIME\BANCO ESTADO\2012 DEPTO ESCRITURAS fata\Dc Simples\RESPALDO comp notaria 27_12_12\NOTARIA 2012\DECLARACION JURADA\cesantia.doc</t>
  </si>
  <si>
    <t>C:\Users\franc\OneDrive\Documentos\MALENTIN KARIME\BANCO ESTADO\2012 DEPTO ESCRITURAS fata\Dc Simples\RESPALDO comp notaria 27_12_12\NOTARIA 2012\DECLARACION JURADA\CEDER CAMION.doc</t>
  </si>
  <si>
    <t>C:\Users\franc\OneDrive\Documentos\MALENTIN KARIME\BANCO ESTADO\2012 DEPTO ESCRITURAS fata\Dc Simples\RESPALDO comp notaria 27_12_12\NOTARIA 2012\DECLARACION JURADA\CARTA INVITACION NOTARIAL.doc</t>
  </si>
  <si>
    <t>C:\Users\franc\OneDrive\Documentos\MALENTIN KARIME\BANCO ESTADO\2012 DEPTO ESCRITURAS fata\Dc Simples\RESPALDO comp notaria 27_12_12\NOTARIA 2012\DECLARACION JURADA\CARRO HECHIZO.doc</t>
  </si>
  <si>
    <t>C:\Users\franc\OneDrive\Documentos\MALENTIN KARIME\BANCO ESTADO\2012 DEPTO ESCRITURAS fata\Dc Simples\RESPALDO comp notaria 27_12_12\NOTARIA 2012\DECLARACION JURADA\CARRO COMIDA RAPIDO.doc</t>
  </si>
  <si>
    <t>C:\Users\franc\OneDrive\Documentos\MALENTIN KARIME\BANCO ESTADO\2012 DEPTO ESCRITURAS fata\Dc Simples\RESPALDO comp notaria 27_12_12\NOTARIA 2012\DECLARACION JURADA\CARGAS FAMILIARES.doc</t>
  </si>
  <si>
    <t>C:\Users\franc\OneDrive\Documentos\MALENTIN KARIME\BANCO ESTADO\2012 DEPTO ESCRITURAS fata\Dc Simples\RESPALDO comp notaria 27_12_12\NOTARIA 2012\DECLARACION JURADA\cancelacion cta..doc</t>
  </si>
  <si>
    <t>C:\Users\franc\OneDrive\Documentos\MALENTIN KARIME\BANCO ESTADO\2012 DEPTO ESCRITURAS fata\Dc Simples\RESPALDO comp notaria 27_12_12\NOTARIA 2012\DECLARACION JURADA\C.R.S Y TRABAJA.doc</t>
  </si>
  <si>
    <t>C:\Users\franc\OneDrive\Documentos\MALENTIN KARIME\BANCO ESTADO\2012 DEPTO ESCRITURAS fata\Dc Simples\RESPALDO comp notaria 27_12_12\NOTARIA 2012\DECLARACION JURADA\C.O.T. ART.295.doc</t>
  </si>
  <si>
    <t>C:\Users\franc\OneDrive\Documentos\MALENTIN KARIME\BANCO ESTADO\2012 DEPTO ESCRITURAS fata\Dc Simples\RESPALDO comp notaria 27_12_12\NOTARIA 2012\DECLARACION JURADA\BIENES NACIONALES.doc</t>
  </si>
  <si>
    <t>C:\Users\franc\OneDrive\Documentos\MALENTIN KARIME\BANCO ESTADO\2012 DEPTO ESCRITURAS fata\Dc Simples\RESPALDO comp notaria 27_12_12\NOTARIA 2012\DECLARACION JURADA\BIENES NACIONALES II .doc</t>
  </si>
  <si>
    <t>C:\Users\franc\OneDrive\Documentos\MALENTIN KARIME\BANCO ESTADO\2012 DEPTO ESCRITURAS fata\Dc Simples\RESPALDO comp notaria 27_12_12\NOTARIA 2012\DECLARACION JURADA\BIEN FAMILIAR.doc</t>
  </si>
  <si>
    <t>C:\Users\franc\OneDrive\Documentos\MALENTIN KARIME\BANCO ESTADO\2012 DEPTO ESCRITURAS fata\Dc Simples\RESPALDO comp notaria 27_12_12\NOTARIA 2012\DECLARACION JURADA\BENEFICIOS DE SERV. MILITAR.doc</t>
  </si>
  <si>
    <t>C:\Users\franc\OneDrive\Documentos\MALENTIN KARIME\BANCO ESTADO\2012 DEPTO ESCRITURAS fata\Dc Simples\RESPALDO comp notaria 27_12_12\NOTARIA 2012\DECLARACION JURADA\BENEFICIARIA.doc</t>
  </si>
  <si>
    <t>C:\Users\franc\OneDrive\Documentos\MALENTIN KARIME\BANCO ESTADO\2012 DEPTO ESCRITURAS fata\Dc Simples\RESPALDO comp notaria 27_12_12\NOTARIA 2012\DECLARACION JURADA\AUSENT. TRABAJO.doc</t>
  </si>
  <si>
    <t>C:\Users\franc\OneDrive\Documentos\MALENTIN KARIME\BANCO ESTADO\2012 DEPTO ESCRITURAS fata\Dc Simples\RESPALDO comp notaria 27_12_12\NOTARIA 2012\DECLARACION JURADA\ART. 50.doc</t>
  </si>
  <si>
    <t>C:\Users\franc\OneDrive\Documentos\MALENTIN KARIME\BANCO ESTADO\2012 DEPTO ESCRITURAS fata\Dc Simples\RESPALDO comp notaria 27_12_12\NOTARIA 2012\DECLARACION JURADA\ARMA.doc</t>
  </si>
  <si>
    <t>C:\Users\franc\OneDrive\Documentos\MALENTIN KARIME\BANCO ESTADO\2012 DEPTO ESCRITURAS fata\Dc Simples\RESPALDO comp notaria 27_12_12\NOTARIA 2012\DECLARACION JURADA\APORTE PROYECTO JTA VCNS.doc</t>
  </si>
  <si>
    <t>C:\Users\franc\OneDrive\Documentos\MALENTIN KARIME\BANCO ESTADO\2012 DEPTO ESCRITURAS fata\Dc Simples\RESPALDO comp notaria 27_12_12\NOTARIA 2012\DECLARACION JURADA\APORTE MENSUAL.doc</t>
  </si>
  <si>
    <t>C:\Users\franc\OneDrive\Documentos\MALENTIN KARIME\BANCO ESTADO\2012 DEPTO ESCRITURAS fata\Dc Simples\RESPALDO comp notaria 27_12_12\NOTARIA 2012\DECLARACION JURADA\APORTE A HIJA.doc</t>
  </si>
  <si>
    <t>C:\Users\franc\OneDrive\Documentos\MALENTIN KARIME\BANCO ESTADO\2012 DEPTO ESCRITURAS fata\Dc Simples\RESPALDO comp notaria 27_12_12\NOTARIA 2012\DECLARACION JURADA\ALTERA CARACTERISTICAS.doc</t>
  </si>
  <si>
    <t>C:\Users\franc\OneDrive\Documentos\MALENTIN KARIME\BANCO ESTADO\2012 DEPTO ESCRITURAS fata\Dc Simples\RESPALDO comp notaria 27_12_12\NOTARIA 2012\DECLARACION JURADA\ALTERA CARACTERISTICAS VEHICULO.doc</t>
  </si>
  <si>
    <t>C:\Users\franc\OneDrive\Documentos\MALENTIN KARIME\BANCO ESTADO\2012 DEPTO ESCRITURAS fata\Dc Simples\RESPALDO comp notaria 27_12_12\NOTARIA 2012\DECLARACION JURADA\ALTERA CARACTERISTICAS QUIROZ.doc</t>
  </si>
  <si>
    <t>C:\Users\franc\OneDrive\Documentos\MALENTIN KARIME\BANCO ESTADO\2012 DEPTO ESCRITURAS fata\Dc Simples\RESPALDO comp notaria 27_12_12\NOTARIA 2012\DECLARACION JURADA\ALTERA CARACTERISTICAS MOTO.doc</t>
  </si>
  <si>
    <t>C:\Users\franc\OneDrive\Documentos\MALENTIN KARIME\BANCO ESTADO\2012 DEPTO ESCRITURAS fata\Dc Simples\RESPALDO comp notaria 27_12_12\NOTARIA 2012\DECLARACION JURADA\ALTERA CARACTERISTICAS CAMION.doc</t>
  </si>
  <si>
    <t>C:\Users\franc\OneDrive\Documentos\MALENTIN KARIME\BANCO ESTADO\2012 DEPTO ESCRITURAS fata\Dc Simples\RESPALDO comp notaria 27_12_12\NOTARIA 2012\DECLARACION JURADA\ALT. CARACT. leasing.doc</t>
  </si>
  <si>
    <t>C:\Users\franc\OneDrive\Documentos\MALENTIN KARIME\BANCO ESTADO\2012 DEPTO ESCRITURAS fata\Dc Simples\RESPALDO comp notaria 27_12_12\NOTARIA 2012\DECLARACION JURADA\ALT. CARACT. CON PODER.doc</t>
  </si>
  <si>
    <t>C:\Users\franc\OneDrive\Documentos\MALENTIN KARIME\BANCO ESTADO\2012 DEPTO ESCRITURAS fata\Dc Simples\RESPALDO comp notaria 27_12_12\NOTARIA 2012\DECLARACION JURADA\ALLEGADA.doc</t>
  </si>
  <si>
    <t>C:\Users\franc\OneDrive\Documentos\MALENTIN KARIME\BANCO ESTADO\2012 DEPTO ESCRITURAS fata\Dc Simples\RESPALDO comp notaria 27_12_12\NOTARIA 2012\DECLARACION JURADA\AGUA POTABLE TABALI.doc</t>
  </si>
  <si>
    <t>C:\Users\franc\OneDrive\Documentos\MALENTIN KARIME\BANCO ESTADO\2012 DEPTO ESCRITURAS fata\Dc Simples\RESPALDO comp notaria 27_12_12\NOTARIA 2012\DECLARACION JURADA\AGREGAR CARGA FAMILIAR.doc</t>
  </si>
  <si>
    <t>C:\Users\franc\OneDrive\Documentos\MALENTIN KARIME\BANCO ESTADO\2012 DEPTO ESCRITURAS fata\Dc Simples\RESPALDO comp notaria 27_12_12\NOTARIA 2012\DECLARACION JURADA\ADJUDICACION TERRENO DERECHOS.doc</t>
  </si>
  <si>
    <t>C:\Users\franc\OneDrive\Documentos\MALENTIN KARIME\BANCO ESTADO\2012 DEPTO ESCRITURAS fata\Dc Simples\RESPALDO comp notaria 27_12_12\NOTARIA 2012\DECLARACION JURADA\ADJUDICACION COMUNEROS.doc</t>
  </si>
  <si>
    <t>C:\Users\franc\OneDrive\Documentos\MALENTIN KARIME\BANCO ESTADO\2012 DEPTO ESCRITURAS fata\Dc Simples\RESPALDO comp notaria 27_12_12\NOTARIA 2012\DECLARACION JURADA\ACUERDO LABORAL.doc</t>
  </si>
  <si>
    <t>C:\Users\franc\OneDrive\Documentos\MALENTIN KARIME\BANCO ESTADO\2012 DEPTO ESCRITURAS fata\Dc Simples\RESPALDO comp notaria 27_12_12\NOTARIA 2012\DECLARACION JURADA\ACLARACION CHEQUE.doc</t>
  </si>
  <si>
    <t>C:\Users\franc\OneDrive\Documentos\MALENTIN KARIME\BANCO ESTADO\2012 DEPTO ESCRITURAS fata\Dc Simples\RESPALDO comp notaria 27_12_12\NOTARIA 2012\DECLARACION JURADA\ACLARACION CHEQUE BCOS..doc</t>
  </si>
  <si>
    <t>C:\Users\franc\OneDrive\Documentos\MALENTIN KARIME\BANCO ESTADO\2012 DEPTO ESCRITURAS fata\Dc Simples\RESPALDO comp notaria 27_12_12\NOTARIA 2012\DECLARACION JURADA\ACEPTA CHEQUES.doc</t>
  </si>
  <si>
    <t>C:\Users\franc\OneDrive\Documentos\MALENTIN KARIME\BANCO ESTADO\2012 DEPTO ESCRITURAS fata\Dc Simples\RESPALDO comp notaria 27_12_12\NOTARIA 2012\DECLARACION JURADA\A CARGO DE HIJO FUERA DEL PAIS.doc</t>
  </si>
  <si>
    <t>C:\Users\franc\OneDrive\Documentos\MALENTIN KARIME\BANCO ESTADO\2012 DEPTO ESCRITURAS fata\Dc Simples\RESPALDO comp notaria 27_12_12\NOTARIA 2012\DECLARACION JURADA\700 UF.doc</t>
  </si>
  <si>
    <t>C:\Users\franc\OneDrive\Documentos\MALENTIN KARIME\BANCO ESTADO\2012 DEPTO ESCRITURAS fata\Dc Simples\RESPALDO comp notaria 27_12_12\NOTARIA 2012\DECLARACION JURADA\2.doc</t>
  </si>
  <si>
    <t>C:\Users\franc\OneDrive\Documentos\MALENTIN KARIME\BANCO ESTADO\2012 DEPTO ESCRITURAS fata\Dc Simples\RESPALDO comp notaria 27_12_12\NOTARIA 2012\COVALSA Y OTROS\ZEPEDA.doc</t>
  </si>
  <si>
    <t>C:\Users\franc\OneDrive\Documentos\MALENTIN KARIME\BANCO ESTADO\2012 DEPTO ESCRITURAS fata\Dc Simples\RESPALDO comp notaria 27_12_12\NOTARIA 2012\COVALSA Y OTROS\Vehículo simple.doc</t>
  </si>
  <si>
    <t>C:\Users\franc\OneDrive\Documentos\MALENTIN KARIME\BANCO ESTADO\2012 DEPTO ESCRITURAS fata\Dc Simples\RESPALDO comp notaria 27_12_12\NOTARIA 2012\COVALSA Y OTROS\VARIOS.doc</t>
  </si>
  <si>
    <t>C:\Users\franc\OneDrive\Documentos\MALENTIN KARIME\BANCO ESTADO\2012 DEPTO ESCRITURAS fata\Dc Simples\RESPALDO comp notaria 27_12_12\NOTARIA 2012\COVALSA Y OTROS\Soc de Inv. Artigues Pablo Concha.doc</t>
  </si>
  <si>
    <t>C:\Users\franc\OneDrive\Documentos\MALENTIN KARIME\BANCO ESTADO\2012 DEPTO ESCRITURAS fata\Dc Simples\RESPALDO comp notaria 27_12_12\NOTARIA 2012\COVALSA Y OTROS\Serprocar S.A. Pablo Concha.doc</t>
  </si>
  <si>
    <t>C:\Users\franc\OneDrive\Documentos\MALENTIN KARIME\BANCO ESTADO\2012 DEPTO ESCRITURAS fata\Dc Simples\RESPALDO comp notaria 27_12_12\NOTARIA 2012\COVALSA Y OTROS\Musalen vende contado.doc</t>
  </si>
  <si>
    <t>C:\Users\franc\OneDrive\Documentos\MALENTIN KARIME\BANCO ESTADO\2012 DEPTO ESCRITURAS fata\Dc Simples\RESPALDO comp notaria 27_12_12\NOTARIA 2012\COVALSA Y OTROS\Musalem y Frio Loa Ltda..doc</t>
  </si>
  <si>
    <t>C:\Users\franc\OneDrive\Documentos\MALENTIN KARIME\BANCO ESTADO\2012 DEPTO ESCRITURAS fata\Dc Simples\RESPALDO comp notaria 27_12_12\NOTARIA 2012\COVALSA Y OTROS\Musalem vende credito.doc</t>
  </si>
  <si>
    <t>C:\Users\franc\OneDrive\Documentos\MALENTIN KARIME\BANCO ESTADO\2012 DEPTO ESCRITURAS fata\Dc Simples\RESPALDO comp notaria 27_12_12\NOTARIA 2012\COVALSA Y OTROS\Musalem compra.doc</t>
  </si>
  <si>
    <t>C:\Users\franc\OneDrive\Documentos\MALENTIN KARIME\BANCO ESTADO\2012 DEPTO ESCRITURAS fata\Dc Simples\RESPALDO comp notaria 27_12_12\NOTARIA 2012\COVALSA Y OTROS\Musalem compra a 3 pers..doc</t>
  </si>
  <si>
    <t>C:\Users\franc\OneDrive\Documentos\MALENTIN KARIME\BANCO ESTADO\2012 DEPTO ESCRITURAS fata\Dc Simples\RESPALDO comp notaria 27_12_12\NOTARIA 2012\COVALSA Y OTROS\José Troncoso.doc</t>
  </si>
  <si>
    <t>C:\Users\franc\OneDrive\Documentos\MALENTIN KARIME\BANCO ESTADO\2012 DEPTO ESCRITURAS fata\Dc Simples\RESPALDO comp notaria 27_12_12\NOTARIA 2012\COVALSA Y OTROS\Inversiones Automotrices.doc</t>
  </si>
  <si>
    <t>C:\Users\franc\OneDrive\Documentos\MALENTIN KARIME\BANCO ESTADO\2012 DEPTO ESCRITURAS fata\Dc Simples\RESPALDO comp notaria 27_12_12\NOTARIA 2012\COVALSA Y OTROS\Gonart ltda..doc</t>
  </si>
  <si>
    <t>C:\Users\franc\OneDrive\Documentos\MALENTIN KARIME\BANCO ESTADO\2012 DEPTO ESCRITURAS fata\Dc Simples\RESPALDO comp notaria 27_12_12\NOTARIA 2012\COVALSA Y OTROS\G Y T y Nelly Andrades y Cía..doc</t>
  </si>
  <si>
    <t>C:\Users\franc\OneDrive\Documentos\MALENTIN KARIME\BANCO ESTADO\2012 DEPTO ESCRITURAS fata\Dc Simples\RESPALDO comp notaria 27_12_12\NOTARIA 2012\COVALSA Y OTROS\G Y T compra.doc</t>
  </si>
  <si>
    <t>C:\Users\franc\OneDrive\Documentos\MALENTIN KARIME\BANCO ESTADO\2012 DEPTO ESCRITURAS fata\Dc Simples\RESPALDO comp notaria 27_12_12\NOTARIA 2012\COVALSA Y OTROS\Factura Vertical.doc</t>
  </si>
  <si>
    <t>C:\Users\franc\OneDrive\Documentos\MALENTIN KARIME\BANCO ESTADO\2012 DEPTO ESCRITURAS fata\Dc Simples\RESPALDO comp notaria 27_12_12\NOTARIA 2012\COVALSA Y OTROS\Factura Horizontal.doc</t>
  </si>
  <si>
    <t>C:\Users\franc\OneDrive\Documentos\MALENTIN KARIME\BANCO ESTADO\2012 DEPTO ESCRITURAS fata\Dc Simples\RESPALDO comp notaria 27_12_12\NOTARIA 2012\COVALSA Y OTROS\Dany vende a plazo.doc</t>
  </si>
  <si>
    <t>C:\Users\franc\OneDrive\Documentos\MALENTIN KARIME\BANCO ESTADO\2012 DEPTO ESCRITURAS fata\Dc Simples\RESPALDO comp notaria 27_12_12\NOTARIA 2012\COVALSA Y OTROS\Dany Troncoso  G y T.doc</t>
  </si>
  <si>
    <t>C:\Users\franc\OneDrive\Documentos\MALENTIN KARIME\BANCO ESTADO\2012 DEPTO ESCRITURAS fata\Dc Simples\RESPALDO comp notaria 27_12_12\NOTARIA 2012\COVALSA Y OTROS\Dany simple.doc</t>
  </si>
  <si>
    <t>C:\Users\franc\OneDrive\Documentos\MALENTIN KARIME\BANCO ESTADO\2012 DEPTO ESCRITURAS fata\Dc Simples\RESPALDO comp notaria 27_12_12\NOTARIA 2012\COVALSA Y OTROS\Dany dos personerias.doc</t>
  </si>
  <si>
    <t>C:\Users\franc\OneDrive\Documentos\MALENTIN KARIME\BANCO ESTADO\2012 DEPTO ESCRITURAS fata\Dc Simples\RESPALDO comp notaria 27_12_12\NOTARIA 2012\COVALSA Y OTROS\Dany Buenaventura ltda..doc</t>
  </si>
  <si>
    <t>C:\Users\franc\OneDrive\Documentos\MALENTIN KARIME\BANCO ESTADO\2012 DEPTO ESCRITURAS fata\Dc Simples\RESPALDO comp notaria 27_12_12\NOTARIA 2012\COVALSA Y OTROS\CP LIMITADA.doc</t>
  </si>
  <si>
    <t>C:\Users\franc\OneDrive\Documentos\MALENTIN KARIME\BANCO ESTADO\2012 DEPTO ESCRITURAS fata\Dc Simples\RESPALDO comp notaria 27_12_12\NOTARIA 2012\COVALSA Y OTROS\Covalsa y Sercol ltda..doc</t>
  </si>
  <si>
    <t>C:\Users\franc\OneDrive\Documentos\MALENTIN KARIME\BANCO ESTADO\2012 DEPTO ESCRITURAS fata\Dc Simples\RESPALDO comp notaria 27_12_12\NOTARIA 2012\COVALSA Y OTROS\Covalsa y Mov. Tierra Tamaya y Cía..doc</t>
  </si>
  <si>
    <t>C:\Users\franc\OneDrive\Documentos\MALENTIN KARIME\BANCO ESTADO\2012 DEPTO ESCRITURAS fata\Dc Simples\RESPALDO comp notaria 27_12_12\NOTARIA 2012\COVALSA Y OTROS\Covalsa y Minera Cruz Ltda..doc</t>
  </si>
  <si>
    <t>C:\Users\franc\OneDrive\Documentos\MALENTIN KARIME\BANCO ESTADO\2012 DEPTO ESCRITURAS fata\Dc Simples\RESPALDO comp notaria 27_12_12\NOTARIA 2012\COVALSA Y OTROS\Covalsa y Bauza s.a..doc</t>
  </si>
  <si>
    <t>C:\Users\franc\OneDrive\Documentos\MALENTIN KARIME\BANCO ESTADO\2012 DEPTO ESCRITURAS fata\Dc Simples\RESPALDO comp notaria 27_12_12\NOTARIA 2012\COVALSA Y OTROS\Covalsa y Agropalqui.doc</t>
  </si>
  <si>
    <t>C:\Users\franc\OneDrive\Documentos\MALENTIN KARIME\BANCO ESTADO\2012 DEPTO ESCRITURAS fata\Dc Simples\RESPALDO comp notaria 27_12_12\NOTARIA 2012\COVALSA Y OTROS\Covalsa y Agrocevial.doc</t>
  </si>
  <si>
    <t>C:\Users\franc\OneDrive\Documentos\MALENTIN KARIME\BANCO ESTADO\2012 DEPTO ESCRITURAS fata\Dc Simples\RESPALDO comp notaria 27_12_12\NOTARIA 2012\COVALSA Y OTROS\Covalsa y agric. El Puente.doc</t>
  </si>
  <si>
    <t>C:\Users\franc\OneDrive\Documentos\MALENTIN KARIME\BANCO ESTADO\2012 DEPTO ESCRITURAS fata\Dc Simples\RESPALDO comp notaria 27_12_12\NOTARIA 2012\COVALSA Y OTROS\Covalsa y Agirc. Oro Blanco Ltda..doc</t>
  </si>
  <si>
    <t>C:\Users\franc\OneDrive\Documentos\MALENTIN KARIME\BANCO ESTADO\2012 DEPTO ESCRITURAS fata\Dc Simples\RESPALDO comp notaria 27_12_12\NOTARIA 2012\COVALSA Y OTROS\Covalsa y Agirc. El Ciénago Ltda..doc</t>
  </si>
  <si>
    <t>C:\Users\franc\OneDrive\Documentos\MALENTIN KARIME\BANCO ESTADO\2012 DEPTO ESCRITURAS fata\Dc Simples\RESPALDO comp notaria 27_12_12\NOTARIA 2012\COVALSA Y OTROS\Covalsa vende Rodolfo Araneda.doc</t>
  </si>
  <si>
    <t>C:\Users\franc\OneDrive\Documentos\MALENTIN KARIME\BANCO ESTADO\2012 DEPTO ESCRITURAS fata\Dc Simples\RESPALDO comp notaria 27_12_12\NOTARIA 2012\COVALSA Y OTROS\Covalsa Vende Pedro Barrios.doc</t>
  </si>
  <si>
    <t>C:\Users\franc\OneDrive\Documentos\MALENTIN KARIME\BANCO ESTADO\2012 DEPTO ESCRITURAS fata\Dc Simples\RESPALDO comp notaria 27_12_12\NOTARIA 2012\COVALSA Y OTROS\Covalsa vende Pablo Concha.doc</t>
  </si>
  <si>
    <t>C:\Users\franc\OneDrive\Documentos\MALENTIN KARIME\BANCO ESTADO\2012 DEPTO ESCRITURAS fata\Dc Simples\RESPALDO comp notaria 27_12_12\NOTARIA 2012\COVALSA Y OTROS\Covalsa vende cred. Pedro Barrios.doc</t>
  </si>
  <si>
    <t>C:\Users\franc\OneDrive\Documentos\MALENTIN KARIME\BANCO ESTADO\2012 DEPTO ESCRITURAS fata\Dc Simples\RESPALDO comp notaria 27_12_12\NOTARIA 2012\COVALSA Y OTROS\Covalsa vende cred. Pablo Concha.doc</t>
  </si>
  <si>
    <t>C:\Users\franc\OneDrive\Documentos\MALENTIN KARIME\BANCO ESTADO\2012 DEPTO ESCRITURAS fata\Dc Simples\RESPALDO comp notaria 27_12_12\NOTARIA 2012\COVALSA Y OTROS\Covalsa Vende Afonso Artigues.doc</t>
  </si>
  <si>
    <t>C:\Users\franc\OneDrive\Documentos\MALENTIN KARIME\BANCO ESTADO\2012 DEPTO ESCRITURAS fata\Dc Simples\RESPALDO comp notaria 27_12_12\NOTARIA 2012\COVALSA Y OTROS\Covalsa e Italiana.doc</t>
  </si>
  <si>
    <t>C:\Users\franc\OneDrive\Documentos\MALENTIN KARIME\BANCO ESTADO\2012 DEPTO ESCRITURAS fata\Dc Simples\RESPALDO comp notaria 27_12_12\NOTARIA 2012\COVALSA Y OTROS\Covalsa e Hidronor.doc</t>
  </si>
  <si>
    <t>C:\Users\franc\OneDrive\Documentos\MALENTIN KARIME\BANCO ESTADO\2012 DEPTO ESCRITURAS fata\Dc Simples\RESPALDO comp notaria 27_12_12\NOTARIA 2012\COVALSA Y OTROS\Covalsa compra, Pablo Concha.doc</t>
  </si>
  <si>
    <t>C:\Users\franc\OneDrive\Documentos\MALENTIN KARIME\BANCO ESTADO\2012 DEPTO ESCRITURAS fata\Dc Simples\RESPALDO comp notaria 27_12_12\NOTARIA 2012\COVALSA Y OTROS\Covalsa compra Rodolfo Araneda.doc</t>
  </si>
  <si>
    <t>C:\Users\franc\OneDrive\Documentos\MALENTIN KARIME\BANCO ESTADO\2012 DEPTO ESCRITURAS fata\Dc Simples\RESPALDO comp notaria 27_12_12\NOTARIA 2012\COVALSA Y OTROS\Covalsa Compra Pedro Barrios.doc</t>
  </si>
  <si>
    <t>C:\Users\franc\OneDrive\Documentos\MALENTIN KARIME\BANCO ESTADO\2012 DEPTO ESCRITURAS fata\Dc Simples\RESPALDO comp notaria 27_12_12\NOTARIA 2012\COVALSA Y OTROS\Covalsa Compra Claudia Galleguillos.doc</t>
  </si>
  <si>
    <t>C:\Users\franc\OneDrive\Documentos\MALENTIN KARIME\BANCO ESTADO\2012 DEPTO ESCRITURAS fata\Dc Simples\RESPALDO comp notaria 27_12_12\NOTARIA 2012\COVALSA Y OTROS\Covalsa compra a  santa sara s.a..doc</t>
  </si>
  <si>
    <t>C:\Users\franc\OneDrive\Documentos\MALENTIN KARIME\BANCO ESTADO\2012 DEPTO ESCRITURAS fata\Dc Simples\RESPALDO comp notaria 27_12_12\NOTARIA 2012\COVALSA Y OTROS\Covalsa Center.doc RODOLFO ARANEDA.doc</t>
  </si>
  <si>
    <t>C:\Users\franc\OneDrive\Documentos\MALENTIN KARIME\BANCO ESTADO\2012 DEPTO ESCRITURAS fata\Dc Simples\RESPALDO comp notaria 27_12_12\NOTARIA 2012\COVALSA Y OTROS\Covalsa Center.doc</t>
  </si>
  <si>
    <t>C:\Users\franc\OneDrive\Documentos\MALENTIN KARIME\BANCO ESTADO\2012 DEPTO ESCRITURAS fata\Dc Simples\RESPALDO comp notaria 27_12_12\NOTARIA 2012\COVALSA Y OTROS\Comercial Artigues, Patricio Alvarez.doc</t>
  </si>
  <si>
    <t>C:\Users\franc\OneDrive\Documentos\MALENTIN KARIME\BANCO ESTADO\2012 DEPTO ESCRITURAS fata\Dc Simples\RESPALDO comp notaria 27_12_12\NOTARIA 2012\COVALSA Y OTROS\Camal y Seleme.doc</t>
  </si>
  <si>
    <t>C:\Users\franc\OneDrive\Documentos\MALENTIN KARIME\BANCO ESTADO\2012 DEPTO ESCRITURAS fata\Dc Simples\RESPALDO comp notaria 27_12_12\NOTARIA 2012\COVALSA Y OTROS\Angostura Ltda. CLaudio Reyes.doc</t>
  </si>
  <si>
    <t>C:\Users\franc\OneDrive\Documentos\MALENTIN KARIME\BANCO ESTADO\2012 DEPTO ESCRITURAS fata\Dc Simples\RESPALDO comp notaria 27_12_12\NOTARIA 2012\COVALSA Y OTROS\Andrés Troncoso.doc</t>
  </si>
  <si>
    <t>C:\Users\franc\OneDrive\Documentos\MALENTIN KARIME\BANCO ESTADO\2012 DEPTO ESCRITURAS fata\Dc Simples\RESPALDO comp notaria 27_12_12\NOTARIA 2012\COVALSA Y OTROS\Andalucía vende.doc</t>
  </si>
  <si>
    <t>C:\Users\franc\OneDrive\Documentos\MALENTIN KARIME\BANCO ESTADO\2012 DEPTO ESCRITURAS fata\Dc Simples\RESPALDO comp notaria 27_12_12\NOTARIA 2012\COVALSA Y OTROS\Andalucia y T. Abrilot.doc</t>
  </si>
  <si>
    <t>C:\Users\franc\OneDrive\Documentos\MALENTIN KARIME\BANCO ESTADO\2012 DEPTO ESCRITURAS fata\Dc Simples\RESPALDO comp notaria 27_12_12\NOTARIA 2012\COVALSA Y OTROS\Alz. Musalem.doc</t>
  </si>
  <si>
    <t>C:\Users\franc\OneDrive\Documentos\MALENTIN KARIME\BANCO ESTADO\2012 DEPTO ESCRITURAS fata\Dc Simples\RESPALDO comp notaria 27_12_12\NOTARIA 2012\COVALSA Y OTROS\Alz. G Y T.doc</t>
  </si>
  <si>
    <t>C:\Users\franc\OneDrive\Documentos\MALENTIN KARIME\BANCO ESTADO\2012 DEPTO ESCRITURAS fata\Dc Simples\RESPALDO comp notaria 27_12_12\NOTARIA 2012\COVALSA Y OTROS\Alz. Covalsa Rodolfo Araneda.doc</t>
  </si>
  <si>
    <t>C:\Users\franc\OneDrive\Documentos\MALENTIN KARIME\BANCO ESTADO\2012 DEPTO ESCRITURAS fata\Dc Simples\RESPALDO comp notaria 27_12_12\NOTARIA 2012\COVALSA Y OTROS\Alz. Covalsa Pedro Barrios.doc</t>
  </si>
  <si>
    <t>C:\Users\franc\OneDrive\Documentos\MALENTIN KARIME\BANCO ESTADO\2012 DEPTO ESCRITURAS fata\Dc Simples\RESPALDO comp notaria 27_12_12\NOTARIA 2012\COVALSA Y OTROS\Alz. Covalsa Pablo Concha.doc</t>
  </si>
  <si>
    <t>C:\Users\franc\OneDrive\Documentos\MALENTIN KARIME\BANCO ESTADO\2012 DEPTO ESCRITURAS fata\Dc Simples\RESPALDO comp notaria 27_12_12\NOTARIA 2012\COVALSA Y OTROS\Alz. Covalsa center Pablo Concha.doc</t>
  </si>
  <si>
    <t>C:\Users\franc\OneDrive\Documentos\MALENTIN KARIME\BANCO ESTADO\2012 DEPTO ESCRITURAS fata\Dc Simples\RESPALDO comp notaria 27_12_12\NOTARIA 2012\COVALSA Y OTROS\Agrícola Angostura ltda.Alfonso Artigues.doc</t>
  </si>
  <si>
    <t>C:\Users\franc\OneDrive\Documentos\MALENTIN KARIME\BANCO ESTADO\2012 DEPTO ESCRITURAS fata\Dc Simples\RESPALDO comp notaria 27_12_12\NOTARIA 2012\COVALSA Y OTROS\Agricola Angostura Rodolfo Araneda.doc</t>
  </si>
  <si>
    <t>C:\Users\franc\OneDrive\Documentos\MALENTIN KARIME\BANCO ESTADO\2012 DEPTO ESCRITURAS fata\Dc Simples\RESPALDO comp notaria 27_12_12\NOTARIA 2012\COVALSA Y OTROS\Agricola Angostura Pablo Concha.doc</t>
  </si>
  <si>
    <t>C:\Users\franc\OneDrive\Documentos\MALENTIN KARIME\BANCO ESTADO\2012 DEPTO ESCRITURAS fata\Dc Simples\RESPALDO comp notaria 27_12_12\NOTARIA 2012\COVALSA Y OTROS\Agric. e Inve Juan Pablo CLaudio Reyes.doc</t>
  </si>
  <si>
    <t>C:\Users\franc\OneDrive\Documentos\MALENTIN KARIME\BANCO ESTADO\2012 DEPTO ESCRITURAS fata\Dc Simples\RESPALDO comp notaria 27_12_12\NOTARIA 2012\COVALSA Y OTROS\Agric. e Inv Juan Pablo Ltda. Pablo Concha.doc</t>
  </si>
  <si>
    <t>C:\Users\franc\OneDrive\Documentos\MALENTIN KARIME\BANCO ESTADO\2012 DEPTO ESCRITURAS fata\Dc Simples\RESPALDO comp notaria 27_12_12\NOTARIA 2012\COVALSA Y OTROS\Agric. e Inv Juan Pablo Ltda. Alfonso Artigues.doc</t>
  </si>
  <si>
    <t>C:\Users\franc\OneDrive\Documentos\MALENTIN KARIME\BANCO ESTADO\2012 DEPTO ESCRITURAS fata\Dc Simples\RESPALDO comp notaria 27_12_12\NOTARIA 2012\CONTRATOS\VICHUQUEN.doc</t>
  </si>
  <si>
    <t>C:\Users\franc\OneDrive\Documentos\MALENTIN KARIME\BANCO ESTADO\2012 DEPTO ESCRITURAS fata\Dc Simples\RESPALDO comp notaria 27_12_12\NOTARIA 2012\CONTRATOS\VH MAQUINARIA.doc</t>
  </si>
  <si>
    <t>C:\Users\franc\OneDrive\Documentos\MALENTIN KARIME\BANCO ESTADO\2012 DEPTO ESCRITURAS fata\Dc Simples\RESPALDO comp notaria 27_12_12\NOTARIA 2012\CONTRATOS\VENTA PUESTO FERIA.doc</t>
  </si>
  <si>
    <t>C:\Users\franc\OneDrive\Documentos\MALENTIN KARIME\BANCO ESTADO\2012 DEPTO ESCRITURAS fata\Dc Simples\RESPALDO comp notaria 27_12_12\NOTARIA 2012\CONTRATOS\VENTA DOTACION O VOLUMEN DE AGUA.doc</t>
  </si>
  <si>
    <t>C:\Users\franc\OneDrive\Documentos\MALENTIN KARIME\BANCO ESTADO\2012 DEPTO ESCRITURAS fata\Dc Simples\RESPALDO comp notaria 27_12_12\NOTARIA 2012\CONTRATOS\VENTA DE SEMILLAS.doc</t>
  </si>
  <si>
    <t>C:\Users\franc\OneDrive\Documentos\MALENTIN KARIME\BANCO ESTADO\2012 DEPTO ESCRITURAS fata\Dc Simples\RESPALDO comp notaria 27_12_12\NOTARIA 2012\CONTRATOS\VENTA CABRAS.doc</t>
  </si>
  <si>
    <t>C:\Users\franc\OneDrive\Documentos\MALENTIN KARIME\BANCO ESTADO\2012 DEPTO ESCRITURAS fata\Dc Simples\RESPALDO comp notaria 27_12_12\NOTARIA 2012\CONTRATOS\VENTA CABALLO.doc</t>
  </si>
  <si>
    <t>C:\Users\franc\OneDrive\Documentos\MALENTIN KARIME\BANCO ESTADO\2012 DEPTO ESCRITURAS fata\Dc Simples\RESPALDO comp notaria 27_12_12\NOTARIA 2012\CONTRATOS\VENTA ARMA FUEGO.doc</t>
  </si>
  <si>
    <t>C:\Users\franc\OneDrive\Documentos\MALENTIN KARIME\BANCO ESTADO\2012 DEPTO ESCRITURAS fata\Dc Simples\RESPALDO comp notaria 27_12_12\NOTARIA 2012\CONTRATOS\VENTA AGUAS.doc</t>
  </si>
  <si>
    <t>C:\Users\franc\OneDrive\Documentos\MALENTIN KARIME\BANCO ESTADO\2012 DEPTO ESCRITURAS fata\Dc Simples\RESPALDO comp notaria 27_12_12\NOTARIA 2012\CONTRATOS\TRASPASO TEMPORAL DE AGUA.doc</t>
  </si>
  <si>
    <t>C:\Users\franc\OneDrive\Documentos\MALENTIN KARIME\BANCO ESTADO\2012 DEPTO ESCRITURAS fata\Dc Simples\RESPALDO comp notaria 27_12_12\NOTARIA 2012\CONTRATOS\SUBARRENDAMIENTO.doc</t>
  </si>
  <si>
    <t>C:\Users\franc\OneDrive\Documentos\MALENTIN KARIME\BANCO ESTADO\2012 DEPTO ESCRITURAS fata\Dc Simples\RESPALDO comp notaria 27_12_12\NOTARIA 2012\CONTRATOS\SUB-ARRIENDO VEHICULO.doc</t>
  </si>
  <si>
    <t>C:\Users\franc\OneDrive\Documentos\MALENTIN KARIME\BANCO ESTADO\2012 DEPTO ESCRITURAS fata\Dc Simples\RESPALDO comp notaria 27_12_12\NOTARIA 2012\CONTRATOS\SITIO KIOSCO.doc</t>
  </si>
  <si>
    <t>C:\Users\franc\OneDrive\Documentos\MALENTIN KARIME\BANCO ESTADO\2012 DEPTO ESCRITURAS fata\Dc Simples\RESPALDO comp notaria 27_12_12\NOTARIA 2012\CONTRATOS\SEDE JUNTA DE VECINOS PERSONERIA.doc</t>
  </si>
  <si>
    <t>C:\Users\franc\OneDrive\Documentos\MALENTIN KARIME\BANCO ESTADO\2012 DEPTO ESCRITURAS fata\Dc Simples\RESPALDO comp notaria 27_12_12\NOTARIA 2012\CONTRATOS\ROSENDO JIMENEZ.doc</t>
  </si>
  <si>
    <t>C:\Users\franc\OneDrive\Documentos\MALENTIN KARIME\BANCO ESTADO\2012 DEPTO ESCRITURAS fata\Dc Simples\RESPALDO comp notaria 27_12_12\NOTARIA 2012\CONTRATOS\RESCILIAR VEHICULO.doc</t>
  </si>
  <si>
    <t>C:\Users\franc\OneDrive\Documentos\MALENTIN KARIME\BANCO ESTADO\2012 DEPTO ESCRITURAS fata\Dc Simples\RESPALDO comp notaria 27_12_12\NOTARIA 2012\CONTRATOS\RESCILIACION pend.doc</t>
  </si>
  <si>
    <t>C:\Users\franc\OneDrive\Documentos\MALENTIN KARIME\BANCO ESTADO\2012 DEPTO ESCRITURAS fata\Dc Simples\RESPALDO comp notaria 27_12_12\NOTARIA 2012\CONTRATOS\RESCILIACION DE CONTRATO AGRICOLA.doc</t>
  </si>
  <si>
    <t>C:\Users\franc\OneDrive\Documentos\MALENTIN KARIME\BANCO ESTADO\2012 DEPTO ESCRITURAS fata\Dc Simples\RESPALDO comp notaria 27_12_12\NOTARIA 2012\CONTRATOS\RESCILIACION DE CONTRATO AGRICOLA soc. la chimba.doc</t>
  </si>
  <si>
    <t>C:\Users\franc\OneDrive\Documentos\MALENTIN KARIME\BANCO ESTADO\2012 DEPTO ESCRITURAS fata\Dc Simples\RESPALDO comp notaria 27_12_12\NOTARIA 2012\CONTRATOS\RESCILIACION CASA.doc</t>
  </si>
  <si>
    <t>C:\Users\franc\OneDrive\Documentos\MALENTIN KARIME\BANCO ESTADO\2012 DEPTO ESCRITURAS fata\Dc Simples\RESPALDO comp notaria 27_12_12\NOTARIA 2012\CONTRATOS\RESC. INCUMPLIMIENTO.doc</t>
  </si>
  <si>
    <t>C:\Users\franc\OneDrive\Documentos\MALENTIN KARIME\BANCO ESTADO\2012 DEPTO ESCRITURAS fata\Dc Simples\RESPALDO comp notaria 27_12_12\NOTARIA 2012\CONTRATOS\RECIPAPER.doc</t>
  </si>
  <si>
    <t>C:\Users\franc\OneDrive\Documentos\MALENTIN KARIME\BANCO ESTADO\2012 DEPTO ESCRITURAS fata\Dc Simples\RESPALDO comp notaria 27_12_12\NOTARIA 2012\CONTRATOS\PROMESA VEHICULO.doc</t>
  </si>
  <si>
    <t>C:\Users\franc\OneDrive\Documentos\MALENTIN KARIME\BANCO ESTADO\2012 DEPTO ESCRITURAS fata\Dc Simples\RESPALDO comp notaria 27_12_12\NOTARIA 2012\CONTRATOS\PROMESA DE CASA.doc</t>
  </si>
  <si>
    <t>C:\Users\franc\OneDrive\Documentos\MALENTIN KARIME\BANCO ESTADO\2012 DEPTO ESCRITURAS fata\Dc Simples\RESPALDO comp notaria 27_12_12\NOTARIA 2012\CONTRATOS\PROMESA ARRIENDO.doc</t>
  </si>
  <si>
    <t>C:\Users\franc\OneDrive\Documentos\MALENTIN KARIME\BANCO ESTADO\2012 DEPTO ESCRITURAS fata\Dc Simples\RESPALDO comp notaria 27_12_12\NOTARIA 2012\CONTRATOS\PROMESA ARRIENDO II.doc</t>
  </si>
  <si>
    <t>C:\Users\franc\OneDrive\Documentos\MALENTIN KARIME\BANCO ESTADO\2012 DEPTO ESCRITURAS fata\Dc Simples\RESPALDO comp notaria 27_12_12\NOTARIA 2012\CONTRATOS\PRESTACION DE SERVICIOS DE TRANSPORTE ESCOLAR.doc</t>
  </si>
  <si>
    <t>C:\Users\franc\OneDrive\Documentos\MALENTIN KARIME\BANCO ESTADO\2012 DEPTO ESCRITURAS fata\Dc Simples\RESPALDO comp notaria 27_12_12\NOTARIA 2012\CONTRATOS\PRESTACION DE SERVICIOS DE CONSTRUCCION.doc</t>
  </si>
  <si>
    <t>C:\Users\franc\OneDrive\Documentos\MALENTIN KARIME\BANCO ESTADO\2012 DEPTO ESCRITURAS fata\Dc Simples\RESPALDO comp notaria 27_12_12\NOTARIA 2012\CONTRATOS\PRESTACION DE SERVICIOS DE BANQUETERIA.doc</t>
  </si>
  <si>
    <t>C:\Users\franc\OneDrive\Documentos\MALENTIN KARIME\BANCO ESTADO\2012 DEPTO ESCRITURAS fata\Dc Simples\RESPALDO comp notaria 27_12_12\NOTARIA 2012\CONTRATOS\PREST. SERVICIOS AGRIC..doc</t>
  </si>
  <si>
    <t>C:\Users\franc\OneDrive\Documentos\MALENTIN KARIME\BANCO ESTADO\2012 DEPTO ESCRITURAS fata\Dc Simples\RESPALDO comp notaria 27_12_12\NOTARIA 2012\CONTRATOS\PINBALL.doc</t>
  </si>
  <si>
    <t>C:\Users\franc\OneDrive\Documentos\MALENTIN KARIME\BANCO ESTADO\2012 DEPTO ESCRITURAS fata\Dc Simples\RESPALDO comp notaria 27_12_12\NOTARIA 2012\CONTRATOS\PANCHO Y AVEMOR.doc</t>
  </si>
  <si>
    <t>C:\Users\franc\OneDrive\Documentos\MALENTIN KARIME\BANCO ESTADO\2012 DEPTO ESCRITURAS fata\Dc Simples\RESPALDO comp notaria 27_12_12\NOTARIA 2012\CONTRATOS\OSCAR AGUIRRE.doc</t>
  </si>
  <si>
    <t>C:\Users\franc\OneDrive\Documentos\MALENTIN KARIME\BANCO ESTADO\2012 DEPTO ESCRITURAS fata\Dc Simples\RESPALDO comp notaria 27_12_12\NOTARIA 2012\CONTRATOS\ORQUESTA.doc</t>
  </si>
  <si>
    <t>C:\Users\franc\OneDrive\Documentos\MALENTIN KARIME\BANCO ESTADO\2012 DEPTO ESCRITURAS fata\Dc Simples\RESPALDO comp notaria 27_12_12\NOTARIA 2012\CONTRATOS\NORDIK GROUP LTDA..doc</t>
  </si>
  <si>
    <t>C:\Users\franc\OneDrive\Documentos\MALENTIN KARIME\BANCO ESTADO\2012 DEPTO ESCRITURAS fata\Dc Simples\RESPALDO comp notaria 27_12_12\NOTARIA 2012\CONTRATOS\MODULO FERIA MODELO.doc</t>
  </si>
  <si>
    <t>C:\Users\franc\OneDrive\Documentos\MALENTIN KARIME\BANCO ESTADO\2012 DEPTO ESCRITURAS fata\Dc Simples\RESPALDO comp notaria 27_12_12\NOTARIA 2012\CONTRATOS\LOCAL PATENTE,INVENTARIO.doc</t>
  </si>
  <si>
    <t>C:\Users\franc\OneDrive\Documentos\MALENTIN KARIME\BANCO ESTADO\2012 DEPTO ESCRITURAS fata\Dc Simples\RESPALDO comp notaria 27_12_12\NOTARIA 2012\CONTRATOS\LOCAL CON PERSONERIA.doc</t>
  </si>
  <si>
    <t>C:\Users\franc\OneDrive\Documentos\MALENTIN KARIME\BANCO ESTADO\2012 DEPTO ESCRITURAS fata\Dc Simples\RESPALDO comp notaria 27_12_12\NOTARIA 2012\CONTRATOS\LOCAL COMERCIAL.l.doc</t>
  </si>
  <si>
    <t>C:\Users\franc\OneDrive\Documentos\MALENTIN KARIME\BANCO ESTADO\2012 DEPTO ESCRITURAS fata\Dc Simples\RESPALDO comp notaria 27_12_12\NOTARIA 2012\CONTRATOS\LOCAL COMERCIAL.doc</t>
  </si>
  <si>
    <t>C:\Users\franc\OneDrive\Documentos\MALENTIN KARIME\BANCO ESTADO\2012 DEPTO ESCRITURAS fata\Dc Simples\RESPALDO comp notaria 27_12_12\NOTARIA 2012\CONTRATOS\LOCAL COMERCIAL ROSA CAÑETE.doc</t>
  </si>
  <si>
    <t>C:\Users\franc\OneDrive\Documentos\MALENTIN KARIME\BANCO ESTADO\2012 DEPTO ESCRITURAS fata\Dc Simples\RESPALDO comp notaria 27_12_12\NOTARIA 2012\CONTRATOS\LOCAL COMERCIAL NANCY ESTRELLA.doc</t>
  </si>
  <si>
    <t>C:\Users\franc\OneDrive\Documentos\MALENTIN KARIME\BANCO ESTADO\2012 DEPTO ESCRITURAS fata\Dc Simples\RESPALDO comp notaria 27_12_12\NOTARIA 2012\CONTRATOS\LOCAL COMERCIAL felix.doc</t>
  </si>
  <si>
    <t>C:\Users\franc\OneDrive\Documentos\MALENTIN KARIME\BANCO ESTADO\2012 DEPTO ESCRITURAS fata\Dc Simples\RESPALDO comp notaria 27_12_12\NOTARIA 2012\CONTRATOS\LOCAL COMERCIAL COMPAÑIA.doc</t>
  </si>
  <si>
    <t>C:\Users\franc\OneDrive\Documentos\MALENTIN KARIME\BANCO ESTADO\2012 DEPTO ESCRITURAS fata\Dc Simples\RESPALDO comp notaria 27_12_12\NOTARIA 2012\CONTRATOS\LEASING SUBARRIENDO.doc</t>
  </si>
  <si>
    <t>C:\Users\franc\OneDrive\Documentos\MALENTIN KARIME\BANCO ESTADO\2012 DEPTO ESCRITURAS fata\Dc Simples\RESPALDO comp notaria 27_12_12\NOTARIA 2012\CONTRATOS\KAREN.doc</t>
  </si>
  <si>
    <t>C:\Users\franc\OneDrive\Documentos\MALENTIN KARIME\BANCO ESTADO\2012 DEPTO ESCRITURAS fata\Dc Simples\RESPALDO comp notaria 27_12_12\NOTARIA 2012\CONTRATOS\INTEMED.doc</t>
  </si>
  <si>
    <t>C:\Users\franc\OneDrive\Documentos\MALENTIN KARIME\BANCO ESTADO\2012 DEPTO ESCRITURAS fata\Dc Simples\RESPALDO comp notaria 27_12_12\NOTARIA 2012\CONTRATOS\Gota de Leche pendiente.doc</t>
  </si>
  <si>
    <t>C:\Users\franc\OneDrive\Documentos\MALENTIN KARIME\BANCO ESTADO\2012 DEPTO ESCRITURAS fata\Dc Simples\RESPALDO comp notaria 27_12_12\NOTARIA 2012\CONTRATOS\GALPON.doc</t>
  </si>
  <si>
    <t>C:\Users\franc\OneDrive\Documentos\MALENTIN KARIME\BANCO ESTADO\2012 DEPTO ESCRITURAS fata\Dc Simples\RESPALDO comp notaria 27_12_12\NOTARIA 2012\CONTRATOS\FUNERARIA ALVARO.doc</t>
  </si>
  <si>
    <t>C:\Users\franc\OneDrive\Documentos\MALENTIN KARIME\BANCO ESTADO\2012 DEPTO ESCRITURAS fata\Dc Simples\RESPALDO comp notaria 27_12_12\NOTARIA 2012\CONTRATOS\COVALSA RESCILIACION.doc</t>
  </si>
  <si>
    <t>C:\Users\franc\OneDrive\Documentos\MALENTIN KARIME\BANCO ESTADO\2012 DEPTO ESCRITURAS fata\Dc Simples\RESPALDO comp notaria 27_12_12\NOTARIA 2012\CONTRATOS\CONTRATO DE CONSTRUCCION DE POZOS PROFUNDO PATY CLAUSSEN.doc</t>
  </si>
  <si>
    <t>C:\Users\franc\OneDrive\Documentos\MALENTIN KARIME\BANCO ESTADO\2012 DEPTO ESCRITURAS fata\Dc Simples\RESPALDO comp notaria 27_12_12\NOTARIA 2012\CONTRATOS\CONT. TALAJE.doc</t>
  </si>
  <si>
    <t>C:\Users\franc\OneDrive\Documentos\MALENTIN KARIME\BANCO ESTADO\2012 DEPTO ESCRITURAS fata\Dc Simples\RESPALDO comp notaria 27_12_12\NOTARIA 2012\CONTRATOS\CONT. TALAJE las mercedes.doc</t>
  </si>
  <si>
    <t>C:\Users\franc\OneDrive\Documentos\MALENTIN KARIME\BANCO ESTADO\2012 DEPTO ESCRITURAS fata\Dc Simples\RESPALDO comp notaria 27_12_12\NOTARIA 2012\CONTRATOS\CONT. ARIDO.doc</t>
  </si>
  <si>
    <t>C:\Users\franc\OneDrive\Documentos\MALENTIN KARIME\BANCO ESTADO\2012 DEPTO ESCRITURAS fata\Dc Simples\RESPALDO comp notaria 27_12_12\NOTARIA 2012\CONTRATOS\Compra dotaciones cogoti a carlos rojas (2).doc</t>
  </si>
  <si>
    <t>C:\Users\franc\OneDrive\Documentos\MALENTIN KARIME\BANCO ESTADO\2012 DEPTO ESCRITURAS fata\Dc Simples\RESPALDO comp notaria 27_12_12\NOTARIA 2012\CONTRATOS\COMPRA 50%.doc</t>
  </si>
  <si>
    <t>C:\Users\franc\OneDrive\Documentos\MALENTIN KARIME\BANCO ESTADO\2012 DEPTO ESCRITURAS fata\Dc Simples\RESPALDO comp notaria 27_12_12\NOTARIA 2012\CONTRATOS\COMODATO.doc</t>
  </si>
  <si>
    <t>C:\Users\franc\OneDrive\Documentos\MALENTIN KARIME\BANCO ESTADO\2012 DEPTO ESCRITURAS fata\Dc Simples\RESPALDO comp notaria 27_12_12\NOTARIA 2012\CONTRATOS\COMODATO VEHICULO.doc</t>
  </si>
  <si>
    <t>C:\Users\franc\OneDrive\Documentos\MALENTIN KARIME\BANCO ESTADO\2012 DEPTO ESCRITURAS fata\Dc Simples\RESPALDO comp notaria 27_12_12\NOTARIA 2012\CONTRATOS\COMODATO VEH..doc</t>
  </si>
  <si>
    <t>C:\Users\franc\OneDrive\Documentos\MALENTIN KARIME\BANCO ESTADO\2012 DEPTO ESCRITURAS fata\Dc Simples\RESPALDO comp notaria 27_12_12\NOTARIA 2012\CONTRATOS\COMODATO sucesion mora ordenes.doc</t>
  </si>
  <si>
    <t>C:\Users\franc\OneDrive\Documentos\MALENTIN KARIME\BANCO ESTADO\2012 DEPTO ESCRITURAS fata\Dc Simples\RESPALDO comp notaria 27_12_12\NOTARIA 2012\CONTRATOS\COMODATO modelo.doc</t>
  </si>
  <si>
    <t>C:\Users\franc\OneDrive\Documentos\MALENTIN KARIME\BANCO ESTADO\2012 DEPTO ESCRITURAS fata\Dc Simples\RESPALDO comp notaria 27_12_12\NOTARIA 2012\CONTRATOS\COMODATO JULIETA VEGA.doc</t>
  </si>
  <si>
    <t>C:\Users\franc\OneDrive\Documentos\MALENTIN KARIME\BANCO ESTADO\2012 DEPTO ESCRITURAS fata\Dc Simples\RESPALDO comp notaria 27_12_12\NOTARIA 2012\CONTRATOS\COMODATO ELIANA LOPEZ.doc</t>
  </si>
  <si>
    <t>C:\Users\franc\OneDrive\Documentos\MALENTIN KARIME\BANCO ESTADO\2012 DEPTO ESCRITURAS fata\Dc Simples\RESPALDO comp notaria 27_12_12\NOTARIA 2012\CONTRATOS\COMODATO Aglaye.doc</t>
  </si>
  <si>
    <t>C:\Users\franc\OneDrive\Documentos\MALENTIN KARIME\BANCO ESTADO\2012 DEPTO ESCRITURAS fata\Dc Simples\RESPALDO comp notaria 27_12_12\NOTARIA 2012\CONTRATOS\CESION.doc</t>
  </si>
  <si>
    <t>C:\Users\franc\OneDrive\Documentos\MALENTIN KARIME\BANCO ESTADO\2012 DEPTO ESCRITURAS fata\Dc Simples\RESPALDO comp notaria 27_12_12\NOTARIA 2012\CONTRATOS\CESION GARTUITA.doc</t>
  </si>
  <si>
    <t>C:\Users\franc\OneDrive\Documentos\MALENTIN KARIME\BANCO ESTADO\2012 DEPTO ESCRITURAS fata\Dc Simples\RESPALDO comp notaria 27_12_12\NOTARIA 2012\CONTRATOS\CESION FERIA.doc</t>
  </si>
  <si>
    <t>C:\Users\franc\OneDrive\Documentos\MALENTIN KARIME\BANCO ESTADO\2012 DEPTO ESCRITURAS fata\Dc Simples\RESPALDO comp notaria 27_12_12\NOTARIA 2012\CONTRATOS\CESION 50% compresor.doc</t>
  </si>
  <si>
    <t>C:\Users\franc\OneDrive\Documentos\MALENTIN KARIME\BANCO ESTADO\2012 DEPTO ESCRITURAS fata\Dc Simples\RESPALDO comp notaria 27_12_12\NOTARIA 2012\CONTRATOS\CASA CON REP..doc</t>
  </si>
  <si>
    <t>C:\Users\franc\OneDrive\Documentos\MALENTIN KARIME\BANCO ESTADO\2012 DEPTO ESCRITURAS fata\Dc Simples\RESPALDO comp notaria 27_12_12\NOTARIA 2012\CONTRATOS\CARRO ARRASTRE.doc</t>
  </si>
  <si>
    <t>C:\Users\franc\OneDrive\Documentos\MALENTIN KARIME\BANCO ESTADO\2012 DEPTO ESCRITURAS fata\Dc Simples\RESPALDO comp notaria 27_12_12\NOTARIA 2012\CONTRATOS\C.VENTA VARIAS MAQUINARIAS.doc</t>
  </si>
  <si>
    <t>C:\Users\franc\OneDrive\Documentos\MALENTIN KARIME\BANCO ESTADO\2012 DEPTO ESCRITURAS fata\Dc Simples\RESPALDO comp notaria 27_12_12\NOTARIA 2012\CONTRATOS\C.VENTA TRACTOR.doc</t>
  </si>
  <si>
    <t>C:\Users\franc\OneDrive\Documentos\MALENTIN KARIME\BANCO ESTADO\2012 DEPTO ESCRITURAS fata\Dc Simples\RESPALDO comp notaria 27_12_12\NOTARIA 2012\CONTRATOS\C.VENTA TAXIMETRO.doc</t>
  </si>
  <si>
    <t>C:\Users\franc\OneDrive\Documentos\MALENTIN KARIME\BANCO ESTADO\2012 DEPTO ESCRITURAS fata\Dc Simples\RESPALDO comp notaria 27_12_12\NOTARIA 2012\CONTRATOS\C.VENTA SCOOP.doc</t>
  </si>
  <si>
    <t>C:\Users\franc\OneDrive\Documentos\MALENTIN KARIME\BANCO ESTADO\2012 DEPTO ESCRITURAS fata\Dc Simples\RESPALDO comp notaria 27_12_12\NOTARIA 2012\CONTRATOS\C.VENTA PATENTE.doc</t>
  </si>
  <si>
    <t>C:\Users\franc\OneDrive\Documentos\MALENTIN KARIME\BANCO ESTADO\2012 DEPTO ESCRITURAS fata\Dc Simples\RESPALDO comp notaria 27_12_12\NOTARIA 2012\CONTRATOS\C.VENTA PATENTE Modelo 2013.doc</t>
  </si>
  <si>
    <t>C:\Users\franc\OneDrive\Documentos\MALENTIN KARIME\BANCO ESTADO\2012 DEPTO ESCRITURAS fata\Dc Simples\RESPALDO comp notaria 27_12_12\NOTARIA 2012\CONTRATOS\C.VENTA MOTOR.doc</t>
  </si>
  <si>
    <t>C:\Users\franc\OneDrive\Documentos\MALENTIN KARIME\BANCO ESTADO\2012 DEPTO ESCRITURAS fata\Dc Simples\RESPALDO comp notaria 27_12_12\NOTARIA 2012\CONTRATOS\C.VENTA MOTO.doc</t>
  </si>
  <si>
    <t>C:\Users\franc\OneDrive\Documentos\MALENTIN KARIME\BANCO ESTADO\2012 DEPTO ESCRITURAS fata\Dc Simples\RESPALDO comp notaria 27_12_12\NOTARIA 2012\CONTRATOS\C.VENTA MEJORA.doc</t>
  </si>
  <si>
    <t>C:\Users\franc\OneDrive\Documentos\MALENTIN KARIME\BANCO ESTADO\2012 DEPTO ESCRITURAS fata\Dc Simples\RESPALDO comp notaria 27_12_12\NOTARIA 2012\CONTRATOS\C.VENTA MEDIA AGUA.doc</t>
  </si>
  <si>
    <t>C:\Users\franc\OneDrive\Documentos\MALENTIN KARIME\BANCO ESTADO\2012 DEPTO ESCRITURAS fata\Dc Simples\RESPALDO comp notaria 27_12_12\NOTARIA 2012\CONTRATOS\C.VENTA maquina.doc</t>
  </si>
  <si>
    <t>C:\Users\franc\OneDrive\Documentos\MALENTIN KARIME\BANCO ESTADO\2012 DEPTO ESCRITURAS fata\Dc Simples\RESPALDO comp notaria 27_12_12\NOTARIA 2012\CONTRATOS\C.VENTA MAQUINA DESTREZA.doc</t>
  </si>
  <si>
    <t>C:\Users\franc\OneDrive\Documentos\MALENTIN KARIME\BANCO ESTADO\2012 DEPTO ESCRITURAS fata\Dc Simples\RESPALDO comp notaria 27_12_12\NOTARIA 2012\CONTRATOS\C.VENTA MAQUINA CAMPO.doc</t>
  </si>
  <si>
    <t>C:\Users\franc\OneDrive\Documentos\MALENTIN KARIME\BANCO ESTADO\2012 DEPTO ESCRITURAS fata\Dc Simples\RESPALDO comp notaria 27_12_12\NOTARIA 2012\CONTRATOS\C.VENTA GRUA HORQUILLA.doc</t>
  </si>
  <si>
    <t>C:\Users\franc\OneDrive\Documentos\MALENTIN KARIME\BANCO ESTADO\2012 DEPTO ESCRITURAS fata\Dc Simples\RESPALDO comp notaria 27_12_12\NOTARIA 2012\CONTRATOS\C.VENTA FRIGORIFICO.doc</t>
  </si>
  <si>
    <t>C:\Users\franc\OneDrive\Documentos\MALENTIN KARIME\BANCO ESTADO\2012 DEPTO ESCRITURAS fata\Dc Simples\RESPALDO comp notaria 27_12_12\NOTARIA 2012\CONTRATOS\C.VENTA CONTENEDOR.doc</t>
  </si>
  <si>
    <t>C:\Users\franc\OneDrive\Documentos\MALENTIN KARIME\BANCO ESTADO\2012 DEPTO ESCRITURAS fata\Dc Simples\RESPALDO comp notaria 27_12_12\NOTARIA 2012\CONTRATOS\C.VENTA CASA PREFABRICADA.doc</t>
  </si>
  <si>
    <t>C:\Users\franc\OneDrive\Documentos\MALENTIN KARIME\BANCO ESTADO\2012 DEPTO ESCRITURAS fata\Dc Simples\RESPALDO comp notaria 27_12_12\NOTARIA 2012\CONTRATOS\C.VENTA BOTE.doc</t>
  </si>
  <si>
    <t>C:\Users\franc\OneDrive\Documentos\MALENTIN KARIME\BANCO ESTADO\2012 DEPTO ESCRITURAS fata\Dc Simples\RESPALDO comp notaria 27_12_12\NOTARIA 2012\CONTRATOS\C.VENTA BOSQUE.doc</t>
  </si>
  <si>
    <t>C:\Users\franc\OneDrive\Documentos\MALENTIN KARIME\BANCO ESTADO\2012 DEPTO ESCRITURAS fata\Dc Simples\RESPALDO comp notaria 27_12_12\NOTARIA 2012\CONTRATOS\C.VENTA BIENES USADOS.doc</t>
  </si>
  <si>
    <t>C:\Users\franc\OneDrive\Documentos\MALENTIN KARIME\BANCO ESTADO\2012 DEPTO ESCRITURAS fata\Dc Simples\RESPALDO comp notaria 27_12_12\NOTARIA 2012\CONTRATOS\C.VENTA ARADO.doc</t>
  </si>
  <si>
    <t>C:\Users\franc\OneDrive\Documentos\MALENTIN KARIME\BANCO ESTADO\2012 DEPTO ESCRITURAS fata\Dc Simples\RESPALDO comp notaria 27_12_12\NOTARIA 2012\CONTRATOS\C.VENTA animales.doc</t>
  </si>
  <si>
    <t>C:\Users\franc\OneDrive\Documentos\MALENTIN KARIME\BANCO ESTADO\2012 DEPTO ESCRITURAS fata\Dc Simples\RESPALDO comp notaria 27_12_12\NOTARIA 2012\CONTRATOS\C.V. CARRO HECHIZO.doc</t>
  </si>
  <si>
    <t>C:\Users\franc\OneDrive\Documentos\MALENTIN KARIME\BANCO ESTADO\2012 DEPTO ESCRITURAS fata\Dc Simples\RESPALDO comp notaria 27_12_12\NOTARIA 2012\CONTRATOS\AVENIMIENTO.doc</t>
  </si>
  <si>
    <t>C:\Users\franc\OneDrive\Documentos\MALENTIN KARIME\BANCO ESTADO\2012 DEPTO ESCRITURAS fata\Dc Simples\RESPALDO comp notaria 27_12_12\NOTARIA 2012\CONTRATOS\AVENIMIENTO SIERRA.doc</t>
  </si>
  <si>
    <t>C:\Users\franc\OneDrive\Documentos\MALENTIN KARIME\BANCO ESTADO\2012 DEPTO ESCRITURAS fata\Dc Simples\RESPALDO comp notaria 27_12_12\NOTARIA 2012\CONTRATOS\AVENIMIENTO robles.doc</t>
  </si>
  <si>
    <t>C:\Users\franc\OneDrive\Documentos\MALENTIN KARIME\BANCO ESTADO\2012 DEPTO ESCRITURAS fata\Dc Simples\RESPALDO comp notaria 27_12_12\NOTARIA 2012\CONTRATOS\AVENIMIENTO OLAVE.doc</t>
  </si>
  <si>
    <t>C:\Users\franc\OneDrive\Documentos\MALENTIN KARIME\BANCO ESTADO\2012 DEPTO ESCRITURAS fata\Dc Simples\RESPALDO comp notaria 27_12_12\NOTARIA 2012\CONTRATOS\AVENIMIENTO II.doc</t>
  </si>
  <si>
    <t>C:\Users\franc\OneDrive\Documentos\MALENTIN KARIME\BANCO ESTADO\2012 DEPTO ESCRITURAS fata\Dc Simples\RESPALDO comp notaria 27_12_12\NOTARIA 2012\CONTRATOS\ARRIENDO CASA SIMPLE.doc</t>
  </si>
  <si>
    <t>C:\Users\franc\OneDrive\Documentos\MALENTIN KARIME\BANCO ESTADO\2012 DEPTO ESCRITURAS fata\Dc Simples\RESPALDO comp notaria 27_12_12\NOTARIA 2012\CONTRATOS\ARR.PIEZA para giro comercial CON REP.doc</t>
  </si>
  <si>
    <t>C:\Users\franc\OneDrive\Documentos\MALENTIN KARIME\BANCO ESTADO\2012 DEPTO ESCRITURAS fata\Dc Simples\RESPALDO comp notaria 27_12_12\NOTARIA 2012\CONTRATOS\ARR.PATENTE FELIX.doc</t>
  </si>
  <si>
    <t>C:\Users\franc\OneDrive\Documentos\MALENTIN KARIME\BANCO ESTADO\2012 DEPTO ESCRITURAS fata\Dc Simples\RESPALDO comp notaria 27_12_12\NOTARIA 2012\CONTRATOS\ARR.PATENTE E INVENTARIO.doc</t>
  </si>
  <si>
    <t>C:\Users\franc\OneDrive\Documentos\MALENTIN KARIME\BANCO ESTADO\2012 DEPTO ESCRITURAS fata\Dc Simples\RESPALDO comp notaria 27_12_12\NOTARIA 2012\CONTRATOS\ARR. VEHICULO MODELO.doc</t>
  </si>
  <si>
    <t>C:\Users\franc\OneDrive\Documentos\MALENTIN KARIME\BANCO ESTADO\2012 DEPTO ESCRITURAS fata\Dc Simples\RESPALDO comp notaria 27_12_12\NOTARIA 2012\CONTRATOS\ARR. VEHICULO MODELO Com..doc</t>
  </si>
  <si>
    <t>C:\Users\franc\OneDrive\Documentos\MALENTIN KARIME\BANCO ESTADO\2012 DEPTO ESCRITURAS fata\Dc Simples\RESPALDO comp notaria 27_12_12\NOTARIA 2012\CONTRATOS\ARR. VEHICULO MODELO  AGRO COMERCIAL OSCAR JOFRE.doc</t>
  </si>
  <si>
    <t>C:\Users\franc\OneDrive\Documentos\MALENTIN KARIME\BANCO ESTADO\2012 DEPTO ESCRITURAS fata\Dc Simples\RESPALDO comp notaria 27_12_12\NOTARIA 2012\CONTRATOS\ARR. VEHICULO LISING.doc</t>
  </si>
  <si>
    <t>C:\Users\franc\OneDrive\Documentos\MALENTIN KARIME\BANCO ESTADO\2012 DEPTO ESCRITURAS fata\Dc Simples\RESPALDO comp notaria 27_12_12\NOTARIA 2012\CONTRATOS\ARR. TRACTOR.doc</t>
  </si>
  <si>
    <t>C:\Users\franc\OneDrive\Documentos\MALENTIN KARIME\BANCO ESTADO\2012 DEPTO ESCRITURAS fata\Dc Simples\RESPALDO comp notaria 27_12_12\NOTARIA 2012\CONTRATOS\ARR. PROPIEDAD ESTACIONAMIENTO.doc</t>
  </si>
  <si>
    <t>C:\Users\franc\OneDrive\Documentos\MALENTIN KARIME\BANCO ESTADO\2012 DEPTO ESCRITURAS fata\Dc Simples\RESPALDO comp notaria 27_12_12\NOTARIA 2012\CONTRATOS\ARR. PERTENENCIAS MINERAS.doc</t>
  </si>
  <si>
    <t>C:\Users\franc\OneDrive\Documentos\MALENTIN KARIME\BANCO ESTADO\2012 DEPTO ESCRITURAS fata\Dc Simples\RESPALDO comp notaria 27_12_12\NOTARIA 2012\CONTRATOS\ARR. PERTENENCIAS MINERAS.cl.doc</t>
  </si>
  <si>
    <t>C:\Users\franc\OneDrive\Documentos\MALENTIN KARIME\BANCO ESTADO\2012 DEPTO ESCRITURAS fata\Dc Simples\RESPALDO comp notaria 27_12_12\NOTARIA 2012\CONTRATOS\ARR. OFICINA COMERCIAL.doc</t>
  </si>
  <si>
    <t>C:\Users\franc\OneDrive\Documentos\MALENTIN KARIME\BANCO ESTADO\2012 DEPTO ESCRITURAS fata\Dc Simples\RESPALDO comp notaria 27_12_12\NOTARIA 2012\CONTRATOS\ARR. MAQUINARIAS.doc</t>
  </si>
  <si>
    <t>C:\Users\franc\OneDrive\Documentos\MALENTIN KARIME\BANCO ESTADO\2012 DEPTO ESCRITURAS fata\Dc Simples\RESPALDO comp notaria 27_12_12\NOTARIA 2012\CONTRATOS\ARR. KIOSCO.doc</t>
  </si>
  <si>
    <t>C:\Users\franc\OneDrive\Documentos\MALENTIN KARIME\BANCO ESTADO\2012 DEPTO ESCRITURAS fata\Dc Simples\RESPALDO comp notaria 27_12_12\NOTARIA 2012\CONTRATOS\ARR. COMPRESOR.doc</t>
  </si>
  <si>
    <t>C:\Users\franc\OneDrive\Documentos\MALENTIN KARIME\BANCO ESTADO\2012 DEPTO ESCRITURAS fata\Dc Simples\RESPALDO comp notaria 27_12_12\NOTARIA 2012\CONTRATOS\ARR. COMPRESOR ARTURO ANDRADE.doc</t>
  </si>
  <si>
    <t>C:\Users\franc\OneDrive\Documentos\MALENTIN KARIME\BANCO ESTADO\2012 DEPTO ESCRITURAS fata\Dc Simples\RESPALDO comp notaria 27_12_12\NOTARIA 2012\CONTRATOS\ARR. CASA NUEVO.doc</t>
  </si>
  <si>
    <t>C:\Users\franc\OneDrive\Documentos\MALENTIN KARIME\BANCO ESTADO\2012 DEPTO ESCRITURAS fata\Dc Simples\RESPALDO comp notaria 27_12_12\NOTARIA 2012\CONTRATOS\ARR. CASA NUEVO CON PODER.doc</t>
  </si>
  <si>
    <t>C:\Users\franc\OneDrive\Documentos\MALENTIN KARIME\BANCO ESTADO\2012 DEPTO ESCRITURAS fata\Dc Simples\RESPALDO comp notaria 27_12_12\NOTARIA 2012\CONTRATOS\ARR. CASA  para giro comercial.doc</t>
  </si>
  <si>
    <t>C:\Users\franc\OneDrive\Documentos\MALENTIN KARIME\BANCO ESTADO\2012 DEPTO ESCRITURAS fata\Dc Simples\RESPALDO comp notaria 27_12_12\NOTARIA 2012\CONTRATOS\ARR. CASA  para giro comercial con inventario.doc</t>
  </si>
  <si>
    <t>C:\Users\franc\OneDrive\Documentos\MALENTIN KARIME\BANCO ESTADO\2012 DEPTO ESCRITURAS fata\Dc Simples\RESPALDO comp notaria 27_12_12\NOTARIA 2012\CONTRATOS\ARR. CASA  para giro comercial con inventario otro.doc</t>
  </si>
  <si>
    <t>C:\Users\franc\OneDrive\Documentos\MALENTIN KARIME\BANCO ESTADO\2012 DEPTO ESCRITURAS fata\Dc Simples\RESPALDO comp notaria 27_12_12\NOTARIA 2012\CONTRATOS\ARR. CASA  para giro comercial bou villada.doc</t>
  </si>
  <si>
    <t>C:\Users\franc\OneDrive\Documentos\MALENTIN KARIME\BANCO ESTADO\2012 DEPTO ESCRITURAS fata\Dc Simples\RESPALDO comp notaria 27_12_12\NOTARIA 2012\CONTRATOS\ARR. CASA  MODELO.doc</t>
  </si>
  <si>
    <t>C:\Users\franc\OneDrive\Documentos\MALENTIN KARIME\BANCO ESTADO\2012 DEPTO ESCRITURAS fata\Dc Simples\RESPALDO comp notaria 27_12_12\NOTARIA 2012\CONTRATOS\ARR. CASA  MODELO ELLA Y EL.doc</t>
  </si>
  <si>
    <t>C:\Users\franc\OneDrive\Documentos\MALENTIN KARIME\BANCO ESTADO\2012 DEPTO ESCRITURAS fata\Dc Simples\RESPALDO comp notaria 27_12_12\NOTARIA 2012\CONTRATOS\ARR. CASA  MODELO EL Y ELLA.doc</t>
  </si>
  <si>
    <t>C:\Users\franc\OneDrive\Documentos\MALENTIN KARIME\BANCO ESTADO\2012 DEPTO ESCRITURAS fata\Dc Simples\RESPALDO comp notaria 27_12_12\NOTARIA 2012\CONTRATOS\ARR. CASA  MODELO con dev..doc</t>
  </si>
  <si>
    <t>C:\Users\franc\OneDrive\Documentos\MALENTIN KARIME\BANCO ESTADO\2012 DEPTO ESCRITURAS fata\Dc Simples\RESPALDO comp notaria 27_12_12\NOTARIA 2012\CONTRATOS\ARR. CASA  MODELO CON ARREGLOS.doc</t>
  </si>
  <si>
    <t>C:\Users\franc\OneDrive\Documentos\MALENTIN KARIME\BANCO ESTADO\2012 DEPTO ESCRITURAS fata\Dc Simples\RESPALDO comp notaria 27_12_12\NOTARIA 2012\CONTRATOS\ARR. CASA  MODELO 3.doc</t>
  </si>
  <si>
    <t>C:\Users\franc\OneDrive\Documentos\MALENTIN KARIME\BANCO ESTADO\2012 DEPTO ESCRITURAS fata\Dc Simples\RESPALDO comp notaria 27_12_12\NOTARIA 2012\CONTRATOS\ARR. CASA  MODELO 3 FIRMAS.doc</t>
  </si>
  <si>
    <t>C:\Users\franc\OneDrive\Documentos\MALENTIN KARIME\BANCO ESTADO\2012 DEPTO ESCRITURAS fata\Dc Simples\RESPALDO comp notaria 27_12_12\NOTARIA 2012\CONTRATOS\ARR. AGUAS.doc</t>
  </si>
  <si>
    <t>C:\Users\franc\OneDrive\Documentos\MALENTIN KARIME\BANCO ESTADO\2012 DEPTO ESCRITURAS fata\Dc Simples\RESPALDO comp notaria 27_12_12\NOTARIA 2012\CONTRATOS\ANEXO.doc</t>
  </si>
  <si>
    <t>C:\Users\franc\OneDrive\Documentos\MALENTIN KARIME\BANCO ESTADO\2012 DEPTO ESCRITURAS fata\Dc Simples\RESPALDO comp notaria 27_12_12\NOTARIA 2012\CONTRATOS\ALZAMIENTO SIMPLE.doc</t>
  </si>
  <si>
    <t>C:\Users\franc\OneDrive\Documentos\MALENTIN KARIME\BANCO ESTADO\2012 DEPTO ESCRITURAS fata\Dc Simples\RESPALDO comp notaria 27_12_12\NOTARIA 2012\CONTRATOS\ALZAMIENTO CON REP..doc</t>
  </si>
  <si>
    <t>C:\Users\franc\OneDrive\Documentos\MALENTIN KARIME\BANCO ESTADO\2012 DEPTO ESCRITURAS fata\Dc Simples\RESPALDO comp notaria 27_12_12\NOTARIA 2012\BOLETAS\DETALLES BOLETAS\BOLETAS Y GASTOS VIERNES 05 DE FEBRERO 2010.xls</t>
  </si>
  <si>
    <t>C:\Users\franc\OneDrive\Documentos\MALENTIN KARIME\BANCO ESTADO\2012 DEPTO ESCRITURAS fata\Dc Simples\RESPALDO comp notaria 27_12_12\NOTARIA 2012\BOLETAS\DETALLES BOLETAS\BOLETAS Y GASTOS SABADO 30 DE ENERO 2010.xls</t>
  </si>
  <si>
    <t>C:\Users\franc\OneDrive\Documentos\MALENTIN KARIME\BANCO ESTADO\2012 DEPTO ESCRITURAS fata\Dc Simples\RESPALDO comp notaria 27_12_12\NOTARIA 2012\BOLETAS\DETALLES BOLETAS\BOLETAS Y GASTOS MIERCOLES 111 DE FEBRERO 2010.xls</t>
  </si>
  <si>
    <t>C:\Users\franc\OneDrive\Documentos\MALENTIN KARIME\BANCO ESTADO\2012 DEPTO ESCRITURAS fata\Dc Simples\RESPALDO comp notaria 27_12_12\NOTARIA 2012\BOLETAS\DETALLES BOLETAS\BOLETAS Y GASTOS MIERCOLES 10 DE FEBRERO 2010.xls</t>
  </si>
  <si>
    <t>C:\Users\franc\OneDrive\Documentos\MALENTIN KARIME\BANCO ESTADO\2012 DEPTO ESCRITURAS fata\Dc Simples\RESPALDO comp notaria 27_12_12\NOTARIA 2012\BOLETAS\DETALLES BOLETAS\BOLETAS Y GASTOS MIERCOLES 03 DE FEBRERO 2010.xls</t>
  </si>
  <si>
    <t>C:\Users\franc\OneDrive\Documentos\MALENTIN KARIME\BANCO ESTADO\2012 DEPTO ESCRITURAS fata\Dc Simples\RESPALDO comp notaria 27_12_12\NOTARIA 2012\BOLETAS\DETALLES BOLETAS\BOLETAS Y GASTOS MARTES 09 DE FEBRERO 2010.xls</t>
  </si>
  <si>
    <t>C:\Users\franc\OneDrive\Documentos\MALENTIN KARIME\BANCO ESTADO\2012 DEPTO ESCRITURAS fata\Dc Simples\RESPALDO comp notaria 27_12_12\NOTARIA 2012\BOLETAS\DETALLES BOLETAS\BOLETAS Y GASTOS MARTES 02 DE FEBRERO 2010.xls</t>
  </si>
  <si>
    <t>C:\Users\franc\OneDrive\Documentos\MALENTIN KARIME\BANCO ESTADO\2012 DEPTO ESCRITURAS fata\Dc Simples\RESPALDO comp notaria 27_12_12\NOTARIA 2012\BOLETAS\DETALLES BOLETAS\BOLETAS Y GASTOS LUNES 29 DE ENERO 2010.xls</t>
  </si>
  <si>
    <t>C:\Users\franc\OneDrive\Documentos\MALENTIN KARIME\BANCO ESTADO\2012 DEPTO ESCRITURAS fata\Dc Simples\RESPALDO comp notaria 27_12_12\NOTARIA 2012\BOLETAS\DETALLES BOLETAS\BOLETAS Y GASTOS LUNES 28 DE ENERO 2010.xls</t>
  </si>
  <si>
    <t>C:\Users\franc\OneDrive\Documentos\MALENTIN KARIME\BANCO ESTADO\2012 DEPTO ESCRITURAS fata\Dc Simples\RESPALDO comp notaria 27_12_12\NOTARIA 2012\BOLETAS\DETALLES BOLETAS\BOLETAS Y GASTOS LUNES 27 DE ENERO 2010.xls</t>
  </si>
  <si>
    <t>C:\Users\franc\OneDrive\Documentos\MALENTIN KARIME\BANCO ESTADO\2012 DEPTO ESCRITURAS fata\Dc Simples\RESPALDO comp notaria 27_12_12\NOTARIA 2012\BOLETAS\DETALLES BOLETAS\BOLETAS Y GASTOS LUNES 26 DE ENERO 2010.xls</t>
  </si>
  <si>
    <t>C:\Users\franc\OneDrive\Documentos\MALENTIN KARIME\BANCO ESTADO\2012 DEPTO ESCRITURAS fata\Dc Simples\RESPALDO comp notaria 27_12_12\NOTARIA 2012\BOLETAS\DETALLES BOLETAS\BOLETAS Y GASTOS LUNES 25 DE ENERO 2010.xls</t>
  </si>
  <si>
    <t>C:\Users\franc\OneDrive\Documentos\MALENTIN KARIME\BANCO ESTADO\2012 DEPTO ESCRITURAS fata\Dc Simples\RESPALDO comp notaria 27_12_12\NOTARIA 2012\BOLETAS\DETALLES BOLETAS\BOLETAS Y GASTOS LUNES 08 DE FEBRERO 2010.xls</t>
  </si>
  <si>
    <t>C:\Users\franc\OneDrive\Documentos\MALENTIN KARIME\BANCO ESTADO\2012 DEPTO ESCRITURAS fata\Dc Simples\RESPALDO comp notaria 27_12_12\NOTARIA 2012\BOLETAS\DETALLES BOLETAS\BOLETAS Y GASTOS LUNES 01 DE FEBRERO 2010.xls</t>
  </si>
  <si>
    <t>C:\Users\franc\OneDrive\Documentos\MALENTIN KARIME\BANCO ESTADO\2012 DEPTO ESCRITURAS fata\Dc Simples\RESPALDO comp notaria 27_12_12\NOTARIA 2012\BOLETAS\DETALLES BOLETAS\BOLETAS Y GASTOS JUEVES 04 DE FEBRERO 2010.xls</t>
  </si>
  <si>
    <t>C:\Users\franc\OneDrive\Documentos\MALENTIN KARIME\BANCO ESTADO\2012 DEPTO ESCRITURAS fata\Dc Simples\RESPALDO comp notaria 27_12_12\NOTARIA 2012\BOLETAS\BOLETITAS\BOLETAS Y GASTOS LUNES 30 DE AGOSTO 2010.xls</t>
  </si>
  <si>
    <t>C:\Users\franc\OneDrive\Documentos\MALENTIN KARIME\BANCO ESTADO\2012 DEPTO ESCRITURAS fata\Dc Simples\RESPALDO comp notaria 27_12_12\NOTARIA 2012\BOLETAS\BOLETITAS\BOLETAS Y GASTOS LUNES 27 DE AGOSTO 2010.xls</t>
  </si>
  <si>
    <t>C:\Users\franc\OneDrive\Documentos\MALENTIN KARIME\BANCO ESTADO\2012 DEPTO ESCRITURAS fata\Dc Simples\RESPALDO comp notaria 27_12_12\NOTARIA 2012\BOLETAS\BOLETITAS\BOLETAS Y GASTOS LUNES 23 DE AGOSTO 2010.xls</t>
  </si>
  <si>
    <t>C:\Users\franc\OneDrive\Documentos\MALENTIN KARIME\BANCO ESTADO\2012 DEPTO ESCRITURAS fata\Dc Simples\RESPALDO comp notaria 27_12_12\NOTARIA 2012\BOLETAS\BOLETITAS\BOLETAS Y GASTOS 26 AGOSTO.xls</t>
  </si>
  <si>
    <t>C:\Users\franc\OneDrive\Documentos\MALENTIN KARIME\BANCO ESTADO\2012 DEPTO ESCRITURAS fata\Dc Simples\RESPALDO comp notaria 27_12_12\NOTARIA 2012\BOLETAS\BOLETITAS\BOLETAS Y GASTOS 25 AGOSTO.xls</t>
  </si>
  <si>
    <t>C:\Users\franc\OneDrive\Documentos\MALENTIN KARIME\BANCO ESTADO\2012 DEPTO ESCRITURAS fata\Dc Simples\RESPALDO comp notaria 27_12_12\NOTARIA 2012\BOLETAS\BOLETITAS\BOLETAS Y GASTOS  SABDO 28 DE AGOSTO 2010.xls</t>
  </si>
  <si>
    <t>C:\Users\franc\OneDrive\Documentos\MALENTIN KARIME\BANCO ESTADO\2012 DEPTO ESCRITURAS fata\Dc Simples\RESPALDO comp notaria 27_12_12\NOTARIA 2012\BOLETAS\Boletas 25 a 01\BOLETAS Y GASTOS VIERNES 25 DE MARZO DE 2011.xls</t>
  </si>
  <si>
    <t>C:\Users\franc\OneDrive\Documentos\MALENTIN KARIME\BANCO ESTADO\2012 DEPTO ESCRITURAS fata\Dc Simples\RESPALDO comp notaria 27_12_12\NOTARIA 2012\BOLETAS\Boletas 25 a 01\BOLETAS Y GASTOS VIERNES 01 DE ABRIL DE 2011.xls</t>
  </si>
  <si>
    <t>C:\Users\franc\OneDrive\Documentos\MALENTIN KARIME\BANCO ESTADO\2012 DEPTO ESCRITURAS fata\Dc Simples\RESPALDO comp notaria 27_12_12\NOTARIA 2012\BOLETAS\Boletas 25 a 01\BOLETAS Y GASTOS SABADO 26 DE MARZO DE 2011.xls</t>
  </si>
  <si>
    <t>C:\Users\franc\OneDrive\Documentos\MALENTIN KARIME\BANCO ESTADO\2012 DEPTO ESCRITURAS fata\Dc Simples\RESPALDO comp notaria 27_12_12\NOTARIA 2012\BOLETAS\Boletas 25 a 01\BOLETAS Y GASTOS MIERCOLES 30 DE MARZO DE 2011.xls</t>
  </si>
  <si>
    <t>C:\Users\franc\OneDrive\Documentos\MALENTIN KARIME\BANCO ESTADO\2012 DEPTO ESCRITURAS fata\Dc Simples\RESPALDO comp notaria 27_12_12\NOTARIA 2012\BOLETAS\Boletas 25 a 01\BOLETAS Y GASTOS MARTES 29 DE MARZO DE 2011.xls</t>
  </si>
  <si>
    <t>C:\Users\franc\OneDrive\Documentos\MALENTIN KARIME\BANCO ESTADO\2012 DEPTO ESCRITURAS fata\Dc Simples\RESPALDO comp notaria 27_12_12\NOTARIA 2012\BOLETAS\Boletas 25 a 01\BOLETAS Y GASTOS LUNES 28 DE MARZO DE 2011.xls</t>
  </si>
  <si>
    <t>C:\Users\franc\OneDrive\Documentos\MALENTIN KARIME\BANCO ESTADO\2012 DEPTO ESCRITURAS fata\Dc Simples\RESPALDO comp notaria 27_12_12\NOTARIA 2012\BOLETAS\CERTIF. PROTESTO.doc</t>
  </si>
  <si>
    <t>C:\Users\franc\OneDrive\Documentos\MALENTIN KARIME\BANCO ESTADO\2012 DEPTO ESCRITURAS fata\Dc Simples\RESPALDO comp notaria 27_12_12\NOTARIA 2012\BOLETAS\BOLETAS Y GASTOSVIERNES 24 DE JUNIO 2011.xls</t>
  </si>
  <si>
    <t>C:\Users\franc\OneDrive\Documentos\MALENTIN KARIME\BANCO ESTADO\2012 DEPTO ESCRITURAS fata\Dc Simples\RESPALDO comp notaria 27_12_12\NOTARIA 2012\BOLETAS\BOLETAS Y GASTOSVIERNES 05 DE AGOSTO 2011.xls</t>
  </si>
  <si>
    <t>C:\Users\franc\OneDrive\Documentos\MALENTIN KARIME\BANCO ESTADO\2012 DEPTO ESCRITURAS fata\Dc Simples\RESPALDO comp notaria 27_12_12\NOTARIA 2012\BOLETAS\BOLETAS Y GASTOS VIERNES29 DE OCTUBRE DE 2010.xls</t>
  </si>
  <si>
    <t>C:\Users\franc\OneDrive\Documentos\MALENTIN KARIME\BANCO ESTADO\2012 DEPTO ESCRITURAS fata\Dc Simples\RESPALDO comp notaria 27_12_12\NOTARIA 2012\BOLETAS\BOLETAS Y GASTOS VIERNES 27 DE ENERO 2012.xls</t>
  </si>
  <si>
    <t>C:\Users\franc\OneDrive\Documentos\MALENTIN KARIME\BANCO ESTADO\2012 DEPTO ESCRITURAS fata\Dc Simples\RESPALDO comp notaria 27_12_12\NOTARIA 2012\BOLETAS\BOLETAS Y GASTOS VIERNES 26 DE NOVIEMBRE DE 2010.xls</t>
  </si>
  <si>
    <t>C:\Users\franc\OneDrive\Documentos\MALENTIN KARIME\BANCO ESTADO\2012 DEPTO ESCRITURAS fata\Dc Simples\RESPALDO comp notaria 27_12_12\NOTARIA 2012\BOLETAS\BOLETAS Y GASTOS VIERNES 25 DE NOVIEMBRE DE 2011.xls</t>
  </si>
  <si>
    <t>C:\Users\franc\OneDrive\Documentos\MALENTIN KARIME\BANCO ESTADO\2012 DEPTO ESCRITURAS fata\Dc Simples\RESPALDO comp notaria 27_12_12\NOTARIA 2012\BOLETAS\BOLETAS Y GASTOS VIERNES 23 DE JULIO 2010.xls</t>
  </si>
  <si>
    <t>C:\Users\franc\OneDrive\Documentos\MALENTIN KARIME\BANCO ESTADO\2012 DEPTO ESCRITURAS fata\Dc Simples\RESPALDO comp notaria 27_12_12\NOTARIA 2012\BOLETAS\BOLETAS Y GASTOS VIERNES 20 DE MAYO 2011.xls</t>
  </si>
  <si>
    <t>C:\Users\franc\OneDrive\Documentos\MALENTIN KARIME\BANCO ESTADO\2012 DEPTO ESCRITURAS fata\Dc Simples\RESPALDO comp notaria 27_12_12\NOTARIA 2012\BOLETAS\BOLETAS Y GASTOS viernes 18 de marzo de 2011.xls</t>
  </si>
  <si>
    <t>C:\Users\franc\OneDrive\Documentos\MALENTIN KARIME\BANCO ESTADO\2012 DEPTO ESCRITURAS fata\Dc Simples\RESPALDO comp notaria 27_12_12\NOTARIA 2012\BOLETAS\BOLETAS Y GASTOS VIERNES 15 de septiembre 2011.xls</t>
  </si>
  <si>
    <t>C:\Users\franc\OneDrive\Documentos\MALENTIN KARIME\BANCO ESTADO\2012 DEPTO ESCRITURAS fata\Dc Simples\RESPALDO comp notaria 27_12_12\NOTARIA 2012\BOLETAS\BOLETAS Y GASTOS VIERNES 11 NOVIEMBRE 2011.xls</t>
  </si>
  <si>
    <t>C:\Users\franc\OneDrive\Documentos\MALENTIN KARIME\BANCO ESTADO\2012 DEPTO ESCRITURAS fata\Dc Simples\RESPALDO comp notaria 27_12_12\NOTARIA 2012\BOLETAS\BOLETAS Y GASTOS VIERNES 11 DE FEBRERO 2011.xls</t>
  </si>
  <si>
    <t>C:\Users\franc\OneDrive\Documentos\MALENTIN KARIME\BANCO ESTADO\2012 DEPTO ESCRITURAS fata\Dc Simples\RESPALDO comp notaria 27_12_12\NOTARIA 2012\BOLETAS\BOLETAS Y GASTOS VIERNES 11 DE AGOSTO DE 2011.xls</t>
  </si>
  <si>
    <t>C:\Users\franc\OneDrive\Documentos\MALENTIN KARIME\BANCO ESTADO\2012 DEPTO ESCRITURAS fata\Dc Simples\RESPALDO comp notaria 27_12_12\NOTARIA 2012\BOLETAS\BOLETAS Y GASTOS VIERNES 09 de septiembre 2011.xls</t>
  </si>
  <si>
    <t>C:\Users\franc\OneDrive\Documentos\MALENTIN KARIME\BANCO ESTADO\2012 DEPTO ESCRITURAS fata\Dc Simples\RESPALDO comp notaria 27_12_12\NOTARIA 2012\BOLETAS\BOLETAS Y GASTOS VIERNES 08 DE OCTUBRE DE 2010.xls</t>
  </si>
  <si>
    <t>C:\Users\franc\OneDrive\Documentos\MALENTIN KARIME\BANCO ESTADO\2012 DEPTO ESCRITURAS fata\Dc Simples\RESPALDO comp notaria 27_12_12\NOTARIA 2012\BOLETAS\BOLETAS Y GASTOS VIERNES 08 DE JULIO 2011.xls</t>
  </si>
  <si>
    <t>C:\Users\franc\OneDrive\Documentos\MALENTIN KARIME\BANCO ESTADO\2012 DEPTO ESCRITURAS fata\Dc Simples\RESPALDO comp notaria 27_12_12\NOTARIA 2012\BOLETAS\BOLETAS Y GASTOS VIERNES 06 DE ENERO 2012.xls</t>
  </si>
  <si>
    <t>C:\Users\franc\OneDrive\Documentos\MALENTIN KARIME\BANCO ESTADO\2012 DEPTO ESCRITURAS fata\Dc Simples\RESPALDO comp notaria 27_12_12\NOTARIA 2012\BOLETAS\BOLETAS Y GASTOS VIERNES 04 NOVIEMBRE 2011.xls</t>
  </si>
  <si>
    <t>C:\Users\franc\OneDrive\Documentos\MALENTIN KARIME\BANCO ESTADO\2012 DEPTO ESCRITURAS fata\Dc Simples\RESPALDO comp notaria 27_12_12\NOTARIA 2012\BOLETAS\BOLETAS Y GASTOS VIERNES 02 de septiembre 2011.xls</t>
  </si>
  <si>
    <t>C:\Users\franc\OneDrive\Documentos\MALENTIN KARIME\BANCO ESTADO\2012 DEPTO ESCRITURAS fata\Dc Simples\RESPALDO comp notaria 27_12_12\NOTARIA 2012\BOLETAS\BOLETAS Y GASTOS SABADO.xls</t>
  </si>
  <si>
    <t>C:\Users\franc\OneDrive\Documentos\MALENTIN KARIME\BANCO ESTADO\2012 DEPTO ESCRITURAS fata\Dc Simples\RESPALDO comp notaria 27_12_12\NOTARIA 2012\BOLETAS\BOLETAS Y GASTOS SABADO...........DE ENERO 2011.xls</t>
  </si>
  <si>
    <t>C:\Users\franc\OneDrive\Documentos\MALENTIN KARIME\BANCO ESTADO\2012 DEPTO ESCRITURAS fata\Dc Simples\RESPALDO comp notaria 27_12_12\NOTARIA 2012\BOLETAS\BOLETAS Y GASTOS SABADO 30 DE OCTUBRE DE 2010.xls</t>
  </si>
  <si>
    <t>C:\Users\franc\OneDrive\Documentos\MALENTIN KARIME\BANCO ESTADO\2012 DEPTO ESCRITURAS fata\Dc Simples\RESPALDO comp notaria 27_12_12\NOTARIA 2012\BOLETAS\BOLETAS Y GASTOS SABADO 28 DE 12  DE 2010.xls</t>
  </si>
  <si>
    <t>C:\Users\franc\OneDrive\Documentos\MALENTIN KARIME\BANCO ESTADO\2012 DEPTO ESCRITURAS fata\Dc Simples\RESPALDO comp notaria 27_12_12\NOTARIA 2012\BOLETAS\BOLETAS Y GASTOS SABADO 22 DE ENERO 2011.xls</t>
  </si>
  <si>
    <t>C:\Users\franc\OneDrive\Documentos\MALENTIN KARIME\BANCO ESTADO\2012 DEPTO ESCRITURAS fata\Dc Simples\RESPALDO comp notaria 27_12_12\NOTARIA 2012\BOLETAS\BOLETAS Y GASTOS SABADO 18 DE JUNIO DE 2011.xls</t>
  </si>
  <si>
    <t>C:\Users\franc\OneDrive\Documentos\MALENTIN KARIME\BANCO ESTADO\2012 DEPTO ESCRITURAS fata\Dc Simples\RESPALDO comp notaria 27_12_12\NOTARIA 2012\BOLETAS\BOLETAS Y GASTOS SABADO 17 DE JULIO 2010.xls</t>
  </si>
  <si>
    <t>C:\Users\franc\OneDrive\Documentos\MALENTIN KARIME\BANCO ESTADO\2012 DEPTO ESCRITURAS fata\Dc Simples\RESPALDO comp notaria 27_12_12\NOTARIA 2012\BOLETAS\BOLETAS Y GASTOS SABADO 12 DE FEBRERO 2011.xls</t>
  </si>
  <si>
    <t>C:\Users\franc\OneDrive\Documentos\MALENTIN KARIME\BANCO ESTADO\2012 DEPTO ESCRITURAS fata\Dc Simples\RESPALDO comp notaria 27_12_12\NOTARIA 2012\BOLETAS\BOLETAS Y GASTOS SABADO 10 de septiembre.xls</t>
  </si>
  <si>
    <t>C:\Users\franc\OneDrive\Documentos\MALENTIN KARIME\BANCO ESTADO\2012 DEPTO ESCRITURAS fata\Dc Simples\RESPALDO comp notaria 27_12_12\NOTARIA 2012\BOLETAS\BOLETAS Y GASTOS SABADO 09 DE OCTUBRE DE 2010.xls</t>
  </si>
  <si>
    <t>C:\Users\franc\OneDrive\Documentos\MALENTIN KARIME\BANCO ESTADO\2012 DEPTO ESCRITURAS fata\Dc Simples\RESPALDO comp notaria 27_12_12\NOTARIA 2012\BOLETAS\BOLETAS Y GASTOS SABADO 09 DE JULIO 2011.xls</t>
  </si>
  <si>
    <t>C:\Users\franc\OneDrive\Documentos\MALENTIN KARIME\BANCO ESTADO\2012 DEPTO ESCRITURAS fata\Dc Simples\RESPALDO comp notaria 27_12_12\NOTARIA 2012\BOLETAS\BOLETAS Y GASTOS SABADO 07 DE AGOSTO 2010.xls</t>
  </si>
  <si>
    <t>C:\Users\franc\OneDrive\Documentos\MALENTIN KARIME\BANCO ESTADO\2012 DEPTO ESCRITURAS fata\Dc Simples\RESPALDO comp notaria 27_12_12\NOTARIA 2012\BOLETAS\BOLETAS Y GASTOS MIERCOLES 29 DE 12  DE 2010.xls</t>
  </si>
  <si>
    <t>C:\Users\franc\OneDrive\Documentos\MALENTIN KARIME\BANCO ESTADO\2012 DEPTO ESCRITURAS fata\Dc Simples\RESPALDO comp notaria 27_12_12\NOTARIA 2012\BOLETAS\BOLETAS Y GASTOS MIERCOLES 28 de septiembre 2011.xls</t>
  </si>
  <si>
    <t>C:\Users\franc\OneDrive\Documentos\MALENTIN KARIME\BANCO ESTADO\2012 DEPTO ESCRITURAS fata\Dc Simples\RESPALDO comp notaria 27_12_12\NOTARIA 2012\BOLETAS\BOLETAS Y GASTOS MIERCOLES 23 DE JUNIO 2011.xls</t>
  </si>
  <si>
    <t>C:\Users\franc\OneDrive\Documentos\MALENTIN KARIME\BANCO ESTADO\2012 DEPTO ESCRITURAS fata\Dc Simples\RESPALDO comp notaria 27_12_12\NOTARIA 2012\BOLETAS\BOLETAS Y GASTOS MIERCOLES 22 DE JUNIO 2011.xls</t>
  </si>
  <si>
    <t>C:\Users\franc\OneDrive\Documentos\MALENTIN KARIME\BANCO ESTADO\2012 DEPTO ESCRITURAS fata\Dc Simples\RESPALDO comp notaria 27_12_12\NOTARIA 2012\BOLETAS\BOLETAS Y GASTOS MIERCOLES 21 DE JULIO 2010.xls</t>
  </si>
  <si>
    <t>C:\Users\franc\OneDrive\Documentos\MALENTIN KARIME\BANCO ESTADO\2012 DEPTO ESCRITURAS fata\Dc Simples\RESPALDO comp notaria 27_12_12\NOTARIA 2012\BOLETAS\BOLETAS Y GASTOS MIERCOLES 19 DE ENERO 2011.xls</t>
  </si>
  <si>
    <t>C:\Users\franc\OneDrive\Documentos\MALENTIN KARIME\BANCO ESTADO\2012 DEPTO ESCRITURAS fata\Dc Simples\RESPALDO comp notaria 27_12_12\NOTARIA 2012\BOLETAS\BOLETAS Y GASTOS MIERCOLES 15 DE SEPTIEMBRE DE 2010.xls</t>
  </si>
  <si>
    <t>C:\Users\franc\OneDrive\Documentos\MALENTIN KARIME\BANCO ESTADO\2012 DEPTO ESCRITURAS fata\Dc Simples\RESPALDO comp notaria 27_12_12\NOTARIA 2012\BOLETAS\BOLETAS Y GASTOS MIERCOLES 14 DE JULIO 2010.xls</t>
  </si>
  <si>
    <t>C:\Users\franc\OneDrive\Documentos\MALENTIN KARIME\BANCO ESTADO\2012 DEPTO ESCRITURAS fata\Dc Simples\RESPALDO comp notaria 27_12_12\NOTARIA 2012\BOLETAS\BOLETAS Y GASTOS MIERCOLES 06 DE OCTUBRE DE 2010.xls</t>
  </si>
  <si>
    <t>C:\Users\franc\OneDrive\Documentos\MALENTIN KARIME\BANCO ESTADO\2012 DEPTO ESCRITURAS fata\Dc Simples\RESPALDO comp notaria 27_12_12\NOTARIA 2012\BOLETAS\BOLETAS Y GASTOS MIERCOLES 04 DE ENERO 2012.xls</t>
  </si>
  <si>
    <t>C:\Users\franc\OneDrive\Documentos\MALENTIN KARIME\BANCO ESTADO\2012 DEPTO ESCRITURAS fata\Dc Simples\RESPALDO comp notaria 27_12_12\NOTARIA 2012\BOLETAS\BOLETAS Y GASTOS MIERCOLES 02 NOVIEMBRE 2011.xls</t>
  </si>
  <si>
    <t>C:\Users\franc\OneDrive\Documentos\MALENTIN KARIME\BANCO ESTADO\2012 DEPTO ESCRITURAS fata\Dc Simples\RESPALDO comp notaria 27_12_12\NOTARIA 2012\BOLETAS\BOLETAS Y GASTOS MARTES21 DE JUNIO 2011.xls</t>
  </si>
  <si>
    <t>C:\Users\franc\OneDrive\Documentos\MALENTIN KARIME\BANCO ESTADO\2012 DEPTO ESCRITURAS fata\Dc Simples\RESPALDO comp notaria 27_12_12\NOTARIA 2012\BOLETAS\BOLETAS Y GASTOS MARTES 26 DE ABRIL 2011.xls</t>
  </si>
  <si>
    <t>C:\Users\franc\OneDrive\Documentos\MALENTIN KARIME\BANCO ESTADO\2012 DEPTO ESCRITURAS fata\Dc Simples\RESPALDO comp notaria 27_12_12\NOTARIA 2012\BOLETAS\BOLETAS Y GASTOS MARTES 25 DE ENERO 2012.xls</t>
  </si>
  <si>
    <t>C:\Users\franc\OneDrive\Documentos\MALENTIN KARIME\BANCO ESTADO\2012 DEPTO ESCRITURAS fata\Dc Simples\RESPALDO comp notaria 27_12_12\NOTARIA 2012\BOLETAS\BOLETAS Y GASTOS MARTES 24 DE ENERO 2012.xls</t>
  </si>
  <si>
    <t>C:\Users\franc\OneDrive\Documentos\MALENTIN KARIME\BANCO ESTADO\2012 DEPTO ESCRITURAS fata\Dc Simples\RESPALDO comp notaria 27_12_12\NOTARIA 2012\BOLETAS\BOLETAS Y GASTOS MARTES 20 DE JULIO 2010.xls</t>
  </si>
  <si>
    <t>C:\Users\franc\OneDrive\Documentos\MALENTIN KARIME\BANCO ESTADO\2012 DEPTO ESCRITURAS fata\Dc Simples\RESPALDO comp notaria 27_12_12\NOTARIA 2012\BOLETAS\BOLETAS Y GASTOS MARTES 18 DE ENERO DE 2011.xls</t>
  </si>
  <si>
    <t>C:\Users\franc\OneDrive\Documentos\MALENTIN KARIME\BANCO ESTADO\2012 DEPTO ESCRITURAS fata\Dc Simples\RESPALDO comp notaria 27_12_12\NOTARIA 2012\BOLETAS\BOLETAS Y GASTOS MARTES 14 DE SEPTIEMBRE DE 2010.xls</t>
  </si>
  <si>
    <t>C:\Users\franc\OneDrive\Documentos\MALENTIN KARIME\BANCO ESTADO\2012 DEPTO ESCRITURAS fata\Dc Simples\RESPALDO comp notaria 27_12_12\NOTARIA 2012\BOLETAS\BOLETAS Y GASTOS MARTES 13 DE JULIO 2010.xls</t>
  </si>
  <si>
    <t>C:\Users\franc\OneDrive\Documentos\MALENTIN KARIME\BANCO ESTADO\2012 DEPTO ESCRITURAS fata\Dc Simples\RESPALDO comp notaria 27_12_12\NOTARIA 2012\BOLETAS\BOLETAS Y GASTOS MARTES 07 DE JUNIO DE 2011.xls</t>
  </si>
  <si>
    <t>C:\Users\franc\OneDrive\Documentos\MALENTIN KARIME\BANCO ESTADO\2012 DEPTO ESCRITURAS fata\Dc Simples\RESPALDO comp notaria 27_12_12\NOTARIA 2012\BOLETAS\BOLETAS Y GASTOS MARTES 05 DE OCTUBRE DE 2010.xls</t>
  </si>
  <si>
    <t>C:\Users\franc\OneDrive\Documentos\MALENTIN KARIME\BANCO ESTADO\2012 DEPTO ESCRITURAS fata\Dc Simples\RESPALDO comp notaria 27_12_12\NOTARIA 2012\BOLETAS\BOLETAS Y GASTOS MARTES 03 DE ENERO 2012.xls</t>
  </si>
  <si>
    <t>C:\Users\franc\OneDrive\Documentos\MALENTIN KARIME\BANCO ESTADO\2012 DEPTO ESCRITURAS fata\Dc Simples\RESPALDO comp notaria 27_12_12\NOTARIA 2012\BOLETAS\BOLETAS Y GASTOS LUNES 26 DE JULIO 2010.xls</t>
  </si>
  <si>
    <t>C:\Users\franc\OneDrive\Documentos\MALENTIN KARIME\BANCO ESTADO\2012 DEPTO ESCRITURAS fata\Dc Simples\RESPALDO comp notaria 27_12_12\NOTARIA 2012\BOLETAS\BOLETAS Y GASTOS LUNES 23 DE MAYO 2011.xls</t>
  </si>
  <si>
    <t>C:\Users\franc\OneDrive\Documentos\MALENTIN KARIME\BANCO ESTADO\2012 DEPTO ESCRITURAS fata\Dc Simples\RESPALDO comp notaria 27_12_12\NOTARIA 2012\BOLETAS\BOLETAS Y GASTOS LUNES 23 DE ENERO 2012.xls</t>
  </si>
  <si>
    <t>C:\Users\franc\OneDrive\Documentos\MALENTIN KARIME\BANCO ESTADO\2012 DEPTO ESCRITURAS fata\Dc Simples\RESPALDO comp notaria 27_12_12\NOTARIA 2012\BOLETAS\BOLETAS Y GASTOS LUNES 20 de junio de 2011.xls</t>
  </si>
  <si>
    <t>C:\Users\franc\OneDrive\Documentos\MALENTIN KARIME\BANCO ESTADO\2012 DEPTO ESCRITURAS fata\Dc Simples\RESPALDO comp notaria 27_12_12\NOTARIA 2012\BOLETAS\BOLETAS Y GASTOS LUNES 19 DE JULIO 2010.xls</t>
  </si>
  <si>
    <t>C:\Users\franc\OneDrive\Documentos\MALENTIN KARIME\BANCO ESTADO\2012 DEPTO ESCRITURAS fata\Dc Simples\RESPALDO comp notaria 27_12_12\NOTARIA 2012\BOLETAS\BOLETAS Y GASTOS LUNES 19 DE DICIEMBRE DE 2011.xls</t>
  </si>
  <si>
    <t>C:\Users\franc\OneDrive\Documentos\MALENTIN KARIME\BANCO ESTADO\2012 DEPTO ESCRITURAS fata\Dc Simples\RESPALDO comp notaria 27_12_12\NOTARIA 2012\BOLETAS\BOLETAS Y GASTOS LUNES 18 DE OCTUBRE DE 2010.xls</t>
  </si>
  <si>
    <t>C:\Users\franc\OneDrive\Documentos\MALENTIN KARIME\BANCO ESTADO\2012 DEPTO ESCRITURAS fata\Dc Simples\RESPALDO comp notaria 27_12_12\NOTARIA 2012\BOLETAS\BOLETAS Y GASTOS LUNES 17-01-2011.xls</t>
  </si>
  <si>
    <t>C:\Users\franc\OneDrive\Documentos\MALENTIN KARIME\BANCO ESTADO\2012 DEPTO ESCRITURAS fata\Dc Simples\RESPALDO comp notaria 27_12_12\NOTARIA 2012\BOLETAS\BOLETAS Y GASTOS LUNES 13 DE SEPTIEMBRE DE 2010.xls</t>
  </si>
  <si>
    <t>C:\Users\franc\OneDrive\Documentos\MALENTIN KARIME\BANCO ESTADO\2012 DEPTO ESCRITURAS fata\Dc Simples\RESPALDO comp notaria 27_12_12\NOTARIA 2012\BOLETAS\BOLETAS Y GASTOS LUNES 13 DE MAYO 2011.xls</t>
  </si>
  <si>
    <t>C:\Users\franc\OneDrive\Documentos\MALENTIN KARIME\BANCO ESTADO\2012 DEPTO ESCRITURAS fata\Dc Simples\RESPALDO comp notaria 27_12_12\NOTARIA 2012\BOLETAS\BOLETAS Y GASTOS LUNES 12 DE JULIO 2010.xls</t>
  </si>
  <si>
    <t>C:\Users\franc\OneDrive\Documentos\MALENTIN KARIME\BANCO ESTADO\2012 DEPTO ESCRITURAS fata\Dc Simples\RESPALDO comp notaria 27_12_12\NOTARIA 2012\BOLETAS\BOLETAS Y GASTOS LUNES 11 DE ABRIL DE 2011.xls</t>
  </si>
  <si>
    <t>C:\Users\franc\OneDrive\Documentos\MALENTIN KARIME\BANCO ESTADO\2012 DEPTO ESCRITURAS fata\Dc Simples\RESPALDO comp notaria 27_12_12\NOTARIA 2012\BOLETAS\BOLETAS Y GASTOS LUNES 06 DE AGOSTO 2010.xls</t>
  </si>
  <si>
    <t>C:\Users\franc\OneDrive\Documentos\MALENTIN KARIME\BANCO ESTADO\2012 DEPTO ESCRITURAS fata\Dc Simples\RESPALDO comp notaria 27_12_12\NOTARIA 2012\BOLETAS\BOLETAS Y GASTOS LUNES 04 DE OCTUBRE DE 2010.xls</t>
  </si>
  <si>
    <t>C:\Users\franc\OneDrive\Documentos\MALENTIN KARIME\BANCO ESTADO\2012 DEPTO ESCRITURAS fata\Dc Simples\RESPALDO comp notaria 27_12_12\NOTARIA 2012\BOLETAS\BOLETAS Y GASTOS LUNES 02 DE ENERO 2012.xls</t>
  </si>
  <si>
    <t>C:\Users\franc\OneDrive\Documentos\MALENTIN KARIME\BANCO ESTADO\2012 DEPTO ESCRITURAS fata\Dc Simples\RESPALDO comp notaria 27_12_12\NOTARIA 2012\BOLETAS\BOLETAS Y GASTOS JUEVES 30 DE 12  DE 2010.xls</t>
  </si>
  <si>
    <t>C:\Users\franc\OneDrive\Documentos\MALENTIN KARIME\BANCO ESTADO\2012 DEPTO ESCRITURAS fata\Dc Simples\RESPALDO comp notaria 27_12_12\NOTARIA 2012\BOLETAS\BOLETAS Y GASTOS JUEVES 26 DE ENERO 2012.xls</t>
  </si>
  <si>
    <t>C:\Users\franc\OneDrive\Documentos\MALENTIN KARIME\BANCO ESTADO\2012 DEPTO ESCRITURAS fata\Dc Simples\RESPALDO comp notaria 27_12_12\NOTARIA 2012\BOLETAS\BOLETAS Y GASTOS jueves 20 de enero 2011.xls</t>
  </si>
  <si>
    <t>C:\Users\franc\OneDrive\Documentos\MALENTIN KARIME\BANCO ESTADO\2012 DEPTO ESCRITURAS fata\Dc Simples\RESPALDO comp notaria 27_12_12\NOTARIA 2012\BOLETAS\BOLETAS Y GASTOS JUEVES 16 DE SEPTIEMBRE DE 2010.xls</t>
  </si>
  <si>
    <t>C:\Users\franc\OneDrive\Documentos\MALENTIN KARIME\BANCO ESTADO\2012 DEPTO ESCRITURAS fata\Dc Simples\RESPALDO comp notaria 27_12_12\NOTARIA 2012\BOLETAS\BOLETAS Y GASTOS JUEVES 15 DE JULIO 2010.xls</t>
  </si>
  <si>
    <t>C:\Users\franc\OneDrive\Documentos\MALENTIN KARIME\BANCO ESTADO\2012 DEPTO ESCRITURAS fata\Dc Simples\RESPALDO comp notaria 27_12_12\NOTARIA 2012\BOLETAS\BOLETAS Y GASTOS JUEVES 12 DE ENERO 2012.xls</t>
  </si>
  <si>
    <t>C:\Users\franc\OneDrive\Documentos\MALENTIN KARIME\BANCO ESTADO\2012 DEPTO ESCRITURAS fata\Dc Simples\RESPALDO comp notaria 27_12_12\NOTARIA 2012\BOLETAS\BOLETAS Y GASTOS JUEVES 07 DE OCTUBRE DE 2010.xls</t>
  </si>
  <si>
    <t>C:\Users\franc\OneDrive\Documentos\MALENTIN KARIME\BANCO ESTADO\2012 DEPTO ESCRITURAS fata\Dc Simples\RESPALDO comp notaria 27_12_12\NOTARIA 2012\BOLETAS\BOLETAS Y GASTOS JUEVES 05 DE ENERO 2012.xls</t>
  </si>
  <si>
    <t>C:\Users\franc\OneDrive\Documentos\MALENTIN KARIME\BANCO ESTADO\2012 DEPTO ESCRITURAS fata\Dc Simples\RESPALDO comp notaria 27_12_12\NOTARIA 2012\BOLETAS\BOLETAS Y GASTOS 24 AGOSTO.xls</t>
  </si>
  <si>
    <t>C:\Users\franc\OneDrive\Documentos\MALENTIN KARIME\BANCO ESTADO\2012 DEPTO ESCRITURAS fata\Dc Simples\RESPALDO comp notaria 27_12_12\NOTARIA 2012\BOLETAS\BOLETAS Y GASTOS 18-02-2011.xls</t>
  </si>
  <si>
    <t>C:\Users\franc\OneDrive\Documentos\MALENTIN KARIME\BANCO ESTADO\2012 DEPTO ESCRITURAS fata\Dc Simples\RESPALDO comp notaria 27_12_12\NOTARIA 2012\AUTORIZACIONES\VIAJE MENOR DENTRO DEL PAIS 1 PADRE.doc</t>
  </si>
  <si>
    <t>C:\Users\franc\OneDrive\Documentos\MALENTIN KARIME\BANCO ESTADO\2012 DEPTO ESCRITURAS fata\Dc Simples\RESPALDO comp notaria 27_12_12\NOTARIA 2012\AUTORIZACIONES\VENTA DE MEDIA AGUA.doc</t>
  </si>
  <si>
    <t>C:\Users\franc\OneDrive\Documentos\MALENTIN KARIME\BANCO ESTADO\2012 DEPTO ESCRITURAS fata\Dc Simples\RESPALDO comp notaria 27_12_12\NOTARIA 2012\AUTORIZACIONES\VEHICULO FUERA DE CHILE.doc</t>
  </si>
  <si>
    <t>C:\Users\franc\OneDrive\Documentos\MALENTIN KARIME\BANCO ESTADO\2012 DEPTO ESCRITURAS fata\Dc Simples\RESPALDO comp notaria 27_12_12\NOTARIA 2012\AUTORIZACIONES\TRASPASO TEMPORAL DE AGUA.doc</t>
  </si>
  <si>
    <t>C:\Users\franc\OneDrive\Documentos\MALENTIN KARIME\BANCO ESTADO\2012 DEPTO ESCRITURAS fata\Dc Simples\RESPALDO comp notaria 27_12_12\NOTARIA 2012\AUTORIZACIONES\TRABAJO MENOR.doc</t>
  </si>
  <si>
    <t>C:\Users\franc\OneDrive\Documentos\MALENTIN KARIME\BANCO ESTADO\2012 DEPTO ESCRITURAS fata\Dc Simples\RESPALDO comp notaria 27_12_12\NOTARIA 2012\AUTORIZACIONES\TRAB. MENOR TUTOR.doc</t>
  </si>
  <si>
    <t>C:\Users\franc\OneDrive\Documentos\MALENTIN KARIME\BANCO ESTADO\2012 DEPTO ESCRITURAS fata\Dc Simples\RESPALDO comp notaria 27_12_12\NOTARIA 2012\AUTORIZACIONES\TRAB. MENOR LOCAL.doc</t>
  </si>
  <si>
    <t>C:\Users\franc\OneDrive\Documentos\MALENTIN KARIME\BANCO ESTADO\2012 DEPTO ESCRITURAS fata\Dc Simples\RESPALDO comp notaria 27_12_12\NOTARIA 2012\AUTORIZACIONES\SUBSIDIO.doc</t>
  </si>
  <si>
    <t>C:\Users\franc\OneDrive\Documentos\MALENTIN KARIME\BANCO ESTADO\2012 DEPTO ESCRITURAS fata\Dc Simples\RESPALDO comp notaria 27_12_12\NOTARIA 2012\AUTORIZACIONES\SERVICIO MILITAR.doc</t>
  </si>
  <si>
    <t>C:\Users\franc\OneDrive\Documentos\MALENTIN KARIME\BANCO ESTADO\2012 DEPTO ESCRITURAS fata\Dc Simples\RESPALDO comp notaria 27_12_12\NOTARIA 2012\AUTORIZACIONES\SERV. DE PASO.doc</t>
  </si>
  <si>
    <t>C:\Users\franc\OneDrive\Documentos\MALENTIN KARIME\BANCO ESTADO\2012 DEPTO ESCRITURAS fata\Dc Simples\RESPALDO comp notaria 27_12_12\NOTARIA 2012\AUTORIZACIONES\SANTA ISABEL (PROPINERO).doc</t>
  </si>
  <si>
    <t>C:\Users\franc\OneDrive\Documentos\MALENTIN KARIME\BANCO ESTADO\2012 DEPTO ESCRITURAS fata\Dc Simples\RESPALDO comp notaria 27_12_12\NOTARIA 2012\AUTORIZACIONES\SALIDAD AUTOMOVIL SOCIEDAD.doc</t>
  </si>
  <si>
    <t>C:\Users\franc\OneDrive\Documentos\MALENTIN KARIME\BANCO ESTADO\2012 DEPTO ESCRITURAS fata\Dc Simples\RESPALDO comp notaria 27_12_12\NOTARIA 2012\AUTORIZACIONES\SALIDA VEHICULO.doc</t>
  </si>
  <si>
    <t>C:\Users\franc\OneDrive\Documentos\MALENTIN KARIME\BANCO ESTADO\2012 DEPTO ESCRITURAS fata\Dc Simples\RESPALDO comp notaria 27_12_12\NOTARIA 2012\AUTORIZACIONES\SALIDA VEHICULO SRA MARIA.doc</t>
  </si>
  <si>
    <t>C:\Users\franc\OneDrive\Documentos\MALENTIN KARIME\BANCO ESTADO\2012 DEPTO ESCRITURAS fata\Dc Simples\RESPALDO comp notaria 27_12_12\NOTARIA 2012\AUTORIZACIONES\SALIDA VEHICULO PAIS SOC QUIMICA.doc</t>
  </si>
  <si>
    <t>C:\Users\franc\OneDrive\Documentos\MALENTIN KARIME\BANCO ESTADO\2012 DEPTO ESCRITURAS fata\Dc Simples\RESPALDO comp notaria 27_12_12\NOTARIA 2012\AUTORIZACIONES\SALIDA VEH. SOCIEDAD.doc</t>
  </si>
  <si>
    <t>C:\Users\franc\OneDrive\Documentos\MALENTIN KARIME\BANCO ESTADO\2012 DEPTO ESCRITURAS fata\Dc Simples\RESPALDO comp notaria 27_12_12\NOTARIA 2012\AUTORIZACIONES\SALIDA VEH. SOCIEDAD PATRICIO GUZMAN.doc</t>
  </si>
  <si>
    <t>C:\Users\franc\OneDrive\Documentos\MALENTIN KARIME\BANCO ESTADO\2012 DEPTO ESCRITURAS fata\Dc Simples\RESPALDO comp notaria 27_12_12\NOTARIA 2012\AUTORIZACIONES\SALIDA VEH. CAMAL.doc</t>
  </si>
  <si>
    <t>C:\Users\franc\OneDrive\Documentos\MALENTIN KARIME\BANCO ESTADO\2012 DEPTO ESCRITURAS fata\Dc Simples\RESPALDO comp notaria 27_12_12\NOTARIA 2012\AUTORIZACIONES\SALIDA PAIS ESCUELA DE MUSICA.doc</t>
  </si>
  <si>
    <t>C:\Users\franc\OneDrive\Documentos\MALENTIN KARIME\BANCO ESTADO\2012 DEPTO ESCRITURAS fata\Dc Simples\RESPALDO comp notaria 27_12_12\NOTARIA 2012\AUTORIZACIONES\SALIDA PAIS ESCUELA DE MUSICA prof. marcos figueroa.doc</t>
  </si>
  <si>
    <t>C:\Users\franc\OneDrive\Documentos\MALENTIN KARIME\BANCO ESTADO\2012 DEPTO ESCRITURAS fata\Dc Simples\RESPALDO comp notaria 27_12_12\NOTARIA 2012\AUTORIZACIONES\SALIDA PAIS ESCUELA DE MUSICA prof. marcos figueroa 1 padre.doc</t>
  </si>
  <si>
    <t>C:\Users\franc\OneDrive\Documentos\MALENTIN KARIME\BANCO ESTADO\2012 DEPTO ESCRITURAS fata\Dc Simples\RESPALDO comp notaria 27_12_12\NOTARIA 2012\AUTORIZACIONES\SALIDA PAIS esc. musica.doc</t>
  </si>
  <si>
    <t>C:\Users\franc\OneDrive\Documentos\MALENTIN KARIME\BANCO ESTADO\2012 DEPTO ESCRITURAS fata\Dc Simples\RESPALDO comp notaria 27_12_12\NOTARIA 2012\AUTORIZACIONES\SALIDA PAIS COLEGIO SANTA MARIA.doc</t>
  </si>
  <si>
    <t>C:\Users\franc\OneDrive\Documentos\MALENTIN KARIME\BANCO ESTADO\2012 DEPTO ESCRITURAS fata\Dc Simples\RESPALDO comp notaria 27_12_12\NOTARIA 2012\AUTORIZACIONES\SALIDA PAIS COLEGIO SANTA MARIA 1 solo padre.doc</t>
  </si>
  <si>
    <t>C:\Users\franc\OneDrive\Documentos\MALENTIN KARIME\BANCO ESTADO\2012 DEPTO ESCRITURAS fata\Dc Simples\RESPALDO comp notaria 27_12_12\NOTARIA 2012\AUTORIZACIONES\SALIDA PAIS 2 PADRES.doc</t>
  </si>
  <si>
    <t>C:\Users\franc\OneDrive\Documentos\MALENTIN KARIME\BANCO ESTADO\2012 DEPTO ESCRITURAS fata\Dc Simples\RESPALDO comp notaria 27_12_12\NOTARIA 2012\AUTORIZACIONES\SALIDA PAIS 2 PADRES GIRA ESTUDIOS.doc</t>
  </si>
  <si>
    <t>C:\Users\franc\OneDrive\Documentos\MALENTIN KARIME\BANCO ESTADO\2012 DEPTO ESCRITURAS fata\Dc Simples\RESPALDO comp notaria 27_12_12\NOTARIA 2012\AUTORIZACIONES\SALIDA PAIS 2 Cristian Guerra Hurtado.doc</t>
  </si>
  <si>
    <t>C:\Users\franc\OneDrive\Documentos\MALENTIN KARIME\BANCO ESTADO\2012 DEPTO ESCRITURAS fata\Dc Simples\RESPALDO comp notaria 27_12_12\NOTARIA 2012\AUTORIZACIONES\SALIDA PAIS 1 PADRE.doc</t>
  </si>
  <si>
    <t>C:\Users\franc\OneDrive\Documentos\MALENTIN KARIME\BANCO ESTADO\2012 DEPTO ESCRITURAS fata\Dc Simples\RESPALDO comp notaria 27_12_12\NOTARIA 2012\AUTORIZACIONES\SAL. PAIS 4 MENORES.doc</t>
  </si>
  <si>
    <t>C:\Users\franc\OneDrive\Documentos\MALENTIN KARIME\BANCO ESTADO\2012 DEPTO ESCRITURAS fata\Dc Simples\RESPALDO comp notaria 27_12_12\NOTARIA 2012\AUTORIZACIONES\SAL. PAIS 1 PADRE.doc</t>
  </si>
  <si>
    <t>C:\Users\franc\OneDrive\Documentos\MALENTIN KARIME\BANCO ESTADO\2012 DEPTO ESCRITURAS fata\Dc Simples\RESPALDO comp notaria 27_12_12\NOTARIA 2012\AUTORIZACIONES\SAL. PAIS 1 PADRE dr. SLATER.doc</t>
  </si>
  <si>
    <t>C:\Users\franc\OneDrive\Documentos\MALENTIN KARIME\BANCO ESTADO\2012 DEPTO ESCRITURAS fata\Dc Simples\RESPALDO comp notaria 27_12_12\NOTARIA 2012\AUTORIZACIONES\SAL. PAIS 1 PADRE DENTRO Y FUERA DEL PAIS.doc</t>
  </si>
  <si>
    <t>C:\Users\franc\OneDrive\Documentos\MALENTIN KARIME\BANCO ESTADO\2012 DEPTO ESCRITURAS fata\Dc Simples\RESPALDO comp notaria 27_12_12\NOTARIA 2012\AUTORIZACIONES\SACAR VEHIC. ZONA FRANCA.doc</t>
  </si>
  <si>
    <t>C:\Users\franc\OneDrive\Documentos\MALENTIN KARIME\BANCO ESTADO\2012 DEPTO ESCRITURAS fata\Dc Simples\RESPALDO comp notaria 27_12_12\NOTARIA 2012\AUTORIZACIONES\RETIRO PERTENENCIAS.doc</t>
  </si>
  <si>
    <t>C:\Users\franc\OneDrive\Documentos\MALENTIN KARIME\BANCO ESTADO\2012 DEPTO ESCRITURAS fata\Dc Simples\RESPALDO comp notaria 27_12_12\NOTARIA 2012\AUTORIZACIONES\REPRESENTANTE VEHICULO SINDICATO.doc</t>
  </si>
  <si>
    <t>C:\Users\franc\OneDrive\Documentos\MALENTIN KARIME\BANCO ESTADO\2012 DEPTO ESCRITURAS fata\Dc Simples\RESPALDO comp notaria 27_12_12\NOTARIA 2012\AUTORIZACIONES\renuncia de bono.doc</t>
  </si>
  <si>
    <t>C:\Users\franc\OneDrive\Documentos\MALENTIN KARIME\BANCO ESTADO\2012 DEPTO ESCRITURAS fata\Dc Simples\RESPALDO comp notaria 27_12_12\NOTARIA 2012\AUTORIZACIONES\RECONOC.HIJO.doc</t>
  </si>
  <si>
    <t>C:\Users\franc\OneDrive\Documentos\MALENTIN KARIME\BANCO ESTADO\2012 DEPTO ESCRITURAS fata\Dc Simples\RESPALDO comp notaria 27_12_12\NOTARIA 2012\AUTORIZACIONES\PREVISION NIETO.doc</t>
  </si>
  <si>
    <t>C:\Users\franc\OneDrive\Documentos\MALENTIN KARIME\BANCO ESTADO\2012 DEPTO ESCRITURAS fata\Dc Simples\RESPALDO comp notaria 27_12_12\NOTARIA 2012\AUTORIZACIONES\PRESTAMO NICHO.doc</t>
  </si>
  <si>
    <t>C:\Users\franc\OneDrive\Documentos\MALENTIN KARIME\BANCO ESTADO\2012 DEPTO ESCRITURAS fata\Dc Simples\RESPALDO comp notaria 27_12_12\NOTARIA 2012\AUTORIZACIONES\PERMISO PERUANO.doc</t>
  </si>
  <si>
    <t>C:\Users\franc\OneDrive\Documentos\MALENTIN KARIME\BANCO ESTADO\2012 DEPTO ESCRITURAS fata\Dc Simples\RESPALDO comp notaria 27_12_12\NOTARIA 2012\AUTORIZACIONES\para realizar trabajos.doc</t>
  </si>
  <si>
    <t>C:\Users\franc\OneDrive\Documentos\MALENTIN KARIME\BANCO ESTADO\2012 DEPTO ESCRITURAS fata\Dc Simples\RESPALDO comp notaria 27_12_12\NOTARIA 2012\AUTORIZACIONES\PAGARE FORMULARIO.doc</t>
  </si>
  <si>
    <t>C:\Users\franc\OneDrive\Documentos\MALENTIN KARIME\BANCO ESTADO\2012 DEPTO ESCRITURAS fata\Dc Simples\RESPALDO comp notaria 27_12_12\NOTARIA 2012\AUTORIZACIONES\PAGARE DABED.doc</t>
  </si>
  <si>
    <t>C:\Users\franc\OneDrive\Documentos\MALENTIN KARIME\BANCO ESTADO\2012 DEPTO ESCRITURAS fata\Dc Simples\RESPALDO comp notaria 27_12_12\NOTARIA 2012\AUTORIZACIONES\OCUPE VEHICULO.doc</t>
  </si>
  <si>
    <t>C:\Users\franc\OneDrive\Documentos\MALENTIN KARIME\BANCO ESTADO\2012 DEPTO ESCRITURAS fata\Dc Simples\RESPALDO comp notaria 27_12_12\NOTARIA 2012\AUTORIZACIONES\NO SABER FIRMAR.doc</t>
  </si>
  <si>
    <t>C:\Users\franc\OneDrive\Documentos\MALENTIN KARIME\BANCO ESTADO\2012 DEPTO ESCRITURAS fata\Dc Simples\RESPALDO comp notaria 27_12_12\NOTARIA 2012\AUTORIZACIONES\NO SABER FIRMAR LOS HEROES.doc</t>
  </si>
  <si>
    <t>C:\Users\franc\OneDrive\Documentos\MALENTIN KARIME\BANCO ESTADO\2012 DEPTO ESCRITURAS fata\Dc Simples\RESPALDO comp notaria 27_12_12\NOTARIA 2012\AUTORIZACIONES\NO SABER FIRMAR CON MANDATARIO.doc</t>
  </si>
  <si>
    <t>C:\Users\franc\OneDrive\Documentos\MALENTIN KARIME\BANCO ESTADO\2012 DEPTO ESCRITURAS fata\Dc Simples\RESPALDO comp notaria 27_12_12\NOTARIA 2012\AUTORIZACIONES\muro medianero.doc</t>
  </si>
  <si>
    <t>C:\Users\franc\OneDrive\Documentos\MALENTIN KARIME\BANCO ESTADO\2012 DEPTO ESCRITURAS fata\Dc Simples\RESPALDO comp notaria 27_12_12\NOTARIA 2012\AUTORIZACIONES\MODELO DE AUTORIZACION.doc</t>
  </si>
  <si>
    <t>C:\Users\franc\OneDrive\Documentos\MALENTIN KARIME\BANCO ESTADO\2012 DEPTO ESCRITURAS fata\Dc Simples\RESPALDO comp notaria 27_12_12\NOTARIA 2012\AUTORIZACIONES\MENOR LICENCIA CONDUCIR.doc</t>
  </si>
  <si>
    <t>C:\Users\franc\OneDrive\Documentos\MALENTIN KARIME\BANCO ESTADO\2012 DEPTO ESCRITURAS fata\Dc Simples\RESPALDO comp notaria 27_12_12\NOTARIA 2012\AUTORIZACIONES\MENOR LICENCIA CONDUCIR para MUNI.doc</t>
  </si>
  <si>
    <t>C:\Users\franc\OneDrive\Documentos\MALENTIN KARIME\BANCO ESTADO\2012 DEPTO ESCRITURAS fata\Dc Simples\RESPALDO comp notaria 27_12_12\NOTARIA 2012\AUTORIZACIONES\MENOR INGRESO CARCEL.doc</t>
  </si>
  <si>
    <t>C:\Users\franc\OneDrive\Documentos\MALENTIN KARIME\BANCO ESTADO\2012 DEPTO ESCRITURAS fata\Dc Simples\RESPALDO comp notaria 27_12_12\NOTARIA 2012\AUTORIZACIONES\MENOR CLUB DEPORTIVO.doc</t>
  </si>
  <si>
    <t>C:\Users\franc\OneDrive\Documentos\MALENTIN KARIME\BANCO ESTADO\2012 DEPTO ESCRITURAS fata\Dc Simples\RESPALDO comp notaria 27_12_12\NOTARIA 2012\AUTORIZACIONES\MEDIA AGUA.doc</t>
  </si>
  <si>
    <t>C:\Users\franc\OneDrive\Documentos\MALENTIN KARIME\BANCO ESTADO\2012 DEPTO ESCRITURAS fata\Dc Simples\RESPALDO comp notaria 27_12_12\NOTARIA 2012\AUTORIZACIONES\MEDIA AGUA escritura.doc</t>
  </si>
  <si>
    <t>C:\Users\franc\OneDrive\Documentos\MALENTIN KARIME\BANCO ESTADO\2012 DEPTO ESCRITURAS fata\Dc Simples\RESPALDO comp notaria 27_12_12\NOTARIA 2012\AUTORIZACIONES\LETRA FORMULARIO.doc</t>
  </si>
  <si>
    <t>C:\Users\franc\OneDrive\Documentos\MALENTIN KARIME\BANCO ESTADO\2012 DEPTO ESCRITURAS fata\Dc Simples\RESPALDO comp notaria 27_12_12\NOTARIA 2012\AUTORIZACIONES\LETRA ESTAMPILLA.doc</t>
  </si>
  <si>
    <t>C:\Users\franc\OneDrive\Documentos\MALENTIN KARIME\BANCO ESTADO\2012 DEPTO ESCRITURAS fata\Dc Simples\RESPALDO comp notaria 27_12_12\NOTARIA 2012\AUTORIZACIONES\LETRA ESTAMPILLA EXENTA.doc</t>
  </si>
  <si>
    <t>C:\Users\franc\OneDrive\Documentos\MALENTIN KARIME\BANCO ESTADO\2012 DEPTO ESCRITURAS fata\Dc Simples\RESPALDO comp notaria 27_12_12\NOTARIA 2012\AUTORIZACIONES\LETRA ESTAMPILLA Chile Deportes.doc</t>
  </si>
  <si>
    <t>C:\Users\franc\OneDrive\Documentos\MALENTIN KARIME\BANCO ESTADO\2012 DEPTO ESCRITURAS fata\Dc Simples\RESPALDO comp notaria 27_12_12\NOTARIA 2012\AUTORIZACIONES\KIKO ROJAS.doc</t>
  </si>
  <si>
    <t>C:\Users\franc\OneDrive\Documentos\MALENTIN KARIME\BANCO ESTADO\2012 DEPTO ESCRITURAS fata\Dc Simples\RESPALDO comp notaria 27_12_12\NOTARIA 2012\AUTORIZACIONES\INDAP.doc</t>
  </si>
  <si>
    <t>C:\Users\franc\OneDrive\Documentos\MALENTIN KARIME\BANCO ESTADO\2012 DEPTO ESCRITURAS fata\Dc Simples\RESPALDO comp notaria 27_12_12\NOTARIA 2012\AUTORIZACIONES\INDAP personería.doc</t>
  </si>
  <si>
    <t>C:\Users\franc\OneDrive\Documentos\MALENTIN KARIME\BANCO ESTADO\2012 DEPTO ESCRITURAS fata\Dc Simples\RESPALDO comp notaria 27_12_12\NOTARIA 2012\AUTORIZACIONES\INDAP PERSONERIA NUEVA.doc</t>
  </si>
  <si>
    <t>C:\Users\franc\OneDrive\Documentos\MALENTIN KARIME\BANCO ESTADO\2012 DEPTO ESCRITURAS fata\Dc Simples\RESPALDO comp notaria 27_12_12\NOTARIA 2012\AUTORIZACIONES\IMPOSIBILIDAD FISICA.doc</t>
  </si>
  <si>
    <t>C:\Users\franc\OneDrive\Documentos\MALENTIN KARIME\BANCO ESTADO\2012 DEPTO ESCRITURAS fata\Dc Simples\RESPALDO comp notaria 27_12_12\NOTARIA 2012\AUTORIZACIONES\HACERSE CARGO MENOR.doc</t>
  </si>
  <si>
    <t>C:\Users\franc\OneDrive\Documentos\MALENTIN KARIME\BANCO ESTADO\2012 DEPTO ESCRITURAS fata\Dc Simples\RESPALDO comp notaria 27_12_12\NOTARIA 2012\AUTORIZACIONES\FIRMA traspaso agua gabriel vicencio carvajal.doc</t>
  </si>
  <si>
    <t>C:\Users\franc\OneDrive\Documentos\MALENTIN KARIME\BANCO ESTADO\2012 DEPTO ESCRITURAS fata\Dc Simples\RESPALDO comp notaria 27_12_12\NOTARIA 2012\AUTORIZACIONES\FIRMA SIMPLE.doc</t>
  </si>
  <si>
    <t>C:\Users\franc\OneDrive\Documentos\MALENTIN KARIME\BANCO ESTADO\2012 DEPTO ESCRITURAS fata\Dc Simples\RESPALDO comp notaria 27_12_12\NOTARIA 2012\AUTORIZACIONES\FIRMA SIMPLE VARIOS.doc</t>
  </si>
  <si>
    <t>C:\Users\franc\OneDrive\Documentos\MALENTIN KARIME\BANCO ESTADO\2012 DEPTO ESCRITURAS fata\Dc Simples\RESPALDO comp notaria 27_12_12\NOTARIA 2012\AUTORIZACIONES\FIRMA SIMPLE mandataria.doc</t>
  </si>
  <si>
    <t>C:\Users\franc\OneDrive\Documentos\MALENTIN KARIME\BANCO ESTADO\2012 DEPTO ESCRITURAS fata\Dc Simples\RESPALDO comp notaria 27_12_12\NOTARIA 2012\AUTORIZACIONES\FIRMA SIMPLE dos.doc</t>
  </si>
  <si>
    <t>C:\Users\franc\OneDrive\Documentos\MALENTIN KARIME\BANCO ESTADO\2012 DEPTO ESCRITURAS fata\Dc Simples\RESPALDO comp notaria 27_12_12\NOTARIA 2012\AUTORIZACIONES\FIRMA SIMPLE dos con rep.doc</t>
  </si>
  <si>
    <t>C:\Users\franc\OneDrive\Documentos\MALENTIN KARIME\BANCO ESTADO\2012 DEPTO ESCRITURAS fata\Dc Simples\RESPALDO comp notaria 27_12_12\NOTARIA 2012\AUTORIZACIONES\FIRMA SIMPLE dos con rep. LEY 20.340.doc</t>
  </si>
  <si>
    <t>C:\Users\franc\OneDrive\Documentos\MALENTIN KARIME\BANCO ESTADO\2012 DEPTO ESCRITURAS fata\Dc Simples\RESPALDO comp notaria 27_12_12\NOTARIA 2012\AUTORIZACIONES\FIRMA SIMPLE COVALSA.doc</t>
  </si>
  <si>
    <t>C:\Users\franc\OneDrive\Documentos\MALENTIN KARIME\BANCO ESTADO\2012 DEPTO ESCRITURAS fata\Dc Simples\RESPALDO comp notaria 27_12_12\NOTARIA 2012\AUTORIZACIONES\FIRMA SIMPLE 1 con pie.doc</t>
  </si>
  <si>
    <t>C:\Users\franc\OneDrive\Documentos\MALENTIN KARIME\BANCO ESTADO\2012 DEPTO ESCRITURAS fata\Dc Simples\RESPALDO comp notaria 27_12_12\NOTARIA 2012\AUTORIZACIONES\FIRMA FOSIS PESQUERA.doc</t>
  </si>
  <si>
    <t>C:\Users\franc\OneDrive\Documentos\MALENTIN KARIME\BANCO ESTADO\2012 DEPTO ESCRITURAS fata\Dc Simples\RESPALDO comp notaria 27_12_12\NOTARIA 2012\AUTORIZACIONES\FINIQUITO FALLECIDO.doc</t>
  </si>
  <si>
    <t>C:\Users\franc\OneDrive\Documentos\MALENTIN KARIME\BANCO ESTADO\2012 DEPTO ESCRITURAS fata\Dc Simples\RESPALDO comp notaria 27_12_12\NOTARIA 2012\AUTORIZACIONES\ENTRADA A HUACHALALUME.doc</t>
  </si>
  <si>
    <t>C:\Users\franc\OneDrive\Documentos\MALENTIN KARIME\BANCO ESTADO\2012 DEPTO ESCRITURAS fata\Dc Simples\RESPALDO comp notaria 27_12_12\NOTARIA 2012\AUTORIZACIONES\ENELSA.doc</t>
  </si>
  <si>
    <t>C:\Users\franc\OneDrive\Documentos\MALENTIN KARIME\BANCO ESTADO\2012 DEPTO ESCRITURAS fata\Dc Simples\RESPALDO comp notaria 27_12_12\NOTARIA 2012\AUTORIZACIONES\ENAMI.doc</t>
  </si>
  <si>
    <t>C:\Users\franc\OneDrive\Documentos\MALENTIN KARIME\BANCO ESTADO\2012 DEPTO ESCRITURAS fata\Dc Simples\RESPALDO comp notaria 27_12_12\NOTARIA 2012\AUTORIZACIONES\DOMIILIO COMERCIAL.doc</t>
  </si>
  <si>
    <t>C:\Users\franc\OneDrive\Documentos\MALENTIN KARIME\BANCO ESTADO\2012 DEPTO ESCRITURAS fata\Dc Simples\RESPALDO comp notaria 27_12_12\NOTARIA 2012\AUTORIZACIONES\DOMIILIO COMERCIAL VARIOS.doc</t>
  </si>
  <si>
    <t>C:\Users\franc\OneDrive\Documentos\MALENTIN KARIME\BANCO ESTADO\2012 DEPTO ESCRITURAS fata\Dc Simples\RESPALDO comp notaria 27_12_12\NOTARIA 2012\AUTORIZACIONES\DOMIILIO COMERCIAL DOS.doc</t>
  </si>
  <si>
    <t>C:\Users\franc\OneDrive\Documentos\MALENTIN KARIME\BANCO ESTADO\2012 DEPTO ESCRITURAS fata\Dc Simples\RESPALDO comp notaria 27_12_12\NOTARIA 2012\AUTORIZACIONES\DOMIILIO COMERCIAL 5.doc</t>
  </si>
  <si>
    <t>C:\Users\franc\OneDrive\Documentos\MALENTIN KARIME\BANCO ESTADO\2012 DEPTO ESCRITURAS fata\Dc Simples\RESPALDO comp notaria 27_12_12\NOTARIA 2012\AUTORIZACIONES\DIRECCION COMERCIAL, ESCRITURA.doc</t>
  </si>
  <si>
    <t>C:\Users\franc\OneDrive\Documentos\MALENTIN KARIME\BANCO ESTADO\2012 DEPTO ESCRITURAS fata\Dc Simples\RESPALDO comp notaria 27_12_12\NOTARIA 2012\AUTORIZACIONES\CONAFE,PEJERREYES.doc</t>
  </si>
  <si>
    <t>C:\Users\franc\OneDrive\Documentos\MALENTIN KARIME\BANCO ESTADO\2012 DEPTO ESCRITURAS fata\Dc Simples\RESPALDO comp notaria 27_12_12\NOTARIA 2012\AUTORIZACIONES\CONAFE,los maitenes.doc</t>
  </si>
  <si>
    <t>C:\Users\franc\OneDrive\Documentos\MALENTIN KARIME\BANCO ESTADO\2012 DEPTO ESCRITURAS fata\Dc Simples\RESPALDO comp notaria 27_12_12\NOTARIA 2012\AUTORIZACIONES\CONAFE, alcones.doc</t>
  </si>
  <si>
    <t>C:\Users\franc\OneDrive\Documentos\MALENTIN KARIME\BANCO ESTADO\2012 DEPTO ESCRITURAS fata\Dc Simples\RESPALDO comp notaria 27_12_12\NOTARIA 2012\AUTORIZACIONES\CONAFE sucesion.doc</t>
  </si>
  <si>
    <t>C:\Users\franc\OneDrive\Documentos\MALENTIN KARIME\BANCO ESTADO\2012 DEPTO ESCRITURAS fata\Dc Simples\RESPALDO comp notaria 27_12_12\NOTARIA 2012\AUTORIZACIONES\CONAFE PEND..doc</t>
  </si>
  <si>
    <t>C:\Users\franc\OneDrive\Documentos\MALENTIN KARIME\BANCO ESTADO\2012 DEPTO ESCRITURAS fata\Dc Simples\RESPALDO comp notaria 27_12_12\NOTARIA 2012\AUTORIZACIONES\CONAFE OK.doc</t>
  </si>
  <si>
    <t>C:\Users\franc\OneDrive\Documentos\MALENTIN KARIME\BANCO ESTADO\2012 DEPTO ESCRITURAS fata\Dc Simples\RESPALDO comp notaria 27_12_12\NOTARIA 2012\AUTORIZACIONES\CONAFE OK,.doc</t>
  </si>
  <si>
    <t>C:\Users\franc\OneDrive\Documentos\MALENTIN KARIME\BANCO ESTADO\2012 DEPTO ESCRITURAS fata\Dc Simples\RESPALDO comp notaria 27_12_12\NOTARIA 2012\AUTORIZACIONES\CONAFE minuta.doc</t>
  </si>
  <si>
    <t>C:\Users\franc\OneDrive\Documentos\MALENTIN KARIME\BANCO ESTADO\2012 DEPTO ESCRITURAS fata\Dc Simples\RESPALDO comp notaria 27_12_12\NOTARIA 2012\AUTORIZACIONES\CONAFE LUIS LOYOLA.doc</t>
  </si>
  <si>
    <t>C:\Users\franc\OneDrive\Documentos\MALENTIN KARIME\BANCO ESTADO\2012 DEPTO ESCRITURAS fata\Dc Simples\RESPALDO comp notaria 27_12_12\NOTARIA 2012\AUTORIZACIONES\CONAFE CREDITO.doc</t>
  </si>
  <si>
    <t>C:\Users\franc\OneDrive\Documentos\MALENTIN KARIME\BANCO ESTADO\2012 DEPTO ESCRITURAS fata\Dc Simples\RESPALDO comp notaria 27_12_12\NOTARIA 2012\AUTORIZACIONES\CONAFE ALCONES.doc</t>
  </si>
  <si>
    <t>C:\Users\franc\OneDrive\Documentos\MALENTIN KARIME\BANCO ESTADO\2012 DEPTO ESCRITURAS fata\Dc Simples\RESPALDO comp notaria 27_12_12\NOTARIA 2012\AUTORIZACIONES\CONAFE 8 PERS.doc</t>
  </si>
  <si>
    <t>C:\Users\franc\OneDrive\Documentos\MALENTIN KARIME\BANCO ESTADO\2012 DEPTO ESCRITURAS fata\Dc Simples\RESPALDO comp notaria 27_12_12\NOTARIA 2012\AUTORIZACIONES\COMUNIDAD AGRICOLA MANQUEHUA.doc</t>
  </si>
  <si>
    <t>C:\Users\franc\OneDrive\Documentos\MALENTIN KARIME\BANCO ESTADO\2012 DEPTO ESCRITURAS fata\Dc Simples\RESPALDO comp notaria 27_12_12\NOTARIA 2012\AUTORIZACIONES\comite pro agua.doc</t>
  </si>
  <si>
    <t>C:\Users\franc\OneDrive\Documentos\MALENTIN KARIME\BANCO ESTADO\2012 DEPTO ESCRITURAS fata\Dc Simples\RESPALDO comp notaria 27_12_12\NOTARIA 2012\AUTORIZACIONES\CEMENTERIO.doc</t>
  </si>
  <si>
    <t>C:\Users\franc\OneDrive\Documentos\MALENTIN KARIME\BANCO ESTADO\2012 DEPTO ESCRITURAS fata\Dc Simples\RESPALDO comp notaria 27_12_12\NOTARIA 2012\AUTORIZACIONES\CEMENTERIO TRASLADO.doc</t>
  </si>
  <si>
    <t>C:\Users\franc\OneDrive\Documentos\MALENTIN KARIME\BANCO ESTADO\2012 DEPTO ESCRITURAS fata\Dc Simples\RESPALDO comp notaria 27_12_12\NOTARIA 2012\AUTORIZACIONES\CEMENTERIO TRASLADO en 1 persona.doc</t>
  </si>
  <si>
    <t>C:\Users\franc\OneDrive\Documentos\MALENTIN KARIME\BANCO ESTADO\2012 DEPTO ESCRITURAS fata\Dc Simples\RESPALDO comp notaria 27_12_12\NOTARIA 2012\AUTORIZACIONES\CEMENTERIO reduccion2.doc</t>
  </si>
  <si>
    <t>C:\Users\franc\OneDrive\Documentos\MALENTIN KARIME\BANCO ESTADO\2012 DEPTO ESCRITURAS fata\Dc Simples\RESPALDO comp notaria 27_12_12\NOTARIA 2012\AUTORIZACIONES\CEMENTERIO reduccion.doc</t>
  </si>
  <si>
    <t>C:\Users\franc\OneDrive\Documentos\MALENTIN KARIME\BANCO ESTADO\2012 DEPTO ESCRITURAS fata\Dc Simples\RESPALDO comp notaria 27_12_12\NOTARIA 2012\AUTORIZACIONES\CEMENTERIO NN.doc</t>
  </si>
  <si>
    <t>C:\Users\franc\OneDrive\Documentos\MALENTIN KARIME\BANCO ESTADO\2012 DEPTO ESCRITURAS fata\Dc Simples\RESPALDO comp notaria 27_12_12\NOTARIA 2012\AUTORIZACIONES\CEMENTERIO HNOS CASTILLO CONTRERAS.doc</t>
  </si>
  <si>
    <t>C:\Users\franc\OneDrive\Documentos\MALENTIN KARIME\BANCO ESTADO\2012 DEPTO ESCRITURAS fata\Dc Simples\RESPALDO comp notaria 27_12_12\NOTARIA 2012\AUTORIZACIONES\CEMENTERIO don gabriel.doc</t>
  </si>
  <si>
    <t>C:\Users\franc\OneDrive\Documentos\MALENTIN KARIME\BANCO ESTADO\2012 DEPTO ESCRITURAS fata\Dc Simples\RESPALDO comp notaria 27_12_12\NOTARIA 2012\AUTORIZACIONES\CEMENTERIO 8 HNOS..doc</t>
  </si>
  <si>
    <t>C:\Users\franc\OneDrive\Documentos\MALENTIN KARIME\BANCO ESTADO\2012 DEPTO ESCRITURAS fata\Dc Simples\RESPALDO comp notaria 27_12_12\NOTARIA 2012\AUTORIZACIONES\CARGO MENOR 2 padres.doc</t>
  </si>
  <si>
    <t>C:\Users\franc\OneDrive\Documentos\MALENTIN KARIME\BANCO ESTADO\2012 DEPTO ESCRITURAS fata\Dc Simples\RESPALDO comp notaria 27_12_12\NOTARIA 2012\AUTORIZACIONES\CARGO MENOR 1 padre.doc</t>
  </si>
  <si>
    <t>C:\Users\franc\OneDrive\Documentos\MALENTIN KARIME\BANCO ESTADO\2012 DEPTO ESCRITURAS fata\Dc Simples\RESPALDO comp notaria 27_12_12\NOTARIA 2012\AUTORIZACIONES\autorizo firma 3 muni.doc</t>
  </si>
  <si>
    <t>C:\Users\franc\OneDrive\Documentos\MALENTIN KARIME\BANCO ESTADO\2012 DEPTO ESCRITURAS fata\Dc Simples\RESPALDO comp notaria 27_12_12\NOTARIA 2012\AUTORIZACIONES\AUTORIZACION TRABAJO SERVIDUMBRE.doc</t>
  </si>
  <si>
    <t>C:\Users\franc\OneDrive\Documentos\MALENTIN KARIME\BANCO ESTADO\2012 DEPTO ESCRITURAS fata\Dc Simples\RESPALDO comp notaria 27_12_12\NOTARIA 2012\AUTORIZACIONES\AUTORIZACION SERVICIO MEDICO.doc</t>
  </si>
  <si>
    <t>C:\Users\franc\OneDrive\Documentos\MALENTIN KARIME\BANCO ESTADO\2012 DEPTO ESCRITURAS fata\Dc Simples\RESPALDO comp notaria 27_12_12\NOTARIA 2012\AUTORIZACIONES\AUTORIZACION PAGARE SIMPLE.doc</t>
  </si>
  <si>
    <t>C:\Users\franc\OneDrive\Documentos\MALENTIN KARIME\BANCO ESTADO\2012 DEPTO ESCRITURAS fata\Dc Simples\RESPALDO comp notaria 27_12_12\NOTARIA 2012\AUTORIZACIONES\AUTORIZACION DOCTO.doc</t>
  </si>
  <si>
    <t>C:\Users\franc\OneDrive\Documentos\MALENTIN KARIME\BANCO ESTADO\2012 DEPTO ESCRITURAS fata\Dc Simples\RESPALDO comp notaria 27_12_12\NOTARIA 2012\AUTORIZACIONES\AUTORIZACION BANCO.doc</t>
  </si>
  <si>
    <t>C:\Users\franc\OneDrive\Documentos\MALENTIN KARIME\BANCO ESTADO\2012 DEPTO ESCRITURAS fata\Dc Simples\RESPALDO comp notaria 27_12_12\NOTARIA 2012\AUTORIZACIONES\AUT.SALIDA 2 PADRE Nueva York.doc</t>
  </si>
  <si>
    <t>C:\Users\franc\OneDrive\Documentos\MALENTIN KARIME\BANCO ESTADO\2012 DEPTO ESCRITURAS fata\Dc Simples\RESPALDO comp notaria 27_12_12\NOTARIA 2012\AUTORIZACIONES\AUT.SALIDA 1 PADRE Nueva York.doc</t>
  </si>
  <si>
    <t>C:\Users\franc\OneDrive\Documentos\MALENTIN KARIME\BANCO ESTADO\2012 DEPTO ESCRITURAS fata\Dc Simples\RESPALDO comp notaria 27_12_12\NOTARIA 2012\AUTORIZACIONES\AUT.PAGARE F24.doc</t>
  </si>
  <si>
    <t>C:\Users\franc\OneDrive\Documentos\MALENTIN KARIME\BANCO ESTADO\2012 DEPTO ESCRITURAS fata\Dc Simples\RESPALDO comp notaria 27_12_12\NOTARIA 2012\AUTORIZACIONES\AUT. TERRENO.doc</t>
  </si>
  <si>
    <t>C:\Users\franc\OneDrive\Documentos\MALENTIN KARIME\BANCO ESTADO\2012 DEPTO ESCRITURAS fata\Dc Simples\RESPALDO comp notaria 27_12_12\NOTARIA 2012\AUTORIZACIONES\AUT. TALLER MECANICO.doc</t>
  </si>
  <si>
    <t>C:\Users\franc\OneDrive\Documentos\MALENTIN KARIME\BANCO ESTADO\2012 DEPTO ESCRITURAS fata\Dc Simples\RESPALDO comp notaria 27_12_12\NOTARIA 2012\AUTORIZACIONES\AUT. RETIRO DE PERTENENCIAS.doc</t>
  </si>
  <si>
    <t>C:\Users\franc\OneDrive\Documentos\MALENTIN KARIME\BANCO ESTADO\2012 DEPTO ESCRITURAS fata\Dc Simples\RESPALDO comp notaria 27_12_12\NOTARIA 2012\AUTORIZACIONES\AUT. DESCUENTO.doc</t>
  </si>
  <si>
    <t>C:\Users\franc\OneDrive\Documentos\MALENTIN KARIME\BANCO ESTADO\2012 DEPTO ESCRITURAS fata\Dc Simples\RESPALDO comp notaria 27_12_12\NOTARIA 2012\AUTORIZACIONES\AUT. CAZA.doc</t>
  </si>
  <si>
    <t>C:\Users\franc\OneDrive\Documentos\MALENTIN KARIME\BANCO ESTADO\2012 DEPTO ESCRITURAS fata\Dc Simples\RESPALDO comp notaria 27_12_12\NOTARIA 2012\AUTORIZACIONES\AUT. CAMPAÑA.doc</t>
  </si>
  <si>
    <t>C:\Users\franc\OneDrive\Documentos\MALENTIN KARIME\BANCO ESTADO\2012 DEPTO ESCRITURAS fata\Dc Simples\RESPALDO comp notaria 27_12_12\NOTARIA 2012\AUTORIZACIONES\AUSENT. PERUANO.doc</t>
  </si>
  <si>
    <t>C:\Users\franc\OneDrive\Documentos\MALENTIN KARIME\BANCO ESTADO\2012 DEPTO ESCRITURAS fata\Dc Simples\RESPALDO comp notaria 27_12_12\NOTARIA 2012\AUTORIZACIONES\ARRIENDO AGRICOLA.doc</t>
  </si>
  <si>
    <t>C:\Users\franc\OneDrive\Documentos\MALENTIN KARIME\BANCO ESTADO\2012 DEPTO ESCRITURAS fata\Dc Simples\RESPALDO comp notaria 27_12_12\NOTARIA 2012\AUTORIZACIONES\AGUAS, TRASPASO SIMPLE.doc</t>
  </si>
  <si>
    <t>C:\Users\franc\OneDrive\Documentos\MALENTIN KARIME\BANCO ESTADO\2012 DEPTO ESCRITURAS fata\Dc Simples\RESPALDO comp notaria 27_12_12\NOTARIA 2012\AUTORIZACIONES\ADOSAMIENTO.doc</t>
  </si>
  <si>
    <t>C:\Users\franc\OneDrive\Documentos\MALENTIN KARIME\BANCO ESTADO\2012 DEPTO ESCRITURAS fata\Dc Simples\RESPALDO comp notaria 27_12_12\NOTARIA 2012\AUTORIZACIONES\ADOSAMIENTO 1.doc</t>
  </si>
  <si>
    <t>C:\Users\franc\OneDrive\Documentos\MALENTIN KARIME\BANCO ESTADO\2012 DEPTO ESCRITURAS fata\Dc Simples\RESPALDO comp notaria 27_12_12\NOTARIA 2012\ARRIENDOS\ZOILA RIVERA.doc</t>
  </si>
  <si>
    <t>C:\Users\franc\OneDrive\Documentos\MALENTIN KARIME\BANCO ESTADO\2012 DEPTO ESCRITURAS fata\Dc Simples\RESPALDO comp notaria 27_12_12\NOTARIA 2012\ARRIENDOS\YESICA GOMEZ.doc</t>
  </si>
  <si>
    <t>C:\Users\franc\OneDrive\Documentos\MALENTIN KARIME\BANCO ESTADO\2012 DEPTO ESCRITURAS fata\Dc Simples\RESPALDO comp notaria 27_12_12\NOTARIA 2012\ARRIENDOS\VICTOR MUÑOZ E HIJO.doc</t>
  </si>
  <si>
    <t>C:\Users\franc\OneDrive\Documentos\MALENTIN KARIME\BANCO ESTADO\2012 DEPTO ESCRITURAS fata\Dc Simples\RESPALDO comp notaria 27_12_12\NOTARIA 2012\ARRIENDOS\VALLE SALUD.doc</t>
  </si>
  <si>
    <t>C:\Users\franc\OneDrive\Documentos\MALENTIN KARIME\BANCO ESTADO\2012 DEPTO ESCRITURAS fata\Dc Simples\RESPALDO comp notaria 27_12_12\NOTARIA 2012\ARRIENDOS\VALENTIN MONARDEZ E HIJA.doc</t>
  </si>
  <si>
    <t>C:\Users\franc\OneDrive\Documentos\MALENTIN KARIME\BANCO ESTADO\2012 DEPTO ESCRITURAS fata\Dc Simples\RESPALDO comp notaria 27_12_12\NOTARIA 2012\ARRIENDOS\TERESA ARAYA.doc</t>
  </si>
  <si>
    <t>C:\Users\franc\OneDrive\Documentos\MALENTIN KARIME\BANCO ESTADO\2012 DEPTO ESCRITURAS fata\Dc Simples\RESPALDO comp notaria 27_12_12\NOTARIA 2012\ARRIENDOS\SUCESION ARRIAGADA.doc</t>
  </si>
  <si>
    <t>C:\Users\franc\OneDrive\Documentos\MALENTIN KARIME\BANCO ESTADO\2012 DEPTO ESCRITURAS fata\Dc Simples\RESPALDO comp notaria 27_12_12\NOTARIA 2012\ARRIENDOS\SUC. SEGOVIA.doc</t>
  </si>
  <si>
    <t>C:\Users\franc\OneDrive\Documentos\MALENTIN KARIME\BANCO ESTADO\2012 DEPTO ESCRITURAS fata\Dc Simples\RESPALDO comp notaria 27_12_12\NOTARIA 2012\ARRIENDOS\SUC. SAMUEL CORTES CARVAJAL.doc</t>
  </si>
  <si>
    <t>C:\Users\franc\OneDrive\Documentos\MALENTIN KARIME\BANCO ESTADO\2012 DEPTO ESCRITURAS fata\Dc Simples\RESPALDO comp notaria 27_12_12\NOTARIA 2012\ARRIENDOS\SUC. SAMUEL CORTES CARVAJAL 2.doc</t>
  </si>
  <si>
    <t>C:\Users\franc\OneDrive\Documentos\MALENTIN KARIME\BANCO ESTADO\2012 DEPTO ESCRITURAS fata\Dc Simples\RESPALDO comp notaria 27_12_12\NOTARIA 2012\ARRIENDOS\SUBARRIENDO AGRICOLA.doc</t>
  </si>
  <si>
    <t>C:\Users\franc\OneDrive\Documentos\MALENTIN KARIME\BANCO ESTADO\2012 DEPTO ESCRITURAS fata\Dc Simples\RESPALDO comp notaria 27_12_12\NOTARIA 2012\ARRIENDOS\SOC. AGRICOLA FRUTINOR.doc</t>
  </si>
  <si>
    <t>C:\Users\franc\OneDrive\Documentos\MALENTIN KARIME\BANCO ESTADO\2012 DEPTO ESCRITURAS fata\Dc Simples\RESPALDO comp notaria 27_12_12\NOTARIA 2012\ARRIENDOS\SOC. AGRIC. RAUL GONZALEZ.doc</t>
  </si>
  <si>
    <t>C:\Users\franc\OneDrive\Documentos\MALENTIN KARIME\BANCO ESTADO\2012 DEPTO ESCRITURAS fata\Dc Simples\RESPALDO comp notaria 27_12_12\NOTARIA 2012\ARRIENDOS\SOC. AGRIC. DIOGENES ROJAS.doc</t>
  </si>
  <si>
    <t>C:\Users\franc\OneDrive\Documentos\MALENTIN KARIME\BANCO ESTADO\2012 DEPTO ESCRITURAS fata\Dc Simples\RESPALDO comp notaria 27_12_12\NOTARIA 2012\ARRIENDOS\SILVIA RAMOS.doc</t>
  </si>
  <si>
    <t>C:\Users\franc\OneDrive\Documentos\MALENTIN KARIME\BANCO ESTADO\2012 DEPTO ESCRITURAS fata\Dc Simples\RESPALDO comp notaria 27_12_12\NOTARIA 2012\ARRIENDOS\SERV. ALIMENTICIOS LTDA..doc</t>
  </si>
  <si>
    <t>C:\Users\franc\OneDrive\Documentos\MALENTIN KARIME\BANCO ESTADO\2012 DEPTO ESCRITURAS fata\Dc Simples\RESPALDO comp notaria 27_12_12\NOTARIA 2012\ARRIENDOS\SERGIO PUENTE LEIVA.doc</t>
  </si>
  <si>
    <t>C:\Users\franc\OneDrive\Documentos\MALENTIN KARIME\BANCO ESTADO\2012 DEPTO ESCRITURAS fata\Dc Simples\RESPALDO comp notaria 27_12_12\NOTARIA 2012\ARRIENDOS\SERGIO BUEGUEÑO ROSALES.doc</t>
  </si>
  <si>
    <t>C:\Users\franc\OneDrive\Documentos\MALENTIN KARIME\BANCO ESTADO\2012 DEPTO ESCRITURAS fata\Dc Simples\RESPALDO comp notaria 27_12_12\NOTARIA 2012\ARRIENDOS\SERAFIN GUZMAN.doc</t>
  </si>
  <si>
    <t>C:\Users\franc\OneDrive\Documentos\MALENTIN KARIME\BANCO ESTADO\2012 DEPTO ESCRITURAS fata\Dc Simples\RESPALDO comp notaria 27_12_12\NOTARIA 2012\ARRIENDOS\SELMEN DAIRE.doc</t>
  </si>
  <si>
    <t>C:\Users\franc\OneDrive\Documentos\MALENTIN KARIME\BANCO ESTADO\2012 DEPTO ESCRITURAS fata\Dc Simples\RESPALDO comp notaria 27_12_12\NOTARIA 2012\ARRIENDOS\SELMEN DAIRE rumpo grande.doc</t>
  </si>
  <si>
    <t>C:\Users\franc\OneDrive\Documentos\MALENTIN KARIME\BANCO ESTADO\2012 DEPTO ESCRITURAS fata\Dc Simples\RESPALDO comp notaria 27_12_12\NOTARIA 2012\ARRIENDOS\SELMEN DAIRE A CAPSICUM.doc</t>
  </si>
  <si>
    <t>C:\Users\franc\OneDrive\Documentos\MALENTIN KARIME\BANCO ESTADO\2012 DEPTO ESCRITURAS fata\Dc Simples\RESPALDO comp notaria 27_12_12\NOTARIA 2012\ARRIENDOS\SALVADOR.doc</t>
  </si>
  <si>
    <t>C:\Users\franc\OneDrive\Documentos\MALENTIN KARIME\BANCO ESTADO\2012 DEPTO ESCRITURAS fata\Dc Simples\RESPALDO comp notaria 27_12_12\NOTARIA 2012\ARRIENDOS\SALVADOR GALLEGUILLOS.doc</t>
  </si>
  <si>
    <t>C:\Users\franc\OneDrive\Documentos\MALENTIN KARIME\BANCO ESTADO\2012 DEPTO ESCRITURAS fata\Dc Simples\RESPALDO comp notaria 27_12_12\NOTARIA 2012\ARRIENDOS\ROSARIO ANTIQUERA.doc</t>
  </si>
  <si>
    <t>C:\Users\franc\OneDrive\Documentos\MALENTIN KARIME\BANCO ESTADO\2012 DEPTO ESCRITURAS fata\Dc Simples\RESPALDO comp notaria 27_12_12\NOTARIA 2012\ARRIENDOS\ROSA ROJAS VEAS.doc</t>
  </si>
  <si>
    <t>C:\Users\franc\OneDrive\Documentos\MALENTIN KARIME\BANCO ESTADO\2012 DEPTO ESCRITURAS fata\Dc Simples\RESPALDO comp notaria 27_12_12\NOTARIA 2012\ARRIENDOS\ROSA ARAYA MOLINOS.doc</t>
  </si>
  <si>
    <t>C:\Users\franc\OneDrive\Documentos\MALENTIN KARIME\BANCO ESTADO\2012 DEPTO ESCRITURAS fata\Dc Simples\RESPALDO comp notaria 27_12_12\NOTARIA 2012\ARRIENDOS\ROLANDO MANRIQUEZ.doc</t>
  </si>
  <si>
    <t>C:\Users\franc\OneDrive\Documentos\MALENTIN KARIME\BANCO ESTADO\2012 DEPTO ESCRITURAS fata\Dc Simples\RESPALDO comp notaria 27_12_12\NOTARIA 2012\ARRIENDOS\ROLANDO LOPEZ.doc</t>
  </si>
  <si>
    <t>C:\Users\franc\OneDrive\Documentos\MALENTIN KARIME\BANCO ESTADO\2012 DEPTO ESCRITURAS fata\Dc Simples\RESPALDO comp notaria 27_12_12\NOTARIA 2012\ARRIENDOS\RODRIGO HERRERA PIEL.doc</t>
  </si>
  <si>
    <t>C:\Users\franc\OneDrive\Documentos\MALENTIN KARIME\BANCO ESTADO\2012 DEPTO ESCRITURAS fata\Dc Simples\RESPALDO comp notaria 27_12_12\NOTARIA 2012\ARRIENDOS\RODOLFO ORELLANA AHUMADA.doc</t>
  </si>
  <si>
    <t>C:\Users\franc\OneDrive\Documentos\MALENTIN KARIME\BANCO ESTADO\2012 DEPTO ESCRITURAS fata\Dc Simples\RESPALDO comp notaria 27_12_12\NOTARIA 2012\ARRIENDOS\ROBERTO CORTES CORRAL.doc</t>
  </si>
  <si>
    <t>C:\Users\franc\OneDrive\Documentos\MALENTIN KARIME\BANCO ESTADO\2012 DEPTO ESCRITURAS fata\Dc Simples\RESPALDO comp notaria 27_12_12\NOTARIA 2012\ARRIENDOS\RICARDO DELGADO Y LILIANA.doc</t>
  </si>
  <si>
    <t>C:\Users\franc\OneDrive\Documentos\MALENTIN KARIME\BANCO ESTADO\2012 DEPTO ESCRITURAS fata\Dc Simples\RESPALDO comp notaria 27_12_12\NOTARIA 2012\ARRIENDOS\RESCILIACION AGRICOLA.doc</t>
  </si>
  <si>
    <t>C:\Users\franc\OneDrive\Documentos\MALENTIN KARIME\BANCO ESTADO\2012 DEPTO ESCRITURAS fata\Dc Simples\RESPALDO comp notaria 27_12_12\NOTARIA 2012\ARRIENDOS\RENE MIRANDA.doc</t>
  </si>
  <si>
    <t>C:\Users\franc\OneDrive\Documentos\MALENTIN KARIME\BANCO ESTADO\2012 DEPTO ESCRITURAS fata\Dc Simples\RESPALDO comp notaria 27_12_12\NOTARIA 2012\ARRIENDOS\RENE CHAU.doc</t>
  </si>
  <si>
    <t>C:\Users\franc\OneDrive\Documentos\MALENTIN KARIME\BANCO ESTADO\2012 DEPTO ESCRITURAS fata\Dc Simples\RESPALDO comp notaria 27_12_12\NOTARIA 2012\ARRIENDOS\RAUL LUIS GARRIDO.doc</t>
  </si>
  <si>
    <t>C:\Users\franc\OneDrive\Documentos\MALENTIN KARIME\BANCO ESTADO\2012 DEPTO ESCRITURAS fata\Dc Simples\RESPALDO comp notaria 27_12_12\NOTARIA 2012\ARRIENDOS\RAUL GARRIDO &amp; PATRICIO RIVERA.doc</t>
  </si>
  <si>
    <t>C:\Users\franc\OneDrive\Documentos\MALENTIN KARIME\BANCO ESTADO\2012 DEPTO ESCRITURAS fata\Dc Simples\RESPALDO comp notaria 27_12_12\NOTARIA 2012\ARRIENDOS\RAUL DE LA CRUZ ARAYA.doc</t>
  </si>
  <si>
    <t>C:\Users\franc\OneDrive\Documentos\MALENTIN KARIME\BANCO ESTADO\2012 DEPTO ESCRITURAS fata\Dc Simples\RESPALDO comp notaria 27_12_12\NOTARIA 2012\ARRIENDOS\RAUL BARRAZA.doc</t>
  </si>
  <si>
    <t>C:\Users\franc\OneDrive\Documentos\MALENTIN KARIME\BANCO ESTADO\2012 DEPTO ESCRITURAS fata\Dc Simples\RESPALDO comp notaria 27_12_12\NOTARIA 2012\ARRIENDOS\RAMON ALFARO CORTES La Chimba.doc</t>
  </si>
  <si>
    <t>C:\Users\franc\OneDrive\Documentos\MALENTIN KARIME\BANCO ESTADO\2012 DEPTO ESCRITURAS fata\Dc Simples\RESPALDO comp notaria 27_12_12\NOTARIA 2012\ARRIENDOS\RAFAEL ALFONSO ESPINOZA.doc</t>
  </si>
  <si>
    <t>C:\Users\franc\OneDrive\Documentos\MALENTIN KARIME\BANCO ESTADO\2012 DEPTO ESCRITURAS fata\Dc Simples\RESPALDO comp notaria 27_12_12\NOTARIA 2012\ARRIENDOS\PROMESA JIMENA FERNANDEZ.doc</t>
  </si>
  <si>
    <t>C:\Users\franc\OneDrive\Documentos\MALENTIN KARIME\BANCO ESTADO\2012 DEPTO ESCRITURAS fata\Dc Simples\RESPALDO comp notaria 27_12_12\NOTARIA 2012\ARRIENDOS\POSTACIÓN.doc</t>
  </si>
  <si>
    <t>C:\Users\franc\OneDrive\Documentos\MALENTIN KARIME\BANCO ESTADO\2012 DEPTO ESCRITURAS fata\Dc Simples\RESPALDO comp notaria 27_12_12\NOTARIA 2012\ARRIENDOS\PORCENTAJE ESMERALDO VALDIVIA.doc</t>
  </si>
  <si>
    <t>C:\Users\franc\OneDrive\Documentos\MALENTIN KARIME\BANCO ESTADO\2012 DEPTO ESCRITURAS fata\Dc Simples\RESPALDO comp notaria 27_12_12\NOTARIA 2012\ARRIENDOS\PERCIBAL VELASQUEZ.doc</t>
  </si>
  <si>
    <t>C:\Users\franc\OneDrive\Documentos\MALENTIN KARIME\BANCO ESTADO\2012 DEPTO ESCRITURAS fata\Dc Simples\RESPALDO comp notaria 27_12_12\NOTARIA 2012\ARRIENDOS\PERCIBAL VELASQUEZ Y FDO. ADONES.doc</t>
  </si>
  <si>
    <t>C:\Users\franc\OneDrive\Documentos\MALENTIN KARIME\BANCO ESTADO\2012 DEPTO ESCRITURAS fata\Dc Simples\RESPALDO comp notaria 27_12_12\NOTARIA 2012\ARRIENDOS\PEDRO LOPEZ.doc</t>
  </si>
  <si>
    <t>C:\Users\franc\OneDrive\Documentos\MALENTIN KARIME\BANCO ESTADO\2012 DEPTO ESCRITURAS fata\Dc Simples\RESPALDO comp notaria 27_12_12\NOTARIA 2012\ARRIENDOS\PEDRO CORTES ROBLES.doc</t>
  </si>
  <si>
    <t>C:\Users\franc\OneDrive\Documentos\MALENTIN KARIME\BANCO ESTADO\2012 DEPTO ESCRITURAS fata\Dc Simples\RESPALDO comp notaria 27_12_12\NOTARIA 2012\ARRIENDOS\PAULINA ROJAS DIAZ.doc</t>
  </si>
  <si>
    <t>C:\Users\franc\OneDrive\Documentos\MALENTIN KARIME\BANCO ESTADO\2012 DEPTO ESCRITURAS fata\Dc Simples\RESPALDO comp notaria 27_12_12\NOTARIA 2012\ARRIENDOS\PATRICIO RIVERA.doc</t>
  </si>
  <si>
    <t>C:\Users\franc\OneDrive\Documentos\MALENTIN KARIME\BANCO ESTADO\2012 DEPTO ESCRITURAS fata\Dc Simples\RESPALDO comp notaria 27_12_12\NOTARIA 2012\ARRIENDOS\PATRICIO ALVARADO.doc</t>
  </si>
  <si>
    <t>C:\Users\franc\OneDrive\Documentos\MALENTIN KARIME\BANCO ESTADO\2012 DEPTO ESCRITURAS fata\Dc Simples\RESPALDO comp notaria 27_12_12\NOTARIA 2012\ARRIENDOS\PATRICIA ROJAS.doc</t>
  </si>
  <si>
    <t>C:\Users\franc\OneDrive\Documentos\MALENTIN KARIME\BANCO ESTADO\2012 DEPTO ESCRITURAS fata\Dc Simples\RESPALDO comp notaria 27_12_12\NOTARIA 2012\ARRIENDOS\PATO ALFARO.doc</t>
  </si>
  <si>
    <t>C:\Users\franc\OneDrive\Documentos\MALENTIN KARIME\BANCO ESTADO\2012 DEPTO ESCRITURAS fata\Dc Simples\RESPALDO comp notaria 27_12_12\NOTARIA 2012\ARRIENDOS\PABLO GODOY.doc</t>
  </si>
  <si>
    <t>C:\Users\franc\OneDrive\Documentos\MALENTIN KARIME\BANCO ESTADO\2012 DEPTO ESCRITURAS fata\Dc Simples\RESPALDO comp notaria 27_12_12\NOTARIA 2012\ARRIENDOS\PABLA GOMEZ.doc</t>
  </si>
  <si>
    <t>C:\Users\franc\OneDrive\Documentos\MALENTIN KARIME\BANCO ESTADO\2012 DEPTO ESCRITURAS fata\Dc Simples\RESPALDO comp notaria 27_12_12\NOTARIA 2012\ARRIENDOS\OSCAR AGUIRRE.doc</t>
  </si>
  <si>
    <t>C:\Users\franc\OneDrive\Documentos\MALENTIN KARIME\BANCO ESTADO\2012 DEPTO ESCRITURAS fata\Dc Simples\RESPALDO comp notaria 27_12_12\NOTARIA 2012\ARRIENDOS\ORREGO HNOS. Y CIA..doc</t>
  </si>
  <si>
    <t>C:\Users\franc\OneDrive\Documentos\MALENTIN KARIME\BANCO ESTADO\2012 DEPTO ESCRITURAS fata\Dc Simples\RESPALDO comp notaria 27_12_12\NOTARIA 2012\ARRIENDOS\ORLANDO VALDVIA.doc</t>
  </si>
  <si>
    <t>C:\Users\franc\OneDrive\Documentos\MALENTIN KARIME\BANCO ESTADO\2012 DEPTO ESCRITURAS fata\Dc Simples\RESPALDO comp notaria 27_12_12\NOTARIA 2012\ARRIENDOS\ORLANDO VALDIVIA.doc</t>
  </si>
  <si>
    <t>C:\Users\franc\OneDrive\Documentos\MALENTIN KARIME\BANCO ESTADO\2012 DEPTO ESCRITURAS fata\Dc Simples\RESPALDO comp notaria 27_12_12\NOTARIA 2012\ARRIENDOS\ORLANDO CARVAJAL.doc</t>
  </si>
  <si>
    <t>C:\Users\franc\OneDrive\Documentos\MALENTIN KARIME\BANCO ESTADO\2012 DEPTO ESCRITURAS fata\Dc Simples\RESPALDO comp notaria 27_12_12\NOTARIA 2012\ARRIENDOS\OMAR VENEGAS.doc</t>
  </si>
  <si>
    <t>C:\Users\franc\OneDrive\Documentos\MALENTIN KARIME\BANCO ESTADO\2012 DEPTO ESCRITURAS fata\Dc Simples\RESPALDO comp notaria 27_12_12\NOTARIA 2012\ARRIENDOS\OLGA TABILO.doc</t>
  </si>
  <si>
    <t>C:\Users\franc\OneDrive\Documentos\MALENTIN KARIME\BANCO ESTADO\2012 DEPTO ESCRITURAS fata\Dc Simples\RESPALDO comp notaria 27_12_12\NOTARIA 2012\ARRIENDOS\OFICINA IVAN VARELA.doc</t>
  </si>
  <si>
    <t>C:\Users\franc\OneDrive\Documentos\MALENTIN KARIME\BANCO ESTADO\2012 DEPTO ESCRITURAS fata\Dc Simples\RESPALDO comp notaria 27_12_12\NOTARIA 2012\ARRIENDOS\NOLBA MONDACA.doc</t>
  </si>
  <si>
    <t>C:\Users\franc\OneDrive\Documentos\MALENTIN KARIME\BANCO ESTADO\2012 DEPTO ESCRITURAS fata\Dc Simples\RESPALDO comp notaria 27_12_12\NOTARIA 2012\ARRIENDOS\NICOLAS GARCIA.doc</t>
  </si>
  <si>
    <t>C:\Users\franc\OneDrive\Documentos\MALENTIN KARIME\BANCO ESTADO\2012 DEPTO ESCRITURAS fata\Dc Simples\RESPALDO comp notaria 27_12_12\NOTARIA 2012\ARRIENDOS\NEVENKA RAMIREZ.doc</t>
  </si>
  <si>
    <t>C:\Users\franc\OneDrive\Documentos\MALENTIN KARIME\BANCO ESTADO\2012 DEPTO ESCRITURAS fata\Dc Simples\RESPALDO comp notaria 27_12_12\NOTARIA 2012\ARRIENDOS\NEVENKA RAMIREZ A ESMERALDO V.doc</t>
  </si>
  <si>
    <t>C:\Users\franc\OneDrive\Documentos\MALENTIN KARIME\BANCO ESTADO\2012 DEPTO ESCRITURAS fata\Dc Simples\RESPALDO comp notaria 27_12_12\NOTARIA 2012\ARRIENDOS\NELLY CHACANA CUELLO.doc</t>
  </si>
  <si>
    <t>C:\Users\franc\OneDrive\Documentos\MALENTIN KARIME\BANCO ESTADO\2012 DEPTO ESCRITURAS fata\Dc Simples\RESPALDO comp notaria 27_12_12\NOTARIA 2012\ARRIENDOS\MONICA ARAYA.doc</t>
  </si>
  <si>
    <t>C:\Users\franc\OneDrive\Documentos\MALENTIN KARIME\BANCO ESTADO\2012 DEPTO ESCRITURAS fata\Dc Simples\RESPALDO comp notaria 27_12_12\NOTARIA 2012\ARRIENDOS\MISAEL VALVIDIA.doc</t>
  </si>
  <si>
    <t>C:\Users\franc\OneDrive\Documentos\MALENTIN KARIME\BANCO ESTADO\2012 DEPTO ESCRITURAS fata\Dc Simples\RESPALDO comp notaria 27_12_12\NOTARIA 2012\ARRIENDOS\MIRTA CASTRO.doc</t>
  </si>
  <si>
    <t>C:\Users\franc\OneDrive\Documentos\MALENTIN KARIME\BANCO ESTADO\2012 DEPTO ESCRITURAS fata\Dc Simples\RESPALDO comp notaria 27_12_12\NOTARIA 2012\ARRIENDOS\MILLAN MUÑOZ.doc</t>
  </si>
  <si>
    <t>C:\Users\franc\OneDrive\Documentos\MALENTIN KARIME\BANCO ESTADO\2012 DEPTO ESCRITURAS fata\Dc Simples\RESPALDO comp notaria 27_12_12\NOTARIA 2012\ARRIENDOS\MILLAN MUÑOZ Y TULIO.doc</t>
  </si>
  <si>
    <t>C:\Users\franc\OneDrive\Documentos\MALENTIN KARIME\BANCO ESTADO\2012 DEPTO ESCRITURAS fata\Dc Simples\RESPALDO comp notaria 27_12_12\NOTARIA 2012\ARRIENDOS\MERCEDES CISTERNAS.doc</t>
  </si>
  <si>
    <t>C:\Users\franc\OneDrive\Documentos\MALENTIN KARIME\BANCO ESTADO\2012 DEPTO ESCRITURAS fata\Dc Simples\RESPALDO comp notaria 27_12_12\NOTARIA 2012\ARRIENDOS\MEDIERIA MODELO.doc</t>
  </si>
  <si>
    <t>C:\Users\franc\OneDrive\Documentos\MALENTIN KARIME\BANCO ESTADO\2012 DEPTO ESCRITURAS fata\Dc Simples\RESPALDO comp notaria 27_12_12\NOTARIA 2012\ARRIENDOS\MEDIERIA COMUNERO.doc</t>
  </si>
  <si>
    <t>C:\Users\franc\OneDrive\Documentos\MALENTIN KARIME\BANCO ESTADO\2012 DEPTO ESCRITURAS fata\Dc Simples\RESPALDO comp notaria 27_12_12\NOTARIA 2012\ARRIENDOS\MED.CARLOS BUGUEÑO.doc</t>
  </si>
  <si>
    <t>C:\Users\franc\OneDrive\Documentos\MALENTIN KARIME\BANCO ESTADO\2012 DEPTO ESCRITURAS fata\Dc Simples\RESPALDO comp notaria 27_12_12\NOTARIA 2012\ARRIENDOS\MED. RAUL ADONES.doc</t>
  </si>
  <si>
    <t>C:\Users\franc\OneDrive\Documentos\MALENTIN KARIME\BANCO ESTADO\2012 DEPTO ESCRITURAS fata\Dc Simples\RESPALDO comp notaria 27_12_12\NOTARIA 2012\ARRIENDOS\MED. JUAN MICHEA.doc</t>
  </si>
  <si>
    <t>C:\Users\franc\OneDrive\Documentos\MALENTIN KARIME\BANCO ESTADO\2012 DEPTO ESCRITURAS fata\Dc Simples\RESPALDO comp notaria 27_12_12\NOTARIA 2012\ARRIENDOS\MED. JOSE MARIN.doc</t>
  </si>
  <si>
    <t>C:\Users\franc\OneDrive\Documentos\MALENTIN KARIME\BANCO ESTADO\2012 DEPTO ESCRITURAS fata\Dc Simples\RESPALDO comp notaria 27_12_12\NOTARIA 2012\ARRIENDOS\MED. JOSE CORTES.doc</t>
  </si>
  <si>
    <t>C:\Users\franc\OneDrive\Documentos\MALENTIN KARIME\BANCO ESTADO\2012 DEPTO ESCRITURAS fata\Dc Simples\RESPALDO comp notaria 27_12_12\NOTARIA 2012\ARRIENDOS\MED. GUSTAVO GONZALEZ.doc</t>
  </si>
  <si>
    <t>C:\Users\franc\OneDrive\Documentos\MALENTIN KARIME\BANCO ESTADO\2012 DEPTO ESCRITURAS fata\Dc Simples\RESPALDO comp notaria 27_12_12\NOTARIA 2012\ARRIENDOS\MED. GUSTAVO GONZALEZ A DANILO CONTRERAS.doc</t>
  </si>
  <si>
    <t>C:\Users\franc\OneDrive\Documentos\MALENTIN KARIME\BANCO ESTADO\2012 DEPTO ESCRITURAS fata\Dc Simples\RESPALDO comp notaria 27_12_12\NOTARIA 2012\ARRIENDOS\MED. GUSTAVO CODOCEO.doc</t>
  </si>
  <si>
    <t>C:\Users\franc\OneDrive\Documentos\MALENTIN KARIME\BANCO ESTADO\2012 DEPTO ESCRITURAS fata\Dc Simples\RESPALDO comp notaria 27_12_12\NOTARIA 2012\ARRIENDOS\MED. FRUTINOR.doc</t>
  </si>
  <si>
    <t>C:\Users\franc\OneDrive\Documentos\MALENTIN KARIME\BANCO ESTADO\2012 DEPTO ESCRITURAS fata\Dc Simples\RESPALDO comp notaria 27_12_12\NOTARIA 2012\ARRIENDOS\MED. FELIPE ZEPEDA.doc</t>
  </si>
  <si>
    <t>C:\Users\franc\OneDrive\Documentos\MALENTIN KARIME\BANCO ESTADO\2012 DEPTO ESCRITURAS fata\Dc Simples\RESPALDO comp notaria 27_12_12\NOTARIA 2012\ARRIENDOS\MED. ESMERALDO Y JUAN VARELA.doc</t>
  </si>
  <si>
    <t>C:\Users\franc\OneDrive\Documentos\MALENTIN KARIME\BANCO ESTADO\2012 DEPTO ESCRITURAS fata\Dc Simples\RESPALDO comp notaria 27_12_12\NOTARIA 2012\ARRIENDOS\MED. ESMERALDO Y JAIME ROBLES.doc</t>
  </si>
  <si>
    <t>C:\Users\franc\OneDrive\Documentos\MALENTIN KARIME\BANCO ESTADO\2012 DEPTO ESCRITURAS fata\Dc Simples\RESPALDO comp notaria 27_12_12\NOTARIA 2012\ARRIENDOS\MED. ESMERALDO Y HERNAN VARELA.doc</t>
  </si>
  <si>
    <t>C:\Users\franc\OneDrive\Documentos\MALENTIN KARIME\BANCO ESTADO\2012 DEPTO ESCRITURAS fata\Dc Simples\RESPALDO comp notaria 27_12_12\NOTARIA 2012\ARRIENDOS\MED. ESMERALDO Y FREDDY CORTES.doc</t>
  </si>
  <si>
    <t>C:\Users\franc\OneDrive\Documentos\MALENTIN KARIME\BANCO ESTADO\2012 DEPTO ESCRITURAS fata\Dc Simples\RESPALDO comp notaria 27_12_12\NOTARIA 2012\ARRIENDOS\MARTA ELENA GODOY.doc</t>
  </si>
  <si>
    <t>C:\Users\franc\OneDrive\Documentos\MALENTIN KARIME\BANCO ESTADO\2012 DEPTO ESCRITURAS fata\Dc Simples\RESPALDO comp notaria 27_12_12\NOTARIA 2012\ARRIENDOS\MARIO CORTES URQUIETA.doc</t>
  </si>
  <si>
    <t>C:\Users\franc\OneDrive\Documentos\MALENTIN KARIME\BANCO ESTADO\2012 DEPTO ESCRITURAS fata\Dc Simples\RESPALDO comp notaria 27_12_12\NOTARIA 2012\ARRIENDOS\MARIO ARAYA Y VICTOR PASTEN.doc</t>
  </si>
  <si>
    <t>C:\Users\franc\OneDrive\Documentos\MALENTIN KARIME\BANCO ESTADO\2012 DEPTO ESCRITURAS fata\Dc Simples\RESPALDO comp notaria 27_12_12\NOTARIA 2012\ARRIENDOS\MARIO ARANCIBIA.doc</t>
  </si>
  <si>
    <t>C:\Users\franc\OneDrive\Documentos\MALENTIN KARIME\BANCO ESTADO\2012 DEPTO ESCRITURAS fata\Dc Simples\RESPALDO comp notaria 27_12_12\NOTARIA 2012\ARRIENDOS\MARIO ALFARO.doc</t>
  </si>
  <si>
    <t>C:\Users\franc\OneDrive\Documentos\MALENTIN KARIME\BANCO ESTADO\2012 DEPTO ESCRITURAS fata\Dc Simples\RESPALDO comp notaria 27_12_12\NOTARIA 2012\ARRIENDOS\MARIANO PEREZ ULLOA la tira larga.doc</t>
  </si>
  <si>
    <t>C:\Users\franc\OneDrive\Documentos\MALENTIN KARIME\BANCO ESTADO\2012 DEPTO ESCRITURAS fata\Dc Simples\RESPALDO comp notaria 27_12_12\NOTARIA 2012\ARRIENDOS\MARIANO PEREZ ULLOA la casa.doc</t>
  </si>
  <si>
    <t>C:\Users\franc\OneDrive\Documentos\MALENTIN KARIME\BANCO ESTADO\2012 DEPTO ESCRITURAS fata\Dc Simples\RESPALDO comp notaria 27_12_12\NOTARIA 2012\ARRIENDOS\MARIA VERGARA.doc</t>
  </si>
  <si>
    <t>C:\Users\franc\OneDrive\Documentos\MALENTIN KARIME\BANCO ESTADO\2012 DEPTO ESCRITURAS fata\Dc Simples\RESPALDO comp notaria 27_12_12\NOTARIA 2012\ARRIENDOS\MARIA VALDIVIA.doc</t>
  </si>
  <si>
    <t>C:\Users\franc\OneDrive\Documentos\MALENTIN KARIME\BANCO ESTADO\2012 DEPTO ESCRITURAS fata\Dc Simples\RESPALDO comp notaria 27_12_12\NOTARIA 2012\ARRIENDOS\MARIA MUJICA.doc</t>
  </si>
  <si>
    <t>C:\Users\franc\OneDrive\Documentos\MALENTIN KARIME\BANCO ESTADO\2012 DEPTO ESCRITURAS fata\Dc Simples\RESPALDO comp notaria 27_12_12\NOTARIA 2012\ARRIENDOS\MARIA GARCIA A MARCOS.doc</t>
  </si>
  <si>
    <t>C:\Users\franc\OneDrive\Documentos\MALENTIN KARIME\BANCO ESTADO\2012 DEPTO ESCRITURAS fata\Dc Simples\RESPALDO comp notaria 27_12_12\NOTARIA 2012\ARRIENDOS\MARIA GARCIA A JACINTO.doc</t>
  </si>
  <si>
    <t>C:\Users\franc\OneDrive\Documentos\MALENTIN KARIME\BANCO ESTADO\2012 DEPTO ESCRITURAS fata\Dc Simples\RESPALDO comp notaria 27_12_12\NOTARIA 2012\ARRIENDOS\MARIA GARCIA A ARIEL GARCIA.doc</t>
  </si>
  <si>
    <t>C:\Users\franc\OneDrive\Documentos\MALENTIN KARIME\BANCO ESTADO\2012 DEPTO ESCRITURAS fata\Dc Simples\RESPALDO comp notaria 27_12_12\NOTARIA 2012\ARRIENDOS\MARIA CORTES GUERRERO.doc</t>
  </si>
  <si>
    <t>C:\Users\franc\OneDrive\Documentos\MALENTIN KARIME\BANCO ESTADO\2012 DEPTO ESCRITURAS fata\Dc Simples\RESPALDO comp notaria 27_12_12\NOTARIA 2012\ARRIENDOS\MARIA ARAYA Y OTRO.doc</t>
  </si>
  <si>
    <t>C:\Users\franc\OneDrive\Documentos\MALENTIN KARIME\BANCO ESTADO\2012 DEPTO ESCRITURAS fata\Dc Simples\RESPALDO comp notaria 27_12_12\NOTARIA 2012\ARRIENDOS\MARGARITA TORREJON.doc</t>
  </si>
  <si>
    <t>C:\Users\franc\OneDrive\Documentos\MALENTIN KARIME\BANCO ESTADO\2012 DEPTO ESCRITURAS fata\Dc Simples\RESPALDO comp notaria 27_12_12\NOTARIA 2012\ARRIENDOS\MARCIA ROJAS DIAZ.doc</t>
  </si>
  <si>
    <t>C:\Users\franc\OneDrive\Documentos\MALENTIN KARIME\BANCO ESTADO\2012 DEPTO ESCRITURAS fata\Dc Simples\RESPALDO comp notaria 27_12_12\NOTARIA 2012\ARRIENDOS\MANUEL TAIBA.doc</t>
  </si>
  <si>
    <t>C:\Users\franc\OneDrive\Documentos\MALENTIN KARIME\BANCO ESTADO\2012 DEPTO ESCRITURAS fata\Dc Simples\RESPALDO comp notaria 27_12_12\NOTARIA 2012\ARRIENDOS\MANUEL ROJAS.doc</t>
  </si>
  <si>
    <t>C:\Users\franc\OneDrive\Documentos\MALENTIN KARIME\BANCO ESTADO\2012 DEPTO ESCRITURAS fata\Dc Simples\RESPALDO comp notaria 27_12_12\NOTARIA 2012\ARRIENDOS\MANUEL MUÑOZ p.p EDUVINO MUÑOZ.doc</t>
  </si>
  <si>
    <t>C:\Users\franc\OneDrive\Documentos\MALENTIN KARIME\BANCO ESTADO\2012 DEPTO ESCRITURAS fata\Dc Simples\RESPALDO comp notaria 27_12_12\NOTARIA 2012\ARRIENDOS\MANUEL JOPIA Y VIDAL GAHONA.doc</t>
  </si>
  <si>
    <t>C:\Users\franc\OneDrive\Documentos\MALENTIN KARIME\BANCO ESTADO\2012 DEPTO ESCRITURAS fata\Dc Simples\RESPALDO comp notaria 27_12_12\NOTARIA 2012\ARRIENDOS\MANUEL GAHONA LEON.doc</t>
  </si>
  <si>
    <t>C:\Users\franc\OneDrive\Documentos\MALENTIN KARIME\BANCO ESTADO\2012 DEPTO ESCRITURAS fata\Dc Simples\RESPALDO comp notaria 27_12_12\NOTARIA 2012\ARRIENDOS\LUZ VEGA.doc</t>
  </si>
  <si>
    <t>C:\Users\franc\OneDrive\Documentos\MALENTIN KARIME\BANCO ESTADO\2012 DEPTO ESCRITURAS fata\Dc Simples\RESPALDO comp notaria 27_12_12\NOTARIA 2012\ARRIENDOS\LUISA HONORES RAMIREZ.doc</t>
  </si>
  <si>
    <t>C:\Users\franc\OneDrive\Documentos\MALENTIN KARIME\BANCO ESTADO\2012 DEPTO ESCRITURAS fata\Dc Simples\RESPALDO comp notaria 27_12_12\NOTARIA 2012\ARRIENDOS\LUIS Y JUAN PIZARRO.doc</t>
  </si>
  <si>
    <t>C:\Users\franc\OneDrive\Documentos\MALENTIN KARIME\BANCO ESTADO\2012 DEPTO ESCRITURAS fata\Dc Simples\RESPALDO comp notaria 27_12_12\NOTARIA 2012\ARRIENDOS\LUIS MORA a Roberto.doc</t>
  </si>
  <si>
    <t>C:\Users\franc\OneDrive\Documentos\MALENTIN KARIME\BANCO ESTADO\2012 DEPTO ESCRITURAS fata\Dc Simples\RESPALDO comp notaria 27_12_12\NOTARIA 2012\ARRIENDOS\LUIS MORA a Nibaldo.doc</t>
  </si>
  <si>
    <t>C:\Users\franc\OneDrive\Documentos\MALENTIN KARIME\BANCO ESTADO\2012 DEPTO ESCRITURAS fata\Dc Simples\RESPALDO comp notaria 27_12_12\NOTARIA 2012\ARRIENDOS\LUIS MORA a Manuel Mora.doc</t>
  </si>
  <si>
    <t>C:\Users\franc\OneDrive\Documentos\MALENTIN KARIME\BANCO ESTADO\2012 DEPTO ESCRITURAS fata\Dc Simples\RESPALDO comp notaria 27_12_12\NOTARIA 2012\ARRIENDOS\LUIS MORA a John.doc</t>
  </si>
  <si>
    <t>C:\Users\franc\OneDrive\Documentos\MALENTIN KARIME\BANCO ESTADO\2012 DEPTO ESCRITURAS fata\Dc Simples\RESPALDO comp notaria 27_12_12\NOTARIA 2012\ARRIENDOS\LUIS MORA a Elena.doc</t>
  </si>
  <si>
    <t>C:\Users\franc\OneDrive\Documentos\MALENTIN KARIME\BANCO ESTADO\2012 DEPTO ESCRITURAS fata\Dc Simples\RESPALDO comp notaria 27_12_12\NOTARIA 2012\ARRIENDOS\LUIS HUMBERTO ANGEL ANGEL.doc</t>
  </si>
  <si>
    <t>C:\Users\franc\OneDrive\Documentos\MALENTIN KARIME\BANCO ESTADO\2012 DEPTO ESCRITURAS fata\Dc Simples\RESPALDO comp notaria 27_12_12\NOTARIA 2012\ARRIENDOS\LUIS EMETERIO BUGUEÑO.doc</t>
  </si>
  <si>
    <t>C:\Users\franc\OneDrive\Documentos\MALENTIN KARIME\BANCO ESTADO\2012 DEPTO ESCRITURAS fata\Dc Simples\RESPALDO comp notaria 27_12_12\NOTARIA 2012\ARRIENDOS\LUIS EMETERIO BUGUEÑO a Miguel Bernal.doc</t>
  </si>
  <si>
    <t>C:\Users\franc\OneDrive\Documentos\MALENTIN KARIME\BANCO ESTADO\2012 DEPTO ESCRITURAS fata\Dc Simples\RESPALDO comp notaria 27_12_12\NOTARIA 2012\ARRIENDOS\LUIS DARIO GONZALEZ.doc</t>
  </si>
  <si>
    <t>C:\Users\franc\OneDrive\Documentos\MALENTIN KARIME\BANCO ESTADO\2012 DEPTO ESCRITURAS fata\Dc Simples\RESPALDO comp notaria 27_12_12\NOTARIA 2012\ARRIENDOS\LUIS DARIO GONZALEZ a NEEL.doc</t>
  </si>
  <si>
    <t>C:\Users\franc\OneDrive\Documentos\MALENTIN KARIME\BANCO ESTADO\2012 DEPTO ESCRITURAS fata\Dc Simples\RESPALDO comp notaria 27_12_12\NOTARIA 2012\ARRIENDOS\LUIS CORTES PASTEN.doc</t>
  </si>
  <si>
    <t>C:\Users\franc\OneDrive\Documentos\MALENTIN KARIME\BANCO ESTADO\2012 DEPTO ESCRITURAS fata\Dc Simples\RESPALDO comp notaria 27_12_12\NOTARIA 2012\ARRIENDOS\LUIS CISTEERNAS.doc</t>
  </si>
  <si>
    <t>C:\Users\franc\OneDrive\Documentos\MALENTIN KARIME\BANCO ESTADO\2012 DEPTO ESCRITURAS fata\Dc Simples\RESPALDO comp notaria 27_12_12\NOTARIA 2012\ARRIENDOS\LUIS ALARCON.doc</t>
  </si>
  <si>
    <t>C:\Users\franc\OneDrive\Documentos\MALENTIN KARIME\BANCO ESTADO\2012 DEPTO ESCRITURAS fata\Dc Simples\RESPALDO comp notaria 27_12_12\NOTARIA 2012\ARRIENDOS\LUCY CORTES.doc</t>
  </si>
  <si>
    <t>C:\Users\franc\OneDrive\Documentos\MALENTIN KARIME\BANCO ESTADO\2012 DEPTO ESCRITURAS fata\Dc Simples\RESPALDO comp notaria 27_12_12\NOTARIA 2012\ARRIENDOS\LUCY ARAYA.doc</t>
  </si>
  <si>
    <t>C:\Users\franc\OneDrive\Documentos\MALENTIN KARIME\BANCO ESTADO\2012 DEPTO ESCRITURAS fata\Dc Simples\RESPALDO comp notaria 27_12_12\NOTARIA 2012\ARRIENDOS\LUCILA TELLO.doc</t>
  </si>
  <si>
    <t>C:\Users\franc\OneDrive\Documentos\MALENTIN KARIME\BANCO ESTADO\2012 DEPTO ESCRITURAS fata\Dc Simples\RESPALDO comp notaria 27_12_12\NOTARIA 2012\ARRIENDOS\LUCIA HONORES.doc</t>
  </si>
  <si>
    <t>C:\Users\franc\OneDrive\Documentos\MALENTIN KARIME\BANCO ESTADO\2012 DEPTO ESCRITURAS fata\Dc Simples\RESPALDO comp notaria 27_12_12\NOTARIA 2012\ARRIENDOS\LORENZO SEGUNDO AROS.doc</t>
  </si>
  <si>
    <t>C:\Users\franc\OneDrive\Documentos\MALENTIN KARIME\BANCO ESTADO\2012 DEPTO ESCRITURAS fata\Dc Simples\RESPALDO comp notaria 27_12_12\NOTARIA 2012\ARRIENDOS\LORENZO CORTES.doc</t>
  </si>
  <si>
    <t>C:\Users\franc\OneDrive\Documentos\MALENTIN KARIME\BANCO ESTADO\2012 DEPTO ESCRITURAS fata\Dc Simples\RESPALDO comp notaria 27_12_12\NOTARIA 2012\ARRIENDOS\LORENZO ALFARO DIAZ.doc</t>
  </si>
  <si>
    <t>C:\Users\franc\OneDrive\Documentos\MALENTIN KARIME\BANCO ESTADO\2012 DEPTO ESCRITURAS fata\Dc Simples\RESPALDO comp notaria 27_12_12\NOTARIA 2012\ARRIENDOS\LIDIA CASTILLO CASTAÑEDA.doc</t>
  </si>
  <si>
    <t>C:\Users\franc\OneDrive\Documentos\MALENTIN KARIME\BANCO ESTADO\2012 DEPTO ESCRITURAS fata\Dc Simples\RESPALDO comp notaria 27_12_12\NOTARIA 2012\ARRIENDOS\LEONARDO ARGANDOÑA.doc</t>
  </si>
  <si>
    <t>C:\Users\franc\OneDrive\Documentos\MALENTIN KARIME\BANCO ESTADO\2012 DEPTO ESCRITURAS fata\Dc Simples\RESPALDO comp notaria 27_12_12\NOTARIA 2012\ARRIENDOS\JUSTINA TABILO.doc</t>
  </si>
  <si>
    <t>C:\Users\franc\OneDrive\Documentos\MALENTIN KARIME\BANCO ESTADO\2012 DEPTO ESCRITURAS fata\Dc Simples\RESPALDO comp notaria 27_12_12\NOTARIA 2012\ARRIENDOS\JULIO BRICEÑO.doc</t>
  </si>
  <si>
    <t>C:\Users\franc\OneDrive\Documentos\MALENTIN KARIME\BANCO ESTADO\2012 DEPTO ESCRITURAS fata\Dc Simples\RESPALDO comp notaria 27_12_12\NOTARIA 2012\ARRIENDOS\JUANA ROJO A ALEXIS ROJAS.doc</t>
  </si>
  <si>
    <t>C:\Users\franc\OneDrive\Documentos\MALENTIN KARIME\BANCO ESTADO\2012 DEPTO ESCRITURAS fata\Dc Simples\RESPALDO comp notaria 27_12_12\NOTARIA 2012\ARRIENDOS\JUANA PIZARRO ROJAS.doc</t>
  </si>
  <si>
    <t>C:\Users\franc\OneDrive\Documentos\MALENTIN KARIME\BANCO ESTADO\2012 DEPTO ESCRITURAS fata\Dc Simples\RESPALDO comp notaria 27_12_12\NOTARIA 2012\ARRIENDOS\JUAN VERGARA.doc</t>
  </si>
  <si>
    <t>C:\Users\franc\OneDrive\Documentos\MALENTIN KARIME\BANCO ESTADO\2012 DEPTO ESCRITURAS fata\Dc Simples\RESPALDO comp notaria 27_12_12\NOTARIA 2012\ARRIENDOS\JUAN HENRIQUEZ ROJAS.doc</t>
  </si>
  <si>
    <t>C:\Users\franc\OneDrive\Documentos\MALENTIN KARIME\BANCO ESTADO\2012 DEPTO ESCRITURAS fata\Dc Simples\RESPALDO comp notaria 27_12_12\NOTARIA 2012\ARRIENDOS\JUAN GONZALEZ.doc</t>
  </si>
  <si>
    <t>C:\Users\franc\OneDrive\Documentos\MALENTIN KARIME\BANCO ESTADO\2012 DEPTO ESCRITURAS fata\Dc Simples\RESPALDO comp notaria 27_12_12\NOTARIA 2012\ARRIENDOS\JUAN GONZALEZ HERRERA.doc</t>
  </si>
  <si>
    <t>C:\Users\franc\OneDrive\Documentos\MALENTIN KARIME\BANCO ESTADO\2012 DEPTO ESCRITURAS fata\Dc Simples\RESPALDO comp notaria 27_12_12\NOTARIA 2012\ARRIENDOS\JUAN DE DIOS VILLALOBOS.doc</t>
  </si>
  <si>
    <t>C:\Users\franc\OneDrive\Documentos\MALENTIN KARIME\BANCO ESTADO\2012 DEPTO ESCRITURAS fata\Dc Simples\RESPALDO comp notaria 27_12_12\NOTARIA 2012\ARRIENDOS\JUAN DE DIOS CASTILLO.doc</t>
  </si>
  <si>
    <t>C:\Users\franc\OneDrive\Documentos\MALENTIN KARIME\BANCO ESTADO\2012 DEPTO ESCRITURAS fata\Dc Simples\RESPALDO comp notaria 27_12_12\NOTARIA 2012\ARRIENDOS\JUAN ACOSTA RUBINA.doc</t>
  </si>
  <si>
    <t>C:\Users\franc\OneDrive\Documentos\MALENTIN KARIME\BANCO ESTADO\2012 DEPTO ESCRITURAS fata\Dc Simples\RESPALDO comp notaria 27_12_12\NOTARIA 2012\ARRIENDOS\JUAN  MANUEL HERRERA CORTES.doc</t>
  </si>
  <si>
    <t>C:\Users\franc\OneDrive\Documentos\MALENTIN KARIME\BANCO ESTADO\2012 DEPTO ESCRITURAS fata\Dc Simples\RESPALDO comp notaria 27_12_12\NOTARIA 2012\ARRIENDOS\JOSEFINA MARIN.doc</t>
  </si>
  <si>
    <t>C:\Users\franc\OneDrive\Documentos\MALENTIN KARIME\BANCO ESTADO\2012 DEPTO ESCRITURAS fata\Dc Simples\RESPALDO comp notaria 27_12_12\NOTARIA 2012\ARRIENDOS\JOSE VILLEGAS Y RIC. MARAMBIO.doc</t>
  </si>
  <si>
    <t>C:\Users\franc\OneDrive\Documentos\MALENTIN KARIME\BANCO ESTADO\2012 DEPTO ESCRITURAS fata\Dc Simples\RESPALDO comp notaria 27_12_12\NOTARIA 2012\ARRIENDOS\JOSE TORREJON.doc</t>
  </si>
  <si>
    <t>C:\Users\franc\OneDrive\Documentos\MALENTIN KARIME\BANCO ESTADO\2012 DEPTO ESCRITURAS fata\Dc Simples\RESPALDO comp notaria 27_12_12\NOTARIA 2012\ARRIENDOS\JOSE ROJAS.doc</t>
  </si>
  <si>
    <t>C:\Users\franc\OneDrive\Documentos\MALENTIN KARIME\BANCO ESTADO\2012 DEPTO ESCRITURAS fata\Dc Simples\RESPALDO comp notaria 27_12_12\NOTARIA 2012\ARRIENDOS\JOSE MARIN Y PAULO HENRIQUEZ.doc</t>
  </si>
  <si>
    <t>C:\Users\franc\OneDrive\Documentos\MALENTIN KARIME\BANCO ESTADO\2012 DEPTO ESCRITURAS fata\Dc Simples\RESPALDO comp notaria 27_12_12\NOTARIA 2012\ARRIENDOS\JOSE CONTRERAS A ALEX ROJAS.doc</t>
  </si>
  <si>
    <t>C:\Users\franc\OneDrive\Documentos\MALENTIN KARIME\BANCO ESTADO\2012 DEPTO ESCRITURAS fata\Dc Simples\RESPALDO comp notaria 27_12_12\NOTARIA 2012\ARRIENDOS\JORJEN SALAZAR p.p..doc</t>
  </si>
  <si>
    <t>C:\Users\franc\OneDrive\Documentos\MALENTIN KARIME\BANCO ESTADO\2012 DEPTO ESCRITURAS fata\Dc Simples\RESPALDO comp notaria 27_12_12\NOTARIA 2012\ARRIENDOS\JORGE VELIZ.doc</t>
  </si>
  <si>
    <t>C:\Users\franc\OneDrive\Documentos\MALENTIN KARIME\BANCO ESTADO\2012 DEPTO ESCRITURAS fata\Dc Simples\RESPALDO comp notaria 27_12_12\NOTARIA 2012\ARRIENDOS\JORGE VELIZ ARRIAGADA.doc</t>
  </si>
  <si>
    <t>C:\Users\franc\OneDrive\Documentos\MALENTIN KARIME\BANCO ESTADO\2012 DEPTO ESCRITURAS fata\Dc Simples\RESPALDO comp notaria 27_12_12\NOTARIA 2012\ARRIENDOS\JORGE HERNANDEZ.doc</t>
  </si>
  <si>
    <t>C:\Users\franc\OneDrive\Documentos\MALENTIN KARIME\BANCO ESTADO\2012 DEPTO ESCRITURAS fata\Dc Simples\RESPALDO comp notaria 27_12_12\NOTARIA 2012\ARRIENDOS\JORGE HERNANDEZ, EL INGENIO.doc</t>
  </si>
  <si>
    <t>C:\Users\franc\OneDrive\Documentos\MALENTIN KARIME\BANCO ESTADO\2012 DEPTO ESCRITURAS fata\Dc Simples\RESPALDO comp notaria 27_12_12\NOTARIA 2012\ARRIENDOS\JORGE GARCIA.doc</t>
  </si>
  <si>
    <t>C:\Users\franc\OneDrive\Documentos\MALENTIN KARIME\BANCO ESTADO\2012 DEPTO ESCRITURAS fata\Dc Simples\RESPALDO comp notaria 27_12_12\NOTARIA 2012\ARRIENDOS\JOAQUIN ARAYA.doc</t>
  </si>
  <si>
    <t>C:\Users\franc\OneDrive\Documentos\MALENTIN KARIME\BANCO ESTADO\2012 DEPTO ESCRITURAS fata\Dc Simples\RESPALDO comp notaria 27_12_12\NOTARIA 2012\ARRIENDOS\JAVIER MARQUEZ ARDILES.doc</t>
  </si>
  <si>
    <t>C:\Users\franc\OneDrive\Documentos\MALENTIN KARIME\BANCO ESTADO\2012 DEPTO ESCRITURAS fata\Dc Simples\RESPALDO comp notaria 27_12_12\NOTARIA 2012\ARRIENDOS\JAIME VILLALON GALVEZ.doc</t>
  </si>
  <si>
    <t>C:\Users\franc\OneDrive\Documentos\MALENTIN KARIME\BANCO ESTADO\2012 DEPTO ESCRITURAS fata\Dc Simples\RESPALDO comp notaria 27_12_12\NOTARIA 2012\ARRIENDOS\JAIME VALDIVIA.doc</t>
  </si>
  <si>
    <t>C:\Users\franc\OneDrive\Documentos\MALENTIN KARIME\BANCO ESTADO\2012 DEPTO ESCRITURAS fata\Dc Simples\RESPALDO comp notaria 27_12_12\NOTARIA 2012\ARRIENDOS\JAIME JERRY VILLARROEL.doc</t>
  </si>
  <si>
    <t>C:\Users\franc\OneDrive\Documentos\MALENTIN KARIME\BANCO ESTADO\2012 DEPTO ESCRITURAS fata\Dc Simples\RESPALDO comp notaria 27_12_12\NOTARIA 2012\ARRIENDOS\JACQUELINE ROJAS.doc</t>
  </si>
  <si>
    <t>C:\Users\franc\OneDrive\Documentos\MALENTIN KARIME\BANCO ESTADO\2012 DEPTO ESCRITURAS fata\Dc Simples\RESPALDO comp notaria 27_12_12\NOTARIA 2012\ARRIENDOS\JACINTO LABARCA.doc</t>
  </si>
  <si>
    <t>C:\Users\franc\OneDrive\Documentos\MALENTIN KARIME\BANCO ESTADO\2012 DEPTO ESCRITURAS fata\Dc Simples\RESPALDO comp notaria 27_12_12\NOTARIA 2012\ARRIENDOS\IVAN RAMIREZ ARAYA.doc</t>
  </si>
  <si>
    <t>C:\Users\franc\OneDrive\Documentos\MALENTIN KARIME\BANCO ESTADO\2012 DEPTO ESCRITURAS fata\Dc Simples\RESPALDO comp notaria 27_12_12\NOTARIA 2012\ARRIENDOS\IVAN MARIN.doc</t>
  </si>
  <si>
    <t>C:\Users\franc\OneDrive\Documentos\MALENTIN KARIME\BANCO ESTADO\2012 DEPTO ESCRITURAS fata\Dc Simples\RESPALDO comp notaria 27_12_12\NOTARIA 2012\ARRIENDOS\IVAN CORTES GONZALEZ.doc</t>
  </si>
  <si>
    <t>C:\Users\franc\OneDrive\Documentos\MALENTIN KARIME\BANCO ESTADO\2012 DEPTO ESCRITURAS fata\Dc Simples\RESPALDO comp notaria 27_12_12\NOTARIA 2012\ARRIENDOS\ISRAEL ARAYA TELLO.doc</t>
  </si>
  <si>
    <t>C:\Users\franc\OneDrive\Documentos\MALENTIN KARIME\BANCO ESTADO\2012 DEPTO ESCRITURAS fata\Dc Simples\RESPALDO comp notaria 27_12_12\NOTARIA 2012\ARRIENDOS\ISMAEL CONTRERAS.doc</t>
  </si>
  <si>
    <t>C:\Users\franc\OneDrive\Documentos\MALENTIN KARIME\BANCO ESTADO\2012 DEPTO ESCRITURAS fata\Dc Simples\RESPALDO comp notaria 27_12_12\NOTARIA 2012\ARRIENDOS\inmobiliariaa y hotelera.doc</t>
  </si>
  <si>
    <t>C:\Users\franc\OneDrive\Documentos\MALENTIN KARIME\BANCO ESTADO\2012 DEPTO ESCRITURAS fata\Dc Simples\RESPALDO comp notaria 27_12_12\NOTARIA 2012\ARRIENDOS\INMOBILIARIA SANTA ROSA.doc</t>
  </si>
  <si>
    <t>C:\Users\franc\OneDrive\Documentos\MALENTIN KARIME\BANCO ESTADO\2012 DEPTO ESCRITURAS fata\Dc Simples\RESPALDO comp notaria 27_12_12\NOTARIA 2012\ARRIENDOS\IGNACIO ROJAS.doc</t>
  </si>
  <si>
    <t>C:\Users\franc\OneDrive\Documentos\MALENTIN KARIME\BANCO ESTADO\2012 DEPTO ESCRITURAS fata\Dc Simples\RESPALDO comp notaria 27_12_12\NOTARIA 2012\ARRIENDOS\IDA NARANJO ARAYA.doc</t>
  </si>
  <si>
    <t>C:\Users\franc\OneDrive\Documentos\MALENTIN KARIME\BANCO ESTADO\2012 DEPTO ESCRITURAS fata\Dc Simples\RESPALDO comp notaria 27_12_12\NOTARIA 2012\ARRIENDOS\IBAÑEZ ALCAYAGA LTDA..doc</t>
  </si>
  <si>
    <t>C:\Users\franc\OneDrive\Documentos\MALENTIN KARIME\BANCO ESTADO\2012 DEPTO ESCRITURAS fata\Dc Simples\RESPALDO comp notaria 27_12_12\NOTARIA 2012\ARRIENDOS\HUMBERTO DIAZ.doc</t>
  </si>
  <si>
    <t>C:\Users\franc\OneDrive\Documentos\MALENTIN KARIME\BANCO ESTADO\2012 DEPTO ESCRITURAS fata\Dc Simples\RESPALDO comp notaria 27_12_12\NOTARIA 2012\ARRIENDOS\HUMBERTO CORTES.doc</t>
  </si>
  <si>
    <t>C:\Users\franc\OneDrive\Documentos\MALENTIN KARIME\BANCO ESTADO\2012 DEPTO ESCRITURAS fata\Dc Simples\RESPALDO comp notaria 27_12_12\NOTARIA 2012\ARRIENDOS\HUGO TAPIA.doc</t>
  </si>
  <si>
    <t>C:\Users\franc\OneDrive\Documentos\MALENTIN KARIME\BANCO ESTADO\2012 DEPTO ESCRITURAS fata\Dc Simples\RESPALDO comp notaria 27_12_12\NOTARIA 2012\ARRIENDOS\HUGO PINEDA.doc</t>
  </si>
  <si>
    <t>C:\Users\franc\OneDrive\Documentos\MALENTIN KARIME\BANCO ESTADO\2012 DEPTO ESCRITURAS fata\Dc Simples\RESPALDO comp notaria 27_12_12\NOTARIA 2012\ARRIENDOS\HUGO CORTES ZEPEDA.doc</t>
  </si>
  <si>
    <t>C:\Users\franc\OneDrive\Documentos\MALENTIN KARIME\BANCO ESTADO\2012 DEPTO ESCRITURAS fata\Dc Simples\RESPALDO comp notaria 27_12_12\NOTARIA 2012\ARRIENDOS\HUGO CORDOVA Y LEONEL MUÑOZ.doc</t>
  </si>
  <si>
    <t>C:\Users\franc\OneDrive\Documentos\MALENTIN KARIME\BANCO ESTADO\2012 DEPTO ESCRITURAS fata\Dc Simples\RESPALDO comp notaria 27_12_12\NOTARIA 2012\ARRIENDOS\HNOS. BARRAZA CARVAJAL.doc</t>
  </si>
  <si>
    <t>C:\Users\franc\OneDrive\Documentos\MALENTIN KARIME\BANCO ESTADO\2012 DEPTO ESCRITURAS fata\Dc Simples\RESPALDO comp notaria 27_12_12\NOTARIA 2012\ARRIENDOS\HERNAN GODOY BARRAZA PP SONIA TABILO ROJAS.doc</t>
  </si>
  <si>
    <t>C:\Users\franc\OneDrive\Documentos\MALENTIN KARIME\BANCO ESTADO\2012 DEPTO ESCRITURAS fata\Dc Simples\RESPALDO comp notaria 27_12_12\NOTARIA 2012\ARRIENDOS\HERNAN ANTIQUERA.doc</t>
  </si>
  <si>
    <t>C:\Users\franc\OneDrive\Documentos\MALENTIN KARIME\BANCO ESTADO\2012 DEPTO ESCRITURAS fata\Dc Simples\RESPALDO comp notaria 27_12_12\NOTARIA 2012\ARRIENDOS\HERMINIA ROJAS.doc</t>
  </si>
  <si>
    <t>C:\Users\franc\OneDrive\Documentos\MALENTIN KARIME\BANCO ESTADO\2012 DEPTO ESCRITURAS fata\Dc Simples\RESPALDO comp notaria 27_12_12\NOTARIA 2012\ARRIENDOS\HERMEN ARAYA.doc</t>
  </si>
  <si>
    <t>C:\Users\franc\OneDrive\Documentos\MALENTIN KARIME\BANCO ESTADO\2012 DEPTO ESCRITURAS fata\Dc Simples\RESPALDO comp notaria 27_12_12\NOTARIA 2012\ARRIENDOS\HECTOR MORENO.doc</t>
  </si>
  <si>
    <t>C:\Users\franc\OneDrive\Documentos\MALENTIN KARIME\BANCO ESTADO\2012 DEPTO ESCRITURAS fata\Dc Simples\RESPALDO comp notaria 27_12_12\NOTARIA 2012\ARRIENDOS\HECTOR MORENO Y ALBERTO NAVEA.doc</t>
  </si>
  <si>
    <t>C:\Users\franc\OneDrive\Documentos\MALENTIN KARIME\BANCO ESTADO\2012 DEPTO ESCRITURAS fata\Dc Simples\RESPALDO comp notaria 27_12_12\NOTARIA 2012\ARRIENDOS\HANS MAGNUS.doc</t>
  </si>
  <si>
    <t>C:\Users\franc\OneDrive\Documentos\MALENTIN KARIME\BANCO ESTADO\2012 DEPTO ESCRITURAS fata\Dc Simples\RESPALDO comp notaria 27_12_12\NOTARIA 2012\ARRIENDOS\GUSTAVO CORTES GALLARDO.doc</t>
  </si>
  <si>
    <t>C:\Users\franc\OneDrive\Documentos\MALENTIN KARIME\BANCO ESTADO\2012 DEPTO ESCRITURAS fata\Dc Simples\RESPALDO comp notaria 27_12_12\NOTARIA 2012\ARRIENDOS\GUSTAVO CODOCEO.doc</t>
  </si>
  <si>
    <t>C:\Users\franc\OneDrive\Documentos\MALENTIN KARIME\BANCO ESTADO\2012 DEPTO ESCRITURAS fata\Dc Simples\RESPALDO comp notaria 27_12_12\NOTARIA 2012\ARRIENDOS\GUSTAVO ANTIQUERA.doc</t>
  </si>
  <si>
    <t>C:\Users\franc\OneDrive\Documentos\MALENTIN KARIME\BANCO ESTADO\2012 DEPTO ESCRITURAS fata\Dc Simples\RESPALDO comp notaria 27_12_12\NOTARIA 2012\ARRIENDOS\GUILLERMO CORTES.doc</t>
  </si>
  <si>
    <t>C:\Users\franc\OneDrive\Documentos\MALENTIN KARIME\BANCO ESTADO\2012 DEPTO ESCRITURAS fata\Dc Simples\RESPALDO comp notaria 27_12_12\NOTARIA 2012\ARRIENDOS\GUILLE VALENZUELA A HERNAN HUERTA.doc</t>
  </si>
  <si>
    <t>C:\Users\franc\OneDrive\Documentos\MALENTIN KARIME\BANCO ESTADO\2012 DEPTO ESCRITURAS fata\Dc Simples\RESPALDO comp notaria 27_12_12\NOTARIA 2012\ARRIENDOS\GUALDA CORTES.doc</t>
  </si>
  <si>
    <t>C:\Users\franc\OneDrive\Documentos\MALENTIN KARIME\BANCO ESTADO\2012 DEPTO ESCRITURAS fata\Dc Simples\RESPALDO comp notaria 27_12_12\NOTARIA 2012\ARRIENDOS\GRICELDA ORTIZ.doc</t>
  </si>
  <si>
    <t>C:\Users\franc\OneDrive\Documentos\MALENTIN KARIME\BANCO ESTADO\2012 DEPTO ESCRITURAS fata\Dc Simples\RESPALDO comp notaria 27_12_12\NOTARIA 2012\ARRIENDOS\GMO. PIZARRO E HIJO.doc</t>
  </si>
  <si>
    <t>C:\Users\franc\OneDrive\Documentos\MALENTIN KARIME\BANCO ESTADO\2012 DEPTO ESCRITURAS fata\Dc Simples\RESPALDO comp notaria 27_12_12\NOTARIA 2012\ARRIENDOS\GLORIA VELASQUEZ Y OTROS.doc</t>
  </si>
  <si>
    <t>C:\Users\franc\OneDrive\Documentos\MALENTIN KARIME\BANCO ESTADO\2012 DEPTO ESCRITURAS fata\Dc Simples\RESPALDO comp notaria 27_12_12\NOTARIA 2012\ARRIENDOS\FRANKLIN TABILO.doc</t>
  </si>
  <si>
    <t>C:\Users\franc\OneDrive\Documentos\MALENTIN KARIME\BANCO ESTADO\2012 DEPTO ESCRITURAS fata\Dc Simples\RESPALDO comp notaria 27_12_12\NOTARIA 2012\ARRIENDOS\FRANCISCO RODRIGUEZ.doc</t>
  </si>
  <si>
    <t>C:\Users\franc\OneDrive\Documentos\MALENTIN KARIME\BANCO ESTADO\2012 DEPTO ESCRITURAS fata\Dc Simples\RESPALDO comp notaria 27_12_12\NOTARIA 2012\ARRIENDOS\FRANCISCO CARMONA.doc</t>
  </si>
  <si>
    <t>C:\Users\franc\OneDrive\Documentos\MALENTIN KARIME\BANCO ESTADO\2012 DEPTO ESCRITURAS fata\Dc Simples\RESPALDO comp notaria 27_12_12\NOTARIA 2012\ARRIENDOS\FORTUNATO CARVAJAL.doc</t>
  </si>
  <si>
    <t>C:\Users\franc\OneDrive\Documentos\MALENTIN KARIME\BANCO ESTADO\2012 DEPTO ESCRITURAS fata\Dc Simples\RESPALDO comp notaria 27_12_12\NOTARIA 2012\ARRIENDOS\FLORENTINO MUNDACA.doc</t>
  </si>
  <si>
    <t>C:\Users\franc\OneDrive\Documentos\MALENTIN KARIME\BANCO ESTADO\2012 DEPTO ESCRITURAS fata\Dc Simples\RESPALDO comp notaria 27_12_12\NOTARIA 2012\ARRIENDOS\FLORENCIO ARAYA.doc</t>
  </si>
  <si>
    <t>C:\Users\franc\OneDrive\Documentos\MALENTIN KARIME\BANCO ESTADO\2012 DEPTO ESCRITURAS fata\Dc Simples\RESPALDO comp notaria 27_12_12\NOTARIA 2012\ARRIENDOS\FDO. GARCIA A NILZA JOPIA.doc</t>
  </si>
  <si>
    <t>C:\Users\franc\OneDrive\Documentos\MALENTIN KARIME\BANCO ESTADO\2012 DEPTO ESCRITURAS fata\Dc Simples\RESPALDO comp notaria 27_12_12\NOTARIA 2012\ARRIENDOS\EVARISTO NUÑEZ.doc</t>
  </si>
  <si>
    <t>C:\Users\franc\OneDrive\Documentos\MALENTIN KARIME\BANCO ESTADO\2012 DEPTO ESCRITURAS fata\Dc Simples\RESPALDO comp notaria 27_12_12\NOTARIA 2012\ARRIENDOS\EVA VALDIVIA.doc</t>
  </si>
  <si>
    <t>C:\Users\franc\OneDrive\Documentos\MALENTIN KARIME\BANCO ESTADO\2012 DEPTO ESCRITURAS fata\Dc Simples\RESPALDO comp notaria 27_12_12\NOTARIA 2012\ARRIENDOS\ESTER CASTILLO IBACACHE.doc</t>
  </si>
  <si>
    <t>C:\Users\franc\OneDrive\Documentos\MALENTIN KARIME\BANCO ESTADO\2012 DEPTO ESCRITURAS fata\Dc Simples\RESPALDO comp notaria 27_12_12\NOTARIA 2012\ARRIENDOS\ESMERALDO VALDIVIA 135-B.doc</t>
  </si>
  <si>
    <t>C:\Users\franc\OneDrive\Documentos\MALENTIN KARIME\BANCO ESTADO\2012 DEPTO ESCRITURAS fata\Dc Simples\RESPALDO comp notaria 27_12_12\NOTARIA 2012\ARRIENDOS\ESMERALDO ARAYA.doc</t>
  </si>
  <si>
    <t>C:\Users\franc\OneDrive\Documentos\MALENTIN KARIME\BANCO ESTADO\2012 DEPTO ESCRITURAS fata\Dc Simples\RESPALDO comp notaria 27_12_12\NOTARIA 2012\ARRIENDOS\ERNESTO VEGA.doc</t>
  </si>
  <si>
    <t>C:\Users\franc\OneDrive\Documentos\MALENTIN KARIME\BANCO ESTADO\2012 DEPTO ESCRITURAS fata\Dc Simples\RESPALDO comp notaria 27_12_12\NOTARIA 2012\ARRIENDOS\ERCIRA QUIROZ.doc</t>
  </si>
  <si>
    <t>C:\Users\franc\OneDrive\Documentos\MALENTIN KARIME\BANCO ESTADO\2012 DEPTO ESCRITURAS fata\Dc Simples\RESPALDO comp notaria 27_12_12\NOTARIA 2012\ARRIENDOS\ENRIQUE LANAS.doc</t>
  </si>
  <si>
    <t>C:\Users\franc\OneDrive\Documentos\MALENTIN KARIME\BANCO ESTADO\2012 DEPTO ESCRITURAS fata\Dc Simples\RESPALDO comp notaria 27_12_12\NOTARIA 2012\ARRIENDOS\ENRIQUE ARAYA LOPEZ.doc</t>
  </si>
  <si>
    <t>C:\Users\franc\OneDrive\Documentos\MALENTIN KARIME\BANCO ESTADO\2012 DEPTO ESCRITURAS fata\Dc Simples\RESPALDO comp notaria 27_12_12\NOTARIA 2012\ARRIENDOS\EMILIO MUÑOZ.doc</t>
  </si>
  <si>
    <t>C:\Users\franc\OneDrive\Documentos\MALENTIN KARIME\BANCO ESTADO\2012 DEPTO ESCRITURAS fata\Dc Simples\RESPALDO comp notaria 27_12_12\NOTARIA 2012\ARRIENDOS\EMILIO MUÑOZ A JUAN MUÑOZ.doc</t>
  </si>
  <si>
    <t>C:\Users\franc\OneDrive\Documentos\MALENTIN KARIME\BANCO ESTADO\2012 DEPTO ESCRITURAS fata\Dc Simples\RESPALDO comp notaria 27_12_12\NOTARIA 2012\ARRIENDOS\EMILIANO Y ORLANDO ORDENES.doc</t>
  </si>
  <si>
    <t>C:\Users\franc\OneDrive\Documentos\MALENTIN KARIME\BANCO ESTADO\2012 DEPTO ESCRITURAS fata\Dc Simples\RESPALDO comp notaria 27_12_12\NOTARIA 2012\ARRIENDOS\ELEODORO ARANCIBIA.doc</t>
  </si>
  <si>
    <t>C:\Users\franc\OneDrive\Documentos\MALENTIN KARIME\BANCO ESTADO\2012 DEPTO ESCRITURAS fata\Dc Simples\RESPALDO comp notaria 27_12_12\NOTARIA 2012\ARRIENDOS\ELEAZAR OLIVARES DIAZ.doc</t>
  </si>
  <si>
    <t>C:\Users\franc\OneDrive\Documentos\MALENTIN KARIME\BANCO ESTADO\2012 DEPTO ESCRITURAS fata\Dc Simples\RESPALDO comp notaria 27_12_12\NOTARIA 2012\ARRIENDOS\EL PIRCADO.doc</t>
  </si>
  <si>
    <t>C:\Users\franc\OneDrive\Documentos\MALENTIN KARIME\BANCO ESTADO\2012 DEPTO ESCRITURAS fata\Dc Simples\RESPALDO comp notaria 27_12_12\NOTARIA 2012\ARRIENDOS\EDUARDO LAZO.doc</t>
  </si>
  <si>
    <t>C:\Users\franc\OneDrive\Documentos\MALENTIN KARIME\BANCO ESTADO\2012 DEPTO ESCRITURAS fata\Dc Simples\RESPALDO comp notaria 27_12_12\NOTARIA 2012\ARRIENDOS\EDUARDO AGUIRRE NEWMAN parc.5.doc</t>
  </si>
  <si>
    <t>C:\Users\franc\OneDrive\Documentos\MALENTIN KARIME\BANCO ESTADO\2012 DEPTO ESCRITURAS fata\Dc Simples\RESPALDO comp notaria 27_12_12\NOTARIA 2012\ARRIENDOS\EDUARDO AGUIRRE NEWMAN parc. 2.doc</t>
  </si>
  <si>
    <t>C:\Users\franc\OneDrive\Documentos\MALENTIN KARIME\BANCO ESTADO\2012 DEPTO ESCRITURAS fata\Dc Simples\RESPALDO comp notaria 27_12_12\NOTARIA 2012\ARRIENDOS\EDGARDO OLIVARES.doc</t>
  </si>
  <si>
    <t>C:\Users\franc\OneDrive\Documentos\MALENTIN KARIME\BANCO ESTADO\2012 DEPTO ESCRITURAS fata\Dc Simples\RESPALDO comp notaria 27_12_12\NOTARIA 2012\ARRIENDOS\DOMINGO VEGA.doc</t>
  </si>
  <si>
    <t>C:\Users\franc\OneDrive\Documentos\MALENTIN KARIME\BANCO ESTADO\2012 DEPTO ESCRITURAS fata\Dc Simples\RESPALDO comp notaria 27_12_12\NOTARIA 2012\ARRIENDOS\DOMINGO RIVERA.doc</t>
  </si>
  <si>
    <t>C:\Users\franc\OneDrive\Documentos\MALENTIN KARIME\BANCO ESTADO\2012 DEPTO ESCRITURAS fata\Dc Simples\RESPALDO comp notaria 27_12_12\NOTARIA 2012\ARRIENDOS\DIRECTORA.doc</t>
  </si>
  <si>
    <t>C:\Users\franc\OneDrive\Documentos\MALENTIN KARIME\BANCO ESTADO\2012 DEPTO ESCRITURAS fata\Dc Simples\RESPALDO comp notaria 27_12_12\NOTARIA 2012\ARRIENDOS\DAMASO CONTRERAS.doc</t>
  </si>
  <si>
    <t>C:\Users\franc\OneDrive\Documentos\MALENTIN KARIME\BANCO ESTADO\2012 DEPTO ESCRITURAS fata\Dc Simples\RESPALDO comp notaria 27_12_12\NOTARIA 2012\ARRIENDOS\DAMASO A PEDRO BARRAZA.doc</t>
  </si>
  <si>
    <t>C:\Users\franc\OneDrive\Documentos\MALENTIN KARIME\BANCO ESTADO\2012 DEPTO ESCRITURAS fata\Dc Simples\RESPALDO comp notaria 27_12_12\NOTARIA 2012\ARRIENDOS\CRISTINA CORNEJO ALVAREZ.doc</t>
  </si>
  <si>
    <t>C:\Users\franc\OneDrive\Documentos\MALENTIN KARIME\BANCO ESTADO\2012 DEPTO ESCRITURAS fata\Dc Simples\RESPALDO comp notaria 27_12_12\NOTARIA 2012\ARRIENDOS\CONTRATO_DE_ARRIENDO_ ROBERTO VEGA.doc</t>
  </si>
  <si>
    <t>C:\Users\franc\OneDrive\Documentos\MALENTIN KARIME\BANCO ESTADO\2012 DEPTO ESCRITURAS fata\Dc Simples\RESPALDO comp notaria 27_12_12\NOTARIA 2012\ARRIENDOS\CONTRATO PISCINA.doc</t>
  </si>
  <si>
    <t>C:\Users\franc\OneDrive\Documentos\MALENTIN KARIME\BANCO ESTADO\2012 DEPTO ESCRITURAS fata\Dc Simples\RESPALDO comp notaria 27_12_12\NOTARIA 2012\ARRIENDOS\contrato de arriendo PEDRO cHACON.doc</t>
  </si>
  <si>
    <t>C:\Users\franc\OneDrive\Documentos\MALENTIN KARIME\BANCO ESTADO\2012 DEPTO ESCRITURAS fata\Dc Simples\RESPALDO comp notaria 27_12_12\NOTARIA 2012\ARRIENDOS\CON REPRESENTACION.doc</t>
  </si>
  <si>
    <t>C:\Users\franc\OneDrive\Documentos\MALENTIN KARIME\BANCO ESTADO\2012 DEPTO ESCRITURAS fata\Dc Simples\RESPALDO comp notaria 27_12_12\NOTARIA 2012\ARRIENDOS\COMUNIDAD AGRICOLA EL ROMERAL.doc</t>
  </si>
  <si>
    <t>C:\Users\franc\OneDrive\Documentos\MALENTIN KARIME\BANCO ESTADO\2012 DEPTO ESCRITURAS fata\Dc Simples\RESPALDO comp notaria 27_12_12\NOTARIA 2012\ARRIENDOS\COMUNIDAD AGRICOLA CANELILLA.doc</t>
  </si>
  <si>
    <t>C:\Users\franc\OneDrive\Documentos\MALENTIN KARIME\BANCO ESTADO\2012 DEPTO ESCRITURAS fata\Dc Simples\RESPALDO comp notaria 27_12_12\NOTARIA 2012\ARRIENDOS\COMODATO AGUA POTABLE.-.doc</t>
  </si>
  <si>
    <t>C:\Users\franc\OneDrive\Documentos\MALENTIN KARIME\BANCO ESTADO\2012 DEPTO ESCRITURAS fata\Dc Simples\RESPALDO comp notaria 27_12_12\NOTARIA 2012\ARRIENDOS\COMERCIAL PLASTI-ECCHER S.A..doc</t>
  </si>
  <si>
    <t>C:\Users\franc\OneDrive\Documentos\MALENTIN KARIME\BANCO ESTADO\2012 DEPTO ESCRITURAS fata\Dc Simples\RESPALDO comp notaria 27_12_12\NOTARIA 2012\ARRIENDOS\CLAUDIO CORREA.doc</t>
  </si>
  <si>
    <t>C:\Users\franc\OneDrive\Documentos\MALENTIN KARIME\BANCO ESTADO\2012 DEPTO ESCRITURAS fata\Dc Simples\RESPALDO comp notaria 27_12_12\NOTARIA 2012\ARRIENDOS\CLAUDIO ARDILES.doc</t>
  </si>
  <si>
    <t>C:\Users\franc\OneDrive\Documentos\MALENTIN KARIME\BANCO ESTADO\2012 DEPTO ESCRITURAS fata\Dc Simples\RESPALDO comp notaria 27_12_12\NOTARIA 2012\ARRIENDOS\CLARA GONZALEZ Y OTRO.doc</t>
  </si>
  <si>
    <t>C:\Users\franc\OneDrive\Documentos\MALENTIN KARIME\BANCO ESTADO\2012 DEPTO ESCRITURAS fata\Dc Simples\RESPALDO comp notaria 27_12_12\NOTARIA 2012\ARRIENDOS\CEDEDON RAMOS.doc</t>
  </si>
  <si>
    <t>C:\Users\franc\OneDrive\Documentos\MALENTIN KARIME\BANCO ESTADO\2012 DEPTO ESCRITURAS fata\Dc Simples\RESPALDO comp notaria 27_12_12\NOTARIA 2012\ARRIENDOS\CECILIA CORTES EIRL.doc</t>
  </si>
  <si>
    <t>C:\Users\franc\OneDrive\Documentos\MALENTIN KARIME\BANCO ESTADO\2012 DEPTO ESCRITURAS fata\Dc Simples\RESPALDO comp notaria 27_12_12\NOTARIA 2012\ARRIENDOS\CARMEN RIVERA HIDALGO.doc</t>
  </si>
  <si>
    <t>C:\Users\franc\OneDrive\Documentos\MALENTIN KARIME\BANCO ESTADO\2012 DEPTO ESCRITURAS fata\Dc Simples\RESPALDO comp notaria 27_12_12\NOTARIA 2012\ARRIENDOS\CARMEN LEON.doc</t>
  </si>
  <si>
    <t>C:\Users\franc\OneDrive\Documentos\MALENTIN KARIME\BANCO ESTADO\2012 DEPTO ESCRITURAS fata\Dc Simples\RESPALDO comp notaria 27_12_12\NOTARIA 2012\ARRIENDOS\CARMEN CONTRERAS.doc</t>
  </si>
  <si>
    <t>C:\Users\franc\OneDrive\Documentos\MALENTIN KARIME\BANCO ESTADO\2012 DEPTO ESCRITURAS fata\Dc Simples\RESPALDO comp notaria 27_12_12\NOTARIA 2012\ARRIENDOS\CARMEN BRAVO.doc</t>
  </si>
  <si>
    <t>C:\Users\franc\OneDrive\Documentos\MALENTIN KARIME\BANCO ESTADO\2012 DEPTO ESCRITURAS fata\Dc Simples\RESPALDO comp notaria 27_12_12\NOTARIA 2012\ARRIENDOS\CARLOS CORTES.doc</t>
  </si>
  <si>
    <t>C:\Users\franc\OneDrive\Documentos\MALENTIN KARIME\BANCO ESTADO\2012 DEPTO ESCRITURAS fata\Dc Simples\RESPALDO comp notaria 27_12_12\NOTARIA 2012\ARRIENDOS\CARLOS BUGUEÑO TELLO.doc</t>
  </si>
  <si>
    <t>C:\Users\franc\OneDrive\Documentos\MALENTIN KARIME\BANCO ESTADO\2012 DEPTO ESCRITURAS fata\Dc Simples\RESPALDO comp notaria 27_12_12\NOTARIA 2012\ARRIENDOS\CARLOS BENAVENTE.doc</t>
  </si>
  <si>
    <t>C:\Users\franc\OneDrive\Documentos\MALENTIN KARIME\BANCO ESTADO\2012 DEPTO ESCRITURAS fata\Dc Simples\RESPALDO comp notaria 27_12_12\NOTARIA 2012\ARRIENDOS\CARLOS ALFARO ROJAS.doc</t>
  </si>
  <si>
    <t>C:\Users\franc\OneDrive\Documentos\MALENTIN KARIME\BANCO ESTADO\2012 DEPTO ESCRITURAS fata\Dc Simples\RESPALDO comp notaria 27_12_12\NOTARIA 2012\ARRIENDOS\CAPSICUM.doc</t>
  </si>
  <si>
    <t>C:\Users\franc\OneDrive\Documentos\MALENTIN KARIME\BANCO ESTADO\2012 DEPTO ESCRITURAS fata\Dc Simples\RESPALDO comp notaria 27_12_12\NOTARIA 2012\ARRIENDOS\CAPRIGEN.doc</t>
  </si>
  <si>
    <t>C:\Users\franc\OneDrive\Documentos\MALENTIN KARIME\BANCO ESTADO\2012 DEPTO ESCRITURAS fata\Dc Simples\RESPALDO comp notaria 27_12_12\NOTARIA 2012\ARRIENDOS\CAMINO.doc</t>
  </si>
  <si>
    <t>C:\Users\franc\OneDrive\Documentos\MALENTIN KARIME\BANCO ESTADO\2012 DEPTO ESCRITURAS fata\Dc Simples\RESPALDO comp notaria 27_12_12\NOTARIA 2012\ARRIENDOS\CAMILO CASTILLO.doc</t>
  </si>
  <si>
    <t>C:\Users\franc\OneDrive\Documentos\MALENTIN KARIME\BANCO ESTADO\2012 DEPTO ESCRITURAS fata\Dc Simples\RESPALDO comp notaria 27_12_12\NOTARIA 2012\ARRIENDOS\BRISAS DEL SOL.doc</t>
  </si>
  <si>
    <t>C:\Users\franc\OneDrive\Documentos\MALENTIN KARIME\BANCO ESTADO\2012 DEPTO ESCRITURAS fata\Dc Simples\RESPALDO comp notaria 27_12_12\NOTARIA 2012\ARRIENDOS\BERNARDO MILLA ROJAS.doc</t>
  </si>
  <si>
    <t>C:\Users\franc\OneDrive\Documentos\MALENTIN KARIME\BANCO ESTADO\2012 DEPTO ESCRITURAS fata\Dc Simples\RESPALDO comp notaria 27_12_12\NOTARIA 2012\ARRIENDOS\BERNARDO CONTRERAS.doc</t>
  </si>
  <si>
    <t>C:\Users\franc\OneDrive\Documentos\MALENTIN KARIME\BANCO ESTADO\2012 DEPTO ESCRITURAS fata\Dc Simples\RESPALDO comp notaria 27_12_12\NOTARIA 2012\ARRIENDOS\BENJAMIN JULIO CASTILLO.doc</t>
  </si>
  <si>
    <t>C:\Users\franc\OneDrive\Documentos\MALENTIN KARIME\BANCO ESTADO\2012 DEPTO ESCRITURAS fata\Dc Simples\RESPALDO comp notaria 27_12_12\NOTARIA 2012\ARRIENDOS\BENITO CORTES.doc</t>
  </si>
  <si>
    <t>C:\Users\franc\OneDrive\Documentos\MALENTIN KARIME\BANCO ESTADO\2012 DEPTO ESCRITURAS fata\Dc Simples\RESPALDO comp notaria 27_12_12\NOTARIA 2012\ARRIENDOS\BELLA VISTA.doc</t>
  </si>
  <si>
    <t>C:\Users\franc\OneDrive\Documentos\MALENTIN KARIME\BANCO ESTADO\2012 DEPTO ESCRITURAS fata\Dc Simples\RESPALDO comp notaria 27_12_12\NOTARIA 2012\ARRIENDOS\BARTOLO ANTIQUERA.doc</t>
  </si>
  <si>
    <t>C:\Users\franc\OneDrive\Documentos\MALENTIN KARIME\BANCO ESTADO\2012 DEPTO ESCRITURAS fata\Dc Simples\RESPALDO comp notaria 27_12_12\NOTARIA 2012\ARRIENDOS\AURISTELA GONZALEZ.doc</t>
  </si>
  <si>
    <t>C:\Users\franc\OneDrive\Documentos\MALENTIN KARIME\BANCO ESTADO\2012 DEPTO ESCRITURAS fata\Dc Simples\RESPALDO comp notaria 27_12_12\NOTARIA 2012\ARRIENDOS\AUDALIO SOTO.doc</t>
  </si>
  <si>
    <t>C:\Users\franc\OneDrive\Documentos\MALENTIN KARIME\BANCO ESTADO\2012 DEPTO ESCRITURAS fata\Dc Simples\RESPALDO comp notaria 27_12_12\NOTARIA 2012\ARRIENDOS\ARTEMIO TORREJON.doc</t>
  </si>
  <si>
    <t>C:\Users\franc\OneDrive\Documentos\MALENTIN KARIME\BANCO ESTADO\2012 DEPTO ESCRITURAS fata\Dc Simples\RESPALDO comp notaria 27_12_12\NOTARIA 2012\ARRIENDOS\ARTEMIO OLIVARES.doc</t>
  </si>
  <si>
    <t>C:\Users\franc\OneDrive\Documentos\MALENTIN KARIME\BANCO ESTADO\2012 DEPTO ESCRITURAS fata\Dc Simples\RESPALDO comp notaria 27_12_12\NOTARIA 2012\ARRIENDOS\ARTEMIO OLIVARES La Chimba.doc</t>
  </si>
  <si>
    <t>C:\Users\franc\OneDrive\Documentos\MALENTIN KARIME\BANCO ESTADO\2012 DEPTO ESCRITURAS fata\Dc Simples\RESPALDO comp notaria 27_12_12\NOTARIA 2012\ARRIENDOS\ARRIENDO TERMAS DE SOCOS.doc</t>
  </si>
  <si>
    <t>C:\Users\franc\OneDrive\Documentos\MALENTIN KARIME\BANCO ESTADO\2012 DEPTO ESCRITURAS fata\Dc Simples\RESPALDO comp notaria 27_12_12\NOTARIA 2012\ARRIENDOS\ARRIENDO PAGO POR ARREGLOdoc.doc</t>
  </si>
  <si>
    <t>C:\Users\franc\OneDrive\Documentos\MALENTIN KARIME\BANCO ESTADO\2012 DEPTO ESCRITURAS fata\Dc Simples\RESPALDO comp notaria 27_12_12\NOTARIA 2012\ARRIENDOS\Arrendamiento_Mina Hilda a CMB, FINAL.doc</t>
  </si>
  <si>
    <t>C:\Users\franc\OneDrive\Documentos\MALENTIN KARIME\BANCO ESTADO\2012 DEPTO ESCRITURAS fata\Dc Simples\RESPALDO comp notaria 27_12_12\NOTARIA 2012\ARRIENDOS\ARR.PARRON.doc</t>
  </si>
  <si>
    <t>C:\Users\franc\OneDrive\Documentos\MALENTIN KARIME\BANCO ESTADO\2012 DEPTO ESCRITURAS fata\Dc Simples\RESPALDO comp notaria 27_12_12\NOTARIA 2012\ARRIENDOS\ARR. DE AGUAS.doc</t>
  </si>
  <si>
    <t>C:\Users\franc\OneDrive\Documentos\MALENTIN KARIME\BANCO ESTADO\2012 DEPTO ESCRITURAS fata\Dc Simples\RESPALDO comp notaria 27_12_12\NOTARIA 2012\ARRIENDOS\ARNOLDO OLIVARES.doc</t>
  </si>
  <si>
    <t>C:\Users\franc\OneDrive\Documentos\MALENTIN KARIME\BANCO ESTADO\2012 DEPTO ESCRITURAS fata\Dc Simples\RESPALDO comp notaria 27_12_12\NOTARIA 2012\ARRIENDOS\ARMANDO MALDONADO.doc</t>
  </si>
  <si>
    <t>C:\Users\franc\OneDrive\Documentos\MALENTIN KARIME\BANCO ESTADO\2012 DEPTO ESCRITURAS fata\Dc Simples\RESPALDO comp notaria 27_12_12\NOTARIA 2012\ARRIENDOS\ARMANDO GUERRERO.doc</t>
  </si>
  <si>
    <t>C:\Users\franc\OneDrive\Documentos\MALENTIN KARIME\BANCO ESTADO\2012 DEPTO ESCRITURAS fata\Dc Simples\RESPALDO comp notaria 27_12_12\NOTARIA 2012\ARRIENDOS\APICULTURA CARLOS BONILLA.doc</t>
  </si>
  <si>
    <t>C:\Users\franc\OneDrive\Documentos\MALENTIN KARIME\BANCO ESTADO\2012 DEPTO ESCRITURAS fata\Dc Simples\RESPALDO comp notaria 27_12_12\NOTARIA 2012\ARRIENDOS\ANTONIO BOU SAPIAIN.doc</t>
  </si>
  <si>
    <t>C:\Users\franc\OneDrive\Documentos\MALENTIN KARIME\BANCO ESTADO\2012 DEPTO ESCRITURAS fata\Dc Simples\RESPALDO comp notaria 27_12_12\NOTARIA 2012\ARRIENDOS\ANTONIN JOFRE.doc</t>
  </si>
  <si>
    <t>C:\Users\franc\OneDrive\Documentos\MALENTIN KARIME\BANCO ESTADO\2012 DEPTO ESCRITURAS fata\Dc Simples\RESPALDO comp notaria 27_12_12\NOTARIA 2012\ARRIENDOS\ANTONIN A MARIA PIA GALLEGUILLOS.doc</t>
  </si>
  <si>
    <t>C:\Users\franc\OneDrive\Documentos\MALENTIN KARIME\BANCO ESTADO\2012 DEPTO ESCRITURAS fata\Dc Simples\RESPALDO comp notaria 27_12_12\NOTARIA 2012\ARRIENDOS\ANTONIA GALLEGOS.doc</t>
  </si>
  <si>
    <t>C:\Users\franc\OneDrive\Documentos\MALENTIN KARIME\BANCO ESTADO\2012 DEPTO ESCRITURAS fata\Dc Simples\RESPALDO comp notaria 27_12_12\NOTARIA 2012\ARRIENDOS\ANITA CORTES.doc</t>
  </si>
  <si>
    <t>C:\Users\franc\OneDrive\Documentos\MALENTIN KARIME\BANCO ESTADO\2012 DEPTO ESCRITURAS fata\Dc Simples\RESPALDO comp notaria 27_12_12\NOTARIA 2012\ARRIENDOS\ANIBAL CASTILLO.doc</t>
  </si>
  <si>
    <t>C:\Users\franc\OneDrive\Documentos\MALENTIN KARIME\BANCO ESTADO\2012 DEPTO ESCRITURAS fata\Dc Simples\RESPALDO comp notaria 27_12_12\NOTARIA 2012\ARRIENDOS\ANEXO.doc</t>
  </si>
  <si>
    <t>C:\Users\franc\OneDrive\Documentos\MALENTIN KARIME\BANCO ESTADO\2012 DEPTO ESCRITURAS fata\Dc Simples\RESPALDO comp notaria 27_12_12\NOTARIA 2012\ARRIENDOS\AMELIA ACUÑA.doc</t>
  </si>
  <si>
    <t>C:\Users\franc\OneDrive\Documentos\MALENTIN KARIME\BANCO ESTADO\2012 DEPTO ESCRITURAS fata\Dc Simples\RESPALDO comp notaria 27_12_12\NOTARIA 2012\ARRIENDOS\AMALIA COLLAO Y HUGO HENRIQUEZ.doc</t>
  </si>
  <si>
    <t>C:\Users\franc\OneDrive\Documentos\MALENTIN KARIME\BANCO ESTADO\2012 DEPTO ESCRITURAS fata\Dc Simples\RESPALDO comp notaria 27_12_12\NOTARIA 2012\ARRIENDOS\ALVARO ROJAS DIAZ.doc</t>
  </si>
  <si>
    <t>C:\Users\franc\OneDrive\Documentos\MALENTIN KARIME\BANCO ESTADO\2012 DEPTO ESCRITURAS fata\Dc Simples\RESPALDO comp notaria 27_12_12\NOTARIA 2012\ARRIENDOS\ALIRO CASTRO LOPEZ.doc</t>
  </si>
  <si>
    <t>C:\Users\franc\OneDrive\Documentos\MALENTIN KARIME\BANCO ESTADO\2012 DEPTO ESCRITURAS fata\Dc Simples\RESPALDO comp notaria 27_12_12\NOTARIA 2012\ARRIENDOS\ALICIA MATAMOROS.doc</t>
  </si>
  <si>
    <t>C:\Users\franc\OneDrive\Documentos\MALENTIN KARIME\BANCO ESTADO\2012 DEPTO ESCRITURAS fata\Dc Simples\RESPALDO comp notaria 27_12_12\NOTARIA 2012\ARRIENDOS\ALFREDO MUNDACA.doc</t>
  </si>
  <si>
    <t>C:\Users\franc\OneDrive\Documentos\MALENTIN KARIME\BANCO ESTADO\2012 DEPTO ESCRITURAS fata\Dc Simples\RESPALDO comp notaria 27_12_12\NOTARIA 2012\ARRIENDOS\ALFREDO ESPINOSA.doc</t>
  </si>
  <si>
    <t>C:\Users\franc\OneDrive\Documentos\MALENTIN KARIME\BANCO ESTADO\2012 DEPTO ESCRITURAS fata\Dc Simples\RESPALDO comp notaria 27_12_12\NOTARIA 2012\ARRIENDOS\ALFONSO MONTENEGRO.doc</t>
  </si>
  <si>
    <t>C:\Users\franc\OneDrive\Documentos\MALENTIN KARIME\BANCO ESTADO\2012 DEPTO ESCRITURAS fata\Dc Simples\RESPALDO comp notaria 27_12_12\NOTARIA 2012\ARRIENDOS\ALFONSO MONTENEGRO-Lorenzo.doc</t>
  </si>
  <si>
    <t>C:\Users\franc\OneDrive\Documentos\MALENTIN KARIME\BANCO ESTADO\2012 DEPTO ESCRITURAS fata\Dc Simples\RESPALDO comp notaria 27_12_12\NOTARIA 2012\ARRIENDOS\ALFONSO MONTENEGRO-Gabriel.doc</t>
  </si>
  <si>
    <t>C:\Users\franc\OneDrive\Documentos\MALENTIN KARIME\BANCO ESTADO\2012 DEPTO ESCRITURAS fata\Dc Simples\RESPALDO comp notaria 27_12_12\NOTARIA 2012\ARRIENDOS\ALFONSO MONTENEGRO a Sotaqui.doc</t>
  </si>
  <si>
    <t>C:\Users\franc\OneDrive\Documentos\MALENTIN KARIME\BANCO ESTADO\2012 DEPTO ESCRITURAS fata\Dc Simples\RESPALDO comp notaria 27_12_12\NOTARIA 2012\ARRIENDOS\ALFARO GABRIELA E IVAN.doc</t>
  </si>
  <si>
    <t>C:\Users\franc\OneDrive\Documentos\MALENTIN KARIME\BANCO ESTADO\2012 DEPTO ESCRITURAS fata\Dc Simples\RESPALDO comp notaria 27_12_12\NOTARIA 2012\ARRIENDOS\ALFALFARES LTDA Y ESMERALDO V..doc</t>
  </si>
  <si>
    <t>C:\Users\franc\OneDrive\Documentos\MALENTIN KARIME\BANCO ESTADO\2012 DEPTO ESCRITURAS fata\Dc Simples\RESPALDO comp notaria 27_12_12\NOTARIA 2012\ARRIENDOS\ALEJANDRO SAAVEDRA.doc</t>
  </si>
  <si>
    <t>C:\Users\franc\OneDrive\Documentos\MALENTIN KARIME\BANCO ESTADO\2012 DEPTO ESCRITURAS fata\Dc Simples\RESPALDO comp notaria 27_12_12\NOTARIA 2012\ARRIENDOS\ALEJANDRO ROBLES.doc</t>
  </si>
  <si>
    <t>C:\Users\franc\OneDrive\Documentos\MALENTIN KARIME\BANCO ESTADO\2012 DEPTO ESCRITURAS fata\Dc Simples\RESPALDO comp notaria 27_12_12\NOTARIA 2012\ARRIENDOS\ALEJANDRO CORTES A ROMELIO.doc</t>
  </si>
  <si>
    <t>C:\Users\franc\OneDrive\Documentos\MALENTIN KARIME\BANCO ESTADO\2012 DEPTO ESCRITURAS fata\Dc Simples\RESPALDO comp notaria 27_12_12\NOTARIA 2012\ARRIENDOS\ALEJANDRO CORTES A PEDRO.doc</t>
  </si>
  <si>
    <t>C:\Users\franc\OneDrive\Documentos\MALENTIN KARIME\BANCO ESTADO\2012 DEPTO ESCRITURAS fata\Dc Simples\RESPALDO comp notaria 27_12_12\NOTARIA 2012\ARRIENDOS\ALBERTO LEIVA AGUILERA.doc</t>
  </si>
  <si>
    <t>C:\Users\franc\OneDrive\Documentos\MALENTIN KARIME\BANCO ESTADO\2012 DEPTO ESCRITURAS fata\Dc Simples\RESPALDO comp notaria 27_12_12\NOTARIA 2012\ARRIENDOS\ALBERTINA LUNA.doc</t>
  </si>
  <si>
    <t>C:\Users\franc\OneDrive\Documentos\MALENTIN KARIME\BANCO ESTADO\2012 DEPTO ESCRITURAS fata\Dc Simples\RESPALDO comp notaria 27_12_12\NOTARIA 2012\ARRIENDOS\AIDA CASTRO ROJAS.doc</t>
  </si>
  <si>
    <t>C:\Users\franc\OneDrive\Documentos\MALENTIN KARIME\BANCO ESTADO\2012 DEPTO ESCRITURAS fata\Dc Simples\RESPALDO comp notaria 27_12_12\NOTARIA 2012\ARRIENDOS\AGUSTINA ROJAS.doc</t>
  </si>
  <si>
    <t>C:\Users\franc\OneDrive\Documentos\MALENTIN KARIME\BANCO ESTADO\2012 DEPTO ESCRITURAS fata\Dc Simples\RESPALDO comp notaria 27_12_12\NOTARIA 2012\ARRIENDOS\AGUSTINA ROJAS 2.doc</t>
  </si>
  <si>
    <t>C:\Users\franc\OneDrive\Documentos\MALENTIN KARIME\BANCO ESTADO\2012 DEPTO ESCRITURAS fata\Dc Simples\RESPALDO comp notaria 27_12_12\NOTARIA 2012\ARRIENDOS\AGUSTINA CISTERNAS.doc</t>
  </si>
  <si>
    <t>C:\Users\franc\OneDrive\Documentos\MALENTIN KARIME\BANCO ESTADO\2012 DEPTO ESCRITURAS fata\Dc Simples\RESPALDO comp notaria 27_12_12\NOTARIA 2012\ARRIENDOS\AGRICOLA SANTA BARBARA.doc</t>
  </si>
  <si>
    <t>C:\Users\franc\OneDrive\Documentos\MALENTIN KARIME\BANCO ESTADO\2012 DEPTO ESCRITURAS fata\Dc Simples\RESPALDO comp notaria 27_12_12\NOTARIA 2012\ARRIENDOS\AGRICOLA MODELO.doc</t>
  </si>
  <si>
    <t>C:\Users\franc\OneDrive\Documentos\MALENTIN KARIME\BANCO ESTADO\2012 DEPTO ESCRITURAS fata\Dc Simples\RESPALDO comp notaria 27_12_12\NOTARIA 2012\ARRIENDOS\AGRICOLA COMUNERO.doc</t>
  </si>
  <si>
    <t>C:\Users\franc\OneDrive\Documentos\MALENTIN KARIME\BANCO ESTADO\2012 DEPTO ESCRITURAS fata\Dc Simples\RESPALDO comp notaria 27_12_12\NOTARIA 2012\ARRIENDOS\AGRICOLA CHAÑARAL BAJO NORTE S.A..doc</t>
  </si>
  <si>
    <t>C:\Users\franc\OneDrive\Documentos\MALENTIN KARIME\BANCO ESTADO\2012 DEPTO ESCRITURAS fata\Dc Simples\RESPALDO comp notaria 27_12_12\NOTARIA 2012\ARRIENDOS\AGRICOLA AMABLE BARRAZA E HIJOS.doc</t>
  </si>
  <si>
    <t>C:\Users\franc\OneDrive\Documentos\MALENTIN KARIME\BANCO ESTADO\2012 DEPTO ESCRITURAS fata\Dc Simples\RESPALDO comp notaria 27_12_12\NOTARIA 2012\ARRIENDOS\AGRICOLA ALVAREZ Y JULIA LTDA..doc</t>
  </si>
  <si>
    <t>C:\Users\franc\OneDrive\Documentos\MALENTIN KARIME\BANCO ESTADO\2012 DEPTO ESCRITURAS fata\Dc Simples\RESPALDO comp notaria 27_12_12\NOTARIA 2012\ARRIENDOS\AGE LTDA..doc</t>
  </si>
  <si>
    <t>C:\Users\franc\OneDrive\Documentos\MALENTIN KARIME\BANCO ESTADO\2012 DEPTO ESCRITURAS fata\Dc Simples\RESPALDO comp notaria 27_12_12\NOTARIA 2012\ARRIENDOS\AGAPITO SANTANDER.doc</t>
  </si>
  <si>
    <t>C:\Users\franc\OneDrive\Documentos\MALENTIN KARIME\BANCO ESTADO\2012 DEPTO ESCRITURAS fata\Dc Simples\RESPALDO comp notaria 27_12_12\NOTARIA 2012\ARRIENDOS\ABIGAIL ISMENIA OLIVARES VALDIVIA.doc</t>
  </si>
  <si>
    <t>C:\Users\franc\OneDrive\Documentos\MALENTIN KARIME\BANCO ESTADO\2012 DEPTO ESCRITURAS fata\Dc Simples\RESPALDO comp notaria 27_12_12\NOTARIA 2012\ARRIENDOS\ABELARDO RIVERA.doc</t>
  </si>
  <si>
    <t>C:\Users\franc\OneDrive\Documentos\MALENTIN KARIME\BANCO ESTADO\2012 DEPTO ESCRITURAS fata\Dc Simples\RESPALDO comp notaria 27_12_12\NOTARIA 2012\nomina bco bci nova.xls</t>
  </si>
  <si>
    <t>C:\Users\franc\OneDrive\Documentos\MALENTIN KARIME\BANCO ESTADO\2012 DEPTO ESCRITURAS fata\Dc Simples\RESPALDO comp notaria 27_12_12\NOTARIA 2012\nomina bco bci nova mes deabril.xls</t>
  </si>
  <si>
    <t>C:\Users\franc\OneDrive\Documentos\MALENTIN KARIME\BANCO ESTADO\2012 DEPTO ESCRITURAS fata\Dc Simples\RESPALDO comp notaria 27_12_12\NOTARIA 2012\nomina bco bci nova mes de SEPTIEMBRE.xls</t>
  </si>
  <si>
    <t>C:\Users\franc\OneDrive\Documentos\MALENTIN KARIME\BANCO ESTADO\2012 DEPTO ESCRITURAS fata\Dc Simples\RESPALDO comp notaria 27_12_12\NOTARIA 2012\nomina bco bci nova mes de OCTUBRE.xls</t>
  </si>
  <si>
    <t>C:\Users\franc\OneDrive\Documentos\MALENTIN KARIME\BANCO ESTADO\2012 DEPTO ESCRITURAS fata\Dc Simples\RESPALDO comp notaria 27_12_12\NOTARIA 2012\nomina bco bci nova mes de NOVIEMBRE.xls</t>
  </si>
  <si>
    <t>C:\Users\franc\OneDrive\Documentos\MALENTIN KARIME\BANCO ESTADO\2012 DEPTO ESCRITURAS fata\Dc Simples\RESPALDO comp notaria 27_12_12\NOTARIA 2012\nomina bco bci nova mes de MAYO 2013.xls</t>
  </si>
  <si>
    <t>C:\Users\franc\OneDrive\Documentos\MALENTIN KARIME\BANCO ESTADO\2012 DEPTO ESCRITURAS fata\Dc Simples\RESPALDO comp notaria 27_12_12\NOTARIA 2012\nomina bco bci nova mes de MARZO 2013.xls</t>
  </si>
  <si>
    <t>C:\Users\franc\OneDrive\Documentos\MALENTIN KARIME\BANCO ESTADO\2012 DEPTO ESCRITURAS fata\Dc Simples\RESPALDO comp notaria 27_12_12\NOTARIA 2012\nomina bco bci nova mes de julio.xls</t>
  </si>
  <si>
    <t>C:\Users\franc\OneDrive\Documentos\MALENTIN KARIME\BANCO ESTADO\2012 DEPTO ESCRITURAS fata\Dc Simples\RESPALDO comp notaria 27_12_12\NOTARIA 2012\nomina bco bci nova mes de FEBRERO 2013.xls</t>
  </si>
  <si>
    <t>C:\Users\franc\OneDrive\Documentos\MALENTIN KARIME\BANCO ESTADO\2012 DEPTO ESCRITURAS fata\Dc Simples\RESPALDO comp notaria 27_12_12\NOTARIA 2012\nomina bco bci nova mes de AGOSTO.xls</t>
  </si>
  <si>
    <t>C:\Users\franc\OneDrive\Documentos\MALENTIN KARIME\BANCO ESTADO\2012 DEPTO ESCRITURAS fata\Dc Simples\RESPALDO comp notaria 27_12_12\NOTARIA 2012\MARIO FERNANDEZ.doc</t>
  </si>
  <si>
    <t>C:\Users\franc\OneDrive\Documentos\MALENTIN KARIME\BANCO ESTADO\2012 DEPTO ESCRITURAS fata\Dc Simples\RESPALDO comp notaria 27_12_12\NOTARIA 2012\Henan compañia minera de metales no ferrosos.doc</t>
  </si>
  <si>
    <t>C:\Users\franc\OneDrive\Documentos\MALENTIN KARIME\BANCO ESTADO\2012 DEPTO ESCRITURAS fata\Dc Simples\RESPALDO comp notaria 27_12_12\NOTARIA 2012\FIRMA SIMPLE dos con rep.doc</t>
  </si>
  <si>
    <t>C:\Users\franc\OneDrive\Documentos\MALENTIN KARIME\BANCO ESTADO\2012 DEPTO ESCRITURAS fata\Dc Simples\RESPALDO comp notaria 27_12_12\NOTARIA 2012\Copia de BANCO NOVA JUNIO.xls</t>
  </si>
  <si>
    <t>C:\Users\franc\OneDrive\Documentos\MALENTIN KARIME\BANCO ESTADO\2012 DEPTO ESCRITURAS fata\Dc Simples\RESPALDO comp notaria 27_12_12\NOTARIA 2012\CONTRATO DE ARRIENDO.doc</t>
  </si>
  <si>
    <t>C:\Users\franc\OneDrive\Documentos\MALENTIN KARIME\BANCO ESTADO\2012 DEPTO ESCRITURAS fata\Dc Simples\RESPALDO comp notaria 27_12_12\NOTARIA 2012\CITACION.doc</t>
  </si>
  <si>
    <t>C:\Users\franc\OneDrive\Documentos\MALENTIN KARIME\BANCO ESTADO\2012 DEPTO ESCRITURAS fata\Dc Simples\RESPALDO comp notaria 27_12_12\NOTARIA 2012\carta de aum. pagare.doc</t>
  </si>
  <si>
    <t>C:\Users\franc\OneDrive\Documentos\MALENTIN KARIME\BANCO ESTADO\2012 DEPTO ESCRITURAS fata\Dc Simples\RESPALDO comp notaria 27_12_12\NOTARIA 2012\ARRENDAMIENTO VARIOS ARRENDATARIOS.doc</t>
  </si>
  <si>
    <t>C:\Users\franc\OneDrive\Documentos\MALENTIN KARIME\BANCO ESTADO\2012 DEPTO ESCRITURAS fata\Dc Simples\RESPALDO comp notaria 27_12_12\NOTARIA 2012\ARR. CASA  MODELO.doc</t>
  </si>
  <si>
    <t>C:\Users\franc\OneDrive\Documentos\MALENTIN KARIME\BANCO ESTADO\2012 DEPTO ESCRITURAS fata\Dc Simples\RESPALDO comp notaria 27_12_12\Libro Pagarés\PLANILLA.xls</t>
  </si>
  <si>
    <t>C:\Users\franc\OneDrive\Documentos\MALENTIN KARIME\BANCO ESTADO\2012 DEPTO ESCRITURAS fata\Dc Simples\RESPALDO comp notaria 27_12_12\Libro Pagarés\Pagarés Julio Agosto.xls</t>
  </si>
  <si>
    <t>C:\Users\franc\OneDrive\Documentos\MALENTIN KARIME\BANCO ESTADO\2012 DEPTO ESCRITURAS fata\Dc Simples\RESPALDO comp notaria 27_12_12\DJA3324TXT\PLANILLA.xls</t>
  </si>
  <si>
    <t>C:\Users\franc\OneDrive\Documentos\MALENTIN KARIME\BANCO ESTADO\2012 DEPTO ESCRITURAS fata\Dc Simples\RESPALDO comp notaria 27_12_12\VIGENCIA REPRESENTANTE LEGAL.doc</t>
  </si>
  <si>
    <t>C:\Users\franc\OneDrive\Documentos\MALENTIN KARIME\BANCO ESTADO\2012 DEPTO ESCRITURAS fata\Dc Simples\RESPALDO comp notaria 27_12_12\VIGENCIA MONICA TOLEDO.doc</t>
  </si>
  <si>
    <t>C:\Users\franc\OneDrive\Documentos\MALENTIN KARIME\BANCO ESTADO\2012 DEPTO ESCRITURAS fata\Dc Simples\RESPALDO comp notaria 27_12_12\TRABAJO MENOR modelo.doc</t>
  </si>
  <si>
    <t>C:\Users\franc\OneDrive\Documentos\MALENTIN KARIME\BANCO ESTADO\2012 DEPTO ESCRITURAS fata\Dc Simples\RESPALDO comp notaria 27_12_12\RU T  ACREEDORES.docx</t>
  </si>
  <si>
    <t>C:\Users\franc\OneDrive\Documentos\MALENTIN KARIME\BANCO ESTADO\2012 DEPTO ESCRITURAS fata\Dc Simples\RESPALDO comp notaria 27_12_12\PROPUESTA DE CONTRATO.doc</t>
  </si>
  <si>
    <t>C:\Users\franc\OneDrive\Documentos\MALENTIN KARIME\BANCO ESTADO\2012 DEPTO ESCRITURAS fata\Dc Simples\RESPALDO comp notaria 27_12_12\poder wilfredo hidalgo.doc</t>
  </si>
  <si>
    <t>C:\Users\franc\OneDrive\Documentos\MALENTIN KARIME\BANCO ESTADO\2012 DEPTO ESCRITURAS fata\Dc Simples\RESPALDO comp notaria 27_12_12\PLANILLA LOS HEROES.xls</t>
  </si>
  <si>
    <t>C:\Users\franc\OneDrive\Documentos\MALENTIN KARIME\BANCO ESTADO\2012 DEPTO ESCRITURAS fata\Dc Simples\RESPALDO comp notaria 27_12_12\Planilla  de Horas Extras.xls</t>
  </si>
  <si>
    <t>C:\Users\franc\OneDrive\Documentos\MALENTIN KARIME\BANCO ESTADO\2012 DEPTO ESCRITURAS fata\Dc Simples\RESPALDO comp notaria 27_12_12\modelo de contrato.doc</t>
  </si>
  <si>
    <t>C:\Users\franc\OneDrive\Documentos\MALENTIN KARIME\BANCO ESTADO\2012 DEPTO ESCRITURAS fata\Dc Simples\RESPALDO comp notaria 27_12_12\modelo de contrato CORVAN.doc</t>
  </si>
  <si>
    <t>C:\Users\franc\OneDrive\Documentos\MALENTIN KARIME\BANCO ESTADO\2012 DEPTO ESCRITURAS fata\Dc Simples\RESPALDO comp notaria 27_12_12\EXTRAVIO SELLO.doc</t>
  </si>
  <si>
    <t>C:\Users\franc\OneDrive\Documentos\MALENTIN KARIME\BANCO ESTADO\2012 DEPTO ESCRITURAS fata\Dc Simples\RESPALDO comp notaria 27_12_12\DCTO. SRA. SILVIA.docx</t>
  </si>
  <si>
    <t>C:\Users\franc\OneDrive\Documentos\MALENTIN KARIME\BANCO ESTADO\2012 DEPTO ESCRITURAS fata\Dc Simples\RESPALDO comp notaria 27_12_12\contrato arriendo sociedad[1].doc</t>
  </si>
  <si>
    <t>C:\Users\franc\OneDrive\Documentos\MALENTIN KARIME\BANCO ESTADO\2012 DEPTO ESCRITURAS fata\Dc Simples\RESPALDO comp notaria 27_12_12\ChileProveedores_PN_sin_inhab.doc</t>
  </si>
  <si>
    <t>C:\Users\franc\OneDrive\Documentos\MALENTIN KARIME\BANCO ESTADO\2012 DEPTO ESCRITURAS fata\Dc Simples\RESPALDO comp notaria 27_12_12\CESION DERECHOS LEASING VEHICULO SIERRA CONTRERAS.doc</t>
  </si>
  <si>
    <t>C:\Users\franc\OneDrive\Documentos\MALENTIN KARIME\BANCO ESTADO\2012 DEPTO ESCRITURAS fata\Dc Simples\RESPALDO comp notaria 27_12_12\CARTA PODER CAROLINA MINERA.docx</t>
  </si>
  <si>
    <t>C:\Users\franc\OneDrive\Documentos\MALENTIN KARIME\BANCO ESTADO\2012 DEPTO ESCRITURAS fata\Dc Simples\RESPALDO comp notaria 27_12_12\BOLETAS Y GASTOS 28 DE SEPTIEMBRE DE 2012.xls</t>
  </si>
  <si>
    <t>C:\Users\franc\OneDrive\Documentos\MALENTIN KARIME\BANCO ESTADO\2012 DEPTO ESCRITURAS fata\Dc Simples\RESPALDO comp notaria 27_12_12\BOLETAS Y GASTOS 27 DE SEPTIEMBRE DE 2012.xls</t>
  </si>
  <si>
    <t>C:\Users\franc\OneDrive\Documentos\MALENTIN KARIME\BANCO ESTADO\2012 DEPTO ESCRITURAS fata\Dc Simples\RESPALDO comp notaria 27_12_12\AUT. FIRMA NOTARIO CANDIDATURA.doc</t>
  </si>
  <si>
    <t>C:\Users\franc\OneDrive\Documentos\MALENTIN KARIME\BANCO ESTADO\2012 DEPTO ESCRITURAS fata\Dc Simples\RESPALDO comp notaria 27_12_12\Arriendo Vic Polo - Plaza La Torre OSAKA 2012 v3.doc</t>
  </si>
  <si>
    <t>C:\Users\franc\OneDrive\Documentos\MALENTIN KARIME\BANCO ESTADO\2012 DEPTO ESCRITURAS fata\Dc Simples\RESPALDO comp notaria 27_12_12\ARR. VEHICULO MODELO claudia.doc</t>
  </si>
  <si>
    <t>C:\Users\franc\OneDrive\Documentos\MALENTIN KARIME\BANCO ESTADO\2012 DEPTO ESCRITURAS fata\Dc Simples\PODERES\tramitar POSESION EFECTIVA.doc</t>
  </si>
  <si>
    <t>C:\Users\franc\OneDrive\Documentos\MALENTIN KARIME\BANCO ESTADO\2012 DEPTO ESCRITURAS fata\Dc Simples\PODERES\SII.PRE.ROL.doc</t>
  </si>
  <si>
    <t>C:\Users\franc\OneDrive\Documentos\MALENTIN KARIME\BANCO ESTADO\2012 DEPTO ESCRITURAS fata\Dc Simples\PODERES\SII.MARIO LAGUNAS PALACIOS.doc</t>
  </si>
  <si>
    <t>C:\Users\franc\OneDrive\Documentos\MALENTIN KARIME\BANCO ESTADO\2012 DEPTO ESCRITURAS fata\Dc Simples\PODERES\SII.MARIA BAHAMONDESdoc.doc</t>
  </si>
  <si>
    <t>C:\Users\franc\OneDrive\Documentos\MALENTIN KARIME\BANCO ESTADO\2012 DEPTO ESCRITURAS fata\Dc Simples\PODERES\SII.LAURA ALUCEMA.doc</t>
  </si>
  <si>
    <t>C:\Users\franc\OneDrive\Documentos\MALENTIN KARIME\BANCO ESTADO\2012 DEPTO ESCRITURAS fata\Dc Simples\PODERES\SII. PEDRO IRARRAZABAL.doc</t>
  </si>
  <si>
    <t>C:\Users\franc\OneDrive\Documentos\MALENTIN KARIME\BANCO ESTADO\2012 DEPTO ESCRITURAS fata\Dc Simples\PODERES\SII. MALVINA URRUTIA.doc</t>
  </si>
  <si>
    <t>C:\Users\franc\OneDrive\Documentos\MALENTIN KARIME\BANCO ESTADO\2012 DEPTO ESCRITURAS fata\Dc Simples\PODERES\poder.doc</t>
  </si>
  <si>
    <t>C:\Users\franc\OneDrive\Documentos\MALENTIN KARIME\BANCO ESTADO\2012 DEPTO ESCRITURAS fata\Dc Simples\PODERES\poder. extranjero doc.doc</t>
  </si>
  <si>
    <t>C:\Users\franc\OneDrive\Documentos\MALENTIN KARIME\BANCO ESTADO\2012 DEPTO ESCRITURAS fata\Dc Simples\PODERES\PODER juan avalos herrera.doc</t>
  </si>
  <si>
    <t>C:\Users\franc\OneDrive\Documentos\MALENTIN KARIME\BANCO ESTADO\2012 DEPTO ESCRITURAS fata\Dc Simples\PODERES\Poder A NANCY CERVA.doc</t>
  </si>
  <si>
    <t>C:\Users\franc\OneDrive\Documentos\MALENTIN KARIME\BANCO ESTADO\2012 DEPTO ESCRITURAS fata\Dc Simples\PODERES\personal.doc</t>
  </si>
  <si>
    <t>C:\Users\franc\OneDrive\Documentos\MALENTIN KARIME\BANCO ESTADO\2012 DEPTO ESCRITURAS fata\Dc Simples\PODERES\FUNERARIA Alvaro Maya.doc</t>
  </si>
  <si>
    <t>C:\Users\franc\OneDrive\Documentos\MALENTIN KARIME\BANCO ESTADO\2012 DEPTO ESCRITURAS fata\Dc Simples\PODERES\COBRAR.doc</t>
  </si>
  <si>
    <t>C:\Users\franc\OneDrive\Documentos\MALENTIN KARIME\BANCO ESTADO\2012 DEPTO ESCRITURAS fata\Dc Simples\PODERES\COBRAR Sucesion Hector Castro.doc</t>
  </si>
  <si>
    <t>C:\Users\franc\OneDrive\Documentos\MALENTIN KARIME\BANCO ESTADO\2012 DEPTO ESCRITURAS fata\Dc Simples\PODERES\COBRAR Subsidio.doc</t>
  </si>
  <si>
    <t>C:\Users\franc\OneDrive\Documentos\MALENTIN KARIME\BANCO ESTADO\2012 DEPTO ESCRITURAS fata\Dc Simples\PODERES\COBRAR PISCO CONTROL.doc</t>
  </si>
  <si>
    <t>C:\Users\franc\OneDrive\Documentos\MALENTIN KARIME\BANCO ESTADO\2012 DEPTO ESCRITURAS fata\Dc Simples\PODERES\COBRAR LICENCIA.doc</t>
  </si>
  <si>
    <t>C:\Users\franc\OneDrive\Documentos\MALENTIN KARIME\BANCO ESTADO\2012 DEPTO ESCRITURAS fata\Dc Simples\PODERES\COBRAR LICENCIA 1.doc</t>
  </si>
  <si>
    <t>C:\Users\franc\OneDrive\Documentos\MALENTIN KARIME\BANCO ESTADO\2012 DEPTO ESCRITURAS fata\Dc Simples\PODERES\COBRAR cheques.doc</t>
  </si>
  <si>
    <t>C:\Users\franc\OneDrive\Documentos\MALENTIN KARIME\BANCO ESTADO\2012 DEPTO ESCRITURAS fata\Dc Simples\PODERES\ASISTIR  A REUNION.doc</t>
  </si>
  <si>
    <t>C:\Users\franc\OneDrive\Documentos\MALENTIN KARIME\BANCO ESTADO\2012 DEPTO ESCRITURAS fata\Dc Simples\PODERES\ADMINISTRACION.doc</t>
  </si>
  <si>
    <t>C:\Users\franc\OneDrive\Documentos\MALENTIN KARIME\BANCO ESTADO\2012 DEPTO ESCRITURAS fata\Dc Simples\PODERES\administra casa.doc</t>
  </si>
  <si>
    <t>C:\Users\franc\OneDrive\Documentos\MALENTIN KARIME\BANCO ESTADO\2012 DEPTO ESCRITURAS fata\Dc Simples\MINUTA\MINERA EL COBRE Y BMR.doc</t>
  </si>
  <si>
    <t>C:\Users\franc\OneDrive\Documentos\MALENTIN KARIME\BANCO ESTADO\2012 DEPTO ESCRITURAS fata\Dc Simples\MINUTA\MINERA BANCO DE ORO Y SLM MINA EL LIMON.doc</t>
  </si>
  <si>
    <t>C:\Users\franc\OneDrive\Documentos\MALENTIN KARIME\BANCO ESTADO\2012 DEPTO ESCRITURAS fata\Dc Simples\MINUTA\JULIO EGAÑA Arrendamiento.doc</t>
  </si>
  <si>
    <t>C:\Users\franc\OneDrive\Documentos\MALENTIN KARIME\BANCO ESTADO\2012 DEPTO ESCRITURAS fata\Dc Simples\MINUTA\Fara Olivares ACTA DE ACUERDO.doc</t>
  </si>
  <si>
    <t>C:\Users\franc\OneDrive\Documentos\MALENTIN KARIME\BANCO ESTADO\2012 DEPTO ESCRITURAS fata\Dc Simples\firma\Redacción Externa.docx</t>
  </si>
  <si>
    <t>C:\Users\franc\OneDrive\Documentos\MALENTIN KARIME\BANCO ESTADO\2012 DEPTO ESCRITURAS fata\Dc Simples\firma\Firma a ruego.docx</t>
  </si>
  <si>
    <t>C:\Users\franc\OneDrive\Documentos\MALENTIN KARIME\BANCO ESTADO\2012 DEPTO ESCRITURAS fata\Dc Simples\firma\Autorizo la firma CLUG.docx</t>
  </si>
  <si>
    <t>C:\Users\franc\OneDrive\Documentos\MALENTIN KARIME\BANCO ESTADO\2012 DEPTO ESCRITURAS fata\Dc Simples\DECLARACIONES\VEHICULO NO COLECTIVO.doc</t>
  </si>
  <si>
    <t>C:\Users\franc\OneDrive\Documentos\MALENTIN KARIME\BANCO ESTADO\2012 DEPTO ESCRITURAS fata\Dc Simples\DECLARACIONES\VEHICULO CAMBIO MOTOR.doc</t>
  </si>
  <si>
    <t>C:\Users\franc\OneDrive\Documentos\MALENTIN KARIME\BANCO ESTADO\2012 DEPTO ESCRITURAS fata\Dc Simples\DECLARACIONES\VEHICULO CAMBIO COLOR.doc</t>
  </si>
  <si>
    <t>C:\Users\franc\OneDrive\Documentos\MALENTIN KARIME\BANCO ESTADO\2012 DEPTO ESCRITURAS fata\Dc Simples\DECLARACIONES\SOLTERIA.doc</t>
  </si>
  <si>
    <t>C:\Users\franc\OneDrive\Documentos\MALENTIN KARIME\BANCO ESTADO\2012 DEPTO ESCRITURAS fata\Dc Simples\DECLARACIONES\SIN COTIZACIONES.doc</t>
  </si>
  <si>
    <t>C:\Users\franc\OneDrive\Documentos\MALENTIN KARIME\BANCO ESTADO\2012 DEPTO ESCRITURAS fata\Dc Simples\DECLARACIONES\propiedad.doc</t>
  </si>
  <si>
    <t>C:\Users\franc\OneDrive\Documentos\MALENTIN KARIME\BANCO ESTADO\2012 DEPTO ESCRITURAS fata\Dc Simples\DECLARACIONES\OCUPACION.doc</t>
  </si>
  <si>
    <t>C:\Users\franc\OneDrive\Documentos\MALENTIN KARIME\BANCO ESTADO\2012 DEPTO ESCRITURAS fata\Dc Simples\DECLARACIONES\obras1.doc</t>
  </si>
  <si>
    <t>C:\Users\franc\OneDrive\Documentos\MALENTIN KARIME\BANCO ESTADO\2012 DEPTO ESCRITURAS fata\Dc Simples\DECLARACIONES\logros.doc</t>
  </si>
  <si>
    <t>C:\Users\franc\OneDrive\Documentos\MALENTIN KARIME\BANCO ESTADO\2012 DEPTO ESCRITURAS fata\Dc Simples\DECLARACIONES\FINIQUITO EXTRAVIADO.doc</t>
  </si>
  <si>
    <t>C:\Users\franc\OneDrive\Documentos\MALENTIN KARIME\BANCO ESTADO\2012 DEPTO ESCRITURAS fata\Dc Simples\DECLARACIONES\FINIQUITO en tramite damian.doc</t>
  </si>
  <si>
    <t>C:\Users\franc\OneDrive\Documentos\MALENTIN KARIME\BANCO ESTADO\2012 DEPTO ESCRITURAS fata\Dc Simples\DECLARACIONES\EXTRAVIO CDI.doc</t>
  </si>
  <si>
    <t>C:\Users\franc\OneDrive\Documentos\MALENTIN KARIME\BANCO ESTADO\2012 DEPTO ESCRITURAS fata\Dc Simples\DECLARACIONES\EXPENSAS modelo.doc</t>
  </si>
  <si>
    <t>C:\Users\franc\OneDrive\Documentos\MALENTIN KARIME\BANCO ESTADO\2012 DEPTO ESCRITURAS fata\Dc Simples\DECLARACIONES\DOMIILIO COMERCIAL 5.doc</t>
  </si>
  <si>
    <t>C:\Users\franc\OneDrive\Documentos\MALENTIN KARIME\BANCO ESTADO\2012 DEPTO ESCRITURAS fata\Dc Simples\DECLARACIONES\DOMICILIO.1.doc</t>
  </si>
  <si>
    <t>C:\Users\franc\OneDrive\Documentos\MALENTIN KARIME\BANCO ESTADO\2012 DEPTO ESCRITURAS fata\Dc Simples\DECLARACIONES\DOMICILIO.1 CON TESTIGO.doc</t>
  </si>
  <si>
    <t>C:\Users\franc\OneDrive\Documentos\MALENTIN KARIME\BANCO ESTADO\2012 DEPTO ESCRITURAS fata\Dc Simples\DECLARACIONES\DOMICILIO. Carlos Garcia.doc</t>
  </si>
  <si>
    <t>C:\Users\franc\OneDrive\Documentos\MALENTIN KARIME\BANCO ESTADO\2012 DEPTO ESCRITURAS fata\Dc Simples\DECLARACIONES\DOMICILIO. 2 direcc.doc</t>
  </si>
  <si>
    <t>C:\Users\franc\OneDrive\Documentos\MALENTIN KARIME\BANCO ESTADO\2012 DEPTO ESCRITURAS fata\Dc Simples\DECLARACIONES\declara vacio afp terceros.doc</t>
  </si>
  <si>
    <t>C:\Users\franc\OneDrive\Documentos\MALENTIN KARIME\BANCO ESTADO\2012 DEPTO ESCRITURAS fata\Dc Simples\DECLARACIONES\DECLARA CESION.doc</t>
  </si>
  <si>
    <t>C:\Users\franc\OneDrive\Documentos\MALENTIN KARIME\BANCO ESTADO\2012 DEPTO ESCRITURAS fata\Dc Simples\DECLARACIONES\CESE DE CONVIVENCIA.doc</t>
  </si>
  <si>
    <t>C:\Users\franc\OneDrive\Documentos\MALENTIN KARIME\BANCO ESTADO\2012 DEPTO ESCRITURAS fata\Dc Simples\DECLARACIONES\CESANTIA Y NO FINIQUITO.doc</t>
  </si>
  <si>
    <t>C:\Users\franc\OneDrive\Documentos\MALENTIN KARIME\BANCO ESTADO\2012 DEPTO ESCRITURAS fata\Dc Simples\DECLARACIONES\CEMENTERIO NN.doc</t>
  </si>
  <si>
    <t>C:\Users\franc\OneDrive\Documentos\MALENTIN KARIME\BANCO ESTADO\2012 DEPTO ESCRITURAS fata\Dc Simples\DECLARACIONES\ART LEY ALCOHOL 19925.doc</t>
  </si>
  <si>
    <t>C:\Users\franc\OneDrive\Documentos\MALENTIN KARIME\BANCO ESTADO\2012 DEPTO ESCRITURAS fata\Dc Simples\DECLARACIONES\Ana Estela Berrios LEY 19.925 ALCOHOLES.doc</t>
  </si>
  <si>
    <t>C:\Users\franc\OneDrive\Documentos\MALENTIN KARIME\BANCO ESTADO\2012 DEPTO ESCRITURAS fata\Dc Simples\AUTORIZACION\MENOR LICENCIA CONDUCIR.doc</t>
  </si>
  <si>
    <t>C:\Users\franc\OneDrive\Documentos\MALENTIN KARIME\BANCO ESTADO\2012 DEPTO ESCRITURAS fata\Dc Simples\AUTORIZACION\DOMICILIO COMERCIAL- M.doc</t>
  </si>
  <si>
    <t>C:\Users\franc\OneDrive\Documentos\MALENTIN KARIME\BANCO ESTADO\2012 DEPTO ESCRITURAS fata\Dc Simples\AUTORIZACION\Autorizo la firma de don JUAN CARLOS CODOCEO CONTRERAS.docx</t>
  </si>
  <si>
    <t>C:\Users\franc\OneDrive\Documentos\MALENTIN KARIME\BANCO ESTADO\2012 DEPTO ESCRITURAS fata\Dc Simples\AUTORIZACION\AUT.SALIDA 2 PADRE panama.doc</t>
  </si>
  <si>
    <t>C:\Users\franc\OneDrive\Documentos\MALENTIN KARIME\BANCO ESTADO\2012 DEPTO ESCRITURAS fata\Dc Simples\AUTORIZACION\AUT.SALIDA 2 PADRE Brasil Jornada MundialPADRE2.doc</t>
  </si>
  <si>
    <t>C:\Users\franc\OneDrive\Documentos\MALENTIN KARIME\BANCO ESTADO\2012 DEPTO ESCRITURAS fata\Dc Simples\AUTORIZACION\AUT.SALIDA 2 PADRE Brasil Jornada Mundial 3.doc</t>
  </si>
  <si>
    <t>C:\Users\franc\OneDrive\Documentos\MALENTIN KARIME\BANCO ESTADO\2012 DEPTO ESCRITURAS fata\Dc Simples\AUTORIZACION\AUT.SALIDA 2 PADRE Brasil Jornada Mundial 2.doc</t>
  </si>
  <si>
    <t>C:\Users\franc\OneDrive\Documentos\MALENTIN KARIME\BANCO ESTADO\2012 DEPTO ESCRITURAS fata\Dc Simples\AUTORIZACION\AUT.SALIDA 2 PADRE Brasil Jornada Munda.doc</t>
  </si>
  <si>
    <t>C:\Users\franc\OneDrive\Documentos\MALENTIN KARIME\BANCO ESTADO\2012 DEPTO ESCRITURAS fata\Dc Simples\AUTORIZACION\AUT.SALIDA 1 peru.doc</t>
  </si>
  <si>
    <t>C:\Users\franc\OneDrive\Documentos\MALENTIN KARIME\BANCO ESTADO\2012 DEPTO ESCRITURAS fata\Dc Simples\ARRIENDO\SOCIEDAD HECHO Modificacion.doc</t>
  </si>
  <si>
    <t>C:\Users\franc\OneDrive\Documentos\MALENTIN KARIME\BANCO ESTADO\2012 DEPTO ESCRITURAS fata\Dc Simples\ARRIENDO\SOCIEDAD HECHO Declaracion.doc</t>
  </si>
  <si>
    <t>C:\Users\franc\OneDrive\Documentos\MALENTIN KARIME\BANCO ESTADO\2012 DEPTO ESCRITURAS fata\Dc Simples\ARRIENDO\COMODATO VEHICULO.doc</t>
  </si>
  <si>
    <t>C:\Users\franc\OneDrive\Documentos\MALENTIN KARIME\BANCO ESTADO\2012 DEPTO ESCRITURAS fata\Dc Simples\ARRIENDO\ARR.PUESTO FERIA.doc</t>
  </si>
  <si>
    <t>C:\Users\franc\OneDrive\Documentos\MALENTIN KARIME\BANCO ESTADO\2012 DEPTO ESCRITURAS fata\Dc Simples\ARRIENDO\ARR.LOCAL.doc</t>
  </si>
  <si>
    <t>C:\Users\franc\OneDrive\Documentos\MALENTIN KARIME\BANCO ESTADO\2012 DEPTO ESCRITURAS fata\Dc Simples\ARRIENDO\ARR. OFICINA COMERCIAL con personeria.doc</t>
  </si>
  <si>
    <t>C:\Users\franc\OneDrive\Documentos\MALENTIN KARIME\BANCO ESTADO\2012 DEPTO ESCRITURAS fata\Dc Simples\ARRIENDO\ARR. CASA NUEVO.doc</t>
  </si>
  <si>
    <t>C:\Users\franc\OneDrive\Documentos\MALENTIN KARIME\BANCO ESTADO\2012 DEPTO ESCRITURAS fata\Dc Simples\ARRIENDO\ARR. CASA  MODELO ELLA Y ELLA.doc</t>
  </si>
  <si>
    <t>C:\Users\franc\OneDrive\Documentos\MALENTIN KARIME\BANCO ESTADO\2012 DEPTO ESCRITURAS fata\Dc Simples\ARRIENDO\ARR. CASA  MODELO ELLA Y ELla departamento.doc</t>
  </si>
  <si>
    <t>C:\Users\franc\OneDrive\Documentos\MALENTIN KARIME\BANCO ESTADO\2012 DEPTO ESCRITURAS fata\Dc Simples\ARRIENDO\ARR. CASA  MODELO ELLA Y EL.doc</t>
  </si>
  <si>
    <t>C:\Users\franc\OneDrive\Documentos\MALENTIN KARIME\BANCO ESTADO\2012 DEPTO ESCRITURAS fata\Dc Simples\ARRIENDO\ARR. CASA  MODELO ELLA Y EL OFICINA.doc</t>
  </si>
  <si>
    <t>C:\Users\franc\OneDrive\Documentos\MALENTIN KARIME\BANCO ESTADO\2012 DEPTO ESCRITURAS fata\Dc Simples\ARRIENDO\ARR. CASA  MODELO ELLA Y EL OFICINA renovaciondoc.doc</t>
  </si>
  <si>
    <t>C:\Users\franc\OneDrive\Documentos\MALENTIN KARIME\BANCO ESTADO\2012 DEPTO ESCRITURAS fata\Dc Simples\2012 DEPTO ESCRITURAS\MANDATOS JUDICIALES\MARCO JURIN\MARIA SALAS Y OTRO.doc</t>
  </si>
  <si>
    <t>C:\Users\franc\OneDrive\Documentos\MALENTIN KARIME\BANCO ESTADO\2012 DEPTO ESCRITURAS fata\Dc Simples\2012 DEPTO ESCRITURAS\MANDATOS JUDICIALES\MARCO JURIN\JULIO MONTERO.doc</t>
  </si>
  <si>
    <t>C:\Users\franc\OneDrive\Documentos\MALENTIN KARIME\BANCO ESTADO\2012 DEPTO ESCRITURAS fata\Dc Simples\2012 DEPTO ESCRITURAS\MANDATOS JUDICIALES\LUISA BARRAZA\DAGOBERTO ALMONACID.doc</t>
  </si>
  <si>
    <t>C:\Users\franc\OneDrive\Documentos\MALENTIN KARIME\BANCO ESTADO\2012 DEPTO ESCRITURAS fata\Dc Simples\2012 DEPTO ESCRITURAS\MANDATOS JUDICIALES\LUIS OCTAVIO SALAS\RENE MAURIN A Luis Octavio.doc</t>
  </si>
  <si>
    <t>C:\Users\franc\OneDrive\Documentos\MALENTIN KARIME\BANCO ESTADO\2012 DEPTO ESCRITURAS fata\Dc Simples\2012 DEPTO ESCRITURAS\MANDATOS JUDICIALES\JUAN PABLO CORRAL\XIMENA VARGAS.doc</t>
  </si>
  <si>
    <t>C:\Users\franc\OneDrive\Documentos\MALENTIN KARIME\BANCO ESTADO\2012 DEPTO ESCRITURAS fata\Dc Simples\2012 DEPTO ESCRITURAS\MANDATOS JUDICIALES\JUAN PABLO CORRAL\RICARDO RISI.doc</t>
  </si>
  <si>
    <t>C:\Users\franc\OneDrive\Documentos\MALENTIN KARIME\BANCO ESTADO\2012 DEPTO ESCRITURAS fata\Dc Simples\2012 DEPTO ESCRITURAS\MANDATOS JUDICIALES\JUAN PABLO CORRAL\RAFAEL PROHENS.doc</t>
  </si>
  <si>
    <t>C:\Users\franc\OneDrive\Documentos\MALENTIN KARIME\BANCO ESTADO\2012 DEPTO ESCRITURAS fata\Dc Simples\2012 DEPTO ESCRITURAS\MANDATOS JUDICIALES\JUAN PABLO CORRAL\PEDRO JOSE AVILA AVILA.doc</t>
  </si>
  <si>
    <t>C:\Users\franc\OneDrive\Documentos\MALENTIN KARIME\BANCO ESTADO\2012 DEPTO ESCRITURAS fata\Dc Simples\2012 DEPTO ESCRITURAS\MANDATOS JUDICIALES\JUAN PABLO CORRAL\NELSON CARRASCO.doc</t>
  </si>
  <si>
    <t>C:\Users\franc\OneDrive\Documentos\MALENTIN KARIME\BANCO ESTADO\2012 DEPTO ESCRITURAS fata\Dc Simples\2012 DEPTO ESCRITURAS\MANDATOS JUDICIALES\JUAN PABLO CORRAL\MANUEL LANAS NUÑEZ.doc</t>
  </si>
  <si>
    <t>C:\Users\franc\OneDrive\Documentos\MALENTIN KARIME\BANCO ESTADO\2012 DEPTO ESCRITURAS fata\Dc Simples\2012 DEPTO ESCRITURAS\MANDATOS JUDICIALES\JUAN PABLO CORRAL\MALVINA CORTES CASTILLO Y OTROS.doc</t>
  </si>
  <si>
    <t>C:\Users\franc\OneDrive\Documentos\MALENTIN KARIME\BANCO ESTADO\2012 DEPTO ESCRITURAS fata\Dc Simples\2012 DEPTO ESCRITURAS\MANDATOS JUDICIALES\JUAN PABLO CORRAL\JULIO PINEDA.doc</t>
  </si>
  <si>
    <t>C:\Users\franc\OneDrive\Documentos\MALENTIN KARIME\BANCO ESTADO\2012 DEPTO ESCRITURAS fata\Dc Simples\2012 DEPTO ESCRITURAS\MANDATOS JUDICIALES\JUAN PABLO CORRAL\JOSE VIVAR.doc</t>
  </si>
  <si>
    <t>C:\Users\franc\OneDrive\Documentos\MALENTIN KARIME\BANCO ESTADO\2012 DEPTO ESCRITURAS fata\Dc Simples\2012 DEPTO ESCRITURAS\MANDATOS JUDICIALES\JUAN PABLO CORRAL\JOSE FLORES ARAYA.doc</t>
  </si>
  <si>
    <t>C:\Users\franc\OneDrive\Documentos\MALENTIN KARIME\BANCO ESTADO\2012 DEPTO ESCRITURAS fata\Dc Simples\2012 DEPTO ESCRITURAS\MANDATOS JUDICIALES\JUAN PABLO CORRAL\HUGO ARANEDA.doc</t>
  </si>
  <si>
    <t>C:\Users\franc\OneDrive\Documentos\MALENTIN KARIME\BANCO ESTADO\2012 DEPTO ESCRITURAS fata\Dc Simples\2012 DEPTO ESCRITURAS\MANDATOS JUDICIALES\JUAN PABLO CORRAL\DANIELA GALLARDO Y OTRO.doc</t>
  </si>
  <si>
    <t>C:\Users\franc\OneDrive\Documentos\MALENTIN KARIME\BANCO ESTADO\2012 DEPTO ESCRITURAS fata\Dc Simples\2012 DEPTO ESCRITURAS\MANDATOS JUDICIALES\JUAN PABLO CORRAL\AGRICOLA CHAÑARAL BAJO NORTE.doc</t>
  </si>
  <si>
    <t>C:\Users\franc\OneDrive\Documentos\MALENTIN KARIME\BANCO ESTADO\2012 DEPTO ESCRITURAS fata\Dc Simples\2012 DEPTO ESCRITURAS\MANDATOS JUDICIALES\JUAN GUIÑEZ LLAMBIAS\JULIA CORTES Y OTROS.doc</t>
  </si>
  <si>
    <t>C:\Users\franc\OneDrive\Documentos\MALENTIN KARIME\BANCO ESTADO\2012 DEPTO ESCRITURAS fata\Dc Simples\2012 DEPTO ESCRITURAS\MANDATOS JUDICIALES\JOSE AMPUERO VALLADARES\SOCIEDAD CARGO NORTE.doc</t>
  </si>
  <si>
    <t>C:\Users\franc\OneDrive\Documentos\MALENTIN KARIME\BANCO ESTADO\2012 DEPTO ESCRITURAS fata\Dc Simples\2012 DEPTO ESCRITURAS\MANDATOS JUDICIALES\JORGE ALVARADO\VICTOR GARCIA TAPIA.doc</t>
  </si>
  <si>
    <t>C:\Users\franc\OneDrive\Documentos\MALENTIN KARIME\BANCO ESTADO\2012 DEPTO ESCRITURAS fata\Dc Simples\2012 DEPTO ESCRITURAS\MANDATOS JUDICIALES\JORGE ALVARADO\ULISES ROBLES EGAÑA.doc</t>
  </si>
  <si>
    <t>C:\Users\franc\OneDrive\Documentos\MALENTIN KARIME\BANCO ESTADO\2012 DEPTO ESCRITURAS fata\Dc Simples\2012 DEPTO ESCRITURAS\MANDATOS JUDICIALES\JORGE ALVARADO\UBERLINDA VILLALOBOS.doc</t>
  </si>
  <si>
    <t>C:\Users\franc\OneDrive\Documentos\MALENTIN KARIME\BANCO ESTADO\2012 DEPTO ESCRITURAS fata\Dc Simples\2012 DEPTO ESCRITURAS\MANDATOS JUDICIALES\JORGE ALVARADO\SOLANGE SANTIBAÑEZ.doc</t>
  </si>
  <si>
    <t>C:\Users\franc\OneDrive\Documentos\MALENTIN KARIME\BANCO ESTADO\2012 DEPTO ESCRITURAS fata\Dc Simples\2012 DEPTO ESCRITURAS\MANDATOS JUDICIALES\JORGE ALVARADO\SIXTO REED CARRRASCO.doc</t>
  </si>
  <si>
    <t>C:\Users\franc\OneDrive\Documentos\MALENTIN KARIME\BANCO ESTADO\2012 DEPTO ESCRITURAS fata\Dc Simples\2012 DEPTO ESCRITURAS\MANDATOS JUDICIALES\JORGE ALVARADO\ROSA GUERRERO.doc</t>
  </si>
  <si>
    <t>C:\Users\franc\OneDrive\Documentos\MALENTIN KARIME\BANCO ESTADO\2012 DEPTO ESCRITURAS fata\Dc Simples\2012 DEPTO ESCRITURAS\MANDATOS JUDICIALES\JORGE ALVARADO\RODRIGO CONTRERAS.doc</t>
  </si>
  <si>
    <t>C:\Users\franc\OneDrive\Documentos\MALENTIN KARIME\BANCO ESTADO\2012 DEPTO ESCRITURAS fata\Dc Simples\2012 DEPTO ESCRITURAS\MANDATOS JUDICIALES\JORGE ALVARADO\RAMON CORTES Y OTRA.doc</t>
  </si>
  <si>
    <t>C:\Users\franc\OneDrive\Documentos\MALENTIN KARIME\BANCO ESTADO\2012 DEPTO ESCRITURAS fata\Dc Simples\2012 DEPTO ESCRITURAS\MANDATOS JUDICIALES\JORGE ALVARADO\PEDRO JOFRE GOMEZ.doc</t>
  </si>
  <si>
    <t>C:\Users\franc\OneDrive\Documentos\MALENTIN KARIME\BANCO ESTADO\2012 DEPTO ESCRITURAS fata\Dc Simples\2012 DEPTO ESCRITURAS\MANDATOS JUDICIALES\JORGE ALVARADO\PEDRO GONZALEZ.doc</t>
  </si>
  <si>
    <t>C:\Users\franc\OneDrive\Documentos\MALENTIN KARIME\BANCO ESTADO\2012 DEPTO ESCRITURAS fata\Dc Simples\2012 DEPTO ESCRITURAS\MANDATOS JUDICIALES\JORGE ALVARADO\NILDA ROJAS ARAYA.doc</t>
  </si>
  <si>
    <t>C:\Users\franc\OneDrive\Documentos\MALENTIN KARIME\BANCO ESTADO\2012 DEPTO ESCRITURAS fata\Dc Simples\2012 DEPTO ESCRITURAS\MANDATOS JUDICIALES\JORGE ALVARADO\MARINA VERGARA ROJAS.doc</t>
  </si>
  <si>
    <t>C:\Users\franc\OneDrive\Documentos\MALENTIN KARIME\BANCO ESTADO\2012 DEPTO ESCRITURAS fata\Dc Simples\2012 DEPTO ESCRITURAS\MANDATOS JUDICIALES\JORGE ALVARADO\MARIANELA ARAYA.doc</t>
  </si>
  <si>
    <t>C:\Users\franc\OneDrive\Documentos\MALENTIN KARIME\BANCO ESTADO\2012 DEPTO ESCRITURAS fata\Dc Simples\2012 DEPTO ESCRITURAS\MANDATOS JUDICIALES\JORGE ALVARADO\KARINA ZEPEDA VEGA.doc</t>
  </si>
  <si>
    <t>C:\Users\franc\OneDrive\Documentos\MALENTIN KARIME\BANCO ESTADO\2012 DEPTO ESCRITURAS fata\Dc Simples\2012 DEPTO ESCRITURAS\MANDATOS JUDICIALES\JORGE ALVARADO\JOYSELIN CORDOVA.doc</t>
  </si>
  <si>
    <t>C:\Users\franc\OneDrive\Documentos\MALENTIN KARIME\BANCO ESTADO\2012 DEPTO ESCRITURAS fata\Dc Simples\2012 DEPTO ESCRITURAS\MANDATOS JUDICIALES\JORGE ALVARADO\JOSE OLIVARES JAIME Y OTRO.doc</t>
  </si>
  <si>
    <t>C:\Users\franc\OneDrive\Documentos\MALENTIN KARIME\BANCO ESTADO\2012 DEPTO ESCRITURAS fata\Dc Simples\2012 DEPTO ESCRITURAS\MANDATOS JUDICIALES\JORGE ALVARADO\HILDA MUÑOZ ALBANEZ.doc</t>
  </si>
  <si>
    <t>C:\Users\franc\OneDrive\Documentos\MALENTIN KARIME\BANCO ESTADO\2012 DEPTO ESCRITURAS fata\Dc Simples\2012 DEPTO ESCRITURAS\MANDATOS JUDICIALES\JORGE ALVARADO\HECTOR GARCIA VALDIVIA.doc</t>
  </si>
  <si>
    <t>C:\Users\franc\OneDrive\Documentos\MALENTIN KARIME\BANCO ESTADO\2012 DEPTO ESCRITURAS fata\Dc Simples\2012 DEPTO ESCRITURAS\MANDATOS JUDICIALES\JORGE ALVARADO\GONZALO GARCIA DE LA VEGA.doc</t>
  </si>
  <si>
    <t>C:\Users\franc\OneDrive\Documentos\MALENTIN KARIME\BANCO ESTADO\2012 DEPTO ESCRITURAS fata\Dc Simples\2012 DEPTO ESCRITURAS\MANDATOS JUDICIALES\JORGE ALVARADO\FRANCISCO ARAYA.doc</t>
  </si>
  <si>
    <t>C:\Users\franc\OneDrive\Documentos\MALENTIN KARIME\BANCO ESTADO\2012 DEPTO ESCRITURAS fata\Dc Simples\2012 DEPTO ESCRITURAS\MANDATOS JUDICIALES\JORGE ALVARADO\FABIAN DIAZ MUÑOZ.doc</t>
  </si>
  <si>
    <t>C:\Users\franc\OneDrive\Documentos\MALENTIN KARIME\BANCO ESTADO\2012 DEPTO ESCRITURAS fata\Dc Simples\2012 DEPTO ESCRITURAS\MANDATOS JUDICIALES\JORGE ALVARADO\ESIQUEL CORTES GARCIA.doc</t>
  </si>
  <si>
    <t>C:\Users\franc\OneDrive\Documentos\MALENTIN KARIME\BANCO ESTADO\2012 DEPTO ESCRITURAS fata\Dc Simples\2012 DEPTO ESCRITURAS\MANDATOS JUDICIALES\JORGE ALVARADO\ERIKA ROSALES.doc</t>
  </si>
  <si>
    <t>C:\Users\franc\OneDrive\Documentos\MALENTIN KARIME\BANCO ESTADO\2012 DEPTO ESCRITURAS fata\Dc Simples\2012 DEPTO ESCRITURAS\MANDATOS JUDICIALES\JORGE ALVARADO\ELIANA MALLEGAS TAPIA.doc</t>
  </si>
  <si>
    <t>C:\Users\franc\OneDrive\Documentos\MALENTIN KARIME\BANCO ESTADO\2012 DEPTO ESCRITURAS fata\Dc Simples\2012 DEPTO ESCRITURAS\MANDATOS JUDICIALES\JORGE ALVARADO\ELENA AGUIRRE.doc</t>
  </si>
  <si>
    <t>C:\Users\franc\OneDrive\Documentos\MALENTIN KARIME\BANCO ESTADO\2012 DEPTO ESCRITURAS fata\Dc Simples\2012 DEPTO ESCRITURAS\MANDATOS JUDICIALES\JORGE ALVARADO\DANIEL RIVERA.doc</t>
  </si>
  <si>
    <t>C:\Users\franc\OneDrive\Documentos\MALENTIN KARIME\BANCO ESTADO\2012 DEPTO ESCRITURAS fata\Dc Simples\2012 DEPTO ESCRITURAS\MANDATOS JUDICIALES\JORGE ALVARADO\CRISTIANA CODOCEO AGUIRRE.doc</t>
  </si>
  <si>
    <t>C:\Users\franc\OneDrive\Documentos\MALENTIN KARIME\BANCO ESTADO\2012 DEPTO ESCRITURAS fata\Dc Simples\2012 DEPTO ESCRITURAS\MANDATOS JUDICIALES\JORGE ALVARADO\CESAR VIDELA CABELLO.doc</t>
  </si>
  <si>
    <t>C:\Users\franc\OneDrive\Documentos\MALENTIN KARIME\BANCO ESTADO\2012 DEPTO ESCRITURAS fata\Dc Simples\2012 DEPTO ESCRITURAS\MANDATOS JUDICIALES\JORGE ALVARADO\CENTRO DE GESTION Y CAPACITACION DEL LIMARI LTDA.doc</t>
  </si>
  <si>
    <t>C:\Users\franc\OneDrive\Documentos\MALENTIN KARIME\BANCO ESTADO\2012 DEPTO ESCRITURAS fata\Dc Simples\2012 DEPTO ESCRITURAS\MANDATOS JUDICIALES\JORGE ALVARADO\ANA GARCIA FLORES.doc</t>
  </si>
  <si>
    <t>C:\Users\franc\OneDrive\Documentos\MALENTIN KARIME\BANCO ESTADO\2012 DEPTO ESCRITURAS fata\Dc Simples\2012 DEPTO ESCRITURAS\MANDATOS JUDICIALES\JORGE ALLENDE\RICARDO ALLENDE.doc</t>
  </si>
  <si>
    <t>C:\Users\franc\OneDrive\Documentos\MALENTIN KARIME\BANCO ESTADO\2012 DEPTO ESCRITURAS fata\Dc Simples\2012 DEPTO ESCRITURAS\MANDATOS JUDICIALES\JORGE ALLENDE\OLGA TORO.doc</t>
  </si>
  <si>
    <t>C:\Users\franc\OneDrive\Documentos\MALENTIN KARIME\BANCO ESTADO\2012 DEPTO ESCRITURAS fata\Dc Simples\2012 DEPTO ESCRITURAS\MANDATOS JUDICIALES\JORGE ALLENDE\ISRAEL VALDIVIA VALDIVIA.doc</t>
  </si>
  <si>
    <t>C:\Users\franc\OneDrive\Documentos\MALENTIN KARIME\BANCO ESTADO\2012 DEPTO ESCRITURAS fata\Dc Simples\2012 DEPTO ESCRITURAS\MANDATOS JUDICIALES\JORGE ALLENDE\INVERSIONES JUAN PABLO LTDA.doc</t>
  </si>
  <si>
    <t>C:\Users\franc\OneDrive\Documentos\MALENTIN KARIME\BANCO ESTADO\2012 DEPTO ESCRITURAS fata\Dc Simples\2012 DEPTO ESCRITURAS\MANDATOS JUDICIALES\JORGE ALLENDE\HERMAN AROS LOPEZ.doc</t>
  </si>
  <si>
    <t>C:\Users\franc\OneDrive\Documentos\MALENTIN KARIME\BANCO ESTADO\2012 DEPTO ESCRITURAS fata\Dc Simples\2012 DEPTO ESCRITURAS\MANDATOS JUDICIALES\JORGE ALLENDE\GLADYS  ROMERO.doc</t>
  </si>
  <si>
    <t>C:\Users\franc\OneDrive\Documentos\MALENTIN KARIME\BANCO ESTADO\2012 DEPTO ESCRITURAS fata\Dc Simples\2012 DEPTO ESCRITURAS\MANDATOS JUDICIALES\JORGE ALLENDE\FRANCISCO BOU VILLADA.doc</t>
  </si>
  <si>
    <t>C:\Users\franc\OneDrive\Documentos\MALENTIN KARIME\BANCO ESTADO\2012 DEPTO ESCRITURAS fata\Dc Simples\2012 DEPTO ESCRITURAS\MANDATOS JUDICIALES\JORGE ALLENDE\alfalfares.doc</t>
  </si>
  <si>
    <t>C:\Users\franc\OneDrive\Documentos\MALENTIN KARIME\BANCO ESTADO\2012 DEPTO ESCRITURAS fata\Dc Simples\2012 DEPTO ESCRITURAS\MANDATOS JUDICIALES\JERONIMO ROJAS\CRISTIAN PIZARRO TAPIA.doc</t>
  </si>
  <si>
    <t>C:\Users\franc\OneDrive\Documentos\MALENTIN KARIME\BANCO ESTADO\2012 DEPTO ESCRITURAS fata\Dc Simples\2012 DEPTO ESCRITURAS\MANDATOS JUDICIALES\JERONIMO ROJAS\CORPORACION EDUCACIONAL.doc</t>
  </si>
  <si>
    <t>C:\Users\franc\OneDrive\Documentos\MALENTIN KARIME\BANCO ESTADO\2012 DEPTO ESCRITURAS fata\Dc Simples\2012 DEPTO ESCRITURAS\MANDATOS JUDICIALES\JAIME MUÑOZ ALMAZAN\MINERA ALTOS PUNITAQUI.doc</t>
  </si>
  <si>
    <t>C:\Users\franc\OneDrive\Documentos\MALENTIN KARIME\BANCO ESTADO\2012 DEPTO ESCRITURAS fata\Dc Simples\2012 DEPTO ESCRITURAS\MANDATOS JUDICIALES\JAIME MUÑOZ ALMAZAN\MINERA ALTOS PUNITAQUI A SOLEDAD FARR.doc</t>
  </si>
  <si>
    <t>C:\Users\franc\OneDrive\Documentos\MALENTIN KARIME\BANCO ESTADO\2012 DEPTO ESCRITURAS fata\Dc Simples\2012 DEPTO ESCRITURAS\MANDATOS JUDICIALES\HERNAN PEREZ\MAURICIO ASTORGA.doc</t>
  </si>
  <si>
    <t>C:\Users\franc\OneDrive\Documentos\MALENTIN KARIME\BANCO ESTADO\2012 DEPTO ESCRITURAS fata\Dc Simples\2012 DEPTO ESCRITURAS\MANDATOS JUDICIALES\HERNAN PEREZ\MAURICIO ASTORGA solo.doc</t>
  </si>
  <si>
    <t>C:\Users\franc\OneDrive\Documentos\MALENTIN KARIME\BANCO ESTADO\2012 DEPTO ESCRITURAS fata\Dc Simples\2012 DEPTO ESCRITURAS\MANDATOS JUDICIALES\HERNAN PEREZ\MAURICIO ASTORGA ii.doc</t>
  </si>
  <si>
    <t>C:\Users\franc\OneDrive\Documentos\MALENTIN KARIME\BANCO ESTADO\2012 DEPTO ESCRITURAS fata\Dc Simples\2012 DEPTO ESCRITURAS\MANDATOS JUDICIALES\GUILLERMO CLAVERIE BRAVO\MISAEL BUGUEÑO CASTILLO.doc</t>
  </si>
  <si>
    <t>C:\Users\franc\OneDrive\Documentos\MALENTIN KARIME\BANCO ESTADO\2012 DEPTO ESCRITURAS fata\Dc Simples\2012 DEPTO ESCRITURAS\MANDATOS JUDICIALES\GUILLERMO CLAVERIE BRAVO\1.doc</t>
  </si>
  <si>
    <t>C:\Users\franc\OneDrive\Documentos\MALENTIN KARIME\BANCO ESTADO\2012 DEPTO ESCRITURAS fata\Dc Simples\2012 DEPTO ESCRITURAS\MANDATOS JUDICIALES\GMO. CLAVERIA\ROBERTO BOZZO.doc</t>
  </si>
  <si>
    <t>C:\Users\franc\OneDrive\Documentos\MALENTIN KARIME\BANCO ESTADO\2012 DEPTO ESCRITURAS fata\Dc Simples\2012 DEPTO ESCRITURAS\MANDATOS JUDICIALES\GMO. CLAVERIA\MISAEL VEGA BERRIOS.doc</t>
  </si>
  <si>
    <t>C:\Users\franc\OneDrive\Documentos\MALENTIN KARIME\BANCO ESTADO\2012 DEPTO ESCRITURAS fata\Dc Simples\2012 DEPTO ESCRITURAS\MANDATOS JUDICIALES\GMO. CLAVERIA\MANDATO MODELO.doc</t>
  </si>
  <si>
    <t>C:\Users\franc\OneDrive\Documentos\MALENTIN KARIME\BANCO ESTADO\2012 DEPTO ESCRITURAS fata\Dc Simples\2012 DEPTO ESCRITURAS\MANDATOS JUDICIALES\GMO. CLAVERIA\CAMILO CORTES.doc</t>
  </si>
  <si>
    <t>C:\Users\franc\OneDrive\Documentos\MALENTIN KARIME\BANCO ESTADO\2012 DEPTO ESCRITURAS fata\Dc Simples\2012 DEPTO ESCRITURAS\MANDATOS JUDICIALES\GABRIEL RODRIGUEZ RAMIREZ\YENNY OVALLE.doc</t>
  </si>
  <si>
    <t>C:\Users\franc\OneDrive\Documentos\MALENTIN KARIME\BANCO ESTADO\2012 DEPTO ESCRITURAS fata\Dc Simples\2012 DEPTO ESCRITURAS\MANDATOS JUDICIALES\GABRIEL RODRIGUEZ RAMIREZ\SYLVANA ARAYA.doc</t>
  </si>
  <si>
    <t>C:\Users\franc\OneDrive\Documentos\MALENTIN KARIME\BANCO ESTADO\2012 DEPTO ESCRITURAS fata\Dc Simples\2012 DEPTO ESCRITURAS\MANDATOS JUDICIALES\GABRIEL RODRIGUEZ RAMIREZ\ROBINSON VALENZUELA Varios abogados.doc</t>
  </si>
  <si>
    <t>C:\Users\franc\OneDrive\Documentos\MALENTIN KARIME\BANCO ESTADO\2012 DEPTO ESCRITURAS fata\Dc Simples\2012 DEPTO ESCRITURAS\MANDATOS JUDICIALES\GABRIEL RODRIGUEZ RAMIREZ\RICARDO SEGOVIA.doc</t>
  </si>
  <si>
    <t>C:\Users\franc\OneDrive\Documentos\MALENTIN KARIME\BANCO ESTADO\2012 DEPTO ESCRITURAS fata\Dc Simples\2012 DEPTO ESCRITURAS\MANDATOS JUDICIALES\GABRIEL RODRIGUEZ RAMIREZ\PABLO CORTES.doc</t>
  </si>
  <si>
    <t>C:\Users\franc\OneDrive\Documentos\MALENTIN KARIME\BANCO ESTADO\2012 DEPTO ESCRITURAS fata\Dc Simples\2012 DEPTO ESCRITURAS\MANDATOS JUDICIALES\GABRIEL RODRIGUEZ RAMIREZ\ONOFRE ESPINOSA GARCIA.doc</t>
  </si>
  <si>
    <t>C:\Users\franc\OneDrive\Documentos\MALENTIN KARIME\BANCO ESTADO\2012 DEPTO ESCRITURAS fata\Dc Simples\2012 DEPTO ESCRITURAS\MANDATOS JUDICIALES\GABRIEL RODRIGUEZ RAMIREZ\MIRSA BORIC.doc</t>
  </si>
  <si>
    <t>C:\Users\franc\OneDrive\Documentos\MALENTIN KARIME\BANCO ESTADO\2012 DEPTO ESCRITURAS fata\Dc Simples\2012 DEPTO ESCRITURAS\MANDATOS JUDICIALES\GABRIEL RODRIGUEZ RAMIREZ\MARIVA VILLALOBOS.doc</t>
  </si>
  <si>
    <t>C:\Users\franc\OneDrive\Documentos\MALENTIN KARIME\BANCO ESTADO\2012 DEPTO ESCRITURAS fata\Dc Simples\2012 DEPTO ESCRITURAS\MANDATOS JUDICIALES\GABRIEL RODRIGUEZ RAMIREZ\MARIA VIDELA MUNDACA.doc</t>
  </si>
  <si>
    <t>C:\Users\franc\OneDrive\Documentos\MALENTIN KARIME\BANCO ESTADO\2012 DEPTO ESCRITURAS fata\Dc Simples\2012 DEPTO ESCRITURAS\MANDATOS JUDICIALES\GABRIEL RODRIGUEZ RAMIREZ\LUIS LOYOLA LEON.doc</t>
  </si>
  <si>
    <t>C:\Users\franc\OneDrive\Documentos\MALENTIN KARIME\BANCO ESTADO\2012 DEPTO ESCRITURAS fata\Dc Simples\2012 DEPTO ESCRITURAS\MANDATOS JUDICIALES\GABRIEL RODRIGUEZ RAMIREZ\HUGO ARTAL AVILEZ.doc</t>
  </si>
  <si>
    <t>C:\Users\franc\OneDrive\Documentos\MALENTIN KARIME\BANCO ESTADO\2012 DEPTO ESCRITURAS fata\Dc Simples\2012 DEPTO ESCRITURAS\MANDATOS JUDICIALES\GABRIEL RODRIGUEZ RAMIREZ\ELIAS ALFARO OSSANDON.doc</t>
  </si>
  <si>
    <t>C:\Users\franc\OneDrive\Documentos\MALENTIN KARIME\BANCO ESTADO\2012 DEPTO ESCRITURAS fata\Dc Simples\2012 DEPTO ESCRITURAS\MANDATOS JUDICIALES\GABRIEL RODRIGUEZ RAMIREZ\DILEMA CASTILLO.doc</t>
  </si>
  <si>
    <t>C:\Users\franc\OneDrive\Documentos\MALENTIN KARIME\BANCO ESTADO\2012 DEPTO ESCRITURAS fata\Dc Simples\2012 DEPTO ESCRITURAS\MANDATOS JUDICIALES\GABRIEL RODRIGUEZ RAMIREZ\DANIELA MANCILLA.doc</t>
  </si>
  <si>
    <t>C:\Users\franc\OneDrive\Documentos\MALENTIN KARIME\BANCO ESTADO\2012 DEPTO ESCRITURAS fata\Dc Simples\2012 DEPTO ESCRITURAS\MANDATOS JUDICIALES\GABRIEL RODRIGUEZ RAMIREZ\COSME MORALES CALDERON.doc</t>
  </si>
  <si>
    <t>C:\Users\franc\OneDrive\Documentos\MALENTIN KARIME\BANCO ESTADO\2012 DEPTO ESCRITURAS fata\Dc Simples\2012 DEPTO ESCRITURAS\MANDATOS JUDICIALES\GABRIEL RODRIGUEZ RAMIREZ\COOPERATIVA CAMPESINA TULAHUEN.doc</t>
  </si>
  <si>
    <t>C:\Users\franc\OneDrive\Documentos\MALENTIN KARIME\BANCO ESTADO\2012 DEPTO ESCRITURAS fata\Dc Simples\2012 DEPTO ESCRITURAS\MANDATOS JUDICIALES\GABRIEL RODRIGUEZ RAMIREZ\CAMEN PEÑA ZELADA.doc</t>
  </si>
  <si>
    <t>C:\Users\franc\OneDrive\Documentos\MALENTIN KARIME\BANCO ESTADO\2012 DEPTO ESCRITURAS fata\Dc Simples\2012 DEPTO ESCRITURAS\MANDATOS JUDICIALES\GABRIEL RODRIGUEZ RAMIREZ\BALTASAR MALUENDA.doc</t>
  </si>
  <si>
    <t>C:\Users\franc\OneDrive\Documentos\MALENTIN KARIME\BANCO ESTADO\2012 DEPTO ESCRITURAS fata\Dc Simples\2012 DEPTO ESCRITURAS\MANDATOS JUDICIALES\FELIX SAEZ\SAMUEL ENRIQUE CASTRO ROJAS A Féliz Sáez Alvayay.doc</t>
  </si>
  <si>
    <t>C:\Users\franc\OneDrive\Documentos\MALENTIN KARIME\BANCO ESTADO\2012 DEPTO ESCRITURAS fata\Dc Simples\2012 DEPTO ESCRITURAS\MANDATOS JUDICIALES\FELIX SAEZ\PATRICIO CONTRERAS A Féliz Sáez Alvayay.doc</t>
  </si>
  <si>
    <t>C:\Users\franc\OneDrive\Documentos\MALENTIN KARIME\BANCO ESTADO\2012 DEPTO ESCRITURAS fata\Dc Simples\2012 DEPTO ESCRITURAS\MANDATOS JUDICIALES\FELIX SAEZ\PATRICIA PONCE.doc</t>
  </si>
  <si>
    <t>C:\Users\franc\OneDrive\Documentos\MALENTIN KARIME\BANCO ESTADO\2012 DEPTO ESCRITURAS fata\Dc Simples\2012 DEPTO ESCRITURAS\MANDATOS JUDICIALES\FELIX SAEZ\MILTHON DUARTE.doc</t>
  </si>
  <si>
    <t>C:\Users\franc\OneDrive\Documentos\MALENTIN KARIME\BANCO ESTADO\2012 DEPTO ESCRITURAS fata\Dc Simples\2012 DEPTO ESCRITURAS\MANDATOS JUDICIALES\FELIX SAEZ\MILTHON DUARTE Nuevo.doc</t>
  </si>
  <si>
    <t>C:\Users\franc\OneDrive\Documentos\MALENTIN KARIME\BANCO ESTADO\2012 DEPTO ESCRITURAS fata\Dc Simples\2012 DEPTO ESCRITURAS\MANDATOS JUDICIALES\FELIX SAEZ\MARIA RODRIGUEZ.doc</t>
  </si>
  <si>
    <t>C:\Users\franc\OneDrive\Documentos\MALENTIN KARIME\BANCO ESTADO\2012 DEPTO ESCRITURAS fata\Dc Simples\2012 DEPTO ESCRITURAS\MANDATOS JUDICIALES\FELIX SAEZ\JOSE CONTRERAS Y OTRA.doc</t>
  </si>
  <si>
    <t>C:\Users\franc\OneDrive\Documentos\MALENTIN KARIME\BANCO ESTADO\2012 DEPTO ESCRITURAS fata\Dc Simples\2012 DEPTO ESCRITURAS\MANDATOS JUDICIALES\FELIX SAEZ\HECTOR OMAR MEDALLA MEDALLA Mandato.doc</t>
  </si>
  <si>
    <t>C:\Users\franc\OneDrive\Documentos\MALENTIN KARIME\BANCO ESTADO\2012 DEPTO ESCRITURAS fata\Dc Simples\2012 DEPTO ESCRITURAS\MANDATOS JUDICIALES\FELIX SAEZ\especial.doc</t>
  </si>
  <si>
    <t>C:\Users\franc\OneDrive\Documentos\MALENTIN KARIME\BANCO ESTADO\2012 DEPTO ESCRITURAS fata\Dc Simples\2012 DEPTO ESCRITURAS\MANDATOS JUDICIALES\FELIX SAEZ\DIEGO GUTIERREZ.doc</t>
  </si>
  <si>
    <t>C:\Users\franc\OneDrive\Documentos\MALENTIN KARIME\BANCO ESTADO\2012 DEPTO ESCRITURAS fata\Dc Simples\2012 DEPTO ESCRITURAS\MANDATOS JUDICIALES\FELIPE BRAVO ALBORNOZ\INVERSIONES ESCOBAR LTDA..doc</t>
  </si>
  <si>
    <t>C:\Users\franc\OneDrive\Documentos\MALENTIN KARIME\BANCO ESTADO\2012 DEPTO ESCRITURAS fata\Dc Simples\2012 DEPTO ESCRITURAS\MANDATOS JUDICIALES\FELIPE BRAVO ALBORNOZ\CRISTIAN PEREZ ESCOBAR.doc</t>
  </si>
  <si>
    <t>C:\Users\franc\OneDrive\Documentos\MALENTIN KARIME\BANCO ESTADO\2012 DEPTO ESCRITURAS fata\Dc Simples\2012 DEPTO ESCRITURAS\MANDATOS JUDICIALES\FELIPE ALAMO BARRIOS\SOC. AGRICOLA LOS ALAMOS.doc</t>
  </si>
  <si>
    <t>C:\Users\franc\OneDrive\Documentos\MALENTIN KARIME\BANCO ESTADO\2012 DEPTO ESCRITURAS fata\Dc Simples\2012 DEPTO ESCRITURAS\MANDATOS JUDICIALES\FELIPE ALAMO BARRIOS\GABRIEL TOLEDO.doc</t>
  </si>
  <si>
    <t>C:\Users\franc\OneDrive\Documentos\MALENTIN KARIME\BANCO ESTADO\2012 DEPTO ESCRITURAS fata\Dc Simples\2012 DEPTO ESCRITURAS\MANDATOS JUDICIALES\EVELYN PINTO\FRANCISCO CATALDO.doc</t>
  </si>
  <si>
    <t>C:\Users\franc\OneDrive\Documentos\MALENTIN KARIME\BANCO ESTADO\2012 DEPTO ESCRITURAS fata\Dc Simples\2012 DEPTO ESCRITURAS\MANDATOS JUDICIALES\EUGENIO RIVAS\SOCIEDAD INMOBILIARIA FARIVAR Especial no judicial.doc</t>
  </si>
  <si>
    <t>C:\Users\franc\OneDrive\Documentos\MALENTIN KARIME\BANCO ESTADO\2012 DEPTO ESCRITURAS fata\Dc Simples\2012 DEPTO ESCRITURAS\MANDATOS JUDICIALES\EUGENIO RIVAS\OLGA BUGUEÑO MUÑOZ.doc</t>
  </si>
  <si>
    <t>C:\Users\franc\OneDrive\Documentos\MALENTIN KARIME\BANCO ESTADO\2012 DEPTO ESCRITURAS fata\Dc Simples\2012 DEPTO ESCRITURAS\MANDATOS JUDICIALES\EUGENIO RIVAS\JULIO CARVAJAL.doc</t>
  </si>
  <si>
    <t>C:\Users\franc\OneDrive\Documentos\MALENTIN KARIME\BANCO ESTADO\2012 DEPTO ESCRITURAS fata\Dc Simples\2012 DEPTO ESCRITURAS\MANDATOS JUDICIALES\EUGENIO RIVAS\BORIS JIMENEZ BORQUEZ Especial.doc</t>
  </si>
  <si>
    <t>C:\Users\franc\OneDrive\Documentos\MALENTIN KARIME\BANCO ESTADO\2012 DEPTO ESCRITURAS fata\Dc Simples\2012 DEPTO ESCRITURAS\MANDATOS JUDICIALES\ESPECIAL DIVORCIO\RAMON CORTES VEGA.doc</t>
  </si>
  <si>
    <t>C:\Users\franc\OneDrive\Documentos\MALENTIN KARIME\BANCO ESTADO\2012 DEPTO ESCRITURAS fata\Dc Simples\2012 DEPTO ESCRITURAS\MANDATOS JUDICIALES\E-MAIL\JUAN ADAOS A CLAUDIO CONEJEROS.doc</t>
  </si>
  <si>
    <t>C:\Users\franc\OneDrive\Documentos\MALENTIN KARIME\BANCO ESTADO\2012 DEPTO ESCRITURAS fata\Dc Simples\2012 DEPTO ESCRITURAS\MANDATOS JUDICIALES\DAVID GALAZ\CLAUDIA LABARCA.doc</t>
  </si>
  <si>
    <t>C:\Users\franc\OneDrive\Documentos\MALENTIN KARIME\BANCO ESTADO\2012 DEPTO ESCRITURAS fata\Dc Simples\2012 DEPTO ESCRITURAS\MANDATOS JUDICIALES\CRISTIAN ZEPEDA RODRIGUEZ\MODELO.doc</t>
  </si>
  <si>
    <t>C:\Users\franc\OneDrive\Documentos\MALENTIN KARIME\BANCO ESTADO\2012 DEPTO ESCRITURAS fata\Dc Simples\2012 DEPTO ESCRITURAS\MANDATOS JUDICIALES\CRISTIAN ZEPEDA RODRIGUEZ\MANUEL ROJAS BERRIOS.doc</t>
  </si>
  <si>
    <t>C:\Users\franc\OneDrive\Documentos\MALENTIN KARIME\BANCO ESTADO\2012 DEPTO ESCRITURAS fata\Dc Simples\2012 DEPTO ESCRITURAS\MANDATOS JUDICIALES\CLAUDIO ARDILES\ZENADIA DIAZ Divorcio+.doc</t>
  </si>
  <si>
    <t>C:\Users\franc\OneDrive\Documentos\MALENTIN KARIME\BANCO ESTADO\2012 DEPTO ESCRITURAS fata\Dc Simples\2012 DEPTO ESCRITURAS\MANDATOS JUDICIALES\CLAUDIO ARDILES\YESSENIA VERENICE RAMIREZ MUNIZAGA.doc</t>
  </si>
  <si>
    <t>C:\Users\franc\OneDrive\Documentos\MALENTIN KARIME\BANCO ESTADO\2012 DEPTO ESCRITURAS fata\Dc Simples\2012 DEPTO ESCRITURAS\MANDATOS JUDICIALES\CLAUDIO ARDILES\VERONICA PASTEN JERALDO.doc</t>
  </si>
  <si>
    <t>C:\Users\franc\OneDrive\Documentos\MALENTIN KARIME\BANCO ESTADO\2012 DEPTO ESCRITURAS fata\Dc Simples\2012 DEPTO ESCRITURAS\MANDATOS JUDICIALES\CLAUDIO ARDILES\VERONICA JORQUERA.doc</t>
  </si>
  <si>
    <t>C:\Users\franc\OneDrive\Documentos\MALENTIN KARIME\BANCO ESTADO\2012 DEPTO ESCRITURAS fata\Dc Simples\2012 DEPTO ESCRITURAS\MANDATOS JUDICIALES\CLAUDIO ARDILES\SOCIEDAD CARNES LOMA LARGA COMPAÑIA LIMITADA.doc</t>
  </si>
  <si>
    <t>C:\Users\franc\OneDrive\Documentos\MALENTIN KARIME\BANCO ESTADO\2012 DEPTO ESCRITURAS fata\Dc Simples\2012 DEPTO ESCRITURAS\MANDATOS JUDICIALES\CLAUDIO ARDILES\rut ARCE.doc</t>
  </si>
  <si>
    <t>C:\Users\franc\OneDrive\Documentos\MALENTIN KARIME\BANCO ESTADO\2012 DEPTO ESCRITURAS fata\Dc Simples\2012 DEPTO ESCRITURAS\MANDATOS JUDICIALES\CLAUDIO ARDILES\PEDRO SIERRA MOYA.doc</t>
  </si>
  <si>
    <t>C:\Users\franc\OneDrive\Documentos\MALENTIN KARIME\BANCO ESTADO\2012 DEPTO ESCRITURAS fata\Dc Simples\2012 DEPTO ESCRITURAS\MANDATOS JUDICIALES\CLAUDIO ARDILES\PABLO TAPIA CASTELLANO.doc</t>
  </si>
  <si>
    <t>C:\Users\franc\OneDrive\Documentos\MALENTIN KARIME\BANCO ESTADO\2012 DEPTO ESCRITURAS fata\Dc Simples\2012 DEPTO ESCRITURAS\MANDATOS JUDICIALES\CLAUDIO ARDILES\NICOLAS BARRAZA.doc</t>
  </si>
  <si>
    <t>C:\Users\franc\OneDrive\Documentos\MALENTIN KARIME\BANCO ESTADO\2012 DEPTO ESCRITURAS fata\Dc Simples\2012 DEPTO ESCRITURAS\MANDATOS JUDICIALES\CLAUDIO ARDILES\MIGUEL VERA SAAVEDRA.doc</t>
  </si>
  <si>
    <t>C:\Users\franc\OneDrive\Documentos\MALENTIN KARIME\BANCO ESTADO\2012 DEPTO ESCRITURAS fata\Dc Simples\2012 DEPTO ESCRITURAS\MANDATOS JUDICIALES\CLAUDIO ARDILES\MIGUEL AGUIRRE ADONES.doc</t>
  </si>
  <si>
    <t>C:\Users\franc\OneDrive\Documentos\MALENTIN KARIME\BANCO ESTADO\2012 DEPTO ESCRITURAS fata\Dc Simples\2012 DEPTO ESCRITURAS\MANDATOS JUDICIALES\CLAUDIO ARDILES\MAURO GALLEGUILLOS.doc</t>
  </si>
  <si>
    <t>C:\Users\franc\OneDrive\Documentos\MALENTIN KARIME\BANCO ESTADO\2012 DEPTO ESCRITURAS fata\Dc Simples\2012 DEPTO ESCRITURAS\MANDATOS JUDICIALES\CLAUDIO ARDILES\MAURO GALLEGUILLOS 14.doc</t>
  </si>
  <si>
    <t>C:\Users\franc\OneDrive\Documentos\MALENTIN KARIME\BANCO ESTADO\2012 DEPTO ESCRITURAS fata\Dc Simples\2012 DEPTO ESCRITURAS\MANDATOS JUDICIALES\CLAUDIO ARDILES\MARIANELA RIVERA.doc</t>
  </si>
  <si>
    <t>C:\Users\franc\OneDrive\Documentos\MALENTIN KARIME\BANCO ESTADO\2012 DEPTO ESCRITURAS fata\Dc Simples\2012 DEPTO ESCRITURAS\MANDATOS JUDICIALES\CLAUDIO ARDILES\MARIA PINOCHET PALTA.doc</t>
  </si>
  <si>
    <t>C:\Users\franc\OneDrive\Documentos\MALENTIN KARIME\BANCO ESTADO\2012 DEPTO ESCRITURAS fata\Dc Simples\2012 DEPTO ESCRITURAS\MANDATOS JUDICIALES\CLAUDIO ARDILES\MARCO ANTONIO ARAYA CASTILLO.doc</t>
  </si>
  <si>
    <t>C:\Users\franc\OneDrive\Documentos\MALENTIN KARIME\BANCO ESTADO\2012 DEPTO ESCRITURAS fata\Dc Simples\2012 DEPTO ESCRITURAS\MANDATOS JUDICIALES\CLAUDIO ARDILES\LOREN PERZ GUERRA.doc</t>
  </si>
  <si>
    <t>C:\Users\franc\OneDrive\Documentos\MALENTIN KARIME\BANCO ESTADO\2012 DEPTO ESCRITURAS fata\Dc Simples\2012 DEPTO ESCRITURAS\MANDATOS JUDICIALES\CLAUDIO ARDILES\LEONARDO ALLENDE.doc</t>
  </si>
  <si>
    <t>C:\Users\franc\OneDrive\Documentos\MALENTIN KARIME\BANCO ESTADO\2012 DEPTO ESCRITURAS fata\Dc Simples\2012 DEPTO ESCRITURAS\MANDATOS JUDICIALES\CLAUDIO ARDILES\KURT CONTRERAS.doc</t>
  </si>
  <si>
    <t>C:\Users\franc\OneDrive\Documentos\MALENTIN KARIME\BANCO ESTADO\2012 DEPTO ESCRITURAS fata\Dc Simples\2012 DEPTO ESCRITURAS\MANDATOS JUDICIALES\CLAUDIO ARDILES\KURT CONTRERAS CORTES.doc</t>
  </si>
  <si>
    <t>C:\Users\franc\OneDrive\Documentos\MALENTIN KARIME\BANCO ESTADO\2012 DEPTO ESCRITURAS fata\Dc Simples\2012 DEPTO ESCRITURAS\MANDATOS JUDICIALES\CLAUDIO ARDILES\KURT CONTRERAS CORTES 3.doc</t>
  </si>
  <si>
    <t>C:\Users\franc\OneDrive\Documentos\MALENTIN KARIME\BANCO ESTADO\2012 DEPTO ESCRITURAS fata\Dc Simples\2012 DEPTO ESCRITURAS\MANDATOS JUDICIALES\CLAUDIO ARDILES\JUAN FLORES MEDALLA.doc</t>
  </si>
  <si>
    <t>C:\Users\franc\OneDrive\Documentos\MALENTIN KARIME\BANCO ESTADO\2012 DEPTO ESCRITURAS fata\Dc Simples\2012 DEPTO ESCRITURAS\MANDATOS JUDICIALES\CLAUDIO ARDILES\IVAN CARMONA MALUENDA.doc</t>
  </si>
  <si>
    <t>C:\Users\franc\OneDrive\Documentos\MALENTIN KARIME\BANCO ESTADO\2012 DEPTO ESCRITURAS fata\Dc Simples\2012 DEPTO ESCRITURAS\MANDATOS JUDICIALES\CLAUDIO ARDILES\HERNAN PEREIRA ARAYA.doc</t>
  </si>
  <si>
    <t>C:\Users\franc\OneDrive\Documentos\MALENTIN KARIME\BANCO ESTADO\2012 DEPTO ESCRITURAS fata\Dc Simples\2012 DEPTO ESCRITURAS\MANDATOS JUDICIALES\CLAUDIO ARDILES\HECTOR ROJAS CORTES.doc</t>
  </si>
  <si>
    <t>C:\Users\franc\OneDrive\Documentos\MALENTIN KARIME\BANCO ESTADO\2012 DEPTO ESCRITURAS fata\Dc Simples\2012 DEPTO ESCRITURAS\MANDATOS JUDICIALES\CLAUDIO ARDILES\GENESIS LATORRE.doc</t>
  </si>
  <si>
    <t>C:\Users\franc\OneDrive\Documentos\MALENTIN KARIME\BANCO ESTADO\2012 DEPTO ESCRITURAS fata\Dc Simples\2012 DEPTO ESCRITURAS\MANDATOS JUDICIALES\CLAUDIO ARDILES\GARY ARACENA ARAYA.doc</t>
  </si>
  <si>
    <t>C:\Users\franc\OneDrive\Documentos\MALENTIN KARIME\BANCO ESTADO\2012 DEPTO ESCRITURAS fata\Dc Simples\2012 DEPTO ESCRITURAS\MANDATOS JUDICIALES\CLAUDIO ARDILES\GABRIEL ARDILES TAPIA.doc</t>
  </si>
  <si>
    <t>C:\Users\franc\OneDrive\Documentos\MALENTIN KARIME\BANCO ESTADO\2012 DEPTO ESCRITURAS fata\Dc Simples\2012 DEPTO ESCRITURAS\MANDATOS JUDICIALES\CLAUDIO ARDILES\FAIRY TELLO COLLAO.doc</t>
  </si>
  <si>
    <t>C:\Users\franc\OneDrive\Documentos\MALENTIN KARIME\BANCO ESTADO\2012 DEPTO ESCRITURAS fata\Dc Simples\2012 DEPTO ESCRITURAS\MANDATOS JUDICIALES\CLAUDIO ARDILES\FABIOLA TAPIA RAMIREZ.doc</t>
  </si>
  <si>
    <t>C:\Users\franc\OneDrive\Documentos\MALENTIN KARIME\BANCO ESTADO\2012 DEPTO ESCRITURAS fata\Dc Simples\2012 DEPTO ESCRITURAS\MANDATOS JUDICIALES\CLAUDIO ARDILES\ERIC CONTRERAS FLORES.doc</t>
  </si>
  <si>
    <t>C:\Users\franc\OneDrive\Documentos\MALENTIN KARIME\BANCO ESTADO\2012 DEPTO ESCRITURAS fata\Dc Simples\2012 DEPTO ESCRITURAS\MANDATOS JUDICIALES\CLAUDIO ARDILES\ERIC ALVAREZ HUERTA.doc</t>
  </si>
  <si>
    <t>C:\Users\franc\OneDrive\Documentos\MALENTIN KARIME\BANCO ESTADO\2012 DEPTO ESCRITURAS fata\Dc Simples\2012 DEPTO ESCRITURAS\MANDATOS JUDICIALES\CLAUDIO ARDILES\ELSA GALLEGUILLOS.doc</t>
  </si>
  <si>
    <t>C:\Users\franc\OneDrive\Documentos\MALENTIN KARIME\BANCO ESTADO\2012 DEPTO ESCRITURAS fata\Dc Simples\2012 DEPTO ESCRITURAS\MANDATOS JUDICIALES\CLAUDIO ARDILES\DIOMEDES ROJAS ARAYA.doc</t>
  </si>
  <si>
    <t>C:\Users\franc\OneDrive\Documentos\MALENTIN KARIME\BANCO ESTADO\2012 DEPTO ESCRITURAS fata\Dc Simples\2012 DEPTO ESCRITURAS\MANDATOS JUDICIALES\CLAUDIO ARDILES\DINA CASTRO CORTES.doc</t>
  </si>
  <si>
    <t>C:\Users\franc\OneDrive\Documentos\MALENTIN KARIME\BANCO ESTADO\2012 DEPTO ESCRITURAS fata\Dc Simples\2012 DEPTO ESCRITURAS\MANDATOS JUDICIALES\CLAUDIO ARDILES\DELIA TELLO CORTES.doc</t>
  </si>
  <si>
    <t>C:\Users\franc\OneDrive\Documentos\MALENTIN KARIME\BANCO ESTADO\2012 DEPTO ESCRITURAS fata\Dc Simples\2012 DEPTO ESCRITURAS\MANDATOS JUDICIALES\CLAUDIO ARDILES\DANIELA HUERTA.doc</t>
  </si>
  <si>
    <t>C:\Users\franc\OneDrive\Documentos\MALENTIN KARIME\BANCO ESTADO\2012 DEPTO ESCRITURAS fata\Dc Simples\2012 DEPTO ESCRITURAS\MANDATOS JUDICIALES\CLAUDIO ARDILES\CIPRIANO SALAZAR FERNANDEZ.doc</t>
  </si>
  <si>
    <t>C:\Users\franc\OneDrive\Documentos\MALENTIN KARIME\BANCO ESTADO\2012 DEPTO ESCRITURAS fata\Dc Simples\2012 DEPTO ESCRITURAS\MANDATOS JUDICIALES\CLAUDIO ARDILES\CESAR DIAZ CORTES.doc</t>
  </si>
  <si>
    <t>C:\Users\franc\OneDrive\Documentos\MALENTIN KARIME\BANCO ESTADO\2012 DEPTO ESCRITURAS fata\Dc Simples\2012 DEPTO ESCRITURAS\MANDATOS JUDICIALES\CLAUDIO ARDILES\CAROLINA DIAZ BOLADOS.doc</t>
  </si>
  <si>
    <t>C:\Users\franc\OneDrive\Documentos\MALENTIN KARIME\BANCO ESTADO\2012 DEPTO ESCRITURAS fata\Dc Simples\2012 DEPTO ESCRITURAS\MANDATOS JUDICIALES\CLAUDIO ARDILES\CARMEN GUERRERO GUERRERO.doc</t>
  </si>
  <si>
    <t>C:\Users\franc\OneDrive\Documentos\MALENTIN KARIME\BANCO ESTADO\2012 DEPTO ESCRITURAS fata\Dc Simples\2012 DEPTO ESCRITURAS\MANDATOS JUDICIALES\CLAUDIO ARDILES\CARLOS ROJAS SALINAS.doc</t>
  </si>
  <si>
    <t>C:\Users\franc\OneDrive\Documentos\MALENTIN KARIME\BANCO ESTADO\2012 DEPTO ESCRITURAS fata\Dc Simples\2012 DEPTO ESCRITURAS\MANDATOS JUDICIALES\CLAUDIO ARDILES\CARLOS GAMBOA PASTEN.doc</t>
  </si>
  <si>
    <t>C:\Users\franc\OneDrive\Documentos\MALENTIN KARIME\BANCO ESTADO\2012 DEPTO ESCRITURAS fata\Dc Simples\2012 DEPTO ESCRITURAS\MANDATOS JUDICIALES\CLAUDIO ARDILES\BRANDON MARIN ZEPEDA.doc</t>
  </si>
  <si>
    <t>C:\Users\franc\OneDrive\Documentos\MALENTIN KARIME\BANCO ESTADO\2012 DEPTO ESCRITURAS fata\Dc Simples\2012 DEPTO ESCRITURAS\MANDATOS JUDICIALES\CLAUDIO ARDILES\ARTURO LARA CASANGA.doc</t>
  </si>
  <si>
    <t>C:\Users\franc\OneDrive\Documentos\MALENTIN KARIME\BANCO ESTADO\2012 DEPTO ESCRITURAS fata\Dc Simples\2012 DEPTO ESCRITURAS\MANDATOS JUDICIALES\CLAUDIO ARDILES\ANGEL TAPIA MARTURANA.doc</t>
  </si>
  <si>
    <t>C:\Users\franc\OneDrive\Documentos\MALENTIN KARIME\BANCO ESTADO\2012 DEPTO ESCRITURAS fata\Dc Simples\2012 DEPTO ESCRITURAS\MANDATOS JUDICIALES\CLAUDIO ARDILES\AMANDA ROJAS.doc</t>
  </si>
  <si>
    <t>C:\Users\franc\OneDrive\Documentos\MALENTIN KARIME\BANCO ESTADO\2012 DEPTO ESCRITURAS fata\Dc Simples\2012 DEPTO ESCRITURAS\MANDATOS JUDICIALES\CLAUDIO ARDILES\ALEJANDRO CAMPOS ALVAREZ.doc</t>
  </si>
  <si>
    <t>C:\Users\franc\OneDrive\Documentos\MALENTIN KARIME\BANCO ESTADO\2012 DEPTO ESCRITURAS fata\Dc Simples\2012 DEPTO ESCRITURAS\MANDATOS JUDICIALES\CLAUDIO ARDILES\ALEJANDRINA ANDRADE.doc</t>
  </si>
  <si>
    <t>C:\Users\franc\OneDrive\Documentos\MALENTIN KARIME\BANCO ESTADO\2012 DEPTO ESCRITURAS fata\Dc Simples\2012 DEPTO ESCRITURAS\MANDATOS JUDICIALES\CLAUDIO ARDILES\ALDO ALFARO AHUMADA.doc</t>
  </si>
  <si>
    <t>C:\Users\franc\OneDrive\Documentos\MALENTIN KARIME\BANCO ESTADO\2012 DEPTO ESCRITURAS fata\Dc Simples\2012 DEPTO ESCRITURAS\MANDATOS JUDICIALES\CLAUDIO ARAYA\SOC AGRIC SANTA ANA.doc</t>
  </si>
  <si>
    <t>C:\Users\franc\OneDrive\Documentos\MALENTIN KARIME\BANCO ESTADO\2012 DEPTO ESCRITURAS fata\Dc Simples\2012 DEPTO ESCRITURAS\MANDATOS JUDICIALES\CLAUDIO ARAYA\PABLO MUÑOZ.doc</t>
  </si>
  <si>
    <t>C:\Users\franc\OneDrive\Documentos\MALENTIN KARIME\BANCO ESTADO\2012 DEPTO ESCRITURAS fata\Dc Simples\2012 DEPTO ESCRITURAS\MANDATOS JUDICIALES\CLAUDIO ARAYA\OSVALDO MEDINA HARRIS.doc</t>
  </si>
  <si>
    <t>C:\Users\franc\OneDrive\Documentos\MALENTIN KARIME\BANCO ESTADO\2012 DEPTO ESCRITURAS fata\Dc Simples\2012 DEPTO ESCRITURAS\MANDATOS JUDICIALES\CLAUDIO ARAYA\NIVALDO ALFARO BARRAZA.doc</t>
  </si>
  <si>
    <t>C:\Users\franc\OneDrive\Documentos\MALENTIN KARIME\BANCO ESTADO\2012 DEPTO ESCRITURAS fata\Dc Simples\2012 DEPTO ESCRITURAS\MANDATOS JUDICIALES\CLAUDIO ARAYA\MERCEDES PIZARRO PIZARRO.doc</t>
  </si>
  <si>
    <t>C:\Users\franc\OneDrive\Documentos\MALENTIN KARIME\BANCO ESTADO\2012 DEPTO ESCRITURAS fata\Dc Simples\2012 DEPTO ESCRITURAS\MANDATOS JUDICIALES\CLAUDIO ARAYA\MARIA PINOCHET.doc</t>
  </si>
  <si>
    <t>C:\Users\franc\OneDrive\Documentos\MALENTIN KARIME\BANCO ESTADO\2012 DEPTO ESCRITURAS fata\Dc Simples\2012 DEPTO ESCRITURAS\MANDATOS JUDICIALES\CLAUDIO ARAYA\MARIA PINOCHET Enero 14.doc</t>
  </si>
  <si>
    <t>C:\Users\franc\OneDrive\Documentos\MALENTIN KARIME\BANCO ESTADO\2012 DEPTO ESCRITURAS fata\Dc Simples\2012 DEPTO ESCRITURAS\MANDATOS JUDICIALES\CLAUDIO ARAYA\MARCIA VEGA VALDIVIA.doc</t>
  </si>
  <si>
    <t>C:\Users\franc\OneDrive\Documentos\MALENTIN KARIME\BANCO ESTADO\2012 DEPTO ESCRITURAS fata\Dc Simples\2012 DEPTO ESCRITURAS\MANDATOS JUDICIALES\CLAUDIO ARAYA\MANUEL RENE ARAYA.doc</t>
  </si>
  <si>
    <t>C:\Users\franc\OneDrive\Documentos\MALENTIN KARIME\BANCO ESTADO\2012 DEPTO ESCRITURAS fata\Dc Simples\2012 DEPTO ESCRITURAS\MANDATOS JUDICIALES\CLAUDIO ARAYA\LUIS VELIZ RIVERA.doc</t>
  </si>
  <si>
    <t>C:\Users\franc\OneDrive\Documentos\MALENTIN KARIME\BANCO ESTADO\2012 DEPTO ESCRITURAS fata\Dc Simples\2012 DEPTO ESCRITURAS\MANDATOS JUDICIALES\CLAUDIO ARAYA\HERNAN ARACENA DUBO Y OTROS.doc</t>
  </si>
  <si>
    <t>C:\Users\franc\OneDrive\Documentos\MALENTIN KARIME\BANCO ESTADO\2012 DEPTO ESCRITURAS fata\Dc Simples\2012 DEPTO ESCRITURAS\MANDATOS JUDICIALES\CLAUDIO ARAYA\EDUARDO DIAZ ROBLES.doc</t>
  </si>
  <si>
    <t>C:\Users\franc\OneDrive\Documentos\MALENTIN KARIME\BANCO ESTADO\2012 DEPTO ESCRITURAS fata\Dc Simples\2012 DEPTO ESCRITURAS\MANDATOS JUDICIALES\CLAUDIO ARAYA\CORALI OLIVARES.doc</t>
  </si>
  <si>
    <t>C:\Users\franc\OneDrive\Documentos\MALENTIN KARIME\BANCO ESTADO\2012 DEPTO ESCRITURAS fata\Dc Simples\2012 DEPTO ESCRITURAS\MANDATOS JUDICIALES\CLAUDIO ARAYA\CLEMENTE FUENTEALBA.doc</t>
  </si>
  <si>
    <t>C:\Users\franc\OneDrive\Documentos\MALENTIN KARIME\BANCO ESTADO\2012 DEPTO ESCRITURAS fata\Dc Simples\2012 DEPTO ESCRITURAS\MANDATOS JUDICIALES\CLAUDIO ARAYA\CAROLINA CARVAJAL.doc</t>
  </si>
  <si>
    <t>C:\Users\franc\OneDrive\Documentos\MALENTIN KARIME\BANCO ESTADO\2012 DEPTO ESCRITURAS fata\Dc Simples\2012 DEPTO ESCRITURAS\MANDATOS JUDICIALES\CLAUDIO ARAYA\BERNARDO ORREGO FLORES.doc</t>
  </si>
  <si>
    <t>C:\Users\franc\OneDrive\Documentos\MALENTIN KARIME\BANCO ESTADO\2012 DEPTO ESCRITURAS fata\Dc Simples\2012 DEPTO ESCRITURAS\MANDATOS JUDICIALES\CLAUDIO ARAYA\AGAPITO CASTILLO PIZARRO.doc</t>
  </si>
  <si>
    <t>C:\Users\franc\OneDrive\Documentos\MALENTIN KARIME\BANCO ESTADO\2012 DEPTO ESCRITURAS fata\Dc Simples\2012 DEPTO ESCRITURAS\MANDATOS JUDICIALES\CLAUDIO ARAYA\ABEL VALDES ARAYA.doc</t>
  </si>
  <si>
    <t>C:\Users\franc\OneDrive\Documentos\MALENTIN KARIME\BANCO ESTADO\2012 DEPTO ESCRITURAS fata\Dc Simples\2012 DEPTO ESCRITURAS\MANDATOS JUDICIALES\CHRISTIAN ROJAS CALDERON\NORTEANDINO.doc</t>
  </si>
  <si>
    <t>C:\Users\franc\OneDrive\Documentos\MALENTIN KARIME\BANCO ESTADO\2012 DEPTO ESCRITURAS fata\Dc Simples\2012 DEPTO ESCRITURAS\MANDATOS JUDICIALES\CAROLINA MORALES VILLALON\SARA HERRERA OLEA.doc</t>
  </si>
  <si>
    <t>C:\Users\franc\OneDrive\Documentos\MALENTIN KARIME\BANCO ESTADO\2012 DEPTO ESCRITURAS fata\Dc Simples\2012 DEPTO ESCRITURAS\MANDATOS JUDICIALES\CAROL VERA HORMAZAVAL\CRISTIAN PARRA ISAMIT.doc</t>
  </si>
  <si>
    <t>C:\Users\franc\OneDrive\Documentos\MALENTIN KARIME\BANCO ESTADO\2012 DEPTO ESCRITURAS fata\Dc Simples\2012 DEPTO ESCRITURAS\MANDATOS JUDICIALES\CARLOS TAGLE TASSO\JUAN GARCIA COLLAO.doc</t>
  </si>
  <si>
    <t>C:\Users\franc\OneDrive\Documentos\MALENTIN KARIME\BANCO ESTADO\2012 DEPTO ESCRITURAS fata\Dc Simples\2012 DEPTO ESCRITURAS\MANDATOS JUDICIALES\CARLOS TABILO CONTRERAS\CLUB DE RODEO OVALLE.doc</t>
  </si>
  <si>
    <t>C:\Users\franc\OneDrive\Documentos\MALENTIN KARIME\BANCO ESTADO\2012 DEPTO ESCRITURAS fata\Dc Simples\2012 DEPTO ESCRITURAS\MANDATOS JUDICIALES\CARLOS SAEZ\FERNANDO ARDILES.doc</t>
  </si>
  <si>
    <t>C:\Users\franc\OneDrive\Documentos\MALENTIN KARIME\BANCO ESTADO\2012 DEPTO ESCRITURAS fata\Dc Simples\2012 DEPTO ESCRITURAS\MANDATOS JUDICIALES\ANDRES AGUILERA YCAROLINA\ADOLFO CORTES JILES.doc</t>
  </si>
  <si>
    <t>C:\Users\franc\OneDrive\Documentos\MALENTIN KARIME\BANCO ESTADO\2012 DEPTO ESCRITURAS fata\Dc Simples\2012 DEPTO ESCRITURAS\MANDATOS JUDICIALES\ANDRES AGUILERA YCAROLINA\ABRAHAM MUNDACA.doc</t>
  </si>
  <si>
    <t>C:\Users\franc\OneDrive\Documentos\MALENTIN KARIME\BANCO ESTADO\2012 DEPTO ESCRITURAS fata\Dc Simples\2012 DEPTO ESCRITURAS\MANDATOS JUDICIALES\ALEJANDRO RUBIO\MERCEDES GUERRERO HIDALGO.doc</t>
  </si>
  <si>
    <t>C:\Users\franc\OneDrive\Documentos\MALENTIN KARIME\BANCO ESTADO\2012 DEPTO ESCRITURAS fata\Dc Simples\2012 DEPTO ESCRITURAS\MANDATOS JUDICIALES\ALEJANDRO AZUA VEGA\CRISTIAN VAN DER A ALEJANDRO AZUA.doc</t>
  </si>
  <si>
    <t>C:\Users\franc\OneDrive\Documentos\MALENTIN KARIME\BANCO ESTADO\2012 DEPTO ESCRITURAS fata\Dc Simples\2012 DEPTO ESCRITURAS\MANDATOS JUDICIALES\ALEJANDRO AZUA VEGA\CRACE SIR A ALEJANDRO AZUA.doc</t>
  </si>
  <si>
    <t>C:\Users\franc\OneDrive\Documentos\MALENTIN KARIME\BANCO ESTADO\2012 DEPTO ESCRITURAS fata\Dc Simples\2012 DEPTO ESCRITURAS\MANDATOS JUDICIALES\ALEJANDRA PIZARRO DUBO\PAULA RIOS DIAZ.doc</t>
  </si>
  <si>
    <t>C:\Users\franc\OneDrive\Documentos\MALENTIN KARIME\BANCO ESTADO\2012 DEPTO ESCRITURAS fata\Dc Simples\2012 DEPTO ESCRITURAS\MANDATO\VENDER\WILFREDO RIVERA A LUIS GAHONA.doc</t>
  </si>
  <si>
    <t>C:\Users\franc\OneDrive\Documentos\MALENTIN KARIME\BANCO ESTADO\2012 DEPTO ESCRITURAS fata\Dc Simples\2012 DEPTO ESCRITURAS\MANDATO\VENDER\WALDO PACHECO A Calixto Pacheco.doc</t>
  </si>
  <si>
    <t>C:\Users\franc\OneDrive\Documentos\MALENTIN KARIME\BANCO ESTADO\2012 DEPTO ESCRITURAS fata\Dc Simples\2012 DEPTO ESCRITURAS\MANDATO\VENDER\VINKA GUERRA ROJAS Autorizacion.doc</t>
  </si>
  <si>
    <t>C:\Users\franc\OneDrive\Documentos\MALENTIN KARIME\BANCO ESTADO\2012 DEPTO ESCRITURAS fata\Dc Simples\2012 DEPTO ESCRITURAS\MANDATO\VENDER\VILMA BARRAZA A JEANETTE BARRAZA.doc</t>
  </si>
  <si>
    <t>C:\Users\franc\OneDrive\Documentos\MALENTIN KARIME\BANCO ESTADO\2012 DEPTO ESCRITURAS fata\Dc Simples\2012 DEPTO ESCRITURAS\MANDATO\VENDER\tia ROSA.doc</t>
  </si>
  <si>
    <t>C:\Users\franc\OneDrive\Documentos\MALENTIN KARIME\BANCO ESTADO\2012 DEPTO ESCRITURAS fata\Dc Simples\2012 DEPTO ESCRITURAS\MANDATO\VENDER\Sucesion Vega.doc</t>
  </si>
  <si>
    <t>C:\Users\franc\OneDrive\Documentos\MALENTIN KARIME\BANCO ESTADO\2012 DEPTO ESCRITURAS fata\Dc Simples\2012 DEPTO ESCRITURAS\MANDATO\VENDER\SUCESION Carvajal Aguilera.doc</t>
  </si>
  <si>
    <t>C:\Users\franc\OneDrive\Documentos\MALENTIN KARIME\BANCO ESTADO\2012 DEPTO ESCRITURAS fata\Dc Simples\2012 DEPTO ESCRITURAS\MANDATO\VENDER\SALVADOR CODOCEO.doc</t>
  </si>
  <si>
    <t>C:\Users\franc\OneDrive\Documentos\MALENTIN KARIME\BANCO ESTADO\2012 DEPTO ESCRITURAS fata\Dc Simples\2012 DEPTO ESCRITURAS\MANDATO\VENDER\ROSA CARRIZO SEGOVIA.doc</t>
  </si>
  <si>
    <t>C:\Users\franc\OneDrive\Documentos\MALENTIN KARIME\BANCO ESTADO\2012 DEPTO ESCRITURAS fata\Dc Simples\2012 DEPTO ESCRITURAS\MANDATO\VENDER\ROMILIO GALDAMEZ TRONCOSO.doc</t>
  </si>
  <si>
    <t>C:\Users\franc\OneDrive\Documentos\MALENTIN KARIME\BANCO ESTADO\2012 DEPTO ESCRITURAS fata\Dc Simples\2012 DEPTO ESCRITURAS\MANDATO\VENDER\ROBERTO CODOCEO.doc</t>
  </si>
  <si>
    <t>C:\Users\franc\OneDrive\Documentos\MALENTIN KARIME\BANCO ESTADO\2012 DEPTO ESCRITURAS fata\Dc Simples\2012 DEPTO ESCRITURAS\MANDATO\VENDER\REMIGIO CASTRO CONTRERAS Y CONYUGE.doc</t>
  </si>
  <si>
    <t>C:\Users\franc\OneDrive\Documentos\MALENTIN KARIME\BANCO ESTADO\2012 DEPTO ESCRITURAS fata\Dc Simples\2012 DEPTO ESCRITURAS\MANDATO\VENDER\RAUL CORTES Y CONYUGE.doc</t>
  </si>
  <si>
    <t>C:\Users\franc\OneDrive\Documentos\MALENTIN KARIME\BANCO ESTADO\2012 DEPTO ESCRITURAS fata\Dc Simples\2012 DEPTO ESCRITURAS\MANDATO\VENDER\OLIVIA VALENZUELA MUÑOZ (VENTA CONYUGE).doc</t>
  </si>
  <si>
    <t>C:\Users\franc\OneDrive\Documentos\MALENTIN KARIME\BANCO ESTADO\2012 DEPTO ESCRITURAS fata\Dc Simples\2012 DEPTO ESCRITURAS\MANDATO\VENDER\NIRMA OLIVEROS VALENCIA.doc</t>
  </si>
  <si>
    <t>C:\Users\franc\OneDrive\Documentos\MALENTIN KARIME\BANCO ESTADO\2012 DEPTO ESCRITURAS fata\Dc Simples\2012 DEPTO ESCRITURAS\MANDATO\VENDER\NINFA ROJAS ZEPEDA.doc</t>
  </si>
  <si>
    <t>C:\Users\franc\OneDrive\Documentos\MALENTIN KARIME\BANCO ESTADO\2012 DEPTO ESCRITURAS fata\Dc Simples\2012 DEPTO ESCRITURAS\MANDATO\VENDER\NELLY DEL CARMEN DIAZ viuda derechos.doc</t>
  </si>
  <si>
    <t>C:\Users\franc\OneDrive\Documentos\MALENTIN KARIME\BANCO ESTADO\2012 DEPTO ESCRITURAS fata\Dc Simples\2012 DEPTO ESCRITURAS\MANDATO\VENDER\MOSIES MIRANDA TELLO A GEORGINA VERGARA.doc</t>
  </si>
  <si>
    <t>C:\Users\franc\OneDrive\Documentos\MALENTIN KARIME\BANCO ESTADO\2012 DEPTO ESCRITURAS fata\Dc Simples\2012 DEPTO ESCRITURAS\MANDATO\VENDER\MINUTA  Digna Rojas.doc</t>
  </si>
  <si>
    <t>C:\Users\franc\OneDrive\Documentos\MALENTIN KARIME\BANCO ESTADO\2012 DEPTO ESCRITURAS fata\Dc Simples\2012 DEPTO ESCRITURAS\MANDATO\VENDER\MAURICIO VELIZ ARAYA Mandato y auto.doc</t>
  </si>
  <si>
    <t>C:\Users\franc\OneDrive\Documentos\MALENTIN KARIME\BANCO ESTADO\2012 DEPTO ESCRITURAS fata\Dc Simples\2012 DEPTO ESCRITURAS\MANDATO\VENDER\MARIA ISOLINA CABEZAS MUÑOZ.doc</t>
  </si>
  <si>
    <t>C:\Users\franc\OneDrive\Documentos\MALENTIN KARIME\BANCO ESTADO\2012 DEPTO ESCRITURAS fata\Dc Simples\2012 DEPTO ESCRITURAS\MANDATO\VENDER\MANUEL ZAMORA ARANCIBIA.doc</t>
  </si>
  <si>
    <t>C:\Users\franc\OneDrive\Documentos\MALENTIN KARIME\BANCO ESTADO\2012 DEPTO ESCRITURAS fata\Dc Simples\2012 DEPTO ESCRITURAS\MANDATO\VENDER\MANUEL SEGURA C. Vender.doc</t>
  </si>
  <si>
    <t>C:\Users\franc\OneDrive\Documentos\MALENTIN KARIME\BANCO ESTADO\2012 DEPTO ESCRITURAS fata\Dc Simples\2012 DEPTO ESCRITURAS\MANDATO\VENDER\LUZ SILVA GALLEGOS Minuta.doc</t>
  </si>
  <si>
    <t>C:\Users\franc\OneDrive\Documentos\MALENTIN KARIME\BANCO ESTADO\2012 DEPTO ESCRITURAS fata\Dc Simples\2012 DEPTO ESCRITURAS\MANDATO\VENDER\LUIS OCTAVIO JUAREZ PIZARRO Mandatario.doc</t>
  </si>
  <si>
    <t>C:\Users\franc\OneDrive\Documentos\MALENTIN KARIME\BANCO ESTADO\2012 DEPTO ESCRITURAS fata\Dc Simples\2012 DEPTO ESCRITURAS\MANDATO\VENDER\LUIS NAREA MAYA Mandato y auto.doc</t>
  </si>
  <si>
    <t>C:\Users\franc\OneDrive\Documentos\MALENTIN KARIME\BANCO ESTADO\2012 DEPTO ESCRITURAS fata\Dc Simples\2012 DEPTO ESCRITURAS\MANDATO\VENDER\LIVIA CAMPAÑA MOLINA.doc</t>
  </si>
  <si>
    <t>C:\Users\franc\OneDrive\Documentos\MALENTIN KARIME\BANCO ESTADO\2012 DEPTO ESCRITURAS fata\Dc Simples\2012 DEPTO ESCRITURAS\MANDATO\VENDER\LEONOR ZAPATA CONTRERAS Autorizacion.doc</t>
  </si>
  <si>
    <t>C:\Users\franc\OneDrive\Documentos\MALENTIN KARIME\BANCO ESTADO\2012 DEPTO ESCRITURAS fata\Dc Simples\2012 DEPTO ESCRITURAS\MANDATO\VENDER\LEONEL GALLARDO SEGOVIA.doc</t>
  </si>
  <si>
    <t>C:\Users\franc\OneDrive\Documentos\MALENTIN KARIME\BANCO ESTADO\2012 DEPTO ESCRITURAS fata\Dc Simples\2012 DEPTO ESCRITURAS\MANDATO\VENDER\JUANA CORTES IRIARTE (VENTA CONYUGE).doc</t>
  </si>
  <si>
    <t>C:\Users\franc\OneDrive\Documentos\MALENTIN KARIME\BANCO ESTADO\2012 DEPTO ESCRITURAS fata\Dc Simples\2012 DEPTO ESCRITURAS\MANDATO\VENDER\JUAN ANDRES CARVAJAL CASTILLO.doc</t>
  </si>
  <si>
    <t>C:\Users\franc\OneDrive\Documentos\MALENTIN KARIME\BANCO ESTADO\2012 DEPTO ESCRITURAS fata\Dc Simples\2012 DEPTO ESCRITURAS\MANDATO\VENDER\JORGE ZULANTAY CORTES.doc</t>
  </si>
  <si>
    <t>C:\Users\franc\OneDrive\Documentos\MALENTIN KARIME\BANCO ESTADO\2012 DEPTO ESCRITURAS fata\Dc Simples\2012 DEPTO ESCRITURAS\MANDATO\VENDER\JHONY VILLARROEL.doc</t>
  </si>
  <si>
    <t>C:\Users\franc\OneDrive\Documentos\MALENTIN KARIME\BANCO ESTADO\2012 DEPTO ESCRITURAS fata\Dc Simples\2012 DEPTO ESCRITURAS\MANDATO\VENDER\JAIME PROHENS SOMMELLA.doc</t>
  </si>
  <si>
    <t>C:\Users\franc\OneDrive\Documentos\MALENTIN KARIME\BANCO ESTADO\2012 DEPTO ESCRITURAS fata\Dc Simples\2012 DEPTO ESCRITURAS\MANDATO\VENDER\JAIME CORTES TELLO Minuta.doc</t>
  </si>
  <si>
    <t>C:\Users\franc\OneDrive\Documentos\MALENTIN KARIME\BANCO ESTADO\2012 DEPTO ESCRITURAS fata\Dc Simples\2012 DEPTO ESCRITURAS\MANDATO\VENDER\IRMA NUÑEZ PEREIRA.doc</t>
  </si>
  <si>
    <t>C:\Users\franc\OneDrive\Documentos\MALENTIN KARIME\BANCO ESTADO\2012 DEPTO ESCRITURAS fata\Dc Simples\2012 DEPTO ESCRITURAS\MANDATO\VENDER\HERNAN FLORES GONZALEZ Y CONYUGE.doc</t>
  </si>
  <si>
    <t>C:\Users\franc\OneDrive\Documentos\MALENTIN KARIME\BANCO ESTADO\2012 DEPTO ESCRITURAS fata\Dc Simples\2012 DEPTO ESCRITURAS\MANDATO\VENDER\HECTOR BRUNA MORALES.doc</t>
  </si>
  <si>
    <t>C:\Users\franc\OneDrive\Documentos\MALENTIN KARIME\BANCO ESTADO\2012 DEPTO ESCRITURAS fata\Dc Simples\2012 DEPTO ESCRITURAS\MANDATO\VENDER\GARCIA PEREZ.doc</t>
  </si>
  <si>
    <t>C:\Users\franc\OneDrive\Documentos\MALENTIN KARIME\BANCO ESTADO\2012 DEPTO ESCRITURAS fata\Dc Simples\2012 DEPTO ESCRITURAS\MANDATO\VENDER\EUGENIA SEGURA ESPINOSA.doc</t>
  </si>
  <si>
    <t>C:\Users\franc\OneDrive\Documentos\MALENTIN KARIME\BANCO ESTADO\2012 DEPTO ESCRITURAS fata\Dc Simples\2012 DEPTO ESCRITURAS\MANDATO\VENDER\ERIKA PASTEN ROJAS A MARIA PASTEN ROJAS Derechos.doc</t>
  </si>
  <si>
    <t>C:\Users\franc\OneDrive\Documentos\MALENTIN KARIME\BANCO ESTADO\2012 DEPTO ESCRITURAS fata\Dc Simples\2012 DEPTO ESCRITURAS\MANDATO\VENDER\CLAUDIA ESPINOSA ROJAS.doc</t>
  </si>
  <si>
    <t>C:\Users\franc\OneDrive\Documentos\MALENTIN KARIME\BANCO ESTADO\2012 DEPTO ESCRITURAS fata\Dc Simples\2012 DEPTO ESCRITURAS\MANDATO\VENDER\CLAUDIA ESPINOSA ROJAS II.doc</t>
  </si>
  <si>
    <t>C:\Users\franc\OneDrive\Documentos\MALENTIN KARIME\BANCO ESTADO\2012 DEPTO ESCRITURAS fata\Dc Simples\2012 DEPTO ESCRITURAS\MANDATO\VENDER\CARMEN SALFATE CARVAJAL Autorizacion.doc</t>
  </si>
  <si>
    <t>C:\Users\franc\OneDrive\Documentos\MALENTIN KARIME\BANCO ESTADO\2012 DEPTO ESCRITURAS fata\Dc Simples\2012 DEPTO ESCRITURAS\MANDATO\VENDER\CARMEN ROJAS LEYTON A ROCIO ROJAS.doc</t>
  </si>
  <si>
    <t>C:\Users\franc\OneDrive\Documentos\MALENTIN KARIME\BANCO ESTADO\2012 DEPTO ESCRITURAS fata\Dc Simples\2012 DEPTO ESCRITURAS\MANDATO\VENDER\CARMEN GLORIA VIVAR CONCHA.doc</t>
  </si>
  <si>
    <t>C:\Users\franc\OneDrive\Documentos\MALENTIN KARIME\BANCO ESTADO\2012 DEPTO ESCRITURAS fata\Dc Simples\2012 DEPTO ESCRITURAS\MANDATO\VENDER\CARLOS PONCE GARCIA.doc</t>
  </si>
  <si>
    <t>C:\Users\franc\OneDrive\Documentos\MALENTIN KARIME\BANCO ESTADO\2012 DEPTO ESCRITURAS fata\Dc Simples\2012 DEPTO ESCRITURAS\MANDATO\VENDER\ANA KARINA RODRIGUEZ  (VENTA CONYUGE)Fuentealba.doc</t>
  </si>
  <si>
    <t>C:\Users\franc\OneDrive\Documentos\MALENTIN KARIME\BANCO ESTADO\2012 DEPTO ESCRITURAS fata\Dc Simples\2012 DEPTO ESCRITURAS\MANDATO\MINUTAS\S.L.M LA RECOMPENSA.doc</t>
  </si>
  <si>
    <t>C:\Users\franc\OneDrive\Documentos\MALENTIN KARIME\BANCO ESTADO\2012 DEPTO ESCRITURAS fata\Dc Simples\2012 DEPTO ESCRITURAS\MANDATO\GENERAL\XIMENA PEREZ CAMPOS.doc</t>
  </si>
  <si>
    <t>C:\Users\franc\OneDrive\Documentos\MALENTIN KARIME\BANCO ESTADO\2012 DEPTO ESCRITURAS fata\Dc Simples\2012 DEPTO ESCRITURAS\MANDATO\GENERAL\XIMENA ABBOTT LARRAIN.doc</t>
  </si>
  <si>
    <t>C:\Users\franc\OneDrive\Documentos\MALENTIN KARIME\BANCO ESTADO\2012 DEPTO ESCRITURAS fata\Dc Simples\2012 DEPTO ESCRITURAS\MANDATO\GENERAL\VITAL DEL ROSARIO VALDES.doc</t>
  </si>
  <si>
    <t>C:\Users\franc\OneDrive\Documentos\MALENTIN KARIME\BANCO ESTADO\2012 DEPTO ESCRITURAS fata\Dc Simples\2012 DEPTO ESCRITURAS\MANDATO\GENERAL\VERONICA MONTT}.doc</t>
  </si>
  <si>
    <t>C:\Users\franc\OneDrive\Documentos\MALENTIN KARIME\BANCO ESTADO\2012 DEPTO ESCRITURAS fata\Dc Simples\2012 DEPTO ESCRITURAS\MANDATO\GENERAL\SUCESION CASTILLO IBACACHE MAND General.doc</t>
  </si>
  <si>
    <t>C:\Users\franc\OneDrive\Documentos\MALENTIN KARIME\BANCO ESTADO\2012 DEPTO ESCRITURAS fata\Dc Simples\2012 DEPTO ESCRITURAS\MANDATO\GENERAL\SUCESION CASTILLO IBACACHE Cheq CAPEL-1.doc</t>
  </si>
  <si>
    <t>C:\Users\franc\OneDrive\Documentos\MALENTIN KARIME\BANCO ESTADO\2012 DEPTO ESCRITURAS fata\Dc Simples\2012 DEPTO ESCRITURAS\MANDATO\GENERAL\RUDELIO VEGA MORALEDA.doc</t>
  </si>
  <si>
    <t>C:\Users\franc\OneDrive\Documentos\MALENTIN KARIME\BANCO ESTADO\2012 DEPTO ESCRITURAS fata\Dc Simples\2012 DEPTO ESCRITURAS\MANDATO\GENERAL\RODRIGO VARGAS CASTRO}.doc</t>
  </si>
  <si>
    <t>C:\Users\franc\OneDrive\Documentos\MALENTIN KARIME\BANCO ESTADO\2012 DEPTO ESCRITURAS fata\Dc Simples\2012 DEPTO ESCRITURAS\MANDATO\GENERAL\NIDIA RIVERA ROCCO.doc</t>
  </si>
  <si>
    <t>C:\Users\franc\OneDrive\Documentos\MALENTIN KARIME\BANCO ESTADO\2012 DEPTO ESCRITURAS fata\Dc Simples\2012 DEPTO ESCRITURAS\MANDATO\GENERAL\MOISES MUNDACA CAMPUSANO Y OTROS MEspecial.doc</t>
  </si>
  <si>
    <t>C:\Users\franc\OneDrive\Documentos\MALENTIN KARIME\BANCO ESTADO\2012 DEPTO ESCRITURAS fata\Dc Simples\2012 DEPTO ESCRITURAS\MANDATO\GENERAL\modelo.doc</t>
  </si>
  <si>
    <t>C:\Users\franc\OneDrive\Documentos\MALENTIN KARIME\BANCO ESTADO\2012 DEPTO ESCRITURAS fata\Dc Simples\2012 DEPTO ESCRITURAS\MANDATO\GENERAL\MAURICE JEAN BRET Revocacion Minuta.doc</t>
  </si>
  <si>
    <t>C:\Users\franc\OneDrive\Documentos\MALENTIN KARIME\BANCO ESTADO\2012 DEPTO ESCRITURAS fata\Dc Simples\2012 DEPTO ESCRITURAS\MANDATO\GENERAL\MARIA CARMONA PIZARRO.doc</t>
  </si>
  <si>
    <t>C:\Users\franc\OneDrive\Documentos\MALENTIN KARIME\BANCO ESTADO\2012 DEPTO ESCRITURAS fata\Dc Simples\2012 DEPTO ESCRITURAS\MANDATO\GENERAL\MARIA ALVAREZ HENRIQUEZ Y OTRA.doc</t>
  </si>
  <si>
    <t>C:\Users\franc\OneDrive\Documentos\MALENTIN KARIME\BANCO ESTADO\2012 DEPTO ESCRITURAS fata\Dc Simples\2012 DEPTO ESCRITURAS\MANDATO\GENERAL\HERNAN CASTILLO IBACACHE A Eugenia Castillo.doc</t>
  </si>
  <si>
    <t>C:\Users\franc\OneDrive\Documentos\MALENTIN KARIME\BANCO ESTADO\2012 DEPTO ESCRITURAS fata\Dc Simples\2012 DEPTO ESCRITURAS\MANDATO\GENERAL\HECTOR MEDALLA MEDALLA.doc</t>
  </si>
  <si>
    <t>C:\Users\franc\OneDrive\Documentos\MALENTIN KARIME\BANCO ESTADO\2012 DEPTO ESCRITURAS fata\Dc Simples\2012 DEPTO ESCRITURAS\MANDATO\GENERAL\HECTOR GUILLERMO CASTILLO CASTILLO.doc</t>
  </si>
  <si>
    <t>C:\Users\franc\OneDrive\Documentos\MALENTIN KARIME\BANCO ESTADO\2012 DEPTO ESCRITURAS fata\Dc Simples\2012 DEPTO ESCRITURAS\MANDATO\GENERAL\GLORIA ALFARO SIERRA Minuta.doc</t>
  </si>
  <si>
    <t>C:\Users\franc\OneDrive\Documentos\MALENTIN KARIME\BANCO ESTADO\2012 DEPTO ESCRITURAS fata\Dc Simples\2012 DEPTO ESCRITURAS\MANDATO\GENERAL\COPEVAL PODER.doc</t>
  </si>
  <si>
    <t>C:\Users\franc\OneDrive\Documentos\MALENTIN KARIME\BANCO ESTADO\2012 DEPTO ESCRITURAS fata\Dc Simples\2012 DEPTO ESCRITURAS\MANDATO\GENERAL\CIRO BERRIOS.doc</t>
  </si>
  <si>
    <t>C:\Users\franc\OneDrive\Documentos\MALENTIN KARIME\BANCO ESTADO\2012 DEPTO ESCRITURAS fata\Dc Simples\2012 DEPTO ESCRITURAS\MANDATO\GENERAL\CESAR RUIZ RODRIGUEZ.doc</t>
  </si>
  <si>
    <t>C:\Users\franc\OneDrive\Documentos\MALENTIN KARIME\BANCO ESTADO\2012 DEPTO ESCRITURAS fata\Dc Simples\2012 DEPTO ESCRITURAS\MANDATO\GENERAL\CARMEN CONTRERAS CORTEZ.doc</t>
  </si>
  <si>
    <t>C:\Users\franc\OneDrive\Documentos\MALENTIN KARIME\BANCO ESTADO\2012 DEPTO ESCRITURAS fata\Dc Simples\2012 DEPTO ESCRITURAS\MANDATO\GENERAL\AGRICOLA EL CIENAGO.doc</t>
  </si>
  <si>
    <t>C:\Users\franc\OneDrive\Documentos\MALENTIN KARIME\BANCO ESTADO\2012 DEPTO ESCRITURAS fata\Dc Simples\2012 DEPTO ESCRITURAS\MANDATO\GENERAL\ADRIANA GUZMAN OLSEN.doc</t>
  </si>
  <si>
    <t>C:\Users\franc\OneDrive\Documentos\MALENTIN KARIME\BANCO ESTADO\2012 DEPTO ESCRITURAS fata\Dc Simples\2012 DEPTO ESCRITURAS\MANDATO\ESPECIAL\VICTOR TAPIA ROJAS Minuta.doc</t>
  </si>
  <si>
    <t>C:\Users\franc\OneDrive\Documentos\MALENTIN KARIME\BANCO ESTADO\2012 DEPTO ESCRITURAS fata\Dc Simples\2012 DEPTO ESCRITURAS\MANDATO\ESPECIAL\SUCESION JUAN TAPIA MIRANDA.doc</t>
  </si>
  <si>
    <t>C:\Users\franc\OneDrive\Documentos\MALENTIN KARIME\BANCO ESTADO\2012 DEPTO ESCRITURAS fata\Dc Simples\2012 DEPTO ESCRITURAS\MANDATO\ESPECIAL\SUCESION CASTILLO IBACACHE ratificacion.doc</t>
  </si>
  <si>
    <t>C:\Users\franc\OneDrive\Documentos\MALENTIN KARIME\BANCO ESTADO\2012 DEPTO ESCRITURAS fata\Dc Simples\2012 DEPTO ESCRITURAS\MANDATO\ESPECIAL\SUCESION CASTILLO IBACACHE Cheq CAPEL-1.doc</t>
  </si>
  <si>
    <t>C:\Users\franc\OneDrive\Documentos\MALENTIN KARIME\BANCO ESTADO\2012 DEPTO ESCRITURAS fata\Dc Simples\2012 DEPTO ESCRITURAS\MANDATO\ESPECIAL\SUCESION CASTILLO IBACACHE Cheq CAPEL- con maridos y judicial.doc</t>
  </si>
  <si>
    <t>C:\Users\franc\OneDrive\Documentos\MALENTIN KARIME\BANCO ESTADO\2012 DEPTO ESCRITURAS fata\Dc Simples\2012 DEPTO ESCRITURAS\MANDATO\ESPECIAL\SUCESION ARAYA VALDIVIA Capel.doc</t>
  </si>
  <si>
    <t>C:\Users\franc\OneDrive\Documentos\MALENTIN KARIME\BANCO ESTADO\2012 DEPTO ESCRITURAS fata\Dc Simples\2012 DEPTO ESCRITURAS\MANDATO\ESPECIAL\SUCESION ARAYA VALDIVIA Capel ratificacion.doc</t>
  </si>
  <si>
    <t>C:\Users\franc\OneDrive\Documentos\MALENTIN KARIME\BANCO ESTADO\2012 DEPTO ESCRITURAS fata\Dc Simples\2012 DEPTO ESCRITURAS\MANDATO\ESPECIAL\SILVIA PIZARRO CISTERNAS posesion efectiva.doc</t>
  </si>
  <si>
    <t>C:\Users\franc\OneDrive\Documentos\MALENTIN KARIME\BANCO ESTADO\2012 DEPTO ESCRITURAS fata\Dc Simples\2012 DEPTO ESCRITURAS\MANDATO\ESPECIAL\SILVIA FRANCO LOPEZ A ROLANDO FRANCO.doc</t>
  </si>
  <si>
    <t>C:\Users\franc\OneDrive\Documentos\MALENTIN KARIME\BANCO ESTADO\2012 DEPTO ESCRITURAS fata\Dc Simples\2012 DEPTO ESCRITURAS\MANDATO\ESPECIAL\RAQUEL ROJAS MILLA Cheq CAPEL-1.doc</t>
  </si>
  <si>
    <t>C:\Users\franc\OneDrive\Documentos\MALENTIN KARIME\BANCO ESTADO\2012 DEPTO ESCRITURAS fata\Dc Simples\2012 DEPTO ESCRITURAS\MANDATO\ESPECIAL\PETRONILA COLLAO A NORA ROJAS.doc</t>
  </si>
  <si>
    <t>C:\Users\franc\OneDrive\Documentos\MALENTIN KARIME\BANCO ESTADO\2012 DEPTO ESCRITURAS fata\Dc Simples\2012 DEPTO ESCRITURAS\MANDATO\ESPECIAL\PEDRO OLIVARES PEREZ adms.doc</t>
  </si>
  <si>
    <t>C:\Users\franc\OneDrive\Documentos\MALENTIN KARIME\BANCO ESTADO\2012 DEPTO ESCRITURAS fata\Dc Simples\2012 DEPTO ESCRITURAS\MANDATO\ESPECIAL\PABLA FARIAS C. Y OTS. Cheq CAPEL-1.doc</t>
  </si>
  <si>
    <t>C:\Users\franc\OneDrive\Documentos\MALENTIN KARIME\BANCO ESTADO\2012 DEPTO ESCRITURAS fata\Dc Simples\2012 DEPTO ESCRITURAS\MANDATO\ESPECIAL\OLGA PIZARRO TORO A Dabed.doc</t>
  </si>
  <si>
    <t>C:\Users\franc\OneDrive\Documentos\MALENTIN KARIME\BANCO ESTADO\2012 DEPTO ESCRITURAS fata\Dc Simples\2012 DEPTO ESCRITURAS\MANDATO\ESPECIAL\NELSON MORGADO  LEVIPAN.doc</t>
  </si>
  <si>
    <t>C:\Users\franc\OneDrive\Documentos\MALENTIN KARIME\BANCO ESTADO\2012 DEPTO ESCRITURAS fata\Dc Simples\2012 DEPTO ESCRITURAS\MANDATO\ESPECIAL\MODELO MANDATO ESPECIAL capel.doc</t>
  </si>
  <si>
    <t>C:\Users\franc\OneDrive\Documentos\MALENTIN KARIME\BANCO ESTADO\2012 DEPTO ESCRITURAS fata\Dc Simples\2012 DEPTO ESCRITURAS\MANDATO\ESPECIAL\MODELO E.I.R.L.doc</t>
  </si>
  <si>
    <t>C:\Users\franc\OneDrive\Documentos\MALENTIN KARIME\BANCO ESTADO\2012 DEPTO ESCRITURAS fata\Dc Simples\2012 DEPTO ESCRITURAS\MANDATO\ESPECIAL\MIRNA URQUETA PIZARRO Posesion efectiva.doc</t>
  </si>
  <si>
    <t>C:\Users\franc\OneDrive\Documentos\MALENTIN KARIME\BANCO ESTADO\2012 DEPTO ESCRITURAS fata\Dc Simples\2012 DEPTO ESCRITURAS\MANDATO\ESPECIAL\MIRIAM CAMPOS ALFARO y otros.doc</t>
  </si>
  <si>
    <t>C:\Users\franc\OneDrive\Documentos\MALENTIN KARIME\BANCO ESTADO\2012 DEPTO ESCRITURAS fata\Dc Simples\2012 DEPTO ESCRITURAS\MANDATO\ESPECIAL\MIRIAM CAMPOS ALFARO y otros notaria.doc</t>
  </si>
  <si>
    <t>C:\Users\franc\OneDrive\Documentos\MALENTIN KARIME\BANCO ESTADO\2012 DEPTO ESCRITURAS fata\Dc Simples\2012 DEPTO ESCRITURAS\MANDATO\ESPECIAL\MIRIAM CAMPOS ALFARO modelo cliente.doc</t>
  </si>
  <si>
    <t>C:\Users\franc\OneDrive\Documentos\MALENTIN KARIME\BANCO ESTADO\2012 DEPTO ESCRITURAS fata\Dc Simples\2012 DEPTO ESCRITURAS\MANDATO\ESPECIAL\MAURICIO JIMENEZ RIVERA A Ximena Olatate Agosto 13.doc</t>
  </si>
  <si>
    <t>C:\Users\franc\OneDrive\Documentos\MALENTIN KARIME\BANCO ESTADO\2012 DEPTO ESCRITURAS fata\Dc Simples\2012 DEPTO ESCRITURAS\MANDATO\ESPECIAL\MAURICE JEAN BREAT Minuta.doc</t>
  </si>
  <si>
    <t>C:\Users\franc\OneDrive\Documentos\MALENTIN KARIME\BANCO ESTADO\2012 DEPTO ESCRITURAS fata\Dc Simples\2012 DEPTO ESCRITURAS\MANDATO\ESPECIAL\MAURICE JEAN A LUZ OLIVARES.doc</t>
  </si>
  <si>
    <t>C:\Users\franc\OneDrive\Documentos\MALENTIN KARIME\BANCO ESTADO\2012 DEPTO ESCRITURAS fata\Dc Simples\2012 DEPTO ESCRITURAS\MANDATO\ESPECIAL\MARIA ANTONIETA ELORZA VRGARA A Ramón Elorza+ capel.doc</t>
  </si>
  <si>
    <t>C:\Users\franc\OneDrive\Documentos\MALENTIN KARIME\BANCO ESTADO\2012 DEPTO ESCRITURAS fata\Dc Simples\2012 DEPTO ESCRITURAS\MANDATO\ESPECIAL\MARCELA ALVAREZ HENRIQUEZ Minuta.doc</t>
  </si>
  <si>
    <t>C:\Users\franc\OneDrive\Documentos\MALENTIN KARIME\BANCO ESTADO\2012 DEPTO ESCRITURAS fata\Dc Simples\2012 DEPTO ESCRITURAS\MANDATO\ESPECIAL\MANUEL ROCO Adm.doc</t>
  </si>
  <si>
    <t>C:\Users\franc\OneDrive\Documentos\MALENTIN KARIME\BANCO ESTADO\2012 DEPTO ESCRITURAS fata\Dc Simples\2012 DEPTO ESCRITURAS\MANDATO\ESPECIAL\LUIS DIAZ A RAMON DIAZ (MAS COMPLETO).doc</t>
  </si>
  <si>
    <t>C:\Users\franc\OneDrive\Documentos\MALENTIN KARIME\BANCO ESTADO\2012 DEPTO ESCRITURAS fata\Dc Simples\2012 DEPTO ESCRITURAS\MANDATO\ESPECIAL\LEONIDES CORTES A WALDO MICHEA adms.doc</t>
  </si>
  <si>
    <t>C:\Users\franc\OneDrive\Documentos\MALENTIN KARIME\BANCO ESTADO\2012 DEPTO ESCRITURAS fata\Dc Simples\2012 DEPTO ESCRITURAS\MANDATO\ESPECIAL\LEONIDES CORTES A WALDO MICHEA adms FINAL.doc</t>
  </si>
  <si>
    <t>C:\Users\franc\OneDrive\Documentos\MALENTIN KARIME\BANCO ESTADO\2012 DEPTO ESCRITURAS fata\Dc Simples\2012 DEPTO ESCRITURAS\MANDATO\ESPECIAL\JUAN GUILLERMO MILLA Judic.adm.doc</t>
  </si>
  <si>
    <t>C:\Users\franc\OneDrive\Documentos\MALENTIN KARIME\BANCO ESTADO\2012 DEPTO ESCRITURAS fata\Dc Simples\2012 DEPTO ESCRITURAS\MANDATO\ESPECIAL\JUAN BENAVENTE MILLAN minuta.doc</t>
  </si>
  <si>
    <t>C:\Users\franc\OneDrive\Documentos\MALENTIN KARIME\BANCO ESTADO\2012 DEPTO ESCRITURAS fata\Dc Simples\2012 DEPTO ESCRITURAS\MANDATO\ESPECIAL\JUAN ARAYA PEARSON.doc</t>
  </si>
  <si>
    <t>C:\Users\franc\OneDrive\Documentos\MALENTIN KARIME\BANCO ESTADO\2012 DEPTO ESCRITURAS fata\Dc Simples\2012 DEPTO ESCRITURAS\MANDATO\ESPECIAL\JUAN ARAYA PEARSON Amd.doc</t>
  </si>
  <si>
    <t>C:\Users\franc\OneDrive\Documentos\MALENTIN KARIME\BANCO ESTADO\2012 DEPTO ESCRITURAS fata\Dc Simples\2012 DEPTO ESCRITURAS\MANDATO\ESPECIAL\JORGE GARATE ARAYA mandato para liquidar y adjudicar.doc</t>
  </si>
  <si>
    <t>C:\Users\franc\OneDrive\Documentos\MALENTIN KARIME\BANCO ESTADO\2012 DEPTO ESCRITURAS fata\Dc Simples\2012 DEPTO ESCRITURAS\MANDATO\ESPECIAL\INVERSIONES VERDE MAR sociedad.doc</t>
  </si>
  <si>
    <t>C:\Users\franc\OneDrive\Documentos\MALENTIN KARIME\BANCO ESTADO\2012 DEPTO ESCRITURAS fata\Dc Simples\2012 DEPTO ESCRITURAS\MANDATO\ESPECIAL\INGENIERIA Y CONSTRUCCIONES LTA A Dabed.doc</t>
  </si>
  <si>
    <t>C:\Users\franc\OneDrive\Documentos\MALENTIN KARIME\BANCO ESTADO\2012 DEPTO ESCRITURAS fata\Dc Simples\2012 DEPTO ESCRITURAS\MANDATO\ESPECIAL\HERMAN VALLEJOS A Ruth Vallejos.doc</t>
  </si>
  <si>
    <t>C:\Users\franc\OneDrive\Documentos\MALENTIN KARIME\BANCO ESTADO\2012 DEPTO ESCRITURAS fata\Dc Simples\2012 DEPTO ESCRITURAS\MANDATO\ESPECIAL\HECTOR MEDALLA A GILIAN VILLAR Adms.doc</t>
  </si>
  <si>
    <t>C:\Users\franc\OneDrive\Documentos\MALENTIN KARIME\BANCO ESTADO\2012 DEPTO ESCRITURAS fata\Dc Simples\2012 DEPTO ESCRITURAS\MANDATO\ESPECIAL\GERMAN HERRERA REYES Minuta cobrar.doc</t>
  </si>
  <si>
    <t>C:\Users\franc\OneDrive\Documentos\MALENTIN KARIME\BANCO ESTADO\2012 DEPTO ESCRITURAS fata\Dc Simples\2012 DEPTO ESCRITURAS\MANDATO\ESPECIAL\GEMITA CARRASCO MARIN Minuta.doc</t>
  </si>
  <si>
    <t>C:\Users\franc\OneDrive\Documentos\MALENTIN KARIME\BANCO ESTADO\2012 DEPTO ESCRITURAS fata\Dc Simples\2012 DEPTO ESCRITURAS\MANDATO\ESPECIAL\EDUARDO VALLEJOS A Ruth Vallejos.doc</t>
  </si>
  <si>
    <t>C:\Users\franc\OneDrive\Documentos\MALENTIN KARIME\BANCO ESTADO\2012 DEPTO ESCRITURAS fata\Dc Simples\2012 DEPTO ESCRITURAS\MANDATO\ESPECIAL\EDITH PLAZA Minuta.doc</t>
  </si>
  <si>
    <t>C:\Users\franc\OneDrive\Documentos\MALENTIN KARIME\BANCO ESTADO\2012 DEPTO ESCRITURAS fata\Dc Simples\2012 DEPTO ESCRITURAS\MANDATO\ESPECIAL\DELIA DIAZ GARATE Especial.doc</t>
  </si>
  <si>
    <t>C:\Users\franc\OneDrive\Documentos\MALENTIN KARIME\BANCO ESTADO\2012 DEPTO ESCRITURAS fata\Dc Simples\2012 DEPTO ESCRITURAS\MANDATO\ESPECIAL\DARIO ROJAS CARVAJAL Proindiviso.doc</t>
  </si>
  <si>
    <t>C:\Users\franc\OneDrive\Documentos\MALENTIN KARIME\BANCO ESTADO\2012 DEPTO ESCRITURAS fata\Dc Simples\2012 DEPTO ESCRITURAS\MANDATO\ESPECIAL\DANIEL VERCHATSE Administr.doc</t>
  </si>
  <si>
    <t>C:\Users\franc\OneDrive\Documentos\MALENTIN KARIME\BANCO ESTADO\2012 DEPTO ESCRITURAS fata\Dc Simples\2012 DEPTO ESCRITURAS\MANDATO\ESPECIAL\DANIEL CONTRERAS Minuta junta.doc</t>
  </si>
  <si>
    <t>C:\Users\franc\OneDrive\Documentos\MALENTIN KARIME\BANCO ESTADO\2012 DEPTO ESCRITURAS fata\Dc Simples\2012 DEPTO ESCRITURAS\MANDATO\ESPECIAL\COOPERATIVA PESQUERA  EL SALADO.doc</t>
  </si>
  <si>
    <t>C:\Users\franc\OneDrive\Documentos\MALENTIN KARIME\BANCO ESTADO\2012 DEPTO ESCRITURAS fata\Dc Simples\2012 DEPTO ESCRITURAS\MANDATO\ESPECIAL\CARLOS TREVERTON Y OT. a FIDEL TREVERTON Minuta.doc</t>
  </si>
  <si>
    <t>C:\Users\franc\OneDrive\Documentos\MALENTIN KARIME\BANCO ESTADO\2012 DEPTO ESCRITURAS fata\Dc Simples\2012 DEPTO ESCRITURAS\MANDATO\ESPECIAL\BERNARDITA CARVAJAL URQUIETA AFP.doc</t>
  </si>
  <si>
    <t>C:\Users\franc\OneDrive\Documentos\MALENTIN KARIME\BANCO ESTADO\2012 DEPTO ESCRITURAS fata\Dc Simples\2012 DEPTO ESCRITURAS\MANDATO\ESPECIAL\ARNALDO GUERRA AGUILERA Adm.doc</t>
  </si>
  <si>
    <t>C:\Users\franc\OneDrive\Documentos\MALENTIN KARIME\BANCO ESTADO\2012 DEPTO ESCRITURAS fata\Dc Simples\2012 DEPTO ESCRITURAS\MANDATO\ESPECIAL\ARIEL JOFRE GONZALEZ A Walter Jofré.doc</t>
  </si>
  <si>
    <t>C:\Users\franc\OneDrive\Documentos\MALENTIN KARIME\BANCO ESTADO\2012 DEPTO ESCRITURAS fata\Dc Simples\2012 DEPTO ESCRITURAS\MANDATO\ESPECIAL\ANIBAL ASTORGA Y OTROS A MAURICIO ASTORGA (29-07-2013).doc</t>
  </si>
  <si>
    <t>C:\Users\franc\OneDrive\Documentos\MALENTIN KARIME\BANCO ESTADO\2012 DEPTO ESCRITURAS fata\Dc Simples\2012 DEPTO ESCRITURAS\MANDATO\ESPECIAL\ALICIA ALFARO LOPEZ Adjudicacion.doc</t>
  </si>
  <si>
    <t>C:\Users\franc\OneDrive\Documentos\MALENTIN KARIME\BANCO ESTADO\2012 DEPTO ESCRITURAS fata\Dc Simples\2012 DEPTO ESCRITURAS\MANDATO\ESPECIAL\AGROPALQUI retiro documento.doc</t>
  </si>
  <si>
    <t>C:\Users\franc\OneDrive\Documentos\MALENTIN KARIME\BANCO ESTADO\2012 DEPTO ESCRITURAS fata\Dc Simples\2012 DEPTO ESCRITURAS\MANDATO\ESPECIAL\AGROPALQUI A ELIANA LOPEZ.doc</t>
  </si>
  <si>
    <t>C:\Users\franc\OneDrive\Documentos\MALENTIN KARIME\BANCO ESTADO\2012 DEPTO ESCRITURAS fata\Dc Simples\2012 DEPTO ESCRITURAS\MANDATO\ESPECIAL\ADM, VENDER ARREND JUDICIAL.doc</t>
  </si>
  <si>
    <t>C:\Users\franc\OneDrive\Documentos\MALENTIN KARIME\BANCO ESTADO\2012 DEPTO ESCRITURAS fata\Dc Simples\2012 DEPTO ESCRITURAS\MANDATO\COMPRAR\PAULINA GALVEZ.doc</t>
  </si>
  <si>
    <t>C:\Users\franc\OneDrive\Documentos\MALENTIN KARIME\BANCO ESTADO\2012 DEPTO ESCRITURAS fata\Dc Simples\2012 DEPTO ESCRITURAS\MANDATO\COMPRAR\PAULINA GALVEZ Y CIA. LTDA. Banco.doc</t>
  </si>
  <si>
    <t>C:\Users\franc\OneDrive\Documentos\MALENTIN KARIME\BANCO ESTADO\2012 DEPTO ESCRITURAS fata\Dc Simples\2012 DEPTO ESCRITURAS\MANDATO\COMPRAR\PAULINA GALVEZ II.doc</t>
  </si>
  <si>
    <t>C:\Users\franc\OneDrive\Documentos\MALENTIN KARIME\BANCO ESTADO\2012 DEPTO ESCRITURAS fata\Dc Simples\2012 DEPTO ESCRITURAS\MANDATO\COMPRAR\MARISOL MEDINA ZAPATA A Cristian Gallardo FUENTEALBA.doc</t>
  </si>
  <si>
    <t>C:\Users\franc\OneDrive\Documentos\MALENTIN KARIME\BANCO ESTADO\2012 DEPTO ESCRITURAS fata\Dc Simples\2012 DEPTO ESCRITURAS\MANDATO\COMPRAR\GAMAL ROJAS.doc</t>
  </si>
  <si>
    <t>C:\Users\franc\OneDrive\Documentos\MALENTIN KARIME\BANCO ESTADO\2012 DEPTO ESCRITURAS fata\Dc Simples\2012 DEPTO ESCRITURAS\MANDATO\COMPRAR\FRANCO CARRASCO AHUMADA.doc</t>
  </si>
  <si>
    <t>C:\Users\franc\OneDrive\Documentos\MALENTIN KARIME\BANCO ESTADO\2012 DEPTO ESCRITURAS fata\Dc Simples\2012 DEPTO ESCRITURAS\MANDATO\COMPRAR\ALBINA ORELLANA MOLINA.doc</t>
  </si>
  <si>
    <t>C:\Users\franc\OneDrive\Documentos\MALENTIN KARIME\BANCO ESTADO\2012 DEPTO ESCRITURAS fata\Dc Simples\2012 DEPTO ESCRITURAS\MANDATO\BANCARIOS\ZENON ROJO ALVAREZ A HECTOR CASANOVA  Minas.doc</t>
  </si>
  <si>
    <t>C:\Users\franc\OneDrive\Documentos\MALENTIN KARIME\BANCO ESTADO\2012 DEPTO ESCRITURAS fata\Dc Simples\2012 DEPTO ESCRITURAS\MANDATO\BANCARIOS\WILLIAM TABILO ROBLES.doc</t>
  </si>
  <si>
    <t>C:\Users\franc\OneDrive\Documentos\MALENTIN KARIME\BANCO ESTADO\2012 DEPTO ESCRITURAS fata\Dc Simples\2012 DEPTO ESCRITURAS\MANDATO\BANCARIOS\VICTOR ALFREDO CORTES ALFARO A Mabel Ramirez (VALE VISTA).doc</t>
  </si>
  <si>
    <t>C:\Users\franc\OneDrive\Documentos\MALENTIN KARIME\BANCO ESTADO\2012 DEPTO ESCRITURAS fata\Dc Simples\2012 DEPTO ESCRITURAS\MANDATO\BANCARIOS\SORAYA ANICH ALLEL ( CTA.CTE).doc</t>
  </si>
  <si>
    <t>C:\Users\franc\OneDrive\Documentos\MALENTIN KARIME\BANCO ESTADO\2012 DEPTO ESCRITURAS fata\Dc Simples\2012 DEPTO ESCRITURAS\MANDATO\BANCARIOS\SLM ISRAEL ANTONIO I PUNITAQUI (cheques minas).doc</t>
  </si>
  <si>
    <t>C:\Users\franc\OneDrive\Documentos\MALENTIN KARIME\BANCO ESTADO\2012 DEPTO ESCRITURAS fata\Dc Simples\2012 DEPTO ESCRITURAS\MANDATO\BANCARIOS\SANTIAGO VARGAS GALLEGUILLOS 2013.doc</t>
  </si>
  <si>
    <t>C:\Users\franc\OneDrive\Documentos\MALENTIN KARIME\BANCO ESTADO\2012 DEPTO ESCRITURAS fata\Dc Simples\2012 DEPTO ESCRITURAS\MANDATO\BANCARIOS\SANTIAGO VARGAS GALLEGUILLOS 2012.doc</t>
  </si>
  <si>
    <t>C:\Users\franc\OneDrive\Documentos\MALENTIN KARIME\BANCO ESTADO\2012 DEPTO ESCRITURAS fata\Dc Simples\2012 DEPTO ESCRITURAS\MANDATO\BANCARIOS\ROBERTO ROJAS CORTES CTA. CTE..doc</t>
  </si>
  <si>
    <t>C:\Users\franc\OneDrive\Documentos\MALENTIN KARIME\BANCO ESTADO\2012 DEPTO ESCRITURAS fata\Dc Simples\2012 DEPTO ESCRITURAS\MANDATO\BANCARIOS\PEDRO ROJAS RAMIREZ.doc</t>
  </si>
  <si>
    <t>C:\Users\franc\OneDrive\Documentos\MALENTIN KARIME\BANCO ESTADO\2012 DEPTO ESCRITURAS fata\Dc Simples\2012 DEPTO ESCRITURAS\MANDATO\BANCARIOS\PEDRO CASTRO VILLA NUEVEA.doc</t>
  </si>
  <si>
    <t>C:\Users\franc\OneDrive\Documentos\MALENTIN KARIME\BANCO ESTADO\2012 DEPTO ESCRITURAS fata\Dc Simples\2012 DEPTO ESCRITURAS\MANDATO\BANCARIOS\PAOLA ALVAREZ CABEZAS CTA. CTE..doc</t>
  </si>
  <si>
    <t>C:\Users\franc\OneDrive\Documentos\MALENTIN KARIME\BANCO ESTADO\2012 DEPTO ESCRITURAS fata\Dc Simples\2012 DEPTO ESCRITURAS\MANDATO\BANCARIOS\NICOLAS TERUEL Bestado.doc</t>
  </si>
  <si>
    <t>C:\Users\franc\OneDrive\Documentos\MALENTIN KARIME\BANCO ESTADO\2012 DEPTO ESCRITURAS fata\Dc Simples\2012 DEPTO ESCRITURAS\MANDATO\BANCARIOS\modelo CHEQUES.doc</t>
  </si>
  <si>
    <t>C:\Users\franc\OneDrive\Documentos\MALENTIN KARIME\BANCO ESTADO\2012 DEPTO ESCRITURAS fata\Dc Simples\2012 DEPTO ESCRITURAS\MANDATO\BANCARIOS\MARIO CASTILLO.doc</t>
  </si>
  <si>
    <t>C:\Users\franc\OneDrive\Documentos\MALENTIN KARIME\BANCO ESTADO\2012 DEPTO ESCRITURAS fata\Dc Simples\2012 DEPTO ESCRITURAS\MANDATO\BANCARIOS\MARIA ARAGON ( CTA.CTE).doc</t>
  </si>
  <si>
    <t>C:\Users\franc\OneDrive\Documentos\MALENTIN KARIME\BANCO ESTADO\2012 DEPTO ESCRITURAS fata\Dc Simples\2012 DEPTO ESCRITURAS\MANDATO\BANCARIOS\MANUEL MAURIN PIZARRO  A VICTOR ARGANDOÑA ( CTA.CTE).doc</t>
  </si>
  <si>
    <t>C:\Users\franc\OneDrive\Documentos\MALENTIN KARIME\BANCO ESTADO\2012 DEPTO ESCRITURAS fata\Dc Simples\2012 DEPTO ESCRITURAS\MANDATO\BANCARIOS\LOS MAITENES RIO HURTADO.doc</t>
  </si>
  <si>
    <t>C:\Users\franc\OneDrive\Documentos\MALENTIN KARIME\BANCO ESTADO\2012 DEPTO ESCRITURAS fata\Dc Simples\2012 DEPTO ESCRITURAS\MANDATO\BANCARIOS\JUANA CAMPUSANO MIRANDA A CARLOS SEGOVIA.doc</t>
  </si>
  <si>
    <t>C:\Users\franc\OneDrive\Documentos\MALENTIN KARIME\BANCO ESTADO\2012 DEPTO ESCRITURAS fata\Dc Simples\2012 DEPTO ESCRITURAS\MANDATO\BANCARIOS\JORGE MALUENDA.doc</t>
  </si>
  <si>
    <t>C:\Users\franc\OneDrive\Documentos\MALENTIN KARIME\BANCO ESTADO\2012 DEPTO ESCRITURAS fata\Dc Simples\2012 DEPTO ESCRITURAS\MANDATO\BANCARIOS\JINCONG DENG ( CTA.CTE).doc</t>
  </si>
  <si>
    <t>C:\Users\franc\OneDrive\Documentos\MALENTIN KARIME\BANCO ESTADO\2012 DEPTO ESCRITURAS fata\Dc Simples\2012 DEPTO ESCRITURAS\MANDATO\BANCARIOS\JAVIER TABILO Bco.Santander.doc</t>
  </si>
  <si>
    <t>C:\Users\franc\OneDrive\Documentos\MALENTIN KARIME\BANCO ESTADO\2012 DEPTO ESCRITURAS fata\Dc Simples\2012 DEPTO ESCRITURAS\MANDATO\BANCARIOS\JAVIER TABILO Bco. Corpbanca.doc</t>
  </si>
  <si>
    <t>C:\Users\franc\OneDrive\Documentos\MALENTIN KARIME\BANCO ESTADO\2012 DEPTO ESCRITURAS fata\Dc Simples\2012 DEPTO ESCRITURAS\MANDATO\BANCARIOS\HILDA ANJEL CASTILLO.doc</t>
  </si>
  <si>
    <t>C:\Users\franc\OneDrive\Documentos\MALENTIN KARIME\BANCO ESTADO\2012 DEPTO ESCRITURAS fata\Dc Simples\2012 DEPTO ESCRITURAS\MANDATO\BANCARIOS\HERNAN IBACACHE RIVERA Mariana.doc</t>
  </si>
  <si>
    <t>C:\Users\franc\OneDrive\Documentos\MALENTIN KARIME\BANCO ESTADO\2012 DEPTO ESCRITURAS fata\Dc Simples\2012 DEPTO ESCRITURAS\MANDATO\BANCARIOS\HERMOGENES RUBIO - MILENA ZEGARRA.doc</t>
  </si>
  <si>
    <t>C:\Users\franc\OneDrive\Documentos\MALENTIN KARIME\BANCO ESTADO\2012 DEPTO ESCRITURAS fata\Dc Simples\2012 DEPTO ESCRITURAS\MANDATO\BANCARIOS\FRANCISCO CORTES BONILLA.doc</t>
  </si>
  <si>
    <t>C:\Users\franc\OneDrive\Documentos\MALENTIN KARIME\BANCO ESTADO\2012 DEPTO ESCRITURAS fata\Dc Simples\2012 DEPTO ESCRITURAS\MANDATO\BANCARIOS\ESMERALDO VALDIVIA.doc</t>
  </si>
  <si>
    <t>C:\Users\franc\OneDrive\Documentos\MALENTIN KARIME\BANCO ESTADO\2012 DEPTO ESCRITURAS fata\Dc Simples\2012 DEPTO ESCRITURAS\MANDATO\BANCARIOS\DOMINGO TERUEL Corpbanca.doc</t>
  </si>
  <si>
    <t>C:\Users\franc\OneDrive\Documentos\MALENTIN KARIME\BANCO ESTADO\2012 DEPTO ESCRITURAS fata\Dc Simples\2012 DEPTO ESCRITURAS\MANDATO\BANCARIOS\CIRO BERRIOS ROMERO ( CTA.CTE).doc</t>
  </si>
  <si>
    <t>C:\Users\franc\OneDrive\Documentos\MALENTIN KARIME\BANCO ESTADO\2012 DEPTO ESCRITURAS fata\Dc Simples\2012 DEPTO ESCRITURAS\MANDATO\BANCARIOS\CANAL DERIVADO PUNITAQUI ( CTA.CTE).doc</t>
  </si>
  <si>
    <t>C:\Users\franc\OneDrive\Documentos\MALENTIN KARIME\BANCO ESTADO\2012 DEPTO ESCRITURAS fata\Dc Simples\2012 DEPTO ESCRITURAS\MANDATO\BANCARIOS\ARNALDO GUERRA AGUILERA.doc</t>
  </si>
  <si>
    <t>C:\Users\franc\OneDrive\Documentos\MALENTIN KARIME\BANCO ESTADO\2012 DEPTO ESCRITURAS fata\Dc Simples\2012 DEPTO ESCRITURAS\MANDATO\BANCARIOS\ALBERTO NUÑEZ CASTILLO.doc</t>
  </si>
  <si>
    <t>C:\Users\franc\OneDrive\Documentos\MALENTIN KARIME\BANCO ESTADO\2012 DEPTO ESCRITURAS fata\Dc Simples\2012 DEPTO ESCRITURAS\MANDATO\BANCARIOS\AGUILERA BUSTAMANTE Y CIA.( CTA.CTE).doc</t>
  </si>
  <si>
    <t>C:\Users\franc\OneDrive\Documentos\MALENTIN KARIME\BANCO ESTADO\2012 DEPTO ESCRITURAS fata\Dc Simples\2012 DEPTO ESCRITURAS\MANDATO\BANCARIOS\ADOLFO VARVAS VARGAS.doc</t>
  </si>
  <si>
    <t>C:\Users\franc\OneDrive\Documentos\MALENTIN KARIME\BANCO ESTADO\2012 DEPTO ESCRITURAS fata\Dc Simples\2012 DEPTO ESCRITURAS\MANDATO\ARTURO CONTADOR\AGRICOLA SAN ERASMO.doc</t>
  </si>
  <si>
    <t>C:\Users\franc\OneDrive\Documentos\MALENTIN KARIME\BANCO ESTADO\2012 DEPTO ESCRITURAS fata\Dc Simples\2012 DEPTO ESCRITURAS\MANDATO\ARTURO CONTADOR\AGRICOLA RECOLETA DOS.doc</t>
  </si>
  <si>
    <t>C:\Users\franc\OneDrive\Documentos\MALENTIN KARIME\BANCO ESTADO\2012 DEPTO ESCRITURAS fata\Dc Simples\2012 DEPTO ESCRITURAS\MANDATO\ARTURO CONTADOR\AGRICOLA LAS TOTORAS UNO S.A..doc</t>
  </si>
  <si>
    <t>C:\Users\franc\OneDrive\Documentos\MALENTIN KARIME\BANCO ESTADO\2012 DEPTO ESCRITURAS fata\Dc Simples\2012 DEPTO ESCRITURAS\MANDATO\NORTES PEÑALOZA.doc</t>
  </si>
  <si>
    <t>C:\Users\franc\OneDrive\Documentos\MALENTIN KARIME\BANCO ESTADO\2012 DEPTO ESCRITURAS fata\Dc Simples\2012 DEPTO ESCRITURAS\LUIS URQUETA\AGRICOLA LA RECOLETA A RAUL ALVAREZ.doc</t>
  </si>
  <si>
    <t>C:\Users\franc\OneDrive\Documentos\MALENTIN KARIME\BANCO ESTADO\2012 DEPTO ESCRITURAS fata\Dc Simples\2012 DEPTO ESCRITURAS\LUIS GALLARDO\2014\STELLA PERRY A  RICARDO OCARANZA ROBLES cvta.doc</t>
  </si>
  <si>
    <t>C:\Users\franc\OneDrive\Documentos\MALENTIN KARIME\BANCO ESTADO\2012 DEPTO ESCRITURAS fata\Dc Simples\2012 DEPTO ESCRITURAS\LUIS GALLARDO\2014\PEDRO CORTES a HELIO CORTES Compraventa.doc</t>
  </si>
  <si>
    <t>C:\Users\franc\OneDrive\Documentos\MALENTIN KARIME\BANCO ESTADO\2012 DEPTO ESCRITURAS fata\Dc Simples\2012 DEPTO ESCRITURAS\LUIS GALLARDO\2013\VERONICA CERDA MONTENEGRO Aclaracion.doc</t>
  </si>
  <si>
    <t>C:\Users\franc\OneDrive\Documentos\MALENTIN KARIME\BANCO ESTADO\2012 DEPTO ESCRITURAS fata\Dc Simples\2012 DEPTO ESCRITURAS\LUIS GALLARDO\2013\MARIA EUGENIA GONZALEZ A MARCELA GONZALEZ Personal.doc</t>
  </si>
  <si>
    <t>C:\Users\franc\OneDrive\Documentos\MALENTIN KARIME\BANCO ESTADO\2012 DEPTO ESCRITURAS fata\Dc Simples\2012 DEPTO ESCRITURAS\LUIS GALLARDO\2013\LUIS GALLARDO Compl.doc</t>
  </si>
  <si>
    <t>C:\Users\franc\OneDrive\Documentos\MALENTIN KARIME\BANCO ESTADO\2012 DEPTO ESCRITURAS fata\Dc Simples\2012 DEPTO ESCRITURAS\LUIS GALLARDO\2012\VALENTIN CONTRERAS A GABRIEL VELIZ.doc</t>
  </si>
  <si>
    <t>C:\Users\franc\OneDrive\Documentos\MALENTIN KARIME\BANCO ESTADO\2012 DEPTO ESCRITURAS fata\Dc Simples\2012 DEPTO ESCRITURAS\LUIS GALLARDO\2012\SUCESION LOPEZ PASTEN Particion.doc</t>
  </si>
  <si>
    <t>C:\Users\franc\OneDrive\Documentos\MALENTIN KARIME\BANCO ESTADO\2012 DEPTO ESCRITURAS fata\Dc Simples\2012 DEPTO ESCRITURAS\LUIS GALLARDO\2012\LUIS GALLARDO Compl.doc</t>
  </si>
  <si>
    <t>C:\Users\franc\OneDrive\Documentos\MALENTIN KARIME\BANCO ESTADO\2012 DEPTO ESCRITURAS fata\Dc Simples\2012 DEPTO ESCRITURAS\LUIS GALLARDO\2012\LUIS GALLARDO Aclaracion Permuta.doc</t>
  </si>
  <si>
    <t>C:\Users\franc\OneDrive\Documentos\MALENTIN KARIME\BANCO ESTADO\2012 DEPTO ESCRITURAS fata\Dc Simples\2012 DEPTO ESCRITURAS\LUIS GALLARDO\2012\JOSE JIMENEZ A ROBERTO ZULETA Y OTROS Dic 2012.doc</t>
  </si>
  <si>
    <t>C:\Users\franc\OneDrive\Documentos\MALENTIN KARIME\BANCO ESTADO\2012 DEPTO ESCRITURAS fata\Dc Simples\2012 DEPTO ESCRITURAS\LUIS GALLARDO\2012\JORGE CONTADOR Y OTROS.doc</t>
  </si>
  <si>
    <t>C:\Users\franc\OneDrive\Documentos\MALENTIN KARIME\BANCO ESTADO\2012 DEPTO ESCRITURAS fata\Dc Simples\2012 DEPTO ESCRITURAS\LUIS GALLARDO\2012\GUILLERMO PINTO SEGOVIA Acuerdo.doc</t>
  </si>
  <si>
    <t>C:\Users\franc\OneDrive\Documentos\MALENTIN KARIME\BANCO ESTADO\2012 DEPTO ESCRITURAS fata\Dc Simples\2012 DEPTO ESCRITURAS\LUIS GALLARDO\2012\FRESIA LOPEZ A otros CESION DERECHOS PRO INDIVISO.doc</t>
  </si>
  <si>
    <t>C:\Users\franc\OneDrive\Documentos\MALENTIN KARIME\BANCO ESTADO\2012 DEPTO ESCRITURAS fata\Dc Simples\2012 DEPTO ESCRITURAS\LUIS GALLARDO\2012\FRESIA LOPEZ A Clara Lopez CESION Y USUFRUCTO.doc</t>
  </si>
  <si>
    <t>C:\Users\franc\OneDrive\Documentos\MALENTIN KARIME\BANCO ESTADO\2012 DEPTO ESCRITURAS fata\Dc Simples\2012 DEPTO ESCRITURAS\LUIS GALLARDO\2012\FLORIDOR CORTES A TRANSPORTES FULLBUS.doc</t>
  </si>
  <si>
    <t>C:\Users\franc\OneDrive\Documentos\MALENTIN KARIME\BANCO ESTADO\2012 DEPTO ESCRITURAS fata\Dc Simples\2012 DEPTO ESCRITURAS\LUIS GALLARDO\2012\DIAZ BRUNA permuta.doc</t>
  </si>
  <si>
    <t>C:\Users\franc\OneDrive\Documentos\MALENTIN KARIME\BANCO ESTADO\2012 DEPTO ESCRITURAS fata\Dc Simples\2012 DEPTO ESCRITURAS\LUIS GALLARDO\2012\COMUNIDAD AGRICOLA HUAMPULLA.doc</t>
  </si>
  <si>
    <t>C:\Users\franc\OneDrive\Documentos\MALENTIN KARIME\BANCO ESTADO\2012 DEPTO ESCRITURAS fata\Dc Simples\2012 DEPTO ESCRITURAS\LUIS GALLARDO\2012\CARMEN GONZALEZ VILLARROEL A OSVALDO SAAVEDRA Cvta..doc</t>
  </si>
  <si>
    <t>C:\Users\franc\OneDrive\Documentos\MALENTIN KARIME\BANCO ESTADO\2012 DEPTO ESCRITURAS fata\Dc Simples\2012 DEPTO ESCRITURAS\LUIS GALLARDO\2012\BERNABE HENRIQUEZ A JAIME ZEPEDA.doc</t>
  </si>
  <si>
    <t>C:\Users\franc\OneDrive\Documentos\MALENTIN KARIME\BANCO ESTADO\2012 DEPTO ESCRITURAS fata\Dc Simples\2012 DEPTO ESCRITURAS\LUIS GALLARDO\2012\BENEDICTO CAMPOS PASTEN Mandato vender.doc</t>
  </si>
  <si>
    <t>C:\Users\franc\OneDrive\Documentos\MALENTIN KARIME\BANCO ESTADO\2012 DEPTO ESCRITURAS fata\Dc Simples\2012 DEPTO ESCRITURAS\LUIS GALLARDO\2011\Victoria Salazar Aravena.doc</t>
  </si>
  <si>
    <t>C:\Users\franc\OneDrive\Documentos\MALENTIN KARIME\BANCO ESTADO\2012 DEPTO ESCRITURAS fata\Dc Simples\2012 DEPTO ESCRITURAS\LUIS GALLARDO\2011\Samuel Gonzalez a Cecilia Gonzalez JUNIO 2011.doc</t>
  </si>
  <si>
    <t>C:\Users\franc\OneDrive\Documentos\MALENTIN KARIME\BANCO ESTADO\2012 DEPTO ESCRITURAS fata\Dc Simples\2012 DEPTO ESCRITURAS\LUIS GALLARDO\2011\REBECA ROSADO TIRADO A Marta Tapia Cortes Junio 2011.doc</t>
  </si>
  <si>
    <t>C:\Users\franc\OneDrive\Documentos\MALENTIN KARIME\BANCO ESTADO\2012 DEPTO ESCRITURAS fata\Dc Simples\2012 DEPTO ESCRITURAS\LUIS GALLARDO\2011\RAMON FUENTE GOMEZ A Yaritza Fuentes Geraldo.doc</t>
  </si>
  <si>
    <t>C:\Users\franc\OneDrive\Documentos\MALENTIN KARIME\BANCO ESTADO\2012 DEPTO ESCRITURAS fata\Dc Simples\2012 DEPTO ESCRITURAS\LUIS GALLARDO\2011\NELSON ADAOS JERALDO Declaracion.doc</t>
  </si>
  <si>
    <t>C:\Users\franc\OneDrive\Documentos\MALENTIN KARIME\BANCO ESTADO\2012 DEPTO ESCRITURAS fata\Dc Simples\2012 DEPTO ESCRITURAS\LUIS GALLARDO\2011\MARY TEMPLEMAN Mandato.doc</t>
  </si>
  <si>
    <t>C:\Users\franc\OneDrive\Documentos\MALENTIN KARIME\BANCO ESTADO\2012 DEPTO ESCRITURAS fata\Dc Simples\2012 DEPTO ESCRITURAS\LUIS GALLARDO\2011\MARIA HERNRIQUEZ CARVAJAL Y OTROS Transaccion y Servidumbre.doc</t>
  </si>
  <si>
    <t>C:\Users\franc\OneDrive\Documentos\MALENTIN KARIME\BANCO ESTADO\2012 DEPTO ESCRITURAS fata\Dc Simples\2012 DEPTO ESCRITURAS\LUIS GALLARDO\2011\LUIS GALLARDO Complementaria Nov.doc</t>
  </si>
  <si>
    <t>C:\Users\franc\OneDrive\Documentos\MALENTIN KARIME\BANCO ESTADO\2012 DEPTO ESCRITURAS fata\Dc Simples\2012 DEPTO ESCRITURAS\LUIS GALLARDO\2011\JUAN ASCENCIO CASTILLO Mandato.doc</t>
  </si>
  <si>
    <t>C:\Users\franc\OneDrive\Documentos\MALENTIN KARIME\BANCO ESTADO\2012 DEPTO ESCRITURAS fata\Dc Simples\2012 DEPTO ESCRITURAS\LUIS GALLARDO\2011\HILDA OVALLE HIDALGO Rectificatoria.doc</t>
  </si>
  <si>
    <t>C:\Users\franc\OneDrive\Documentos\MALENTIN KARIME\BANCO ESTADO\2012 DEPTO ESCRITURAS fata\Dc Simples\2012 DEPTO ESCRITURAS\LUIS GALLARDO\2011\HILDA OVALLE HIDALGO Rectificatoria por Luis Gallardo.doc</t>
  </si>
  <si>
    <t>C:\Users\franc\OneDrive\Documentos\MALENTIN KARIME\BANCO ESTADO\2012 DEPTO ESCRITURAS fata\Dc Simples\2012 DEPTO ESCRITURAS\LUIS GALLARDO\2011\COMPRAVENTA_REBECA_ROSADO_PIZARRO[1].doc</t>
  </si>
  <si>
    <t>C:\Users\franc\OneDrive\Documentos\MALENTIN KARIME\BANCO ESTADO\2012 DEPTO ESCRITURAS fata\Dc Simples\2012 DEPTO ESCRITURAS\LUIS GALLARDO\2011\ABRAHAM GALLARDO RIVERA A Luis Gallardo.doc</t>
  </si>
  <si>
    <t>C:\Users\franc\OneDrive\Documentos\MALENTIN KARIME\BANCO ESTADO\2012 DEPTO ESCRITURAS fata\Dc Simples\2012 DEPTO ESCRITURAS\LUIS GALLARDO\2011\ABRAHAM GALLARDO RIVERA A Luis Gallardo corregida.doc</t>
  </si>
  <si>
    <t>C:\Users\franc\OneDrive\Documentos\MALENTIN KARIME\BANCO ESTADO\2012 DEPTO ESCRITURAS fata\Dc Simples\2012 DEPTO ESCRITURAS\LUIS GALLARDO\TURISMO LAGUNAS.doc</t>
  </si>
  <si>
    <t>C:\Users\franc\OneDrive\Documentos\MALENTIN KARIME\BANCO ESTADO\2012 DEPTO ESCRITURAS fata\Dc Simples\2012 DEPTO ESCRITURAS\LUIS GALLARDO\STELLA PERRY A LORENZO VERGARA.doc</t>
  </si>
  <si>
    <t>C:\Users\franc\OneDrive\Documentos\MALENTIN KARIME\BANCO ESTADO\2012 DEPTO ESCRITURAS fata\Dc Simples\2012 DEPTO ESCRITURAS\LUIS GALLARDO\STELLA PERRY A JUANA RODRIGUEZ.doc</t>
  </si>
  <si>
    <t>C:\Users\franc\OneDrive\Documentos\MALENTIN KARIME\BANCO ESTADO\2012 DEPTO ESCRITURAS fata\Dc Simples\2012 DEPTO ESCRITURAS\LUIS GALLARDO\STELLA PERRY A CARMEN URQUETA.doc</t>
  </si>
  <si>
    <t>C:\Users\franc\OneDrive\Documentos\MALENTIN KARIME\BANCO ESTADO\2012 DEPTO ESCRITURAS fata\Dc Simples\2012 DEPTO ESCRITURAS\LUIS GALLARDO\SOCIEDAD AGRICOLA LOS NISÑILES Mandato.doc</t>
  </si>
  <si>
    <t>C:\Users\franc\OneDrive\Documentos\MALENTIN KARIME\BANCO ESTADO\2012 DEPTO ESCRITURAS fata\Dc Simples\2012 DEPTO ESCRITURAS\LUIS GALLARDO\SILVIA DIAZ DIAZ Renuncia gananciales.doc</t>
  </si>
  <si>
    <t>C:\Users\franc\OneDrive\Documentos\MALENTIN KARIME\BANCO ESTADO\2012 DEPTO ESCRITURAS fata\Dc Simples\2012 DEPTO ESCRITURAS\LUIS GALLARDO\RAMON PEREZ BARRAZA Adjudicacion remate.doc</t>
  </si>
  <si>
    <t>C:\Users\franc\OneDrive\Documentos\MALENTIN KARIME\BANCO ESTADO\2012 DEPTO ESCRITURAS fata\Dc Simples\2012 DEPTO ESCRITURAS\LUIS GALLARDO\RAMON PEREZ BARRAZA Adjudicacion remate CORREJIDA.doc</t>
  </si>
  <si>
    <t>C:\Users\franc\OneDrive\Documentos\MALENTIN KARIME\BANCO ESTADO\2012 DEPTO ESCRITURAS fata\Dc Simples\2012 DEPTO ESCRITURAS\LUIS GALLARDO\RADIO SERGIO CANIHUANTE E.I.R.L.doc</t>
  </si>
  <si>
    <t>C:\Users\franc\OneDrive\Documentos\MALENTIN KARIME\BANCO ESTADO\2012 DEPTO ESCRITURAS fata\Dc Simples\2012 DEPTO ESCRITURAS\LUIS GALLARDO\MANUEL RIVERA CASTILLO Declaracion.doc</t>
  </si>
  <si>
    <t>C:\Users\franc\OneDrive\Documentos\MALENTIN KARIME\BANCO ESTADO\2012 DEPTO ESCRITURAS fata\Dc Simples\2012 DEPTO ESCRITURAS\LUIS GALLARDO\LUISA JOSEFINA LETELIER Compraventa.doc</t>
  </si>
  <si>
    <t>C:\Users\franc\OneDrive\Documentos\MALENTIN KARIME\BANCO ESTADO\2012 DEPTO ESCRITURAS fata\Dc Simples\2012 DEPTO ESCRITURAS\LUIS GALLARDO\Luis Gallardo M Judicial.doc</t>
  </si>
  <si>
    <t>C:\Users\franc\OneDrive\Documentos\MALENTIN KARIME\BANCO ESTADO\2012 DEPTO ESCRITURAS fata\Dc Simples\2012 DEPTO ESCRITURAS\LUIS GALLARDO\LOS ÑISNILES modificacion.doc</t>
  </si>
  <si>
    <t>C:\Users\franc\OneDrive\Documentos\MALENTIN KARIME\BANCO ESTADO\2012 DEPTO ESCRITURAS fata\Dc Simples\2012 DEPTO ESCRITURAS\LUIS GALLARDO\LOS NISÑILES Y CAMPOS CAMPOS.doc</t>
  </si>
  <si>
    <t>C:\Users\franc\OneDrive\Documentos\MALENTIN KARIME\BANCO ESTADO\2012 DEPTO ESCRITURAS fata\Dc Simples\2012 DEPTO ESCRITURAS\LUIS GALLARDO\LOS NISÑILES Y CAMPOS CAMPOS version final.doc</t>
  </si>
  <si>
    <t>C:\Users\franc\OneDrive\Documentos\MALENTIN KARIME\BANCO ESTADO\2012 DEPTO ESCRITURAS fata\Dc Simples\2012 DEPTO ESCRITURAS\LUIS GALLARDO\LOS NISÑILES Rectificatoria.doc</t>
  </si>
  <si>
    <t>C:\Users\franc\OneDrive\Documentos\MALENTIN KARIME\BANCO ESTADO\2012 DEPTO ESCRITURAS fata\Dc Simples\2012 DEPTO ESCRITURAS\LUIS GALLARDO\LEONARDO PLAZA A OTILIA GONZALEZ compraventa.doc</t>
  </si>
  <si>
    <t>C:\Users\franc\OneDrive\Documentos\MALENTIN KARIME\BANCO ESTADO\2012 DEPTO ESCRITURAS fata\Dc Simples\2012 DEPTO ESCRITURAS\LUIS GALLARDO\JUAN LUIS JARA con DRAGO FRANETOVIC complementación Luis Gallardo.doc</t>
  </si>
  <si>
    <t>C:\Users\franc\OneDrive\Documentos\MALENTIN KARIME\BANCO ESTADO\2012 DEPTO ESCRITURAS fata\Dc Simples\2012 DEPTO ESCRITURAS\LUIS GALLARDO\JOSE MIGUEL ZEPEDA CARMONA reconocimiento.doc</t>
  </si>
  <si>
    <t>C:\Users\franc\OneDrive\Documentos\MALENTIN KARIME\BANCO ESTADO\2012 DEPTO ESCRITURAS fata\Dc Simples\2012 DEPTO ESCRITURAS\LUIS GALLARDO\JOSE MIGUEL ZEPEDA CARMONA reconocimiento versión II.doc</t>
  </si>
  <si>
    <t>C:\Users\franc\OneDrive\Documentos\MALENTIN KARIME\BANCO ESTADO\2012 DEPTO ESCRITURAS fata\Dc Simples\2012 DEPTO ESCRITURAS\LUIS GALLARDO\INMOBILIARIA SPANO.doc</t>
  </si>
  <si>
    <t>C:\Users\franc\OneDrive\Documentos\MALENTIN KARIME\BANCO ESTADO\2012 DEPTO ESCRITURAS fata\Dc Simples\2012 DEPTO ESCRITURAS\LUIS GALLARDO\HILDA DEL CARMEN TELLO HONORES MJudicial Abril 13.doc</t>
  </si>
  <si>
    <t>C:\Users\franc\OneDrive\Documentos\MALENTIN KARIME\BANCO ESTADO\2012 DEPTO ESCRITURAS fata\Dc Simples\2012 DEPTO ESCRITURAS\LUIS GALLARDO\GUILLERMO FLORESA MIGUEL GODOY Escritura.doc</t>
  </si>
  <si>
    <t>C:\Users\franc\OneDrive\Documentos\MALENTIN KARIME\BANCO ESTADO\2012 DEPTO ESCRITURAS fata\Dc Simples\2012 DEPTO ESCRITURAS\LUIS GALLARDO\GUILLERMO FLORESA MIGUEL GODOY Compraventa lunes 22.doc</t>
  </si>
  <si>
    <t>C:\Users\franc\OneDrive\Documentos\MALENTIN KARIME\BANCO ESTADO\2012 DEPTO ESCRITURAS fata\Dc Simples\2012 DEPTO ESCRITURAS\LUIS GALLARDO\FLORIDOR CORTES.doc</t>
  </si>
  <si>
    <t>C:\Users\franc\OneDrive\Documentos\MALENTIN KARIME\BANCO ESTADO\2012 DEPTO ESCRITURAS fata\Dc Simples\2012 DEPTO ESCRITURAS\LUIS GALLARDO\FLORIDOR CORTES Mandato.doc</t>
  </si>
  <si>
    <t>C:\Users\franc\OneDrive\Documentos\MALENTIN KARIME\BANCO ESTADO\2012 DEPTO ESCRITURAS fata\Dc Simples\2012 DEPTO ESCRITURAS\LUIS GALLARDO\EUGENIO ARACENA ARAYA Mandato General.doc</t>
  </si>
  <si>
    <t>C:\Users\franc\OneDrive\Documentos\MALENTIN KARIME\BANCO ESTADO\2012 DEPTO ESCRITURAS fata\Dc Simples\2012 DEPTO ESCRITURAS\LUIS GALLARDO\ELIANA CORTES Y OTROS A Luis Gallardo.doc</t>
  </si>
  <si>
    <t>C:\Users\franc\OneDrive\Documentos\MALENTIN KARIME\BANCO ESTADO\2012 DEPTO ESCRITURAS fata\Dc Simples\2012 DEPTO ESCRITURAS\LUIS GALLARDO\ELIANA CORTES Partición.doc</t>
  </si>
  <si>
    <t>C:\Users\franc\OneDrive\Documentos\MALENTIN KARIME\BANCO ESTADO\2012 DEPTO ESCRITURAS fata\Dc Simples\2012 DEPTO ESCRITURAS\LUIS GALLARDO\DOCUMENTOS CEMENTERIO PUNITAQUI protocolizcion.doc</t>
  </si>
  <si>
    <t>C:\Users\franc\OneDrive\Documentos\MALENTIN KARIME\BANCO ESTADO\2012 DEPTO ESCRITURAS fata\Dc Simples\2012 DEPTO ESCRITURAS\LUIS GALLARDO\CORINA MARIN A RAUL POSTIGO Cvta..doc</t>
  </si>
  <si>
    <t>C:\Users\franc\OneDrive\Documentos\MALENTIN KARIME\BANCO ESTADO\2012 DEPTO ESCRITURAS fata\Dc Simples\2012 DEPTO ESCRITURAS\LUIS GALLARDO\COMUNIDAD AGRICOLA EL POTRERRO DE HUATULAME.doc</t>
  </si>
  <si>
    <t>C:\Users\franc\OneDrive\Documentos\MALENTIN KARIME\BANCO ESTADO\2012 DEPTO ESCRITURAS fata\Dc Simples\2012 DEPTO ESCRITURAS\LUIS GALLARDO\Complementación SERGIO GALLEGUILLOS.doc</t>
  </si>
  <si>
    <t>C:\Users\franc\OneDrive\Documentos\MALENTIN KARIME\BANCO ESTADO\2012 DEPTO ESCRITURAS fata\Dc Simples\2012 DEPTO ESCRITURAS\LUIS GALLARDO\CARTA INSTRUCCIONES AL NOTARIO PUBLICO SEÑOR RODRIGO CABRERA ALBARRAN.doc</t>
  </si>
  <si>
    <t>C:\Users\franc\OneDrive\Documentos\MALENTIN KARIME\BANCO ESTADO\2012 DEPTO ESCRITURAS fata\Dc Simples\2012 DEPTO ESCRITURAS\LUIS GALLARDO\CARLOS GONZALEZ CANTUARIAS Nuda propiedad.doc</t>
  </si>
  <si>
    <t>C:\Users\franc\OneDrive\Documentos\MALENTIN KARIME\BANCO ESTADO\2012 DEPTO ESCRITURAS fata\Dc Simples\2012 DEPTO ESCRITURAS\LUIS GALLARDO\Autorizo la firma.doc</t>
  </si>
  <si>
    <t>C:\Users\franc\OneDrive\Documentos\MALENTIN KARIME\BANCO ESTADO\2012 DEPTO ESCRITURAS fata\Dc Simples\2012 DEPTO ESCRITURAS\LUIS GALLARDO\AUTORIZACION HERRERO GARRIDO.doc</t>
  </si>
  <si>
    <t>C:\Users\franc\OneDrive\Documentos\MALENTIN KARIME\BANCO ESTADO\2012 DEPTO ESCRITURAS fata\Dc Simples\2012 DEPTO ESCRITURAS\LUIS GALLARDO\AUTORIZACION HERRERO GARRIDO 2.doc</t>
  </si>
  <si>
    <t>C:\Users\franc\OneDrive\Documentos\MALENTIN KARIME\BANCO ESTADO\2012 DEPTO ESCRITURAS fata\Dc Simples\2012 DEPTO ESCRITURAS\LOGROS\VRIL E.IR.L..doc</t>
  </si>
  <si>
    <t>C:\Users\franc\OneDrive\Documentos\MALENTIN KARIME\BANCO ESTADO\2012 DEPTO ESCRITURAS fata\Dc Simples\2012 DEPTO ESCRITURAS\LOGROS\RAUL JOFRE CANIVILO.doc</t>
  </si>
  <si>
    <t>C:\Users\franc\OneDrive\Documentos\MALENTIN KARIME\BANCO ESTADO\2012 DEPTO ESCRITURAS fata\Dc Simples\2012 DEPTO ESCRITURAS\LOGROS\RAMON PARDO VASQUEZ.doc</t>
  </si>
  <si>
    <t>C:\Users\franc\OneDrive\Documentos\MALENTIN KARIME\BANCO ESTADO\2012 DEPTO ESCRITURAS fata\Dc Simples\2012 DEPTO ESCRITURAS\LOGROS\MODELO FACTORING.doc</t>
  </si>
  <si>
    <t>C:\Users\franc\OneDrive\Documentos\MALENTIN KARIME\BANCO ESTADO\2012 DEPTO ESCRITURAS fata\Dc Simples\2012 DEPTO ESCRITURAS\LOGROS\JUAN CARLOS DIAZ MERELLO.doc</t>
  </si>
  <si>
    <t>C:\Users\franc\OneDrive\Documentos\MALENTIN KARIME\BANCO ESTADO\2012 DEPTO ESCRITURAS fata\Dc Simples\2012 DEPTO ESCRITURAS\LOGROS\JOSE OSSA HUENOLAF Agosto.doc</t>
  </si>
  <si>
    <t>C:\Users\franc\OneDrive\Documentos\MALENTIN KARIME\BANCO ESTADO\2012 DEPTO ESCRITURAS fata\Dc Simples\2012 DEPTO ESCRITURAS\LOGROS\JIMENA CERDA ZENTENO.doc</t>
  </si>
  <si>
    <t>C:\Users\franc\OneDrive\Documentos\MALENTIN KARIME\BANCO ESTADO\2012 DEPTO ESCRITURAS fata\Dc Simples\2012 DEPTO ESCRITURAS\LOGROS\HECTOR ELGUEDA VILLEGAS.doc</t>
  </si>
  <si>
    <t>C:\Users\franc\OneDrive\Documentos\MALENTIN KARIME\BANCO ESTADO\2012 DEPTO ESCRITURAS fata\Dc Simples\2012 DEPTO ESCRITURAS\LOGROS\ELDA OLIVARES MARIN.doc</t>
  </si>
  <si>
    <t>C:\Users\franc\OneDrive\Documentos\MALENTIN KARIME\BANCO ESTADO\2012 DEPTO ESCRITURAS fata\Dc Simples\2012 DEPTO ESCRITURAS\LOGROS\CRISTIAN GALVEZ DARRIGRANDE.doc</t>
  </si>
  <si>
    <t>C:\Users\franc\OneDrive\Documentos\MALENTIN KARIME\BANCO ESTADO\2012 DEPTO ESCRITURAS fata\Dc Simples\2012 DEPTO ESCRITURAS\LOGROS\CRISTIAN CACERES CARO Agosto.doc</t>
  </si>
  <si>
    <t>C:\Users\franc\OneDrive\Documentos\MALENTIN KARIME\BANCO ESTADO\2012 DEPTO ESCRITURAS fata\Dc Simples\2012 DEPTO ESCRITURAS\LOGROS\CARLOS TELLO CARVAJAL.doc</t>
  </si>
  <si>
    <t>C:\Users\franc\OneDrive\Documentos\MALENTIN KARIME\BANCO ESTADO\2012 DEPTO ESCRITURAS fata\Dc Simples\2012 DEPTO ESCRITURAS\LOGROS\BRUNILDA TAPIA GAMBOA Enero 20014.doc</t>
  </si>
  <si>
    <t>C:\Users\franc\OneDrive\Documentos\MALENTIN KARIME\BANCO ESTADO\2012 DEPTO ESCRITURAS fata\Dc Simples\2012 DEPTO ESCRITURAS\LOGROS\BRUNILDA TAPIA GAMBOA Ago 20013.doc</t>
  </si>
  <si>
    <t>C:\Users\franc\OneDrive\Documentos\MALENTIN KARIME\BANCO ESTADO\2012 DEPTO ESCRITURAS fata\Dc Simples\2012 DEPTO ESCRITURAS\LOGROS\BRUNILDA TAPIA GAMBOA Ago 20013 correjido.doc</t>
  </si>
  <si>
    <t>C:\Users\franc\OneDrive\Documentos\MALENTIN KARIME\BANCO ESTADO\2012 DEPTO ESCRITURAS fata\Dc Simples\2012 DEPTO ESCRITURAS\LOGROS\ANTONIO BOU SAPIAIN.doc</t>
  </si>
  <si>
    <t>C:\Users\franc\OneDrive\Documentos\MALENTIN KARIME\BANCO ESTADO\2012 DEPTO ESCRITURAS fata\Dc Simples\2012 DEPTO ESCRITURAS\JULIO POLOkarime\JULIO POLO ANA LUISA\LUIS TORREJON OVALLE.doc</t>
  </si>
  <si>
    <t>C:\Users\franc\OneDrive\Documentos\MALENTIN KARIME\BANCO ESTADO\2012 DEPTO ESCRITURAS fata\Dc Simples\2012 DEPTO ESCRITURAS\JULIO POLOkarime\JULIO POLO ANA LUISA\LUIS BRAVO.doc</t>
  </si>
  <si>
    <t>C:\Users\franc\OneDrive\Documentos\MALENTIN KARIME\BANCO ESTADO\2012 DEPTO ESCRITURAS fata\Dc Simples\2012 DEPTO ESCRITURAS\JULIO POLOkarime\JULIO POLO ANA LUISA\COM. EL POTRERO A SOLEDAD ZEPEDA - LOTE 2 B.doc</t>
  </si>
  <si>
    <t>C:\Users\franc\OneDrive\Documentos\MALENTIN KARIME\BANCO ESTADO\2012 DEPTO ESCRITURAS fata\Dc Simples\2012 DEPTO ESCRITURAS\JULIO POLOkarime\JULIO POLO ANA LUISA\COM. EL POTRERO A MARIA CARMONA - LOTE 3.doc</t>
  </si>
  <si>
    <t>C:\Users\franc\OneDrive\Documentos\MALENTIN KARIME\BANCO ESTADO\2012 DEPTO ESCRITURAS fata\Dc Simples\2012 DEPTO ESCRITURAS\JULIO POLOkarime\JULIO POLO ANA LUISA\COM. EL POTRERO A MARIA CARMONA - LOTE 1 A.doc</t>
  </si>
  <si>
    <t>C:\Users\franc\OneDrive\Documentos\MALENTIN KARIME\BANCO ESTADO\2012 DEPTO ESCRITURAS fata\Dc Simples\2012 DEPTO ESCRITURAS\JULIO POLOkarime\JULIO POLO ANA LUISA\COM. EL POTRERO A MA. GABRIELA ZEPEDA - LOTE 2 C.doc</t>
  </si>
  <si>
    <t>C:\Users\franc\OneDrive\Documentos\MALENTIN KARIME\BANCO ESTADO\2012 DEPTO ESCRITURAS fata\Dc Simples\2012 DEPTO ESCRITURAS\JULIO POLOkarime\JULIO POLO ANA LUISA\COM. EL POTRERO A JOSE MIGUEL ZEPEDA - LOTE 1 C.doc</t>
  </si>
  <si>
    <t>C:\Users\franc\OneDrive\Documentos\MALENTIN KARIME\BANCO ESTADO\2012 DEPTO ESCRITURAS fata\Dc Simples\2012 DEPTO ESCRITURAS\JULIO POLOkarime\JULIO POLO ANA LUISA\COM. EL POTRERO A JOSE MIGUEL ZEPEDA - LOTE 1 B.doc</t>
  </si>
  <si>
    <t>C:\Users\franc\OneDrive\Documentos\MALENTIN KARIME\BANCO ESTADO\2012 DEPTO ESCRITURAS fata\Dc Simples\2012 DEPTO ESCRITURAS\JULIO POLOkarime\JULIO POLO ANA LUISA\COM. EL POTRERO A GONZALO ZEPEDA - LOTE 2 A.doc</t>
  </si>
  <si>
    <t>C:\Users\franc\OneDrive\Documentos\MALENTIN KARIME\BANCO ESTADO\2012 DEPTO ESCRITURAS fata\Dc Simples\2012 DEPTO ESCRITURAS\JULIO POLOkarime\JULIO POLO ANA LUISA\clausula para SEGREGACIONES.docx</t>
  </si>
  <si>
    <t>C:\Users\franc\OneDrive\Documentos\MALENTIN KARIME\BANCO ESTADO\2012 DEPTO ESCRITURAS fata\Dc Simples\2012 DEPTO ESCRITURAS\JULIO POLOkarime\LUIS TORREJON OVALLE.doc</t>
  </si>
  <si>
    <t>C:\Users\franc\OneDrive\Documentos\MALENTIN KARIME\BANCO ESTADO\2012 DEPTO ESCRITURAS fata\Dc Simples\2012 DEPTO ESCRITURAS\JULIO POLOkarime\LUIS BRAVO.doc</t>
  </si>
  <si>
    <t>C:\Users\franc\OneDrive\Documentos\MALENTIN KARIME\BANCO ESTADO\2012 DEPTO ESCRITURAS fata\Dc Simples\2012 DEPTO ESCRITURAS\JULIO POLOkarime\LOTE 1B CORREGIDO.doc</t>
  </si>
  <si>
    <t>C:\Users\franc\OneDrive\Documentos\MALENTIN KARIME\BANCO ESTADO\2012 DEPTO ESCRITURAS fata\Dc Simples\2012 DEPTO ESCRITURAS\JULIO POLOkarime\COM. EL POTRERO A SOLEDAD ZEPEDA - LOTE 2 B.doc</t>
  </si>
  <si>
    <t>C:\Users\franc\OneDrive\Documentos\MALENTIN KARIME\BANCO ESTADO\2012 DEPTO ESCRITURAS fata\Dc Simples\2012 DEPTO ESCRITURAS\JULIO POLOkarime\COM. EL POTRERO A MARIA CARMONA - LOTE 3.doc</t>
  </si>
  <si>
    <t>C:\Users\franc\OneDrive\Documentos\MALENTIN KARIME\BANCO ESTADO\2012 DEPTO ESCRITURAS fata\Dc Simples\2012 DEPTO ESCRITURAS\JULIO POLOkarime\COM. EL POTRERO A MARIA CARMONA - LOTE 1 A.doc</t>
  </si>
  <si>
    <t>C:\Users\franc\OneDrive\Documentos\MALENTIN KARIME\BANCO ESTADO\2012 DEPTO ESCRITURAS fata\Dc Simples\2012 DEPTO ESCRITURAS\JULIO POLOkarime\COM. EL POTRERO A MA. GABRIELA ZEPEDA - LOTE 2 C.doc</t>
  </si>
  <si>
    <t>C:\Users\franc\OneDrive\Documentos\MALENTIN KARIME\BANCO ESTADO\2012 DEPTO ESCRITURAS fata\Dc Simples\2012 DEPTO ESCRITURAS\JULIO POLOkarime\COM. EL POTRERO A JOSE MIGUEL ZEPEDA - LOTE 1 C.doc</t>
  </si>
  <si>
    <t>C:\Users\franc\OneDrive\Documentos\MALENTIN KARIME\BANCO ESTADO\2012 DEPTO ESCRITURAS fata\Dc Simples\2012 DEPTO ESCRITURAS\JULIO POLOkarime\COM. EL POTRERO A JOSE MIGUEL ZEPEDA - LOTE 1 B.doc</t>
  </si>
  <si>
    <t>C:\Users\franc\OneDrive\Documentos\MALENTIN KARIME\BANCO ESTADO\2012 DEPTO ESCRITURAS fata\Dc Simples\2012 DEPTO ESCRITURAS\JULIO POLOkarime\COM. EL POTRERO A GONZALO ZEPEDA - LOTE 2 A.doc</t>
  </si>
  <si>
    <t>C:\Users\franc\OneDrive\Documentos\MALENTIN KARIME\BANCO ESTADO\2012 DEPTO ESCRITURAS fata\Dc Simples\2012 DEPTO ESCRITURAS\JULIO POLOkarime\clausula para SEGREGACIONES.docx</t>
  </si>
  <si>
    <t>C:\Users\franc\OneDrive\Documentos\MALENTIN KARIME\BANCO ESTADO\2012 DEPTO ESCRITURAS fata\Dc Simples\2012 DEPTO ESCRITURAS\JULIO POLOkarime\1900.doc</t>
  </si>
  <si>
    <t>C:\Users\franc\OneDrive\Documentos\MALENTIN KARIME\BANCO ESTADO\2012 DEPTO ESCRITURAS fata\Dc Simples\2012 DEPTO ESCRITURAS\JULIO POLOkarime\1899.doc</t>
  </si>
  <si>
    <t>C:\Users\franc\OneDrive\Documentos\MALENTIN KARIME\BANCO ESTADO\2012 DEPTO ESCRITURAS fata\Dc Simples\2012 DEPTO ESCRITURAS\JULIO POLOkarime\1898.doc</t>
  </si>
  <si>
    <t>C:\Users\franc\OneDrive\Documentos\MALENTIN KARIME\BANCO ESTADO\2012 DEPTO ESCRITURAS fata\Dc Simples\2012 DEPTO ESCRITURAS\JULIO POLOkarime\1897.doc</t>
  </si>
  <si>
    <t>C:\Users\franc\OneDrive\Documentos\MALENTIN KARIME\BANCO ESTADO\2012 DEPTO ESCRITURAS fata\Dc Simples\2012 DEPTO ESCRITURAS\JULIO POLOkarime\1896.doc</t>
  </si>
  <si>
    <t>C:\Users\franc\OneDrive\Documentos\MALENTIN KARIME\BANCO ESTADO\2012 DEPTO ESCRITURAS fata\Dc Simples\2012 DEPTO ESCRITURAS\JULIO POLOkarime\1895.doc</t>
  </si>
  <si>
    <t>C:\Users\franc\OneDrive\Documentos\MALENTIN KARIME\BANCO ESTADO\2012 DEPTO ESCRITURAS fata\Dc Simples\2012 DEPTO ESCRITURAS\JULIO POLOkarime\1894.doc</t>
  </si>
  <si>
    <t>C:\Users\franc\OneDrive\Documentos\MALENTIN KARIME\BANCO ESTADO\2012 DEPTO ESCRITURAS fata\Dc Simples\2012 DEPTO ESCRITURAS\JOSE TABILO GOMILA\Cristian Zepeda Rodriguez Comple.doc</t>
  </si>
  <si>
    <t>C:\Users\franc\OneDrive\Documentos\MALENTIN KARIME\BANCO ESTADO\2012 DEPTO ESCRITURAS fata\Dc Simples\2012 DEPTO ESCRITURAS\INMOB SANTA EMMA\INSTRUCCIONES   NOTARIALES.doc</t>
  </si>
  <si>
    <t>C:\Users\franc\OneDrive\Documentos\MALENTIN KARIME\BANCO ESTADO\2012 DEPTO ESCRITURAS fata\Dc Simples\2012 DEPTO ESCRITURAS\INMOB SANTA EMMA\CONFERR.doc</t>
  </si>
  <si>
    <t>C:\Users\franc\OneDrive\Documentos\MALENTIN KARIME\BANCO ESTADO\2012 DEPTO ESCRITURAS fata\Dc Simples\2012 DEPTO ESCRITURAS\HIPOTECA\SERGIO TORO VARGAS A FRUTEXPORT Prenda.doc</t>
  </si>
  <si>
    <t>C:\Users\franc\OneDrive\Documentos\MALENTIN KARIME\BANCO ESTADO\2012 DEPTO ESCRITURAS fata\Dc Simples\2012 DEPTO ESCRITURAS\HIPOTECA\SERGIO TORO VARGAS A FRUTEXPORT Hipoteca.doc</t>
  </si>
  <si>
    <t>C:\Users\franc\OneDrive\Documentos\MALENTIN KARIME\BANCO ESTADO\2012 DEPTO ESCRITURAS fata\Dc Simples\2012 DEPTO ESCRITURAS\HIPOTECA\PAGARÉ  SERGIO TORO VARGAS.doc</t>
  </si>
  <si>
    <t>C:\Users\franc\OneDrive\Documentos\MALENTIN KARIME\BANCO ESTADO\2012 DEPTO ESCRITURAS fata\Dc Simples\2012 DEPTO ESCRITURAS\HIPOTECA\PAGARÉ  A LA ORDEN.doc</t>
  </si>
  <si>
    <t>C:\Users\franc\OneDrive\Documentos\MALENTIN KARIME\BANCO ESTADO\2012 DEPTO ESCRITURAS fata\Dc Simples\2012 DEPTO ESCRITURAS\HIPOTECA\PAGARÉ  A LA ORDEN -NOVACIÓN.doc</t>
  </si>
  <si>
    <t>C:\Users\franc\OneDrive\Documentos\MALENTIN KARIME\BANCO ESTADO\2012 DEPTO ESCRITURAS fata\Dc Simples\2012 DEPTO ESCRITURAS\HIPOTECA\JUAN LAGUNAS FLORES Hipoteca.doc</t>
  </si>
  <si>
    <t>C:\Users\franc\OneDrive\Documentos\MALENTIN KARIME\BANCO ESTADO\2012 DEPTO ESCRITURAS fata\Dc Simples\2012 DEPTO ESCRITURAS\HIPOTECA\JUAN LAGUNAS FLORES Hipoteca Final.doc</t>
  </si>
  <si>
    <t>C:\Users\franc\OneDrive\Documentos\MALENTIN KARIME\BANCO ESTADO\2012 DEPTO ESCRITURAS fata\Dc Simples\2012 DEPTO ESCRITURAS\HIPOTECA\JUAN LAGUNAS FLORES A EXPORTADORA FRUTEXPORT.doc</t>
  </si>
  <si>
    <t>C:\Users\franc\OneDrive\Documentos\MALENTIN KARIME\BANCO ESTADO\2012 DEPTO ESCRITURAS fata\Dc Simples\2012 DEPTO ESCRITURAS\HIPOTECA\JUAN BARRAZA JOFRE A FRUTEXPORT.doc</t>
  </si>
  <si>
    <t>C:\Users\franc\OneDrive\Documentos\MALENTIN KARIME\BANCO ESTADO\2012 DEPTO ESCRITURAS fata\Dc Simples\2012 DEPTO ESCRITURAS\HIPOTECA\FRUTEXPORT Novacion.doc</t>
  </si>
  <si>
    <t>C:\Users\franc\OneDrive\Documentos\MALENTIN KARIME\BANCO ESTADO\2012 DEPTO ESCRITURAS fata\Dc Simples\2012 DEPTO ESCRITURAS\HIPOTECA\F 24 5.doc</t>
  </si>
  <si>
    <t>C:\Users\franc\OneDrive\Documentos\MALENTIN KARIME\BANCO ESTADO\2012 DEPTO ESCRITURAS fata\Dc Simples\2012 DEPTO ESCRITURAS\HIPOTECA\F 24 2.doc</t>
  </si>
  <si>
    <t>C:\Users\franc\OneDrive\Documentos\MALENTIN KARIME\BANCO ESTADO\2012 DEPTO ESCRITURAS fata\Dc Simples\2012 DEPTO ESCRITURAS\HIPOTECA\DIOMEDES CRUZ SOLORZANO A MASAVAL SAGR.doc</t>
  </si>
  <si>
    <t>C:\Users\franc\OneDrive\Documentos\MALENTIN KARIME\BANCO ESTADO\2012 DEPTO ESCRITURAS fata\Dc Simples\2012 DEPTO ESCRITURAS\HIPOTECA\CONTRATO DE HIPOTECA.doc</t>
  </si>
  <si>
    <t>C:\Users\franc\OneDrive\Documentos\MALENTIN KARIME\BANCO ESTADO\2012 DEPTO ESCRITURAS fata\Dc Simples\2012 DEPTO ESCRITURAS\FACTORONE\2014\FRANCISCO CORTES PIZARRO.doc</t>
  </si>
  <si>
    <t>C:\Users\franc\OneDrive\Documentos\MALENTIN KARIME\BANCO ESTADO\2012 DEPTO ESCRITURAS fata\Dc Simples\2012 DEPTO ESCRITURAS\FACTORONE\2014\CAROLINA MONTECINOS GUZMAN.doc</t>
  </si>
  <si>
    <t>C:\Users\franc\OneDrive\Documentos\MALENTIN KARIME\BANCO ESTADO\2012 DEPTO ESCRITURAS fata\Dc Simples\2012 DEPTO ESCRITURAS\FACTORONE\YERKO TABILO ROBLES.doc</t>
  </si>
  <si>
    <t>C:\Users\franc\OneDrive\Documentos\MALENTIN KARIME\BANCO ESTADO\2012 DEPTO ESCRITURAS fata\Dc Simples\2012 DEPTO ESCRITURAS\FACTORONE\VITAL GONZALEZ.doc</t>
  </si>
  <si>
    <t>C:\Users\franc\OneDrive\Documentos\MALENTIN KARIME\BANCO ESTADO\2012 DEPTO ESCRITURAS fata\Dc Simples\2012 DEPTO ESCRITURAS\FACTORONE\VIDAL VERGARA LIMITADA.doc</t>
  </si>
  <si>
    <t>C:\Users\franc\OneDrive\Documentos\MALENTIN KARIME\BANCO ESTADO\2012 DEPTO ESCRITURAS fata\Dc Simples\2012 DEPTO ESCRITURAS\FACTORONE\STEVE LEDEZMA.doc</t>
  </si>
  <si>
    <t>C:\Users\franc\OneDrive\Documentos\MALENTIN KARIME\BANCO ESTADO\2012 DEPTO ESCRITURAS fata\Dc Simples\2012 DEPTO ESCRITURAS\FACTORONE\SOBRE.doc</t>
  </si>
  <si>
    <t>C:\Users\franc\OneDrive\Documentos\MALENTIN KARIME\BANCO ESTADO\2012 DEPTO ESCRITURAS fata\Dc Simples\2012 DEPTO ESCRITURAS\FACTORONE\SOBRE medio.doc</t>
  </si>
  <si>
    <t>C:\Users\franc\OneDrive\Documentos\MALENTIN KARIME\BANCO ESTADO\2012 DEPTO ESCRITURAS fata\Dc Simples\2012 DEPTO ESCRITURAS\FACTORONE\SERGIO ANDRADE ARAYA Abril.doc</t>
  </si>
  <si>
    <t>C:\Users\franc\OneDrive\Documentos\MALENTIN KARIME\BANCO ESTADO\2012 DEPTO ESCRITURAS fata\Dc Simples\2012 DEPTO ESCRITURAS\FACTORONE\RODRIGO CORTES OLIVARES.doc</t>
  </si>
  <si>
    <t>C:\Users\franc\OneDrive\Documentos\MALENTIN KARIME\BANCO ESTADO\2012 DEPTO ESCRITURAS fata\Dc Simples\2012 DEPTO ESCRITURAS\FACTORONE\RICARDO ROJAS ARAYA Hipoteca.doc</t>
  </si>
  <si>
    <t>C:\Users\franc\OneDrive\Documentos\MALENTIN KARIME\BANCO ESTADO\2012 DEPTO ESCRITURAS fata\Dc Simples\2012 DEPTO ESCRITURAS\FACTORONE\RAUL VIVANCO TOLEDO.doc</t>
  </si>
  <si>
    <t>C:\Users\franc\OneDrive\Documentos\MALENTIN KARIME\BANCO ESTADO\2012 DEPTO ESCRITURAS fata\Dc Simples\2012 DEPTO ESCRITURAS\FACTORONE\RAUL VIVANCO Marzo 2013.doc</t>
  </si>
  <si>
    <t>C:\Users\franc\OneDrive\Documentos\MALENTIN KARIME\BANCO ESTADO\2012 DEPTO ESCRITURAS fata\Dc Simples\2012 DEPTO ESCRITURAS\FACTORONE\notificacion.doc</t>
  </si>
  <si>
    <t>C:\Users\franc\OneDrive\Documentos\MALENTIN KARIME\BANCO ESTADO\2012 DEPTO ESCRITURAS fata\Dc Simples\2012 DEPTO ESCRITURAS\FACTORONE\MARIA PAZ MEDINA HARRIS.doc</t>
  </si>
  <si>
    <t>C:\Users\franc\OneDrive\Documentos\MALENTIN KARIME\BANCO ESTADO\2012 DEPTO ESCRITURAS fata\Dc Simples\2012 DEPTO ESCRITURAS\FACTORONE\LUIS CARVAJAL CORTES Factoring.doc</t>
  </si>
  <si>
    <t>C:\Users\franc\OneDrive\Documentos\MALENTIN KARIME\BANCO ESTADO\2012 DEPTO ESCRITURAS fata\Dc Simples\2012 DEPTO ESCRITURAS\FACTORONE\JULIO BARRERA OLIVARES.doc</t>
  </si>
  <si>
    <t>C:\Users\franc\OneDrive\Documentos\MALENTIN KARIME\BANCO ESTADO\2012 DEPTO ESCRITURAS fata\Dc Simples\2012 DEPTO ESCRITURAS\FACTORONE\JULIO BARRERA OLIVARES MODELO Fact.doc</t>
  </si>
  <si>
    <t>C:\Users\franc\OneDrive\Documentos\MALENTIN KARIME\BANCO ESTADO\2012 DEPTO ESCRITURAS fata\Dc Simples\2012 DEPTO ESCRITURAS\FACTORONE\JUAN CARLOS ALUCEMA GODOY.doc</t>
  </si>
  <si>
    <t>C:\Users\franc\OneDrive\Documentos\MALENTIN KARIME\BANCO ESTADO\2012 DEPTO ESCRITURAS fata\Dc Simples\2012 DEPTO ESCRITURAS\FACTORONE\JUAN ANDRADE TELLO Y Factorone.doc</t>
  </si>
  <si>
    <t>C:\Users\franc\OneDrive\Documentos\MALENTIN KARIME\BANCO ESTADO\2012 DEPTO ESCRITURAS fata\Dc Simples\2012 DEPTO ESCRITURAS\FACTORONE\JORGE CARVAJAL CORTES.doc</t>
  </si>
  <si>
    <t>C:\Users\franc\OneDrive\Documentos\MALENTIN KARIME\BANCO ESTADO\2012 DEPTO ESCRITURAS fata\Dc Simples\2012 DEPTO ESCRITURAS\FACTORONE\JAVIER TABILO RIVERA.doc</t>
  </si>
  <si>
    <t>C:\Users\franc\OneDrive\Documentos\MALENTIN KARIME\BANCO ESTADO\2012 DEPTO ESCRITURAS fata\Dc Simples\2012 DEPTO ESCRITURAS\FACTORONE\GASTON ALFARO ALFARO 2013.doc</t>
  </si>
  <si>
    <t>C:\Users\franc\OneDrive\Documentos\MALENTIN KARIME\BANCO ESTADO\2012 DEPTO ESCRITURAS fata\Dc Simples\2012 DEPTO ESCRITURAS\FACTORONE\FRANCISCO CORTES PIZARRO.doc</t>
  </si>
  <si>
    <t>C:\Users\franc\OneDrive\Documentos\MALENTIN KARIME\BANCO ESTADO\2012 DEPTO ESCRITURAS fata\Dc Simples\2012 DEPTO ESCRITURAS\FACTORONE\Ctt. Benjamin Cortés Cortés.doc</t>
  </si>
  <si>
    <t>C:\Users\franc\OneDrive\Documentos\MALENTIN KARIME\BANCO ESTADO\2012 DEPTO ESCRITURAS fata\Dc Simples\2012 DEPTO ESCRITURAS\FACTORONE\Ctt. Benjamin Cortés Cortés-1.doc</t>
  </si>
  <si>
    <t>C:\Users\franc\OneDrive\Documentos\MALENTIN KARIME\BANCO ESTADO\2012 DEPTO ESCRITURAS fata\Dc Simples\2012 DEPTO ESCRITURAS\FACTORONE\CONSTRUCTORA M &amp; Y.doc</t>
  </si>
  <si>
    <t>C:\Users\franc\OneDrive\Documentos\MALENTIN KARIME\BANCO ESTADO\2012 DEPTO ESCRITURAS fata\Dc Simples\2012 DEPTO ESCRITURAS\FACTORONE\COMERCIAL PRAD.doc</t>
  </si>
  <si>
    <t>C:\Users\franc\OneDrive\Documentos\MALENTIN KARIME\BANCO ESTADO\2012 DEPTO ESCRITURAS fata\Dc Simples\2012 DEPTO ESCRITURAS\FACTORONE\COMERCIAL PRAD II.doc</t>
  </si>
  <si>
    <t>C:\Users\franc\OneDrive\Documentos\MALENTIN KARIME\BANCO ESTADO\2012 DEPTO ESCRITURAS fata\Dc Simples\2012 DEPTO ESCRITURAS\FACTORONE\CESAR DIAZ CORTES E.I.R.L.doc</t>
  </si>
  <si>
    <t>C:\Users\franc\OneDrive\Documentos\MALENTIN KARIME\BANCO ESTADO\2012 DEPTO ESCRITURAS fata\Dc Simples\2012 DEPTO ESCRITURAS\FACTORONE\CERTIFICO.doc</t>
  </si>
  <si>
    <t>C:\Users\franc\OneDrive\Documentos\MALENTIN KARIME\BANCO ESTADO\2012 DEPTO ESCRITURAS fata\Dc Simples\2012 DEPTO ESCRITURAS\FACTORONE\Autorizo la firma.doc</t>
  </si>
  <si>
    <t>C:\Users\franc\OneDrive\Documentos\MALENTIN KARIME\BANCO ESTADO\2012 DEPTO ESCRITURAS fata\Dc Simples\2012 DEPTO ESCRITURAS\FACTORONE\ANA MALUENDA LEDEZMA.doc</t>
  </si>
  <si>
    <t>C:\Users\franc\OneDrive\Documentos\MALENTIN KARIME\BANCO ESTADO\2012 DEPTO ESCRITURAS fata\Dc Simples\2012 DEPTO ESCRITURAS\FACTORONE\ANA AGUILERA SALAZAR Julio 2013.doc</t>
  </si>
  <si>
    <t>C:\Users\franc\OneDrive\Documentos\MALENTIN KARIME\BANCO ESTADO\2012 DEPTO ESCRITURAS fata\Dc Simples\2012 DEPTO ESCRITURAS\FACTORONE\ALEX BRICEÑO LORCA Septbre 13.doc</t>
  </si>
  <si>
    <t>C:\Users\franc\OneDrive\Documentos\MALENTIN KARIME\BANCO ESTADO\2012 DEPTO ESCRITURAS fata\Dc Simples\2012 DEPTO ESCRITURAS\FACTORONE\ALEX BRICEÑO LORCA Octubre 13.doc</t>
  </si>
  <si>
    <t>C:\Users\franc\OneDrive\Documentos\MALENTIN KARIME\BANCO ESTADO\2012 DEPTO ESCRITURAS fata\Dc Simples\2012 DEPTO ESCRITURAS\FACTORONE\ALEJANDRO PINILLA Alz Prenda.doc</t>
  </si>
  <si>
    <t>C:\Users\franc\OneDrive\Documentos\MALENTIN KARIME\BANCO ESTADO\2012 DEPTO ESCRITURAS fata\Dc Simples\2012 DEPTO ESCRITURAS\FACTORONE\ALEJANDRO ALVAREZ BARAHONA.doc</t>
  </si>
  <si>
    <t>C:\Users\franc\OneDrive\Documentos\MALENTIN KARIME\BANCO ESTADO\2012 DEPTO ESCRITURAS fata\Dc Simples\2012 DEPTO ESCRITURAS\ESTUDIO S y R\WALDO GUERRERO A MARINA AGUILERA.doc</t>
  </si>
  <si>
    <t>C:\Users\franc\OneDrive\Documentos\MALENTIN KARIME\BANCO ESTADO\2012 DEPTO ESCRITURAS fata\Dc Simples\2012 DEPTO ESCRITURAS\ESTUDIO S y R\SOCIEDAD AGRICOLA SANTA TERESA Ltda..doc</t>
  </si>
  <si>
    <t>C:\Users\franc\OneDrive\Documentos\MALENTIN KARIME\BANCO ESTADO\2012 DEPTO ESCRITURAS fata\Dc Simples\2012 DEPTO ESCRITURAS\ESTUDIO S y R\REYNALDO RETAMAL A SANDRA YAÑEZ.doc</t>
  </si>
  <si>
    <t>C:\Users\franc\OneDrive\Documentos\MALENTIN KARIME\BANCO ESTADO\2012 DEPTO ESCRITURAS fata\Dc Simples\2012 DEPTO ESCRITURAS\ESTUDIO S y R\MARY RIVERA A SOCIEDAD CORDERO.doc</t>
  </si>
  <si>
    <t>C:\Users\franc\OneDrive\Documentos\MALENTIN KARIME\BANCO ESTADO\2012 DEPTO ESCRITURAS fata\Dc Simples\2012 DEPTO ESCRITURAS\ESTUDIO S y R\MARIA PIZARRO A JUAN PIZARRO.doc</t>
  </si>
  <si>
    <t>C:\Users\franc\OneDrive\Documentos\MALENTIN KARIME\BANCO ESTADO\2012 DEPTO ESCRITURAS fata\Dc Simples\2012 DEPTO ESCRITURAS\ESTUDIO S y R\MARIA PIZARRO A JUAN PIZARRO Escritura.doc</t>
  </si>
  <si>
    <t>C:\Users\franc\OneDrive\Documentos\MALENTIN KARIME\BANCO ESTADO\2012 DEPTO ESCRITURAS fata\Dc Simples\2012 DEPTO ESCRITURAS\ESTUDIO S y R\LUIS CLODOMIRO ARAYA ROJAS.doc</t>
  </si>
  <si>
    <t>C:\Users\franc\OneDrive\Documentos\MALENTIN KARIME\BANCO ESTADO\2012 DEPTO ESCRITURAS fata\Dc Simples\2012 DEPTO ESCRITURAS\ESTUDIO S y R\LUCINDA ARAYA TELLO A INGRID CORTES.doc</t>
  </si>
  <si>
    <t>C:\Users\franc\OneDrive\Documentos\MALENTIN KARIME\BANCO ESTADO\2012 DEPTO ESCRITURAS fata\Dc Simples\2012 DEPTO ESCRITURAS\ESTUDIO S y R\JUAN BRAVO CALDERON Cuidado P.doc</t>
  </si>
  <si>
    <t>C:\Users\franc\OneDrive\Documentos\MALENTIN KARIME\BANCO ESTADO\2012 DEPTO ESCRITURAS fata\Dc Simples\2012 DEPTO ESCRITURAS\ESTUDIO S y R\HORACIO LISERA RODRIGUEZ A ANA BAUDILLIA CASTILLO Adjudicacion.doc</t>
  </si>
  <si>
    <t>C:\Users\franc\OneDrive\Documentos\MALENTIN KARIME\BANCO ESTADO\2012 DEPTO ESCRITURAS fata\Dc Simples\2012 DEPTO ESCRITURAS\ESTUDIO S y R\GOURMET TORO Y CARMONA LIMITADA.doc</t>
  </si>
  <si>
    <t>C:\Users\franc\OneDrive\Documentos\MALENTIN KARIME\BANCO ESTADO\2012 DEPTO ESCRITURAS fata\Dc Simples\2012 DEPTO ESCRITURAS\ESTUDIO S y R\GABRIEL RODRIGUEZ Inventario Otto.doc</t>
  </si>
  <si>
    <t>C:\Users\franc\OneDrive\Documentos\MALENTIN KARIME\BANCO ESTADO\2012 DEPTO ESCRITURAS fata\Dc Simples\2012 DEPTO ESCRITURAS\ESTUDIO S y R\GABRIEL RODRIGUEZ Inventario Nolasco.doc</t>
  </si>
  <si>
    <t>C:\Users\franc\OneDrive\Documentos\MALENTIN KARIME\BANCO ESTADO\2012 DEPTO ESCRITURAS fata\Dc Simples\2012 DEPTO ESCRITURAS\ESTUDIO S y R\GABRIEL RODRIGUEZ Inventario Cirilo.doc</t>
  </si>
  <si>
    <t>C:\Users\franc\OneDrive\Documentos\MALENTIN KARIME\BANCO ESTADO\2012 DEPTO ESCRITURAS fata\Dc Simples\2012 DEPTO ESCRITURAS\ESTUDIO S y R\EXTRACTO TORO Y CARMONA LIMITADA.doc</t>
  </si>
  <si>
    <t>C:\Users\franc\OneDrive\Documentos\MALENTIN KARIME\BANCO ESTADO\2012 DEPTO ESCRITURAS fata\Dc Simples\2012 DEPTO ESCRITURAS\ESTUDIO S y R\EXTRACTO SOCIEDAD CORDERO Y VEGA LTDA.doc</t>
  </si>
  <si>
    <t>C:\Users\franc\OneDrive\Documentos\MALENTIN KARIME\BANCO ESTADO\2012 DEPTO ESCRITURAS fata\Dc Simples\2012 DEPTO ESCRITURAS\ESTUDIO S y R\EXTRACTO MUEBLES LAR EIRL.doc</t>
  </si>
  <si>
    <t>C:\Users\franc\OneDrive\Documentos\MALENTIN KARIME\BANCO ESTADO\2012 DEPTO ESCRITURAS fata\Dc Simples\2012 DEPTO ESCRITURAS\ESTUDIO S y R\EXTRACTO Buenaventura Ltda..doc</t>
  </si>
  <si>
    <t>C:\Users\franc\OneDrive\Documentos\MALENTIN KARIME\BANCO ESTADO\2012 DEPTO ESCRITURAS fata\Dc Simples\2012 DEPTO ESCRITURAS\ESTUDIO S y R\EVA PEREIRA VEGA A SANDRA PEREIRA TAPIA.doc</t>
  </si>
  <si>
    <t>C:\Users\franc\OneDrive\Documentos\MALENTIN KARIME\BANCO ESTADO\2012 DEPTO ESCRITURAS fata\Dc Simples\2012 DEPTO ESCRITURAS\ESTUDIO S y R\ESCRITURA MUEBLES LAR EIRL.doc</t>
  </si>
  <si>
    <t>C:\Users\franc\OneDrive\Documentos\MALENTIN KARIME\BANCO ESTADO\2012 DEPTO ESCRITURAS fata\Dc Simples\2012 DEPTO ESCRITURAS\ESTUDIO S y R\EL MALL DEL AUTOMOVIL.doc</t>
  </si>
  <si>
    <t>C:\Users\franc\OneDrive\Documentos\MALENTIN KARIME\BANCO ESTADO\2012 DEPTO ESCRITURAS fata\Dc Simples\2012 DEPTO ESCRITURAS\ESTUDIO S y R\DORIS PEREZ, mandato judicial divorcio.doc</t>
  </si>
  <si>
    <t>C:\Users\franc\OneDrive\Documentos\MALENTIN KARIME\BANCO ESTADO\2012 DEPTO ESCRITURAS fata\Dc Simples\2012 DEPTO ESCRITURAS\ESTUDIO S y R\Carolina Alvarado Rectificacion.doc</t>
  </si>
  <si>
    <t>C:\Users\franc\OneDrive\Documentos\MALENTIN KARIME\BANCO ESTADO\2012 DEPTO ESCRITURAS fata\Dc Simples\2012 DEPTO ESCRITURAS\ESTUDIO S y R\Carolina Alvarado Alvarado cvta.doc</t>
  </si>
  <si>
    <t>C:\Users\franc\OneDrive\Documentos\MALENTIN KARIME\BANCO ESTADO\2012 DEPTO ESCRITURAS fata\Dc Simples\2012 DEPTO ESCRITURAS\ESTUDIO S y R\ANA BAUDILIA CASTILLO Adjudicacion Abril.doc</t>
  </si>
  <si>
    <t>C:\Users\franc\OneDrive\Documentos\MALENTIN KARIME\BANCO ESTADO\2012 DEPTO ESCRITURAS fata\Dc Simples\2012 DEPTO ESCRITURAS\E.I.R.L\PATRICIA ARAYA PIZARRO.doc</t>
  </si>
  <si>
    <t>C:\Users\franc\OneDrive\Documentos\MALENTIN KARIME\BANCO ESTADO\2012 DEPTO ESCRITURAS fata\Dc Simples\2012 DEPTO ESCRITURAS\E.I.R.L\PATRICIA ARAYA Extracto.doc</t>
  </si>
  <si>
    <t>C:\Users\franc\OneDrive\Documentos\MALENTIN KARIME\BANCO ESTADO\2012 DEPTO ESCRITURAS fata\Dc Simples\2012 DEPTO ESCRITURAS\E.I.R.L\MARISA ALVAREZ CHANDIA eirl.doc</t>
  </si>
  <si>
    <t>C:\Users\franc\OneDrive\Documentos\MALENTIN KARIME\BANCO ESTADO\2012 DEPTO ESCRITURAS fata\Dc Simples\2012 DEPTO ESCRITURAS\E.I.R.L\LARRAIN HUNEEUS Extracto.doc</t>
  </si>
  <si>
    <t>C:\Users\franc\OneDrive\Documentos\MALENTIN KARIME\BANCO ESTADO\2012 DEPTO ESCRITURAS fata\Dc Simples\2012 DEPTO ESCRITURAS\E.I.R.L\LARRAIN HUNEEUS E.I.R.L.doc</t>
  </si>
  <si>
    <t>C:\Users\franc\OneDrive\Documentos\MALENTIN KARIME\BANCO ESTADO\2012 DEPTO ESCRITURAS fata\Dc Simples\2012 DEPTO ESCRITURAS\E.I.R.L\JAIME GARCIA GALLEGUILLOS Extracto.doc</t>
  </si>
  <si>
    <t>C:\Users\franc\OneDrive\Documentos\MALENTIN KARIME\BANCO ESTADO\2012 DEPTO ESCRITURAS fata\Dc Simples\2012 DEPTO ESCRITURAS\E.I.R.L\JAIME GARCIA GALLEGUILLOS E.I.R.L.doc</t>
  </si>
  <si>
    <t>C:\Users\franc\OneDrive\Documentos\MALENTIN KARIME\BANCO ESTADO\2012 DEPTO ESCRITURAS fata\Dc Simples\2012 DEPTO ESCRITURAS\E.I.R.L\GLORIA CASTRO LAZCANO.doc</t>
  </si>
  <si>
    <t>C:\Users\franc\OneDrive\Documentos\MALENTIN KARIME\BANCO ESTADO\2012 DEPTO ESCRITURAS fata\Dc Simples\2012 DEPTO ESCRITURAS\E.I.R.L\GABRIELA DICCTER.doc</t>
  </si>
  <si>
    <t>C:\Users\franc\OneDrive\Documentos\MALENTIN KARIME\BANCO ESTADO\2012 DEPTO ESCRITURAS fata\Dc Simples\2012 DEPTO ESCRITURAS\E.I.R.L\GABRIELA DICCTER Extracto.doc</t>
  </si>
  <si>
    <t>C:\Users\franc\OneDrive\Documentos\MALENTIN KARIME\BANCO ESTADO\2012 DEPTO ESCRITURAS fata\Dc Simples\2012 DEPTO ESCRITURAS\E.I.R.L\FUENTE DE SODA MARISA Extracto.doc</t>
  </si>
  <si>
    <t>C:\Users\franc\OneDrive\Documentos\MALENTIN KARIME\BANCO ESTADO\2012 DEPTO ESCRITURAS fata\Dc Simples\2012 DEPTO ESCRITURAS\E.I.R.L\FELIPE TELLO GALLARDO.doc</t>
  </si>
  <si>
    <t>C:\Users\franc\OneDrive\Documentos\MALENTIN KARIME\BANCO ESTADO\2012 DEPTO ESCRITURAS fata\Dc Simples\2012 DEPTO ESCRITURAS\E.I.R.L\FELIPE TELLO GALLARDO Extracto.doc</t>
  </si>
  <si>
    <t>C:\Users\franc\OneDrive\Documentos\MALENTIN KARIME\BANCO ESTADO\2012 DEPTO ESCRITURAS fata\Dc Simples\2012 DEPTO ESCRITURAS\E.I.R.L\Extracto FELIPE.doc</t>
  </si>
  <si>
    <t>C:\Users\franc\OneDrive\Documentos\MALENTIN KARIME\BANCO ESTADO\2012 DEPTO ESCRITURAS fata\Dc Simples\2012 DEPTO ESCRITURAS\E.I.R.L\Extracto Comercial Julian Galleguillos E.I.R.L..doc</t>
  </si>
  <si>
    <t>C:\Users\franc\OneDrive\Documentos\MALENTIN KARIME\BANCO ESTADO\2012 DEPTO ESCRITURAS fata\Dc Simples\2012 DEPTO ESCRITURAS\E.I.R.L\Extracto Comercial e Inversiones Miranda E.I.R.L..doc</t>
  </si>
  <si>
    <t>C:\Users\franc\OneDrive\Documentos\MALENTIN KARIME\BANCO ESTADO\2012 DEPTO ESCRITURAS fata\Dc Simples\2012 DEPTO ESCRITURAS\E.I.R.L\EDUARDO GODOY Extracto.doc</t>
  </si>
  <si>
    <t>C:\Users\franc\OneDrive\Documentos\MALENTIN KARIME\BANCO ESTADO\2012 DEPTO ESCRITURAS fata\Dc Simples\2012 DEPTO ESCRITURAS\E.I.R.L\E  X  T  R  A  C  T  O Gloria Castro.doc</t>
  </si>
  <si>
    <t>C:\Users\franc\OneDrive\Documentos\MALENTIN KARIME\BANCO ESTADO\2012 DEPTO ESCRITURAS fata\Dc Simples\2012 DEPTO ESCRITURAS\E.I.R.L\COMERCIAL modelo.doc</t>
  </si>
  <si>
    <t>C:\Users\franc\OneDrive\Documentos\MALENTIN KARIME\BANCO ESTADO\2012 DEPTO ESCRITURAS fata\Dc Simples\2012 DEPTO ESCRITURAS\E.I.R.L\COMERCIAL JUAN CARLOS MEDALLA.doc</t>
  </si>
  <si>
    <t>C:\Users\franc\OneDrive\Documentos\MALENTIN KARIME\BANCO ESTADO\2012 DEPTO ESCRITURAS fata\Dc Simples\2012 DEPTO ESCRITURAS\E.I.R.L\COMERCIAL JUAN C FLORES MExtracto.doc</t>
  </si>
  <si>
    <t>C:\Users\franc\OneDrive\Documentos\MALENTIN KARIME\BANCO ESTADO\2012 DEPTO ESCRITURAS fata\Dc Simples\2012 DEPTO ESCRITURAS\E.I.R.L\CESAR CARVAJAL TORRES EIRL.doc</t>
  </si>
  <si>
    <t>C:\Users\franc\OneDrive\Documentos\MALENTIN KARIME\BANCO ESTADO\2012 DEPTO ESCRITURAS fata\Dc Simples\2012 DEPTO ESCRITURAS\E.I.R.L\BAR CAFE E.I.R.L,.doc</t>
  </si>
  <si>
    <t>C:\Users\franc\OneDrive\Documentos\MALENTIN KARIME\BANCO ESTADO\2012 DEPTO ESCRITURAS fata\Dc Simples\2012 DEPTO ESCRITURAS\E.I.R.L\AMELIA MRANDA ROJAS E.I.R.L.doc</t>
  </si>
  <si>
    <t>C:\Users\franc\OneDrive\Documentos\MALENTIN KARIME\BANCO ESTADO\2012 DEPTO ESCRITURAS fata\Dc Simples\2012 DEPTO ESCRITURAS\E.I.R.L\ALFONSO JULIAN COMERCIAL E.I.RL..doc</t>
  </si>
  <si>
    <t>C:\Users\franc\OneDrive\Documentos\MALENTIN KARIME\BANCO ESTADO\2012 DEPTO ESCRITURAS fata\Dc Simples\2012 DEPTO ESCRITURAS\E.I.R.L\AGROTRANS GUERRERO.doc</t>
  </si>
  <si>
    <t>C:\Users\franc\OneDrive\Documentos\MALENTIN KARIME\BANCO ESTADO\2012 DEPTO ESCRITURAS fata\Dc Simples\2012 DEPTO ESCRITURAS\E.I.R.L\AGROTRANS GUERRERO VERSION CORREJIDA Extracto.doc</t>
  </si>
  <si>
    <t>C:\Users\franc\OneDrive\Documentos\MALENTIN KARIME\BANCO ESTADO\2012 DEPTO ESCRITURAS fata\Dc Simples\2012 DEPTO ESCRITURAS\E.I.R.L\AGROTRANS GUERRERO Extracto.doc</t>
  </si>
  <si>
    <t>C:\Users\franc\OneDrive\Documentos\MALENTIN KARIME\BANCO ESTADO\2012 DEPTO ESCRITURAS fata\Dc Simples\2012 DEPTO ESCRITURAS\DOBLE M\REGLAMENTO.doc</t>
  </si>
  <si>
    <t>C:\Users\franc\OneDrive\Documentos\MALENTIN KARIME\BANCO ESTADO\2012 DEPTO ESCRITURAS fata\Dc Simples\2012 DEPTO ESCRITURAS\DOBLE M\REGLAMENTO CO PROPIEDAD Junio 2011.doc</t>
  </si>
  <si>
    <t>C:\Users\franc\OneDrive\Documentos\MALENTIN KARIME\BANCO ESTADO\2012 DEPTO ESCRITURAS fata\Dc Simples\2012 DEPTO ESCRITURAS\DOBLE M\REDUCCION ACTA  30 ABRIL 11.doc</t>
  </si>
  <si>
    <t>C:\Users\franc\OneDrive\Documentos\MALENTIN KARIME\BANCO ESTADO\2012 DEPTO ESCRITURAS fata\Dc Simples\2012 DEPTO ESCRITURAS\DOBLE M\OSVALDO GONZALEZ Cibergestion.doc</t>
  </si>
  <si>
    <t>C:\Users\franc\OneDrive\Documentos\MALENTIN KARIME\BANCO ESTADO\2012 DEPTO ESCRITURAS fata\Dc Simples\2012 DEPTO ESCRITURAS\DOBLE M\MODIFICACION REGLAMENTO DE COPROPIEDAD.doc</t>
  </si>
  <si>
    <t>C:\Users\franc\OneDrive\Documentos\MALENTIN KARIME\BANCO ESTADO\2012 DEPTO ESCRITURAS fata\Dc Simples\2012 DEPTO ESCRITURAS\DOBLE M\MANUEL VALENCIA JOFRE Promesa.doc</t>
  </si>
  <si>
    <t>C:\Users\franc\OneDrive\Documentos\MALENTIN KARIME\BANCO ESTADO\2012 DEPTO ESCRITURAS fata\Dc Simples\2012 DEPTO ESCRITURAS\DOBLE M\ISABEL ARAYA MORALES Promesa.doc</t>
  </si>
  <si>
    <t>C:\Users\franc\OneDrive\Documentos\MALENTIN KARIME\BANCO ESTADO\2012 DEPTO ESCRITURAS fata\Dc Simples\2012 DEPTO ESCRITURAS\DOBLE M\INSTRUCCIONES Daysi Godoy.doc</t>
  </si>
  <si>
    <t>C:\Users\franc\OneDrive\Documentos\MALENTIN KARIME\BANCO ESTADO\2012 DEPTO ESCRITURAS fata\Dc Simples\2012 DEPTO ESCRITURAS\DOBLE M\DEYSI GODOY con DOBLE M.doc</t>
  </si>
  <si>
    <t>C:\Users\franc\OneDrive\Documentos\MALENTIN KARIME\BANCO ESTADO\2012 DEPTO ESCRITURAS fata\Dc Simples\2012 DEPTO ESCRITURAS\DOBLE M\CVTA PARTICULAR OJO I.ETAPA.doc</t>
  </si>
  <si>
    <t>C:\Users\franc\OneDrive\Documentos\MALENTIN KARIME\BANCO ESTADO\2012 DEPTO ESCRITURAS fata\Dc Simples\2012 DEPTO ESCRITURAS\DOBLE M\ACTA.doc</t>
  </si>
  <si>
    <t>C:\Users\franc\OneDrive\Documentos\MALENTIN KARIME\BANCO ESTADO\2012 DEPTO ESCRITURAS fata\Dc Simples\2012 DEPTO ESCRITURAS\DOBLE M\ACTA reduccion.doc</t>
  </si>
  <si>
    <t>C:\Users\franc\OneDrive\Documentos\MALENTIN KARIME\BANCO ESTADO\2012 DEPTO ESCRITURAS fata\Dc Simples\2012 DEPTO ESCRITURAS\DERECHOS\PEDRO CAMPUSANO A PEDRO CAMPUSANO ALVARADO.doc</t>
  </si>
  <si>
    <t>C:\Users\franc\OneDrive\Documentos\MALENTIN KARIME\BANCO ESTADO\2012 DEPTO ESCRITURAS fata\Dc Simples\2012 DEPTO ESCRITURAS\DERECHOS\ELIANA PIZARRO A CARLOS ALQUINTA.doc</t>
  </si>
  <si>
    <t>C:\Users\franc\OneDrive\Documentos\MALENTIN KARIME\BANCO ESTADO\2012 DEPTO ESCRITURAS fata\Dc Simples\2012 DEPTO ESCRITURAS\DERECHO USO\VIVIANA VELASQUEZdec.jurada derecho real de uso.doc</t>
  </si>
  <si>
    <t>C:\Users\franc\OneDrive\Documentos\MALENTIN KARIME\BANCO ESTADO\2012 DEPTO ESCRITURAS fata\Dc Simples\2012 DEPTO ESCRITURAS\DERECHO USO\Tomás Elgueta Pizarro a Laura Elgueta.doc</t>
  </si>
  <si>
    <t>C:\Users\franc\OneDrive\Documentos\MALENTIN KARIME\BANCO ESTADO\2012 DEPTO ESCRITURAS fata\Dc Simples\2012 DEPTO ESCRITURAS\DERECHO USO\LUZ PASTEN OLIVARES A CLAUDIO ANGEL.doc</t>
  </si>
  <si>
    <t>C:\Users\franc\OneDrive\Documentos\MALENTIN KARIME\BANCO ESTADO\2012 DEPTO ESCRITURAS fata\Dc Simples\2012 DEPTO ESCRITURAS\DERECHO USO\FRANCISCO ANDRADE CORTES A JUANA CORTES COLLOA.doc</t>
  </si>
  <si>
    <t>C:\Users\franc\OneDrive\Documentos\MALENTIN KARIME\BANCO ESTADO\2012 DEPTO ESCRITURAS fata\Dc Simples\2012 DEPTO ESCRITURAS\DERECHO USO\dec.jurada derecho real de uso.doc</t>
  </si>
  <si>
    <t>C:\Users\franc\OneDrive\Documentos\MALENTIN KARIME\BANCO ESTADO\2012 DEPTO ESCRITURAS fata\Dc Simples\2012 DEPTO ESCRITURAS\DERECHO USO\CAROLA ARAYA A NARDA ARAYA.doc</t>
  </si>
  <si>
    <t>C:\Users\franc\OneDrive\Documentos\MALENTIN KARIME\BANCO ESTADO\2012 DEPTO ESCRITURAS fata\Dc Simples\2012 DEPTO ESCRITURAS\declaracion drogas\VICTOR BARRIOS.doc</t>
  </si>
  <si>
    <t>C:\Users\franc\OneDrive\Documentos\MALENTIN KARIME\BANCO ESTADO\2012 DEPTO ESCRITURAS fata\Dc Simples\2012 DEPTO ESCRITURAS\declaracion drogas\SILVIA PIZARRO drogas.doc</t>
  </si>
  <si>
    <t>C:\Users\franc\OneDrive\Documentos\MALENTIN KARIME\BANCO ESTADO\2012 DEPTO ESCRITURAS fata\Dc Simples\2012 DEPTO ESCRITURAS\declaracion drogas\PATRICIO JORQUERA drogas.doc</t>
  </si>
  <si>
    <t>C:\Users\franc\OneDrive\Documentos\MALENTIN KARIME\BANCO ESTADO\2012 DEPTO ESCRITURAS fata\Dc Simples\2012 DEPTO ESCRITURAS\declaracion drogas\PAOLA AGUILERA  G. drogas.doc</t>
  </si>
  <si>
    <t>C:\Users\franc\OneDrive\Documentos\MALENTIN KARIME\BANCO ESTADO\2012 DEPTO ESCRITURAS fata\Dc Simples\2012 DEPTO ESCRITURAS\declaracion drogas\MARCO CONTADOR. drogas.doc</t>
  </si>
  <si>
    <t>C:\Users\franc\OneDrive\Documentos\MALENTIN KARIME\BANCO ESTADO\2012 DEPTO ESCRITURAS fata\Dc Simples\2012 DEPTO ESCRITURAS\declaracion drogas\GONZALO PASTEN VILLARROELdrogas.doc</t>
  </si>
  <si>
    <t>C:\Users\franc\OneDrive\Documentos\MALENTIN KARIME\BANCO ESTADO\2012 DEPTO ESCRITURAS fata\Dc Simples\2012 DEPTO ESCRITURAS\declaracion drogas\FRANCISCO ACUÑA drogas.doc</t>
  </si>
  <si>
    <t>C:\Users\franc\OneDrive\Documentos\MALENTIN KARIME\BANCO ESTADO\2012 DEPTO ESCRITURAS fata\Dc Simples\2012 DEPTO ESCRITURAS\declaracion drogas\CLAUDIO QUEVEDO. drogas.doc</t>
  </si>
  <si>
    <t>C:\Users\franc\OneDrive\Documentos\MALENTIN KARIME\BANCO ESTADO\2012 DEPTO ESCRITURAS fata\Dc Simples\2012 DEPTO ESCRITURAS\declaracion drogas\CAROLA ARACENA G. drogas.doc</t>
  </si>
  <si>
    <t>C:\Users\franc\OneDrive\Documentos\MALENTIN KARIME\BANCO ESTADO\2012 DEPTO ESCRITURAS fata\Dc Simples\2012 DEPTO ESCRITURAS\declaracion drogas\CARMEN CORTES INFANTE drogas.doc</t>
  </si>
  <si>
    <t>C:\Users\franc\OneDrive\Documentos\MALENTIN KARIME\BANCO ESTADO\2012 DEPTO ESCRITURAS fata\Dc Simples\2012 DEPTO ESCRITURAS\cvta protocolizadas\YERKA ORTIZ.doc</t>
  </si>
  <si>
    <t>C:\Users\franc\OneDrive\Documentos\MALENTIN KARIME\BANCO ESTADO\2012 DEPTO ESCRITURAS fata\Dc Simples\2012 DEPTO ESCRITURAS\cvta protocolizadas\YENNY ORREGO CASTILLO.doc</t>
  </si>
  <si>
    <t>C:\Users\franc\OneDrive\Documentos\MALENTIN KARIME\BANCO ESTADO\2012 DEPTO ESCRITURAS fata\Dc Simples\2012 DEPTO ESCRITURAS\cvta protocolizadas\YARTIZA BARRIENTOS Andrea.doc</t>
  </si>
  <si>
    <t>C:\Users\franc\OneDrive\Documentos\MALENTIN KARIME\BANCO ESTADO\2012 DEPTO ESCRITURAS fata\Dc Simples\2012 DEPTO ESCRITURAS\cvta protocolizadas\WALDEMAR AGUIRRE.doc</t>
  </si>
  <si>
    <t>C:\Users\franc\OneDrive\Documentos\MALENTIN KARIME\BANCO ESTADO\2012 DEPTO ESCRITURAS fata\Dc Simples\2012 DEPTO ESCRITURAS\cvta protocolizadas\VITAL PASTEN PASTEN a VERONICA ARAYA ALVAREZ (Ovalle).doc</t>
  </si>
  <si>
    <t>C:\Users\franc\OneDrive\Documentos\MALENTIN KARIME\BANCO ESTADO\2012 DEPTO ESCRITURAS fata\Dc Simples\2012 DEPTO ESCRITURAS\cvta protocolizadas\VERONICA ARAYA.doc</t>
  </si>
  <si>
    <t>C:\Users\franc\OneDrive\Documentos\MALENTIN KARIME\BANCO ESTADO\2012 DEPTO ESCRITURAS fata\Dc Simples\2012 DEPTO ESCRITURAS\cvta protocolizadas\SONIA VASQUEZ ROJAS a ANGELICA MUNDACA JOFRE (Ovalle).doc</t>
  </si>
  <si>
    <t>C:\Users\franc\OneDrive\Documentos\MALENTIN KARIME\BANCO ESTADO\2012 DEPTO ESCRITURAS fata\Dc Simples\2012 DEPTO ESCRITURAS\cvta protocolizadas\SONIA JOFRE Rodrigo.doc</t>
  </si>
  <si>
    <t>C:\Users\franc\OneDrive\Documentos\MALENTIN KARIME\BANCO ESTADO\2012 DEPTO ESCRITURAS fata\Dc Simples\2012 DEPTO ESCRITURAS\cvta protocolizadas\SOFIA VELIZ Patty.doc</t>
  </si>
  <si>
    <t>C:\Users\franc\OneDrive\Documentos\MALENTIN KARIME\BANCO ESTADO\2012 DEPTO ESCRITURAS fata\Dc Simples\2012 DEPTO ESCRITURAS\cvta protocolizadas\ROSA AMINTA MUÑOZ.doc</t>
  </si>
  <si>
    <t>C:\Users\franc\OneDrive\Documentos\MALENTIN KARIME\BANCO ESTADO\2012 DEPTO ESCRITURAS fata\Dc Simples\2012 DEPTO ESCRITURAS\cvta protocolizadas\RICARDO CORTES VIDELA.doc</t>
  </si>
  <si>
    <t>C:\Users\franc\OneDrive\Documentos\MALENTIN KARIME\BANCO ESTADO\2012 DEPTO ESCRITURAS fata\Dc Simples\2012 DEPTO ESCRITURAS\cvta protocolizadas\PERLA ARAYA Suplen.doc</t>
  </si>
  <si>
    <t>C:\Users\franc\OneDrive\Documentos\MALENTIN KARIME\BANCO ESTADO\2012 DEPTO ESCRITURAS fata\Dc Simples\2012 DEPTO ESCRITURAS\cvta protocolizadas\PAOLA VICUÑA Suplen.doc</t>
  </si>
  <si>
    <t>C:\Users\franc\OneDrive\Documentos\MALENTIN KARIME\BANCO ESTADO\2012 DEPTO ESCRITURAS fata\Dc Simples\2012 DEPTO ESCRITURAS\cvta protocolizadas\PAOLA CASTRO BONILLA.doc</t>
  </si>
  <si>
    <t>C:\Users\franc\OneDrive\Documentos\MALENTIN KARIME\BANCO ESTADO\2012 DEPTO ESCRITURAS fata\Dc Simples\2012 DEPTO ESCRITURAS\cvta protocolizadas\oriana villarroel.doc</t>
  </si>
  <si>
    <t>C:\Users\franc\OneDrive\Documentos\MALENTIN KARIME\BANCO ESTADO\2012 DEPTO ESCRITURAS fata\Dc Simples\2012 DEPTO ESCRITURAS\cvta protocolizadas\NISENKAREN SANCHEZ SANCHEZ.doc</t>
  </si>
  <si>
    <t>C:\Users\franc\OneDrive\Documentos\MALENTIN KARIME\BANCO ESTADO\2012 DEPTO ESCRITURAS fata\Dc Simples\2012 DEPTO ESCRITURAS\cvta protocolizadas\MIGUEL ANGEL SALINAS BAHAMONDES a PERLA ARAYA ROBLES Abril 13.doc</t>
  </si>
  <si>
    <t>C:\Users\franc\OneDrive\Documentos\MALENTIN KARIME\BANCO ESTADO\2012 DEPTO ESCRITURAS fata\Dc Simples\2012 DEPTO ESCRITURAS\cvta protocolizadas\MARJORIE ARAYA.doc</t>
  </si>
  <si>
    <t>C:\Users\franc\OneDrive\Documentos\MALENTIN KARIME\BANCO ESTADO\2012 DEPTO ESCRITURAS fata\Dc Simples\2012 DEPTO ESCRITURAS\cvta protocolizadas\MARICEL RAMIREZ.doc</t>
  </si>
  <si>
    <t>C:\Users\franc\OneDrive\Documentos\MALENTIN KARIME\BANCO ESTADO\2012 DEPTO ESCRITURAS fata\Dc Simples\2012 DEPTO ESCRITURAS\cvta protocolizadas\MARIANA MUÑOZ ALVAREZ a SONIA JOFRE JOFRE (Ovalle).doc</t>
  </si>
  <si>
    <t>C:\Users\franc\OneDrive\Documentos\MALENTIN KARIME\BANCO ESTADO\2012 DEPTO ESCRITURAS fata\Dc Simples\2012 DEPTO ESCRITURAS\cvta protocolizadas\MARIA TAPIA TRONCOSO Rc.doc</t>
  </si>
  <si>
    <t>C:\Users\franc\OneDrive\Documentos\MALENTIN KARIME\BANCO ESTADO\2012 DEPTO ESCRITURAS fata\Dc Simples\2012 DEPTO ESCRITURAS\cvta protocolizadas\MARIA TABILO RODRIGUEZ a ALEJANDRINA ANDRADE GALLARDO (Ovalle).doc</t>
  </si>
  <si>
    <t>C:\Users\franc\OneDrive\Documentos\MALENTIN KARIME\BANCO ESTADO\2012 DEPTO ESCRITURAS fata\Dc Simples\2012 DEPTO ESCRITURAS\cvta protocolizadas\MARIA RAMIREZ SEGURA a MARICEL RAMIREZ DIAZ (Ovalle)DIC.doc</t>
  </si>
  <si>
    <t>C:\Users\franc\OneDrive\Documentos\MALENTIN KARIME\BANCO ESTADO\2012 DEPTO ESCRITURAS fata\Dc Simples\2012 DEPTO ESCRITURAS\cvta protocolizadas\MARIA JOFRE ARIAS.doc</t>
  </si>
  <si>
    <t>C:\Users\franc\OneDrive\Documentos\MALENTIN KARIME\BANCO ESTADO\2012 DEPTO ESCRITURAS fata\Dc Simples\2012 DEPTO ESCRITURAS\cvta protocolizadas\MARIA CARVAJAL GUERRERO a GLORIA BLANCO BUGUEÑO (Ovalle).doc</t>
  </si>
  <si>
    <t>C:\Users\franc\OneDrive\Documentos\MALENTIN KARIME\BANCO ESTADO\2012 DEPTO ESCRITURAS fata\Dc Simples\2012 DEPTO ESCRITURAS\cvta protocolizadas\MARIA ANTONIETA NAVARRO TAPIA a PAOLA CASTRO BONILLA (Agostole).doc</t>
  </si>
  <si>
    <t>C:\Users\franc\OneDrive\Documentos\MALENTIN KARIME\BANCO ESTADO\2012 DEPTO ESCRITURAS fata\Dc Simples\2012 DEPTO ESCRITURAS\cvta protocolizadas\MARCO ANTONIO ADAOS POZO a YERKA ORTIZ MALUENDA (Ovalle).doc</t>
  </si>
  <si>
    <t>C:\Users\franc\OneDrive\Documentos\MALENTIN KARIME\BANCO ESTADO\2012 DEPTO ESCRITURAS fata\Dc Simples\2012 DEPTO ESCRITURAS\cvta protocolizadas\MARCIA LOPEZ LOPEZ a MARJORIE ARAYA ROBLES (Ovalle).doc</t>
  </si>
  <si>
    <t>C:\Users\franc\OneDrive\Documentos\MALENTIN KARIME\BANCO ESTADO\2012 DEPTO ESCRITURAS fata\Dc Simples\2012 DEPTO ESCRITURAS\cvta protocolizadas\MARCELA GARCIA ARAYA.doc</t>
  </si>
  <si>
    <t>C:\Users\franc\OneDrive\Documentos\MALENTIN KARIME\BANCO ESTADO\2012 DEPTO ESCRITURAS fata\Dc Simples\2012 DEPTO ESCRITURAS\cvta protocolizadas\LUISA JOSEFINA.doc</t>
  </si>
  <si>
    <t>C:\Users\franc\OneDrive\Documentos\MALENTIN KARIME\BANCO ESTADO\2012 DEPTO ESCRITURAS fata\Dc Simples\2012 DEPTO ESCRITURAS\cvta protocolizadas\LUISA JOSEFINA LETELIER a WILLIAM CARMONA SANCHEZ (Ovalle).doc</t>
  </si>
  <si>
    <t>C:\Users\franc\OneDrive\Documentos\MALENTIN KARIME\BANCO ESTADO\2012 DEPTO ESCRITURAS fata\Dc Simples\2012 DEPTO ESCRITURAS\cvta protocolizadas\LUIS MIRANDA VEGA.doc</t>
  </si>
  <si>
    <t>C:\Users\franc\OneDrive\Documentos\MALENTIN KARIME\BANCO ESTADO\2012 DEPTO ESCRITURAS fata\Dc Simples\2012 DEPTO ESCRITURAS\cvta protocolizadas\LUCINDA BEATRIZ ROJAS ROJAS a ESTER PAULINA LOPEZ GONZALEZ(Ovalle).doc</t>
  </si>
  <si>
    <t>C:\Users\franc\OneDrive\Documentos\MALENTIN KARIME\BANCO ESTADO\2012 DEPTO ESCRITURAS fata\Dc Simples\2012 DEPTO ESCRITURAS\cvta protocolizadas\LORENA ARAYA.doc</t>
  </si>
  <si>
    <t>C:\Users\franc\OneDrive\Documentos\MALENTIN KARIME\BANCO ESTADO\2012 DEPTO ESCRITURAS fata\Dc Simples\2012 DEPTO ESCRITURAS\cvta protocolizadas\JUAN CARLOS PAYEROS CASTRO a BRAULIO JUICA ESTAY (OVALLE).doc</t>
  </si>
  <si>
    <t>C:\Users\franc\OneDrive\Documentos\MALENTIN KARIME\BANCO ESTADO\2012 DEPTO ESCRITURAS fata\Dc Simples\2012 DEPTO ESCRITURAS\cvta protocolizadas\JOSELITO CORTES PIÑONES a PAMELA CASTRO MIRANDA (OVALLE-divorciado).doc</t>
  </si>
  <si>
    <t>C:\Users\franc\OneDrive\Documentos\MALENTIN KARIME\BANCO ESTADO\2012 DEPTO ESCRITURAS fata\Dc Simples\2012 DEPTO ESCRITURAS\cvta protocolizadas\JOSELITO CORTES  Suplente Patty.doc</t>
  </si>
  <si>
    <t>C:\Users\franc\OneDrive\Documentos\MALENTIN KARIME\BANCO ESTADO\2012 DEPTO ESCRITURAS fata\Dc Simples\2012 DEPTO ESCRITURAS\cvta protocolizadas\JOSE ARAYA RAMIREZ a ROSA MUÑOZ ARAYA (Ovalle).doc</t>
  </si>
  <si>
    <t>C:\Users\franc\OneDrive\Documentos\MALENTIN KARIME\BANCO ESTADO\2012 DEPTO ESCRITURAS fata\Dc Simples\2012 DEPTO ESCRITURAS\cvta protocolizadas\JOHANA FLORS.doc</t>
  </si>
  <si>
    <t>C:\Users\franc\OneDrive\Documentos\MALENTIN KARIME\BANCO ESTADO\2012 DEPTO ESCRITURAS fata\Dc Simples\2012 DEPTO ESCRITURAS\cvta protocolizadas\JESSICA JOPIA VALDES.doc</t>
  </si>
  <si>
    <t>C:\Users\franc\OneDrive\Documentos\MALENTIN KARIME\BANCO ESTADO\2012 DEPTO ESCRITURAS fata\Dc Simples\2012 DEPTO ESCRITURAS\cvta protocolizadas\JESSICA AROSTICA Rodrigo.doc</t>
  </si>
  <si>
    <t>C:\Users\franc\OneDrive\Documentos\MALENTIN KARIME\BANCO ESTADO\2012 DEPTO ESCRITURAS fata\Dc Simples\2012 DEPTO ESCRITURAS\cvta protocolizadas\JENNY VEGA OSSANDON a NISSEN SANCHEZ SANCHEZ (Agosto).doc</t>
  </si>
  <si>
    <t>C:\Users\franc\OneDrive\Documentos\MALENTIN KARIME\BANCO ESTADO\2012 DEPTO ESCRITURAS fata\Dc Simples\2012 DEPTO ESCRITURAS\cvta protocolizadas\JEIMY TERESA PONCE CONTRERAS poder extr.doc</t>
  </si>
  <si>
    <t>C:\Users\franc\OneDrive\Documentos\MALENTIN KARIME\BANCO ESTADO\2012 DEPTO ESCRITURAS fata\Dc Simples\2012 DEPTO ESCRITURAS\cvta protocolizadas\JEIMY PONCE.doc</t>
  </si>
  <si>
    <t>C:\Users\franc\OneDrive\Documentos\MALENTIN KARIME\BANCO ESTADO\2012 DEPTO ESCRITURAS fata\Dc Simples\2012 DEPTO ESCRITURAS\cvta protocolizadas\JACQUELINE JOFRE GONZALEZ a CLAUDIO CASANGA ARAYA (Ovalle).doc</t>
  </si>
  <si>
    <t>C:\Users\franc\OneDrive\Documentos\MALENTIN KARIME\BANCO ESTADO\2012 DEPTO ESCRITURAS fata\Dc Simples\2012 DEPTO ESCRITURAS\cvta protocolizadas\IDOLIA TAPIA VALDIVIA a JESSICA AROSTICA VEGA (Agosto).doc</t>
  </si>
  <si>
    <t>C:\Users\franc\OneDrive\Documentos\MALENTIN KARIME\BANCO ESTADO\2012 DEPTO ESCRITURAS fata\Dc Simples\2012 DEPTO ESCRITURAS\cvta protocolizadas\HERNAN ANTONIO ALFARO HIDALGO a JEIMY TERESA PONCE CONTRERAS (Ovalle).doc</t>
  </si>
  <si>
    <t>C:\Users\franc\OneDrive\Documentos\MALENTIN KARIME\BANCO ESTADO\2012 DEPTO ESCRITURAS fata\Dc Simples\2012 DEPTO ESCRITURAS\cvta protocolizadas\GLORIA B LANCO.doc</t>
  </si>
  <si>
    <t>C:\Users\franc\OneDrive\Documentos\MALENTIN KARIME\BANCO ESTADO\2012 DEPTO ESCRITURAS fata\Dc Simples\2012 DEPTO ESCRITURAS\cvta protocolizadas\FRESIA ARAYA RAMOS A MARIA TAPIA (Ovalle).doc</t>
  </si>
  <si>
    <t>C:\Users\franc\OneDrive\Documentos\MALENTIN KARIME\BANCO ESTADO\2012 DEPTO ESCRITURAS fata\Dc Simples\2012 DEPTO ESCRITURAS\cvta protocolizadas\FRANCIS HORMAZABAL.doc</t>
  </si>
  <si>
    <t>C:\Users\franc\OneDrive\Documentos\MALENTIN KARIME\BANCO ESTADO\2012 DEPTO ESCRITURAS fata\Dc Simples\2012 DEPTO ESCRITURAS\cvta protocolizadas\firma.doc</t>
  </si>
  <si>
    <t>C:\Users\franc\OneDrive\Documentos\MALENTIN KARIME\BANCO ESTADO\2012 DEPTO ESCRITURAS fata\Dc Simples\2012 DEPTO ESCRITURAS\cvta protocolizadas\FERNANDO VEGA VIGORENA a CLAUDIA MALUENDA CARVAJAL (Ovalle) ART.150.doc</t>
  </si>
  <si>
    <t>C:\Users\franc\OneDrive\Documentos\MALENTIN KARIME\BANCO ESTADO\2012 DEPTO ESCRITURAS fata\Dc Simples\2012 DEPTO ESCRITURAS\cvta protocolizadas\EVELYN VEGA GONZÁLEZ.doc</t>
  </si>
  <si>
    <t>C:\Users\franc\OneDrive\Documentos\MALENTIN KARIME\BANCO ESTADO\2012 DEPTO ESCRITURAS fata\Dc Simples\2012 DEPTO ESCRITURAS\cvta protocolizadas\ESTER SEGOVIA ORTIZ a MARIA JOFRE ARIAS (OVALLE-separada 150).doc</t>
  </si>
  <si>
    <t>C:\Users\franc\OneDrive\Documentos\MALENTIN KARIME\BANCO ESTADO\2012 DEPTO ESCRITURAS fata\Dc Simples\2012 DEPTO ESCRITURAS\cvta protocolizadas\ESTER LOPEZ GONZALEZ.doc</t>
  </si>
  <si>
    <t>C:\Users\franc\OneDrive\Documentos\MALENTIN KARIME\BANCO ESTADO\2012 DEPTO ESCRITURAS fata\Dc Simples\2012 DEPTO ESCRITURAS\cvta protocolizadas\ELIZABETH TAPIA SARRIA a PAOLA VICUÑA CORTES (OVALLE- autorizacion cónyuge).doc</t>
  </si>
  <si>
    <t>C:\Users\franc\OneDrive\Documentos\MALENTIN KARIME\BANCO ESTADO\2012 DEPTO ESCRITURAS fata\Dc Simples\2012 DEPTO ESCRITURAS\cvta protocolizadas\DANIEL ALFONSO CORTES PEREZ a YARITZA BARRIENTOS DINAMARCA (OVALLE-divorciado).doc</t>
  </si>
  <si>
    <t>C:\Users\franc\OneDrive\Documentos\MALENTIN KARIME\BANCO ESTADO\2012 DEPTO ESCRITURAS fata\Dc Simples\2012 DEPTO ESCRITURAS\cvta protocolizadas\CRISTIAN MICHEA CASTRO a YENNY ORREGO CASTILLO (COQUIMBO-CASADO).doc</t>
  </si>
  <si>
    <t>C:\Users\franc\OneDrive\Documentos\MALENTIN KARIME\BANCO ESTADO\2012 DEPTO ESCRITURAS fata\Dc Simples\2012 DEPTO ESCRITURAS\cvta protocolizadas\COMPRAVENTA PAOLA VEGA DS Nº1 SUBSIDIO sergio galleguillos.doc</t>
  </si>
  <si>
    <t>C:\Users\franc\OneDrive\Documentos\MALENTIN KARIME\BANCO ESTADO\2012 DEPTO ESCRITURAS fata\Dc Simples\2012 DEPTO ESCRITURAS\cvta protocolizadas\CLAUDIO CASANGA ARAYA.doc</t>
  </si>
  <si>
    <t>C:\Users\franc\OneDrive\Documentos\MALENTIN KARIME\BANCO ESTADO\2012 DEPTO ESCRITURAS fata\Dc Simples\2012 DEPTO ESCRITURAS\cvta protocolizadas\CLAUDIA MALUENDA.doc</t>
  </si>
  <si>
    <t>C:\Users\franc\OneDrive\Documentos\MALENTIN KARIME\BANCO ESTADO\2012 DEPTO ESCRITURAS fata\Dc Simples\2012 DEPTO ESCRITURAS\cvta protocolizadas\CHRISTIAN ROBLES ARAYA a JOHANA FLORES ROBLES (Ovalle).doc</t>
  </si>
  <si>
    <t>C:\Users\franc\OneDrive\Documentos\MALENTIN KARIME\BANCO ESTADO\2012 DEPTO ESCRITURAS fata\Dc Simples\2012 DEPTO ESCRITURAS\cvta protocolizadas\CECILIA ALBURQUENQUE ARAYA a LUIS MIRANDA VEGA Abril 13.doc</t>
  </si>
  <si>
    <t>C:\Users\franc\OneDrive\Documentos\MALENTIN KARIME\BANCO ESTADO\2012 DEPTO ESCRITURAS fata\Dc Simples\2012 DEPTO ESCRITURAS\cvta protocolizadas\BRAULIO JUICA ESTAY.doc</t>
  </si>
  <si>
    <t>C:\Users\franc\OneDrive\Documentos\MALENTIN KARIME\BANCO ESTADO\2012 DEPTO ESCRITURAS fata\Dc Simples\2012 DEPTO ESCRITURAS\cvta protocolizadas\Aut. firmas.doc</t>
  </si>
  <si>
    <t>C:\Users\franc\OneDrive\Documentos\MALENTIN KARIME\BANCO ESTADO\2012 DEPTO ESCRITURAS fata\Dc Simples\2012 DEPTO ESCRITURAS\cvta protocolizadas\ANGELICA MUNDACA JOFRE.doc</t>
  </si>
  <si>
    <t>C:\Users\franc\OneDrive\Documentos\MALENTIN KARIME\BANCO ESTADO\2012 DEPTO ESCRITURAS fata\Dc Simples\2012 DEPTO ESCRITURAS\cvta protocolizadas\ANA MARIA OLIVARES TICUNA.doc</t>
  </si>
  <si>
    <t>C:\Users\franc\OneDrive\Documentos\MALENTIN KARIME\BANCO ESTADO\2012 DEPTO ESCRITURAS fata\Dc Simples\2012 DEPTO ESCRITURAS\cvta protocolizadas\ALEX ASTORGA VALENZUELA a FRANCIS LORENA HORMAZABAL CIFUENTES (Ovalle).doc</t>
  </si>
  <si>
    <t>C:\Users\franc\OneDrive\Documentos\MALENTIN KARIME\BANCO ESTADO\2012 DEPTO ESCRITURAS fata\Dc Simples\2012 DEPTO ESCRITURAS\cvta protocolizadas\ALEJANDRINA ANDRADE.doc</t>
  </si>
  <si>
    <t>C:\Users\franc\OneDrive\Documentos\MALENTIN KARIME\BANCO ESTADO\2012 DEPTO ESCRITURAS fata\Dc Simples\2012 DEPTO ESCRITURAS\COOPEUCH\RODRIGO ARAYA TABILO.doc</t>
  </si>
  <si>
    <t>C:\Users\franc\OneDrive\Documentos\MALENTIN KARIME\BANCO ESTADO\2012 DEPTO ESCRITURAS fata\Dc Simples\2012 DEPTO ESCRITURAS\COOPEUCH\RODRIGO ARAYA TABILO definitiva.doc</t>
  </si>
  <si>
    <t>C:\Users\franc\OneDrive\Documentos\MALENTIN KARIME\BANCO ESTADO\2012 DEPTO ESCRITURAS fata\Dc Simples\2012 DEPTO ESCRITURAS\COOPEUCH\RODRIGO ARAYA TABILO definitiva CON CORRECCIONES.doc</t>
  </si>
  <si>
    <t>C:\Users\franc\OneDrive\Documentos\MALENTIN KARIME\BANCO ESTADO\2012 DEPTO ESCRITURAS fata\Dc Simples\2012 DEPTO ESCRITURAS\COOPEUCH\RODRIGO ANDRES ARAYA TABILO.doc</t>
  </si>
  <si>
    <t>C:\Users\franc\OneDrive\Documentos\MALENTIN KARIME\BANCO ESTADO\2012 DEPTO ESCRITURAS fata\Dc Simples\2012 DEPTO ESCRITURAS\COOPEUCH\PAOLA HORMAZABAL a ANA PIZARRO GOMEZ.doc</t>
  </si>
  <si>
    <t>C:\Users\franc\OneDrive\Documentos\MALENTIN KARIME\BANCO ESTADO\2012 DEPTO ESCRITURAS fata\Dc Simples\2012 DEPTO ESCRITURAS\COOPEUCH\PAOLA HORMAZABAL a ANA PIZARRO GOMEZ visto bueno.doc</t>
  </si>
  <si>
    <t>C:\Users\franc\OneDrive\Documentos\MALENTIN KARIME\BANCO ESTADO\2012 DEPTO ESCRITURAS fata\Dc Simples\2012 DEPTO ESCRITURAS\COOPEUCH\MIRIAN VIDAL ZEPEDA Dic 13.doc</t>
  </si>
  <si>
    <t>C:\Users\franc\OneDrive\Documentos\MALENTIN KARIME\BANCO ESTADO\2012 DEPTO ESCRITURAS fata\Dc Simples\2012 DEPTO ESCRITURAS\COOPEUCH\MIRIAN VIDAL ZEPEDA Dic 13 visto bueno.doc</t>
  </si>
  <si>
    <t>C:\Users\franc\OneDrive\Documentos\MALENTIN KARIME\BANCO ESTADO\2012 DEPTO ESCRITURAS fata\Dc Simples\2012 DEPTO ESCRITURAS\COOPEUCH\MARITZA FLORES NAVARRO Febr 2013.doc</t>
  </si>
  <si>
    <t>C:\Users\franc\OneDrive\Documentos\MALENTIN KARIME\BANCO ESTADO\2012 DEPTO ESCRITURAS fata\Dc Simples\2012 DEPTO ESCRITURAS\COOPEUCH\MARITZA FLORES NAVARRO Febr 2013 VISTO BUENO.doc</t>
  </si>
  <si>
    <t>C:\Users\franc\OneDrive\Documentos\MALENTIN KARIME\BANCO ESTADO\2012 DEPTO ESCRITURAS fata\Dc Simples\2012 DEPTO ESCRITURAS\COOPEUCH\MARCELO HERRERA  Y JUAN AGUILERA SAAVEDRA Dic. 2012.doc</t>
  </si>
  <si>
    <t>C:\Users\franc\OneDrive\Documentos\MALENTIN KARIME\BANCO ESTADO\2012 DEPTO ESCRITURAS fata\Dc Simples\2012 DEPTO ESCRITURAS\COOPEUCH\JUANA MILES GALLARDO Dic..doc</t>
  </si>
  <si>
    <t>C:\Users\franc\OneDrive\Documentos\MALENTIN KARIME\BANCO ESTADO\2012 DEPTO ESCRITURAS fata\Dc Simples\2012 DEPTO ESCRITURAS\COOPEUCH\JOSE VICENCIO RIVERA Revision.doc</t>
  </si>
  <si>
    <t>C:\Users\franc\OneDrive\Documentos\MALENTIN KARIME\BANCO ESTADO\2012 DEPTO ESCRITURAS fata\Dc Simples\2012 DEPTO ESCRITURAS\COOPEUCH\JOSE VICENCIO RIVERA Febrero de 14.doc</t>
  </si>
  <si>
    <t>C:\Users\franc\OneDrive\Documentos\MALENTIN KARIME\BANCO ESTADO\2012 DEPTO ESCRITURAS fata\Dc Simples\2012 DEPTO ESCRITURAS\COOPEUCH\ERNESTO LOPEZ TABILO visto bueno.doc</t>
  </si>
  <si>
    <t>C:\Users\franc\OneDrive\Documentos\MALENTIN KARIME\BANCO ESTADO\2012 DEPTO ESCRITURAS fata\Dc Simples\2012 DEPTO ESCRITURAS\COOPEUCH\ERNESTO LOPEZ TABILO Sept 13.doc</t>
  </si>
  <si>
    <t>C:\Users\franc\OneDrive\Documentos\MALENTIN KARIME\BANCO ESTADO\2012 DEPTO ESCRITURAS fata\Dc Simples\2012 DEPTO ESCRITURAS\COOPEUCH\DOMINGO ROJAS ARAYA Y JUANA MILES GALLARDO Dic..doc</t>
  </si>
  <si>
    <t>C:\Users\franc\OneDrive\Documentos\MALENTIN KARIME\BANCO ESTADO\2012 DEPTO ESCRITURAS fata\Dc Simples\2012 DEPTO ESCRITURAS\COOPEUCH\DOMINGO ROJAS ARAYA Y JUANA MILES GALLARDO  VISTO BUENO.doc</t>
  </si>
  <si>
    <t>C:\Users\franc\OneDrive\Documentos\MALENTIN KARIME\BANCO ESTADO\2012 DEPTO ESCRITURAS fata\Dc Simples\2012 DEPTO ESCRITURAS\COOPEUCH\carta resguardo.doc</t>
  </si>
  <si>
    <t>C:\Users\franc\OneDrive\Documentos\MALENTIN KARIME\BANCO ESTADO\2012 DEPTO ESCRITURAS fata\Dc Simples\2012 DEPTO ESCRITURAS\COOPEUCH\carta resguardo iii.doc</t>
  </si>
  <si>
    <t>C:\Users\franc\OneDrive\Documentos\MALENTIN KARIME\BANCO ESTADO\2012 DEPTO ESCRITURAS fata\Dc Simples\2012 DEPTO ESCRITURAS\COOPEUCH\carta resguardo ii.doc</t>
  </si>
  <si>
    <t>C:\Users\franc\OneDrive\Documentos\MALENTIN KARIME\BANCO ESTADO\2012 DEPTO ESCRITURAS fata\Dc Simples\2012 DEPTO ESCRITURAS\COOPEUCH\CAROLINA VIGORENA Y VICTOR COFRE.doc</t>
  </si>
  <si>
    <t>C:\Users\franc\OneDrive\Documentos\MALENTIN KARIME\BANCO ESTADO\2012 DEPTO ESCRITURAS fata\Dc Simples\2012 DEPTO ESCRITURAS\COOPEUCH\CAROLINA VIGORENA Y VICTOR COFRE II.doc</t>
  </si>
  <si>
    <t>C:\Users\franc\OneDrive\Documentos\MALENTIN KARIME\BANCO ESTADO\2012 DEPTO ESCRITURAS fata\Dc Simples\2012 DEPTO ESCRITURAS\Contrato de UVA\SOCIEDAD AGRICOLA LOS NOGALES Y MAL PASO Contrato uva.doc</t>
  </si>
  <si>
    <t>C:\Users\franc\OneDrive\Documentos\MALENTIN KARIME\BANCO ESTADO\2012 DEPTO ESCRITURAS fata\Dc Simples\2012 DEPTO ESCRITURAS\Contrato de UVA\SERGIO RIVERA  Y AGRICOLA MAL PASO Contrato uva.doc</t>
  </si>
  <si>
    <t>C:\Users\franc\OneDrive\Documentos\MALENTIN KARIME\BANCO ESTADO\2012 DEPTO ESCRITURAS fata\Dc Simples\2012 DEPTO ESCRITURAS\Contrato de UVA\Pagaré Sergio Rivera 2014.doc</t>
  </si>
  <si>
    <t>C:\Users\franc\OneDrive\Documentos\MALENTIN KARIME\BANCO ESTADO\2012 DEPTO ESCRITURAS fata\Dc Simples\2012 DEPTO ESCRITURAS\Contrato de UVA\Exportadora SENEL A Hacienda MAL PASO.doc</t>
  </si>
  <si>
    <t>C:\Users\franc\OneDrive\Documentos\MALENTIN KARIME\BANCO ESTADO\2012 DEPTO ESCRITURAS fata\Dc Simples\2012 DEPTO ESCRITURAS\COMPLEMETA\VICTOR ARAYA SILVA Compl. Proh. Legal.doc</t>
  </si>
  <si>
    <t>C:\Users\franc\OneDrive\Documentos\MALENTIN KARIME\BANCO ESTADO\2012 DEPTO ESCRITURAS fata\Dc Simples\2012 DEPTO ESCRITURAS\COMPLEMETA\VALENTIN CONTRERAS A GABRIEL VELIZ.doc</t>
  </si>
  <si>
    <t>C:\Users\franc\OneDrive\Documentos\MALENTIN KARIME\BANCO ESTADO\2012 DEPTO ESCRITURAS fata\Dc Simples\2012 DEPTO ESCRITURAS\COMPLEMETA\SOFIA OLIVARES Abogado.doc</t>
  </si>
  <si>
    <t>C:\Users\franc\OneDrive\Documentos\MALENTIN KARIME\BANCO ESTADO\2012 DEPTO ESCRITURAS fata\Dc Simples\2012 DEPTO ESCRITURAS\COMPLEMETA\OSCAR ANGEL GONZALEZ Compl. Proh. Legal.doc</t>
  </si>
  <si>
    <t>C:\Users\franc\OneDrive\Documentos\MALENTIN KARIME\BANCO ESTADO\2012 DEPTO ESCRITURAS fata\Dc Simples\2012 DEPTO ESCRITURAS\COMPLEMETA\LUIS GALLARDO OSORIO.doc</t>
  </si>
  <si>
    <t>C:\Users\franc\OneDrive\Documentos\MALENTIN KARIME\BANCO ESTADO\2012 DEPTO ESCRITURAS fata\Dc Simples\2012 DEPTO ESCRITURAS\COMPLEMETA\DILIA CARVAJAL OLIVARES Complementacion Promesa.doc</t>
  </si>
  <si>
    <t>C:\Users\franc\OneDrive\Documentos\MALENTIN KARIME\BANCO ESTADO\2012 DEPTO ESCRITURAS fata\Dc Simples\2012 DEPTO ESCRITURAS\COMPLEMETA\CHRISTIAN CLAVERIA Y JUAN GODOY Soledad Farr.doc</t>
  </si>
  <si>
    <t>C:\Users\franc\OneDrive\Documentos\MALENTIN KARIME\BANCO ESTADO\2012 DEPTO ESCRITURAS fata\Dc Simples\2012 DEPTO ESCRITURAS\COMPLEMETA\CARMEN ALFARO ROCO.doc</t>
  </si>
  <si>
    <t>C:\Users\franc\OneDrive\Documentos\MALENTIN KARIME\BANCO ESTADO\2012 DEPTO ESCRITURAS fata\Dc Simples\2012 DEPTO ESCRITURAS\COMPLEMETA\ARSEN GRIGORIAN Deslindes.doc</t>
  </si>
  <si>
    <t>C:\Users\franc\OneDrive\Documentos\MALENTIN KARIME\BANCO ESTADO\2012 DEPTO ESCRITURAS fata\Dc Simples\2012 DEPTO ESCRITURAS\COMODATO\LILANA ALFARO A  CLUB CONDOR HUALLILLINGA.doc</t>
  </si>
  <si>
    <t>C:\Users\franc\OneDrive\Documentos\MALENTIN KARIME\BANCO ESTADO\2012 DEPTO ESCRITURAS fata\Dc Simples\2012 DEPTO ESCRITURAS\COMODATO\FLORENCIO ALAYAN BRICEÑO Minuta.doc</t>
  </si>
  <si>
    <t>C:\Users\franc\OneDrive\Documentos\MALENTIN KARIME\BANCO ESTADO\2012 DEPTO ESCRITURAS fata\Dc Simples\2012 DEPTO ESCRITURAS\COMODATO\comodato CLUB CONDOR HUALLILLINGA.doc</t>
  </si>
  <si>
    <t>C:\Users\franc\OneDrive\Documentos\MALENTIN KARIME\BANCO ESTADO\2012 DEPTO ESCRITURAS fata\Dc Simples\2012 DEPTO ESCRITURAS\COMODATO\comodato CLUB CONDOR HUALLILLINGA I.doc</t>
  </si>
  <si>
    <t>C:\Users\franc\OneDrive\Documentos\MALENTIN KARIME\BANCO ESTADO\2012 DEPTO ESCRITURAS fata\Dc Simples\2012 DEPTO ESCRITURAS\COLOMBRES\PROMESAS\Autorizo las firmas de don PEDRO LUIS RICALDE BORBOLLA.doc</t>
  </si>
  <si>
    <t>C:\Users\franc\OneDrive\Documentos\MALENTIN KARIME\BANCO ESTADO\2012 DEPTO ESCRITURAS fata\Dc Simples\2012 DEPTO ESCRITURAS\COLOMBRES\LA RECOLETA\LUISA ESPINOZA SOTO katty.doc</t>
  </si>
  <si>
    <t>C:\Users\franc\OneDrive\Documentos\MALENTIN KARIME\BANCO ESTADO\2012 DEPTO ESCRITURAS fata\Dc Simples\2012 DEPTO ESCRITURAS\COLOMBRES\LA RECOLETA\Escritura Borrador Luisa Espinosa.doc</t>
  </si>
  <si>
    <t>C:\Users\franc\OneDrive\Documentos\MALENTIN KARIME\BANCO ESTADO\2012 DEPTO ESCRITURAS fata\Dc Simples\2012 DEPTO ESCRITURAS\COLOMBRES\LA RECOLETA\CLAUDIA ESPINOSA SOTO.doc</t>
  </si>
  <si>
    <t>C:\Users\franc\OneDrive\Documentos\MALENTIN KARIME\BANCO ESTADO\2012 DEPTO ESCRITURAS fata\Dc Simples\2012 DEPTO ESCRITURAS\COLOMBRES\SOCIEDAD AGRICOLA Y MOLINERA SANTA MARIA Cancelación precio ovalle.doc</t>
  </si>
  <si>
    <t>C:\Users\franc\OneDrive\Documentos\MALENTIN KARIME\BANCO ESTADO\2012 DEPTO ESCRITURAS fata\Dc Simples\2012 DEPTO ESCRITURAS\COLOMBRES\ORIEL ROBLES VICENCIO (CVTA MUTUO)-1.doc</t>
  </si>
  <si>
    <t>C:\Users\franc\OneDrive\Documentos\MALENTIN KARIME\BANCO ESTADO\2012 DEPTO ESCRITURAS fata\Dc Simples\2012 DEPTO ESCRITURAS\COLOMBRES\instrucciones3.doc</t>
  </si>
  <si>
    <t>C:\Users\franc\OneDrive\Documentos\MALENTIN KARIME\BANCO ESTADO\2012 DEPTO ESCRITURAS fata\Dc Simples\2012 DEPTO ESCRITURAS\COLOMBRES\instrucciones2.doc</t>
  </si>
  <si>
    <t>C:\Users\franc\OneDrive\Documentos\MALENTIN KARIME\BANCO ESTADO\2012 DEPTO ESCRITURAS fata\Dc Simples\2012 DEPTO ESCRITURAS\COLOMBRES\instrucciones.doc</t>
  </si>
  <si>
    <t>C:\Users\franc\OneDrive\Documentos\MALENTIN KARIME\BANCO ESTADO\2012 DEPTO ESCRITURAS fata\Dc Simples\2012 DEPTO ESCRITURAS\COLOMBRES\GABRIELMESQUIDA A RODRIGO RICALDE.doc</t>
  </si>
  <si>
    <t>C:\Users\franc\OneDrive\Documentos\MALENTIN KARIME\BANCO ESTADO\2012 DEPTO ESCRITURAS fata\Dc Simples\2012 DEPTO ESCRITURAS\COLOMBRES\DECLARACION JURADA.doc</t>
  </si>
  <si>
    <t>C:\Users\franc\OneDrive\Documentos\MALENTIN KARIME\BANCO ESTADO\2012 DEPTO ESCRITURAS fata\Dc Simples\2012 DEPTO ESCRITURAS\COLOMBRES\CERTIFICADO RECEP FINAL.doc</t>
  </si>
  <si>
    <t>C:\Users\franc\OneDrive\Documentos\MALENTIN KARIME\BANCO ESTADO\2012 DEPTO ESCRITURAS fata\Dc Simples\2012 DEPTO ESCRITURAS\CLAUDIO CASTILLO\RUBEN GOTTREEUX A MARIA BARRAZA.doc</t>
  </si>
  <si>
    <t>C:\Users\franc\OneDrive\Documentos\MALENTIN KARIME\BANCO ESTADO\2012 DEPTO ESCRITURAS fata\Dc Simples\2012 DEPTO ESCRITURAS\CLAUDIO CASTILLO\PEDRO OLIVARES Y Silvia Romero Transaccion.doc</t>
  </si>
  <si>
    <t>C:\Users\franc\OneDrive\Documentos\MALENTIN KARIME\BANCO ESTADO\2012 DEPTO ESCRITURAS fata\Dc Simples\2012 DEPTO ESCRITURAS\CLAUDIO CASTILLO\Patricio_Araya_Godoy_a_Erwin_Rojas_Bolados[1].doc</t>
  </si>
  <si>
    <t>C:\Users\franc\OneDrive\Documentos\MALENTIN KARIME\BANCO ESTADO\2012 DEPTO ESCRITURAS fata\Dc Simples\2012 DEPTO ESCRITURAS\CLAUDIO CASTILLO\MARIA LUISA BARRAZA OLIVARES Instrucciones.doc</t>
  </si>
  <si>
    <t>C:\Users\franc\OneDrive\Documentos\MALENTIN KARIME\BANCO ESTADO\2012 DEPTO ESCRITURAS fata\Dc Simples\2012 DEPTO ESCRITURAS\CLAUDIO CASTILLO\MARIA BARRIOS ROJAS A PAMELA GUTIERREZ.doc</t>
  </si>
  <si>
    <t>C:\Users\franc\OneDrive\Documentos\MALENTIN KARIME\BANCO ESTADO\2012 DEPTO ESCRITURAS fata\Dc Simples\2012 DEPTO ESCRITURAS\CLAUDIO CASTILLO\JAIME CASTILLO A MARIZA ARAYA Pendiente.doc</t>
  </si>
  <si>
    <t>C:\Users\franc\OneDrive\Documentos\MALENTIN KARIME\BANCO ESTADO\2012 DEPTO ESCRITURAS fata\Dc Simples\2012 DEPTO ESCRITURAS\CLAUDIO CASTILLO\compraventa con divorcio.doc</t>
  </si>
  <si>
    <t>C:\Users\franc\OneDrive\Documentos\MALENTIN KARIME\BANCO ESTADO\2012 DEPTO ESCRITURAS fata\Dc Simples\2012 DEPTO ESCRITURAS\CLAUDIO CASTILLO\ANA ROJAS BRITO A ROBERTO MUÑOZ ROJAS.doc</t>
  </si>
  <si>
    <t>C:\Users\franc\OneDrive\Documentos\MALENTIN KARIME\BANCO ESTADO\2012 DEPTO ESCRITURAS fata\Dc Simples\2012 DEPTO ESCRITURAS\CLAUDIO CASTILLO\ANA ROJAS BRITO A ANA MUÑOZ.doc</t>
  </si>
  <si>
    <t>C:\Users\franc\OneDrive\Documentos\MALENTIN KARIME\BANCO ESTADO\2012 DEPTO ESCRITURAS fata\Dc Simples\2012 DEPTO ESCRITURAS\CLAUDIO ARDILES\VERONICA MORGADO Y EDITH MORALES.doc</t>
  </si>
  <si>
    <t>C:\Users\franc\OneDrive\Documentos\MALENTIN KARIME\BANCO ESTADO\2012 DEPTO ESCRITURAS fata\Dc Simples\2012 DEPTO ESCRITURAS\CLAUDIO ARDILES\TELLCOR A ALVARO MAYA.doc</t>
  </si>
  <si>
    <t>C:\Users\franc\OneDrive\Documentos\MALENTIN KARIME\BANCO ESTADO\2012 DEPTO ESCRITURAS fata\Dc Simples\2012 DEPTO ESCRITURAS\CLAUDIO ARDILES\Sociedad SANTA ROSA.doc</t>
  </si>
  <si>
    <t>C:\Users\franc\OneDrive\Documentos\MALENTIN KARIME\BANCO ESTADO\2012 DEPTO ESCRITURAS fata\Dc Simples\2012 DEPTO ESCRITURAS\CLAUDIO ARDILES\SANTA ROSA LTDA. Extracto.doc</t>
  </si>
  <si>
    <t>C:\Users\franc\OneDrive\Documentos\MALENTIN KARIME\BANCO ESTADO\2012 DEPTO ESCRITURAS fata\Dc Simples\2012 DEPTO ESCRITURAS\CLAUDIO ARDILES\PEDRO TIRADO Y Eduardo Miranda cvta pacto.doc</t>
  </si>
  <si>
    <t>C:\Users\franc\OneDrive\Documentos\MALENTIN KARIME\BANCO ESTADO\2012 DEPTO ESCRITURAS fata\Dc Simples\2012 DEPTO ESCRITURAS\CLAUDIO ARDILES\PEDRO TIRADO A EDO. MIRANDA Promesa privada.doc</t>
  </si>
  <si>
    <t>C:\Users\franc\OneDrive\Documentos\MALENTIN KARIME\BANCO ESTADO\2012 DEPTO ESCRITURAS fata\Dc Simples\2012 DEPTO ESCRITURAS\CLAUDIO ARDILES\MARISA ALVAREZ CHANDIA mandato general.doc</t>
  </si>
  <si>
    <t>C:\Users\franc\OneDrive\Documentos\MALENTIN KARIME\BANCO ESTADO\2012 DEPTO ESCRITURAS fata\Dc Simples\2012 DEPTO ESCRITURAS\CLAUDIO ARDILES\MARCIAL MELLADO Y OTROS A Agricola Norteandino.doc</t>
  </si>
  <si>
    <t>C:\Users\franc\OneDrive\Documentos\MALENTIN KARIME\BANCO ESTADO\2012 DEPTO ESCRITURAS fata\Dc Simples\2012 DEPTO ESCRITURAS\CLAUDIO ARDILES\MARCIAL MELLADO MALUENDA A Agrícola Norteandino.doc</t>
  </si>
  <si>
    <t>C:\Users\franc\OneDrive\Documentos\MALENTIN KARIME\BANCO ESTADO\2012 DEPTO ESCRITURAS fata\Dc Simples\2012 DEPTO ESCRITURAS\CLAUDIO ARDILES\MACARENA TAPIA GALLEGUILLOS Cvta.doc</t>
  </si>
  <si>
    <t>C:\Users\franc\OneDrive\Documentos\MALENTIN KARIME\BANCO ESTADO\2012 DEPTO ESCRITURAS fata\Dc Simples\2012 DEPTO ESCRITURAS\CLAUDIO ARDILES\JORGE CONTRERAS HERRERA A CRISTIAN LATORRE Rectificacion.doc</t>
  </si>
  <si>
    <t>C:\Users\franc\OneDrive\Documentos\MALENTIN KARIME\BANCO ESTADO\2012 DEPTO ESCRITURAS fata\Dc Simples\2012 DEPTO ESCRITURAS\CLAUDIO ARDILES\JORGE CONTRERAS HERRERA A CRISTIAN LATORRE CVTA.doc</t>
  </si>
  <si>
    <t>C:\Users\franc\OneDrive\Documentos\MALENTIN KARIME\BANCO ESTADO\2012 DEPTO ESCRITURAS fata\Dc Simples\2012 DEPTO ESCRITURAS\CLAUDIO ARDILES\JAIME CASTILLO  Cesion derechos.doc</t>
  </si>
  <si>
    <t>C:\Users\franc\OneDrive\Documentos\MALENTIN KARIME\BANCO ESTADO\2012 DEPTO ESCRITURAS fata\Dc Simples\2012 DEPTO ESCRITURAS\CLAUDIO ARDILES\Extracto ASESORIAS CERRO BLANCO.doc</t>
  </si>
  <si>
    <t>C:\Users\franc\OneDrive\Documentos\MALENTIN KARIME\BANCO ESTADO\2012 DEPTO ESCRITURAS fata\Dc Simples\2012 DEPTO ESCRITURAS\CLAUDIO ARDILES\EDUARDO YAGNAN A DIANA FLORES.doc</t>
  </si>
  <si>
    <t>C:\Users\franc\OneDrive\Documentos\MALENTIN KARIME\BANCO ESTADO\2012 DEPTO ESCRITURAS fata\Dc Simples\2012 DEPTO ESCRITURAS\CLAUDIO ARDILES\derecho real de uso NORTEANDINO.doc</t>
  </si>
  <si>
    <t>C:\Users\franc\OneDrive\Documentos\MALENTIN KARIME\BANCO ESTADO\2012 DEPTO ESCRITURAS fata\Dc Simples\2012 DEPTO ESCRITURAS\CLAUDIO ARDILES\Daniela Huerta DECLARACION.doc</t>
  </si>
  <si>
    <t>C:\Users\franc\OneDrive\Documentos\MALENTIN KARIME\BANCO ESTADO\2012 DEPTO ESCRITURAS fata\Dc Simples\2012 DEPTO ESCRITURAS\CLAUDIO ARDILES\cvta 825.doc</t>
  </si>
  <si>
    <t>C:\Users\franc\OneDrive\Documentos\MALENTIN KARIME\BANCO ESTADO\2012 DEPTO ESCRITURAS fata\Dc Simples\2012 DEPTO ESCRITURAS\CLAUDIO ARDILES\CRISTIAN LATORRE MORALES A Claudia Herrera.doc</t>
  </si>
  <si>
    <t>C:\Users\franc\OneDrive\Documentos\MALENTIN KARIME\BANCO ESTADO\2012 DEPTO ESCRITURAS fata\Dc Simples\2012 DEPTO ESCRITURAS\CLAUDIO ARDILES\CRISTIAN LATORRE CON GENESIS LATORRE.doc</t>
  </si>
  <si>
    <t>C:\Users\franc\OneDrive\Documentos\MALENTIN KARIME\BANCO ESTADO\2012 DEPTO ESCRITURAS fata\Dc Simples\2012 DEPTO ESCRITURAS\CLAUDIO ARDILES\COMODATO B SANTANDER.doc</t>
  </si>
  <si>
    <t>C:\Users\franc\OneDrive\Documentos\MALENTIN KARIME\BANCO ESTADO\2012 DEPTO ESCRITURAS fata\Dc Simples\2012 DEPTO ESCRITURAS\CLAUDIO ARDILES\CERRO BLANCO Saneamiento.doc</t>
  </si>
  <si>
    <t>C:\Users\franc\OneDrive\Documentos\MALENTIN KARIME\BANCO ESTADO\2012 DEPTO ESCRITURAS fata\Dc Simples\2012 DEPTO ESCRITURAS\CLAUDIO ARDILES\CARTA TERMINO ADMINISTRACION.doc</t>
  </si>
  <si>
    <t>C:\Users\franc\OneDrive\Documentos\MALENTIN KARIME\BANCO ESTADO\2012 DEPTO ESCRITURAS fata\Dc Simples\2012 DEPTO ESCRITURAS\CLAUDIO ARDILES\CARLOS PERINES ALVAREZ Y OTROS 2.doc</t>
  </si>
  <si>
    <t>C:\Users\franc\OneDrive\Documentos\MALENTIN KARIME\BANCO ESTADO\2012 DEPTO ESCRITURAS fata\Dc Simples\2012 DEPTO ESCRITURAS\CLAUDIO ARDILES\CARLOS PERINES ALVAREZ Y OTROS 2 abogado.doc</t>
  </si>
  <si>
    <t>C:\Users\franc\OneDrive\Documentos\MALENTIN KARIME\BANCO ESTADO\2012 DEPTO ESCRITURAS fata\Dc Simples\2012 DEPTO ESCRITURAS\CLAUDIO ARDILES\CARLOS PERINES ALVAREZ Y OTROS 1.doc</t>
  </si>
  <si>
    <t>C:\Users\franc\OneDrive\Documentos\MALENTIN KARIME\BANCO ESTADO\2012 DEPTO ESCRITURAS fata\Dc Simples\2012 DEPTO ESCRITURAS\CLAUDIO ARDILES\CARLOS PERINES ALVAREZ Y OTROS 1 abogado.doc</t>
  </si>
  <si>
    <t>C:\Users\franc\OneDrive\Documentos\MALENTIN KARIME\BANCO ESTADO\2012 DEPTO ESCRITURAS fata\Dc Simples\2012 DEPTO ESCRITURAS\CLAUDIO ARDILES\ANEXO MELLADO - NORTEANDINO.doc</t>
  </si>
  <si>
    <t>C:\Users\franc\OneDrive\Documentos\MALENTIN KARIME\BANCO ESTADO\2012 DEPTO ESCRITURAS fata\Dc Simples\2012 DEPTO ESCRITURAS\CLAUDIO ARAYA\tectificatoria compra con subsidio.doc</t>
  </si>
  <si>
    <t>C:\Users\franc\OneDrive\Documentos\MALENTIN KARIME\BANCO ESTADO\2012 DEPTO ESCRITURAS fata\Dc Simples\2012 DEPTO ESCRITURAS\CLAUDIO ARAYA\SOCIEDAD MINERA HJ.doc</t>
  </si>
  <si>
    <t>C:\Users\franc\OneDrive\Documentos\MALENTIN KARIME\BANCO ESTADO\2012 DEPTO ESCRITURAS fata\Dc Simples\2012 DEPTO ESCRITURAS\CLAUDIO ARAYA\SOCIEDAD MINERA HJ SCM Resciliacion.doc</t>
  </si>
  <si>
    <t>C:\Users\franc\OneDrive\Documentos\MALENTIN KARIME\BANCO ESTADO\2012 DEPTO ESCRITURAS fata\Dc Simples\2012 DEPTO ESCRITURAS\CLAUDIO ARAYA\ROSA PINTO RAMOS Test.doc</t>
  </si>
  <si>
    <t>C:\Users\franc\OneDrive\Documentos\MALENTIN KARIME\BANCO ESTADO\2012 DEPTO ESCRITURAS fata\Dc Simples\2012 DEPTO ESCRITURAS\CLAUDIO ARAYA\RECIBO DE DINERO.doc</t>
  </si>
  <si>
    <t>C:\Users\franc\OneDrive\Documentos\MALENTIN KARIME\BANCO ESTADO\2012 DEPTO ESCRITURAS fata\Dc Simples\2012 DEPTO ESCRITURAS\CLAUDIO ARAYA\JUAN CARVAJAL y JAVIER ARAYA cvta serviu.doc</t>
  </si>
  <si>
    <t>C:\Users\franc\OneDrive\Documentos\MALENTIN KARIME\BANCO ESTADO\2012 DEPTO ESCRITURAS fata\Dc Simples\2012 DEPTO ESCRITURAS\CLAUDIO ARAYA\JAVIER ARAYA TALAMILLA Protocoliza.doc</t>
  </si>
  <si>
    <t>C:\Users\franc\OneDrive\Documentos\MALENTIN KARIME\BANCO ESTADO\2012 DEPTO ESCRITURAS fata\Dc Simples\2012 DEPTO ESCRITURAS\CLAUDIO ARAYA\JAVIER ARAYA TALAMILLA Prot.doc</t>
  </si>
  <si>
    <t>C:\Users\franc\OneDrive\Documentos\MALENTIN KARIME\BANCO ESTADO\2012 DEPTO ESCRITURAS fata\Dc Simples\2012 DEPTO ESCRITURAS\CLAUDIO ARAYA\JAVIER ARAYA TALAMILLA Prot Rectifica.doc</t>
  </si>
  <si>
    <t>C:\Users\franc\OneDrive\Documentos\MALENTIN KARIME\BANCO ESTADO\2012 DEPTO ESCRITURAS fata\Dc Simples\2012 DEPTO ESCRITURAS\CLAUDIO ARAYA\JAVIER ARAYA TALAMILLA Prot Complementa.doc</t>
  </si>
  <si>
    <t>C:\Users\franc\OneDrive\Documentos\MALENTIN KARIME\BANCO ESTADO\2012 DEPTO ESCRITURAS fata\Dc Simples\2012 DEPTO ESCRITURAS\CLAUDIO ARAYA\Instrucciones Escobar, Claudia - Salamanca, Carmen y Otros.doc</t>
  </si>
  <si>
    <t>C:\Users\franc\OneDrive\Documentos\MALENTIN KARIME\BANCO ESTADO\2012 DEPTO ESCRITURAS fata\Dc Simples\2012 DEPTO ESCRITURAS\CLAUDIO ARAYA\HECTOR VELOZO A JAIME URQUIETA Dacion Febr.doc</t>
  </si>
  <si>
    <t>C:\Users\franc\OneDrive\Documentos\MALENTIN KARIME\BANCO ESTADO\2012 DEPTO ESCRITURAS fata\Dc Simples\2012 DEPTO ESCRITURAS\CLAUDIO ARAYA\FREDDY PINTO RAMOS Test.doc</t>
  </si>
  <si>
    <t>C:\Users\franc\OneDrive\Documentos\MALENTIN KARIME\BANCO ESTADO\2012 DEPTO ESCRITURAS fata\Dc Simples\2012 DEPTO ESCRITURAS\CLAUDIO ARAYA\FELIPE JOFRE TAPIA A CARLOS JOFRE Agosto 13.doc</t>
  </si>
  <si>
    <t>C:\Users\franc\OneDrive\Documentos\MALENTIN KARIME\BANCO ESTADO\2012 DEPTO ESCRITURAS fata\Dc Simples\2012 DEPTO ESCRITURAS\CLAUDIO ARAYA\FELIPE JOFRE A Claudio Jofre y otro.doc</t>
  </si>
  <si>
    <t>C:\Users\franc\OneDrive\Documentos\MALENTIN KARIME\BANCO ESTADO\2012 DEPTO ESCRITURAS fata\Dc Simples\2012 DEPTO ESCRITURAS\CLAUDIO ARAYA\Extracto.doc</t>
  </si>
  <si>
    <t>C:\Users\franc\OneDrive\Documentos\MALENTIN KARIME\BANCO ESTADO\2012 DEPTO ESCRITURAS fata\Dc Simples\2012 DEPTO ESCRITURAS\CLAUDIO ARAYA\EVELYN VEGA GONZÁLEZ.doc</t>
  </si>
  <si>
    <t>C:\Users\franc\OneDrive\Documentos\MALENTIN KARIME\BANCO ESTADO\2012 DEPTO ESCRITURAS fata\Dc Simples\2012 DEPTO ESCRITURAS\CLAUDIO ARAYA\EVELYN VEGA GONZÁLEZ rectifca.doc</t>
  </si>
  <si>
    <t>C:\Users\franc\OneDrive\Documentos\MALENTIN KARIME\BANCO ESTADO\2012 DEPTO ESCRITURAS fata\Dc Simples\2012 DEPTO ESCRITURAS\CLAUDIO ARAYA\EVELYN VEGA GONZALEZRectificatoria compra con subsidio.doc</t>
  </si>
  <si>
    <t>C:\Users\franc\OneDrive\Documentos\MALENTIN KARIME\BANCO ESTADO\2012 DEPTO ESCRITURAS fata\Dc Simples\2012 DEPTO ESCRITURAS\CLAUDIO ARAYA\EDUARDO GODOY E.I.R.L..doc</t>
  </si>
  <si>
    <t>C:\Users\franc\OneDrive\Documentos\MALENTIN KARIME\BANCO ESTADO\2012 DEPTO ESCRITURAS fata\Dc Simples\2012 DEPTO ESCRITURAS\CLAUDIO ARAYA\EDIO GARCIA Y EVELYN VEGA cvta serviu.doc</t>
  </si>
  <si>
    <t>C:\Users\franc\OneDrive\Documentos\MALENTIN KARIME\BANCO ESTADO\2012 DEPTO ESCRITURAS fata\Dc Simples\2012 DEPTO ESCRITURAS\CLAUDIO ARAYA\DOLLY TABILO CARVAJAL A NANCY MERCADO.doc</t>
  </si>
  <si>
    <t>C:\Users\franc\OneDrive\Documentos\MALENTIN KARIME\BANCO ESTADO\2012 DEPTO ESCRITURAS fata\Dc Simples\2012 DEPTO ESCRITURAS\CLAUDIO ARAYA\CRISTINA PINTO Test.doc</t>
  </si>
  <si>
    <t>C:\Users\franc\OneDrive\Documentos\MALENTIN KARIME\BANCO ESTADO\2012 DEPTO ESCRITURAS fata\Dc Simples\2012 DEPTO ESCRITURAS\CLAUDIO ARAYA\CRISTINA PINTO RAMOS testamento.doc</t>
  </si>
  <si>
    <t>C:\Users\franc\OneDrive\Documentos\MALENTIN KARIME\BANCO ESTADO\2012 DEPTO ESCRITURAS fata\Dc Simples\2012 DEPTO ESCRITURAS\CLAUDIO ARAYA\COMPRAVENTA CON USUFRUCTO.doc</t>
  </si>
  <si>
    <t>C:\Users\franc\OneDrive\Documentos\MALENTIN KARIME\BANCO ESTADO\2012 DEPTO ESCRITURAS fata\Dc Simples\2012 DEPTO ESCRITURAS\CLAUDIO ARAYA\COMPRAVENTA AHUMADA CON MARIETTA.doc</t>
  </si>
  <si>
    <t>C:\Users\franc\OneDrive\Documentos\MALENTIN KARIME\BANCO ESTADO\2012 DEPTO ESCRITURAS fata\Dc Simples\2012 DEPTO ESCRITURAS\CLAUDIO ARAYA\Complementaria compra con subsidio II Parte.doc</t>
  </si>
  <si>
    <t>C:\Users\franc\OneDrive\Documentos\MALENTIN KARIME\BANCO ESTADO\2012 DEPTO ESCRITURAS fata\Dc Simples\2012 DEPTO ESCRITURAS\CLAUDIO ARAYA\CARMEN SALAMANCA Y OTROS A CLAUDIA ESCOBAR.doc</t>
  </si>
  <si>
    <t>C:\Users\franc\OneDrive\Documentos\MALENTIN KARIME\BANCO ESTADO\2012 DEPTO ESCRITURAS fata\Dc Simples\2012 DEPTO ESCRITURAS\CLAUDIO ARAYA\CARMEN SALAMANCA Y OTROS A CLAUDIA ESCOBAR  2.doc</t>
  </si>
  <si>
    <t>C:\Users\franc\OneDrive\Documentos\MALENTIN KARIME\BANCO ESTADO\2012 DEPTO ESCRITURAS fata\Dc Simples\2012 DEPTO ESCRITURAS\CLAUDIO ARAYA\ASIMYA A ANA VALDERRAMA.doc</t>
  </si>
  <si>
    <t>C:\Users\franc\OneDrive\Documentos\MALENTIN KARIME\BANCO ESTADO\2012 DEPTO ESCRITURAS fata\Dc Simples\2012 DEPTO ESCRITURAS\CLAUDIO ARAYA\ASIMYA A ANA VALDERRAMA Final.doc</t>
  </si>
  <si>
    <t>C:\Users\franc\OneDrive\Documentos\MALENTIN KARIME\BANCO ESTADO\2012 DEPTO ESCRITURAS fata\Dc Simples\2012 DEPTO ESCRITURAS\CLAUDIO ARAYA\arriendo minero.doc</t>
  </si>
  <si>
    <t>C:\Users\franc\OneDrive\Documentos\MALENTIN KARIME\BANCO ESTADO\2012 DEPTO ESCRITURAS fata\Dc Simples\2012 DEPTO ESCRITURAS\CLAUDIO ARAYA\ALZAMIENTO DL 2695.doc</t>
  </si>
  <si>
    <t>C:\Users\franc\OneDrive\Documentos\MALENTIN KARIME\BANCO ESTADO\2012 DEPTO ESCRITURAS fata\Dc Simples\2012 DEPTO ESCRITURAS\CLAUDIO ARAYA\ALZAMIENTO DL 2695 julio 2013.doc</t>
  </si>
  <si>
    <t>C:\Users\franc\OneDrive\Documentos\MALENTIN KARIME\BANCO ESTADO\2012 DEPTO ESCRITURAS fata\Dc Simples\2012 DEPTO ESCRITURAS\CESION\HEREDITARIOS\WILFREDO VALENCIA GODOY A Jovina Valencia Agosto 13.doc</t>
  </si>
  <si>
    <t>C:\Users\franc\OneDrive\Documentos\MALENTIN KARIME\BANCO ESTADO\2012 DEPTO ESCRITURAS fata\Dc Simples\2012 DEPTO ESCRITURAS\CESION\HEREDITARIOS\sucesion JUVENALIA MAITA.doc</t>
  </si>
  <si>
    <t>C:\Users\franc\OneDrive\Documentos\MALENTIN KARIME\BANCO ESTADO\2012 DEPTO ESCRITURAS fata\Dc Simples\2012 DEPTO ESCRITURAS\CESION\HEREDITARIOS\RUTH PARRA MARIN.doc</t>
  </si>
  <si>
    <t>C:\Users\franc\OneDrive\Documentos\MALENTIN KARIME\BANCO ESTADO\2012 DEPTO ESCRITURAS fata\Dc Simples\2012 DEPTO ESCRITURAS\CESION\HEREDITARIOS\OSCAR CASTILLO ESPINOSA.doc</t>
  </si>
  <si>
    <t>C:\Users\franc\OneDrive\Documentos\MALENTIN KARIME\BANCO ESTADO\2012 DEPTO ESCRITURAS fata\Dc Simples\2012 DEPTO ESCRITURAS\CESION\HEREDITARIOS\MARTA DIGNA SAGUA CORTES.doc</t>
  </si>
  <si>
    <t>C:\Users\franc\OneDrive\Documentos\MALENTIN KARIME\BANCO ESTADO\2012 DEPTO ESCRITURAS fata\Dc Simples\2012 DEPTO ESCRITURAS\CESION\HEREDITARIOS\LUISA CORTES VALENZUELA Minuta C. Ardiles.doc</t>
  </si>
  <si>
    <t>C:\Users\franc\OneDrive\Documentos\MALENTIN KARIME\BANCO ESTADO\2012 DEPTO ESCRITURAS fata\Dc Simples\2012 DEPTO ESCRITURAS\CESION\HEREDITARIOS\CRUZ PIZARRO VEGA A JULIO GALLEGUILLOS.doc</t>
  </si>
  <si>
    <t>C:\Users\franc\OneDrive\Documentos\MALENTIN KARIME\BANCO ESTADO\2012 DEPTO ESCRITURAS fata\Dc Simples\2012 DEPTO ESCRITURAS\CESION\HEREDITARIOS\ANA CORTES CORTES.doc</t>
  </si>
  <si>
    <t>C:\Users\franc\OneDrive\Documentos\MALENTIN KARIME\BANCO ESTADO\2012 DEPTO ESCRITURAS fata\Dc Simples\2012 DEPTO ESCRITURAS\CESION\CDAD\SILVIA PIZARRO BURROES.doc</t>
  </si>
  <si>
    <t>C:\Users\franc\OneDrive\Documentos\MALENTIN KARIME\BANCO ESTADO\2012 DEPTO ESCRITURAS fata\Dc Simples\2012 DEPTO ESCRITURAS\CESION\CDAD\JERMAN ACUÑA A JAVIER AROS.doc</t>
  </si>
  <si>
    <t>C:\Users\franc\OneDrive\Documentos\MALENTIN KARIME\BANCO ESTADO\2012 DEPTO ESCRITURAS fata\Dc Simples\2012 DEPTO ESCRITURAS\CESION\PEDRO TORRES A RUBEN SIERRA.doc</t>
  </si>
  <si>
    <t>C:\Users\franc\OneDrive\Documentos\MALENTIN KARIME\BANCO ESTADO\2012 DEPTO ESCRITURAS fata\Dc Simples\2012 DEPTO ESCRITURAS\CESION\PEDRO TORRES A RUBEN SIERRA Mandato.doc</t>
  </si>
  <si>
    <t>C:\Users\franc\OneDrive\Documentos\MALENTIN KARIME\BANCO ESTADO\2012 DEPTO ESCRITURAS fata\Dc Simples\2012 DEPTO ESCRITURAS\CESION\PEDRO TORRES A RUBEN SIERRA Durruty.doc</t>
  </si>
  <si>
    <t>C:\Users\franc\OneDrive\Documentos\MALENTIN KARIME\BANCO ESTADO\2012 DEPTO ESCRITURAS fata\Dc Simples\2012 DEPTO ESCRITURAS\CESION\GUILLERMO TORREALBA.doc</t>
  </si>
  <si>
    <t>C:\Users\franc\OneDrive\Documentos\MALENTIN KARIME\BANCO ESTADO\2012 DEPTO ESCRITURAS fata\Dc Simples\2012 DEPTO ESCRITURAS\CDAD HUATULAME\MIRTO CORTES ROBLES.doc</t>
  </si>
  <si>
    <t>C:\Users\franc\OneDrive\Documentos\MALENTIN KARIME\BANCO ESTADO\2012 DEPTO ESCRITURAS fata\Dc Simples\2012 DEPTO ESCRITURAS\CANCELACION\SOCIEDAD AGRICOLA DIOGENES ROJAS Y CIA.doc</t>
  </si>
  <si>
    <t>C:\Users\franc\OneDrive\Documentos\MALENTIN KARIME\BANCO ESTADO\2012 DEPTO ESCRITURAS fata\Dc Simples\2012 DEPTO ESCRITURAS\CANCELACION\RODRIGO ALCAYAGA ROMERO Cancelacion.doc</t>
  </si>
  <si>
    <t>C:\Users\franc\OneDrive\Documentos\MALENTIN KARIME\BANCO ESTADO\2012 DEPTO ESCRITURAS fata\Dc Simples\2012 DEPTO ESCRITURAS\CANCELACION\RENATO PEÑAFIEL OLIVARES.doc</t>
  </si>
  <si>
    <t>C:\Users\franc\OneDrive\Documentos\MALENTIN KARIME\BANCO ESTADO\2012 DEPTO ESCRITURAS fata\Dc Simples\2012 DEPTO ESCRITURAS\CANCELACION\PRISCILA ARAYA NARANJO.doc</t>
  </si>
  <si>
    <t>C:\Users\franc\OneDrive\Documentos\MALENTIN KARIME\BANCO ESTADO\2012 DEPTO ESCRITURAS fata\Dc Simples\2012 DEPTO ESCRITURAS\CANCELACION\NOLVIA ALVARADO CORTES Cancelacion.doc</t>
  </si>
  <si>
    <t>C:\Users\franc\OneDrive\Documentos\MALENTIN KARIME\BANCO ESTADO\2012 DEPTO ESCRITURAS fata\Dc Simples\2012 DEPTO ESCRITURAS\CANCELACION\MOISES VARAS RAMIREZ Cancelacion.doc</t>
  </si>
  <si>
    <t>C:\Users\franc\OneDrive\Documentos\MALENTIN KARIME\BANCO ESTADO\2012 DEPTO ESCRITURAS fata\Dc Simples\2012 DEPTO ESCRITURAS\CANCELACION\MARIA ROJAS A PATRICIO CORTES.doc</t>
  </si>
  <si>
    <t>C:\Users\franc\OneDrive\Documentos\MALENTIN KARIME\BANCO ESTADO\2012 DEPTO ESCRITURAS fata\Dc Simples\2012 DEPTO ESCRITURAS\CANCELACION\MARIA ANGELICA CLAUSSEN RODRIGUEZ.doc</t>
  </si>
  <si>
    <t>C:\Users\franc\OneDrive\Documentos\MALENTIN KARIME\BANCO ESTADO\2012 DEPTO ESCRITURAS fata\Dc Simples\2012 DEPTO ESCRITURAS\CANCELACION\MARIA ANGEL ARTAL Cancelacion.doc</t>
  </si>
  <si>
    <t>C:\Users\franc\OneDrive\Documentos\MALENTIN KARIME\BANCO ESTADO\2012 DEPTO ESCRITURAS fata\Dc Simples\2012 DEPTO ESCRITURAS\CANCELACION\MANUEL ROBLES ARAYA.doc</t>
  </si>
  <si>
    <t>C:\Users\franc\OneDrive\Documentos\MALENTIN KARIME\BANCO ESTADO\2012 DEPTO ESCRITURAS fata\Dc Simples\2012 DEPTO ESCRITURAS\CANCELACION\JUAN SEGUNDO GONZALEZ ASENSI Cancelacion.doc</t>
  </si>
  <si>
    <t>C:\Users\franc\OneDrive\Documentos\MALENTIN KARIME\BANCO ESTADO\2012 DEPTO ESCRITURAS fata\Dc Simples\2012 DEPTO ESCRITURAS\CANCELACION\JUAN ANTONIO ACUÑA CASTRO.doc</t>
  </si>
  <si>
    <t>C:\Users\franc\OneDrive\Documentos\MALENTIN KARIME\BANCO ESTADO\2012 DEPTO ESCRITURAS fata\Dc Simples\2012 DEPTO ESCRITURAS\CANCELACION\ARNOLDO ARAYA PINOÑEZ Cancelacion.doc</t>
  </si>
  <si>
    <t>C:\Users\franc\OneDrive\Documentos\MALENTIN KARIME\BANCO ESTADO\2012 DEPTO ESCRITURAS fata\Dc Simples\2012 DEPTO ESCRITURAS\CANCELACION\ANGELO CARVAJAL CARVAJAL.doc</t>
  </si>
  <si>
    <t>C:\Users\franc\OneDrive\Documentos\MALENTIN KARIME\BANCO ESTADO\2012 DEPTO ESCRITURAS fata\Dc Simples\2012 DEPTO ESCRITURAS\CAJudicial\YASNA CORTES LEMUS Octu 13.docx</t>
  </si>
  <si>
    <t>C:\Users\franc\OneDrive\Documentos\MALENTIN KARIME\BANCO ESTADO\2012 DEPTO ESCRITURAS fata\Dc Simples\2012 DEPTO ESCRITURAS\CAJudicial\ROSA CONTRERAS CUELLO.doc</t>
  </si>
  <si>
    <t>C:\Users\franc\OneDrive\Documentos\MALENTIN KARIME\BANCO ESTADO\2012 DEPTO ESCRITURAS fata\Dc Simples\2012 DEPTO ESCRITURAS\CAJudicial\RODRIGO PAYEROS.doc</t>
  </si>
  <si>
    <t>C:\Users\franc\OneDrive\Documentos\MALENTIN KARIME\BANCO ESTADO\2012 DEPTO ESCRITURAS fata\Dc Simples\2012 DEPTO ESCRITURAS\CAJudicial\RODRIGO CASTILLO Mandato judicial.doc</t>
  </si>
  <si>
    <t>C:\Users\franc\OneDrive\Documentos\MALENTIN KARIME\BANCO ESTADO\2012 DEPTO ESCRITURAS fata\Dc Simples\2012 DEPTO ESCRITURAS\CAJudicial\RICARDO ACOSTA Agosto 13.doc</t>
  </si>
  <si>
    <t>C:\Users\franc\OneDrive\Documentos\MALENTIN KARIME\BANCO ESTADO\2012 DEPTO ESCRITURAS fata\Dc Simples\2012 DEPTO ESCRITURAS\CAJudicial\Renuncia Ganacialies georgina ramírez-1.doc</t>
  </si>
  <si>
    <t>C:\Users\franc\OneDrive\Documentos\MALENTIN KARIME\BANCO ESTADO\2012 DEPTO ESCRITURAS fata\Dc Simples\2012 DEPTO ESCRITURAS\CAJudicial\NOLFA MARAMBIO CAYO  Liquidacion DIc 13.doc</t>
  </si>
  <si>
    <t>C:\Users\franc\OneDrive\Documentos\MALENTIN KARIME\BANCO ESTADO\2012 DEPTO ESCRITURAS fata\Dc Simples\2012 DEPTO ESCRITURAS\CAJudicial\NANCY VALENCIA GUERRERO.doc</t>
  </si>
  <si>
    <t>C:\Users\franc\OneDrive\Documentos\MALENTIN KARIME\BANCO ESTADO\2012 DEPTO ESCRITURAS fata\Dc Simples\2012 DEPTO ESCRITURAS\CAJudicial\MARICELA CASTILLO ROJAS Mandato Dic..doc</t>
  </si>
  <si>
    <t>C:\Users\franc\OneDrive\Documentos\MALENTIN KARIME\BANCO ESTADO\2012 DEPTO ESCRITURAS fata\Dc Simples\2012 DEPTO ESCRITURAS\CAJudicial\MAGALY VALDIVIA VARAS.doc</t>
  </si>
  <si>
    <t>C:\Users\franc\OneDrive\Documentos\MALENTIN KARIME\BANCO ESTADO\2012 DEPTO ESCRITURAS fata\Dc Simples\2012 DEPTO ESCRITURAS\CAJudicial\LUIS TABILO y Sandra Contreras Liquidacion Feb 14.doc</t>
  </si>
  <si>
    <t>C:\Users\franc\OneDrive\Documentos\MALENTIN KARIME\BANCO ESTADO\2012 DEPTO ESCRITURAS fata\Dc Simples\2012 DEPTO ESCRITURAS\CAJudicial\LUCY PIZARRO GONZALEZ.doc</t>
  </si>
  <si>
    <t>C:\Users\franc\OneDrive\Documentos\MALENTIN KARIME\BANCO ESTADO\2012 DEPTO ESCRITURAS fata\Dc Simples\2012 DEPTO ESCRITURAS\CAJudicial\Liquidacion sociedad conyugal sandra contreras alvarez corregida.doc</t>
  </si>
  <si>
    <t>C:\Users\franc\OneDrive\Documentos\MALENTIN KARIME\BANCO ESTADO\2012 DEPTO ESCRITURAS fata\Dc Simples\2012 DEPTO ESCRITURAS\CAJudicial\JACINTA ARAYA A NELSON MUÑOZ.doc</t>
  </si>
  <si>
    <t>C:\Users\franc\OneDrive\Documentos\MALENTIN KARIME\BANCO ESTADO\2012 DEPTO ESCRITURAS fata\Dc Simples\2012 DEPTO ESCRITURAS\CAJudicial\GRINELDO TAPIA CANGANA Cesion Octubre 13.doc</t>
  </si>
  <si>
    <t>C:\Users\franc\OneDrive\Documentos\MALENTIN KARIME\BANCO ESTADO\2012 DEPTO ESCRITURAS fata\Dc Simples\2012 DEPTO ESCRITURAS\CAJudicial\GEORGINA RAMIREZRenuncia Ganacialies.doc</t>
  </si>
  <si>
    <t>C:\Users\franc\OneDrive\Documentos\MALENTIN KARIME\BANCO ESTADO\2012 DEPTO ESCRITURAS fata\Dc Simples\2012 DEPTO ESCRITURAS\CAJudicial\ELVIS ALFARO GOMEZ Mandato Julio 2013.doc</t>
  </si>
  <si>
    <t>C:\Users\franc\OneDrive\Documentos\MALENTIN KARIME\BANCO ESTADO\2012 DEPTO ESCRITURAS fata\Dc Simples\2012 DEPTO ESCRITURAS\CAJudicial\DAYSI ROJAS ROAJS.doc</t>
  </si>
  <si>
    <t>C:\Users\franc\OneDrive\Documentos\MALENTIN KARIME\BANCO ESTADO\2012 DEPTO ESCRITURAS fata\Dc Simples\2012 DEPTO ESCRITURAS\CAJudicial\CESAR ESPINOSA PEÑA mandato Dic 13.doc</t>
  </si>
  <si>
    <t>C:\Users\franc\OneDrive\Documentos\MALENTIN KARIME\BANCO ESTADO\2012 DEPTO ESCRITURAS fata\Dc Simples\2012 DEPTO ESCRITURAS\CAJudicial\CELINDA JERALDO ROJAS Agosto 13.doc</t>
  </si>
  <si>
    <t>C:\Users\franc\OneDrive\Documentos\MALENTIN KARIME\BANCO ESTADO\2012 DEPTO ESCRITURAS fata\Dc Simples\2012 DEPTO ESCRITURAS\CAJudicial\CELINDA JERALDO ROJAS Agosto 13 correjido.doc</t>
  </si>
  <si>
    <t>C:\Users\franc\OneDrive\Documentos\MALENTIN KARIME\BANCO ESTADO\2012 DEPTO ESCRITURAS fata\Dc Simples\2012 DEPTO ESCRITURAS\CAJudicial\CARLOS TAPIA CANGANA Cesion Octubre 13.doc</t>
  </si>
  <si>
    <t>C:\Users\franc\OneDrive\Documentos\MALENTIN KARIME\BANCO ESTADO\2012 DEPTO ESCRITURAS fata\Dc Simples\2012 DEPTO ESCRITURAS\CAJudicial\BERTA GUERRERO AGUILERA.doc</t>
  </si>
  <si>
    <t>C:\Users\franc\OneDrive\Documentos\MALENTIN KARIME\BANCO ESTADO\2012 DEPTO ESCRITURAS fata\Dc Simples\2012 DEPTO ESCRITURAS\CAJudicial\BENJAMIN ANGEL ROMERO.doc</t>
  </si>
  <si>
    <t>C:\Users\franc\OneDrive\Documentos\MALENTIN KARIME\BANCO ESTADO\2012 DEPTO ESCRITURAS fata\Dc Simples\2012 DEPTO ESCRITURAS\BOMBEROS\BOMBEROS 8º COMPAÑIA OVALLE  FS 82 v.doc</t>
  </si>
  <si>
    <t>C:\Users\franc\OneDrive\Documentos\MALENTIN KARIME\BANCO ESTADO\2012 DEPTO ESCRITURAS fata\Dc Simples\2012 DEPTO ESCRITURAS\BOMBEROS\BOMBEROS 7º COMPAÑIA OVALLE  FS 89 v.doc</t>
  </si>
  <si>
    <t>C:\Users\franc\OneDrive\Documentos\MALENTIN KARIME\BANCO ESTADO\2012 DEPTO ESCRITURAS fata\Dc Simples\2012 DEPTO ESCRITURAS\BOMBEROS\AUTORIZA COPIA.doc</t>
  </si>
  <si>
    <t>C:\Users\franc\OneDrive\Documentos\MALENTIN KARIME\BANCO ESTADO\2012 DEPTO ESCRITURAS fata\Dc Simples\2012 DEPTO ESCRITURAS\BANCO SCOTIABANK\BIENES MUEBLES\SILVIA CERDA MADRID a FRANCISCO TORREJON Bienes Muebles.doc</t>
  </si>
  <si>
    <t>C:\Users\franc\OneDrive\Documentos\MALENTIN KARIME\BANCO ESTADO\2012 DEPTO ESCRITURAS fata\Dc Simples\2012 DEPTO ESCRITURAS\BANCO SCOTIABANK\BIENES MUEBLES\Inventario[1].doc</t>
  </si>
  <si>
    <t>C:\Users\franc\OneDrive\Documentos\MALENTIN KARIME\BANCO ESTADO\2012 DEPTO ESCRITURAS fata\Dc Simples\2012 DEPTO ESCRITURAS\BANCO SCOTIABANK\BIENES MUEBLES\INVENTARIO MENAJE DE FAMILIA DEL SOLAR.doc</t>
  </si>
  <si>
    <t>C:\Users\franc\OneDrive\Documentos\MALENTIN KARIME\BANCO ESTADO\2012 DEPTO ESCRITURAS fata\Dc Simples\2012 DEPTO ESCRITURAS\BANCO SCOTIABANK\BIENES MUEBLES\EDUARDO SELEME con Leonardo Fredes.doc</t>
  </si>
  <si>
    <t>C:\Users\franc\OneDrive\Documentos\MALENTIN KARIME\BANCO ESTADO\2012 DEPTO ESCRITURAS fata\Dc Simples\2012 DEPTO ESCRITURAS\BANCO SCOTIABANK\BIENES MUEBLES\CRISTINA FUENTES A LUCY CORTES.doc</t>
  </si>
  <si>
    <t>C:\Users\franc\OneDrive\Documentos\MALENTIN KARIME\BANCO ESTADO\2012 DEPTO ESCRITURAS fata\Dc Simples\2012 DEPTO ESCRITURAS\BANCO SCOTIABANK\BIENES MUEBLES\ARTURO LAGUNA A ANGELINA GUZMAN.doc</t>
  </si>
  <si>
    <t>C:\Users\franc\OneDrive\Documentos\MALENTIN KARIME\BANCO ESTADO\2012 DEPTO ESCRITURAS fata\Dc Simples\2012 DEPTO ESCRITURAS\BANCO SCOTIABANK\AREA LEASING\CORMAR LTDA..doc</t>
  </si>
  <si>
    <t>C:\Users\franc\OneDrive\Documentos\MALENTIN KARIME\BANCO ESTADO\2012 DEPTO ESCRITURAS fata\Dc Simples\2012 DEPTO ESCRITURAS\BANCO SCOTIABANK\VALLE TULAHUEN Prenda.doc</t>
  </si>
  <si>
    <t>C:\Users\franc\OneDrive\Documentos\MALENTIN KARIME\BANCO ESTADO\2012 DEPTO ESCRITURAS fata\Dc Simples\2012 DEPTO ESCRITURAS\BANCO SCOTIABANK\TADEO CASTAÑON Alzamiento.doc</t>
  </si>
  <si>
    <t>C:\Users\franc\OneDrive\Documentos\MALENTIN KARIME\BANCO ESTADO\2012 DEPTO ESCRITURAS fata\Dc Simples\2012 DEPTO ESCRITURAS\BANCO SCOTIABANK\SALVADOR CASTILLO HONORES Prenda Marzo.doc</t>
  </si>
  <si>
    <t>C:\Users\franc\OneDrive\Documentos\MALENTIN KARIME\BANCO ESTADO\2012 DEPTO ESCRITURAS fata\Dc Simples\2012 DEPTO ESCRITURAS\BANCO SCOTIABANK\Pedro Muñoz Cisternas y otra.doc</t>
  </si>
  <si>
    <t>C:\Users\franc\OneDrive\Documentos\MALENTIN KARIME\BANCO ESTADO\2012 DEPTO ESCRITURAS fata\Dc Simples\2012 DEPTO ESCRITURAS\BANCO SCOTIABANK\Pedro Muñoz Cisternas y otra C RESGUARDO.doc</t>
  </si>
  <si>
    <t>C:\Users\franc\OneDrive\Documentos\MALENTIN KARIME\BANCO ESTADO\2012 DEPTO ESCRITURAS fata\Dc Simples\2012 DEPTO ESCRITURAS\BANCO SCOTIABANK\PABLO CORRAL RIVEROS.doc</t>
  </si>
  <si>
    <t>C:\Users\franc\OneDrive\Documentos\MALENTIN KARIME\BANCO ESTADO\2012 DEPTO ESCRITURAS fata\Dc Simples\2012 DEPTO ESCRITURAS\BANCO SCOTIABANK\OGUER CAMPUSANO PINTO Prenda.doc</t>
  </si>
  <si>
    <t>C:\Users\franc\OneDrive\Documentos\MALENTIN KARIME\BANCO ESTADO\2012 DEPTO ESCRITURAS fata\Dc Simples\2012 DEPTO ESCRITURAS\BANCO SCOTIABANK\modelo ALZAMIENTO 2013.doc</t>
  </si>
  <si>
    <t>C:\Users\franc\OneDrive\Documentos\MALENTIN KARIME\BANCO ESTADO\2012 DEPTO ESCRITURAS fata\Dc Simples\2012 DEPTO ESCRITURAS\BANCO SCOTIABANK\MARIA HERNANDEZ ORELLANA Alza.doc</t>
  </si>
  <si>
    <t>C:\Users\franc\OneDrive\Documentos\MALENTIN KARIME\BANCO ESTADO\2012 DEPTO ESCRITURAS fata\Dc Simples\2012 DEPTO ESCRITURAS\BANCO SCOTIABANK\JUAN DIAZ BUGUEÑO Alzamiento.doc</t>
  </si>
  <si>
    <t>C:\Users\franc\OneDrive\Documentos\MALENTIN KARIME\BANCO ESTADO\2012 DEPTO ESCRITURAS fata\Dc Simples\2012 DEPTO ESCRITURAS\BANCO SCOTIABANK\GABRIEL JIMENEZ ROJAS.doc</t>
  </si>
  <si>
    <t>C:\Users\franc\OneDrive\Documentos\MALENTIN KARIME\BANCO ESTADO\2012 DEPTO ESCRITURAS fata\Dc Simples\2012 DEPTO ESCRITURAS\BANCO SCOTIABANK\GABRIEL JIMENEZ ROJAS carta Resguardo.doc</t>
  </si>
  <si>
    <t>C:\Users\franc\OneDrive\Documentos\MALENTIN KARIME\BANCO ESTADO\2012 DEPTO ESCRITURAS fata\Dc Simples\2012 DEPTO ESCRITURAS\BANCO SCOTIABANK\FITO MENDEZ Alzamiento.doc</t>
  </si>
  <si>
    <t>C:\Users\franc\OneDrive\Documentos\MALENTIN KARIME\BANCO ESTADO\2012 DEPTO ESCRITURAS fata\Dc Simples\2012 DEPTO ESCRITURAS\BANCO SCOTIABANK\F 24BRIAN RIVAS.doc</t>
  </si>
  <si>
    <t>C:\Users\franc\OneDrive\Documentos\MALENTIN KARIME\BANCO ESTADO\2012 DEPTO ESCRITURAS fata\Dc Simples\2012 DEPTO ESCRITURAS\BANCO SCOTIABANK\F 24 GABRIEL JIMENEZ.doc</t>
  </si>
  <si>
    <t>C:\Users\franc\OneDrive\Documentos\MALENTIN KARIME\BANCO ESTADO\2012 DEPTO ESCRITURAS fata\Dc Simples\2012 DEPTO ESCRITURAS\BANCO SCOTIABANK\DOBLE M Y PEDRO MUNOZ Y OTRA.doc</t>
  </si>
  <si>
    <t>C:\Users\franc\OneDrive\Documentos\MALENTIN KARIME\BANCO ESTADO\2012 DEPTO ESCRITURAS fata\Dc Simples\2012 DEPTO ESCRITURAS\BANCO SCOTIABANK\CRISTINA BARRAZA FLORES Prenda.doc</t>
  </si>
  <si>
    <t>C:\Users\franc\OneDrive\Documentos\MALENTIN KARIME\BANCO ESTADO\2012 DEPTO ESCRITURAS fata\Dc Simples\2012 DEPTO ESCRITURAS\BANCO SCOTIABANK\CONSTRUCCIONES Y RIEGO S.A..doc</t>
  </si>
  <si>
    <t>C:\Users\franc\OneDrive\Documentos\MALENTIN KARIME\BANCO ESTADO\2012 DEPTO ESCRITURAS fata\Dc Simples\2012 DEPTO ESCRITURAS\BANCO SCOTIABANK\CLARA CONEJEROS ROMERO Alza.doc</t>
  </si>
  <si>
    <t>C:\Users\franc\OneDrive\Documentos\MALENTIN KARIME\BANCO ESTADO\2012 DEPTO ESCRITURAS fata\Dc Simples\2012 DEPTO ESCRITURAS\BANCO SCOTIABANK\ALICIA GALLEGUILLOS.doc</t>
  </si>
  <si>
    <t>C:\Users\franc\OneDrive\Documentos\MALENTIN KARIME\BANCO ESTADO\2012 DEPTO ESCRITURAS fata\Dc Simples\2012 DEPTO ESCRITURAS\BANCO SCOTIABANK\AGROIND Y COMERC ALBERTO AGUIRRE Alzam.doc</t>
  </si>
  <si>
    <t>C:\Users\franc\OneDrive\Documentos\MALENTIN KARIME\BANCO ESTADO\2012 DEPTO ESCRITURAS fata\Dc Simples\2012 DEPTO ESCRITURAS\BANCO SCOTIABANK\ABIGAIL SEGOVIA MIRANDA.doc</t>
  </si>
  <si>
    <t>C:\Users\franc\OneDrive\Documentos\MALENTIN KARIME\BANCO ESTADO\2012 DEPTO ESCRITURAS fata\Dc Simples\2012 DEPTO ESCRITURAS\BANCO SANTANDER\William Escobar FIANZA Y CODEUDA SOLIDARIA.doc</t>
  </si>
  <si>
    <t>C:\Users\franc\OneDrive\Documentos\MALENTIN KARIME\BANCO ESTADO\2012 DEPTO ESCRITURAS fata\Dc Simples\2012 DEPTO ESCRITURAS\BANCO SANTANDER\ROBERTO VEGA ALCAYAGA Fianza Oct 13.doc</t>
  </si>
  <si>
    <t>C:\Users\franc\OneDrive\Documentos\MALENTIN KARIME\BANCO ESTADO\2012 DEPTO ESCRITURAS fata\Dc Simples\2012 DEPTO ESCRITURAS\BANCO SANTANDER\PERSONERIAS BCI OVALLE 2012.doc</t>
  </si>
  <si>
    <t>C:\Users\franc\OneDrive\Documentos\MALENTIN KARIME\BANCO ESTADO\2012 DEPTO ESCRITURAS fata\Dc Simples\2012 DEPTO ESCRITURAS\BANCO SANTANDER\Personeria Banco Santander.doc</t>
  </si>
  <si>
    <t>C:\Users\franc\OneDrive\Documentos\MALENTIN KARIME\BANCO ESTADO\2012 DEPTO ESCRITURAS fata\Dc Simples\2012 DEPTO ESCRITURAS\BANCO SANTANDER\PATRICIA ARAYA PIZARRO Fianza.doc</t>
  </si>
  <si>
    <t>C:\Users\franc\OneDrive\Documentos\MALENTIN KARIME\BANCO ESTADO\2012 DEPTO ESCRITURAS fata\Dc Simples\2012 DEPTO ESCRITURAS\BANCO SANTANDER\minuta.doc</t>
  </si>
  <si>
    <t>C:\Users\franc\OneDrive\Documentos\MALENTIN KARIME\BANCO ESTADO\2012 DEPTO ESCRITURAS fata\Dc Simples\2012 DEPTO ESCRITURAS\BANCO SANTANDER\MARIA INES Complementacion.doc</t>
  </si>
  <si>
    <t>C:\Users\franc\OneDrive\Documentos\MALENTIN KARIME\BANCO ESTADO\2012 DEPTO ESCRITURAS fata\Dc Simples\2012 DEPTO ESCRITURAS\BANCO SANTANDER\MARIA INES Aclaracion Arriendo.doc</t>
  </si>
  <si>
    <t>C:\Users\franc\OneDrive\Documentos\MALENTIN KARIME\BANCO ESTADO\2012 DEPTO ESCRITURAS fata\Dc Simples\2012 DEPTO ESCRITURAS\BANCO SANTANDER\JACQUELINE CASTRO Aclaracion M Ines.doc</t>
  </si>
  <si>
    <t>C:\Users\franc\OneDrive\Documentos\MALENTIN KARIME\BANCO ESTADO\2012 DEPTO ESCRITURAS fata\Dc Simples\2012 DEPTO ESCRITURAS\BANCO SANTANDER\HUGO CORDOVA OYABAN HIPOTECA  visto bueno.doc</t>
  </si>
  <si>
    <t>C:\Users\franc\OneDrive\Documentos\MALENTIN KARIME\BANCO ESTADO\2012 DEPTO ESCRITURAS fata\Dc Simples\2012 DEPTO ESCRITURAS\BANCO SANTANDER\HUGO CORDOVA OYABAN HIPOTECA  16.09.13.doc</t>
  </si>
  <si>
    <t>C:\Users\franc\OneDrive\Documentos\MALENTIN KARIME\BANCO ESTADO\2012 DEPTO ESCRITURAS fata\Dc Simples\2012 DEPTO ESCRITURAS\BANCO SANTANDER\HIPOTECA  16.09.13.doc</t>
  </si>
  <si>
    <t>C:\Users\franc\OneDrive\Documentos\MALENTIN KARIME\BANCO ESTADO\2012 DEPTO ESCRITURAS fata\Dc Simples\2012 DEPTO ESCRITURAS\BANCO SANTANDER\FRANCISCO RODRIGUEZ RODRIGUEZ.doc</t>
  </si>
  <si>
    <t>C:\Users\franc\OneDrive\Documentos\MALENTIN KARIME\BANCO ESTADO\2012 DEPTO ESCRITURAS fata\Dc Simples\2012 DEPTO ESCRITURAS\BANCO SANTANDER\FRANCISCO JAVIER UBILLA MARTINEZ_FIANZA_Y_CODEUDA_SOLIDARIA (1)fnal.doc</t>
  </si>
  <si>
    <t>C:\Users\franc\OneDrive\Documentos\MALENTIN KARIME\BANCO ESTADO\2012 DEPTO ESCRITURAS fata\Dc Simples\2012 DEPTO ESCRITURAS\BANCO SANTANDER\FRANCISCO JAVIER UBILLA MARTINEZ_FIANZA_Y_CODEUDA_SOLIDARIA (1)fnal revision.doc</t>
  </si>
  <si>
    <t>C:\Users\franc\OneDrive\Documentos\MALENTIN KARIME\BANCO ESTADO\2012 DEPTO ESCRITURAS fata\Dc Simples\2012 DEPTO ESCRITURAS\BANCO SANTANDER\FRANCISCO JAVIER UBILLA MARTINEZ_FIANZA_Y_CODEUDA_SOLIDARIA (1).doc</t>
  </si>
  <si>
    <t>C:\Users\franc\OneDrive\Documentos\MALENTIN KARIME\BANCO ESTADO\2012 DEPTO ESCRITURAS fata\Dc Simples\2012 DEPTO ESCRITURAS\BANCO SANTANDER\FIANZA Y CODEUDA SOLIDARIA 30.09.13.doc</t>
  </si>
  <si>
    <t>C:\Users\franc\OneDrive\Documentos\MALENTIN KARIME\BANCO ESTADO\2012 DEPTO ESCRITURAS fata\Dc Simples\2012 DEPTO ESCRITURAS\BANCO SANTANDER\CONSTANZA DE LOS ANGELES eirl.doc</t>
  </si>
  <si>
    <t>C:\Users\franc\OneDrive\Documentos\MALENTIN KARIME\BANCO ESTADO\2012 DEPTO ESCRITURAS fata\Dc Simples\2012 DEPTO ESCRITURAS\BANCO SANTANDER\CLAUDIO CONTRERAS RAMIREZ Fianza.doc</t>
  </si>
  <si>
    <t>C:\Users\franc\OneDrive\Documentos\MALENTIN KARIME\BANCO ESTADO\2012 DEPTO ESCRITURAS fata\Dc Simples\2012 DEPTO ESCRITURAS\BANCO SANTANDER\AGRICOLA Y FRIGORIFICO SANTA ADRIANA prenda.doc</t>
  </si>
  <si>
    <t>C:\Users\franc\OneDrive\Documentos\MALENTIN KARIME\BANCO ESTADO\2012 DEPTO ESCRITURAS fata\Dc Simples\2012 DEPTO ESCRITURAS\BANCO SANTANDER\AGRICOLA Y FRIGORIFICO SANTA ADRIANA instrucciones.doc</t>
  </si>
  <si>
    <t>C:\Users\franc\OneDrive\Documentos\MALENTIN KARIME\BANCO ESTADO\2012 DEPTO ESCRITURAS fata\Dc Simples\2012 DEPTO ESCRITURAS\BANCO SANTANDER\AGRICOLA Y FRIGORIFICO SANTA ADRIANA Hipoteca.doc</t>
  </si>
  <si>
    <t>C:\Users\franc\OneDrive\Documentos\MALENTIN KARIME\BANCO ESTADO\2012 DEPTO ESCRITURAS fata\Dc Simples\2012 DEPTO ESCRITURAS\BANCO SANTANDER\AGRICOLA Y FRIGORIFICO SANTA ADRIANA Hipoteca Aclaracion.doc</t>
  </si>
  <si>
    <t>C:\Users\franc\OneDrive\Documentos\MALENTIN KARIME\BANCO ESTADO\2012 DEPTO ESCRITURAS fata\Dc Simples\2012 DEPTO ESCRITURAS\BANCO ESTADO\ALZAMIENTO\LILIAN MIRANDA H.doc</t>
  </si>
  <si>
    <t>C:\Users\franc\OneDrive\Documentos\MALENTIN KARIME\BANCO ESTADO\2012 DEPTO ESCRITURAS fata\Dc Simples\2012 DEPTO ESCRITURAS\BANCO ESTADO\ALZAMIENTO\ALINA ARDILES.doc</t>
  </si>
  <si>
    <t>C:\Users\franc\OneDrive\Documentos\MALENTIN KARIME\BANCO ESTADO\2012 DEPTO ESCRITURAS fata\Dc Simples\2012 DEPTO ESCRITURAS\BANCO ESTADO\YOLANDA VEGA PIZARRO  A Angelina Lopez.doc</t>
  </si>
  <si>
    <t>C:\Users\franc\OneDrive\Documentos\MALENTIN KARIME\BANCO ESTADO\2012 DEPTO ESCRITURAS fata\Dc Simples\2012 DEPTO ESCRITURAS\BANCO ESTADO\VIGESIMO QUINTO.doc</t>
  </si>
  <si>
    <t>C:\Users\franc\OneDrive\Documentos\MALENTIN KARIME\BANCO ESTADO\2012 DEPTO ESCRITURAS fata\Dc Simples\2012 DEPTO ESCRITURAS\BANCO ESTADO\SEGUNDO MARTINEZ ROJAS Y BANCO ESTADO Cvta Mutuo.doc</t>
  </si>
  <si>
    <t>C:\Users\franc\OneDrive\Documentos\MALENTIN KARIME\BANCO ESTADO\2012 DEPTO ESCRITURAS fata\Dc Simples\2012 DEPTO ESCRITURAS\BANCO ESTADO\RODRIGO TORRES CISTERNAS y OTRA (Doble M - Del Atardecer 3º Etapa) - Banco Chile.doc</t>
  </si>
  <si>
    <t>C:\Users\franc\OneDrive\Documentos\MALENTIN KARIME\BANCO ESTADO\2012 DEPTO ESCRITURAS fata\Dc Simples\2012 DEPTO ESCRITURAS\BANCO ESTADO\ORLANDA SANTANDER SIERRA A IVAN LEON GONZALEZ Dic Sucesion.doc</t>
  </si>
  <si>
    <t>C:\Users\franc\OneDrive\Documentos\MALENTIN KARIME\BANCO ESTADO\2012 DEPTO ESCRITURAS fata\Dc Simples\2012 DEPTO ESCRITURAS\BANCO ESTADO\NELSON MIRANDA Carta resguardo.doc</t>
  </si>
  <si>
    <t>C:\Users\franc\OneDrive\Documentos\MALENTIN KARIME\BANCO ESTADO\2012 DEPTO ESCRITURAS fata\Dc Simples\2012 DEPTO ESCRITURAS\BANCO ESTADO\NELSON MIRANDA CACERES Y DOBLE M.doc</t>
  </si>
  <si>
    <t>C:\Users\franc\OneDrive\Documentos\MALENTIN KARIME\BANCO ESTADO\2012 DEPTO ESCRITURAS fata\Dc Simples\2012 DEPTO ESCRITURAS\BANCO ESTADO\MIRTA CACERES TAPJIA diciembre.doc</t>
  </si>
  <si>
    <t>C:\Users\franc\OneDrive\Documentos\MALENTIN KARIME\BANCO ESTADO\2012 DEPTO ESCRITURAS fata\Dc Simples\2012 DEPTO ESCRITURAS\BANCO ESTADO\MIRTA CACERES TAPJIA diciembre ejecutivo.doc</t>
  </si>
  <si>
    <t>C:\Users\franc\OneDrive\Documentos\MALENTIN KARIME\BANCO ESTADO\2012 DEPTO ESCRITURAS fata\Dc Simples\2012 DEPTO ESCRITURAS\BANCO ESTADO\JUSEF ARAYA LUNA  Y Doble M.doc</t>
  </si>
  <si>
    <t>C:\Users\franc\OneDrive\Documentos\MALENTIN KARIME\BANCO ESTADO\2012 DEPTO ESCRITURAS fata\Dc Simples\2012 DEPTO ESCRITURAS\BANCO ESTADO\JUSEF ARAYA LUNA  Carta Resguardo.doc</t>
  </si>
  <si>
    <t>C:\Users\franc\OneDrive\Documentos\MALENTIN KARIME\BANCO ESTADO\2012 DEPTO ESCRITURAS fata\Dc Simples\2012 DEPTO ESCRITURAS\BANCO ESTADO\JOSUE COFRE NAVARRO Carta Resguardo.doc</t>
  </si>
  <si>
    <t>C:\Users\franc\OneDrive\Documentos\MALENTIN KARIME\BANCO ESTADO\2012 DEPTO ESCRITURAS fata\Dc Simples\2012 DEPTO ESCRITURAS\BANCO ESTADO\GONZALO CACERES IRIARTE.doc</t>
  </si>
  <si>
    <t>C:\Users\franc\OneDrive\Documentos\MALENTIN KARIME\BANCO ESTADO\2012 DEPTO ESCRITURAS fata\Dc Simples\2012 DEPTO ESCRITURAS\BANCO ESTADO\GONZALO CACERES Carta resguardo.doc</t>
  </si>
  <si>
    <t>C:\Users\franc\OneDrive\Documentos\MALENTIN KARIME\BANCO ESTADO\2012 DEPTO ESCRITURAS fata\Dc Simples\2012 DEPTO ESCRITURAS\BANCO ESTADO\F 24 YOLANDA VEGA 22.doc</t>
  </si>
  <si>
    <t>C:\Users\franc\OneDrive\Documentos\MALENTIN KARIME\BANCO ESTADO\2012 DEPTO ESCRITURAS fata\Dc Simples\2012 DEPTO ESCRITURAS\BANCO ESTADO\F 24 RODRIGO TORRES.doc</t>
  </si>
  <si>
    <t>C:\Users\franc\OneDrive\Documentos\MALENTIN KARIME\BANCO ESTADO\2012 DEPTO ESCRITURAS fata\Dc Simples\2012 DEPTO ESCRITURAS\BANCO ESTADO\F 24 RODRIGO TORRES 22.doc</t>
  </si>
  <si>
    <t>C:\Users\franc\OneDrive\Documentos\MALENTIN KARIME\BANCO ESTADO\2012 DEPTO ESCRITURAS fata\Dc Simples\2012 DEPTO ESCRITURAS\BANCO ESTADO\F 24 PEDRO MUÑOZ 22.doc</t>
  </si>
  <si>
    <t>C:\Users\franc\OneDrive\Documentos\MALENTIN KARIME\BANCO ESTADO\2012 DEPTO ESCRITURAS fata\Dc Simples\2012 DEPTO ESCRITURAS\BANCO ESTADO\F 24 Nelson Miranda Cáceres.doc</t>
  </si>
  <si>
    <t>C:\Users\franc\OneDrive\Documentos\MALENTIN KARIME\BANCO ESTADO\2012 DEPTO ESCRITURAS fata\Dc Simples\2012 DEPTO ESCRITURAS\BANCO ESTADO\F 24 MIRTA CACERES.doc</t>
  </si>
  <si>
    <t>C:\Users\franc\OneDrive\Documentos\MALENTIN KARIME\BANCO ESTADO\2012 DEPTO ESCRITURAS fata\Dc Simples\2012 DEPTO ESCRITURAS\BANCO ESTADO\F 24 LUIS TOREJON.doc</t>
  </si>
  <si>
    <t>C:\Users\franc\OneDrive\Documentos\MALENTIN KARIME\BANCO ESTADO\2012 DEPTO ESCRITURAS fata\Dc Simples\2012 DEPTO ESCRITURAS\BANCO ESTADO\F 24 JOSUE COFRE.doc</t>
  </si>
  <si>
    <t>C:\Users\franc\OneDrive\Documentos\MALENTIN KARIME\BANCO ESTADO\2012 DEPTO ESCRITURAS fata\Dc Simples\2012 DEPTO ESCRITURAS\BANCO ESTADO\F 24 IVAN LEON.doc</t>
  </si>
  <si>
    <t>C:\Users\franc\OneDrive\Documentos\MALENTIN KARIME\BANCO ESTADO\2012 DEPTO ESCRITURAS fata\Dc Simples\2012 DEPTO ESCRITURAS\BANCO ESTADO\F 24 GONZALO CACERES.doc</t>
  </si>
  <si>
    <t>C:\Users\franc\OneDrive\Documentos\MALENTIN KARIME\BANCO ESTADO\2012 DEPTO ESCRITURAS fata\Dc Simples\2012 DEPTO ESCRITURAS\BANCO ESTADO\F 24 DANIEL CONTRERAS.doc</t>
  </si>
  <si>
    <t>C:\Users\franc\OneDrive\Documentos\MALENTIN KARIME\BANCO ESTADO\2012 DEPTO ESCRITURAS fata\Dc Simples\2012 DEPTO ESCRITURAS\BANCO ESTADO\F 24 CRISTIAN CORTES.doc</t>
  </si>
  <si>
    <t>C:\Users\franc\OneDrive\Documentos\MALENTIN KARIME\BANCO ESTADO\2012 DEPTO ESCRITURAS fata\Dc Simples\2012 DEPTO ESCRITURAS\BANCO ESTADO\F 24 BORIS JIMENEZ.doc</t>
  </si>
  <si>
    <t>C:\Users\franc\OneDrive\Documentos\MALENTIN KARIME\BANCO ESTADO\2012 DEPTO ESCRITURAS fata\Dc Simples\2012 DEPTO ESCRITURAS\BANCO ESTADO\DOBLE M A RODRIGO TORRES.doc</t>
  </si>
  <si>
    <t>C:\Users\franc\OneDrive\Documentos\MALENTIN KARIME\BANCO ESTADO\2012 DEPTO ESCRITURAS fata\Dc Simples\2012 DEPTO ESCRITURAS\BANCO ESTADO\DOBLE M A RODRIGO TORRES definitiva.doc</t>
  </si>
  <si>
    <t>C:\Users\franc\OneDrive\Documentos\MALENTIN KARIME\BANCO ESTADO\2012 DEPTO ESCRITURAS fata\Dc Simples\2012 DEPTO ESCRITURAS\BANCO ESTADO\DOBLE M A JOSUE COFRE definitiva.doc</t>
  </si>
  <si>
    <t>C:\Users\franc\OneDrive\Documentos\MALENTIN KARIME\BANCO ESTADO\2012 DEPTO ESCRITURAS fata\Dc Simples\2012 DEPTO ESCRITURAS\BANCO ESTADO\DANIEL CONTRERAS UBILLO Carta Resguardo.doc</t>
  </si>
  <si>
    <t>C:\Users\franc\OneDrive\Documentos\MALENTIN KARIME\BANCO ESTADO\2012 DEPTO ESCRITURAS fata\Dc Simples\2012 DEPTO ESCRITURAS\BANCO ESTADO\DANIEL CONTRERAS UBILLO  A DOBLE M.doc</t>
  </si>
  <si>
    <t>C:\Users\franc\OneDrive\Documentos\MALENTIN KARIME\BANCO ESTADO\2012 DEPTO ESCRITURAS fata\Dc Simples\2012 DEPTO ESCRITURAS\BANCO ESTADO\CVMUTU~2.DOC</t>
  </si>
  <si>
    <t>C:\Users\franc\OneDrive\Documentos\MALENTIN KARIME\BANCO ESTADO\2012 DEPTO ESCRITURAS fata\Dc Simples\2012 DEPTO ESCRITURAS\BANCO ESTADO\CV Mutuo Hipotecario (Doble M - Del Crepúculo) DANIEL CONTRERAS UBILLO - Febrero (2).doc</t>
  </si>
  <si>
    <t>C:\Users\franc\OneDrive\Documentos\MALENTIN KARIME\BANCO ESTADO\2012 DEPTO ESCRITURAS fata\Dc Simples\2012 DEPTO ESCRITURAS\BANCO ESTADO\CRISTIAN CORTES PINTO Y DOBLE M.doc</t>
  </si>
  <si>
    <t>C:\Users\franc\OneDrive\Documentos\MALENTIN KARIME\BANCO ESTADO\2012 DEPTO ESCRITURAS fata\Dc Simples\2012 DEPTO ESCRITURAS\BANCO ESTADO\CRISTIAN CORTES PINTO Y DOBLE M 2.doc</t>
  </si>
  <si>
    <t>C:\Users\franc\OneDrive\Documentos\MALENTIN KARIME\BANCO ESTADO\2012 DEPTO ESCRITURAS fata\Dc Simples\2012 DEPTO ESCRITURAS\BANCO ESTADO\CRISTIAN CORTES PINTO (Doble M - Del Atardecer 3º Etapa) - Banco Chile.doc</t>
  </si>
  <si>
    <t>C:\Users\franc\OneDrive\Documentos\MALENTIN KARIME\BANCO ESTADO\2012 DEPTO ESCRITURAS fata\Dc Simples\2012 DEPTO ESCRITURAS\BANCO ESTADO\CRISTIAN CORTES PINTO (Doble M - Del Atardecer 3º Etapa) - Banco Chile(2) CARTA RESGUARDO 2.doc</t>
  </si>
  <si>
    <t>C:\Users\franc\OneDrive\Documentos\MALENTIN KARIME\BANCO ESTADO\2012 DEPTO ESCRITURAS fata\Dc Simples\2012 DEPTO ESCRITURAS\BANCO ESTADO\CARTA.doc</t>
  </si>
  <si>
    <t>C:\Users\franc\OneDrive\Documentos\MALENTIN KARIME\BANCO ESTADO\2012 DEPTO ESCRITURAS fata\Dc Simples\2012 DEPTO ESCRITURAS\BANCO ESTADO\BORIS JIMENEZ BORQUEZ (Doble M - Del Crepúsculo) - Banco Chile.doc</t>
  </si>
  <si>
    <t>C:\Users\franc\OneDrive\Documentos\MALENTIN KARIME\BANCO ESTADO\2012 DEPTO ESCRITURAS fata\Dc Simples\2012 DEPTO ESCRITURAS\BANCO ESTADO\BORIS JIMENEZ BORQUEZ  A DOBLE M.doc</t>
  </si>
  <si>
    <t>C:\Users\franc\OneDrive\Documentos\MALENTIN KARIME\BANCO ESTADO\2012 DEPTO ESCRITURAS fata\Dc Simples\2012 DEPTO ESCRITURAS\BANCO ESTADO\BORIS JIMENEZ  Complementacion.doc</t>
  </si>
  <si>
    <t>C:\Users\franc\OneDrive\Documentos\MALENTIN KARIME\BANCO ESTADO\2012 DEPTO ESCRITURAS fata\Dc Simples\2012 DEPTO ESCRITURAS\BANCO CORPBANCA\LEASING\Tabla_de_factores_Los_primos(1).xls</t>
  </si>
  <si>
    <t>C:\Users\franc\OneDrive\Documentos\MALENTIN KARIME\BANCO ESTADO\2012 DEPTO ESCRITURAS fata\Dc Simples\2012 DEPTO ESCRITURAS\BANCO CORPBANCA\LEASING\Tabla de Factores - Agricola El Recreo 27-04-2012.pdf</t>
  </si>
  <si>
    <t>C:\Users\franc\OneDrive\Documentos\MALENTIN KARIME\BANCO ESTADO\2012 DEPTO ESCRITURAS fata\Dc Simples\2012 DEPTO ESCRITURAS\BANCO CORPBANCA\LEASING\Tabla de Factores - Agricola El Recreo 27-04-2012-1.pdf</t>
  </si>
  <si>
    <t>C:\Users\franc\OneDrive\Documentos\MALENTIN KARIME\BANCO ESTADO\2012 DEPTO ESCRITURAS fata\Dc Simples\2012 DEPTO ESCRITURAS\BANCO CORPBANCA\LEASING\SOC AGRICOLA EL RECREO 2009184.doc</t>
  </si>
  <si>
    <t>C:\Users\franc\OneDrive\Documentos\MALENTIN KARIME\BANCO ESTADO\2012 DEPTO ESCRITURAS fata\Dc Simples\2012 DEPTO ESCRITURAS\BANCO CORPBANCA\LEASING\Scaner inv. talquilla.doc</t>
  </si>
  <si>
    <t>C:\Users\franc\OneDrive\Documentos\MALENTIN KARIME\BANCO ESTADO\2012 DEPTO ESCRITURAS fata\Dc Simples\2012 DEPTO ESCRITURAS\BANCO CORPBANCA\LEASING\OSIEL VEGA E.I.R.L.doc</t>
  </si>
  <si>
    <t>C:\Users\franc\OneDrive\Documentos\MALENTIN KARIME\BANCO ESTADO\2012 DEPTO ESCRITURAS fata\Dc Simples\2012 DEPTO ESCRITURAS\BANCO CORPBANCA\LEASING\MINERA EL RELOJ  2009363.doc</t>
  </si>
  <si>
    <t>C:\Users\franc\OneDrive\Documentos\MALENTIN KARIME\BANCO ESTADO\2012 DEPTO ESCRITURAS fata\Dc Simples\2012 DEPTO ESCRITURAS\BANCO CORPBANCA\LEASING\MINERA EL RELOJ  2009362.doc</t>
  </si>
  <si>
    <t>C:\Users\franc\OneDrive\Documentos\MALENTIN KARIME\BANCO ESTADO\2012 DEPTO ESCRITURAS fata\Dc Simples\2012 DEPTO ESCRITURAS\BANCO CORPBANCA\LEASING\MINERA EL RELOJ  2009259.doc</t>
  </si>
  <si>
    <t>C:\Users\franc\OneDrive\Documentos\MALENTIN KARIME\BANCO ESTADO\2012 DEPTO ESCRITURAS fata\Dc Simples\2012 DEPTO ESCRITURAS\BANCO CORPBANCA\LEASING\MINERA EL RELOJ  2009258.doc</t>
  </si>
  <si>
    <t>C:\Users\franc\OneDrive\Documentos\MALENTIN KARIME\BANCO ESTADO\2012 DEPTO ESCRITURAS fata\Dc Simples\2012 DEPTO ESCRITURAS\BANCO CORPBANCA\LEASING\LUIS CLAUDIO MARIN EIRL.doc</t>
  </si>
  <si>
    <t>C:\Users\franc\OneDrive\Documentos\MALENTIN KARIME\BANCO ESTADO\2012 DEPTO ESCRITURAS fata\Dc Simples\2012 DEPTO ESCRITURAS\BANCO CORPBANCA\LEASING\KONG FRANZ CONFECCIONES 2009820.doc</t>
  </si>
  <si>
    <t>C:\Users\franc\OneDrive\Documentos\MALENTIN KARIME\BANCO ESTADO\2012 DEPTO ESCRITURAS fata\Dc Simples\2012 DEPTO ESCRITURAS\BANCO CORPBANCA\LEASING\INVERSIONES TALQUILLA   2009258 Julio.doc</t>
  </si>
  <si>
    <t>C:\Users\franc\OneDrive\Documentos\MALENTIN KARIME\BANCO ESTADO\2012 DEPTO ESCRITURAS fata\Dc Simples\2012 DEPTO ESCRITURAS\BANCO CORPBANCA\LEASING\HERMAN TELLO MARIN Oct 13.doc</t>
  </si>
  <si>
    <t>C:\Users\franc\OneDrive\Documentos\MALENTIN KARIME\BANCO ESTADO\2012 DEPTO ESCRITURAS fata\Dc Simples\2012 DEPTO ESCRITURAS\BANCO CORPBANCA\LEASING\FCO GONZALEZ Matrimonio.pdf</t>
  </si>
  <si>
    <t>C:\Users\franc\OneDrive\Documentos\MALENTIN KARIME\BANCO ESTADO\2012 DEPTO ESCRITURAS fata\Dc Simples\2012 DEPTO ESCRITURAS\BANCO CORPBANCA\LEASING\CONFECCIONES KONG-FRANZ.doc</t>
  </si>
  <si>
    <t>C:\Users\franc\OneDrive\Documentos\MALENTIN KARIME\BANCO ESTADO\2012 DEPTO ESCRITURAS fata\Dc Simples\2012 DEPTO ESCRITURAS\BANCO CORPBANCA\LEASING\CONFECCIONES KONG-FRANZ OCTUBRE 2012.doc</t>
  </si>
  <si>
    <t>C:\Users\franc\OneDrive\Documentos\MALENTIN KARIME\BANCO ESTADO\2012 DEPTO ESCRITURAS fata\Dc Simples\2012 DEPTO ESCRITURAS\BANCO CORPBANCA\LEASING\ALTOVALSOL LTDA. Modificacion1.doc</t>
  </si>
  <si>
    <t>C:\Users\franc\OneDrive\Documentos\MALENTIN KARIME\BANCO ESTADO\2012 DEPTO ESCRITURAS fata\Dc Simples\2012 DEPTO ESCRITURAS\BANCO CORPBANCA\LEASING\ALTOVALSOL LTDA. 2009337.doc</t>
  </si>
  <si>
    <t>C:\Users\franc\OneDrive\Documentos\MALENTIN KARIME\BANCO ESTADO\2012 DEPTO ESCRITURAS fata\Dc Simples\2012 DEPTO ESCRITURAS\BANCO CORPBANCA\LEASING\ALFONSO ARTIGUES.doc</t>
  </si>
  <si>
    <t>C:\Users\franc\OneDrive\Documentos\MALENTIN KARIME\BANCO ESTADO\2012 DEPTO ESCRITURAS fata\Dc Simples\2012 DEPTO ESCRITURAS\BANCO CORPBANCA\LEASING\AGRICOLA EL RECREO LTDA.doc</t>
  </si>
  <si>
    <t>C:\Users\franc\OneDrive\Documentos\MALENTIN KARIME\BANCO ESTADO\2012 DEPTO ESCRITURAS fata\Dc Simples\2012 DEPTO ESCRITURAS\BANCO CORPBANCA\LEASING\AGRICOLA CANTA RANA.doc</t>
  </si>
  <si>
    <t>C:\Users\franc\OneDrive\Documentos\MALENTIN KARIME\BANCO ESTADO\2012 DEPTO ESCRITURAS fata\Dc Simples\2012 DEPTO ESCRITURAS\BANCO CORPBANCA\LEASING\2010743 Kong-Frang Confecciones Limitada (Instrumento Privado).doc</t>
  </si>
  <si>
    <t>C:\Users\franc\OneDrive\Documentos\MALENTIN KARIME\BANCO ESTADO\2012 DEPTO ESCRITURAS fata\Dc Simples\2012 DEPTO ESCRITURAS\BANCO CORPBANCA\LEASING\200977~1.DOC</t>
  </si>
  <si>
    <t>C:\Users\franc\OneDrive\Documentos\MALENTIN KARIME\BANCO ESTADO\2012 DEPTO ESCRITURAS fata\Dc Simples\2012 DEPTO ESCRITURAS\BANCO CORPBANCA\CANTA RANA\2012887 Agricola Canta RAna S.A..doc</t>
  </si>
  <si>
    <t>C:\Users\franc\OneDrive\Documentos\MALENTIN KARIME\BANCO ESTADO\2012 DEPTO ESCRITURAS fata\Dc Simples\2012 DEPTO ESCRITURAS\BANCO CORPBANCA\CANTA RANA\2012881 Agricola Canta RAna S.A..doc</t>
  </si>
  <si>
    <t>C:\Users\franc\OneDrive\Documentos\MALENTIN KARIME\BANCO ESTADO\2012 DEPTO ESCRITURAS fata\Dc Simples\2012 DEPTO ESCRITURAS\BANCO CORPBANCA\CANTA RANA\2012880 Agricola Canta RAna S.A..doc</t>
  </si>
  <si>
    <t>C:\Users\franc\OneDrive\Documentos\MALENTIN KARIME\BANCO ESTADO\2012 DEPTO ESCRITURAS fata\Dc Simples\2012 DEPTO ESCRITURAS\BANCO CORPBANCA\CANTA RANA\2012879 Agricola Canta RAna S.A..doc</t>
  </si>
  <si>
    <t>C:\Users\franc\OneDrive\Documentos\MALENTIN KARIME\BANCO ESTADO\2012 DEPTO ESCRITURAS fata\Dc Simples\2012 DEPTO ESCRITURAS\BANCO CORPBANCA\SERVICIO COMBUSTIBLE Alzamiento.doc</t>
  </si>
  <si>
    <t>C:\Users\franc\OneDrive\Documentos\MALENTIN KARIME\BANCO ESTADO\2012 DEPTO ESCRITURAS fata\Dc Simples\2012 DEPTO ESCRITURAS\BANCO CORPBANCA\SERVICIO COMBUSTIBLE Alzamiento Prenda.doc</t>
  </si>
  <si>
    <t>C:\Users\franc\OneDrive\Documentos\MALENTIN KARIME\BANCO ESTADO\2012 DEPTO ESCRITURAS fata\Dc Simples\2012 DEPTO ESCRITURAS\BANCO CORPBANCA\ROBERTO TORRES DIAZ.doc</t>
  </si>
  <si>
    <t>C:\Users\franc\OneDrive\Documentos\MALENTIN KARIME\BANCO ESTADO\2012 DEPTO ESCRITURAS fata\Dc Simples\2012 DEPTO ESCRITURAS\BANCO CORPBANCA\Roberto Torres Diaz C RESGUARDO.doc</t>
  </si>
  <si>
    <t>C:\Users\franc\OneDrive\Documentos\MALENTIN KARIME\BANCO ESTADO\2012 DEPTO ESCRITURAS fata\Dc Simples\2012 DEPTO ESCRITURAS\BANCO CORPBANCA\PEDRO BARRIOS RESTOVIC Dic. Mutuo.doc</t>
  </si>
  <si>
    <t>C:\Users\franc\OneDrive\Documentos\MALENTIN KARIME\BANCO ESTADO\2012 DEPTO ESCRITURAS fata\Dc Simples\2012 DEPTO ESCRITURAS\BANCO CORPBANCA\OSVALDO TOLEDO SAN MARTIN.doc</t>
  </si>
  <si>
    <t>C:\Users\franc\OneDrive\Documentos\MALENTIN KARIME\BANCO ESTADO\2012 DEPTO ESCRITURAS fata\Dc Simples\2012 DEPTO ESCRITURAS\BANCO CORPBANCA\LUIS ALFARO ARAYA Y CORPBANCA Arrendam.doc</t>
  </si>
  <si>
    <t>C:\Users\franc\OneDrive\Documentos\MALENTIN KARIME\BANCO ESTADO\2012 DEPTO ESCRITURAS fata\Dc Simples\2012 DEPTO ESCRITURAS\BANCO CORPBANCA\Karen Alfaro López CARTA RESGUARDO.doc</t>
  </si>
  <si>
    <t>C:\Users\franc\OneDrive\Documentos\MALENTIN KARIME\BANCO ESTADO\2012 DEPTO ESCRITURAS fata\Dc Simples\2012 DEPTO ESCRITURAS\BANCO CORPBANCA\KAREN ALFARO LOPEZ Cvta Mutuo.doc</t>
  </si>
  <si>
    <t>C:\Users\franc\OneDrive\Documentos\MALENTIN KARIME\BANCO ESTADO\2012 DEPTO ESCRITURAS fata\Dc Simples\2012 DEPTO ESCRITURAS\BANCO CORPBANCA\KAREN ALFARO LOPEZ Cvta Mutuo ABOGADO.doc</t>
  </si>
  <si>
    <t>C:\Users\franc\OneDrive\Documentos\MALENTIN KARIME\BANCO ESTADO\2012 DEPTO ESCRITURAS fata\Dc Simples\2012 DEPTO ESCRITURAS\BANCO CORPBANCA\JAVIER VILLARROEL CON Inmobiliaria Rio Limari.doc</t>
  </si>
  <si>
    <t>C:\Users\franc\OneDrive\Documentos\MALENTIN KARIME\BANCO ESTADO\2012 DEPTO ESCRITURAS fata\Dc Simples\2012 DEPTO ESCRITURAS\BANCO CORPBANCA\INVERSIONES TALQUILLA.doc</t>
  </si>
  <si>
    <t>C:\Users\franc\OneDrive\Documentos\MALENTIN KARIME\BANCO ESTADO\2012 DEPTO ESCRITURAS fata\Dc Simples\2012 DEPTO ESCRITURAS\BANCO CORPBANCA\INVERSIONES TALQUILLA Aclara.doc</t>
  </si>
  <si>
    <t>C:\Users\franc\OneDrive\Documentos\MALENTIN KARIME\BANCO ESTADO\2012 DEPTO ESCRITURAS fata\Dc Simples\2012 DEPTO ESCRITURAS\BANCO CORPBANCA\INSTRUCCIONES sta magdalena Biran Ormeño.doc</t>
  </si>
  <si>
    <t>C:\Users\franc\OneDrive\Documentos\MALENTIN KARIME\BANCO ESTADO\2012 DEPTO ESCRITURAS fata\Dc Simples\2012 DEPTO ESCRITURAS\BANCO CORPBANCA\HERNAN ARAYA ARACENA Hipoteca.doc</t>
  </si>
  <si>
    <t>C:\Users\franc\OneDrive\Documentos\MALENTIN KARIME\BANCO ESTADO\2012 DEPTO ESCRITURAS fata\Dc Simples\2012 DEPTO ESCRITURAS\BANCO CORPBANCA\HERNAN ARAVENA C Resguardo.doc</t>
  </si>
  <si>
    <t>C:\Users\franc\OneDrive\Documentos\MALENTIN KARIME\BANCO ESTADO\2012 DEPTO ESCRITURAS fata\Dc Simples\2012 DEPTO ESCRITURAS\BANCO CORPBANCA\HERMES_DIAZ_RIVERA_Cv._e_Hip.[1].doc</t>
  </si>
  <si>
    <t>C:\Users\franc\OneDrive\Documentos\MALENTIN KARIME\BANCO ESTADO\2012 DEPTO ESCRITURAS fata\Dc Simples\2012 DEPTO ESCRITURAS\BANCO CORPBANCA\FIANZA 2009259 LEASING.doc</t>
  </si>
  <si>
    <t>C:\Users\franc\OneDrive\Documentos\MALENTIN KARIME\BANCO ESTADO\2012 DEPTO ESCRITURAS fata\Dc Simples\2012 DEPTO ESCRITURAS\BANCO CORPBANCA\FIANZA 2005298 LEASING.doc</t>
  </si>
  <si>
    <t>C:\Users\franc\OneDrive\Documentos\MALENTIN KARIME\BANCO ESTADO\2012 DEPTO ESCRITURAS fata\Dc Simples\2012 DEPTO ESCRITURAS\BANCO CORPBANCA\F 24EDSON GUZMAN 22.doc</t>
  </si>
  <si>
    <t>C:\Users\franc\OneDrive\Documentos\MALENTIN KARIME\BANCO ESTADO\2012 DEPTO ESCRITURAS fata\Dc Simples\2012 DEPTO ESCRITURAS\BANCO CORPBANCA\F 24BRIAN RIVAS.doc</t>
  </si>
  <si>
    <t>C:\Users\franc\OneDrive\Documentos\MALENTIN KARIME\BANCO ESTADO\2012 DEPTO ESCRITURAS fata\Dc Simples\2012 DEPTO ESCRITURAS\BANCO CORPBANCA\F 24 KAREN ALFARO.doc</t>
  </si>
  <si>
    <t>C:\Users\franc\OneDrive\Documentos\MALENTIN KARIME\BANCO ESTADO\2012 DEPTO ESCRITURAS fata\Dc Simples\2012 DEPTO ESCRITURAS\BANCO CORPBANCA\F 24 CARMEN PENNA.doc</t>
  </si>
  <si>
    <t>C:\Users\franc\OneDrive\Documentos\MALENTIN KARIME\BANCO ESTADO\2012 DEPTO ESCRITURAS fata\Dc Simples\2012 DEPTO ESCRITURAS\BANCO CORPBANCA\F 24 CARLOS SALFATE.doc</t>
  </si>
  <si>
    <t>C:\Users\franc\OneDrive\Documentos\MALENTIN KARIME\BANCO ESTADO\2012 DEPTO ESCRITURAS fata\Dc Simples\2012 DEPTO ESCRITURAS\BANCO CORPBANCA\F 24 ALFREDO MILLA.doc</t>
  </si>
  <si>
    <t>C:\Users\franc\OneDrive\Documentos\MALENTIN KARIME\BANCO ESTADO\2012 DEPTO ESCRITURAS fata\Dc Simples\2012 DEPTO ESCRITURAS\BANCO CORPBANCA\Edson Guzmán Guzman y otra C RESGUARDO.doc</t>
  </si>
  <si>
    <t>C:\Users\franc\OneDrive\Documentos\MALENTIN KARIME\BANCO ESTADO\2012 DEPTO ESCRITURAS fata\Dc Simples\2012 DEPTO ESCRITURAS\BANCO CORPBANCA\Edson Guzmán Guzman y otra C RESGUARDO 2.doc</t>
  </si>
  <si>
    <t>C:\Users\franc\OneDrive\Documentos\MALENTIN KARIME\BANCO ESTADO\2012 DEPTO ESCRITURAS fata\Dc Simples\2012 DEPTO ESCRITURAS\BANCO CORPBANCA\EDSON GUZMAN  Y OTRA A CORPBANCA.doc</t>
  </si>
  <si>
    <t>C:\Users\franc\OneDrive\Documentos\MALENTIN KARIME\BANCO ESTADO\2012 DEPTO ESCRITURAS fata\Dc Simples\2012 DEPTO ESCRITURAS\BANCO CORPBANCA\EDSON GUZMAN  Y OTRA A CORPBANCA con modificaciones.doc</t>
  </si>
  <si>
    <t>C:\Users\franc\OneDrive\Documentos\MALENTIN KARIME\BANCO ESTADO\2012 DEPTO ESCRITURAS fata\Dc Simples\2012 DEPTO ESCRITURAS\BANCO CORPBANCA\EDSON GUZMAN  26º.doc</t>
  </si>
  <si>
    <t>C:\Users\franc\OneDrive\Documentos\MALENTIN KARIME\BANCO ESTADO\2012 DEPTO ESCRITURAS fata\Dc Simples\2012 DEPTO ESCRITURAS\BANCO CORPBANCA\CUADRO DE PAGO.doc</t>
  </si>
  <si>
    <t>C:\Users\franc\OneDrive\Documentos\MALENTIN KARIME\BANCO ESTADO\2012 DEPTO ESCRITURAS fata\Dc Simples\2012 DEPTO ESCRITURAS\BANCO CORPBANCA\CORPBANCA INSTRUCCIONES.doc</t>
  </si>
  <si>
    <t>C:\Users\franc\OneDrive\Documentos\MALENTIN KARIME\BANCO ESTADO\2012 DEPTO ESCRITURAS fata\Dc Simples\2012 DEPTO ESCRITURAS\BANCO CORPBANCA\COMERCIAL Y FARMACEUTICA PRAD.doc</t>
  </si>
  <si>
    <t>C:\Users\franc\OneDrive\Documentos\MALENTIN KARIME\BANCO ESTADO\2012 DEPTO ESCRITURAS fata\Dc Simples\2012 DEPTO ESCRITURAS\BANCO CORPBANCA\COMBUSTIBLE Y CARGO Hipoteca.doc</t>
  </si>
  <si>
    <t>C:\Users\franc\OneDrive\Documentos\MALENTIN KARIME\BANCO ESTADO\2012 DEPTO ESCRITURAS fata\Dc Simples\2012 DEPTO ESCRITURAS\BANCO CORPBANCA\COMBUSTIBLE CARGO S.A. Prenda.doc</t>
  </si>
  <si>
    <t>C:\Users\franc\OneDrive\Documentos\MALENTIN KARIME\BANCO ESTADO\2012 DEPTO ESCRITURAS fata\Dc Simples\2012 DEPTO ESCRITURAS\BANCO CORPBANCA\CARMEN PENNA.doc</t>
  </si>
  <si>
    <t>C:\Users\franc\OneDrive\Documentos\MALENTIN KARIME\BANCO ESTADO\2012 DEPTO ESCRITURAS fata\Dc Simples\2012 DEPTO ESCRITURAS\BANCO CORPBANCA\Carmen Luz Penna Owens.doc</t>
  </si>
  <si>
    <t>C:\Users\franc\OneDrive\Documentos\MALENTIN KARIME\BANCO ESTADO\2012 DEPTO ESCRITURAS fata\Dc Simples\2012 DEPTO ESCRITURAS\BANCO CORPBANCA\CARLOS VARGAS ROJAS.doc</t>
  </si>
  <si>
    <t>C:\Users\franc\OneDrive\Documentos\MALENTIN KARIME\BANCO ESTADO\2012 DEPTO ESCRITURAS fata\Dc Simples\2012 DEPTO ESCRITURAS\BANCO CORPBANCA\BRIAN RIVAS ORMEÑO Cvta Mutuo.doc</t>
  </si>
  <si>
    <t>C:\Users\franc\OneDrive\Documentos\MALENTIN KARIME\BANCO ESTADO\2012 DEPTO ESCRITURAS fata\Dc Simples\2012 DEPTO ESCRITURAS\BANCO CORPBANCA\BRIAN RIVAS ORMEÑO Cvta Mutuo VERSION FINAL.doc</t>
  </si>
  <si>
    <t>C:\Users\franc\OneDrive\Documentos\MALENTIN KARIME\BANCO ESTADO\2012 DEPTO ESCRITURAS fata\Dc Simples\2012 DEPTO ESCRITURAS\BANCO CORPBANCA\BRENDA GUZMAN.doc</t>
  </si>
  <si>
    <t>C:\Users\franc\OneDrive\Documentos\MALENTIN KARIME\BANCO ESTADO\2012 DEPTO ESCRITURAS fata\Dc Simples\2012 DEPTO ESCRITURAS\BANCO CORPBANCA\BODEGA DEL LIMARI S.A. Prenda.doc</t>
  </si>
  <si>
    <t>C:\Users\franc\OneDrive\Documentos\MALENTIN KARIME\BANCO ESTADO\2012 DEPTO ESCRITURAS fata\Dc Simples\2012 DEPTO ESCRITURAS\BANCO CORPBANCA\ARSEN GREGORIAM.doc</t>
  </si>
  <si>
    <t>C:\Users\franc\OneDrive\Documentos\MALENTIN KARIME\BANCO ESTADO\2012 DEPTO ESCRITURAS fata\Dc Simples\2012 DEPTO ESCRITURAS\BANCO CHILE\VINKA MARTINIC Alzamiento.doc</t>
  </si>
  <si>
    <t>C:\Users\franc\OneDrive\Documentos\MALENTIN KARIME\BANCO ESTADO\2012 DEPTO ESCRITURAS fata\Dc Simples\2012 DEPTO ESCRITURAS\BANCO CHILE\TRANSPORTES GUAYACAN Y CIA Alzamiento.doc</t>
  </si>
  <si>
    <t>C:\Users\franc\OneDrive\Documentos\MALENTIN KARIME\BANCO ESTADO\2012 DEPTO ESCRITURAS fata\Dc Simples\2012 DEPTO ESCRITURAS\BANCO CHILE\SOCIEDAD CARNES LOMA LARGA.doc</t>
  </si>
  <si>
    <t>C:\Users\franc\OneDrive\Documentos\MALENTIN KARIME\BANCO ESTADO\2012 DEPTO ESCRITURAS fata\Dc Simples\2012 DEPTO ESCRITURAS\BANCO CHILE\SAMUEL GARCIA ROJAS Alzamiento Abril.doc</t>
  </si>
  <si>
    <t>C:\Users\franc\OneDrive\Documentos\MALENTIN KARIME\BANCO ESTADO\2012 DEPTO ESCRITURAS fata\Dc Simples\2012 DEPTO ESCRITURAS\BANCO CHILE\RUDELIO ARAYA MIRANDA.doc</t>
  </si>
  <si>
    <t>C:\Users\franc\OneDrive\Documentos\MALENTIN KARIME\BANCO ESTADO\2012 DEPTO ESCRITURAS fata\Dc Simples\2012 DEPTO ESCRITURAS\BANCO CHILE\ROMANO DALBOSCO  Hipoteca Dic.doc</t>
  </si>
  <si>
    <t>C:\Users\franc\OneDrive\Documentos\MALENTIN KARIME\BANCO ESTADO\2012 DEPTO ESCRITURAS fata\Dc Simples\2012 DEPTO ESCRITURAS\BANCO CHILE\RIENZI MEDALLA OROS.doc</t>
  </si>
  <si>
    <t>C:\Users\franc\OneDrive\Documentos\MALENTIN KARIME\BANCO ESTADO\2012 DEPTO ESCRITURAS fata\Dc Simples\2012 DEPTO ESCRITURAS\BANCO CHILE\RIENZI MEDALLA OROS Escritura.doc</t>
  </si>
  <si>
    <t>C:\Users\franc\OneDrive\Documentos\MALENTIN KARIME\BANCO ESTADO\2012 DEPTO ESCRITURAS fata\Dc Simples\2012 DEPTO ESCRITURAS\BANCO CHILE\pers. BANCO CHILE.doc</t>
  </si>
  <si>
    <t>C:\Users\franc\OneDrive\Documentos\MALENTIN KARIME\BANCO ESTADO\2012 DEPTO ESCRITURAS fata\Dc Simples\2012 DEPTO ESCRITURAS\BANCO CHILE\PEDRO SANTANDER ROJAS.doc</t>
  </si>
  <si>
    <t>C:\Users\franc\OneDrive\Documentos\MALENTIN KARIME\BANCO ESTADO\2012 DEPTO ESCRITURAS fata\Dc Simples\2012 DEPTO ESCRITURAS\BANCO CHILE\PATRICIO PINTO VILLAR A HECTOR PAZ.doc</t>
  </si>
  <si>
    <t>C:\Users\franc\OneDrive\Documentos\MALENTIN KARIME\BANCO ESTADO\2012 DEPTO ESCRITURAS fata\Dc Simples\2012 DEPTO ESCRITURAS\BANCO CHILE\Oscar Rojas PRENDA.doc</t>
  </si>
  <si>
    <t>C:\Users\franc\OneDrive\Documentos\MALENTIN KARIME\BANCO ESTADO\2012 DEPTO ESCRITURAS fata\Dc Simples\2012 DEPTO ESCRITURAS\BANCO CHILE\OSCAR ROJAS HIDALGO Prenda.doc</t>
  </si>
  <si>
    <t>C:\Users\franc\OneDrive\Documentos\MALENTIN KARIME\BANCO ESTADO\2012 DEPTO ESCRITURAS fata\Dc Simples\2012 DEPTO ESCRITURAS\BANCO CHILE\MARIA OCHOA  URQUETA Cvta Mutuo.doc</t>
  </si>
  <si>
    <t>C:\Users\franc\OneDrive\Documentos\MALENTIN KARIME\BANCO ESTADO\2012 DEPTO ESCRITURAS fata\Dc Simples\2012 DEPTO ESCRITURAS\BANCO CHILE\MARIA BAHAMONDES VELASQUEZ.doc</t>
  </si>
  <si>
    <t>C:\Users\franc\OneDrive\Documentos\MALENTIN KARIME\BANCO ESTADO\2012 DEPTO ESCRITURAS fata\Dc Simples\2012 DEPTO ESCRITURAS\BANCO CHILE\MANUEL PEÑAFIEL E HIJOS.doc</t>
  </si>
  <si>
    <t>C:\Users\franc\OneDrive\Documentos\MALENTIN KARIME\BANCO ESTADO\2012 DEPTO ESCRITURAS fata\Dc Simples\2012 DEPTO ESCRITURAS\BANCO CHILE\LUIS ASTUDILLO CAMPOS.doc</t>
  </si>
  <si>
    <t>C:\Users\franc\OneDrive\Documentos\MALENTIN KARIME\BANCO ESTADO\2012 DEPTO ESCRITURAS fata\Dc Simples\2012 DEPTO ESCRITURAS\BANCO CHILE\JUAN JULIA F24.doc</t>
  </si>
  <si>
    <t>C:\Users\franc\OneDrive\Documentos\MALENTIN KARIME\BANCO ESTADO\2012 DEPTO ESCRITURAS fata\Dc Simples\2012 DEPTO ESCRITURAS\BANCO CHILE\JUAN CARLOS JULIA.doc</t>
  </si>
  <si>
    <t>C:\Users\franc\OneDrive\Documentos\MALENTIN KARIME\BANCO ESTADO\2012 DEPTO ESCRITURAS fata\Dc Simples\2012 DEPTO ESCRITURAS\BANCO CHILE\JOSE ARAYA A Hernan Alaniz.doc</t>
  </si>
  <si>
    <t>C:\Users\franc\OneDrive\Documentos\MALENTIN KARIME\BANCO ESTADO\2012 DEPTO ESCRITURAS fata\Dc Simples\2012 DEPTO ESCRITURAS\BANCO CHILE\JORGE HERNANDEZ AGUIRRE Finiquito de Contrato de Trabajo  y dación en pago.doc</t>
  </si>
  <si>
    <t>C:\Users\franc\OneDrive\Documentos\MALENTIN KARIME\BANCO ESTADO\2012 DEPTO ESCRITURAS fata\Dc Simples\2012 DEPTO ESCRITURAS\BANCO CHILE\Instrucciones_Loma_Larga.doc</t>
  </si>
  <si>
    <t>C:\Users\franc\OneDrive\Documentos\MALENTIN KARIME\BANCO ESTADO\2012 DEPTO ESCRITURAS fata\Dc Simples\2012 DEPTO ESCRITURAS\BANCO CHILE\INMOBILIARIA DOBLE M Alzamiento.doc</t>
  </si>
  <si>
    <t>C:\Users\franc\OneDrive\Documentos\MALENTIN KARIME\BANCO ESTADO\2012 DEPTO ESCRITURAS fata\Dc Simples\2012 DEPTO ESCRITURAS\BANCO CHILE\Hernan Alanis F24.doc</t>
  </si>
  <si>
    <t>C:\Users\franc\OneDrive\Documentos\MALENTIN KARIME\BANCO ESTADO\2012 DEPTO ESCRITURAS fata\Dc Simples\2012 DEPTO ESCRITURAS\BANCO CHILE\GAMAL ROJAS Recti.doc</t>
  </si>
  <si>
    <t>C:\Users\franc\OneDrive\Documentos\MALENTIN KARIME\BANCO ESTADO\2012 DEPTO ESCRITURAS fata\Dc Simples\2012 DEPTO ESCRITURAS\BANCO CHILE\GAMAL ROJAS PEREZ F24.doc</t>
  </si>
  <si>
    <t>C:\Users\franc\OneDrive\Documentos\MALENTIN KARIME\BANCO ESTADO\2012 DEPTO ESCRITURAS fata\Dc Simples\2012 DEPTO ESCRITURAS\BANCO CHILE\Gamal Rojas e Isabel Jamett,Notaria.doc</t>
  </si>
  <si>
    <t>C:\Users\franc\OneDrive\Documentos\MALENTIN KARIME\BANCO ESTADO\2012 DEPTO ESCRITURAS fata\Dc Simples\2012 DEPTO ESCRITURAS\BANCO CHILE\GAMAL EDUARDO ROJAS PEREZ.doc</t>
  </si>
  <si>
    <t>C:\Users\franc\OneDrive\Documentos\MALENTIN KARIME\BANCO ESTADO\2012 DEPTO ESCRITURAS fata\Dc Simples\2012 DEPTO ESCRITURAS\BANCO CHILE\GAMAL EDUARDO ROJAS PEREZ visto bueno.doc</t>
  </si>
  <si>
    <t>C:\Users\franc\OneDrive\Documentos\MALENTIN KARIME\BANCO ESTADO\2012 DEPTO ESCRITURAS fata\Dc Simples\2012 DEPTO ESCRITURAS\BANCO CHILE\FERNANDO PEÑAFIEL SALAS Alzam.doc</t>
  </si>
  <si>
    <t>C:\Users\franc\OneDrive\Documentos\MALENTIN KARIME\BANCO ESTADO\2012 DEPTO ESCRITURAS fata\Dc Simples\2012 DEPTO ESCRITURAS\BANCO CHILE\F 24 VERONICA BAHAM.doc</t>
  </si>
  <si>
    <t>C:\Users\franc\OneDrive\Documentos\MALENTIN KARIME\BANCO ESTADO\2012 DEPTO ESCRITURAS fata\Dc Simples\2012 DEPTO ESCRITURAS\BANCO CHILE\F 24 Rudelio  Araya.doc</t>
  </si>
  <si>
    <t>C:\Users\franc\OneDrive\Documentos\MALENTIN KARIME\BANCO ESTADO\2012 DEPTO ESCRITURAS fata\Dc Simples\2012 DEPTO ESCRITURAS\BANCO CHILE\F 24 Rienzi Medalla.doc</t>
  </si>
  <si>
    <t>C:\Users\franc\OneDrive\Documentos\MALENTIN KARIME\BANCO ESTADO\2012 DEPTO ESCRITURAS fata\Dc Simples\2012 DEPTO ESCRITURAS\BANCO CHILE\F 24 Mauricio Hurtado.doc</t>
  </si>
  <si>
    <t>C:\Users\franc\OneDrive\Documentos\MALENTIN KARIME\BANCO ESTADO\2012 DEPTO ESCRITURAS fata\Dc Simples\2012 DEPTO ESCRITURAS\BANCO CHILE\F 24 María Ochoa.doc</t>
  </si>
  <si>
    <t>C:\Users\franc\OneDrive\Documentos\MALENTIN KARIME\BANCO ESTADO\2012 DEPTO ESCRITURAS fata\Dc Simples\2012 DEPTO ESCRITURAS\BANCO CHILE\F 24 MARIA OCHOA.doc</t>
  </si>
  <si>
    <t>C:\Users\franc\OneDrive\Documentos\MALENTIN KARIME\BANCO ESTADO\2012 DEPTO ESCRITURAS fata\Dc Simples\2012 DEPTO ESCRITURAS\BANCO CHILE\F 24 Luis Astudillo.doc</t>
  </si>
  <si>
    <t>C:\Users\franc\OneDrive\Documentos\MALENTIN KARIME\BANCO ESTADO\2012 DEPTO ESCRITURAS fata\Dc Simples\2012 DEPTO ESCRITURAS\BANCO CHILE\F 24 Loma Larga.doc</t>
  </si>
  <si>
    <t>C:\Users\franc\OneDrive\Documentos\MALENTIN KARIME\BANCO ESTADO\2012 DEPTO ESCRITURAS fata\Dc Simples\2012 DEPTO ESCRITURAS\BANCO CHILE\F 24 Hector Paz.doc</t>
  </si>
  <si>
    <t>C:\Users\franc\OneDrive\Documentos\MALENTIN KARIME\BANCO ESTADO\2012 DEPTO ESCRITURAS fata\Dc Simples\2012 DEPTO ESCRITURAS\BANCO CHILE\F 24 FCO. OGALDE.doc</t>
  </si>
  <si>
    <t>C:\Users\franc\OneDrive\Documentos\MALENTIN KARIME\BANCO ESTADO\2012 DEPTO ESCRITURAS fata\Dc Simples\2012 DEPTO ESCRITURAS\BANCO CHILE\F 24 Eduardo Rojas.doc</t>
  </si>
  <si>
    <t>C:\Users\franc\OneDrive\Documentos\MALENTIN KARIME\BANCO ESTADO\2012 DEPTO ESCRITURAS fata\Dc Simples\2012 DEPTO ESCRITURAS\BANCO CHILE\EMMA CHELEN A RUBEN TABILO Dic.doc</t>
  </si>
  <si>
    <t>C:\Users\franc\OneDrive\Documentos\MALENTIN KARIME\BANCO ESTADO\2012 DEPTO ESCRITURAS fata\Dc Simples\2012 DEPTO ESCRITURAS\BANCO CHILE\EDUARDO ROJAS ROJAS Y Hector Castillo.doc</t>
  </si>
  <si>
    <t>C:\Users\franc\OneDrive\Documentos\MALENTIN KARIME\BANCO ESTADO\2012 DEPTO ESCRITURAS fata\Dc Simples\2012 DEPTO ESCRITURAS\BANCO CHILE\DOBLE M Y FCO. OGALDE.doc</t>
  </si>
  <si>
    <t>C:\Users\franc\OneDrive\Documentos\MALENTIN KARIME\BANCO ESTADO\2012 DEPTO ESCRITURAS fata\Dc Simples\2012 DEPTO ESCRITURAS\BANCO CHILE\DOBLE M Y Elena Carvajal.doc</t>
  </si>
  <si>
    <t>C:\Users\franc\OneDrive\Documentos\MALENTIN KARIME\BANCO ESTADO\2012 DEPTO ESCRITURAS fata\Dc Simples\2012 DEPTO ESCRITURAS\BANCO CHILE\DANIEL ULLA Factoring.doc</t>
  </si>
  <si>
    <t>C:\Users\franc\OneDrive\Documentos\MALENTIN KARIME\BANCO ESTADO\2012 DEPTO ESCRITURAS fata\Dc Simples\2012 DEPTO ESCRITURAS\BANCO CHILE\DANIEL MICHEA  A OSCAR ROJAS HIDALGO Dic.doc</t>
  </si>
  <si>
    <t>C:\Users\franc\OneDrive\Documentos\MALENTIN KARIME\BANCO ESTADO\2012 DEPTO ESCRITURAS fata\Dc Simples\2012 DEPTO ESCRITURAS\BANCO CHILE\CRISTIAN MIRANDA A RAMIRO SEPULVEDA (compraventa).doc</t>
  </si>
  <si>
    <t>C:\Users\franc\OneDrive\Documentos\MALENTIN KARIME\BANCO ESTADO\2012 DEPTO ESCRITURAS fata\Dc Simples\2012 DEPTO ESCRITURAS\BANCO CHILE\CARLOS CUELLAR A ROXANA VALDES Çcompraventa griiss.doc</t>
  </si>
  <si>
    <t>C:\Users\franc\OneDrive\Documentos\MALENTIN KARIME\BANCO ESTADO\2012 DEPTO ESCRITURAS fata\Dc Simples\2012 DEPTO ESCRITURAS\BANCO CHILE\BRENDA VIGORENA Y MAURICIO HURTADO Abril 2013.doc</t>
  </si>
  <si>
    <t>C:\Users\franc\OneDrive\Documentos\MALENTIN KARIME\BANCO ESTADO\2012 DEPTO ESCRITURAS fata\Dc Simples\2012 DEPTO ESCRITURAS\BANCO CHILE\BRENDA VIGORENA Y MAURICIO HURTADO Abril 2013 NUEVO AGente.doc</t>
  </si>
  <si>
    <t>C:\Users\franc\OneDrive\Documentos\MALENTIN KARIME\BANCO ESTADO\2012 DEPTO ESCRITURAS fata\Dc Simples\2012 DEPTO ESCRITURAS\BANCO CHILE\BERNARDO GALLEGUILLOS FERRER Febr 14.doc</t>
  </si>
  <si>
    <t>C:\Users\franc\OneDrive\Documentos\MALENTIN KARIME\BANCO ESTADO\2012 DEPTO ESCRITURAS fata\Dc Simples\2012 DEPTO ESCRITURAS\BANCO CHILE\ANA MUÑOZ CABALLERO Alzamiento.doc</t>
  </si>
  <si>
    <t>C:\Users\franc\OneDrive\Documentos\MALENTIN KARIME\BANCO ESTADO\2012 DEPTO ESCRITURAS fata\Dc Simples\2012 DEPTO ESCRITURAS\BANCO CHILE\ANA ARELLANO A BANCO DE CHILE.doc</t>
  </si>
  <si>
    <t>C:\Users\franc\OneDrive\Documentos\MALENTIN KARIME\BANCO ESTADO\2012 DEPTO ESCRITURAS fata\Dc Simples\2012 DEPTO ESCRITURAS\BANCO BBVA\BANCO CREDITO\SOCIEDAD COMERCIAL EL RELOJ Leasing.doc</t>
  </si>
  <si>
    <t>C:\Users\franc\OneDrive\Documentos\MALENTIN KARIME\BANCO ESTADO\2012 DEPTO ESCRITURAS fata\Dc Simples\2012 DEPTO ESCRITURAS\BANCO BBVA\BANCO CREDITO\PERSONERIAS_BCI_OVALLE_2012[1].doc</t>
  </si>
  <si>
    <t>C:\Users\franc\OneDrive\Documentos\MALENTIN KARIME\BANCO ESTADO\2012 DEPTO ESCRITURAS fata\Dc Simples\2012 DEPTO ESCRITURAS\BANCO BBVA\BANCO CREDITO\MANUEL RUBINA Y DOBLE M.doc</t>
  </si>
  <si>
    <t>C:\Users\franc\OneDrive\Documentos\MALENTIN KARIME\BANCO ESTADO\2012 DEPTO ESCRITURAS fata\Dc Simples\2012 DEPTO ESCRITURAS\BANCO BBVA\BANCO CREDITO\LEANDRO ORELLANA DONOSO.doc</t>
  </si>
  <si>
    <t>C:\Users\franc\OneDrive\Documentos\MALENTIN KARIME\BANCO ESTADO\2012 DEPTO ESCRITURAS fata\Dc Simples\2012 DEPTO ESCRITURAS\BANCO BBVA\BANCO CREDITO\INMOBILIARIA RIO LIMARI A PATRICIO ROCO.doc</t>
  </si>
  <si>
    <t>C:\Users\franc\OneDrive\Documentos\MALENTIN KARIME\BANCO ESTADO\2012 DEPTO ESCRITURAS fata\Dc Simples\2012 DEPTO ESCRITURAS\BANCO BBVA\BANCO CREDITO\INMOBILIARIA RIO LIMARI A KARINKA VALENZUELA.doc</t>
  </si>
  <si>
    <t>C:\Users\franc\OneDrive\Documentos\MALENTIN KARIME\BANCO ESTADO\2012 DEPTO ESCRITURAS fata\Dc Simples\2012 DEPTO ESCRITURAS\BANCO BBVA\BANCO CREDITO\F 24 MANUELR UBINA.doc</t>
  </si>
  <si>
    <t>C:\Users\franc\OneDrive\Documentos\MALENTIN KARIME\BANCO ESTADO\2012 DEPTO ESCRITURAS fata\Dc Simples\2012 DEPTO ESCRITURAS\BANCO BBVA\BANCO CREDITO\F 24 LEANDRO ORELLANA.doc</t>
  </si>
  <si>
    <t>C:\Users\franc\OneDrive\Documentos\MALENTIN KARIME\BANCO ESTADO\2012 DEPTO ESCRITURAS fata\Dc Simples\2012 DEPTO ESCRITURAS\BANCO BBVA\BANCO CREDITO\carta resguardo MANUEL RUBINA Y DOBLE M.doc</t>
  </si>
  <si>
    <t>C:\Users\franc\OneDrive\Documentos\MALENTIN KARIME\BANCO ESTADO\2012 DEPTO ESCRITURAS fata\Dc Simples\2012 DEPTO ESCRITURAS\BANCO BBVA\VLADIMIR FERNANDEZ.doc</t>
  </si>
  <si>
    <t>C:\Users\franc\OneDrive\Documentos\MALENTIN KARIME\BANCO ESTADO\2012 DEPTO ESCRITURAS fata\Dc Simples\2012 DEPTO ESCRITURAS\BANCO BBVA\LUIS CARVAJAL E.I.R.L.doc</t>
  </si>
  <si>
    <t>C:\Users\franc\OneDrive\Documentos\MALENTIN KARIME\BANCO ESTADO\2012 DEPTO ESCRITURAS fata\Dc Simples\2012 DEPTO ESCRITURAS\BANCO BBVA\JAVIER PIZARRO - CV DOBLE M.doc</t>
  </si>
  <si>
    <t>C:\Users\franc\OneDrive\Documentos\MALENTIN KARIME\BANCO ESTADO\2012 DEPTO ESCRITURAS fata\Dc Simples\2012 DEPTO ESCRITURAS\BANCO BBVA\F 24 WLADIMIR FERNANDEZ CABRERA.doc</t>
  </si>
  <si>
    <t>C:\Users\franc\OneDrive\Documentos\MALENTIN KARIME\BANCO ESTADO\2012 DEPTO ESCRITURAS fata\Dc Simples\2012 DEPTO ESCRITURAS\BANCO BBVA\Christian González Cerezo CRESGUARDO.doc</t>
  </si>
  <si>
    <t>C:\Users\franc\OneDrive\Documentos\MALENTIN KARIME\BANCO ESTADO\2012 DEPTO ESCRITURAS fata\Dc Simples\2012 DEPTO ESCRITURAS\BANCO BBVA\AMADIEL ALVAREZ CAMPUSANO Dic 13.doc</t>
  </si>
  <si>
    <t>C:\Users\franc\OneDrive\Documentos\MALENTIN KARIME\BANCO ESTADO\2012 DEPTO ESCRITURAS fata\Dc Simples\2012 DEPTO ESCRITURAS\Aut firmas\ROBERTO VEGA Contratos.doc</t>
  </si>
  <si>
    <t>C:\Users\franc\OneDrive\Documentos\MALENTIN KARIME\BANCO ESTADO\2012 DEPTO ESCRITURAS fata\Dc Simples\2012 DEPTO ESCRITURAS\ARRIENDOS Y SERV\TELEFONICA MOVIL S.A. A JACINTO LABARCA CORTES.doc</t>
  </si>
  <si>
    <t>C:\Users\franc\OneDrive\Documentos\MALENTIN KARIME\BANCO ESTADO\2012 DEPTO ESCRITURAS fata\Dc Simples\2012 DEPTO ESCRITURAS\ARRIENDOS Y SERV\TELEFONICA MOVIL S.A. A COMUNIDAD AGRICOLA MONTE PATRIA.doc</t>
  </si>
  <si>
    <t>C:\Users\franc\OneDrive\Documentos\MALENTIN KARIME\BANCO ESTADO\2012 DEPTO ESCRITURAS fata\Dc Simples\2012 DEPTO ESCRITURAS\ARRIENDOS Y SERV\TELEFONICA MOVIL S.A. A  ANDRES ARANCIBIA Y OTRO.doc</t>
  </si>
  <si>
    <t>C:\Users\franc\OneDrive\Documentos\MALENTIN KARIME\BANCO ESTADO\2012 DEPTO ESCRITURAS fata\Dc Simples\2012 DEPTO ESCRITURAS\ARRIENDOS Y SERV\Saga y CRISTIAN SMITMANS Privado.doc</t>
  </si>
  <si>
    <t>C:\Users\franc\OneDrive\Documentos\MALENTIN KARIME\BANCO ESTADO\2012 DEPTO ESCRITURAS fata\Dc Simples\2012 DEPTO ESCRITURAS\ARRIENDOS Y SERV\Saga y CRISTIAN SMITMANS Inventario.doc</t>
  </si>
  <si>
    <t>C:\Users\franc\OneDrive\Documentos\MALENTIN KARIME\BANCO ESTADO\2012 DEPTO ESCRITURAS fata\Dc Simples\2012 DEPTO ESCRITURAS\ARRIENDOS Y SERV\Saga y Constructora M&amp;Y EIRL.doc</t>
  </si>
  <si>
    <t>C:\Users\franc\OneDrive\Documentos\MALENTIN KARIME\BANCO ESTADO\2012 DEPTO ESCRITURAS fata\Dc Simples\2012 DEPTO ESCRITURAS\ARRIENDOS Y SERV\ROSA CASTILLO GENERAL A MIGUEL GODOY Minuta Luis gallardo.doc</t>
  </si>
  <si>
    <t>C:\Users\franc\OneDrive\Documentos\MALENTIN KARIME\BANCO ESTADO\2012 DEPTO ESCRITURAS fata\Dc Simples\2012 DEPTO ESCRITURAS\ARRIENDOS Y SERV\PICHASCA INMOBILIARIA EIRL.doc</t>
  </si>
  <si>
    <t>C:\Users\franc\OneDrive\Documentos\MALENTIN KARIME\BANCO ESTADO\2012 DEPTO ESCRITURAS fata\Dc Simples\2012 DEPTO ESCRITURAS\ARRIENDOS Y SERV\OSCAR GODODY y MARIA PAZ CONSTRUCTORA.doc</t>
  </si>
  <si>
    <t>C:\Users\franc\OneDrive\Documentos\MALENTIN KARIME\BANCO ESTADO\2012 DEPTO ESCRITURAS fata\Dc Simples\2012 DEPTO ESCRITURAS\ARRIENDOS Y SERV\MORGADO Y VILCHES A NEWEN.doc</t>
  </si>
  <si>
    <t>C:\Users\franc\OneDrive\Documentos\MALENTIN KARIME\BANCO ESTADO\2012 DEPTO ESCRITURAS fata\Dc Simples\2012 DEPTO ESCRITURAS\ARRIENDOS Y SERV\MODFICIACIONCONTRATOARRIENDO-CASANOVA&amp;PIZARRO.doc</t>
  </si>
  <si>
    <t>C:\Users\franc\OneDrive\Documentos\MALENTIN KARIME\BANCO ESTADO\2012 DEPTO ESCRITURAS fata\Dc Simples\2012 DEPTO ESCRITURAS\ARRIENDOS Y SERV\LUIS VARAS Y JOSE MOLINA Término.doc</t>
  </si>
  <si>
    <t>C:\Users\franc\OneDrive\Documentos\MALENTIN KARIME\BANCO ESTADO\2012 DEPTO ESCRITURAS fata\Dc Simples\2012 DEPTO ESCRITURAS\ARRIENDOS Y SERV\LOS AROMOS Y Norteandino.doc</t>
  </si>
  <si>
    <t>C:\Users\franc\OneDrive\Documentos\MALENTIN KARIME\BANCO ESTADO\2012 DEPTO ESCRITURAS fata\Dc Simples\2012 DEPTO ESCRITURAS\ARRIENDOS Y SERV\LILIANA ALFARO LAGUNAS.doc</t>
  </si>
  <si>
    <t>C:\Users\franc\OneDrive\Documentos\MALENTIN KARIME\BANCO ESTADO\2012 DEPTO ESCRITURAS fata\Dc Simples\2012 DEPTO ESCRITURAS\ARRIENDOS Y SERV\LILIANA ALFARO LAGUNAS minuta.doc</t>
  </si>
  <si>
    <t>C:\Users\franc\OneDrive\Documentos\MALENTIN KARIME\BANCO ESTADO\2012 DEPTO ESCRITURAS fata\Dc Simples\2012 DEPTO ESCRITURAS\ARRIENDOS Y SERV\LILIANA ALFARO LAGUNAS minuta II.doc</t>
  </si>
  <si>
    <t>C:\Users\franc\OneDrive\Documentos\MALENTIN KARIME\BANCO ESTADO\2012 DEPTO ESCRITURAS fata\Dc Simples\2012 DEPTO ESCRITURAS\ARRIENDOS Y SERV\JOSE ARGANDOÑA A NIBALD OLIVARES Minuta O.Gallardo.doc</t>
  </si>
  <si>
    <t>C:\Users\franc\OneDrive\Documentos\MALENTIN KARIME\BANCO ESTADO\2012 DEPTO ESCRITURAS fata\Dc Simples\2012 DEPTO ESCRITURAS\ARRIENDOS Y SERV\INES CASANOVA A NELLY PIZARRO Privado.doc</t>
  </si>
  <si>
    <t>C:\Users\franc\OneDrive\Documentos\MALENTIN KARIME\BANCO ESTADO\2012 DEPTO ESCRITURAS fata\Dc Simples\2012 DEPTO ESCRITURAS\ARRIENDOS Y SERV\HUGO ARAYA A Agricola Elqui.doc</t>
  </si>
  <si>
    <t>C:\Users\franc\OneDrive\Documentos\MALENTIN KARIME\BANCO ESTADO\2012 DEPTO ESCRITURAS fata\Dc Simples\2012 DEPTO ESCRITURAS\ARRIENDOS Y SERV\GABRIELA BRAVO A Waldo Elgueta.doc</t>
  </si>
  <si>
    <t>C:\Users\franc\OneDrive\Documentos\MALENTIN KARIME\BANCO ESTADO\2012 DEPTO ESCRITURAS fata\Dc Simples\2012 DEPTO ESCRITURAS\ARRIENDOS Y SERV\GABRIELA BRAVO A Waldo Elgueta ii.doc</t>
  </si>
  <si>
    <t>C:\Users\franc\OneDrive\Documentos\MALENTIN KARIME\BANCO ESTADO\2012 DEPTO ESCRITURAS fata\Dc Simples\2012 DEPTO ESCRITURAS\ARRIENDOS Y SERV\EDUARDO GALLEGUILLOS CONTRERAS.doc</t>
  </si>
  <si>
    <t>C:\Users\franc\OneDrive\Documentos\MALENTIN KARIME\BANCO ESTADO\2012 DEPTO ESCRITURAS fata\Dc Simples\2012 DEPTO ESCRITURAS\ARRIENDOS Y SERV\Don TITO BUGUEÑO BUGUEÑO.doc</t>
  </si>
  <si>
    <t>C:\Users\franc\OneDrive\Documentos\MALENTIN KARIME\BANCO ESTADO\2012 DEPTO ESCRITURAS fata\Dc Simples\2012 DEPTO ESCRITURAS\ARRIENDOS Y SERV\contrato de arrendamiento LOS AROMOS S.A. a AGRICOLA NORTEANDINO LIMITADA.doc</t>
  </si>
  <si>
    <t>C:\Users\franc\OneDrive\Documentos\MALENTIN KARIME\BANCO ESTADO\2012 DEPTO ESCRITURAS fata\Dc Simples\2012 DEPTO ESCRITURAS\ARRIENDOS Y SERV\COLOMBRE Y ULISES ROBLES EGAÑA.doc</t>
  </si>
  <si>
    <t>C:\Users\franc\OneDrive\Documentos\MALENTIN KARIME\BANCO ESTADO\2012 DEPTO ESCRITURAS fata\Dc Simples\2012 DEPTO ESCRITURAS\ARRIENDOS Y SERV\budget, ren a car EIRL.doc</t>
  </si>
  <si>
    <t>C:\Users\franc\OneDrive\Documentos\MALENTIN KARIME\BANCO ESTADO\2012 DEPTO ESCRITURAS fata\Dc Simples\2012 DEPTO ESCRITURAS\ARRIENDOS Y SERV\ATC SITIOS Y CDAD INGA PICHASCA.doc</t>
  </si>
  <si>
    <t>C:\Users\franc\OneDrive\Documentos\MALENTIN KARIME\BANCO ESTADO\2012 DEPTO ESCRITURAS fata\Dc Simples\2012 DEPTO ESCRITURAS\ARRIENDOS Y SERV\ANGOSTURA 2.doc</t>
  </si>
  <si>
    <t>C:\Users\franc\OneDrive\Documentos\MALENTIN KARIME\BANCO ESTADO\2012 DEPTO ESCRITURAS fata\Dc Simples\2012 DEPTO ESCRITURAS\ARRIENDOS Y SERV\ANGOSTURA 1.doc</t>
  </si>
  <si>
    <t>C:\Users\franc\OneDrive\Documentos\MALENTIN KARIME\BANCO ESTADO\2012 DEPTO ESCRITURAS fata\Dc Simples\2012 DEPTO ESCRITURAS\ARRIENDOS Y SERV\ANGOSTURA  a GUSTAVINA PALACIOS.doc</t>
  </si>
  <si>
    <t>C:\Users\franc\OneDrive\Documentos\MALENTIN KARIME\BANCO ESTADO\2012 DEPTO ESCRITURAS fata\Dc Simples\2012 DEPTO ESCRITURAS\APR\PEDRO ALFARO Y OTROS A Comité Agua Potable Rural SONORA.doc</t>
  </si>
  <si>
    <t>C:\Users\franc\OneDrive\Documentos\MALENTIN KARIME\BANCO ESTADO\2012 DEPTO ESCRITURAS fata\Dc Simples\2012 DEPTO ESCRITURAS\APR\ORIEL JERALDO TIRADO.doc</t>
  </si>
  <si>
    <t>C:\Users\franc\OneDrive\Documentos\MALENTIN KARIME\BANCO ESTADO\2012 DEPTO ESCRITURAS fata\Dc Simples\2012 DEPTO ESCRITURAS\APR\CDAD BARRAZA Comodato.doc</t>
  </si>
  <si>
    <t>C:\Users\franc\OneDrive\Documentos\MALENTIN KARIME\BANCO ESTADO\2012 DEPTO ESCRITURAS fata\Dc Simples\2012 DEPTO ESCRITURAS\APR\APR LOS NOGALES.doc</t>
  </si>
  <si>
    <t>C:\Users\franc\OneDrive\Documentos\MALENTIN KARIME\BANCO ESTADO\2012 DEPTO ESCRITURAS fata\Dc Simples\2012 DEPTO ESCRITURAS\APR\APR LOS CLONQUIS.doc</t>
  </si>
  <si>
    <t>C:\Users\franc\OneDrive\Documentos\MALENTIN KARIME\BANCO ESTADO\2012 DEPTO ESCRITURAS fata\Dc Simples\2012 DEPTO ESCRITURAS\ALTOS PUNITAQUI\SILVIA IBACACHE CODOCEO Aguas.doc</t>
  </si>
  <si>
    <t>C:\Users\franc\OneDrive\Documentos\MALENTIN KARIME\BANCO ESTADO\2012 DEPTO ESCRITURAS fata\Dc Simples\2012 DEPTO ESCRITURAS\ALTOS PUNITAQUI\REDUCCIÓN E.P. TRANSACCIÓN MINERA ALTOS DE PUNITAQUI VERSION NOTARIA.doc</t>
  </si>
  <si>
    <t>C:\Users\franc\OneDrive\Documentos\MALENTIN KARIME\BANCO ESTADO\2012 DEPTO ESCRITURAS fata\Dc Simples\2012 DEPTO ESCRITURAS\ALTOS PUNITAQUI\MINERA PUNITAQUI Y CONAFE Transaccion I.doc</t>
  </si>
  <si>
    <t>C:\Users\franc\OneDrive\Documentos\MALENTIN KARIME\BANCO ESTADO\2012 DEPTO ESCRITURAS fata\Dc Simples\2012 DEPTO ESCRITURAS\ALTOS PUNITAQUI\MINERA ALTOS DE PUNITAQUI A Soledad Farr mandato.doc</t>
  </si>
  <si>
    <t>C:\Users\franc\OneDrive\Documentos\MALENTIN KARIME\BANCO ESTADO\2012 DEPTO ESCRITURAS fata\Dc Simples\2012 DEPTO ESCRITURAS\ALTOS PUNITAQUI\LAUTARO MANRIQUEZ A SOLEDAD FARR.doc</t>
  </si>
  <si>
    <t>C:\Users\franc\OneDrive\Documentos\MALENTIN KARIME\BANCO ESTADO\2012 DEPTO ESCRITURAS fata\Dc Simples\2012 DEPTO ESCRITURAS\ALTOS PUNITAQUI\LAUTARO MANRIQUEZ A SOLEDAD FARR 2017.doc</t>
  </si>
  <si>
    <t>C:\Users\franc\OneDrive\Documentos\MALENTIN KARIME\BANCO ESTADO\2012 DEPTO ESCRITURAS fata\Dc Simples\2012 DEPTO ESCRITURAS\ALTOS PUNITAQUI\Contrato de Suministro con Garantía Cinabrio julio 2012 versión notaria.doc</t>
  </si>
  <si>
    <t>C:\Users\franc\OneDrive\Documentos\MALENTIN KARIME\BANCO ESTADO\2012 DEPTO ESCRITURAS fata\Dc Simples\2012 DEPTO ESCRITURAS\ALTOS PUNITAQUI\Autorizo la firma de don LAUTARO ROBERTO MANRIQUEZ CALLEJAS.doc</t>
  </si>
  <si>
    <t>C:\Users\franc\OneDrive\Documentos\MALENTIN KARIME\BANCO ESTADO\2012 DEPTO ESCRITURAS fata\Dc Simples\2012 DEPTO ESCRITURAS\AGUAS\ADOLFO LAY\MARIA IRIBARREN MUÑOZ.doc</t>
  </si>
  <si>
    <t>C:\Users\franc\OneDrive\Documentos\MALENTIN KARIME\BANCO ESTADO\2012 DEPTO ESCRITURAS fata\Dc Simples\2012 DEPTO ESCRITURAS\AGUAS\ADOLFO LAY\COMERCIAL AUTOTEC.doc</t>
  </si>
  <si>
    <t>C:\Users\franc\OneDrive\Documentos\MALENTIN KARIME\BANCO ESTADO\2012 DEPTO ESCRITURAS fata\Dc Simples\2012 DEPTO ESCRITURAS\AGUAS\2014\SOCIEDAD SANTA CATALINA A Agrícola Vespucio.doc</t>
  </si>
  <si>
    <t>C:\Users\franc\OneDrive\Documentos\MALENTIN KARIME\BANCO ESTADO\2012 DEPTO ESCRITURAS fata\Dc Simples\2012 DEPTO ESCRITURAS\AGUAS\2014\JOSE MIGUEL MUNIZAGA TORO a Alfonso Montenegro.doc</t>
  </si>
  <si>
    <t>C:\Users\franc\OneDrive\Documentos\MALENTIN KARIME\BANCO ESTADO\2012 DEPTO ESCRITURAS fata\Dc Simples\2012 DEPTO ESCRITURAS\AGUAS\2014\INSTRUCCIONESS  Munizaga 2.doc</t>
  </si>
  <si>
    <t>C:\Users\franc\OneDrive\Documentos\MALENTIN KARIME\BANCO ESTADO\2012 DEPTO ESCRITURAS fata\Dc Simples\2012 DEPTO ESCRITURAS\AGUAS\2014\FRUTICOLA RIO COPIAPO A Saraswati Harris.doc</t>
  </si>
  <si>
    <t>C:\Users\franc\OneDrive\Documentos\MALENTIN KARIME\BANCO ESTADO\2012 DEPTO ESCRITURAS fata\Dc Simples\2012 DEPTO ESCRITURAS\AGUAS\2014\FRUTICOLA RIO COPIAPO A Inversiones Juan Pablo.doc</t>
  </si>
  <si>
    <t>C:\Users\franc\OneDrive\Documentos\MALENTIN KARIME\BANCO ESTADO\2012 DEPTO ESCRITURAS fata\Dc Simples\2012 DEPTO ESCRITURAS\AGUAS\2014\FRUTICOLA RIO COPIAPO A Inversiones Juan Pablo formato.doc</t>
  </si>
  <si>
    <t>C:\Users\franc\OneDrive\Documentos\MALENTIN KARIME\BANCO ESTADO\2012 DEPTO ESCRITURAS fata\Dc Simples\2012 DEPTO ESCRITURAS\AGUAS\2014\FRUTICOLA RIO COPIAPO A Angostura.doc</t>
  </si>
  <si>
    <t>C:\Users\franc\OneDrive\Documentos\MALENTIN KARIME\BANCO ESTADO\2012 DEPTO ESCRITURAS fata\Dc Simples\2012 DEPTO ESCRITURAS\AGUAS\2014\FRUTICOLA RIO COPIAPO A Angostura formato.doc</t>
  </si>
  <si>
    <t>C:\Users\franc\OneDrive\Documentos\MALENTIN KARIME\BANCO ESTADO\2012 DEPTO ESCRITURAS fata\Dc Simples\2012 DEPTO ESCRITURAS\AGUAS\2014\FRUTICOLA RIO COPIAPO A  Mario Alfaro.doc</t>
  </si>
  <si>
    <t>C:\Users\franc\OneDrive\Documentos\MALENTIN KARIME\BANCO ESTADO\2012 DEPTO ESCRITURAS fata\Dc Simples\2012 DEPTO ESCRITURAS\AGUAS\2014\FRUTICOLA RIO COPIAPO A  Juan Carlos Julia.doc</t>
  </si>
  <si>
    <t>C:\Users\franc\OneDrive\Documentos\MALENTIN KARIME\BANCO ESTADO\2012 DEPTO ESCRITURAS fata\Dc Simples\2012 DEPTO ESCRITURAS\AGUAS\2014\FRUTICOLA RIO COPIAPO A  Agricola Valle del Limar Spa.doc</t>
  </si>
  <si>
    <t>C:\Users\franc\OneDrive\Documentos\MALENTIN KARIME\BANCO ESTADO\2012 DEPTO ESCRITURAS fata\Dc Simples\2012 DEPTO ESCRITURAS\AGUAS\2014\AGRICOLA Sicor a San Clemente.doc</t>
  </si>
  <si>
    <t>C:\Users\franc\OneDrive\Documentos\MALENTIN KARIME\BANCO ESTADO\2012 DEPTO ESCRITURAS fata\Dc Simples\2012 DEPTO ESCRITURAS\AGUAS\2014\AGRICOLA Sicor a San Clemente privado.doc</t>
  </si>
  <si>
    <t>C:\Users\franc\OneDrive\Documentos\MALENTIN KARIME\BANCO ESTADO\2012 DEPTO ESCRITURAS fata\Dc Simples\2012 DEPTO ESCRITURAS\AGUAS\WALTER JOFRE MONTERO Arriendo Aguas.doc</t>
  </si>
  <si>
    <t>C:\Users\franc\OneDrive\Documentos\MALENTIN KARIME\BANCO ESTADO\2012 DEPTO ESCRITURAS fata\Dc Simples\2012 DEPTO ESCRITURAS\AGUAS\VIÑA SUTIL Arriendo Aguas.doc</t>
  </si>
  <si>
    <t>C:\Users\franc\OneDrive\Documentos\MALENTIN KARIME\BANCO ESTADO\2012 DEPTO ESCRITURAS fata\Dc Simples\2012 DEPTO ESCRITURAS\AGUAS\VIÑA SUTIL  A Nibaldo Flores Arriendo Aguas.doc</t>
  </si>
  <si>
    <t>C:\Users\franc\OneDrive\Documentos\MALENTIN KARIME\BANCO ESTADO\2012 DEPTO ESCRITURAS fata\Dc Simples\2012 DEPTO ESCRITURAS\AGUAS\VIÑA SUTIL  A LUCIA CORRAL Aguas.doc</t>
  </si>
  <si>
    <t>C:\Users\franc\OneDrive\Documentos\MALENTIN KARIME\BANCO ESTADO\2012 DEPTO ESCRITURAS fata\Dc Simples\2012 DEPTO ESCRITURAS\AGUAS\VIÑA SUTIL  A GABY MORENO VEGA Aguas.doc</t>
  </si>
  <si>
    <t>C:\Users\franc\OneDrive\Documentos\MALENTIN KARIME\BANCO ESTADO\2012 DEPTO ESCRITURAS fata\Dc Simples\2012 DEPTO ESCRITURAS\AGUAS\VIÑA SUTIL  A CLAUDIA BOLADOS Aguas.doc</t>
  </si>
  <si>
    <t>C:\Users\franc\OneDrive\Documentos\MALENTIN KARIME\BANCO ESTADO\2012 DEPTO ESCRITURAS fata\Dc Simples\2012 DEPTO ESCRITURAS\AGUAS\VIÑA SUTIL  A ANIBAL ASTORGA Rectifica.doc</t>
  </si>
  <si>
    <t>C:\Users\franc\OneDrive\Documentos\MALENTIN KARIME\BANCO ESTADO\2012 DEPTO ESCRITURAS fata\Dc Simples\2012 DEPTO ESCRITURAS\AGUAS\VIÑA SUTIL  A ANIBAL ASTORGA Aguas.doc</t>
  </si>
  <si>
    <t>C:\Users\franc\OneDrive\Documentos\MALENTIN KARIME\BANCO ESTADO\2012 DEPTO ESCRITURAS fata\Dc Simples\2012 DEPTO ESCRITURAS\AGUAS\SYLVIA ELENA ALVAREZ A RODRIGO ALCAYAGA.doc</t>
  </si>
  <si>
    <t>C:\Users\franc\OneDrive\Documentos\MALENTIN KARIME\BANCO ESTADO\2012 DEPTO ESCRITURAS fata\Dc Simples\2012 DEPTO ESCRITURAS\AGUAS\SUCESION Carvajal Aguilera.doc</t>
  </si>
  <si>
    <t>C:\Users\franc\OneDrive\Documentos\MALENTIN KARIME\BANCO ESTADO\2012 DEPTO ESCRITURAS fata\Dc Simples\2012 DEPTO ESCRITURAS\AGUAS\SOBRE DIRECTOR  GENERAL    DE AGUAS.doc</t>
  </si>
  <si>
    <t>C:\Users\franc\OneDrive\Documentos\MALENTIN KARIME\BANCO ESTADO\2012 DEPTO ESCRITURAS fata\Dc Simples\2012 DEPTO ESCRITURAS\AGUAS\PLANILLA DIRECCION GENERAL DE AGUAS.doc</t>
  </si>
  <si>
    <t>C:\Users\franc\OneDrive\Documentos\MALENTIN KARIME\BANCO ESTADO\2012 DEPTO ESCRITURAS fata\Dc Simples\2012 DEPTO ESCRITURAS\AGUAS\PATRICIO PINTO A Fruticola Copiapo.doc</t>
  </si>
  <si>
    <t>C:\Users\franc\OneDrive\Documentos\MALENTIN KARIME\BANCO ESTADO\2012 DEPTO ESCRITURAS fata\Dc Simples\2012 DEPTO ESCRITURAS\AGUAS\PATRICIO PINTO A Fruticola Copiapo INSTRUCCIONES.doc</t>
  </si>
  <si>
    <t>C:\Users\franc\OneDrive\Documentos\MALENTIN KARIME\BANCO ESTADO\2012 DEPTO ESCRITURAS fata\Dc Simples\2012 DEPTO ESCRITURAS\AGUAS\PAGARÉ Alegría-1.doc</t>
  </si>
  <si>
    <t>C:\Users\franc\OneDrive\Documentos\MALENTIN KARIME\BANCO ESTADO\2012 DEPTO ESCRITURAS fata\Dc Simples\2012 DEPTO ESCRITURAS\AGUAS\OFICIO AGUAS.doc</t>
  </si>
  <si>
    <t>C:\Users\franc\OneDrive\Documentos\MALENTIN KARIME\BANCO ESTADO\2012 DEPTO ESCRITURAS fata\Dc Simples\2012 DEPTO ESCRITURAS\AGUAS\MARIA CLAUSSEN A Cerro Campanario.doc</t>
  </si>
  <si>
    <t>C:\Users\franc\OneDrive\Documentos\MALENTIN KARIME\BANCO ESTADO\2012 DEPTO ESCRITURAS fata\Dc Simples\2012 DEPTO ESCRITURAS\AGUAS\MARIA AGUIRRE A PETRONILA VELASQUEZ.doc</t>
  </si>
  <si>
    <t>C:\Users\franc\OneDrive\Documentos\MALENTIN KARIME\BANCO ESTADO\2012 DEPTO ESCRITURAS fata\Dc Simples\2012 DEPTO ESCRITURAS\AGUAS\MANUEL ANTONIO LEON  A larrinson leon.doc</t>
  </si>
  <si>
    <t>C:\Users\franc\OneDrive\Documentos\MALENTIN KARIME\BANCO ESTADO\2012 DEPTO ESCRITURAS fata\Dc Simples\2012 DEPTO ESCRITURAS\AGUAS\MANUEL ANTONIO LEON  A CRISTINA S.doc</t>
  </si>
  <si>
    <t>C:\Users\franc\OneDrive\Documentos\MALENTIN KARIME\BANCO ESTADO\2012 DEPTO ESCRITURAS fata\Dc Simples\2012 DEPTO ESCRITURAS\AGUAS\JULIO LUTTGUES A VIVIANA ARAYA HIDALGO.doc</t>
  </si>
  <si>
    <t>C:\Users\franc\OneDrive\Documentos\MALENTIN KARIME\BANCO ESTADO\2012 DEPTO ESCRITURAS fata\Dc Simples\2012 DEPTO ESCRITURAS\AGUAS\JULIO LUTTGUES A JUAN ARAYA.doc</t>
  </si>
  <si>
    <t>C:\Users\franc\OneDrive\Documentos\MALENTIN KARIME\BANCO ESTADO\2012 DEPTO ESCRITURAS fata\Dc Simples\2012 DEPTO ESCRITURAS\AGUAS\JUAN CARLOS JULIA CV AGUAS Tranque El Uno (3000 m3).doc</t>
  </si>
  <si>
    <t>C:\Users\franc\OneDrive\Documentos\MALENTIN KARIME\BANCO ESTADO\2012 DEPTO ESCRITURAS fata\Dc Simples\2012 DEPTO ESCRITURAS\AGUAS\JUAN BOLADOS PIZARRO A ESTER SEGOVIA.doc</t>
  </si>
  <si>
    <t>C:\Users\franc\OneDrive\Documentos\MALENTIN KARIME\BANCO ESTADO\2012 DEPTO ESCRITURAS fata\Dc Simples\2012 DEPTO ESCRITURAS\AGUAS\JOSE MIGUEL MUNIZAGA TORO.doc</t>
  </si>
  <si>
    <t>C:\Users\franc\OneDrive\Documentos\MALENTIN KARIME\BANCO ESTADO\2012 DEPTO ESCRITURAS fata\Dc Simples\2012 DEPTO ESCRITURAS\AGUAS\JOSE MIGUEL MUNIZAGA TORO a BALDEMAR DEL CARMEN.doc</t>
  </si>
  <si>
    <t>C:\Users\franc\OneDrive\Documentos\MALENTIN KARIME\BANCO ESTADO\2012 DEPTO ESCRITURAS fata\Dc Simples\2012 DEPTO ESCRITURAS\AGUAS\JOSE MIGUEL MUNIZAGA TORO a ABRAHAM GALLARDO.doc</t>
  </si>
  <si>
    <t>C:\Users\franc\OneDrive\Documentos\MALENTIN KARIME\BANCO ESTADO\2012 DEPTO ESCRITURAS fata\Dc Simples\2012 DEPTO ESCRITURAS\AGUAS\JOSE MAXIMO CHACON VALLEJOS.doc</t>
  </si>
  <si>
    <t>C:\Users\franc\OneDrive\Documentos\MALENTIN KARIME\BANCO ESTADO\2012 DEPTO ESCRITURAS fata\Dc Simples\2012 DEPTO ESCRITURAS\AGUAS\JOSE CAIMANQUE CASTILLO.doc</t>
  </si>
  <si>
    <t>C:\Users\franc\OneDrive\Documentos\MALENTIN KARIME\BANCO ESTADO\2012 DEPTO ESCRITURAS fata\Dc Simples\2012 DEPTO ESCRITURAS\AGUAS\INSTRUCCIONESS  Munizaga.doc</t>
  </si>
  <si>
    <t>C:\Users\franc\OneDrive\Documentos\MALENTIN KARIME\BANCO ESTADO\2012 DEPTO ESCRITURAS fata\Dc Simples\2012 DEPTO ESCRITURAS\AGUAS\INSTRUCCIONES.doc</t>
  </si>
  <si>
    <t>C:\Users\franc\OneDrive\Documentos\MALENTIN KARIME\BANCO ESTADO\2012 DEPTO ESCRITURAS fata\Dc Simples\2012 DEPTO ESCRITURAS\AGUAS\instrucciones arbolito.doc</t>
  </si>
  <si>
    <t>C:\Users\franc\OneDrive\Documentos\MALENTIN KARIME\BANCO ESTADO\2012 DEPTO ESCRITURAS fata\Dc Simples\2012 DEPTO ESCRITURAS\AGUAS\INMOBILIARIA LOS ALERCES A Luis Tapia Rojas.doc</t>
  </si>
  <si>
    <t>C:\Users\franc\OneDrive\Documentos\MALENTIN KARIME\BANCO ESTADO\2012 DEPTO ESCRITURAS fata\Dc Simples\2012 DEPTO ESCRITURAS\AGUAS\INMOBILIARIA LOS ALERCES A Luis Tapia Rojas para abogado.doc</t>
  </si>
  <si>
    <t>C:\Users\franc\OneDrive\Documentos\MALENTIN KARIME\BANCO ESTADO\2012 DEPTO ESCRITURAS fata\Dc Simples\2012 DEPTO ESCRITURAS\AGUAS\INMOBILIARIA LOS ALERCES A Luis Tapia Rojas final.doc</t>
  </si>
  <si>
    <t>C:\Users\franc\OneDrive\Documentos\MALENTIN KARIME\BANCO ESTADO\2012 DEPTO ESCRITURAS fata\Dc Simples\2012 DEPTO ESCRITURAS\AGUAS\HUGO BUGUEÑO CORTES A Victoria Bugueño.doc</t>
  </si>
  <si>
    <t>C:\Users\franc\OneDrive\Documentos\MALENTIN KARIME\BANCO ESTADO\2012 DEPTO ESCRITURAS fata\Dc Simples\2012 DEPTO ESCRITURAS\AGUAS\FRUTÍCOLA COPIAPO A Oscar Vicuña Urqueta.doc</t>
  </si>
  <si>
    <t>C:\Users\franc\OneDrive\Documentos\MALENTIN KARIME\BANCO ESTADO\2012 DEPTO ESCRITURAS fata\Dc Simples\2012 DEPTO ESCRITURAS\AGUAS\FRUTÍCOLA COPIAPO A María Vega Barraza Agosto 13.doc</t>
  </si>
  <si>
    <t>C:\Users\franc\OneDrive\Documentos\MALENTIN KARIME\BANCO ESTADO\2012 DEPTO ESCRITURAS fata\Dc Simples\2012 DEPTO ESCRITURAS\AGUAS\FRUTÍCOLA COPIAPO A EDUARDO MORGADO.doc</t>
  </si>
  <si>
    <t>C:\Users\franc\OneDrive\Documentos\MALENTIN KARIME\BANCO ESTADO\2012 DEPTO ESCRITURAS fata\Dc Simples\2012 DEPTO ESCRITURAS\AGUAS\FRUTÍCOLA COPIAPO A Angostura.doc</t>
  </si>
  <si>
    <t>C:\Users\franc\OneDrive\Documentos\MALENTIN KARIME\BANCO ESTADO\2012 DEPTO ESCRITURAS fata\Dc Simples\2012 DEPTO ESCRITURAS\AGUAS\FRUTÍCOLA COPIAPO A ALBERTO ALEGRIA ADONES Y OTROS.doc</t>
  </si>
  <si>
    <t>C:\Users\franc\OneDrive\Documentos\MALENTIN KARIME\BANCO ESTADO\2012 DEPTO ESCRITURAS fata\Dc Simples\2012 DEPTO ESCRITURAS\AGUAS\FRUTÍCOLA COPIAPO A ALBERTO ALEGRIA ADONES Y OTROS Complementa.doc</t>
  </si>
  <si>
    <t>C:\Users\franc\OneDrive\Documentos\MALENTIN KARIME\BANCO ESTADO\2012 DEPTO ESCRITURAS fata\Dc Simples\2012 DEPTO ESCRITURAS\AGUAS\FRUTICOLA RIO COPIAPO A Martin Petrinovic.doc</t>
  </si>
  <si>
    <t>C:\Users\franc\OneDrive\Documentos\MALENTIN KARIME\BANCO ESTADO\2012 DEPTO ESCRITURAS fata\Dc Simples\2012 DEPTO ESCRITURAS\AGUAS\FRUTICOLA RIO COPIAPO A Mario Alfaro.doc</t>
  </si>
  <si>
    <t>C:\Users\franc\OneDrive\Documentos\MALENTIN KARIME\BANCO ESTADO\2012 DEPTO ESCRITURAS fata\Dc Simples\2012 DEPTO ESCRITURAS\AGUAS\FRUTICOLA RIO COPIAPO A Jacinto Labarca.doc</t>
  </si>
  <si>
    <t>C:\Users\franc\OneDrive\Documentos\MALENTIN KARIME\BANCO ESTADO\2012 DEPTO ESCRITURAS fata\Dc Simples\2012 DEPTO ESCRITURAS\AGUAS\FRUTICOLA RIO COPIAPO A Eduardo Morgado.doc</t>
  </si>
  <si>
    <t>C:\Users\franc\OneDrive\Documentos\MALENTIN KARIME\BANCO ESTADO\2012 DEPTO ESCRITURAS fata\Dc Simples\2012 DEPTO ESCRITURAS\AGUAS\FRUTICOLA COPIAPO Instrucciones Maria Vega.doc</t>
  </si>
  <si>
    <t>C:\Users\franc\OneDrive\Documentos\MALENTIN KARIME\BANCO ESTADO\2012 DEPTO ESCRITURAS fata\Dc Simples\2012 DEPTO ESCRITURAS\AGUAS\FRUTICOLA COPIAPO A RAMADILLA.doc</t>
  </si>
  <si>
    <t>C:\Users\franc\OneDrive\Documentos\MALENTIN KARIME\BANCO ESTADO\2012 DEPTO ESCRITURAS fata\Dc Simples\2012 DEPTO ESCRITURAS\AGUAS\FRUTICOLA COPIAPO A MARIO ALFARO GUTIERREZ.doc</t>
  </si>
  <si>
    <t>C:\Users\franc\OneDrive\Documentos\MALENTIN KARIME\BANCO ESTADO\2012 DEPTO ESCRITURAS fata\Dc Simples\2012 DEPTO ESCRITURAS\AGUAS\FRUTICOLA COPIAPO A Juan Carlos Julia.doc</t>
  </si>
  <si>
    <t>C:\Users\franc\OneDrive\Documentos\MALENTIN KARIME\BANCO ESTADO\2012 DEPTO ESCRITURAS fata\Dc Simples\2012 DEPTO ESCRITURAS\AGUAS\FRUTICOLA COPIAPO A ISAAC ALAMO.doc</t>
  </si>
  <si>
    <t>C:\Users\franc\OneDrive\Documentos\MALENTIN KARIME\BANCO ESTADO\2012 DEPTO ESCRITURAS fata\Dc Simples\2012 DEPTO ESCRITURAS\AGUAS\FRUTICOLA COPIAPO A Agrícola Valle del Limari II Spa.doc</t>
  </si>
  <si>
    <t>C:\Users\franc\OneDrive\Documentos\MALENTIN KARIME\BANCO ESTADO\2012 DEPTO ESCRITURAS fata\Dc Simples\2012 DEPTO ESCRITURAS\AGUAS\FRUTICOLA COPIAPO A Agrícola Valle del Limari II Spa ESCRITURA.doc</t>
  </si>
  <si>
    <t>C:\Users\franc\OneDrive\Documentos\MALENTIN KARIME\BANCO ESTADO\2012 DEPTO ESCRITURAS fata\Dc Simples\2012 DEPTO ESCRITURAS\AGUAS\FRUTICOLA COPIAPO A AGRICOLA VALLE DEL LIMARI.doc</t>
  </si>
  <si>
    <t>C:\Users\franc\OneDrive\Documentos\MALENTIN KARIME\BANCO ESTADO\2012 DEPTO ESCRITURAS fata\Dc Simples\2012 DEPTO ESCRITURAS\AGUAS\FRANCISCO ARAYA MOYA Pozo.doc</t>
  </si>
  <si>
    <t>C:\Users\franc\OneDrive\Documentos\MALENTIN KARIME\BANCO ESTADO\2012 DEPTO ESCRITURAS fata\Dc Simples\2012 DEPTO ESCRITURAS\AGUAS\ELIANA PERINES PALTA.doc</t>
  </si>
  <si>
    <t>C:\Users\franc\OneDrive\Documentos\MALENTIN KARIME\BANCO ESTADO\2012 DEPTO ESCRITURAS fata\Dc Simples\2012 DEPTO ESCRITURAS\AGUAS\EDGARDO RODRIGUEZ A MANUEL RODRIGUEZ.doc</t>
  </si>
  <si>
    <t>C:\Users\franc\OneDrive\Documentos\MALENTIN KARIME\BANCO ESTADO\2012 DEPTO ESCRITURAS fata\Dc Simples\2012 DEPTO ESCRITURAS\AGUAS\contrato arrendamiento DOTACION.doc</t>
  </si>
  <si>
    <t>C:\Users\franc\OneDrive\Documentos\MALENTIN KARIME\BANCO ESTADO\2012 DEPTO ESCRITURAS fata\Dc Simples\2012 DEPTO ESCRITURAS\AGUAS\CHRISTIAN BARRIOS A SOC. AVICOLA SANTA CARMEN.doc</t>
  </si>
  <si>
    <t>C:\Users\franc\OneDrive\Documentos\MALENTIN KARIME\BANCO ESTADO\2012 DEPTO ESCRITURAS fata\Dc Simples\2012 DEPTO ESCRITURAS\AGUAS\Autorizo la firma de don MANUEL ARTURO CONTADOR CORTES.doc</t>
  </si>
  <si>
    <t>C:\Users\franc\OneDrive\Documentos\MALENTIN KARIME\BANCO ESTADO\2012 DEPTO ESCRITURAS fata\Dc Simples\2012 DEPTO ESCRITURAS\AGUAS\ARNOLDO ARAYA PIÑONES.doc</t>
  </si>
  <si>
    <t>C:\Users\franc\OneDrive\Documentos\MALENTIN KARIME\BANCO ESTADO\2012 DEPTO ESCRITURAS fata\Dc Simples\2012 DEPTO ESCRITURAS\AGUAS\ALFONSO RODRIGUEZ A SANDRA CANIVILO.doc</t>
  </si>
  <si>
    <t>C:\Users\franc\OneDrive\Documentos\MALENTIN KARIME\BANCO ESTADO\2012 DEPTO ESCRITURAS fata\Dc Simples\2012 DEPTO ESCRITURAS\AGUAS\AGRICOLA SICOR S.A. y Jose Aldo ALfaro Alfaro.doc</t>
  </si>
  <si>
    <t>C:\Users\franc\OneDrive\Documentos\MALENTIN KARIME\BANCO ESTADO\2012 DEPTO ESCRITURAS fata\Dc Simples\2012 DEPTO ESCRITURAS\AGUAS\AGRICOLA SICOR S.A. y Jose Aldo ALfaro Alfaro Dic 13.doc</t>
  </si>
  <si>
    <t>C:\Users\franc\OneDrive\Documentos\MALENTIN KARIME\BANCO ESTADO\2012 DEPTO ESCRITURAS fata\Dc Simples\2012 DEPTO ESCRITURAS\AGUAS\AGRICOLA POLPAICO S.A..doc</t>
  </si>
  <si>
    <t>C:\Users\franc\OneDrive\Documentos\MALENTIN KARIME\BANCO ESTADO\2012 DEPTO ESCRITURAS fata\Dc Simples\2012 DEPTO ESCRITURAS\AGUAS\AGRICOLA POLPAICO S.A. Y PRODUCTOS FINANCIEROS ANDINO.doc</t>
  </si>
  <si>
    <t>C:\Users\franc\OneDrive\Documentos\MALENTIN KARIME\BANCO ESTADO\2012 DEPTO ESCRITURAS fata\Dc Simples\2012 DEPTO ESCRITURAS\AGUAS\AGRICOLA POLPAICO S.A. Y PRODUCTOS FINANCIEROS ANDINO Final.doc</t>
  </si>
  <si>
    <t>C:\Users\franc\OneDrive\Documentos\MALENTIN KARIME\BANCO ESTADO\2012 DEPTO ESCRITURAS fata\Dc Simples\2012 DEPTO ESCRITURAS\AGUAS\AGRICOLA POLPAICO S.A. con RESCILIACION.doc</t>
  </si>
  <si>
    <t>C:\Users\franc\OneDrive\Documentos\MALENTIN KARIME\BANCO ESTADO\2012 DEPTO ESCRITURAS fata\Dc Simples\2012 DEPTO ESCRITURAS\AGUAS\AGRICOLA LOS ALAMOS A JUAN OPAZO OLIVARESaguas.doc</t>
  </si>
  <si>
    <t>C:\Users\franc\OneDrive\Documentos\MALENTIN KARIME\BANCO ESTADO\2012 DEPTO ESCRITURAS fata\Dc Simples\2012 DEPTO ESCRITURAS\AGUAS\AGRICOLA LOS ALAMOS A Elva Olivares aguas.doc</t>
  </si>
  <si>
    <t>C:\Users\franc\OneDrive\Documentos\MALENTIN KARIME\BANCO ESTADO\2012 DEPTO ESCRITURAS fata\Dc Simples\2012 DEPTO ESCRITURAS\AGUAS\AGRICOLA LOS ALAMOS A Elva Olivares aguas sin conyuge.doc</t>
  </si>
  <si>
    <t>C:\Users\franc\OneDrive\Documentos\MALENTIN KARIME\BANCO ESTADO\2012 DEPTO ESCRITURAS fata\Dc Simples\2012 DEPTO ESCRITURAS\AGUAS\AGRICOLA ARBOLITO LTDA y Luis A Artigues Galmes.doc</t>
  </si>
  <si>
    <t>C:\Users\franc\OneDrive\Documentos\MALENTIN KARIME\BANCO ESTADO\2012 DEPTO ESCRITURAS fata\Dc Simples\2012 DEPTO ESCRITURAS\AGUAS\AGRICOLA ARBOLITO LTDA revision.doc</t>
  </si>
  <si>
    <t>C:\Users\franc\OneDrive\Documentos\MALENTIN KARIME\BANCO ESTADO\2012 DEPTO ESCRITURAS fata\Dc Simples\VEHICULOMANDATO Modelo.doc</t>
  </si>
  <si>
    <t>C:\Users\franc\OneDrive\Documentos\MALENTIN KARIME\BANCO ESTADO\2012 DEPTO ESCRITURAS fata\Dc Simples\VEHICULO CAMBIO MOTOR.doc</t>
  </si>
  <si>
    <t>C:\Users\franc\OneDrive\Documentos\MALENTIN KARIME\BANCO ESTADO\2012 DEPTO ESCRITURAS fata\Dc Simples\TRABAJO MENOR.doc</t>
  </si>
  <si>
    <t>C:\Users\franc\OneDrive\Documentos\MALENTIN KARIME\BANCO ESTADO\2012 DEPTO ESCRITURAS fata\Dc Simples\SUPERVIVENCIA.doc</t>
  </si>
  <si>
    <t>C:\Users\franc\OneDrive\Documentos\MALENTIN KARIME\BANCO ESTADO\2012 DEPTO ESCRITURAS fata\Dc Simples\RESCILIACION CASA.doc</t>
  </si>
  <si>
    <t>C:\Users\franc\OneDrive\Documentos\MALENTIN KARIME\BANCO ESTADO\2012 DEPTO ESCRITURAS fata\Dc Simples\RESCILIACION CASA modelo.doc</t>
  </si>
  <si>
    <t>C:\Users\franc\OneDrive\Documentos\MALENTIN KARIME\BANCO ESTADO\2012 DEPTO ESCRITURAS fata\Dc Simples\RENUNCIA LABORAL.doc</t>
  </si>
  <si>
    <t>C:\Users\franc\OneDrive\Documentos\MALENTIN KARIME\BANCO ESTADO\2012 DEPTO ESCRITURAS fata\Dc Simples\RENUNCIA LABORAL 2.doc</t>
  </si>
  <si>
    <t>C:\Users\franc\OneDrive\Documentos\MALENTIN KARIME\BANCO ESTADO\2012 DEPTO ESCRITURAS fata\Dc Simples\PROMESA VEHICULO.doc</t>
  </si>
  <si>
    <t>C:\Users\franc\OneDrive\Documentos\MALENTIN KARIME\BANCO ESTADO\2012 DEPTO ESCRITURAS fata\Dc Simples\NO CONSUME DROGAS.doc</t>
  </si>
  <si>
    <t>C:\Users\franc\OneDrive\Documentos\MALENTIN KARIME\BANCO ESTADO\2012 DEPTO ESCRITURAS fata\Dc Simples\MANDATO DR. GASPAR FARÍA.doc</t>
  </si>
  <si>
    <t>C:\Users\franc\OneDrive\Documentos\MALENTIN KARIME\BANCO ESTADO\2012 DEPTO ESCRITURAS fata\Dc Simples\LETRA MODELO KARIME.doc</t>
  </si>
  <si>
    <t>C:\Users\franc\OneDrive\Documentos\MALENTIN KARIME\BANCO ESTADO\2012 DEPTO ESCRITURAS fata\Dc Simples\F 24 PAGARE.doc</t>
  </si>
  <si>
    <t>C:\Users\franc\OneDrive\Documentos\MALENTIN KARIME\BANCO ESTADO\2012 DEPTO ESCRITURAS fata\Dc Simples\EXTRAVIO finiquito.doc</t>
  </si>
  <si>
    <t>C:\Users\franc\OneDrive\Documentos\MALENTIN KARIME\BANCO ESTADO\2012 DEPTO ESCRITURAS fata\Dc Simples\EXTRAVIO DOCU. VEHICULO.doc</t>
  </si>
  <si>
    <t>C:\Users\franc\OneDrive\Documentos\MALENTIN KARIME\BANCO ESTADO\2012 DEPTO ESCRITURAS fata\Dc Simples\EXTRAVIO DOCU. PATRICIO PINTO.doc</t>
  </si>
  <si>
    <t>C:\Users\franc\OneDrive\Documentos\MALENTIN KARIME\BANCO ESTADO\2012 DEPTO ESCRITURAS fata\Dc Simples\DOMICILIO con TESTIGO.doc</t>
  </si>
  <si>
    <t>C:\Users\franc\OneDrive\Documentos\MALENTIN KARIME\BANCO ESTADO\2012 DEPTO ESCRITURAS fata\Dc Simples\DECLARACION AFP VACIO COTIZACION.docx</t>
  </si>
  <si>
    <t>C:\Users\franc\OneDrive\Documentos\MALENTIN KARIME\BANCO ESTADO\2012 DEPTO ESCRITURAS fata\Dc Simples\CONT ARR. MANTOS VERDES 1 DEL INGENIO Y SOC,X.doc</t>
  </si>
  <si>
    <t>C:\Users\franc\OneDrive\Documentos\MALENTIN KARIME\BANCO ESTADO\2012 DEPTO ESCRITURAS fata\Dc Simples\COMPRAR EXPLOSIVOS.doc</t>
  </si>
  <si>
    <t>C:\Users\franc\OneDrive\Documentos\MALENTIN KARIME\BANCO ESTADO\2012 DEPTO ESCRITURAS fata\Dc Simples\C.VENTA bienesdoc.doc</t>
  </si>
  <si>
    <t>C:\Users\franc\OneDrive\Documentos\MALENTIN KARIME\BANCO ESTADO\2012 DEPTO ESCRITURAS fata\Dc Simples\ASISTIR  A REUNION.doc</t>
  </si>
  <si>
    <t>C:\Users\franc\OneDrive\Documentos\MALENTIN KARIME\BANCO ESTADO\2012 DEPTO ESCRITURAS fata\Dc Simples\ART LEY ALCOHOL 19925.doc</t>
  </si>
  <si>
    <t>C:\Users\franc\OneDrive\Documentos\MALENTIN KARIME\BANCO ESTADO\2012 DEPTO ESCRITURAS fata\Dc Simples\ARR.PATENTE E INVENTARIO.doc</t>
  </si>
  <si>
    <t>C:\Users\franc\OneDrive\Documentos\MALENTIN KARIME\BANCO ESTADO\2012 DEPTO ESCRITURAS fata\Dc Simples\ARR. TRACTOR.doc</t>
  </si>
  <si>
    <t>C:\Users\franc\OneDrive\Documentos\MALENTIN KARIME\BANCO ESTADO\2012 DEPTO ESCRITURAS fata\Dc Simples\ARR. OFICINA COMERCIAL.doc</t>
  </si>
  <si>
    <t>C:\Users\franc\OneDrive\Documentos\MALENTIN KARIME\BANCO ESTADO\2012 DEPTO ESCRITURAS fata\2012 DEPTO ESCRITURAS\WASHINGTON ALTAMIRANO\YASNA PABLETIC Sociedad Recti.doc</t>
  </si>
  <si>
    <t>C:\Users\franc\OneDrive\Documentos\MALENTIN KARIME\BANCO ESTADO\2012 DEPTO ESCRITURAS fata\2012 DEPTO ESCRITURAS\WASHINGTON ALTAMIRANO\INMOV E INV HUGO JOFRE cesion.doc</t>
  </si>
  <si>
    <t>C:\Users\franc\OneDrive\Documentos\MALENTIN KARIME\BANCO ESTADO\2012 DEPTO ESCRITURAS fata\2012 DEPTO ESCRITURAS\WASHINGTON ALTAMIRANO\INMOBILIARIA E INV VALDIVIA Y CAMUS A CRISTIAN RAMIREZ Promesa.doc</t>
  </si>
  <si>
    <t>C:\Users\franc\OneDrive\Documentos\MALENTIN KARIME\BANCO ESTADO\2012 DEPTO ESCRITURAS fata\2012 DEPTO ESCRITURAS\WASHINGTON ALTAMIRANO\Extracto Transf. S.A. en Ltda.  Agrícola Los Leones.doc</t>
  </si>
  <si>
    <t>C:\Users\franc\OneDrive\Documentos\MALENTIN KARIME\BANCO ESTADO\2012 DEPTO ESCRITURAS fata\2012 DEPTO ESCRITURAS\WASHINGTON ALTAMIRANO\Extracto Rectificación Soc. Inv. Sagastialde Ltda..doc</t>
  </si>
  <si>
    <t>C:\Users\franc\OneDrive\Documentos\MALENTIN KARIME\BANCO ESTADO\2012 DEPTO ESCRITURAS fata\2012 DEPTO ESCRITURAS\WASHINGTON ALTAMIRANO\Extracto Cesion derechos Inm. e inv. Hugo Jofré Ltda..doc</t>
  </si>
  <si>
    <t>C:\Users\franc\OneDrive\Documentos\MALENTIN KARIME\BANCO ESTADO\2012 DEPTO ESCRITURAS fata\2012 DEPTO ESCRITURAS\WASHINGTON ALTAMIRANO\COMERCIAL PIZARRO LTDA A HAROLDO VEGA POZOvehiculo.doc</t>
  </si>
  <si>
    <t>C:\Users\franc\OneDrive\Documentos\MALENTIN KARIME\BANCO ESTADO\2012 DEPTO ESCRITURAS fata\2012 DEPTO ESCRITURAS\WASHINGTON ALTAMIRANO\AGRICOLA LOS LEONES transf.doc</t>
  </si>
  <si>
    <t>C:\Users\franc\OneDrive\Documentos\MALENTIN KARIME\BANCO ESTADO\2012 DEPTO ESCRITURAS fata\2012 DEPTO ESCRITURAS\WASHINGTON ALTAMIRANO\AGRICOLA CORTES CORRAL Cancelacion.doc</t>
  </si>
  <si>
    <t>C:\Users\franc\OneDrive\Documentos\MALENTIN KARIME\BANCO ESTADO\2012 DEPTO ESCRITURAS fata\2012 DEPTO ESCRITURAS\VTA. PROPIEDAD\subdiv\Lotes.doc</t>
  </si>
  <si>
    <t>C:\Users\franc\OneDrive\Documentos\MALENTIN KARIME\BANCO ESTADO\2012 DEPTO ESCRITURAS fata\2012 DEPTO ESCRITURAS\VTA. PROPIEDAD\subdiv\BENEDICTO CISTERNAS a Víctor Cisternas.doc</t>
  </si>
  <si>
    <t>C:\Users\franc\OneDrive\Documentos\MALENTIN KARIME\BANCO ESTADO\2012 DEPTO ESCRITURAS fata\2012 DEPTO ESCRITURAS\VTA. PROPIEDAD\subdiv\BENEDICTO CISTERNAS a Mariela Cisternas.doc</t>
  </si>
  <si>
    <t>C:\Users\franc\OneDrive\Documentos\MALENTIN KARIME\BANCO ESTADO\2012 DEPTO ESCRITURAS fata\2012 DEPTO ESCRITURAS\VTA. PROPIEDAD\subdiv\BENEDICTO CISTERNAS A Joselin Villegas.doc</t>
  </si>
  <si>
    <t>C:\Users\franc\OneDrive\Documentos\MALENTIN KARIME\BANCO ESTADO\2012 DEPTO ESCRITURAS fata\2012 DEPTO ESCRITURAS\VTA. PROPIEDAD\subdiv\BENEDICTO CISTERNAS a Jessica Segovia.doc</t>
  </si>
  <si>
    <t>C:\Users\franc\OneDrive\Documentos\MALENTIN KARIME\BANCO ESTADO\2012 DEPTO ESCRITURAS fata\2012 DEPTO ESCRITURAS\VTA. PROPIEDAD\subdiv\BENEDICTO CISTERNAS a Guido Cisternas.doc</t>
  </si>
  <si>
    <t>C:\Users\franc\OneDrive\Documentos\MALENTIN KARIME\BANCO ESTADO\2012 DEPTO ESCRITURAS fata\2012 DEPTO ESCRITURAS\VTA. PROPIEDAD\subdiv\BENEDICTO CISTERNAS a Ana Cisternas.doc</t>
  </si>
  <si>
    <t>C:\Users\franc\OneDrive\Documentos\MALENTIN KARIME\BANCO ESTADO\2012 DEPTO ESCRITURAS fata\2012 DEPTO ESCRITURAS\VTA. PROPIEDAD\MINUTAS\YARELA CARVAJAL A FRANCISCA ZAMBRA minuta.doc</t>
  </si>
  <si>
    <t>C:\Users\franc\OneDrive\Documentos\MALENTIN KARIME\BANCO ESTADO\2012 DEPTO ESCRITURAS fata\2012 DEPTO ESCRITURAS\VTA. PROPIEDAD\MINUTAS\RAQUEL MEDINA HIPOTECAS Y GRAV.doc</t>
  </si>
  <si>
    <t>C:\Users\franc\OneDrive\Documentos\MALENTIN KARIME\BANCO ESTADO\2012 DEPTO ESCRITURAS fata\2012 DEPTO ESCRITURAS\VTA. PROPIEDAD\MINUTAS\RAQUEL MEDINA Cvta. Arturo.doc</t>
  </si>
  <si>
    <t>C:\Users\franc\OneDrive\Documentos\MALENTIN KARIME\BANCO ESTADO\2012 DEPTO ESCRITURAS fata\2012 DEPTO ESCRITURAS\VTA. PROPIEDAD\MINUTAS\RAQUEL MEDINA Cvta. Arturo VISTO BUENO.doc</t>
  </si>
  <si>
    <t>C:\Users\franc\OneDrive\Documentos\MALENTIN KARIME\BANCO ESTADO\2012 DEPTO ESCRITURAS fata\2012 DEPTO ESCRITURAS\VTA. PROPIEDAD\MINUTAS\MILTON TELLO ANDRADE Y OTRA A Rentas e Inversiones La Esperanza.doc</t>
  </si>
  <si>
    <t>C:\Users\franc\OneDrive\Documentos\MALENTIN KARIME\BANCO ESTADO\2012 DEPTO ESCRITURAS fata\2012 DEPTO ESCRITURAS\VTA. PROPIEDAD\MINUTAS\MILTON TELLO ANDRADE Y OTRA A Rentas e Inversiones La Esperanza FINAL.doc</t>
  </si>
  <si>
    <t>C:\Users\franc\OneDrive\Documentos\MALENTIN KARIME\BANCO ESTADO\2012 DEPTO ESCRITURAS fata\2012 DEPTO ESCRITURAS\VTA. PROPIEDAD\MINUTAS\MARIA ROJAS A Sociedad Talhuen TANIA.doc</t>
  </si>
  <si>
    <t>C:\Users\franc\OneDrive\Documentos\MALENTIN KARIME\BANCO ESTADO\2012 DEPTO ESCRITURAS fata\2012 DEPTO ESCRITURAS\VTA. PROPIEDAD\MINUTAS\MARIA CHOCAIR A MARIO FLORES Orlando Gallardo.doc</t>
  </si>
  <si>
    <t>C:\Users\franc\OneDrive\Documentos\MALENTIN KARIME\BANCO ESTADO\2012 DEPTO ESCRITURAS fata\2012 DEPTO ESCRITURAS\VTA. PROPIEDAD\MINUTAS\MARCELA IRIARTE PIZARRO.doc</t>
  </si>
  <si>
    <t>C:\Users\franc\OneDrive\Documentos\MALENTIN KARIME\BANCO ESTADO\2012 DEPTO ESCRITURAS fata\2012 DEPTO ESCRITURAS\VTA. PROPIEDAD\MINUTAS\LUIS ROCCO HUERTA Y OTRA A Nidia Rivera Rocco.doc</t>
  </si>
  <si>
    <t>C:\Users\franc\OneDrive\Documentos\MALENTIN KARIME\BANCO ESTADO\2012 DEPTO ESCRITURAS fata\2012 DEPTO ESCRITURAS\VTA. PROPIEDAD\MINUTAS\LUIS LORCA A DRISCOLL Lombardo.doc</t>
  </si>
  <si>
    <t>C:\Users\franc\OneDrive\Documentos\MALENTIN KARIME\BANCO ESTADO\2012 DEPTO ESCRITURAS fata\2012 DEPTO ESCRITURAS\VTA. PROPIEDAD\MINUTAS\JOSE RAMOS ARAYA A INELIA RAMOS Y OTROS Cristian B.doc</t>
  </si>
  <si>
    <t>C:\Users\franc\OneDrive\Documentos\MALENTIN KARIME\BANCO ESTADO\2012 DEPTO ESCRITURAS fata\2012 DEPTO ESCRITURAS\VTA. PROPIEDAD\MINUTAS\Intrucciones Mediana  a Castillo FINAL.doc</t>
  </si>
  <si>
    <t>C:\Users\franc\OneDrive\Documentos\MALENTIN KARIME\BANCO ESTADO\2012 DEPTO ESCRITURAS fata\2012 DEPTO ESCRITURAS\VTA. PROPIEDAD\MINUTAS\INSTRUCCIONES.doc</t>
  </si>
  <si>
    <t>C:\Users\franc\OneDrive\Documentos\MALENTIN KARIME\BANCO ESTADO\2012 DEPTO ESCRITURAS fata\2012 DEPTO ESCRITURAS\VTA. PROPIEDAD\MINUTAS\INSTRUCCION Tello a Loyola.doc</t>
  </si>
  <si>
    <t>C:\Users\franc\OneDrive\Documentos\MALENTIN KARIME\BANCO ESTADO\2012 DEPTO ESCRITURAS fata\2012 DEPTO ESCRITURAS\VTA. PROPIEDAD\MINUTAS\FELIX SORIA A Carlos Sarra.doc</t>
  </si>
  <si>
    <t>C:\Users\franc\OneDrive\Documentos\MALENTIN KARIME\BANCO ESTADO\2012 DEPTO ESCRITURAS fata\2012 DEPTO ESCRITURAS\VTA. PROPIEDAD\MINUTAS\ELBA PASTENE ARAYA Rene Allene.doc</t>
  </si>
  <si>
    <t>C:\Users\franc\OneDrive\Documentos\MALENTIN KARIME\BANCO ESTADO\2012 DEPTO ESCRITURAS fata\2012 DEPTO ESCRITURAS\VTA. PROPIEDAD\MINUTAS\CRISTIAN GALLARDO A MARISOL MEDINACony autoriza CLEMENTE FUENTEALBA.doc</t>
  </si>
  <si>
    <t>C:\Users\franc\OneDrive\Documentos\MALENTIN KARIME\BANCO ESTADO\2012 DEPTO ESCRITURAS fata\2012 DEPTO ESCRITURAS\VTA. PROPIEDAD\MINUTAS\CONSUELO TELLO A RAQUEL LOYOLA.doc</t>
  </si>
  <si>
    <t>C:\Users\franc\OneDrive\Documentos\MALENTIN KARIME\BANCO ESTADO\2012 DEPTO ESCRITURAS fata\2012 DEPTO ESCRITURAS\VTA. PROPIEDAD\MINUTAS\CAROLYN GONGORA A EDO. RAMIREZ Mandato.doc</t>
  </si>
  <si>
    <t>C:\Users\franc\OneDrive\Documentos\MALENTIN KARIME\BANCO ESTADO\2012 DEPTO ESCRITURAS fata\2012 DEPTO ESCRITURAS\VTA. PROPIEDAD\MINUTAS\BERTA TORRRES A ESMERALDO VALDIVIA W.altamirano.doc</t>
  </si>
  <si>
    <t>C:\Users\franc\OneDrive\Documentos\MALENTIN KARIME\BANCO ESTADO\2012 DEPTO ESCRITURAS fata\2012 DEPTO ESCRITURAS\VTA. PROPIEDAD\MINUTAS\ALEJO ZAMBRA A RAQUEL ZAMBRA Y OTRA.doc</t>
  </si>
  <si>
    <t>C:\Users\franc\OneDrive\Documentos\MALENTIN KARIME\BANCO ESTADO\2012 DEPTO ESCRITURAS fata\2012 DEPTO ESCRITURAS\VTA. PROPIEDAD\MINUTAS\AGRICOLA E INVERSIONES LAS NIETAS Fusion.doc</t>
  </si>
  <si>
    <t>C:\Users\franc\OneDrive\Documentos\MALENTIN KARIME\BANCO ESTADO\2012 DEPTO ESCRITURAS fata\2012 DEPTO ESCRITURAS\VTA. PROPIEDAD\MINUTAS\AGRICOLA AGUACERO A LUCY ASTUDILLO.doc</t>
  </si>
  <si>
    <t>C:\Users\franc\OneDrive\Documentos\MALENTIN KARIME\BANCO ESTADO\2012 DEPTO ESCRITURAS fata\2012 DEPTO ESCRITURAS\VTA. PROPIEDAD\BIENES MUEBLES\HERMAN FIGUEROA A Daniel Tarifeño.doc</t>
  </si>
  <si>
    <t>C:\Users\franc\OneDrive\Documentos\MALENTIN KARIME\BANCO ESTADO\2012 DEPTO ESCRITURAS fata\2012 DEPTO ESCRITURAS\VTA. PROPIEDAD\YESSICA GONZALEZ A RAFAEL ARAYA.doc</t>
  </si>
  <si>
    <t>C:\Users\franc\OneDrive\Documentos\MALENTIN KARIME\BANCO ESTADO\2012 DEPTO ESCRITURAS fata\2012 DEPTO ESCRITURAS\VTA. PROPIEDAD\XIMENA ABBOTT LARRAIN.doc</t>
  </si>
  <si>
    <t>C:\Users\franc\OneDrive\Documentos\MALENTIN KARIME\BANCO ESTADO\2012 DEPTO ESCRITURAS fata\2012 DEPTO ESCRITURAS\VTA. PROPIEDAD\VIVIANA ARAYA HIDALGO A ULISES OCHOA MOROSO.doc</t>
  </si>
  <si>
    <t>C:\Users\franc\OneDrive\Documentos\MALENTIN KARIME\BANCO ESTADO\2012 DEPTO ESCRITURAS fata\2012 DEPTO ESCRITURAS\VTA. PROPIEDAD\UVALDO LEYTON ALFARO A SANDRA LEYTON autoriza cónyuge.doc</t>
  </si>
  <si>
    <t>C:\Users\franc\OneDrive\Documentos\MALENTIN KARIME\BANCO ESTADO\2012 DEPTO ESCRITURAS fata\2012 DEPTO ESCRITURAS\VTA. PROPIEDAD\URSULA LUTTGUES A  JUAN ARAYA Proh.Legal.doc</t>
  </si>
  <si>
    <t>C:\Users\franc\OneDrive\Documentos\MALENTIN KARIME\BANCO ESTADO\2012 DEPTO ESCRITURAS fata\2012 DEPTO ESCRITURAS\VTA. PROPIEDAD\TERESA CORTES TELLO A PAMELA GONZALEZ.doc</t>
  </si>
  <si>
    <t>C:\Users\franc\OneDrive\Documentos\MALENTIN KARIME\BANCO ESTADO\2012 DEPTO ESCRITURAS fata\2012 DEPTO ESCRITURAS\VTA. PROPIEDAD\TASACIONES Y SERVICIOS INMOBILIARIOS LTDA..doc</t>
  </si>
  <si>
    <t>C:\Users\franc\OneDrive\Documentos\MALENTIN KARIME\BANCO ESTADO\2012 DEPTO ESCRITURAS fata\2012 DEPTO ESCRITURAS\VTA. PROPIEDAD\SYLVIA FLORES ALVAREZ Con agua.doc</t>
  </si>
  <si>
    <t>C:\Users\franc\OneDrive\Documentos\MALENTIN KARIME\BANCO ESTADO\2012 DEPTO ESCRITURAS fata\2012 DEPTO ESCRITURAS\VTA. PROPIEDAD\SYLVIA ELENA A RODRIGO  ALCAYA Proh.Legal Terreno.doc</t>
  </si>
  <si>
    <t>C:\Users\franc\OneDrive\Documentos\MALENTIN KARIME\BANCO ESTADO\2012 DEPTO ESCRITURAS fata\2012 DEPTO ESCRITURAS\VTA. PROPIEDAD\sucesion IRMA GONZALEZ Y VICTOR.doc</t>
  </si>
  <si>
    <t>C:\Users\franc\OneDrive\Documentos\MALENTIN KARIME\BANCO ESTADO\2012 DEPTO ESCRITURAS fata\2012 DEPTO ESCRITURAS\VTA. PROPIEDAD\SUCESION BUGUEÑO TELLO.doc</t>
  </si>
  <si>
    <t>C:\Users\franc\OneDrive\Documentos\MALENTIN KARIME\BANCO ESTADO\2012 DEPTO ESCRITURAS fata\2012 DEPTO ESCRITURAS\VTA. PROPIEDAD\SUCESION AMELIA MEDALLA DELSO Derechos.doc</t>
  </si>
  <si>
    <t>C:\Users\franc\OneDrive\Documentos\MALENTIN KARIME\BANCO ESTADO\2012 DEPTO ESCRITURAS fata\2012 DEPTO ESCRITURAS\VTA. PROPIEDAD\SILVIA PLAZA OROSTEGUI A Orieta Cisternas.doc</t>
  </si>
  <si>
    <t>C:\Users\franc\OneDrive\Documentos\MALENTIN KARIME\BANCO ESTADO\2012 DEPTO ESCRITURAS fata\2012 DEPTO ESCRITURAS\VTA. PROPIEDAD\SERGIO PASCUAL a Bernardo Barraza 100 Derechos.doc</t>
  </si>
  <si>
    <t>C:\Users\franc\OneDrive\Documentos\MALENTIN KARIME\BANCO ESTADO\2012 DEPTO ESCRITURAS fata\2012 DEPTO ESCRITURAS\VTA. PROPIEDAD\SANDRA GAETE OLMEDO A ANA ARENAS solteros.doc</t>
  </si>
  <si>
    <t>C:\Users\franc\OneDrive\Documentos\MALENTIN KARIME\BANCO ESTADO\2012 DEPTO ESCRITURAS fata\2012 DEPTO ESCRITURAS\VTA. PROPIEDAD\SANDRA GAETE OLMEDO A Ana Arenas Miranda.doc</t>
  </si>
  <si>
    <t>C:\Users\franc\OneDrive\Documentos\MALENTIN KARIME\BANCO ESTADO\2012 DEPTO ESCRITURAS fata\2012 DEPTO ESCRITURAS\VTA. PROPIEDAD\SANDRA GAETE OLMEDO A Ana Arenas Miranda AUTOCONTRATAR.doc</t>
  </si>
  <si>
    <t>C:\Users\franc\OneDrive\Documentos\MALENTIN KARIME\BANCO ESTADO\2012 DEPTO ESCRITURAS fata\2012 DEPTO ESCRITURAS\VTA. PROPIEDAD\SAMUEL VILLARROEL A Ella solteros.doc</t>
  </si>
  <si>
    <t>C:\Users\franc\OneDrive\Documentos\MALENTIN KARIME\BANCO ESTADO\2012 DEPTO ESCRITURAS fata\2012 DEPTO ESCRITURAS\VTA. PROPIEDAD\ROSA VARAS ROBLES A Ceferino Segovia Solteras.doc</t>
  </si>
  <si>
    <t>C:\Users\franc\OneDrive\Documentos\MALENTIN KARIME\BANCO ESTADO\2012 DEPTO ESCRITURAS fata\2012 DEPTO ESCRITURAS\VTA. PROPIEDAD\ROSA TAPIA A SILVA URQUETA Conyuge Administrador.doc</t>
  </si>
  <si>
    <t>C:\Users\franc\OneDrive\Documentos\MALENTIN KARIME\BANCO ESTADO\2012 DEPTO ESCRITURAS fata\2012 DEPTO ESCRITURAS\VTA. PROPIEDAD\ROSA OCHOA PAEZ Sucesion y p.p.doc</t>
  </si>
  <si>
    <t>C:\Users\franc\OneDrive\Documentos\MALENTIN KARIME\BANCO ESTADO\2012 DEPTO ESCRITURAS fata\2012 DEPTO ESCRITURAS\VTA. PROPIEDAD\ROSA CORTES RUBINA A CINTIHA ROJAS RIVERA.doc</t>
  </si>
  <si>
    <t>C:\Users\franc\OneDrive\Documentos\MALENTIN KARIME\BANCO ESTADO\2012 DEPTO ESCRITURAS fata\2012 DEPTO ESCRITURAS\VTA. PROPIEDAD\ROSA CORTES A ABEL CORTES.doc</t>
  </si>
  <si>
    <t>C:\Users\franc\OneDrive\Documentos\MALENTIN KARIME\BANCO ESTADO\2012 DEPTO ESCRITURAS fata\2012 DEPTO ESCRITURAS\VTA. PROPIEDAD\ROSA CASTILLO GENERAL A MIGUEL GODOY Minuta Luis gallardo.doc</t>
  </si>
  <si>
    <t>C:\Users\franc\OneDrive\Documentos\MALENTIN KARIME\BANCO ESTADO\2012 DEPTO ESCRITURAS fata\2012 DEPTO ESCRITURAS\VTA. PROPIEDAD\RENE GODOY A GALVARINO GONZALEZ Monte Patria Minuta.doc</t>
  </si>
  <si>
    <t>C:\Users\franc\OneDrive\Documentos\MALENTIN KARIME\BANCO ESTADO\2012 DEPTO ESCRITURAS fata\2012 DEPTO ESCRITURAS\VTA. PROPIEDAD\RAUL MALUENDA A Massiel Maluenda Cvta Usufructo.doc</t>
  </si>
  <si>
    <t>C:\Users\franc\OneDrive\Documentos\MALENTIN KARIME\BANCO ESTADO\2012 DEPTO ESCRITURAS fata\2012 DEPTO ESCRITURAS\VTA. PROPIEDAD\RAUL CONTRERAS A mery contreras ubillo usufructo.doc</t>
  </si>
  <si>
    <t>C:\Users\franc\OneDrive\Documentos\MALENTIN KARIME\BANCO ESTADO\2012 DEPTO ESCRITURAS fata\2012 DEPTO ESCRITURAS\VTA. PROPIEDAD\PEDRO ROJO A HUGO DIAZ Servd.doc</t>
  </si>
  <si>
    <t>C:\Users\franc\OneDrive\Documentos\MALENTIN KARIME\BANCO ESTADO\2012 DEPTO ESCRITURAS fata\2012 DEPTO ESCRITURAS\VTA. PROPIEDAD\PEDRO PIÑONES ANTIQUERA A PEDRO VEGA.doc</t>
  </si>
  <si>
    <t>C:\Users\franc\OneDrive\Documentos\MALENTIN KARIME\BANCO ESTADO\2012 DEPTO ESCRITURAS fata\2012 DEPTO ESCRITURAS\VTA. PROPIEDAD\PATRICIO JIMENEZ A LUIS ARAYA.doc</t>
  </si>
  <si>
    <t>C:\Users\franc\OneDrive\Documentos\MALENTIN KARIME\BANCO ESTADO\2012 DEPTO ESCRITURAS fata\2012 DEPTO ESCRITURAS\VTA. PROPIEDAD\PATRICIA VALENZUELA ARAYA.doc</t>
  </si>
  <si>
    <t>C:\Users\franc\OneDrive\Documentos\MALENTIN KARIME\BANCO ESTADO\2012 DEPTO ESCRITURAS fata\2012 DEPTO ESCRITURAS\VTA. PROPIEDAD\PAMELA CAMPOS DIAZ Derechos.doc</t>
  </si>
  <si>
    <t>C:\Users\franc\OneDrive\Documentos\MALENTIN KARIME\BANCO ESTADO\2012 DEPTO ESCRITURAS fata\2012 DEPTO ESCRITURAS\VTA. PROPIEDAD\OSCAR FERNANDEZ MORA.doc</t>
  </si>
  <si>
    <t>C:\Users\franc\OneDrive\Documentos\MALENTIN KARIME\BANCO ESTADO\2012 DEPTO ESCRITURAS fata\2012 DEPTO ESCRITURAS\VTA. PROPIEDAD\OSCAR FERNANDEZ MORA Instrucciones.doc</t>
  </si>
  <si>
    <t>C:\Users\franc\OneDrive\Documentos\MALENTIN KARIME\BANCO ESTADO\2012 DEPTO ESCRITURAS fata\2012 DEPTO ESCRITURAS\VTA. PROPIEDAD\ORLANDA DIAZ A IVAN JAIME solteros DERECHOS.doc</t>
  </si>
  <si>
    <t>C:\Users\franc\OneDrive\Documentos\MALENTIN KARIME\BANCO ESTADO\2012 DEPTO ESCRITURAS fata\2012 DEPTO ESCRITURAS\VTA. PROPIEDAD\NORBERTO DIAZ DIAZ A MARINA ELGUEDA ARAYAProh.Legal.doc</t>
  </si>
  <si>
    <t>C:\Users\franc\OneDrive\Documentos\MALENTIN KARIME\BANCO ESTADO\2012 DEPTO ESCRITURAS fata\2012 DEPTO ESCRITURAS\VTA. PROPIEDAD\NOELFA TAPIA A Susana Morales solteros.doc</t>
  </si>
  <si>
    <t>C:\Users\franc\OneDrive\Documentos\MALENTIN KARIME\BANCO ESTADO\2012 DEPTO ESCRITURAS fata\2012 DEPTO ESCRITURAS\VTA. PROPIEDAD\NEVA PEÑA CERECEDA  Minuta l. Gallardo.doc</t>
  </si>
  <si>
    <t>C:\Users\franc\OneDrive\Documentos\MALENTIN KARIME\BANCO ESTADO\2012 DEPTO ESCRITURAS fata\2012 DEPTO ESCRITURAS\VTA. PROPIEDAD\NELIDA IRENE ZUMARAN PROH LEGAL.doc</t>
  </si>
  <si>
    <t>C:\Users\franc\OneDrive\Documentos\MALENTIN KARIME\BANCO ESTADO\2012 DEPTO ESCRITURAS fata\2012 DEPTO ESCRITURAS\VTA. PROPIEDAD\NEIDA CARVAJAL A JULIO ANTIÑIR solteros.doc</t>
  </si>
  <si>
    <t>C:\Users\franc\OneDrive\Documentos\MALENTIN KARIME\BANCO ESTADO\2012 DEPTO ESCRITURAS fata\2012 DEPTO ESCRITURAS\VTA. PROPIEDAD\MODELO CVTA Conyuge.doc</t>
  </si>
  <si>
    <t>C:\Users\franc\OneDrive\Documentos\MALENTIN KARIME\BANCO ESTADO\2012 DEPTO ESCRITURAS fata\2012 DEPTO ESCRITURAS\VTA. PROPIEDAD\MIRIAM SEGOVIA QUEVEDO A VICTOR SILVA Y OTROS.doc</t>
  </si>
  <si>
    <t>C:\Users\franc\OneDrive\Documentos\MALENTIN KARIME\BANCO ESTADO\2012 DEPTO ESCRITURAS fata\2012 DEPTO ESCRITURAS\VTA. PROPIEDAD\MILTON MALDONADO Y OTRO a Carlos Montiel.doc</t>
  </si>
  <si>
    <t>C:\Users\franc\OneDrive\Documentos\MALENTIN KARIME\BANCO ESTADO\2012 DEPTO ESCRITURAS fata\2012 DEPTO ESCRITURAS\VTA. PROPIEDAD\MELANIA CABELLO BARRAZA  Conyuge Administrador.doc</t>
  </si>
  <si>
    <t>C:\Users\franc\OneDrive\Documentos\MALENTIN KARIME\BANCO ESTADO\2012 DEPTO ESCRITURAS fata\2012 DEPTO ESCRITURAS\VTA. PROPIEDAD\MAUREEN VALENCIA GUZMAN A Paulina Galvez Agosto 13.doc</t>
  </si>
  <si>
    <t>C:\Users\franc\OneDrive\Documentos\MALENTIN KARIME\BANCO ESTADO\2012 DEPTO ESCRITURAS fata\2012 DEPTO ESCRITURAS\VTA. PROPIEDAD\MATILDE ZEPEDA A Emilia Zepeda.doc</t>
  </si>
  <si>
    <t>C:\Users\franc\OneDrive\Documentos\MALENTIN KARIME\BANCO ESTADO\2012 DEPTO ESCRITURAS fata\2012 DEPTO ESCRITURAS\VTA. PROPIEDAD\MARÍA SOLEDAD.doc</t>
  </si>
  <si>
    <t>C:\Users\franc\OneDrive\Documentos\MALENTIN KARIME\BANCO ESTADO\2012 DEPTO ESCRITURAS fata\2012 DEPTO ESCRITURAS\VTA. PROPIEDAD\MARIO CESPEDES MUÑOZ sucesion.doc</t>
  </si>
  <si>
    <t>C:\Users\franc\OneDrive\Documentos\MALENTIN KARIME\BANCO ESTADO\2012 DEPTO ESCRITURAS fata\2012 DEPTO ESCRITURAS\VTA. PROPIEDAD\MARIANA PLAZA A NILDA PLAZA.doc</t>
  </si>
  <si>
    <t>C:\Users\franc\OneDrive\Documentos\MALENTIN KARIME\BANCO ESTADO\2012 DEPTO ESCRITURAS fata\2012 DEPTO ESCRITURAS\VTA. PROPIEDAD\MARIA TAPIA OSSANDON A CARLOS AGUIRRE Conyuge Administrador.doc</t>
  </si>
  <si>
    <t>C:\Users\franc\OneDrive\Documentos\MALENTIN KARIME\BANCO ESTADO\2012 DEPTO ESCRITURAS fata\2012 DEPTO ESCRITURAS\VTA. PROPIEDAD\MARIA ROJAS GONZALEZ A PATRICIO CORTES.doc</t>
  </si>
  <si>
    <t>C:\Users\franc\OneDrive\Documentos\MALENTIN KARIME\BANCO ESTADO\2012 DEPTO ESCRITURAS fata\2012 DEPTO ESCRITURAS\VTA. PROPIEDAD\MARIA ROJAS CRUZ Y OTRA A Margarita Bugueño Derechos.doc</t>
  </si>
  <si>
    <t>C:\Users\franc\OneDrive\Documentos\MALENTIN KARIME\BANCO ESTADO\2012 DEPTO ESCRITURAS fata\2012 DEPTO ESCRITURAS\VTA. PROPIEDAD\MARIA MUÑOZ CISTERNAS A LADYS ROJAS MUÑOZ cvta usufructo.doc</t>
  </si>
  <si>
    <t>C:\Users\franc\OneDrive\Documentos\MALENTIN KARIME\BANCO ESTADO\2012 DEPTO ESCRITURAS fata\2012 DEPTO ESCRITURAS\VTA. PROPIEDAD\MARIA ISABEL GONZALEZ A JOSE MORALES MUÑOZ.doc</t>
  </si>
  <si>
    <t>C:\Users\franc\OneDrive\Documentos\MALENTIN KARIME\BANCO ESTADO\2012 DEPTO ESCRITURAS fata\2012 DEPTO ESCRITURAS\VTA. PROPIEDAD\MARIA HERNANDEZ LEYTON A LUIS CORTES.doc</t>
  </si>
  <si>
    <t>C:\Users\franc\OneDrive\Documentos\MALENTIN KARIME\BANCO ESTADO\2012 DEPTO ESCRITURAS fata\2012 DEPTO ESCRITURAS\VTA. PROPIEDAD\MARIA GEMITA NOVOA PALACIOS a LIDIA FLORES Solteras.doc</t>
  </si>
  <si>
    <t>C:\Users\franc\OneDrive\Documentos\MALENTIN KARIME\BANCO ESTADO\2012 DEPTO ESCRITURAS fata\2012 DEPTO ESCRITURAS\VTA. PROPIEDAD\MARIA CORTES A VANESSA MUÑOZ.doc</t>
  </si>
  <si>
    <t>C:\Users\franc\OneDrive\Documentos\MALENTIN KARIME\BANCO ESTADO\2012 DEPTO ESCRITURAS fata\2012 DEPTO ESCRITURAS\VTA. PROPIEDAD\MARIA ANGEL ARTAL A ALDO SALINAS  Proh.Legal.doc</t>
  </si>
  <si>
    <t>C:\Users\franc\OneDrive\Documentos\MALENTIN KARIME\BANCO ESTADO\2012 DEPTO ESCRITURAS fata\2012 DEPTO ESCRITURAS\VTA. PROPIEDAD\MARIA AGUIRRE ARAYA  A Daniel Araya y otro cvta usufructo.doc</t>
  </si>
  <si>
    <t>C:\Users\franc\OneDrive\Documentos\MALENTIN KARIME\BANCO ESTADO\2012 DEPTO ESCRITURAS fata\2012 DEPTO ESCRITURAS\VTA. PROPIEDAD\MARIA AGUIRRE ARAYA  A Daniel Araya y Derechos.doc</t>
  </si>
  <si>
    <t>C:\Users\franc\OneDrive\Documentos\MALENTIN KARIME\BANCO ESTADO\2012 DEPTO ESCRITURAS fata\2012 DEPTO ESCRITURAS\VTA. PROPIEDAD\MARIA AGUIRRE A PETRONILA VELASQUEZ.doc</t>
  </si>
  <si>
    <t>C:\Users\franc\OneDrive\Documentos\MALENTIN KARIME\BANCO ESTADO\2012 DEPTO ESCRITURAS fata\2012 DEPTO ESCRITURAS\VTA. PROPIEDAD\MARGARITA DONOSO ARAYA A Carlos Rivera cvta usufructo.doc</t>
  </si>
  <si>
    <t>C:\Users\franc\OneDrive\Documentos\MALENTIN KARIME\BANCO ESTADO\2012 DEPTO ESCRITURAS fata\2012 DEPTO ESCRITURAS\VTA. PROPIEDAD\MARGARITA BRAVO A CARMEN VALDIVIA Solteras.doc</t>
  </si>
  <si>
    <t>C:\Users\franc\OneDrive\Documentos\MALENTIN KARIME\BANCO ESTADO\2012 DEPTO ESCRITURAS fata\2012 DEPTO ESCRITURAS\VTA. PROPIEDAD\MANUEL ROBLES ARAYA a Angel Robles C.doc</t>
  </si>
  <si>
    <t>C:\Users\franc\OneDrive\Documentos\MALENTIN KARIME\BANCO ESTADO\2012 DEPTO ESCRITURAS fata\2012 DEPTO ESCRITURAS\VTA. PROPIEDAD\MANAGEMET LTDA.Ç.doc</t>
  </si>
  <si>
    <t>C:\Users\franc\OneDrive\Documentos\MALENTIN KARIME\BANCO ESTADO\2012 DEPTO ESCRITURAS fata\2012 DEPTO ESCRITURAS\VTA. PROPIEDAD\LUZ CORONADO A OCTAVIO MIRANDA.doc</t>
  </si>
  <si>
    <t>C:\Users\franc\OneDrive\Documentos\MALENTIN KARIME\BANCO ESTADO\2012 DEPTO ESCRITURAS fata\2012 DEPTO ESCRITURAS\VTA. PROPIEDAD\LUIS PIZARRO A MARIA BARRAZA.doc</t>
  </si>
  <si>
    <t>C:\Users\franc\OneDrive\Documentos\MALENTIN KARIME\BANCO ESTADO\2012 DEPTO ESCRITURAS fata\2012 DEPTO ESCRITURAS\VTA. PROPIEDAD\LUIS OLIVARES OLIVARES A ALBINA ORELLANA autoriza cónyuge.doc</t>
  </si>
  <si>
    <t>C:\Users\franc\OneDrive\Documentos\MALENTIN KARIME\BANCO ESTADO\2012 DEPTO ESCRITURAS fata\2012 DEPTO ESCRITURAS\VTA. PROPIEDAD\LUIS JOFRE GONZALEZ Subd Minuta Orlando Gallardo.doc</t>
  </si>
  <si>
    <t>C:\Users\franc\OneDrive\Documentos\MALENTIN KARIME\BANCO ESTADO\2012 DEPTO ESCRITURAS fata\2012 DEPTO ESCRITURAS\VTA. PROPIEDAD\LUIS FLORES A SAUL INOSTROZACony autoriza.doc</t>
  </si>
  <si>
    <t>C:\Users\franc\OneDrive\Documentos\MALENTIN KARIME\BANCO ESTADO\2012 DEPTO ESCRITURAS fata\2012 DEPTO ESCRITURAS\VTA. PROPIEDAD\LUIS AURELIO OLIVARES O A ALBINA ORELLANA MOLINA Derechos.doc</t>
  </si>
  <si>
    <t>C:\Users\franc\OneDrive\Documentos\MALENTIN KARIME\BANCO ESTADO\2012 DEPTO ESCRITURAS fata\2012 DEPTO ESCRITURAS\VTA. PROPIEDAD\LUIS  INOSTROZA BRIONES A ALAMIRO BRIONES VARAS.doc</t>
  </si>
  <si>
    <t>C:\Users\franc\OneDrive\Documentos\MALENTIN KARIME\BANCO ESTADO\2012 DEPTO ESCRITURAS fata\2012 DEPTO ESCRITURAS\VTA. PROPIEDAD\LUCY ASTUDILLO MICHEA.doc</t>
  </si>
  <si>
    <t>C:\Users\franc\OneDrive\Documentos\MALENTIN KARIME\BANCO ESTADO\2012 DEPTO ESCRITURAS fata\2012 DEPTO ESCRITURAS\VTA. PROPIEDAD\LORENZO CORTES JOFRE Corporacion Judicical.doc</t>
  </si>
  <si>
    <t>C:\Users\franc\OneDrive\Documentos\MALENTIN KARIME\BANCO ESTADO\2012 DEPTO ESCRITURAS fata\2012 DEPTO ESCRITURAS\VTA. PROPIEDAD\LORENA SANDOVAL VELOSO A Lilian MirandaProh.Legal.doc</t>
  </si>
  <si>
    <t>C:\Users\franc\OneDrive\Documentos\MALENTIN KARIME\BANCO ESTADO\2012 DEPTO ESCRITURAS fata\2012 DEPTO ESCRITURAS\VTA. PROPIEDAD\LISSETTE CERVA CORTES  A DILIA CARVAJAL Sep bienes.doc</t>
  </si>
  <si>
    <t>C:\Users\franc\OneDrive\Documentos\MALENTIN KARIME\BANCO ESTADO\2012 DEPTO ESCRITURAS fata\2012 DEPTO ESCRITURAS\VTA. PROPIEDAD\LIDIA DEL ROSARIO CISTERNA A Juan lara Cisterna Cvta usufructo.doc</t>
  </si>
  <si>
    <t>C:\Users\franc\OneDrive\Documentos\MALENTIN KARIME\BANCO ESTADO\2012 DEPTO ESCRITURAS fata\2012 DEPTO ESCRITURAS\VTA. PROPIEDAD\LEONIDES CORTES A MARITZA MICHEA.doc</t>
  </si>
  <si>
    <t>C:\Users\franc\OneDrive\Documentos\MALENTIN KARIME\BANCO ESTADO\2012 DEPTO ESCRITURAS fata\2012 DEPTO ESCRITURAS\VTA. PROPIEDAD\LAURA FUENTEALBA A Clemente Fuentealba.doc</t>
  </si>
  <si>
    <t>C:\Users\franc\OneDrive\Documentos\MALENTIN KARIME\BANCO ESTADO\2012 DEPTO ESCRITURAS fata\2012 DEPTO ESCRITURAS\VTA. PROPIEDAD\LAURA ELGUEDA CORTES.doc</t>
  </si>
  <si>
    <t>C:\Users\franc\OneDrive\Documentos\MALENTIN KARIME\BANCO ESTADO\2012 DEPTO ESCRITURAS fata\2012 DEPTO ESCRITURAS\VTA. PROPIEDAD\JUANA OLIVARES ARAYA A JUAN RAMOS.doc</t>
  </si>
  <si>
    <t>C:\Users\franc\OneDrive\Documentos\MALENTIN KARIME\BANCO ESTADO\2012 DEPTO ESCRITURAS fata\2012 DEPTO ESCRITURAS\VTA. PROPIEDAD\JUANA CAMPOS A ISABEL TORRES solteros.doc</t>
  </si>
  <si>
    <t>C:\Users\franc\OneDrive\Documentos\MALENTIN KARIME\BANCO ESTADO\2012 DEPTO ESCRITURAS fata\2012 DEPTO ESCRITURAS\VTA. PROPIEDAD\JUANA ARAYA OYARCE A ESIQUIEL CORTES Conyuge Administrador.doc</t>
  </si>
  <si>
    <t>C:\Users\franc\OneDrive\Documentos\MALENTIN KARIME\BANCO ESTADO\2012 DEPTO ESCRITURAS fata\2012 DEPTO ESCRITURAS\VTA. PROPIEDAD\JUAN VELASQUEZ VASQUEZ  Subdivision.doc</t>
  </si>
  <si>
    <t>C:\Users\franc\OneDrive\Documentos\MALENTIN KARIME\BANCO ESTADO\2012 DEPTO ESCRITURAS fata\2012 DEPTO ESCRITURAS\VTA. PROPIEDAD\JUAN PORTILLA ALBURQUENQUE A Empresa Individual  LOTE 8.doc</t>
  </si>
  <si>
    <t>C:\Users\franc\OneDrive\Documentos\MALENTIN KARIME\BANCO ESTADO\2012 DEPTO ESCRITURAS fata\2012 DEPTO ESCRITURAS\VTA. PROPIEDAD\JUAN PONCE A JANBIER PONCE Aut conyuge.doc</t>
  </si>
  <si>
    <t>C:\Users\franc\OneDrive\Documentos\MALENTIN KARIME\BANCO ESTADO\2012 DEPTO ESCRITURAS fata\2012 DEPTO ESCRITURAS\VTA. PROPIEDAD\JUAN DE DIOS A MARIANA PLAZA.doc</t>
  </si>
  <si>
    <t>C:\Users\franc\OneDrive\Documentos\MALENTIN KARIME\BANCO ESTADO\2012 DEPTO ESCRITURAS fata\2012 DEPTO ESCRITURAS\VTA. PROPIEDAD\JUAN CORTES BUGUEÑO A ELBA BUGUEÑO RIVERA Derechos.doc</t>
  </si>
  <si>
    <t>C:\Users\franc\OneDrive\Documentos\MALENTIN KARIME\BANCO ESTADO\2012 DEPTO ESCRITURAS fata\2012 DEPTO ESCRITURAS\VTA. PROPIEDAD\JUAN COLLAO ARAYA A Sandra Collao Proh.Legal.doc</t>
  </si>
  <si>
    <t>C:\Users\franc\OneDrive\Documentos\MALENTIN KARIME\BANCO ESTADO\2012 DEPTO ESCRITURAS fata\2012 DEPTO ESCRITURAS\VTA. PROPIEDAD\JUAN COLLAO ARAYA A Janette Collao Proh.Legal.doc</t>
  </si>
  <si>
    <t>C:\Users\franc\OneDrive\Documentos\MALENTIN KARIME\BANCO ESTADO\2012 DEPTO ESCRITURAS fata\2012 DEPTO ESCRITURAS\VTA. PROPIEDAD\JUAN CASTILLO CARVAJAL A MIRIAM MONARDEZ GOMEZh.Legal.doc</t>
  </si>
  <si>
    <t>C:\Users\franc\OneDrive\Documentos\MALENTIN KARIME\BANCO ESTADO\2012 DEPTO ESCRITURAS fata\2012 DEPTO ESCRITURAS\VTA. PROPIEDAD\JUAN CASTILLO CARVAJAL A MIGUEL MALUENDA NARANJOProh.Legal.doc</t>
  </si>
  <si>
    <t>C:\Users\franc\OneDrive\Documentos\MALENTIN KARIME\BANCO ESTADO\2012 DEPTO ESCRITURAS fata\2012 DEPTO ESCRITURAS\VTA. PROPIEDAD\JUAN AHUMADA VARGAS Y OTROS A MARIETTA URQUIETA Minuta C. Araya.doc</t>
  </si>
  <si>
    <t>C:\Users\franc\OneDrive\Documentos\MALENTIN KARIME\BANCO ESTADO\2012 DEPTO ESCRITURAS fata\2012 DEPTO ESCRITURAS\VTA. PROPIEDAD\JOSE SEGOVIA NARANJO A SANDRA SEGOVIA vta con usufructo.doc</t>
  </si>
  <si>
    <t>C:\Users\franc\OneDrive\Documentos\MALENTIN KARIME\BANCO ESTADO\2012 DEPTO ESCRITURAS fata\2012 DEPTO ESCRITURAS\VTA. PROPIEDAD\JOSE GODOY GODOY A LUIS GODOY OTROvta con usufructo.doc</t>
  </si>
  <si>
    <t>C:\Users\franc\OneDrive\Documentos\MALENTIN KARIME\BANCO ESTADO\2012 DEPTO ESCRITURAS fata\2012 DEPTO ESCRITURAS\VTA. PROPIEDAD\JOSE CONTRERAS GALLARDO A Pamela Pizarro (COMUNIDAD AGR PUNITAQUI).doc</t>
  </si>
  <si>
    <t>C:\Users\franc\OneDrive\Documentos\MALENTIN KARIME\BANCO ESTADO\2012 DEPTO ESCRITURAS fata\2012 DEPTO ESCRITURAS\VTA. PROPIEDAD\JOSE CARVAJAL ULLOA Comprador.doc</t>
  </si>
  <si>
    <t>C:\Users\franc\OneDrive\Documentos\MALENTIN KARIME\BANCO ESTADO\2012 DEPTO ESCRITURAS fata\2012 DEPTO ESCRITURAS\VTA. PROPIEDAD\JOSE CAIMANQUE CASTILLO.doc</t>
  </si>
  <si>
    <t>C:\Users\franc\OneDrive\Documentos\MALENTIN KARIME\BANCO ESTADO\2012 DEPTO ESCRITURAS fata\2012 DEPTO ESCRITURAS\VTA. PROPIEDAD\JORGE MORALES A CARLOS VEGA cvta usufructo.doc</t>
  </si>
  <si>
    <t>C:\Users\franc\OneDrive\Documentos\MALENTIN KARIME\BANCO ESTADO\2012 DEPTO ESCRITURAS fata\2012 DEPTO ESCRITURAS\VTA. PROPIEDAD\JOAQUIN ARAYA VERGARA A ANDRES ARAYA ROJA  Cony autoriza.doc</t>
  </si>
  <si>
    <t>C:\Users\franc\OneDrive\Documentos\MALENTIN KARIME\BANCO ESTADO\2012 DEPTO ESCRITURAS fata\2012 DEPTO ESCRITURAS\VTA. PROPIEDAD\JESUS VENEGAS OLIVARES A  BERTA CORTES solteros.doc</t>
  </si>
  <si>
    <t>C:\Users\franc\OneDrive\Documentos\MALENTIN KARIME\BANCO ESTADO\2012 DEPTO ESCRITURAS fata\2012 DEPTO ESCRITURAS\VTA. PROPIEDAD\JACQUELINE PALTA VARAS A WILFREDO RIVERA conyuge Administrador.doc</t>
  </si>
  <si>
    <t>C:\Users\franc\OneDrive\Documentos\MALENTIN KARIME\BANCO ESTADO\2012 DEPTO ESCRITURAS fata\2012 DEPTO ESCRITURAS\VTA. PROPIEDAD\JACOB MUNDACA GUERRERO A GLENDA ALVAREZ autoriza cónyuge.doc</t>
  </si>
  <si>
    <t>C:\Users\franc\OneDrive\Documentos\MALENTIN KARIME\BANCO ESTADO\2012 DEPTO ESCRITURAS fata\2012 DEPTO ESCRITURAS\VTA. PROPIEDAD\JACINTO SEGOVIA MILLA Soltero.doc</t>
  </si>
  <si>
    <t>C:\Users\franc\OneDrive\Documentos\MALENTIN KARIME\BANCO ESTADO\2012 DEPTO ESCRITURAS fata\2012 DEPTO ESCRITURAS\VTA. PROPIEDAD\IVAN ROBLES CARVAJAL Bienes Nac.doc</t>
  </si>
  <si>
    <t>C:\Users\franc\OneDrive\Documentos\MALENTIN KARIME\BANCO ESTADO\2012 DEPTO ESCRITURAS fata\2012 DEPTO ESCRITURAS\VTA. PROPIEDAD\IVAN BOLADOS ARAYA Minuta C. Ardiles.doc</t>
  </si>
  <si>
    <t>C:\Users\franc\OneDrive\Documentos\MALENTIN KARIME\BANCO ESTADO\2012 DEPTO ESCRITURAS fata\2012 DEPTO ESCRITURAS\VTA. PROPIEDAD\ISMAEL CARRASCO GUERRA.doc</t>
  </si>
  <si>
    <t>C:\Users\franc\OneDrive\Documentos\MALENTIN KARIME\BANCO ESTADO\2012 DEPTO ESCRITURAS fata\2012 DEPTO ESCRITURAS\VTA. PROPIEDAD\ISABEL VALDIVIA VEGA A Carlos Guzmán cvta usufructo.doc</t>
  </si>
  <si>
    <t>C:\Users\franc\OneDrive\Documentos\MALENTIN KARIME\BANCO ESTADO\2012 DEPTO ESCRITURAS fata\2012 DEPTO ESCRITURAS\VTA. PROPIEDAD\IRIS TAPIA CUELLO A LORENA ARAYA solteros.doc</t>
  </si>
  <si>
    <t>C:\Users\franc\OneDrive\Documentos\MALENTIN KARIME\BANCO ESTADO\2012 DEPTO ESCRITURAS fata\2012 DEPTO ESCRITURAS\VTA. PROPIEDAD\Inventario Luis Jofre Vega.doc</t>
  </si>
  <si>
    <t>C:\Users\franc\OneDrive\Documentos\MALENTIN KARIME\BANCO ESTADO\2012 DEPTO ESCRITURAS fata\2012 DEPTO ESCRITURAS\VTA. PROPIEDAD\INSTRUCCIONES ARSEN GRIGORIAN.doc</t>
  </si>
  <si>
    <t>C:\Users\franc\OneDrive\Documentos\MALENTIN KARIME\BANCO ESTADO\2012 DEPTO ESCRITURAS fata\2012 DEPTO ESCRITURAS\VTA. PROPIEDAD\INSTRUCCIONES ARANCIBIA FLORES.doc</t>
  </si>
  <si>
    <t>C:\Users\franc\OneDrive\Documentos\MALENTIN KARIME\BANCO ESTADO\2012 DEPTO ESCRITURAS fata\2012 DEPTO ESCRITURAS\VTA. PROPIEDAD\HUMBERTO SALINAS A ANA CODOCEO solteros.doc</t>
  </si>
  <si>
    <t>C:\Users\franc\OneDrive\Documentos\MALENTIN KARIME\BANCO ESTADO\2012 DEPTO ESCRITURAS fata\2012 DEPTO ESCRITURAS\VTA. PROPIEDAD\HUMBERTO CUELLO A Jimena Berrios 150.doc</t>
  </si>
  <si>
    <t>C:\Users\franc\OneDrive\Documentos\MALENTIN KARIME\BANCO ESTADO\2012 DEPTO ESCRITURAS fata\2012 DEPTO ESCRITURAS\VTA. PROPIEDAD\HUGO YAÑEZ A REGINALDO AGUILERA.doc</t>
  </si>
  <si>
    <t>C:\Users\franc\OneDrive\Documentos\MALENTIN KARIME\BANCO ESTADO\2012 DEPTO ESCRITURAS fata\2012 DEPTO ESCRITURAS\VTA. PROPIEDAD\HORACIO DEL ROSARIO LOPEZ.doc</t>
  </si>
  <si>
    <t>C:\Users\franc\OneDrive\Documentos\MALENTIN KARIME\BANCO ESTADO\2012 DEPTO ESCRITURAS fata\2012 DEPTO ESCRITURAS\VTA. PROPIEDAD\HORACIO DEL ROSARIO LOPEZ II Promesa.doc</t>
  </si>
  <si>
    <t>C:\Users\franc\OneDrive\Documentos\MALENTIN KARIME\BANCO ESTADO\2012 DEPTO ESCRITURAS fata\2012 DEPTO ESCRITURAS\VTA. PROPIEDAD\HORACIO DEL ROSARIO LOPEZ A NELSON CASTILLO vta..doc</t>
  </si>
  <si>
    <t>C:\Users\franc\OneDrive\Documentos\MALENTIN KARIME\BANCO ESTADO\2012 DEPTO ESCRITURAS fata\2012 DEPTO ESCRITURAS\VTA. PROPIEDAD\HORACIO DEL ROSARIO LOPEZ A Juan Santelicaes vta..doc</t>
  </si>
  <si>
    <t>C:\Users\franc\OneDrive\Documentos\MALENTIN KARIME\BANCO ESTADO\2012 DEPTO ESCRITURAS fata\2012 DEPTO ESCRITURAS\VTA. PROPIEDAD\HERMOGENES GUERRERO JOFRE Y OTROS autoriza cónyuge.doc</t>
  </si>
  <si>
    <t>C:\Users\franc\OneDrive\Documentos\MALENTIN KARIME\BANCO ESTADO\2012 DEPTO ESCRITURAS fata\2012 DEPTO ESCRITURAS\VTA. PROPIEDAD\GUSTAVO CORTEZ ROJAS A ERICA LAYANA.doc</t>
  </si>
  <si>
    <t>C:\Users\franc\OneDrive\Documentos\MALENTIN KARIME\BANCO ESTADO\2012 DEPTO ESCRITURAS fata\2012 DEPTO ESCRITURAS\VTA. PROPIEDAD\GUILLERMO CORTES HUERTA A ELSA CORTES PIZARRO.doc</t>
  </si>
  <si>
    <t>C:\Users\franc\OneDrive\Documentos\MALENTIN KARIME\BANCO ESTADO\2012 DEPTO ESCRITURAS fata\2012 DEPTO ESCRITURAS\VTA. PROPIEDAD\GUILLE CODOCEO A ORIEL ARAYA Minuta JOSE GOMILA.doc</t>
  </si>
  <si>
    <t>C:\Users\franc\OneDrive\Documentos\MALENTIN KARIME\BANCO ESTADO\2012 DEPTO ESCRITURAS fata\2012 DEPTO ESCRITURAS\VTA. PROPIEDAD\GUILERMO ROJAS DELGADO A LUIS BRUNADerechos.doc</t>
  </si>
  <si>
    <t>C:\Users\franc\OneDrive\Documentos\MALENTIN KARIME\BANCO ESTADO\2012 DEPTO ESCRITURAS fata\2012 DEPTO ESCRITURAS\VTA. PROPIEDAD\GRIGORIAN ARSEN A FRANCISCO PEREZ.doc</t>
  </si>
  <si>
    <t>C:\Users\franc\OneDrive\Documentos\MALENTIN KARIME\BANCO ESTADO\2012 DEPTO ESCRITURAS fata\2012 DEPTO ESCRITURAS\VTA. PROPIEDAD\GONZALO CORTES A Gonzalo Antonio Cortes 100 Derechos.doc</t>
  </si>
  <si>
    <t>C:\Users\franc\OneDrive\Documentos\MALENTIN KARIME\BANCO ESTADO\2012 DEPTO ESCRITURAS fata\2012 DEPTO ESCRITURAS\VTA. PROPIEDAD\GLEN GLONZALEZ A Kely Marambio.doc</t>
  </si>
  <si>
    <t>C:\Users\franc\OneDrive\Documentos\MALENTIN KARIME\BANCO ESTADO\2012 DEPTO ESCRITURAS fata\2012 DEPTO ESCRITURAS\VTA. PROPIEDAD\GLADYS NAVARRO A LUIS NAVARRO.doc</t>
  </si>
  <si>
    <t>C:\Users\franc\OneDrive\Documentos\MALENTIN KARIME\BANCO ESTADO\2012 DEPTO ESCRITURAS fata\2012 DEPTO ESCRITURAS\VTA. PROPIEDAD\GLADYS LOPEZ A CONSUELO PARRA cvta usufructo.doc</t>
  </si>
  <si>
    <t>C:\Users\franc\OneDrive\Documentos\MALENTIN KARIME\BANCO ESTADO\2012 DEPTO ESCRITURAS fata\2012 DEPTO ESCRITURAS\VTA. PROPIEDAD\GABRIELA ALVARADO ARAYA 100 Derechos.doc</t>
  </si>
  <si>
    <t>C:\Users\franc\OneDrive\Documentos\MALENTIN KARIME\BANCO ESTADO\2012 DEPTO ESCRITURAS fata\2012 DEPTO ESCRITURAS\VTA. PROPIEDAD\GABRIEL BRAVO CORTES A Rodrigo Zarate y otros Cony autoriza.doc</t>
  </si>
  <si>
    <t>C:\Users\franc\OneDrive\Documentos\MALENTIN KARIME\BANCO ESTADO\2012 DEPTO ESCRITURAS fata\2012 DEPTO ESCRITURAS\VTA. PROPIEDAD\GABRIEL BRAVO CORTES A GONZAO BRAVOCony autoriza.doc</t>
  </si>
  <si>
    <t>C:\Users\franc\OneDrive\Documentos\MALENTIN KARIME\BANCO ESTADO\2012 DEPTO ESCRITURAS fata\2012 DEPTO ESCRITURAS\VTA. PROPIEDAD\FRANCISCO GONZALEZ A MARIA CARVAJAL Minuta María Ines.doc</t>
  </si>
  <si>
    <t>C:\Users\franc\OneDrive\Documentos\MALENTIN KARIME\BANCO ESTADO\2012 DEPTO ESCRITURAS fata\2012 DEPTO ESCRITURAS\VTA. PROPIEDAD\FRANCISCO FARIAS A LORENA ARAYA.doc</t>
  </si>
  <si>
    <t>C:\Users\franc\OneDrive\Documentos\MALENTIN KARIME\BANCO ESTADO\2012 DEPTO ESCRITURAS fata\2012 DEPTO ESCRITURAS\VTA. PROPIEDAD\FLORA RAMIREZ Subdivision.doc</t>
  </si>
  <si>
    <t>C:\Users\franc\OneDrive\Documentos\MALENTIN KARIME\BANCO ESTADO\2012 DEPTO ESCRITURAS fata\2012 DEPTO ESCRITURAS\VTA. PROPIEDAD\ESCRITURA COMPRAVENTA WALTER JOFRE Y OTRA A CARLOS ARAYA MORALES.doc</t>
  </si>
  <si>
    <t>C:\Users\franc\OneDrive\Documentos\MALENTIN KARIME\BANCO ESTADO\2012 DEPTO ESCRITURAS fata\2012 DEPTO ESCRITURAS\VTA. PROPIEDAD\ERASMO BERRIOS ALFARO.doc</t>
  </si>
  <si>
    <t>C:\Users\franc\OneDrive\Documentos\MALENTIN KARIME\BANCO ESTADO\2012 DEPTO ESCRITURAS fata\2012 DEPTO ESCRITURAS\VTA. PROPIEDAD\EMA TORO CARVAJAL (COMUNIDAD AGR PUNITAQUI).doc</t>
  </si>
  <si>
    <t>C:\Users\franc\OneDrive\Documentos\MALENTIN KARIME\BANCO ESTADO\2012 DEPTO ESCRITURAS fata\2012 DEPTO ESCRITURAS\VTA. PROPIEDAD\ELENA RIVERA ROJAS A NANCY MERCADO Conyuge Administrador.doc</t>
  </si>
  <si>
    <t>C:\Users\franc\OneDrive\Documentos\MALENTIN KARIME\BANCO ESTADO\2012 DEPTO ESCRITURAS fata\2012 DEPTO ESCRITURAS\VTA. PROPIEDAD\ELENA RIVERA ROJAS A NANCY MERCADO Conyuge Administrador   Final.doc</t>
  </si>
  <si>
    <t>C:\Users\franc\OneDrive\Documentos\MALENTIN KARIME\BANCO ESTADO\2012 DEPTO ESCRITURAS fata\2012 DEPTO ESCRITURAS\VTA. PROPIEDAD\EDUARDO RIVERA GALLARDO solteros.doc</t>
  </si>
  <si>
    <t>C:\Users\franc\OneDrive\Documentos\MALENTIN KARIME\BANCO ESTADO\2012 DEPTO ESCRITURAS fata\2012 DEPTO ESCRITURAS\VTA. PROPIEDAD\EDUARDO JULIO GALLARDO A Patricia JulioCony autoriza.doc</t>
  </si>
  <si>
    <t>C:\Users\franc\OneDrive\Documentos\MALENTIN KARIME\BANCO ESTADO\2012 DEPTO ESCRITURAS fata\2012 DEPTO ESCRITURAS\VTA. PROPIEDAD\EDUARDO DEL CARMEN AGUILERA RIVERA.doc</t>
  </si>
  <si>
    <t>C:\Users\franc\OneDrive\Documentos\MALENTIN KARIME\BANCO ESTADO\2012 DEPTO ESCRITURAS fata\2012 DEPTO ESCRITURAS\VTA. PROPIEDAD\EDUARDO AROS JOFRE Subd Minuta Orlando Gallardo.doc</t>
  </si>
  <si>
    <t>C:\Users\franc\OneDrive\Documentos\MALENTIN KARIME\BANCO ESTADO\2012 DEPTO ESCRITURAS fata\2012 DEPTO ESCRITURAS\VTA. PROPIEDAD\EDUARDO ARAYA SANTANDER cvta usufructo.doc</t>
  </si>
  <si>
    <t>C:\Users\franc\OneDrive\Documentos\MALENTIN KARIME\BANCO ESTADO\2012 DEPTO ESCRITURAS fata\2012 DEPTO ESCRITURAS\VTA. PROPIEDAD\DUALDO CONTRERAS A Eduardo Contreras.doc</t>
  </si>
  <si>
    <t>C:\Users\franc\OneDrive\Documentos\MALENTIN KARIME\BANCO ESTADO\2012 DEPTO ESCRITURAS fata\2012 DEPTO ESCRITURAS\VTA. PROPIEDAD\DOMINGO YAÑEZ A FABIAN YAÑEZ.doc</t>
  </si>
  <si>
    <t>C:\Users\franc\OneDrive\Documentos\MALENTIN KARIME\BANCO ESTADO\2012 DEPTO ESCRITURAS fata\2012 DEPTO ESCRITURAS\VTA. PROPIEDAD\DOLLY TABILO A NANCY MERCADO.doc</t>
  </si>
  <si>
    <t>C:\Users\franc\OneDrive\Documentos\MALENTIN KARIME\BANCO ESTADO\2012 DEPTO ESCRITURAS fata\2012 DEPTO ESCRITURAS\VTA. PROPIEDAD\DOLLY TABILO A NANCY MERCADO borrador.doc</t>
  </si>
  <si>
    <t>C:\Users\franc\OneDrive\Documentos\MALENTIN KARIME\BANCO ESTADO\2012 DEPTO ESCRITURAS fata\2012 DEPTO ESCRITURAS\VTA. PROPIEDAD\CRISTINA VILLALOBOS ROJAS A Daniela Astorga solteros.doc</t>
  </si>
  <si>
    <t>C:\Users\franc\OneDrive\Documentos\MALENTIN KARIME\BANCO ESTADO\2012 DEPTO ESCRITURAS fata\2012 DEPTO ESCRITURAS\VTA. PROPIEDAD\CRISTIAN GALLARDO A MARISOL MEDINACony autoriza.doc</t>
  </si>
  <si>
    <t>C:\Users\franc\OneDrive\Documentos\MALENTIN KARIME\BANCO ESTADO\2012 DEPTO ESCRITURAS fata\2012 DEPTO ESCRITURAS\VTA. PROPIEDAD\CRISTIAN CACERES CARO A MASSIEL ARANCIBIA Y OTRA Minuta.doc</t>
  </si>
  <si>
    <t>C:\Users\franc\OneDrive\Documentos\MALENTIN KARIME\BANCO ESTADO\2012 DEPTO ESCRITURAS fata\2012 DEPTO ESCRITURAS\VTA. PROPIEDAD\CRISTIAN ARAYA A LUCINDA ROJAS.doc</t>
  </si>
  <si>
    <t>C:\Users\franc\OneDrive\Documentos\MALENTIN KARIME\BANCO ESTADO\2012 DEPTO ESCRITURAS fata\2012 DEPTO ESCRITURAS\VTA. PROPIEDAD\COMERCIAL GIBSON LIMITADA.doc</t>
  </si>
  <si>
    <t>C:\Users\franc\OneDrive\Documentos\MALENTIN KARIME\BANCO ESTADO\2012 DEPTO ESCRITURAS fata\2012 DEPTO ESCRITURAS\VTA. PROPIEDAD\COMERCIAL E INVERSIONES AMELIA MIRANDA.doc</t>
  </si>
  <si>
    <t>C:\Users\franc\OneDrive\Documentos\MALENTIN KARIME\BANCO ESTADO\2012 DEPTO ESCRITURAS fata\2012 DEPTO ESCRITURAS\VTA. PROPIEDAD\CERTIFICO promesa.doc</t>
  </si>
  <si>
    <t>C:\Users\franc\OneDrive\Documentos\MALENTIN KARIME\BANCO ESTADO\2012 DEPTO ESCRITURAS fata\2012 DEPTO ESCRITURAS\VTA. PROPIEDAD\CECILIA ANDRADE MONARDES Compradora.doc</t>
  </si>
  <si>
    <t>C:\Users\franc\OneDrive\Documentos\MALENTIN KARIME\BANCO ESTADO\2012 DEPTO ESCRITURAS fata\2012 DEPTO ESCRITURAS\VTA. PROPIEDAD\CARMEN MIRANDA MIRANDA Solteras.doc</t>
  </si>
  <si>
    <t>C:\Users\franc\OneDrive\Documentos\MALENTIN KARIME\BANCO ESTADO\2012 DEPTO ESCRITURAS fata\2012 DEPTO ESCRITURAS\VTA. PROPIEDAD\CARMEN JORQUERA BUGUEÑO A Waldo Ledezma cony administrador tierra y agua.doc</t>
  </si>
  <si>
    <t>C:\Users\franc\OneDrive\Documentos\MALENTIN KARIME\BANCO ESTADO\2012 DEPTO ESCRITURAS fata\2012 DEPTO ESCRITURAS\VTA. PROPIEDAD\CARLOS TAPIA GARCIA A CARLOS LETELIER Cony autoriza.doc</t>
  </si>
  <si>
    <t>C:\Users\franc\OneDrive\Documentos\MALENTIN KARIME\BANCO ESTADO\2012 DEPTO ESCRITURAS fata\2012 DEPTO ESCRITURAS\VTA. PROPIEDAD\CARLOS MARAMBIO A BERNARDITA MARAMBIO Derechos.doc</t>
  </si>
  <si>
    <t>C:\Users\franc\OneDrive\Documentos\MALENTIN KARIME\BANCO ESTADO\2012 DEPTO ESCRITURAS fata\2012 DEPTO ESCRITURAS\VTA. PROPIEDAD\CARLOS CARVAJAL RODRIGUEZ PC 18 C.doc</t>
  </si>
  <si>
    <t>C:\Users\franc\OneDrive\Documentos\MALENTIN KARIME\BANCO ESTADO\2012 DEPTO ESCRITURAS fata\2012 DEPTO ESCRITURAS\VTA. PROPIEDAD\CARLOS CARVAJAL RODRIGUEZ p.p. 18 A 5.doc</t>
  </si>
  <si>
    <t>C:\Users\franc\OneDrive\Documentos\MALENTIN KARIME\BANCO ESTADO\2012 DEPTO ESCRITURAS fata\2012 DEPTO ESCRITURAS\VTA. PROPIEDAD\CARLOS CARVAJAL RODRIGUEZ Nueva Foresta B.doc</t>
  </si>
  <si>
    <t>C:\Users\franc\OneDrive\Documentos\MALENTIN KARIME\BANCO ESTADO\2012 DEPTO ESCRITURAS fata\2012 DEPTO ESCRITURAS\VTA. PROPIEDAD\CARLOS CARVAJAL RODRIGUEZ lote f.doc</t>
  </si>
  <si>
    <t>C:\Users\franc\OneDrive\Documentos\MALENTIN KARIME\BANCO ESTADO\2012 DEPTO ESCRITURAS fata\2012 DEPTO ESCRITURAS\VTA. PROPIEDAD\CARLOS CARVAJAL RODRIGUEZ lOTE 18 F.doc</t>
  </si>
  <si>
    <t>C:\Users\franc\OneDrive\Documentos\MALENTIN KARIME\BANCO ESTADO\2012 DEPTO ESCRITURAS fata\2012 DEPTO ESCRITURAS\VTA. PROPIEDAD\CARLOS CARVAJAL RODRIGUEZ A ZAIDA MUNDACA.doc</t>
  </si>
  <si>
    <t>C:\Users\franc\OneDrive\Documentos\MALENTIN KARIME\BANCO ESTADO\2012 DEPTO ESCRITURAS fata\2012 DEPTO ESCRITURAS\VTA. PROPIEDAD\CARLOS CARVAJAL RODRIGUEZ A VIRJINIA JINEZ 42.doc</t>
  </si>
  <si>
    <t>C:\Users\franc\OneDrive\Documentos\MALENTIN KARIME\BANCO ESTADO\2012 DEPTO ESCRITURAS fata\2012 DEPTO ESCRITURAS\VTA. PROPIEDAD\CARLOS CARVAJAL RODRIGUEZ A SERGIO SALINAS  33.doc</t>
  </si>
  <si>
    <t>C:\Users\franc\OneDrive\Documentos\MALENTIN KARIME\BANCO ESTADO\2012 DEPTO ESCRITURAS fata\2012 DEPTO ESCRITURAS\VTA. PROPIEDAD\CARLOS CARVAJAL RODRIGUEZ A SERGIO LEON  31.doc</t>
  </si>
  <si>
    <t>C:\Users\franc\OneDrive\Documentos\MALENTIN KARIME\BANCO ESTADO\2012 DEPTO ESCRITURAS fata\2012 DEPTO ESCRITURAS\VTA. PROPIEDAD\CARLOS CARVAJAL RODRIGUEZ A SARA LANAS VEGA 43.doc</t>
  </si>
  <si>
    <t>C:\Users\franc\OneDrive\Documentos\MALENTIN KARIME\BANCO ESTADO\2012 DEPTO ESCRITURAS fata\2012 DEPTO ESCRITURAS\VTA. PROPIEDAD\CARLOS CARVAJAL RODRIGUEZ A ROGELIO PIZARRO Y OTRA.doc</t>
  </si>
  <si>
    <t>C:\Users\franc\OneDrive\Documentos\MALENTIN KARIME\BANCO ESTADO\2012 DEPTO ESCRITURAS fata\2012 DEPTO ESCRITURAS\VTA. PROPIEDAD\CARLOS CARVAJAL RODRIGUEZ A ROBERTO PIÑONES 41.doc</t>
  </si>
  <si>
    <t>C:\Users\franc\OneDrive\Documentos\MALENTIN KARIME\BANCO ESTADO\2012 DEPTO ESCRITURAS fata\2012 DEPTO ESCRITURAS\VTA. PROPIEDAD\CARLOS CARVAJAL RODRIGUEZ A PATRICIO DIAZ GALLEGUILLOS.doc</t>
  </si>
  <si>
    <t>C:\Users\franc\OneDrive\Documentos\MALENTIN KARIME\BANCO ESTADO\2012 DEPTO ESCRITURAS fata\2012 DEPTO ESCRITURAS\VTA. PROPIEDAD\CARLOS CARVAJAL RODRIGUEZ A OSVALDO GERALDO 26.doc</t>
  </si>
  <si>
    <t>C:\Users\franc\OneDrive\Documentos\MALENTIN KARIME\BANCO ESTADO\2012 DEPTO ESCRITURAS fata\2012 DEPTO ESCRITURAS\VTA. PROPIEDAD\CARLOS CARVAJAL RODRIGUEZ A mauricio gutierrez pp 18 4.doc</t>
  </si>
  <si>
    <t>C:\Users\franc\OneDrive\Documentos\MALENTIN KARIME\BANCO ESTADO\2012 DEPTO ESCRITURAS fata\2012 DEPTO ESCRITURAS\VTA. PROPIEDAD\CARLOS CARVAJAL RODRIGUEZ A MARILUZ GARCIA pp 18-19.doc</t>
  </si>
  <si>
    <t>C:\Users\franc\OneDrive\Documentos\MALENTIN KARIME\BANCO ESTADO\2012 DEPTO ESCRITURAS fata\2012 DEPTO ESCRITURAS\VTA. PROPIEDAD\CARLOS CARVAJAL RODRIGUEZ A MARIANO ALUCEMA GARCIA.doc</t>
  </si>
  <si>
    <t>C:\Users\franc\OneDrive\Documentos\MALENTIN KARIME\BANCO ESTADO\2012 DEPTO ESCRITURAS fata\2012 DEPTO ESCRITURAS\VTA. PROPIEDAD\CARLOS CARVAJAL RODRIGUEZ A MARIANELA SOLIS 30.doc</t>
  </si>
  <si>
    <t>C:\Users\franc\OneDrive\Documentos\MALENTIN KARIME\BANCO ESTADO\2012 DEPTO ESCRITURAS fata\2012 DEPTO ESCRITURAS\VTA. PROPIEDAD\CARLOS CARVAJAL RODRIGUEZ A MARIA ACEITUNO POZO.doc</t>
  </si>
  <si>
    <t>C:\Users\franc\OneDrive\Documentos\MALENTIN KARIME\BANCO ESTADO\2012 DEPTO ESCRITURAS fata\2012 DEPTO ESCRITURAS\VTA. PROPIEDAD\CARLOS CARVAJAL RODRIGUEZ A Luis Veliz Salgado 18 B Nueva modelo.doc</t>
  </si>
  <si>
    <t>C:\Users\franc\OneDrive\Documentos\MALENTIN KARIME\BANCO ESTADO\2012 DEPTO ESCRITURAS fata\2012 DEPTO ESCRITURAS\VTA. PROPIEDAD\CARLOS CARVAJAL RODRIGUEZ A LORENA RAMIREZ.doc</t>
  </si>
  <si>
    <t>C:\Users\franc\OneDrive\Documentos\MALENTIN KARIME\BANCO ESTADO\2012 DEPTO ESCRITURAS fata\2012 DEPTO ESCRITURAS\VTA. PROPIEDAD\CARLOS CARVAJAL RODRIGUEZ A JULIO ROJAS Y OTRO.doc</t>
  </si>
  <si>
    <t>C:\Users\franc\OneDrive\Documentos\MALENTIN KARIME\BANCO ESTADO\2012 DEPTO ESCRITURAS fata\2012 DEPTO ESCRITURAS\VTA. PROPIEDAD\CARLOS CARVAJAL RODRIGUEZ A JUAN ANTONIO ACUÑA.doc</t>
  </si>
  <si>
    <t>C:\Users\franc\OneDrive\Documentos\MALENTIN KARIME\BANCO ESTADO\2012 DEPTO ESCRITURAS fata\2012 DEPTO ESCRITURAS\VTA. PROPIEDAD\CARLOS CARVAJAL RODRIGUEZ A JOSE PEREZ DIAZ 20.doc</t>
  </si>
  <si>
    <t>C:\Users\franc\OneDrive\Documentos\MALENTIN KARIME\BANCO ESTADO\2012 DEPTO ESCRITURAS fata\2012 DEPTO ESCRITURAS\VTA. PROPIEDAD\CARLOS CARVAJAL RODRIGUEZ A JAIME PEREZ 34.doc</t>
  </si>
  <si>
    <t>C:\Users\franc\OneDrive\Documentos\MALENTIN KARIME\BANCO ESTADO\2012 DEPTO ESCRITURAS fata\2012 DEPTO ESCRITURAS\VTA. PROPIEDAD\CARLOS CARVAJAL RODRIGUEZ A HERMAN VARAS 29.doc</t>
  </si>
  <si>
    <t>C:\Users\franc\OneDrive\Documentos\MALENTIN KARIME\BANCO ESTADO\2012 DEPTO ESCRITURAS fata\2012 DEPTO ESCRITURAS\VTA. PROPIEDAD\CARLOS CARVAJAL RODRIGUEZ A GUSTAVO GONZALEZ 23.doc</t>
  </si>
  <si>
    <t>C:\Users\franc\OneDrive\Documentos\MALENTIN KARIME\BANCO ESTADO\2012 DEPTO ESCRITURAS fata\2012 DEPTO ESCRITURAS\VTA. PROPIEDAD\CARLOS CARVAJAL RODRIGUEZ A GABRIEL MANRIQUEZ 25 Y OTRA.doc</t>
  </si>
  <si>
    <t>C:\Users\franc\OneDrive\Documentos\MALENTIN KARIME\BANCO ESTADO\2012 DEPTO ESCRITURAS fata\2012 DEPTO ESCRITURAS\VTA. PROPIEDAD\CARLOS CARVAJAL RODRIGUEZ A FREDDY SAAVEDRA CASTILLO Y otros 20.doc</t>
  </si>
  <si>
    <t>C:\Users\franc\OneDrive\Documentos\MALENTIN KARIME\BANCO ESTADO\2012 DEPTO ESCRITURAS fata\2012 DEPTO ESCRITURAS\VTA. PROPIEDAD\CARLOS CARVAJAL RODRIGUEZ a ELDA CARRASCO D 2.doc</t>
  </si>
  <si>
    <t>C:\Users\franc\OneDrive\Documentos\MALENTIN KARIME\BANCO ESTADO\2012 DEPTO ESCRITURAS fata\2012 DEPTO ESCRITURAS\VTA. PROPIEDAD\CARLOS CARVAJAL RODRIGUEZ A EDUARDO LUTZ VALENZUELA pp 15.doc</t>
  </si>
  <si>
    <t>C:\Users\franc\OneDrive\Documentos\MALENTIN KARIME\BANCO ESTADO\2012 DEPTO ESCRITURAS fata\2012 DEPTO ESCRITURAS\VTA. PROPIEDAD\CARLOS CARVAJAL RODRIGUEZ A Eduardo Cortes 18 A 24.doc</t>
  </si>
  <si>
    <t>C:\Users\franc\OneDrive\Documentos\MALENTIN KARIME\BANCO ESTADO\2012 DEPTO ESCRITURAS fata\2012 DEPTO ESCRITURAS\VTA. PROPIEDAD\CARLOS CARVAJAL RODRIGUEZ a DANIEL PAUVIF Y OTRO L18F.doc</t>
  </si>
  <si>
    <t>C:\Users\franc\OneDrive\Documentos\MALENTIN KARIME\BANCO ESTADO\2012 DEPTO ESCRITURAS fata\2012 DEPTO ESCRITURAS\VTA. PROPIEDAD\CARLOS CARVAJAL RODRIGUEZ A CRISTIAN  ALVARADO 39.doc</t>
  </si>
  <si>
    <t>C:\Users\franc\OneDrive\Documentos\MALENTIN KARIME\BANCO ESTADO\2012 DEPTO ESCRITURAS fata\2012 DEPTO ESCRITURAS\VTA. PROPIEDAD\CARLOS CARVAJAL RODRIGUEZ A CLEOPATRA MENESES  38.doc</t>
  </si>
  <si>
    <t>C:\Users\franc\OneDrive\Documentos\MALENTIN KARIME\BANCO ESTADO\2012 DEPTO ESCRITURAS fata\2012 DEPTO ESCRITURAS\VTA. PROPIEDAD\CARLOS CARVAJAL RODRIGUEZ A CARMEN VIVAR CONCHA 32.doc</t>
  </si>
  <si>
    <t>C:\Users\franc\OneDrive\Documentos\MALENTIN KARIME\BANCO ESTADO\2012 DEPTO ESCRITURAS fata\2012 DEPTO ESCRITURAS\VTA. PROPIEDAD\CARLOS CARVAJAL RODRIGUEZ A CARMEN ARAYA PINTO 36,37.doc</t>
  </si>
  <si>
    <t>C:\Users\franc\OneDrive\Documentos\MALENTIN KARIME\BANCO ESTADO\2012 DEPTO ESCRITURAS fata\2012 DEPTO ESCRITURAS\VTA. PROPIEDAD\CARLOS CARVAJAL RODRIGUEZ A BRYAN SARMIENTO.doc</t>
  </si>
  <si>
    <t>C:\Users\franc\OneDrive\Documentos\MALENTIN KARIME\BANCO ESTADO\2012 DEPTO ESCRITURAS fata\2012 DEPTO ESCRITURAS\VTA. PROPIEDAD\CARLOS CARVAJAL RODRIGUEZ A ALVERTA SILVA.doc</t>
  </si>
  <si>
    <t>C:\Users\franc\OneDrive\Documentos\MALENTIN KARIME\BANCO ESTADO\2012 DEPTO ESCRITURAS fata\2012 DEPTO ESCRITURAS\VTA. PROPIEDAD\CARLOS CARVAJAL RODRIGUEZ A ALVERTA SILVA 47.doc</t>
  </si>
  <si>
    <t>C:\Users\franc\OneDrive\Documentos\MALENTIN KARIME\BANCO ESTADO\2012 DEPTO ESCRITURAS fata\2012 DEPTO ESCRITURAS\VTA. PROPIEDAD\CARLOS CARVAJAL RODRIGUEZ A ALFREDO SANTANDER 27 Y 28.doc</t>
  </si>
  <si>
    <t>C:\Users\franc\OneDrive\Documentos\MALENTIN KARIME\BANCO ESTADO\2012 DEPTO ESCRITURAS fata\2012 DEPTO ESCRITURAS\VTA. PROPIEDAD\CARLOS CARVAJAL RODRIGUEZ A Alex Lopez Millalonco Nueva Foresta B.doc</t>
  </si>
  <si>
    <t>C:\Users\franc\OneDrive\Documentos\MALENTIN KARIME\BANCO ESTADO\2012 DEPTO ESCRITURAS fata\2012 DEPTO ESCRITURAS\VTA. PROPIEDAD\CARLOS CARVAJAL RODRIGUEZ A  CLAUDIA NARANJO 18 C.doc</t>
  </si>
  <si>
    <t>C:\Users\franc\OneDrive\Documentos\MALENTIN KARIME\BANCO ESTADO\2012 DEPTO ESCRITURAS fata\2012 DEPTO ESCRITURAS\VTA. PROPIEDAD\CARLOS CARVAJAL RODRIGUEZ 18 B Nueva modelo.doc</t>
  </si>
  <si>
    <t>C:\Users\franc\OneDrive\Documentos\MALENTIN KARIME\BANCO ESTADO\2012 DEPTO ESCRITURAS fata\2012 DEPTO ESCRITURAS\VTA. PROPIEDAD\CARLOS CARVAJAL RODRIGUEZ 18 B 4.doc</t>
  </si>
  <si>
    <t>C:\Users\franc\OneDrive\Documentos\MALENTIN KARIME\BANCO ESTADO\2012 DEPTO ESCRITURAS fata\2012 DEPTO ESCRITURAS\VTA. PROPIEDAD\CARLOS CARVAJAL RODRIGUEZ 18 A 8.doc</t>
  </si>
  <si>
    <t>C:\Users\franc\OneDrive\Documentos\MALENTIN KARIME\BANCO ESTADO\2012 DEPTO ESCRITURAS fata\2012 DEPTO ESCRITURAS\VTA. PROPIEDAD\CARLOS CARVAJAL RODRIGUEZ 18 A 7.doc</t>
  </si>
  <si>
    <t>C:\Users\franc\OneDrive\Documentos\MALENTIN KARIME\BANCO ESTADO\2012 DEPTO ESCRITURAS fata\2012 DEPTO ESCRITURAS\VTA. PROPIEDAD\CARLOS CARVAJAL RODRIGUEZ 18 A 5-6MODELO CON CLAUSULA ESPECIAL.doc</t>
  </si>
  <si>
    <t>C:\Users\franc\OneDrive\Documentos\MALENTIN KARIME\BANCO ESTADO\2012 DEPTO ESCRITURAS fata\2012 DEPTO ESCRITURAS\VTA. PROPIEDAD\CARLOS CARVAJAL RODRIGUEZ 18 A 5-6MODELO CON CLAUSULA ESPECIAL abogado.doc</t>
  </si>
  <si>
    <t>C:\Users\franc\OneDrive\Documentos\MALENTIN KARIME\BANCO ESTADO\2012 DEPTO ESCRITURAS fata\2012 DEPTO ESCRITURAS\VTA. PROPIEDAD\CARLOS CARVAJAL RODRIGUEZ 18 A 21 modelo.doc</t>
  </si>
  <si>
    <t>C:\Users\franc\OneDrive\Documentos\MALENTIN KARIME\BANCO ESTADO\2012 DEPTO ESCRITURAS fata\2012 DEPTO ESCRITURAS\VTA. PROPIEDAD\CARLOS CARVAJAL RODRIGUEZ 18 A 10 MODELO.doc</t>
  </si>
  <si>
    <t>C:\Users\franc\OneDrive\Documentos\MALENTIN KARIME\BANCO ESTADO\2012 DEPTO ESCRITURAS fata\2012 DEPTO ESCRITURAS\VTA. PROPIEDAD\CARLOS CARVAJAL RODRIGUEZ 11.doc</t>
  </si>
  <si>
    <t>C:\Users\franc\OneDrive\Documentos\MALENTIN KARIME\BANCO ESTADO\2012 DEPTO ESCRITURAS fata\2012 DEPTO ESCRITURAS\VTA. PROPIEDAD\CARLOS CARVAJAL RODRIGUEZ  B ALICIA ARCOS.doc</t>
  </si>
  <si>
    <t>C:\Users\franc\OneDrive\Documentos\MALENTIN KARIME\BANCO ESTADO\2012 DEPTO ESCRITURAS fata\2012 DEPTO ESCRITURAS\VTA. PROPIEDAD\CARLOS CARVAJAL RODRIGUEZ  a PATRICIA ROJAS p.p. 18 A 14.doc</t>
  </si>
  <si>
    <t>C:\Users\franc\OneDrive\Documentos\MALENTIN KARIME\BANCO ESTADO\2012 DEPTO ESCRITURAS fata\2012 DEPTO ESCRITURAS\VTA. PROPIEDAD\CARLOS CARVAJAL RODRIGUEZ  a PATRICIA ROJAS p.p. 18 A 1.doc</t>
  </si>
  <si>
    <t>C:\Users\franc\OneDrive\Documentos\MALENTIN KARIME\BANCO ESTADO\2012 DEPTO ESCRITURAS fata\2012 DEPTO ESCRITURAS\VTA. PROPIEDAD\CARLOS CARVAJAL RODRIGUEZ  a IVAN CASTRO p.p. 18 A 9.doc</t>
  </si>
  <si>
    <t>C:\Users\franc\OneDrive\Documentos\MALENTIN KARIME\BANCO ESTADO\2012 DEPTO ESCRITURAS fata\2012 DEPTO ESCRITURAS\VTA. PROPIEDAD\CARLOS CARVAJAL RODRIGUEZ  a  SUSANA BARRAZA PASTENp.p. 18 A 3.doc</t>
  </si>
  <si>
    <t>C:\Users\franc\OneDrive\Documentos\MALENTIN KARIME\BANCO ESTADO\2012 DEPTO ESCRITURAS fata\2012 DEPTO ESCRITURAS\VTA. PROPIEDAD\CARLOS CAMPUSANO A MATILDE ROJASProh.Legal.doc</t>
  </si>
  <si>
    <t>C:\Users\franc\OneDrive\Documentos\MALENTIN KARIME\BANCO ESTADO\2012 DEPTO ESCRITURAS fata\2012 DEPTO ESCRITURAS\VTA. PROPIEDAD\BRAULIA ALVAREZ A LUCIA ROJAS solteros.doc</t>
  </si>
  <si>
    <t>C:\Users\franc\OneDrive\Documentos\MALENTIN KARIME\BANCO ESTADO\2012 DEPTO ESCRITURAS fata\2012 DEPTO ESCRITURAS\VTA. PROPIEDAD\BENJAMIN CASTILLO BARRERA.doc</t>
  </si>
  <si>
    <t>C:\Users\franc\OneDrive\Documentos\MALENTIN KARIME\BANCO ESTADO\2012 DEPTO ESCRITURAS fata\2012 DEPTO ESCRITURAS\VTA. PROPIEDAD\BENITO RAMIREZ MONDACA.doc</t>
  </si>
  <si>
    <t>C:\Users\franc\OneDrive\Documentos\MALENTIN KARIME\BANCO ESTADO\2012 DEPTO ESCRITURAS fata\2012 DEPTO ESCRITURAS\VTA. PROPIEDAD\BALBINA RAMOS GUTIERREZ Conyuge Administrador BIENES NACION.doc</t>
  </si>
  <si>
    <t>C:\Users\franc\OneDrive\Documentos\MALENTIN KARIME\BANCO ESTADO\2012 DEPTO ESCRITURAS fata\2012 DEPTO ESCRITURAS\VTA. PROPIEDAD\ARNOLDO ARAYA PC 8.doc</t>
  </si>
  <si>
    <t>C:\Users\franc\OneDrive\Documentos\MALENTIN KARIME\BANCO ESTADO\2012 DEPTO ESCRITURAS fata\2012 DEPTO ESCRITURAS\VTA. PROPIEDAD\ARNOLDO ARAYA PC 8 B.doc</t>
  </si>
  <si>
    <t>C:\Users\franc\OneDrive\Documentos\MALENTIN KARIME\BANCO ESTADO\2012 DEPTO ESCRITURAS fata\2012 DEPTO ESCRITURAS\VTA. PROPIEDAD\ARNOLDO ARAYA PC 8 A.doc</t>
  </si>
  <si>
    <t>C:\Users\franc\OneDrive\Documentos\MALENTIN KARIME\BANCO ESTADO\2012 DEPTO ESCRITURAS fata\2012 DEPTO ESCRITURAS\VTA. PROPIEDAD\ARNOLDO ARAYA A ROBERTO MONDACA  Proh.Legal.doc</t>
  </si>
  <si>
    <t>C:\Users\franc\OneDrive\Documentos\MALENTIN KARIME\BANCO ESTADO\2012 DEPTO ESCRITURAS fata\2012 DEPTO ESCRITURAS\VTA. PROPIEDAD\ARMANDO CARVAJAL PASTEN.doc</t>
  </si>
  <si>
    <t>C:\Users\franc\OneDrive\Documentos\MALENTIN KARIME\BANCO ESTADO\2012 DEPTO ESCRITURAS fata\2012 DEPTO ESCRITURAS\VTA. PROPIEDAD\ARIEL JOFRE GONZALEZ Subd Minuta Orlando Gallardo.doc</t>
  </si>
  <si>
    <t>C:\Users\franc\OneDrive\Documentos\MALENTIN KARIME\BANCO ESTADO\2012 DEPTO ESCRITURAS fata\2012 DEPTO ESCRITURAS\VTA. PROPIEDAD\ANIVIEN  MANUFACTURA.doc</t>
  </si>
  <si>
    <t>C:\Users\franc\OneDrive\Documentos\MALENTIN KARIME\BANCO ESTADO\2012 DEPTO ESCRITURAS fata\2012 DEPTO ESCRITURAS\VTA. PROPIEDAD\ANIBAL VERA A BORIS VERA Y OTRA.doc</t>
  </si>
  <si>
    <t>C:\Users\franc\OneDrive\Documentos\MALENTIN KARIME\BANCO ESTADO\2012 DEPTO ESCRITURAS fata\2012 DEPTO ESCRITURAS\VTA. PROPIEDAD\ANIBAL ASTORGA A MARIO MARDONES Subdivision.doc</t>
  </si>
  <si>
    <t>C:\Users\franc\OneDrive\Documentos\MALENTIN KARIME\BANCO ESTADO\2012 DEPTO ESCRITURAS fata\2012 DEPTO ESCRITURAS\VTA. PROPIEDAD\ANA ROJAS BUEÑO A SAMUEL VILLARROEL.doc</t>
  </si>
  <si>
    <t>C:\Users\franc\OneDrive\Documentos\MALENTIN KARIME\BANCO ESTADO\2012 DEPTO ESCRITURAS fata\2012 DEPTO ESCRITURAS\VTA. PROPIEDAD\ANA LUISA CARRIZO ESCUDERO Proh.Legal.doc</t>
  </si>
  <si>
    <t>C:\Users\franc\OneDrive\Documentos\MALENTIN KARIME\BANCO ESTADO\2012 DEPTO ESCRITURAS fata\2012 DEPTO ESCRITURAS\VTA. PROPIEDAD\ANA ESPINOSA HERRERA  JAVIER NUÑEZ Cvta usufructo CLAUDIO CASTILLO.doc</t>
  </si>
  <si>
    <t>C:\Users\franc\OneDrive\Documentos\MALENTIN KARIME\BANCO ESTADO\2012 DEPTO ESCRITURAS fata\2012 DEPTO ESCRITURAS\VTA. PROPIEDAD\ANA CHANDIA CONCHA Y LUIS CHANDIA Derechos.doc</t>
  </si>
  <si>
    <t>C:\Users\franc\OneDrive\Documentos\MALENTIN KARIME\BANCO ESTADO\2012 DEPTO ESCRITURAS fata\2012 DEPTO ESCRITURAS\VTA. PROPIEDAD\ANA AMELIA VERGARA  a HORACIO LOPEZ PIZARRO Bien Nacionales.doc</t>
  </si>
  <si>
    <t>C:\Users\franc\OneDrive\Documentos\MALENTIN KARIME\BANCO ESTADO\2012 DEPTO ESCRITURAS fata\2012 DEPTO ESCRITURAS\VTA. PROPIEDAD\ALICIA SILVA A CARMEN ARAYA Minuta Adolfo Lay.doc</t>
  </si>
  <si>
    <t>C:\Users\franc\OneDrive\Documentos\MALENTIN KARIME\BANCO ESTADO\2012 DEPTO ESCRITURAS fata\2012 DEPTO ESCRITURAS\VTA. PROPIEDAD\ALFREDO CORTES A JESSICA BUGUEÑO Art 150.doc</t>
  </si>
  <si>
    <t>C:\Users\franc\OneDrive\Documentos\MALENTIN KARIME\BANCO ESTADO\2012 DEPTO ESCRITURAS fata\2012 DEPTO ESCRITURAS\VTA. PROPIEDAD\ALFONSO RODRIGUEZ A Sandara Canivilo (COMUNIDAD AGR PUNITAQUI).doc</t>
  </si>
  <si>
    <t>C:\Users\franc\OneDrive\Documentos\MALENTIN KARIME\BANCO ESTADO\2012 DEPTO ESCRITURAS fata\2012 DEPTO ESCRITURAS\VTA. PROPIEDAD\ALFONSO RODRIGUEZ A Nancy Bugueño Proh.Legal.doc</t>
  </si>
  <si>
    <t>C:\Users\franc\OneDrive\Documentos\MALENTIN KARIME\BANCO ESTADO\2012 DEPTO ESCRITURAS fata\2012 DEPTO ESCRITURAS\VTA. PROPIEDAD\ALCIDES CORTES CORTES  Cony autoriza.doc</t>
  </si>
  <si>
    <t>C:\Users\franc\OneDrive\Documentos\MALENTIN KARIME\BANCO ESTADO\2012 DEPTO ESCRITURAS fata\2012 DEPTO ESCRITURAS\VTA. PROPIEDAD\ALBERTO SEGUNDO NAVEA CASTILLO 19807.doc</t>
  </si>
  <si>
    <t>C:\Users\franc\OneDrive\Documentos\MALENTIN KARIME\BANCO ESTADO\2012 DEPTO ESCRITURAS fata\2012 DEPTO ESCRITURAS\VTA. PROPIEDAD\AIDA BRAVO CARVAJAL A PATRICIA SANTANDER.doc</t>
  </si>
  <si>
    <t>C:\Users\franc\OneDrive\Documentos\MALENTIN KARIME\BANCO ESTADO\2012 DEPTO ESCRITURAS fata\2012 DEPTO ESCRITURAS\VTA. PROPIEDAD\AGRICOLA E INVERSIONES LAS NIETAS A PEDRO ARAYA ARAYA.doc</t>
  </si>
  <si>
    <t>C:\Users\franc\OneDrive\Documentos\MALENTIN KARIME\BANCO ESTADO\2012 DEPTO ESCRITURAS fata\2012 DEPTO ESCRITURAS\VTA. PROPIEDAD\AGRICOLA E INVERSIONES LAS NIETAS A HELIO GONZALEZ.doc</t>
  </si>
  <si>
    <t>C:\Users\franc\OneDrive\Documentos\MALENTIN KARIME\BANCO ESTADO\2012 DEPTO ESCRITURAS fata\2012 DEPTO ESCRITURAS\VTA. PROPIEDAD\AGRICOLA E INVERSIONES LAS NIETAS A Ascencio Araya.doc</t>
  </si>
  <si>
    <t>C:\Users\franc\OneDrive\Documentos\MALENTIN KARIME\BANCO ESTADO\2012 DEPTO ESCRITURAS fata\2012 DEPTO ESCRITURAS\VTA. PROPIEDAD\AGRICOLA E INVERSIONES LAS NIETAS A Aldo Farias.doc</t>
  </si>
  <si>
    <t>C:\Users\franc\OneDrive\Documentos\MALENTIN KARIME\BANCO ESTADO\2012 DEPTO ESCRITURAS fata\2012 DEPTO ESCRITURAS\VTA. PROPIEDAD\AGAPITO CASTILLO GUERRERO Minuta Roberto vega.doc</t>
  </si>
  <si>
    <t>C:\Users\franc\OneDrive\Documentos\MALENTIN KARIME\BANCO ESTADO\2012 DEPTO ESCRITURAS fata\2012 DEPTO ESCRITURAS\VTA. PROPIEDAD\ADELA VALENZUELA A SILVIA VALENZUELA Y OTRA Cvta usufructo.doc</t>
  </si>
  <si>
    <t>C:\Users\franc\OneDrive\Documentos\MALENTIN KARIME\BANCO ESTADO\2012 DEPTO ESCRITURAS fata\2012 DEPTO ESCRITURAS\VTA SEPULTURA\ANA SALFATE A RAMON LARA.doc</t>
  </si>
  <si>
    <t>C:\Users\franc\OneDrive\Documentos\MALENTIN KARIME\BANCO ESTADO\2012 DEPTO ESCRITURAS fata\2012 DEPTO ESCRITURAS\varios\TOMAS ELGUETA A Laura Elgueta.doc</t>
  </si>
  <si>
    <t>C:\Users\franc\OneDrive\Documentos\MALENTIN KARIME\BANCO ESTADO\2012 DEPTO ESCRITURAS fata\2012 DEPTO ESCRITURAS\varios\TITO BUGUEÑO.doc</t>
  </si>
  <si>
    <t>C:\Users\franc\OneDrive\Documentos\MALENTIN KARIME\BANCO ESTADO\2012 DEPTO ESCRITURAS fata\2012 DEPTO ESCRITURAS\varios\texto saneamiento.doc</t>
  </si>
  <si>
    <t>C:\Users\franc\OneDrive\Documentos\MALENTIN KARIME\BANCO ESTADO\2012 DEPTO ESCRITURAS fata\2012 DEPTO ESCRITURAS\varios\SOCIEDAD AGRICOLA LOS NOGALES Y MAL PASO Contrato uva.doc</t>
  </si>
  <si>
    <t>C:\Users\franc\OneDrive\Documentos\MALENTIN KARIME\BANCO ESTADO\2012 DEPTO ESCRITURAS fata\2012 DEPTO ESCRITURAS\varios\Sobre.doc</t>
  </si>
  <si>
    <t>C:\Users\franc\OneDrive\Documentos\MALENTIN KARIME\BANCO ESTADO\2012 DEPTO ESCRITURAS fata\2012 DEPTO ESCRITURAS\varios\Sobre PARTICULAR.doc</t>
  </si>
  <si>
    <t>C:\Users\franc\OneDrive\Documentos\MALENTIN KARIME\BANCO ESTADO\2012 DEPTO ESCRITURAS fata\2012 DEPTO ESCRITURAS\varios\Sobre CORPBANCA.doc</t>
  </si>
  <si>
    <t>C:\Users\franc\OneDrive\Documentos\MALENTIN KARIME\BANCO ESTADO\2012 DEPTO ESCRITURAS fata\2012 DEPTO ESCRITURAS\varios\SOBRE chico.doc</t>
  </si>
  <si>
    <t>C:\Users\franc\OneDrive\Documentos\MALENTIN KARIME\BANCO ESTADO\2012 DEPTO ESCRITURAS fata\2012 DEPTO ESCRITURAS\varios\SIN EFECTO.doc</t>
  </si>
  <si>
    <t>C:\Users\franc\OneDrive\Documentos\MALENTIN KARIME\BANCO ESTADO\2012 DEPTO ESCRITURAS fata\2012 DEPTO ESCRITURAS\varios\SIN EFECTO horiz 2.doc</t>
  </si>
  <si>
    <t>C:\Users\franc\OneDrive\Documentos\MALENTIN KARIME\BANCO ESTADO\2012 DEPTO ESCRITURAS fata\2012 DEPTO ESCRITURAS\varios\SIN EFECTO horiz 1.doc</t>
  </si>
  <si>
    <t>C:\Users\franc\OneDrive\Documentos\MALENTIN KARIME\BANCO ESTADO\2012 DEPTO ESCRITURAS fata\2012 DEPTO ESCRITURAS\varios\ROBERTO VEGA.doc</t>
  </si>
  <si>
    <t>C:\Users\franc\OneDrive\Documentos\MALENTIN KARIME\BANCO ESTADO\2012 DEPTO ESCRITURAS fata\2012 DEPTO ESCRITURAS\varios\retiro testamento.doc</t>
  </si>
  <si>
    <t>C:\Users\franc\OneDrive\Documentos\MALENTIN KARIME\BANCO ESTADO\2012 DEPTO ESCRITURAS fata\2012 DEPTO ESCRITURAS\varios\RAUL GALLEGUILLOS. ACDO DIVORCIO. OVALLE. ABRIL 2013.doc</t>
  </si>
  <si>
    <t>C:\Users\franc\OneDrive\Documentos\MALENTIN KARIME\BANCO ESTADO\2012 DEPTO ESCRITURAS fata\2012 DEPTO ESCRITURAS\varios\protocolizacion.doc</t>
  </si>
  <si>
    <t>C:\Users\franc\OneDrive\Documentos\MALENTIN KARIME\BANCO ESTADO\2012 DEPTO ESCRITURAS fata\2012 DEPTO ESCRITURAS\varios\PODER Serviu.doc</t>
  </si>
  <si>
    <t>C:\Users\franc\OneDrive\Documentos\MALENTIN KARIME\BANCO ESTADO\2012 DEPTO ESCRITURAS fata\2012 DEPTO ESCRITURAS\varios\PARENTESCO UNO.doc</t>
  </si>
  <si>
    <t>C:\Users\franc\OneDrive\Documentos\MALENTIN KARIME\BANCO ESTADO\2012 DEPTO ESCRITURAS fata\2012 DEPTO ESCRITURAS\varios\notificacion.doc</t>
  </si>
  <si>
    <t>C:\Users\franc\OneDrive\Documentos\MALENTIN KARIME\BANCO ESTADO\2012 DEPTO ESCRITURAS fata\2012 DEPTO ESCRITURAS\varios\notificacion FACTOTOAL.doc</t>
  </si>
  <si>
    <t>C:\Users\franc\OneDrive\Documentos\MALENTIN KARIME\BANCO ESTADO\2012 DEPTO ESCRITURAS fata\2012 DEPTO ESCRITURAS\varios\nota al margen matriz.doc</t>
  </si>
  <si>
    <t>C:\Users\franc\OneDrive\Documentos\MALENTIN KARIME\BANCO ESTADO\2012 DEPTO ESCRITURAS fata\2012 DEPTO ESCRITURAS\varios\nota al margen matriz 22.doc</t>
  </si>
  <si>
    <t>C:\Users\franc\OneDrive\Documentos\MALENTIN KARIME\BANCO ESTADO\2012 DEPTO ESCRITURAS fata\2012 DEPTO ESCRITURAS\varios\nota al margen ERRROR.doc</t>
  </si>
  <si>
    <t>C:\Users\franc\OneDrive\Documentos\MALENTIN KARIME\BANCO ESTADO\2012 DEPTO ESCRITURAS fata\2012 DEPTO ESCRITURAS\varios\nota al margen de rect.doc</t>
  </si>
  <si>
    <t>C:\Users\franc\OneDrive\Documentos\MALENTIN KARIME\BANCO ESTADO\2012 DEPTO ESCRITURAS fata\2012 DEPTO ESCRITURAS\varios\MINUTA Roberto Muñoz Rojas y otro.doc</t>
  </si>
  <si>
    <t>C:\Users\franc\OneDrive\Documentos\MALENTIN KARIME\BANCO ESTADO\2012 DEPTO ESCRITURAS fata\2012 DEPTO ESCRITURAS\varios\minuta al conservador VIRGINIA AGUILERA.doc</t>
  </si>
  <si>
    <t>C:\Users\franc\OneDrive\Documentos\MALENTIN KARIME\BANCO ESTADO\2012 DEPTO ESCRITURAS fata\2012 DEPTO ESCRITURAS\varios\minuta al conservador NORA VEGA.doc</t>
  </si>
  <si>
    <t>C:\Users\franc\OneDrive\Documentos\MALENTIN KARIME\BANCO ESTADO\2012 DEPTO ESCRITURAS fata\2012 DEPTO ESCRITURAS\varios\minuta al conservador INVERSIONES URBANA RIO LIMARI.doc</t>
  </si>
  <si>
    <t>C:\Users\franc\OneDrive\Documentos\MALENTIN KARIME\BANCO ESTADO\2012 DEPTO ESCRITURAS fata\2012 DEPTO ESCRITURAS\varios\minuta al conservador ELIANA GONZALEZ.doc</t>
  </si>
  <si>
    <t>C:\Users\franc\OneDrive\Documentos\MALENTIN KARIME\BANCO ESTADO\2012 DEPTO ESCRITURAS fata\2012 DEPTO ESCRITURAS\varios\minuta al conservador ALBERTO STIEPOVICH.doc</t>
  </si>
  <si>
    <t>C:\Users\franc\OneDrive\Documentos\MALENTIN KARIME\BANCO ESTADO\2012 DEPTO ESCRITURAS fata\2012 DEPTO ESCRITURAS\varios\minuta al conservador AGRICOLA MAL PASO DEL LIMAR.doc</t>
  </si>
  <si>
    <t>C:\Users\franc\OneDrive\Documentos\MALENTIN KARIME\BANCO ESTADO\2012 DEPTO ESCRITURAS fata\2012 DEPTO ESCRITURAS\varios\MANDATO SII GILDA CANIHUANTE.doc</t>
  </si>
  <si>
    <t>C:\Users\franc\OneDrive\Documentos\MALENTIN KARIME\BANCO ESTADO\2012 DEPTO ESCRITURAS fata\2012 DEPTO ESCRITURAS\varios\mandato ARRIENDO CASA Juan Carlos Vega.doc</t>
  </si>
  <si>
    <t>C:\Users\franc\OneDrive\Documentos\MALENTIN KARIME\BANCO ESTADO\2012 DEPTO ESCRITURAS fata\2012 DEPTO ESCRITURAS\varios\Mandato 1.doc</t>
  </si>
  <si>
    <t>C:\Users\franc\OneDrive\Documentos\MALENTIN KARIME\BANCO ESTADO\2012 DEPTO ESCRITURAS fata\2012 DEPTO ESCRITURAS\varios\LUCILA BUGUEÑO Y Freddy Tapia ACUERDO ALIMENTOS.doc</t>
  </si>
  <si>
    <t>C:\Users\franc\OneDrive\Documentos\MALENTIN KARIME\BANCO ESTADO\2012 DEPTO ESCRITURAS fata\2012 DEPTO ESCRITURAS\varios\JEAN PONCE DE LEON.doc</t>
  </si>
  <si>
    <t>C:\Users\franc\OneDrive\Documentos\MALENTIN KARIME\BANCO ESTADO\2012 DEPTO ESCRITURAS fata\2012 DEPTO ESCRITURAS\varios\Estado civil Serrano.doc</t>
  </si>
  <si>
    <t>C:\Users\franc\OneDrive\Documentos\MALENTIN KARIME\BANCO ESTADO\2012 DEPTO ESCRITURAS fata\2012 DEPTO ESCRITURAS\varios\DOCUMENTOS NECESARIOS PARA UNA VENTA.doc</t>
  </si>
  <si>
    <t>C:\Users\franc\OneDrive\Documentos\MALENTIN KARIME\BANCO ESTADO\2012 DEPTO ESCRITURAS fata\2012 DEPTO ESCRITURAS\varios\doc adjuntos vengtas.doc</t>
  </si>
  <si>
    <t>C:\Users\franc\OneDrive\Documentos\MALENTIN KARIME\BANCO ESTADO\2012 DEPTO ESCRITURAS fata\2012 DEPTO ESCRITURAS\varios\DESAFECTACION DE BIEN FAMILIAR definitivo.doc</t>
  </si>
  <si>
    <t>C:\Users\franc\OneDrive\Documentos\MALENTIN KARIME\BANCO ESTADO\2012 DEPTO ESCRITURAS fata\2012 DEPTO ESCRITURAS\varios\DECLARACION Ariel.doc</t>
  </si>
  <si>
    <t>C:\Users\franc\OneDrive\Documentos\MALENTIN KARIME\BANCO ESTADO\2012 DEPTO ESCRITURAS fata\2012 DEPTO ESCRITURAS\varios\Copia de PROTOCOLIZADOS.xls</t>
  </si>
  <si>
    <t>C:\Users\franc\OneDrive\Documentos\MALENTIN KARIME\BANCO ESTADO\2012 DEPTO ESCRITURAS fata\2012 DEPTO ESCRITURAS\varios\Contrato de Suministro con Garantía Cinabrio julio 2012.doc</t>
  </si>
  <si>
    <t>C:\Users\franc\OneDrive\Documentos\MALENTIN KARIME\BANCO ESTADO\2012 DEPTO ESCRITURAS fata\2012 DEPTO ESCRITURAS\varios\Constancia.doc</t>
  </si>
  <si>
    <t>C:\Users\franc\OneDrive\Documentos\MALENTIN KARIME\BANCO ESTADO\2012 DEPTO ESCRITURAS fata\2012 DEPTO ESCRITURAS\varios\clausula MANDATO.doc</t>
  </si>
  <si>
    <t>C:\Users\franc\OneDrive\Documentos\MALENTIN KARIME\BANCO ESTADO\2012 DEPTO ESCRITURAS fata\2012 DEPTO ESCRITURAS\varios\CIERRE3º BIMESTRE 2011.doc</t>
  </si>
  <si>
    <t>C:\Users\franc\OneDrive\Documentos\MALENTIN KARIME\BANCO ESTADO\2012 DEPTO ESCRITURAS fata\2012 DEPTO ESCRITURAS\varios\CIERRE BIMESTRE 5  2012.doc</t>
  </si>
  <si>
    <t>C:\Users\franc\OneDrive\Documentos\MALENTIN KARIME\BANCO ESTADO\2012 DEPTO ESCRITURAS fata\2012 DEPTO ESCRITURAS\varios\CIERRE BIMESTRE 4  2012.doc</t>
  </si>
  <si>
    <t>C:\Users\franc\OneDrive\Documentos\MALENTIN KARIME\BANCO ESTADO\2012 DEPTO ESCRITURAS fata\2012 DEPTO ESCRITURAS\varios\CIERRE BIMESTRE 2012.doc</t>
  </si>
  <si>
    <t>C:\Users\franc\OneDrive\Documentos\MALENTIN KARIME\BANCO ESTADO\2012 DEPTO ESCRITURAS fata\2012 DEPTO ESCRITURAS\varios\CIERRE BIMESTRE 2011.doc</t>
  </si>
  <si>
    <t>C:\Users\franc\OneDrive\Documentos\MALENTIN KARIME\BANCO ESTADO\2012 DEPTO ESCRITURAS fata\2012 DEPTO ESCRITURAS\varios\CIERRE 5º BIMESTRE 2013.doc</t>
  </si>
  <si>
    <t>C:\Users\franc\OneDrive\Documentos\MALENTIN KARIME\BANCO ESTADO\2012 DEPTO ESCRITURAS fata\2012 DEPTO ESCRITURAS\varios\CIERRE 4º BIMESTRE 2013.doc</t>
  </si>
  <si>
    <t>C:\Users\franc\OneDrive\Documentos\MALENTIN KARIME\BANCO ESTADO\2012 DEPTO ESCRITURAS fata\2012 DEPTO ESCRITURAS\varios\CIERRE 2º BIMESTRE 2013.doc</t>
  </si>
  <si>
    <t>C:\Users\franc\OneDrive\Documentos\MALENTIN KARIME\BANCO ESTADO\2012 DEPTO ESCRITURAS fata\2012 DEPTO ESCRITURAS\varios\CIERRE 2º BIMESTRE 2011.doc</t>
  </si>
  <si>
    <t>C:\Users\franc\OneDrive\Documentos\MALENTIN KARIME\BANCO ESTADO\2012 DEPTO ESCRITURAS fata\2012 DEPTO ESCRITURAS\varios\CIERRE 1º BIMESTRE 2011.doc</t>
  </si>
  <si>
    <t>C:\Users\franc\OneDrive\Documentos\MALENTIN KARIME\BANCO ESTADO\2012 DEPTO ESCRITURAS fata\2012 DEPTO ESCRITURAS\varios\CIERRE 1º 2013.doc</t>
  </si>
  <si>
    <t>C:\Users\franc\OneDrive\Documentos\MALENTIN KARIME\BANCO ESTADO\2012 DEPTO ESCRITURAS fata\2012 DEPTO ESCRITURAS\varios\CERTIF MATRIMONIO SIIOnline.doc</t>
  </si>
  <si>
    <t>C:\Users\franc\OneDrive\Documentos\MALENTIN KARIME\BANCO ESTADO\2012 DEPTO ESCRITURAS fata\2012 DEPTO ESCRITURAS\varios\certif matrimonio registro.doc</t>
  </si>
  <si>
    <t>C:\Users\franc\OneDrive\Documentos\MALENTIN KARIME\BANCO ESTADO\2012 DEPTO ESCRITURAS fata\2012 DEPTO ESCRITURAS\varios\CERT Divorcio.doc</t>
  </si>
  <si>
    <t>C:\Users\franc\OneDrive\Documentos\MALENTIN KARIME\BANCO ESTADO\2012 DEPTO ESCRITURAS fata\2012 DEPTO ESCRITURAS\varios\CARTA visto bueno2.doc</t>
  </si>
  <si>
    <t>C:\Users\franc\OneDrive\Documentos\MALENTIN KARIME\BANCO ESTADO\2012 DEPTO ESCRITURAS fata\2012 DEPTO ESCRITURAS\varios\CARTA visto bueno.doc</t>
  </si>
  <si>
    <t>C:\Users\franc\OneDrive\Documentos\MALENTIN KARIME\BANCO ESTADO\2012 DEPTO ESCRITURAS fata\2012 DEPTO ESCRITURAS\varios\CARTA visto bueno TRIBUNAL.doc</t>
  </si>
  <si>
    <t>C:\Users\franc\OneDrive\Documentos\MALENTIN KARIME\BANCO ESTADO\2012 DEPTO ESCRITURAS fata\2012 DEPTO ESCRITURAS\varios\CARTA visto bueno tesoreria.doc</t>
  </si>
  <si>
    <t>C:\Users\franc\OneDrive\Documentos\MALENTIN KARIME\BANCO ESTADO\2012 DEPTO ESCRITURAS fata\2012 DEPTO ESCRITURAS\varios\CARTA visto bueno BCI.doc</t>
  </si>
  <si>
    <t>C:\Users\franc\OneDrive\Documentos\MALENTIN KARIME\BANCO ESTADO\2012 DEPTO ESCRITURAS fata\2012 DEPTO ESCRITURAS\varios\CARTA SERVIU.doc</t>
  </si>
  <si>
    <t>C:\Users\franc\OneDrive\Documentos\MALENTIN KARIME\BANCO ESTADO\2012 DEPTO ESCRITURAS fata\2012 DEPTO ESCRITURAS\varios\CARTA Serviu pesonal.doc</t>
  </si>
  <si>
    <t>C:\Users\franc\OneDrive\Documentos\MALENTIN KARIME\BANCO ESTADO\2012 DEPTO ESCRITURAS fata\2012 DEPTO ESCRITURAS\varios\CARTA REPERTORIO.doc</t>
  </si>
  <si>
    <t>C:\Users\franc\OneDrive\Documentos\MALENTIN KARIME\BANCO ESTADO\2012 DEPTO ESCRITURAS fata\2012 DEPTO ESCRITURAS\varios\CARTA PRENDA.doc</t>
  </si>
  <si>
    <t>C:\Users\franc\OneDrive\Documentos\MALENTIN KARIME\BANCO ESTADO\2012 DEPTO ESCRITURAS fata\2012 DEPTO ESCRITURAS\varios\CARTA PRENDA corpbanca.doc</t>
  </si>
  <si>
    <t>C:\Users\franc\OneDrive\Documentos\MALENTIN KARIME\BANCO ESTADO\2012 DEPTO ESCRITURAS fata\2012 DEPTO ESCRITURAS\varios\CARTA PODER SII JULIO MONTERO.doc</t>
  </si>
  <si>
    <t>C:\Users\franc\OneDrive\Documentos\MALENTIN KARIME\BANCO ESTADO\2012 DEPTO ESCRITURAS fata\2012 DEPTO ESCRITURAS\varios\CARTA LEASING.doc</t>
  </si>
  <si>
    <t>C:\Users\franc\OneDrive\Documentos\MALENTIN KARIME\BANCO ESTADO\2012 DEPTO ESCRITURAS fata\2012 DEPTO ESCRITURAS\varios\CARTA DGA.doc</t>
  </si>
  <si>
    <t>C:\Users\franc\OneDrive\Documentos\MALENTIN KARIME\BANCO ESTADO\2012 DEPTO ESCRITURAS fata\2012 DEPTO ESCRITURAS\varios\CARTA Coopeuch.doc</t>
  </si>
  <si>
    <t>C:\Users\franc\OneDrive\Documentos\MALENTIN KARIME\BANCO ESTADO\2012 DEPTO ESCRITURAS fata\2012 DEPTO ESCRITURAS\varios\CARTA BANCOESTADO.doc</t>
  </si>
  <si>
    <t>C:\Users\franc\OneDrive\Documentos\MALENTIN KARIME\BANCO ESTADO\2012 DEPTO ESCRITURAS fata\2012 DEPTO ESCRITURAS\varios\CARTA ALZAMIENTO.doc</t>
  </si>
  <si>
    <t>C:\Users\franc\OneDrive\Documentos\MALENTIN KARIME\BANCO ESTADO\2012 DEPTO ESCRITURAS fata\2012 DEPTO ESCRITURAS\varios\CARTA ALZAMIENTO remate.doc</t>
  </si>
  <si>
    <t>C:\Users\franc\OneDrive\Documentos\MALENTIN KARIME\BANCO ESTADO\2012 DEPTO ESCRITURAS fata\2012 DEPTO ESCRITURAS\varios\CARTA ALZAMIENTO María Aguilera Castillo.doc</t>
  </si>
  <si>
    <t>C:\Users\franc\OneDrive\Documentos\MALENTIN KARIME\BANCO ESTADO\2012 DEPTO ESCRITURAS fata\2012 DEPTO ESCRITURAS\varios\CARTA ALZAMIENTO Armando Carvajal.doc</t>
  </si>
  <si>
    <t>C:\Users\franc\OneDrive\Documentos\MALENTIN KARIME\BANCO ESTADO\2012 DEPTO ESCRITURAS fata\2012 DEPTO ESCRITURAS\varios\CARTA ALZAMIENTO 3.doc</t>
  </si>
  <si>
    <t>C:\Users\franc\OneDrive\Documentos\MALENTIN KARIME\BANCO ESTADO\2012 DEPTO ESCRITURAS fata\2012 DEPTO ESCRITURAS\varios\CARTA ALZAMIENTO 2.doc</t>
  </si>
  <si>
    <t>C:\Users\franc\OneDrive\Documentos\MALENTIN KARIME\BANCO ESTADO\2012 DEPTO ESCRITURAS fata\2012 DEPTO ESCRITURAS\varios\C.VENTA PATENTE.doc</t>
  </si>
  <si>
    <t>C:\Users\franc\OneDrive\Documentos\MALENTIN KARIME\BANCO ESTADO\2012 DEPTO ESCRITURAS fata\2012 DEPTO ESCRITURAS\varios\Autorizo la firma en Letras Cambio.doc</t>
  </si>
  <si>
    <t>C:\Users\franc\OneDrive\Documentos\MALENTIN KARIME\BANCO ESTADO\2012 DEPTO ESCRITURAS fata\2012 DEPTO ESCRITURAS\varios\Autorizo la firma DE PAGARE.doc</t>
  </si>
  <si>
    <t>C:\Users\franc\OneDrive\Documentos\MALENTIN KARIME\BANCO ESTADO\2012 DEPTO ESCRITURAS fata\2012 DEPTO ESCRITURAS\varios\Autorizo la firma de doña Carmen Luisa Videla Tello.doc</t>
  </si>
  <si>
    <t>C:\Users\franc\OneDrive\Documentos\MALENTIN KARIME\BANCO ESTADO\2012 DEPTO ESCRITURAS fata\2012 DEPTO ESCRITURAS\varios\Autorizo la firma de don MARIO EDUARDO BARRIOS BARRAZA.doc</t>
  </si>
  <si>
    <t>C:\Users\franc\OneDrive\Documentos\MALENTIN KARIME\BANCO ESTADO\2012 DEPTO ESCRITURAS fata\2012 DEPTO ESCRITURAS\varios\Autorizo la firma de don MARIO ALEJANDRO BARRIOS ROJAS.doc</t>
  </si>
  <si>
    <t>C:\Users\franc\OneDrive\Documentos\MALENTIN KARIME\BANCO ESTADO\2012 DEPTO ESCRITURAS fata\2012 DEPTO ESCRITURAS\varios\Autorizo la firma de don JUAN CLAUDIO LAGUNAS FLORES.doc</t>
  </si>
  <si>
    <t>C:\Users\franc\OneDrive\Documentos\MALENTIN KARIME\BANCO ESTADO\2012 DEPTO ESCRITURAS fata\2012 DEPTO ESCRITURAS\varios\Autorizo la firma de don CAMAL ANTONIO MUSALEM TAPIA.doc</t>
  </si>
  <si>
    <t>C:\Users\franc\OneDrive\Documentos\MALENTIN KARIME\BANCO ESTADO\2012 DEPTO ESCRITURAS fata\2012 DEPTO ESCRITURAS\varios\AUTORIZACION.doc</t>
  </si>
  <si>
    <t>C:\Users\franc\OneDrive\Documentos\MALENTIN KARIME\BANCO ESTADO\2012 DEPTO ESCRITURAS fata\2012 DEPTO ESCRITURAS\varios\AUTORIZACION ESCRITRUAS horizontal.doc</t>
  </si>
  <si>
    <t>C:\Users\franc\OneDrive\Documentos\MALENTIN KARIME\BANCO ESTADO\2012 DEPTO ESCRITURAS fata\2012 DEPTO ESCRITURAS\varios\AUTORIZACION ESCRITRUAS CON VIGENCIA.doc</t>
  </si>
  <si>
    <t>C:\Users\franc\OneDrive\Documentos\MALENTIN KARIME\BANCO ESTADO\2012 DEPTO ESCRITURAS fata\2012 DEPTO ESCRITURAS\varios\AUTORIZACION ESCRITRUAS CON VIGENCIA horizontal.doc</t>
  </si>
  <si>
    <t>C:\Users\franc\OneDrive\Documentos\MALENTIN KARIME\BANCO ESTADO\2012 DEPTO ESCRITURAS fata\2012 DEPTO ESCRITURAS\varios\ASGREGA IMPUESTO F-24.doc</t>
  </si>
  <si>
    <t>C:\Users\franc\OneDrive\Documentos\MALENTIN KARIME\BANCO ESTADO\2012 DEPTO ESCRITURAS fata\2012 DEPTO ESCRITURAS\varios\ASGREGA IMPUESTO F-23.doc</t>
  </si>
  <si>
    <t>C:\Users\franc\OneDrive\Documentos\MALENTIN KARIME\BANCO ESTADO\2012 DEPTO ESCRITURAS fata\2012 DEPTO ESCRITURAS\varios\APERTURA BIMESTRE.doc</t>
  </si>
  <si>
    <t>C:\Users\franc\OneDrive\Documentos\MALENTIN KARIME\BANCO ESTADO\2012 DEPTO ESCRITURAS fata\2012 DEPTO ESCRITURAS\varios\ANTONIO GALAZ A MIRZA ARAYA.doc</t>
  </si>
  <si>
    <t>C:\Users\franc\OneDrive\Documentos\MALENTIN KARIME\BANCO ESTADO\2012 DEPTO ESCRITURAS fata\2012 DEPTO ESCRITURAS\varios\AGREGA IMPUESTO.doc</t>
  </si>
  <si>
    <t>C:\Users\franc\OneDrive\Documentos\MALENTIN KARIME\BANCO ESTADO\2012 DEPTO ESCRITURAS fata\2012 DEPTO ESCRITURAS\varios\AGREGA IMPUESTO y F30.doc</t>
  </si>
  <si>
    <t>C:\Users\franc\OneDrive\Documentos\MALENTIN KARIME\BANCO ESTADO\2012 DEPTO ESCRITURAS fata\2012 DEPTO ESCRITURAS\varios\ACTA VISITA 6º BIMESTRE 2011.doc</t>
  </si>
  <si>
    <t>C:\Users\franc\OneDrive\Documentos\MALENTIN KARIME\BANCO ESTADO\2012 DEPTO ESCRITURAS fata\2012 DEPTO ESCRITURAS\varios\ACTA VISITA 2º BIMESTRE 2012.doc</t>
  </si>
  <si>
    <t>C:\Users\franc\OneDrive\Documentos\MALENTIN KARIME\BANCO ESTADO\2012 DEPTO ESCRITURAS fata\2012 DEPTO ESCRITURAS\varios\ACTA VISITA 1º BIMESTRE 2012.doc</t>
  </si>
  <si>
    <t>C:\Users\franc\OneDrive\Documentos\MALENTIN KARIME\BANCO ESTADO\2012 DEPTO ESCRITURAS fata\2012 DEPTO ESCRITURAS\varios\ACTA  DE ENTREGA.doc</t>
  </si>
  <si>
    <t>C:\Users\franc\OneDrive\Documentos\MALENTIN KARIME\BANCO ESTADO\2012 DEPTO ESCRITURAS fata\2012 DEPTO ESCRITURAS\USUFRUCTO\TOMAS ELGUETA A LAURA ELGUETA Renuncia.doc</t>
  </si>
  <si>
    <t>C:\Users\franc\OneDrive\Documentos\MALENTIN KARIME\BANCO ESTADO\2012 DEPTO ESCRITURAS fata\2012 DEPTO ESCRITURAS\USUFRUCTO\RAMONA ROJAS PASTEN A ISRAEL VALDIVIA.doc</t>
  </si>
  <si>
    <t>C:\Users\franc\OneDrive\Documentos\MALENTIN KARIME\BANCO ESTADO\2012 DEPTO ESCRITURAS fata\2012 DEPTO ESCRITURAS\USUFRUCTO\PEDRO CORTES ROBLES.doc</t>
  </si>
  <si>
    <t>C:\Users\franc\OneDrive\Documentos\MALENTIN KARIME\BANCO ESTADO\2012 DEPTO ESCRITURAS fata\2012 DEPTO ESCRITURAS\USUFRUCTO\LUZ OLIVARES Renuncia.doc</t>
  </si>
  <si>
    <t>C:\Users\franc\OneDrive\Documentos\MALENTIN KARIME\BANCO ESTADO\2012 DEPTO ESCRITURAS fata\2012 DEPTO ESCRITURAS\USUFRUCTO\JUANA LOPEZ ARAYA Resciliacion y renuncia.doc</t>
  </si>
  <si>
    <t>C:\Users\franc\OneDrive\Documentos\MALENTIN KARIME\BANCO ESTADO\2012 DEPTO ESCRITURAS fata\2012 DEPTO ESCRITURAS\USUFRUCTO\JAVIER CORTES AVILES.doc</t>
  </si>
  <si>
    <t>C:\Users\franc\OneDrive\Documentos\MALENTIN KARIME\BANCO ESTADO\2012 DEPTO ESCRITURAS fata\2012 DEPTO ESCRITURAS\USUFRUCTO\IVAN CASTILLO Resciliacion y renuncia.doc</t>
  </si>
  <si>
    <t>C:\Users\franc\OneDrive\Documentos\MALENTIN KARIME\BANCO ESTADO\2012 DEPTO ESCRITURAS fata\2012 DEPTO ESCRITURAS\USUFRUCTO\HUGO GUILLERMO ARAYA LARRAIN.doc</t>
  </si>
  <si>
    <t>C:\Users\franc\OneDrive\Documentos\MALENTIN KARIME\BANCO ESTADO\2012 DEPTO ESCRITURAS fata\2012 DEPTO ESCRITURAS\USUFRUCTO\HECTOR ESPINOSA Y ALBERTO ESPINOSA.doc</t>
  </si>
  <si>
    <t>C:\Users\franc\OneDrive\Documentos\MALENTIN KARIME\BANCO ESTADO\2012 DEPTO ESCRITURAS fata\2012 DEPTO ESCRITURAS\USUFRUCTO\EDUARDO ZEPEDA PEREZ Usufructo.doc</t>
  </si>
  <si>
    <t>C:\Users\franc\OneDrive\Documentos\MALENTIN KARIME\BANCO ESTADO\2012 DEPTO ESCRITURAS fata\2012 DEPTO ESCRITURAS\USUFRUCTO\EDUARDO ZEPEDA A CLARA BARRAZA Minuta.doc</t>
  </si>
  <si>
    <t>C:\Users\franc\OneDrive\Documentos\MALENTIN KARIME\BANCO ESTADO\2012 DEPTO ESCRITURAS fata\2012 DEPTO ESCRITURAS\USUFRUCTO\CLAUDIO CORTES AVILES.doc</t>
  </si>
  <si>
    <t>C:\Users\franc\OneDrive\Documentos\MALENTIN KARIME\BANCO ESTADO\2012 DEPTO ESCRITURAS fata\2012 DEPTO ESCRITURAS\USUFRUCTO\ANA MARIA CERVA CORTES Renunc. Usufructo.doc</t>
  </si>
  <si>
    <t>C:\Users\franc\OneDrive\Documentos\MALENTIN KARIME\BANCO ESTADO\2012 DEPTO ESCRITURAS fata\2012 DEPTO ESCRITURAS\TRANSACCION\modelo transaccion.doc</t>
  </si>
  <si>
    <t>C:\Users\franc\OneDrive\Documentos\MALENTIN KARIME\BANCO ESTADO\2012 DEPTO ESCRITURAS fata\2012 DEPTO ESCRITURAS\TRANSACCION\LUIS RIVERA A PEDRO GALLARDO.doc</t>
  </si>
  <si>
    <t>C:\Users\franc\OneDrive\Documentos\MALENTIN KARIME\BANCO ESTADO\2012 DEPTO ESCRITURAS fata\2012 DEPTO ESCRITURAS\TRANSACCION\HECTOR CASTILLO A PEDRO GALLARDO.doc</t>
  </si>
  <si>
    <t>C:\Users\franc\OneDrive\Documentos\MALENTIN KARIME\BANCO ESTADO\2012 DEPTO ESCRITURAS fata\2012 DEPTO ESCRITURAS\TRANSACCION\CEGECAP.doc</t>
  </si>
  <si>
    <t>C:\Users\franc\OneDrive\Documentos\MALENTIN KARIME\BANCO ESTADO\2012 DEPTO ESCRITURAS fata\2012 DEPTO ESCRITURAS\TESTAMENTO\INFORME Testamentos\Formulario para Testamentos[2].doc</t>
  </si>
  <si>
    <t>C:\Users\franc\OneDrive\Documentos\MALENTIN KARIME\BANCO ESTADO\2012 DEPTO ESCRITURAS fata\2012 DEPTO ESCRITURAS\TESTAMENTO\INFORME Testamentos\Formulario para Testamentos[1].doc</t>
  </si>
  <si>
    <t>C:\Users\franc\OneDrive\Documentos\MALENTIN KARIME\BANCO ESTADO\2012 DEPTO ESCRITURAS fata\2012 DEPTO ESCRITURAS\TESTAMENTO\INFORME Testamentos\Formulario para Testamentos con testadores.doc</t>
  </si>
  <si>
    <t>C:\Users\franc\OneDrive\Documentos\MALENTIN KARIME\BANCO ESTADO\2012 DEPTO ESCRITURAS fata\2012 DEPTO ESCRITURAS\TESTAMENTO\INFORME Testamentos\Formulario para Testamentos con testadores MAYO.doc</t>
  </si>
  <si>
    <t>C:\Users\franc\OneDrive\Documentos\MALENTIN KARIME\BANCO ESTADO\2012 DEPTO ESCRITURAS fata\2012 DEPTO ESCRITURAS\TESTAMENTO\INFORME Testamentos\Formulario para Testamentos con testadores FEBRERO.doc</t>
  </si>
  <si>
    <t>C:\Users\franc\OneDrive\Documentos\MALENTIN KARIME\BANCO ESTADO\2012 DEPTO ESCRITURAS fata\2012 DEPTO ESCRITURAS\TESTAMENTO\ROJELIO DELGADO DELGADO.doc</t>
  </si>
  <si>
    <t>C:\Users\franc\OneDrive\Documentos\MALENTIN KARIME\BANCO ESTADO\2012 DEPTO ESCRITURAS fata\2012 DEPTO ESCRITURAS\TESTAMENTO\MARIA ALVARADO CARVAJAL.doc</t>
  </si>
  <si>
    <t>C:\Users\franc\OneDrive\Documentos\MALENTIN KARIME\BANCO ESTADO\2012 DEPTO ESCRITURAS fata\2012 DEPTO ESCRITURAS\TESTAMENTO\ELSA BUGUEÑO EGAÑA Ratifica.doc</t>
  </si>
  <si>
    <t>C:\Users\franc\OneDrive\Documentos\MALENTIN KARIME\BANCO ESTADO\2012 DEPTO ESCRITURAS fata\2012 DEPTO ESCRITURAS\TELEFONICA\JUAN VILLARROEL LOPEZ.doc</t>
  </si>
  <si>
    <t>C:\Users\franc\OneDrive\Documentos\MALENTIN KARIME\BANCO ESTADO\2012 DEPTO ESCRITURAS fata\2012 DEPTO ESCRITURAS\TELEFONICA\JUAN VILLARROEL LOPEZ nueva.doc</t>
  </si>
  <si>
    <t>C:\Users\franc\OneDrive\Documentos\MALENTIN KARIME\BANCO ESTADO\2012 DEPTO ESCRITURAS fata\2012 DEPTO ESCRITURAS\TELEFONICA\CONSTITUCION DE LA SOCIEDAD Scaneado.doc</t>
  </si>
  <si>
    <t>C:\Users\franc\OneDrive\Documentos\MALENTIN KARIME\BANCO ESTADO\2012 DEPTO ESCRITURAS fata\2012 DEPTO ESCRITURAS\TELEFONICA\COMUNIDAD AGRICOLA HUANA.doc</t>
  </si>
  <si>
    <t>C:\Users\franc\OneDrive\Documentos\MALENTIN KARIME\BANCO ESTADO\2012 DEPTO ESCRITURAS fata\2012 DEPTO ESCRITURAS\TELEFONICA\COMUNIDAD AGRICOLA HUANA abogado.doc</t>
  </si>
  <si>
    <t>C:\Users\franc\OneDrive\Documentos\MALENTIN KARIME\BANCO ESTADO\2012 DEPTO ESCRITURAS fata\2012 DEPTO ESCRITURAS\TANIA PEÑAILILLO\TERESA ARAYA A TANYA PEÑA Minuta}.doc</t>
  </si>
  <si>
    <t>C:\Users\franc\OneDrive\Documentos\MALENTIN KARIME\BANCO ESTADO\2012 DEPTO ESCRITURAS fata\2012 DEPTO ESCRITURAS\TANIA PEÑAILILLO\Roman Contreras a Nilda Ledezma.doc</t>
  </si>
  <si>
    <t>C:\Users\franc\OneDrive\Documentos\MALENTIN KARIME\BANCO ESTADO\2012 DEPTO ESCRITURAS fata\2012 DEPTO ESCRITURAS\SOCIEDADES\WILSON IRRIBARRA Y OTRO (Instrumento Privado).doc</t>
  </si>
  <si>
    <t>C:\Users\franc\OneDrive\Documentos\MALENTIN KARIME\BANCO ESTADO\2012 DEPTO ESCRITURAS fata\2012 DEPTO ESCRITURAS\SOCIEDADES\UMBRALES LTDA..doc</t>
  </si>
  <si>
    <t>C:\Users\franc\OneDrive\Documentos\MALENTIN KARIME\BANCO ESTADO\2012 DEPTO ESCRITURAS fata\2012 DEPTO ESCRITURAS\SOCIEDADES\TRAUMADENT Saneamiento.doc</t>
  </si>
  <si>
    <t>C:\Users\franc\OneDrive\Documentos\MALENTIN KARIME\BANCO ESTADO\2012 DEPTO ESCRITURAS fata\2012 DEPTO ESCRITURAS\SOCIEDADES\TRANSPORTES AROS LTDA..doc</t>
  </si>
  <si>
    <t>C:\Users\franc\OneDrive\Documentos\MALENTIN KARIME\BANCO ESTADO\2012 DEPTO ESCRITURAS fata\2012 DEPTO ESCRITURAS\SOCIEDADES\TRANSPORTES ARAYA Y ROJAS C.Ardiles.doc</t>
  </si>
  <si>
    <t>C:\Users\franc\OneDrive\Documentos\MALENTIN KARIME\BANCO ESTADO\2012 DEPTO ESCRITURAS fata\2012 DEPTO ESCRITURAS\SOCIEDADES\SOCIEDAD EDUC MATICES  Extracto.doc</t>
  </si>
  <si>
    <t>C:\Users\franc\OneDrive\Documentos\MALENTIN KARIME\BANCO ESTADO\2012 DEPTO ESCRITURAS fata\2012 DEPTO ESCRITURAS\SOCIEDADES\SOCIEDAD EDUC MATICES  Extracto DE ADOLFO LAY.doc</t>
  </si>
  <si>
    <t>C:\Users\franc\OneDrive\Documentos\MALENTIN KARIME\BANCO ESTADO\2012 DEPTO ESCRITURAS fata\2012 DEPTO ESCRITURAS\SOCIEDADES\SOCIEDAD AWA Y CIA..doc</t>
  </si>
  <si>
    <t>C:\Users\franc\OneDrive\Documentos\MALENTIN KARIME\BANCO ESTADO\2012 DEPTO ESCRITURAS fata\2012 DEPTO ESCRITURAS\SOCIEDADES\SOCIEDAD AWA Y CIA. Extracto.doc</t>
  </si>
  <si>
    <t>C:\Users\franc\OneDrive\Documentos\MALENTIN KARIME\BANCO ESTADO\2012 DEPTO ESCRITURAS fata\2012 DEPTO ESCRITURAS\SOCIEDADES\SOCIEDAD AGRICOLA OLE LTDA..doc</t>
  </si>
  <si>
    <t>C:\Users\franc\OneDrive\Documentos\MALENTIN KARIME\BANCO ESTADO\2012 DEPTO ESCRITURAS fata\2012 DEPTO ESCRITURAS\SOCIEDADES\SOC EDUCACIONAL MATICES LTDA, Modific Adolfo Lay.doc</t>
  </si>
  <si>
    <t>C:\Users\franc\OneDrive\Documentos\MALENTIN KARIME\BANCO ESTADO\2012 DEPTO ESCRITURAS fata\2012 DEPTO ESCRITURAS\SOCIEDADES\SOC DE TRANSPORTES E INV JUAN PARRA LTDA.Extracto.doc</t>
  </si>
  <si>
    <t>C:\Users\franc\OneDrive\Documentos\MALENTIN KARIME\BANCO ESTADO\2012 DEPTO ESCRITURAS fata\2012 DEPTO ESCRITURAS\SOCIEDADES\SICOVAL LTDA Hernán Perez.doc</t>
  </si>
  <si>
    <t>C:\Users\franc\OneDrive\Documentos\MALENTIN KARIME\BANCO ESTADO\2012 DEPTO ESCRITURAS fata\2012 DEPTO ESCRITURAS\SOCIEDADES\SALUD INTEGRALLIMITADA.doc</t>
  </si>
  <si>
    <t>C:\Users\franc\OneDrive\Documentos\MALENTIN KARIME\BANCO ESTADO\2012 DEPTO ESCRITURAS fata\2012 DEPTO ESCRITURAS\SOCIEDADES\SALUD INTEGRAL Extracto.doc</t>
  </si>
  <si>
    <t>C:\Users\franc\OneDrive\Documentos\MALENTIN KARIME\BANCO ESTADO\2012 DEPTO ESCRITURAS fata\2012 DEPTO ESCRITURAS\SOCIEDADES\RIO GRANDE  Extracto.doc</t>
  </si>
  <si>
    <t>C:\Users\franc\OneDrive\Documentos\MALENTIN KARIME\BANCO ESTADO\2012 DEPTO ESCRITURAS fata\2012 DEPTO ESCRITURAS\SOCIEDADES\RICARDO PIZARRO Y OTROS (Instrumento Privado).doc</t>
  </si>
  <si>
    <t>C:\Users\franc\OneDrive\Documentos\MALENTIN KARIME\BANCO ESTADO\2012 DEPTO ESCRITURAS fata\2012 DEPTO ESCRITURAS\SOCIEDADES\PARRA CARVAJAL LTDA Saneamiento.doc</t>
  </si>
  <si>
    <t>C:\Users\franc\OneDrive\Documentos\MALENTIN KARIME\BANCO ESTADO\2012 DEPTO ESCRITURAS fata\2012 DEPTO ESCRITURAS\SOCIEDADES\PAMELA COFRE E ISAURO AGUILERA.doc</t>
  </si>
  <si>
    <t>C:\Users\franc\OneDrive\Documentos\MALENTIN KARIME\BANCO ESTADO\2012 DEPTO ESCRITURAS fata\2012 DEPTO ESCRITURAS\SOCIEDADES\OSCAR JOFRE Saneamiento.doc</t>
  </si>
  <si>
    <t>C:\Users\franc\OneDrive\Documentos\MALENTIN KARIME\BANCO ESTADO\2012 DEPTO ESCRITURAS fata\2012 DEPTO ESCRITURAS\SOCIEDADES\OSCAR JOFRE Extracto.doc</t>
  </si>
  <si>
    <t>C:\Users\franc\OneDrive\Documentos\MALENTIN KARIME\BANCO ESTADO\2012 DEPTO ESCRITURAS fata\2012 DEPTO ESCRITURAS\SOCIEDADES\NANCY JULIO.doc</t>
  </si>
  <si>
    <t>C:\Users\franc\OneDrive\Documentos\MALENTIN KARIME\BANCO ESTADO\2012 DEPTO ESCRITURAS fata\2012 DEPTO ESCRITURAS\SOCIEDADES\MINERA JUAN ALONSO SCM.doc</t>
  </si>
  <si>
    <t>C:\Users\franc\OneDrive\Documentos\MALENTIN KARIME\BANCO ESTADO\2012 DEPTO ESCRITURAS fata\2012 DEPTO ESCRITURAS\SOCIEDADES\MINERA ANA KAMILA SCM.doc</t>
  </si>
  <si>
    <t>C:\Users\franc\OneDrive\Documentos\MALENTIN KARIME\BANCO ESTADO\2012 DEPTO ESCRITURAS fata\2012 DEPTO ESCRITURAS\SOCIEDADES\MINERA ANA KAMILA SCM para extracto.doc</t>
  </si>
  <si>
    <t>C:\Users\franc\OneDrive\Documentos\MALENTIN KARIME\BANCO ESTADO\2012 DEPTO ESCRITURAS fata\2012 DEPTO ESCRITURAS\SOCIEDADES\MINERA ANA KAMILA SCM Extracto.doc</t>
  </si>
  <si>
    <t>C:\Users\franc\OneDrive\Documentos\MALENTIN KARIME\BANCO ESTADO\2012 DEPTO ESCRITURAS fata\2012 DEPTO ESCRITURAS\SOCIEDADES\LAS PIRCAS Dic. 2013.doc</t>
  </si>
  <si>
    <t>C:\Users\franc\OneDrive\Documentos\MALENTIN KARIME\BANCO ESTADO\2012 DEPTO ESCRITURAS fata\2012 DEPTO ESCRITURAS\SOCIEDADES\JAIME CAMPOSANO Extracto.doc</t>
  </si>
  <si>
    <t>C:\Users\franc\OneDrive\Documentos\MALENTIN KARIME\BANCO ESTADO\2012 DEPTO ESCRITURAS fata\2012 DEPTO ESCRITURAS\SOCIEDADES\INVERSIONES PARRA LTDA Extracto.doc</t>
  </si>
  <si>
    <t>C:\Users\franc\OneDrive\Documentos\MALENTIN KARIME\BANCO ESTADO\2012 DEPTO ESCRITURAS fata\2012 DEPTO ESCRITURAS\SOCIEDADES\INSTRUCCIONES.doc</t>
  </si>
  <si>
    <t>C:\Users\franc\OneDrive\Documentos\MALENTIN KARIME\BANCO ESTADO\2012 DEPTO ESCRITURAS fata\2012 DEPTO ESCRITURAS\SOCIEDADES\Inmobiliaria El Sauce Ltda.doc</t>
  </si>
  <si>
    <t>C:\Users\franc\OneDrive\Documentos\MALENTIN KARIME\BANCO ESTADO\2012 DEPTO ESCRITURAS fata\2012 DEPTO ESCRITURAS\SOCIEDADES\HERMANOS PEÑARANCIBIA LIMITADA Minuta de  Tania.doc</t>
  </si>
  <si>
    <t>C:\Users\franc\OneDrive\Documentos\MALENTIN KARIME\BANCO ESTADO\2012 DEPTO ESCRITURAS fata\2012 DEPTO ESCRITURAS\SOCIEDADES\HERMANOS PEÑARANCIBIA LIMITADA Escritura.doc</t>
  </si>
  <si>
    <t>C:\Users\franc\OneDrive\Documentos\MALENTIN KARIME\BANCO ESTADO\2012 DEPTO ESCRITURAS fata\2012 DEPTO ESCRITURAS\SOCIEDADES\GUILLERMO GUERRERO E.I.R.L. Modific..doc</t>
  </si>
  <si>
    <t>C:\Users\franc\OneDrive\Documentos\MALENTIN KARIME\BANCO ESTADO\2012 DEPTO ESCRITURAS fata\2012 DEPTO ESCRITURAS\SOCIEDADES\GUILLERMO GUERRERO E.I.R.L. Extracto.doc</t>
  </si>
  <si>
    <t>C:\Users\franc\OneDrive\Documentos\MALENTIN KARIME\BANCO ESTADO\2012 DEPTO ESCRITURAS fata\2012 DEPTO ESCRITURAS\SOCIEDADES\Extracto Umbrales.doc</t>
  </si>
  <si>
    <t>C:\Users\franc\OneDrive\Documentos\MALENTIN KARIME\BANCO ESTADO\2012 DEPTO ESCRITURAS fata\2012 DEPTO ESCRITURAS\SOCIEDADES\Extracto TRAUMADENT.doc</t>
  </si>
  <si>
    <t>C:\Users\franc\OneDrive\Documentos\MALENTIN KARIME\BANCO ESTADO\2012 DEPTO ESCRITURAS fata\2012 DEPTO ESCRITURAS\SOCIEDADES\Extracto TRANSPORTES RIO CLARO Recti.doc</t>
  </si>
  <si>
    <t>C:\Users\franc\OneDrive\Documentos\MALENTIN KARIME\BANCO ESTADO\2012 DEPTO ESCRITURAS fata\2012 DEPTO ESCRITURAS\SOCIEDADES\Extracto TRANSPORTES RIO CLARO Recti VERSION DOS.doc</t>
  </si>
  <si>
    <t>C:\Users\franc\OneDrive\Documentos\MALENTIN KARIME\BANCO ESTADO\2012 DEPTO ESCRITURAS fata\2012 DEPTO ESCRITURAS\SOCIEDADES\Extracto Sociedad Dra. Romina Villalobos.doc</t>
  </si>
  <si>
    <t>C:\Users\franc\OneDrive\Documentos\MALENTIN KARIME\BANCO ESTADO\2012 DEPTO ESCRITURAS fata\2012 DEPTO ESCRITURAS\SOCIEDADES\Extracto Soc Agricola San Francisco Ltda(1).doc</t>
  </si>
  <si>
    <t>C:\Users\franc\OneDrive\Documentos\MALENTIN KARIME\BANCO ESTADO\2012 DEPTO ESCRITURAS fata\2012 DEPTO ESCRITURAS\SOCIEDADES\Extracto SICOVAL.doc</t>
  </si>
  <si>
    <t>C:\Users\franc\OneDrive\Documentos\MALENTIN KARIME\BANCO ESTADO\2012 DEPTO ESCRITURAS fata\2012 DEPTO ESCRITURAS\SOCIEDADES\extracto San Fabian LTDA.doc</t>
  </si>
  <si>
    <t>C:\Users\franc\OneDrive\Documentos\MALENTIN KARIME\BANCO ESTADO\2012 DEPTO ESCRITURAS fata\2012 DEPTO ESCRITURAS\SOCIEDADES\EXTRACTO Nancy Julio EIRL.doc</t>
  </si>
  <si>
    <t>C:\Users\franc\OneDrive\Documentos\MALENTIN KARIME\BANCO ESTADO\2012 DEPTO ESCRITURAS fata\2012 DEPTO ESCRITURAS\SOCIEDADES\extracto INMOBILIARIA JUAN PORTILLA.doc</t>
  </si>
  <si>
    <t>C:\Users\franc\OneDrive\Documentos\MALENTIN KARIME\BANCO ESTADO\2012 DEPTO ESCRITURAS fata\2012 DEPTO ESCRITURAS\SOCIEDADES\EXTRACTO ESCRITURA DE SOCIEDAD DE RESPONSABILIDAD LIMITADA humeres porcile.doc</t>
  </si>
  <si>
    <t>C:\Users\franc\OneDrive\Documentos\MALENTIN KARIME\BANCO ESTADO\2012 DEPTO ESCRITURAS fata\2012 DEPTO ESCRITURAS\SOCIEDADES\Extracto ADOCAT.doc</t>
  </si>
  <si>
    <t>C:\Users\franc\OneDrive\Documentos\MALENTIN KARIME\BANCO ESTADO\2012 DEPTO ESCRITURAS fata\2012 DEPTO ESCRITURAS\SOCIEDADES\EXTRACTO  Inmob Los Sauces  Ltda.doc</t>
  </si>
  <si>
    <t>C:\Users\franc\OneDrive\Documentos\MALENTIN KARIME\BANCO ESTADO\2012 DEPTO ESCRITURAS fata\2012 DEPTO ESCRITURAS\SOCIEDADES\Escritura_Sicoval ltda.doc</t>
  </si>
  <si>
    <t>C:\Users\franc\OneDrive\Documentos\MALENTIN KARIME\BANCO ESTADO\2012 DEPTO ESCRITURAS fata\2012 DEPTO ESCRITURAS\SOCIEDADES\CONSTRUCCIONES SIERRA Y TORRES.doc</t>
  </si>
  <si>
    <t>C:\Users\franc\OneDrive\Documentos\MALENTIN KARIME\BANCO ESTADO\2012 DEPTO ESCRITURAS fata\2012 DEPTO ESCRITURAS\SOCIEDADES\CONSTRUCCIONES SIERRA Y TORRES Extracto.doc</t>
  </si>
  <si>
    <t>C:\Users\franc\OneDrive\Documentos\MALENTIN KARIME\BANCO ESTADO\2012 DEPTO ESCRITURAS fata\2012 DEPTO ESCRITURAS\SOCIEDADES\CONFERR Extracto.doc</t>
  </si>
  <si>
    <t>C:\Users\franc\OneDrive\Documentos\MALENTIN KARIME\BANCO ESTADO\2012 DEPTO ESCRITURAS fata\2012 DEPTO ESCRITURAS\SOCIEDADES\CONFERR  Modificaicion.doc</t>
  </si>
  <si>
    <t>C:\Users\franc\OneDrive\Documentos\MALENTIN KARIME\BANCO ESTADO\2012 DEPTO ESCRITURAS fata\2012 DEPTO ESCRITURAS\SOCIEDADES\COMERCIALIZADORA SAN FABIAN.doc</t>
  </si>
  <si>
    <t>C:\Users\franc\OneDrive\Documentos\MALENTIN KARIME\BANCO ESTADO\2012 DEPTO ESCRITURAS fata\2012 DEPTO ESCRITURAS\SOCIEDADES\COMERCIALIZADORA SAN FABIAN LTDA.doc</t>
  </si>
  <si>
    <t>C:\Users\franc\OneDrive\Documentos\MALENTIN KARIME\BANCO ESTADO\2012 DEPTO ESCRITURAS fata\2012 DEPTO ESCRITURAS\SOCIEDADES\COMERCIAL DOS MIL UNO.doc</t>
  </si>
  <si>
    <t>C:\Users\franc\OneDrive\Documentos\MALENTIN KARIME\BANCO ESTADO\2012 DEPTO ESCRITURAS fata\2012 DEPTO ESCRITURAS\SOCIEDADES\COLEGIO SALI HOCHSCHILD LTDA.doc</t>
  </si>
  <si>
    <t>C:\Users\franc\OneDrive\Documentos\MALENTIN KARIME\BANCO ESTADO\2012 DEPTO ESCRITURAS fata\2012 DEPTO ESCRITURAS\SOCIEDADES\COFMED PRESTACIONS MEDICAS Extracto.doc</t>
  </si>
  <si>
    <t>C:\Users\franc\OneDrive\Documentos\MALENTIN KARIME\BANCO ESTADO\2012 DEPTO ESCRITURAS fata\2012 DEPTO ESCRITURAS\SOCIEDADES\CENTRO DE CAPACITACION RIO GRANDE LTDA. Rectificacion.doc</t>
  </si>
  <si>
    <t>C:\Users\franc\OneDrive\Documentos\MALENTIN KARIME\BANCO ESTADO\2012 DEPTO ESCRITURAS fata\2012 DEPTO ESCRITURAS\SOCIEDADES\CATRUMI LTDA..doc</t>
  </si>
  <si>
    <t>C:\Users\franc\OneDrive\Documentos\MALENTIN KARIME\BANCO ESTADO\2012 DEPTO ESCRITURAS fata\2012 DEPTO ESCRITURAS\SOCIEDADES\Buenaventura ltda.-1.doc</t>
  </si>
  <si>
    <t>C:\Users\franc\OneDrive\Documentos\MALENTIN KARIME\BANCO ESTADO\2012 DEPTO ESCRITURAS fata\2012 DEPTO ESCRITURAS\SOCIEDADES\ASESORIAS E INVERSIONES CERRO BLANCO.doc</t>
  </si>
  <si>
    <t>C:\Users\franc\OneDrive\Documentos\MALENTIN KARIME\BANCO ESTADO\2012 DEPTO ESCRITURAS fata\2012 DEPTO ESCRITURAS\SOCIEDADES\ASESORIAS E INVERSIONES CERRO BLANCO 2.doc</t>
  </si>
  <si>
    <t>C:\Users\franc\OneDrive\Documentos\MALENTIN KARIME\BANCO ESTADO\2012 DEPTO ESCRITURAS fata\2012 DEPTO ESCRITURAS\SOCIEDADES\ARBUG LTDA..doc</t>
  </si>
  <si>
    <t>C:\Users\franc\OneDrive\Documentos\MALENTIN KARIME\BANCO ESTADO\2012 DEPTO ESCRITURAS fata\2012 DEPTO ESCRITURAS\SOCIEDADES\ALPACAS URANIA SpA.doc</t>
  </si>
  <si>
    <t>C:\Users\franc\OneDrive\Documentos\MALENTIN KARIME\BANCO ESTADO\2012 DEPTO ESCRITURAS fata\2012 DEPTO ESCRITURAS\SOCIEDADES\ALPACAS URANIA SpA Extracto.doc</t>
  </si>
  <si>
    <t>C:\Users\franc\OneDrive\Documentos\MALENTIN KARIME\BANCO ESTADO\2012 DEPTO ESCRITURAS fata\2012 DEPTO ESCRITURAS\SOCIEDADES\AGROCOMERCIAL LA TORRE  LTDA. Modificaicion.doc</t>
  </si>
  <si>
    <t>C:\Users\franc\OneDrive\Documentos\MALENTIN KARIME\BANCO ESTADO\2012 DEPTO ESCRITURAS fata\2012 DEPTO ESCRITURAS\SOCIEDADES\AGRICOLA SAN MARCOS Modificaicion.doc</t>
  </si>
  <si>
    <t>C:\Users\franc\OneDrive\Documentos\MALENTIN KARIME\BANCO ESTADO\2012 DEPTO ESCRITURAS fata\2012 DEPTO ESCRITURAS\SOCIEDADES\AGRICOLA SAN MARCOS Extracto.doc</t>
  </si>
  <si>
    <t>C:\Users\franc\OneDrive\Documentos\MALENTIN KARIME\BANCO ESTADO\2012 DEPTO ESCRITURAS fata\2012 DEPTO ESCRITURAS\SOCIEDADES\AGRICOLA SAN FRANCISCO Modific DIC.doc</t>
  </si>
  <si>
    <t>C:\Users\franc\OneDrive\Documentos\MALENTIN KARIME\BANCO ESTADO\2012 DEPTO ESCRITURAS fata\2012 DEPTO ESCRITURAS\SOCIEDADES\AGRICOLA Adocat.doc</t>
  </si>
  <si>
    <t>C:\Users\franc\OneDrive\Documentos\MALENTIN KARIME\BANCO ESTADO\2012 DEPTO ESCRITURAS fata\2012 DEPTO ESCRITURAS\SOCIEDADES\AGRICOLA Adocat Escritura.doc</t>
  </si>
  <si>
    <t>C:\Users\franc\OneDrive\Documentos\MALENTIN KARIME\BANCO ESTADO\2012 DEPTO ESCRITURAS fata\2012 DEPTO ESCRITURAS\SOCIEDADES\ADOCAT.doc</t>
  </si>
  <si>
    <t>C:\Users\franc\OneDrive\Documentos\MALENTIN KARIME\BANCO ESTADO\2012 DEPTO ESCRITURAS fata\2012 DEPTO ESCRITURAS\SERVIU\2014\ROSA CONTADOR CARVAJAL Comp serviu.doc</t>
  </si>
  <si>
    <t>C:\Users\franc\OneDrive\Documentos\MALENTIN KARIME\BANCO ESTADO\2012 DEPTO ESCRITURAS fata\2012 DEPTO ESCRITURAS\SERVIU\2014\ROMINA VEGA VEGA.doc</t>
  </si>
  <si>
    <t>C:\Users\franc\OneDrive\Documentos\MALENTIN KARIME\BANCO ESTADO\2012 DEPTO ESCRITURAS fata\2012 DEPTO ESCRITURAS\SERVIU\2014\PAOLA MILLA ALFARO.doc</t>
  </si>
  <si>
    <t>C:\Users\franc\OneDrive\Documentos\MALENTIN KARIME\BANCO ESTADO\2012 DEPTO ESCRITURAS fata\2012 DEPTO ESCRITURAS\SERVIU\2014\MARIA OLIVIA PIZARRO.doc</t>
  </si>
  <si>
    <t>C:\Users\franc\OneDrive\Documentos\MALENTIN KARIME\BANCO ESTADO\2012 DEPTO ESCRITURAS fata\2012 DEPTO ESCRITURAS\SERVIU\2014\IRIS OLIVARES RODRIGUEZ.doc</t>
  </si>
  <si>
    <t>C:\Users\franc\OneDrive\Documentos\MALENTIN KARIME\BANCO ESTADO\2012 DEPTO ESCRITURAS fata\2012 DEPTO ESCRITURAS\SERVIU\2014\GIOCONDA ALCAYA DIAZ.doc</t>
  </si>
  <si>
    <t>C:\Users\franc\OneDrive\Documentos\MALENTIN KARIME\BANCO ESTADO\2012 DEPTO ESCRITURAS fata\2012 DEPTO ESCRITURAS\SERVIU\2014\CLAUDIO VELIZ TORRES.doc</t>
  </si>
  <si>
    <t>C:\Users\franc\OneDrive\Documentos\MALENTIN KARIME\BANCO ESTADO\2012 DEPTO ESCRITURAS fata\2012 DEPTO ESCRITURAS\SERVIU\2014\BEATRIZ VALVERDE OLIVARES Ivar.doc</t>
  </si>
  <si>
    <t>C:\Users\franc\OneDrive\Documentos\MALENTIN KARIME\BANCO ESTADO\2012 DEPTO ESCRITURAS fata\2012 DEPTO ESCRITURAS\SERVIU\XIMENA VELASQUEZ AROS.doc</t>
  </si>
  <si>
    <t>C:\Users\franc\OneDrive\Documentos\MALENTIN KARIME\BANCO ESTADO\2012 DEPTO ESCRITURAS fata\2012 DEPTO ESCRITURAS\SERVIU\WILFREDO CARMONA ALZAMORA.doc</t>
  </si>
  <si>
    <t>C:\Users\franc\OneDrive\Documentos\MALENTIN KARIME\BANCO ESTADO\2012 DEPTO ESCRITURAS fata\2012 DEPTO ESCRITURAS\SERVIU\PROHIBICION modelo.doc</t>
  </si>
  <si>
    <t>C:\Users\franc\OneDrive\Documentos\MALENTIN KARIME\BANCO ESTADO\2012 DEPTO ESCRITURAS fata\2012 DEPTO ESCRITURAS\SERVIU\OLIVIA OLIVARES RIVERA.doc</t>
  </si>
  <si>
    <t>C:\Users\franc\OneDrive\Documentos\MALENTIN KARIME\BANCO ESTADO\2012 DEPTO ESCRITURAS fata\2012 DEPTO ESCRITURAS\SERVIU\OLIVIA OLIVARES RIVERA Complem.doc</t>
  </si>
  <si>
    <t>C:\Users\franc\OneDrive\Documentos\MALENTIN KARIME\BANCO ESTADO\2012 DEPTO ESCRITURAS fata\2012 DEPTO ESCRITURAS\SERVIU\NILDA ESTHER ARAYA ARAYA.doc</t>
  </si>
  <si>
    <t>C:\Users\franc\OneDrive\Documentos\MALENTIN KARIME\BANCO ESTADO\2012 DEPTO ESCRITURAS fata\2012 DEPTO ESCRITURAS\SERVIU\MARTINA ARAYA ARAYA Suplente.doc</t>
  </si>
  <si>
    <t>C:\Users\franc\OneDrive\Documentos\MALENTIN KARIME\BANCO ESTADO\2012 DEPTO ESCRITURAS fata\2012 DEPTO ESCRITURAS\SERVIU\MANDATO  serviu mabel.doc</t>
  </si>
  <si>
    <t>C:\Users\franc\OneDrive\Documentos\MALENTIN KARIME\BANCO ESTADO\2012 DEPTO ESCRITURAS fata\2012 DEPTO ESCRITURAS\SERVIU\HILDA DEL ROSARIO ARAYA.doc</t>
  </si>
  <si>
    <t>C:\Users\franc\OneDrive\Documentos\MALENTIN KARIME\BANCO ESTADO\2012 DEPTO ESCRITURAS fata\2012 DEPTO ESCRITURAS\SERVIU\FRANCISCO CAMPOS ALVARADO.doc</t>
  </si>
  <si>
    <t>C:\Users\franc\OneDrive\Documentos\MALENTIN KARIME\BANCO ESTADO\2012 DEPTO ESCRITURAS fata\2012 DEPTO ESCRITURAS\SERVIU\FANNY CORTES A RICARDO CORTES (SUBSIDIO).doc</t>
  </si>
  <si>
    <t>C:\Users\franc\OneDrive\Documentos\MALENTIN KARIME\BANCO ESTADO\2012 DEPTO ESCRITURAS fata\2012 DEPTO ESCRITURAS\SERVIU\DELMIRA BARRAZA.doc</t>
  </si>
  <si>
    <t>C:\Users\franc\OneDrive\Documentos\MALENTIN KARIME\BANCO ESTADO\2012 DEPTO ESCRITURAS fata\2012 DEPTO ESCRITURAS\SERVIU\DELMIRA BARRAZA final.doc</t>
  </si>
  <si>
    <t>C:\Users\franc\OneDrive\Documentos\MALENTIN KARIME\BANCO ESTADO\2012 DEPTO ESCRITURAS fata\2012 DEPTO ESCRITURAS\SERVIU\DELMIRA BARRAZA  Aclara.doc</t>
  </si>
  <si>
    <t>C:\Users\franc\OneDrive\Documentos\MALENTIN KARIME\BANCO ESTADO\2012 DEPTO ESCRITURAS fata\2012 DEPTO ESCRITURAS\SERVIU\DECLARACION NO PARENTESCO.doc</t>
  </si>
  <si>
    <t>C:\Users\franc\OneDrive\Documentos\MALENTIN KARIME\BANCO ESTADO\2012 DEPTO ESCRITURAS fata\2012 DEPTO ESCRITURAS\SERVIU\ANGELICA COLAMAR.doc</t>
  </si>
  <si>
    <t>C:\Users\franc\OneDrive\Documentos\MALENTIN KARIME\BANCO ESTADO\2012 DEPTO ESCRITURAS fata\2012 DEPTO ESCRITURAS\SERVIDUMBRES\WILSON VELIZ A TELEFONICA MOVILES.doc</t>
  </si>
  <si>
    <t>C:\Users\franc\OneDrive\Documentos\MALENTIN KARIME\BANCO ESTADO\2012 DEPTO ESCRITURAS fata\2012 DEPTO ESCRITURAS\SERVIDUMBRES\JULIO CAIMANQUE A TELEFONICA MOVILES.doc</t>
  </si>
  <si>
    <t>C:\Users\franc\OneDrive\Documentos\MALENTIN KARIME\BANCO ESTADO\2012 DEPTO ESCRITURAS fata\2012 DEPTO ESCRITURAS\SERVIDUMBRES\JOSE MIGUEL MUNIZAGA.doc</t>
  </si>
  <si>
    <t>C:\Users\franc\OneDrive\Documentos\MALENTIN KARIME\BANCO ESTADO\2012 DEPTO ESCRITURAS fata\2012 DEPTO ESCRITURAS\SEP BIENES\JOSE VALDIVIA VILCHES A MARIA PIZARRO.doc</t>
  </si>
  <si>
    <t>C:\Users\franc\OneDrive\Documentos\MALENTIN KARIME\BANCO ESTADO\2012 DEPTO ESCRITURAS fata\2012 DEPTO ESCRITURAS\SEP BIENES\JOSE RAMIREZ Y SANDRA SORIA Adolfo.doc</t>
  </si>
  <si>
    <t>C:\Users\franc\OneDrive\Documentos\MALENTIN KARIME\BANCO ESTADO\2012 DEPTO ESCRITURAS fata\2012 DEPTO ESCRITURAS\SEP BIENES\CLAUDIO NUÑEZ A Maritza Vergara.doc</t>
  </si>
  <si>
    <t>C:\Users\franc\OneDrive\Documentos\MALENTIN KARIME\BANCO ESTADO\2012 DEPTO ESCRITURAS fata\2012 DEPTO ESCRITURAS\SEP BIENES\ADOLFO CASTILLO Y MARIANET SAEZ Minuta.doc</t>
  </si>
  <si>
    <t>C:\Users\franc\OneDrive\Documentos\MALENTIN KARIME\BANCO ESTADO\2012 DEPTO ESCRITURAS fata\2012 DEPTO ESCRITURAS\ROBERTO VEGA\SUCESION MIRANDA PEREZ.doc</t>
  </si>
  <si>
    <t>C:\Users\franc\OneDrive\Documentos\MALENTIN KARIME\BANCO ESTADO\2012 DEPTO ESCRITURAS fata\2012 DEPTO ESCRITURAS\ROBERTO VEGA\SUCESION MIRANDA PEREZ (1).doc</t>
  </si>
  <si>
    <t>C:\Users\franc\OneDrive\Documentos\MALENTIN KARIME\BANCO ESTADO\2012 DEPTO ESCRITURAS fata\2012 DEPTO ESCRITURAS\ROBERTO VEGA\ROBERTO Y CESAR VEGA A SERGIO CORTES.doc</t>
  </si>
  <si>
    <t>C:\Users\franc\OneDrive\Documentos\MALENTIN KARIME\BANCO ESTADO\2012 DEPTO ESCRITURAS fata\2012 DEPTO ESCRITURAS\ROBERTO VEGA\ROBERTO Y CESAR VEGA A SERGIO CORTES (1).doc</t>
  </si>
  <si>
    <t>C:\Users\franc\OneDrive\Documentos\MALENTIN KARIME\BANCO ESTADO\2012 DEPTO ESCRITURAS fata\2012 DEPTO ESCRITURAS\ROBERTO VEGA\ROBERTO VEGA CAMPUSANO.doc</t>
  </si>
  <si>
    <t>C:\Users\franc\OneDrive\Documentos\MALENTIN KARIME\BANCO ESTADO\2012 DEPTO ESCRITURAS fata\2012 DEPTO ESCRITURAS\ROBERTO VEGA\ROBERTO VEGA CAMPUSANO (1).doc</t>
  </si>
  <si>
    <t>C:\Users\franc\OneDrive\Documentos\MALENTIN KARIME\BANCO ESTADO\2012 DEPTO ESCRITURAS fata\2012 DEPTO ESCRITURAS\ROBERTO VEGA\ROBERTO VEGA CAMPUSANO  2 rectif.doc</t>
  </si>
  <si>
    <t>C:\Users\franc\OneDrive\Documentos\MALENTIN KARIME\BANCO ESTADO\2012 DEPTO ESCRITURAS fata\2012 DEPTO ESCRITURAS\ROBERTO VEGA\JUNTA VIGILANCIA RIO PALOMO Y AFLUENTES.doc</t>
  </si>
  <si>
    <t>C:\Users\franc\OneDrive\Documentos\MALENTIN KARIME\BANCO ESTADO\2012 DEPTO ESCRITURAS fata\2012 DEPTO ESCRITURAS\ROBERTO VEGA\EDITH YAÑEZ A CLAUDIA VIVAR.doc</t>
  </si>
  <si>
    <t>C:\Users\franc\OneDrive\Documentos\MALENTIN KARIME\BANCO ESTADO\2012 DEPTO ESCRITURAS fata\2012 DEPTO ESCRITURAS\ROBERTO VEGA\CESION DERECHOS ALFALFARES DEFINITIVA RVC-1.doc</t>
  </si>
  <si>
    <t>C:\Users\franc\OneDrive\Documentos\MALENTIN KARIME\BANCO ESTADO\2012 DEPTO ESCRITURAS fata\2012 DEPTO ESCRITURAS\ROBERTO VEGA\ARMANDO ARAYA ARACENA A Roberto Vega Compraventa.doc</t>
  </si>
  <si>
    <t>C:\Users\franc\OneDrive\Documentos\MALENTIN KARIME\BANCO ESTADO\2012 DEPTO ESCRITURAS fata\2012 DEPTO ESCRITURAS\ROBERTO VEGA\ANA MIRANDA A ROBERTO VEGA EIRL.doc</t>
  </si>
  <si>
    <t>C:\Users\franc\OneDrive\Documentos\MALENTIN KARIME\BANCO ESTADO\2012 DEPTO ESCRITURAS fata\2012 DEPTO ESCRITURAS\ROBERTO VEGA\ALFALFARES Y ROBERTO VEGA Arrendamiento Modif.doc</t>
  </si>
  <si>
    <t>C:\Users\franc\OneDrive\Documentos\MALENTIN KARIME\BANCO ESTADO\2012 DEPTO ESCRITURAS fata\2012 DEPTO ESCRITURAS\ROBERTO VEGA\AGRICOLA ALFALFARES Y FRUTICOLA COPIAPO dotacion.doc</t>
  </si>
  <si>
    <t>C:\Users\franc\OneDrive\Documentos\MALENTIN KARIME\BANCO ESTADO\2012 DEPTO ESCRITURAS fata\2012 DEPTO ESCRITURAS\ROBERTO VEGA\AGRICOLA ALFALFARES Rectifica ComplementaII.doc</t>
  </si>
  <si>
    <t>C:\Users\franc\OneDrive\Documentos\MALENTIN KARIME\BANCO ESTADO\2012 DEPTO ESCRITURAS fata\2012 DEPTO ESCRITURAS\ROBERTO VEGA\AGRICOLA ALFALFARES Complementa.doc</t>
  </si>
  <si>
    <t>C:\Users\franc\OneDrive\Documentos\MALENTIN KARIME\BANCO ESTADO\2012 DEPTO ESCRITURAS fata\2012 DEPTO ESCRITURAS\ROBERTO VEGA\adjudicacion 1.doc</t>
  </si>
  <si>
    <t>C:\Users\franc\OneDrive\Documentos\MALENTIN KARIME\BANCO ESTADO\2012 DEPTO ESCRITURAS fata\2012 DEPTO ESCRITURAS\REVOCA\VICTOR TAPIA ROJAS M Judicial.doc</t>
  </si>
  <si>
    <t>C:\Users\franc\OneDrive\Documentos\MALENTIN KARIME\BANCO ESTADO\2012 DEPTO ESCRITURAS fata\2012 DEPTO ESCRITURAS\REVOCA\SALVADOR CODOCEOM.Especial.doc</t>
  </si>
  <si>
    <t>C:\Users\franc\OneDrive\Documentos\MALENTIN KARIME\BANCO ESTADO\2012 DEPTO ESCRITURAS fata\2012 DEPTO ESCRITURAS\REVOCA\ROCIO RAMIREZ YAGNAM.doc</t>
  </si>
  <si>
    <t>C:\Users\franc\OneDrive\Documentos\MALENTIN KARIME\BANCO ESTADO\2012 DEPTO ESCRITURAS fata\2012 DEPTO ESCRITURAS\REVOCA\OSVALDO AGUILERA ARAYA.doc</t>
  </si>
  <si>
    <t>C:\Users\franc\OneDrive\Documentos\MALENTIN KARIME\BANCO ESTADO\2012 DEPTO ESCRITURAS fata\2012 DEPTO ESCRITURAS\REVOCA\MAURICIO PEDREROS PERRY M General.doc</t>
  </si>
  <si>
    <t>C:\Users\franc\OneDrive\Documentos\MALENTIN KARIME\BANCO ESTADO\2012 DEPTO ESCRITURAS fata\2012 DEPTO ESCRITURAS\REVOCA\MARJORIE CORTES ROJAS m.Especial.doc</t>
  </si>
  <si>
    <t>C:\Users\franc\OneDrive\Documentos\MALENTIN KARIME\BANCO ESTADO\2012 DEPTO ESCRITURAS fata\2012 DEPTO ESCRITURAS\REVOCA\MARGARITA VELIZ LEMUS.doc</t>
  </si>
  <si>
    <t>C:\Users\franc\OneDrive\Documentos\MALENTIN KARIME\BANCO ESTADO\2012 DEPTO ESCRITURAS fata\2012 DEPTO ESCRITURAS\REVOCA\MARGARITA VELIZ LEMUS 222.doc</t>
  </si>
  <si>
    <t>C:\Users\franc\OneDrive\Documentos\MALENTIN KARIME\BANCO ESTADO\2012 DEPTO ESCRITURAS fata\2012 DEPTO ESCRITURAS\REVOCA\LUIS GUILLERMO TORREJON TORREJO M.Judicial.doc</t>
  </si>
  <si>
    <t>C:\Users\franc\OneDrive\Documentos\MALENTIN KARIME\BANCO ESTADO\2012 DEPTO ESCRITURAS fata\2012 DEPTO ESCRITURAS\REVOCA\LUIS GUILLERMO TORREJON TORREJO M.Judicial 2009.doc</t>
  </si>
  <si>
    <t>C:\Users\franc\OneDrive\Documentos\MALENTIN KARIME\BANCO ESTADO\2012 DEPTO ESCRITURAS fata\2012 DEPTO ESCRITURAS\REVOCA\LUIS DIAZ JOFRE M.Especial.doc</t>
  </si>
  <si>
    <t>C:\Users\franc\OneDrive\Documentos\MALENTIN KARIME\BANCO ESTADO\2012 DEPTO ESCRITURAS fata\2012 DEPTO ESCRITURAS\REVOCA\FRESIA ARAYA SULANTAY Especial.doc</t>
  </si>
  <si>
    <t>C:\Users\franc\OneDrive\Documentos\MALENTIN KARIME\BANCO ESTADO\2012 DEPTO ESCRITURAS fata\2012 DEPTO ESCRITURAS\REVOCA\ALFONSO ARTIGUES.doc</t>
  </si>
  <si>
    <t>C:\Users\franc\OneDrive\Documentos\MALENTIN KARIME\BANCO ESTADO\2012 DEPTO ESCRITURAS fata\2012 DEPTO ESCRITURAS\REVOCA\AIDA DEL CARMEN LABARCA.doc</t>
  </si>
  <si>
    <t>C:\Users\franc\OneDrive\Documentos\MALENTIN KARIME\BANCO ESTADO\2012 DEPTO ESCRITURAS fata\2012 DEPTO ESCRITURAS\RESCILIACION\SLM LA FORTUNA  A HECTOR LOPEZ Y OTROS.doc</t>
  </si>
  <si>
    <t>C:\Users\franc\OneDrive\Documentos\MALENTIN KARIME\BANCO ESTADO\2012 DEPTO ESCRITURAS fata\2012 DEPTO ESCRITURAS\RESCILIACION\JUAN SANTELICES A HECTOR ELGUEDA.doc</t>
  </si>
  <si>
    <t>C:\Users\franc\OneDrive\Documentos\MALENTIN KARIME\BANCO ESTADO\2012 DEPTO ESCRITURAS fata\2012 DEPTO ESCRITURAS\RESCILIACION\JUAN SANTELICES A Eduardo Castillo.doc</t>
  </si>
  <si>
    <t>C:\Users\franc\OneDrive\Documentos\MALENTIN KARIME\BANCO ESTADO\2012 DEPTO ESCRITURAS fata\2012 DEPTO ESCRITURAS\RESCILIACION\GABRIEL VELIZ PIZARRO CVTA.doc</t>
  </si>
  <si>
    <t>C:\Users\franc\OneDrive\Documentos\MALENTIN KARIME\BANCO ESTADO\2012 DEPTO ESCRITURAS fata\2012 DEPTO ESCRITURAS\RESCILIACION\comunidad LAS DAMAS.doc</t>
  </si>
  <si>
    <t>C:\Users\franc\OneDrive\Documentos\MALENTIN KARIME\BANCO ESTADO\2012 DEPTO ESCRITURAS fata\2012 DEPTO ESCRITURAS\RESCILIACION\CARLOS CARVAJAL RODRIGUEZ.doc</t>
  </si>
  <si>
    <t>C:\Users\franc\OneDrive\Documentos\MALENTIN KARIME\BANCO ESTADO\2012 DEPTO ESCRITURAS fata\2012 DEPTO ESCRITURAS\RESCILIACION\ALFONSO MONTENEGRO  Y JOSE MUNIZAGA.doc</t>
  </si>
  <si>
    <t>C:\Users\franc\OneDrive\Documentos\MALENTIN KARIME\BANCO ESTADO\2012 DEPTO ESCRITURAS fata\2012 DEPTO ESCRITURAS\RENUNCIA GANANCIAL\NIRMA OLIVARES VALENCIA.doc</t>
  </si>
  <si>
    <t>C:\Users\franc\OneDrive\Documentos\MALENTIN KARIME\BANCO ESTADO\2012 DEPTO ESCRITURAS fata\2012 DEPTO ESCRITURAS\REMATE\YANETT TABILO TABILO  Cristian Vega.doc</t>
  </si>
  <si>
    <t>C:\Users\franc\OneDrive\Documentos\MALENTIN KARIME\BANCO ESTADO\2012 DEPTO ESCRITURAS fata\2012 DEPTO ESCRITURAS\REMATE\YANETT TABILO TABILO  Cristian Vega NOT TITULAR.doc</t>
  </si>
  <si>
    <t>C:\Users\franc\OneDrive\Documentos\MALENTIN KARIME\BANCO ESTADO\2012 DEPTO ESCRITURAS fata\2012 DEPTO ESCRITURAS\REMATE\CARLOS ASTUDILLO Y FLORENCIO ARAYA RVega.doc</t>
  </si>
  <si>
    <t>C:\Users\franc\OneDrive\Documentos\MALENTIN KARIME\BANCO ESTADO\2012 DEPTO ESCRITURAS fata\2012 DEPTO ESCRITURAS\REDUCCIONES\SOPPUEX.doc</t>
  </si>
  <si>
    <t>C:\Users\franc\OneDrive\Documentos\MALENTIN KARIME\BANCO ESTADO\2012 DEPTO ESCRITURAS fata\2012 DEPTO ESCRITURAS\REDUCCIONES\SOPPUEX 24 abril 12.doc</t>
  </si>
  <si>
    <t>C:\Users\franc\OneDrive\Documentos\MALENTIN KARIME\BANCO ESTADO\2012 DEPTO ESCRITURAS fata\2012 DEPTO ESCRITURAS\REDUCCIONES\RECOLETA DOS 2.doc</t>
  </si>
  <si>
    <t>C:\Users\franc\OneDrive\Documentos\MALENTIN KARIME\BANCO ESTADO\2012 DEPTO ESCRITURAS fata\2012 DEPTO ESCRITURAS\REDUCCIONES\PERMISO DE EDIFICACION 233.doc</t>
  </si>
  <si>
    <t>C:\Users\franc\OneDrive\Documentos\MALENTIN KARIME\BANCO ESTADO\2012 DEPTO ESCRITURAS fata\2012 DEPTO ESCRITURAS\REDUCCIONES\LAS TOTORAS S.A. Dos 2.doc</t>
  </si>
  <si>
    <t>C:\Users\franc\OneDrive\Documentos\MALENTIN KARIME\BANCO ESTADO\2012 DEPTO ESCRITURAS fata\2012 DEPTO ESCRITURAS\REDUCCIONES\LAS TOTORAS S.A. 1.doc</t>
  </si>
  <si>
    <t>C:\Users\franc\OneDrive\Documentos\MALENTIN KARIME\BANCO ESTADO\2012 DEPTO ESCRITURAS fata\2012 DEPTO ESCRITURAS\REDUCCIONES\Jta.Gral.2011.doc</t>
  </si>
  <si>
    <t>C:\Users\franc\OneDrive\Documentos\MALENTIN KARIME\BANCO ESTADO\2012 DEPTO ESCRITURAS fata\2012 DEPTO ESCRITURAS\REDUCCIONES\INMOBILIARAIA NORTE VERDE  Sesion de directorio.doc</t>
  </si>
  <si>
    <t>C:\Users\franc\OneDrive\Documentos\MALENTIN KARIME\BANCO ESTADO\2012 DEPTO ESCRITURAS fata\2012 DEPTO ESCRITURAS\REDUCCIONES\INMOBILIARAIA NORTE VERDE  Segunda Junta Extr.doc</t>
  </si>
  <si>
    <t>C:\Users\franc\OneDrive\Documentos\MALENTIN KARIME\BANCO ESTADO\2012 DEPTO ESCRITURAS fata\2012 DEPTO ESCRITURAS\REDUCCIONES\DOBLE M.doc</t>
  </si>
  <si>
    <t>C:\Users\franc\OneDrive\Documentos\MALENTIN KARIME\BANCO ESTADO\2012 DEPTO ESCRITURAS fata\2012 DEPTO ESCRITURAS\REDUCCIONES\DOBLE M Abril.doc</t>
  </si>
  <si>
    <t>C:\Users\franc\OneDrive\Documentos\MALENTIN KARIME\BANCO ESTADO\2012 DEPTO ESCRITURAS fata\2012 DEPTO ESCRITURAS\REDUCCIONES\contador FRUTOS.doc</t>
  </si>
  <si>
    <t>C:\Users\franc\OneDrive\Documentos\MALENTIN KARIME\BANCO ESTADO\2012 DEPTO ESCRITURAS fata\2012 DEPTO ESCRITURAS\REDUCCIONES\COMUNIDAD DE AGUAS CANAL TAMELCURA.doc</t>
  </si>
  <si>
    <t>C:\Users\franc\OneDrive\Documentos\MALENTIN KARIME\BANCO ESTADO\2012 DEPTO ESCRITURAS fata\2012 DEPTO ESCRITURAS\REDUCCIONES\COMUNIDAD DE AGUAS CANAL TAMELCURA Sesion de Directorio.doc</t>
  </si>
  <si>
    <t>C:\Users\franc\OneDrive\Documentos\MALENTIN KARIME\BANCO ESTADO\2012 DEPTO ESCRITURAS fata\2012 DEPTO ESCRITURAS\REDUCCIONES\CLUB AEREO DE OVALLE 2.doc</t>
  </si>
  <si>
    <t>C:\Users\franc\OneDrive\Documentos\MALENTIN KARIME\BANCO ESTADO\2012 DEPTO ESCRITURAS fata\2012 DEPTO ESCRITURAS\REDUCCIONES\CLUB AEREO DE OVALLE 1.doc</t>
  </si>
  <si>
    <t>C:\Users\franc\OneDrive\Documentos\MALENTIN KARIME\BANCO ESTADO\2012 DEPTO ESCRITURAS fata\2012 DEPTO ESCRITURAS\REDUCCIONES\canal PALQUI MAURAT SEMITA.doc</t>
  </si>
  <si>
    <t>C:\Users\franc\OneDrive\Documentos\MALENTIN KARIME\BANCO ESTADO\2012 DEPTO ESCRITURAS fata\2012 DEPTO ESCRITURAS\REDUCCIONES\CANAL PALQUI MAURAT SEMITA Reunión de Directorio.doc</t>
  </si>
  <si>
    <t>C:\Users\franc\OneDrive\Documentos\MALENTIN KARIME\BANCO ESTADO\2012 DEPTO ESCRITURAS fata\2012 DEPTO ESCRITURAS\REDUCCIONES\canal PALQUI MAURAT SEMITA Declaracion.doc</t>
  </si>
  <si>
    <t>C:\Users\franc\OneDrive\Documentos\MALENTIN KARIME\BANCO ESTADO\2012 DEPTO ESCRITURAS fata\2012 DEPTO ESCRITURAS\REDUCCIONES\APR HUATULAME DGA 1386.doc</t>
  </si>
  <si>
    <t>C:\Users\franc\OneDrive\Documentos\MALENTIN KARIME\BANCO ESTADO\2012 DEPTO ESCRITURAS fata\2012 DEPTO ESCRITURAS\REDUCCIONES\ALPACAS URANIA SPA Directorio.doc</t>
  </si>
  <si>
    <t>C:\Users\franc\OneDrive\Documentos\MALENTIN KARIME\BANCO ESTADO\2012 DEPTO ESCRITURAS fata\2012 DEPTO ESCRITURAS\REDUCCIONES\AGROCOMERCIAL AGROMILENIO 19NOV-.doc</t>
  </si>
  <si>
    <t>C:\Users\franc\OneDrive\Documentos\MALENTIN KARIME\BANCO ESTADO\2012 DEPTO ESCRITURAS fata\2012 DEPTO ESCRITURAS\REDUCCIONES\AGROCOMERCIAL AGROMILENIO 05 NOV.doc</t>
  </si>
  <si>
    <t>C:\Users\franc\OneDrive\Documentos\MALENTIN KARIME\BANCO ESTADO\2012 DEPTO ESCRITURAS fata\2012 DEPTO ESCRITURAS\REDUCCIONES\AGRICOLA San Erasmo.doc</t>
  </si>
  <si>
    <t>C:\Users\franc\OneDrive\Documentos\MALENTIN KARIME\BANCO ESTADO\2012 DEPTO ESCRITURAS fata\2012 DEPTO ESCRITURAS\REDUCCIONES\AGRICOLA San Erasmo III.doc</t>
  </si>
  <si>
    <t>C:\Users\franc\OneDrive\Documentos\MALENTIN KARIME\BANCO ESTADO\2012 DEPTO ESCRITURAS fata\2012 DEPTO ESCRITURAS\REDUCCIONES\AGRICOLA San Erasmo ii.doc</t>
  </si>
  <si>
    <t>C:\Users\franc\OneDrive\Documentos\MALENTIN KARIME\BANCO ESTADO\2012 DEPTO ESCRITURAS fata\2012 DEPTO ESCRITURAS\REDUCCIONES\AGRICOLA MALLORCA.doc</t>
  </si>
  <si>
    <t>C:\Users\franc\OneDrive\Documentos\MALENTIN KARIME\BANCO ESTADO\2012 DEPTO ESCRITURAS fata\2012 DEPTO ESCRITURAS\REDUCCIONES\AGRICOLA MALLORCA 19-11-12.doc</t>
  </si>
  <si>
    <t>C:\Users\franc\OneDrive\Documentos\MALENTIN KARIME\BANCO ESTADO\2012 DEPTO ESCRITURAS fata\2012 DEPTO ESCRITURAS\REDUCCIONES\AGRICOLA CHAÑARAL BAJO NORTE 19-11-12.doc</t>
  </si>
  <si>
    <t>C:\Users\franc\OneDrive\Documentos\MALENTIN KARIME\BANCO ESTADO\2012 DEPTO ESCRITURAS fata\2012 DEPTO ESCRITURAS\REDUCCIONES\ACTA_1Â°_SESION_EXTRAORDINARIA_DIRECTORIO_correcciones (1)(1).doc</t>
  </si>
  <si>
    <t>C:\Users\franc\OneDrive\Documentos\MALENTIN KARIME\BANCO ESTADO\2012 DEPTO ESCRITURAS fata\2012 DEPTO ESCRITURAS\REDUCCIONES\ACTA DE doble m s.a..doc</t>
  </si>
  <si>
    <t>C:\Users\franc\OneDrive\Documentos\MALENTIN KARIME\BANCO ESTADO\2012 DEPTO ESCRITURAS fata\2012 DEPTO ESCRITURAS\RECTIFICACION\SERGIO SALFATE ARAYA.doc</t>
  </si>
  <si>
    <t>C:\Users\franc\OneDrive\Documentos\MALENTIN KARIME\BANCO ESTADO\2012 DEPTO ESCRITURAS fata\2012 DEPTO ESCRITURAS\RECTIFICACION\ROSALIA QUISPE  Rut.doc</t>
  </si>
  <si>
    <t>C:\Users\franc\OneDrive\Documentos\MALENTIN KARIME\BANCO ESTADO\2012 DEPTO ESCRITURAS fata\2012 DEPTO ESCRITURAS\RECTIFICACION\RIO CLARO Minuta.doc</t>
  </si>
  <si>
    <t>C:\Users\franc\OneDrive\Documentos\MALENTIN KARIME\BANCO ESTADO\2012 DEPTO ESCRITURAS fata\2012 DEPTO ESCRITURAS\RECTIFICACION\RIO CLARO Minuta Extracto.doc</t>
  </si>
  <si>
    <t>C:\Users\franc\OneDrive\Documentos\MALENTIN KARIME\BANCO ESTADO\2012 DEPTO ESCRITURAS fata\2012 DEPTO ESCRITURAS\RECTIFICACION\RICARDO ARAYA Rect.doc</t>
  </si>
  <si>
    <t>C:\Users\franc\OneDrive\Documentos\MALENTIN KARIME\BANCO ESTADO\2012 DEPTO ESCRITURAS fata\2012 DEPTO ESCRITURAS\RECTIFICACION\RICARDO ARAYA Rect 2.doc</t>
  </si>
  <si>
    <t>C:\Users\franc\OneDrive\Documentos\MALENTIN KARIME\BANCO ESTADO\2012 DEPTO ESCRITURAS fata\2012 DEPTO ESCRITURAS\RECTIFICACION\RECTIFICA.doc</t>
  </si>
  <si>
    <t>C:\Users\franc\OneDrive\Documentos\MALENTIN KARIME\BANCO ESTADO\2012 DEPTO ESCRITURAS fata\2012 DEPTO ESCRITURAS\RECTIFICACION\NIVALDO VEAS CORTES Deslindes.doc</t>
  </si>
  <si>
    <t>C:\Users\franc\OneDrive\Documentos\MALENTIN KARIME\BANCO ESTADO\2012 DEPTO ESCRITURAS fata\2012 DEPTO ESCRITURAS\RECTIFICACION\MARIO ALFARO GUTIERREZ.doc</t>
  </si>
  <si>
    <t>C:\Users\franc\OneDrive\Documentos\MALENTIN KARIME\BANCO ESTADO\2012 DEPTO ESCRITURAS fata\2012 DEPTO ESCRITURAS\RECTIFICACION\LEONARDO ROJAS A. Desafectación.doc</t>
  </si>
  <si>
    <t>C:\Users\franc\OneDrive\Documentos\MALENTIN KARIME\BANCO ESTADO\2012 DEPTO ESCRITURAS fata\2012 DEPTO ESCRITURAS\RECTIFICACION\las NIETAS.doc</t>
  </si>
  <si>
    <t>C:\Users\franc\OneDrive\Documentos\MALENTIN KARIME\BANCO ESTADO\2012 DEPTO ESCRITURAS fata\2012 DEPTO ESCRITURAS\RECTIFICACION\JORGE DIAZ RUBINA.doc</t>
  </si>
  <si>
    <t>C:\Users\franc\OneDrive\Documentos\MALENTIN KARIME\BANCO ESTADO\2012 DEPTO ESCRITURAS fata\2012 DEPTO ESCRITURAS\RECTIFICACION\JIMMY LARA JULIO Rectificacion.doc</t>
  </si>
  <si>
    <t>C:\Users\franc\OneDrive\Documentos\MALENTIN KARIME\BANCO ESTADO\2012 DEPTO ESCRITURAS fata\2012 DEPTO ESCRITURAS\RECTIFICACION\IVANJA ROSA DIAZ RUBINA.doc</t>
  </si>
  <si>
    <t>C:\Users\franc\OneDrive\Documentos\MALENTIN KARIME\BANCO ESTADO\2012 DEPTO ESCRITURAS fata\2012 DEPTO ESCRITURAS\RECTIFICACION\GUIDO IBACACHE ROJAS.doc</t>
  </si>
  <si>
    <t>C:\Users\franc\OneDrive\Documentos\MALENTIN KARIME\BANCO ESTADO\2012 DEPTO ESCRITURAS fata\2012 DEPTO ESCRITURAS\RECTIFICACION\FELIX SAEZ Rect.doc</t>
  </si>
  <si>
    <t>C:\Users\franc\OneDrive\Documentos\MALENTIN KARIME\BANCO ESTADO\2012 DEPTO ESCRITURAS fata\2012 DEPTO ESCRITURAS\RECTIFICACION\ELENA RIVERA ROJAS A NANCY MERCADO Conyuge Administrador.doc</t>
  </si>
  <si>
    <t>C:\Users\franc\OneDrive\Documentos\MALENTIN KARIME\BANCO ESTADO\2012 DEPTO ESCRITURAS fata\2012 DEPTO ESCRITURAS\RECTIFICACION\CRISTIAN CLAVERIA Y Juan Godoy Sole Farr.doc</t>
  </si>
  <si>
    <t>C:\Users\franc\OneDrive\Documentos\MALENTIN KARIME\BANCO ESTADO\2012 DEPTO ESCRITURAS fata\2012 DEPTO ESCRITURAS\RECTIFICACION\ASIMYA A ANA VALDERRAMAÇ.doc</t>
  </si>
  <si>
    <t>C:\Users\franc\OneDrive\Documentos\MALENTIN KARIME\BANCO ESTADO\2012 DEPTO ESCRITURAS fata\2012 DEPTO ESCRITURAS\RECTIFICACION\AGRICOLA LAS NIETAS Rectif.doc</t>
  </si>
  <si>
    <t>C:\Users\franc\OneDrive\Documentos\MALENTIN KARIME\BANCO ESTADO\2012 DEPTO ESCRITURAS fata\2012 DEPTO ESCRITURAS\RECTIFICACION\AGRICOLA ALFALFARES Y E.I.R.L.doc</t>
  </si>
  <si>
    <t>C:\Users\franc\OneDrive\Documentos\MALENTIN KARIME\BANCO ESTADO\2012 DEPTO ESCRITURAS fata\2012 DEPTO ESCRITURAS\RECONOC DEUDA\NUEVA GENERACION A INV. ZEPEDA.doc</t>
  </si>
  <si>
    <t>C:\Users\franc\OneDrive\Documentos\MALENTIN KARIME\BANCO ESTADO\2012 DEPTO ESCRITURAS fata\2012 DEPTO ESCRITURAS\RECONOC DEUDA\NUEVA GENERACION A INV. Fortaleza.doc</t>
  </si>
  <si>
    <t>C:\Users\franc\OneDrive\Documentos\MALENTIN KARIME\BANCO ESTADO\2012 DEPTO ESCRITURAS fata\2012 DEPTO ESCRITURAS\RECONOC DEUDA\LUIS PROHENS BOU Y HARS.doc</t>
  </si>
  <si>
    <t>C:\Users\franc\OneDrive\Documentos\MALENTIN KARIME\BANCO ESTADO\2012 DEPTO ESCRITURAS fata\2012 DEPTO ESCRITURAS\RECONOC DEUDA\INMOBILIARIA RENACER.doc</t>
  </si>
  <si>
    <t>C:\Users\franc\OneDrive\Documentos\MALENTIN KARIME\BANCO ESTADO\2012 DEPTO ESCRITURAS fata\2012 DEPTO ESCRITURAS\RECONOC DEUDA\INMOBILIARIA RENACER final.doc</t>
  </si>
  <si>
    <t>C:\Users\franc\OneDrive\Documentos\MALENTIN KARIME\BANCO ESTADO\2012 DEPTO ESCRITURAS fata\2012 DEPTO ESCRITURAS\RECONOC DEUDA\F 24 inversiones NUEVA GENERACION II.doc</t>
  </si>
  <si>
    <t>C:\Users\franc\OneDrive\Documentos\MALENTIN KARIME\BANCO ESTADO\2012 DEPTO ESCRITURAS fata\2012 DEPTO ESCRITURAS\RECONOC DEUDA\F 24 inversiones NUEVA GENERACION I.doc</t>
  </si>
  <si>
    <t>C:\Users\franc\OneDrive\Documentos\MALENTIN KARIME\BANCO ESTADO\2012 DEPTO ESCRITURAS fata\2012 DEPTO ESCRITURAS\RECONOC DEUDA\F 24 inversiones fortaleza.doc</t>
  </si>
  <si>
    <t>C:\Users\franc\OneDrive\Documentos\MALENTIN KARIME\BANCO ESTADO\2012 DEPTO ESCRITURAS fata\2012 DEPTO ESCRITURAS\RECONOC DEUDA\AGRICOLA RECOLETA DOS A Frutícola Río Copiapó.doc</t>
  </si>
  <si>
    <t>C:\Users\franc\OneDrive\Documentos\MALENTIN KARIME\BANCO ESTADO\2012 DEPTO ESCRITURAS fata\2012 DEPTO ESCRITURAS\RATIFICACION\LUIS VARAS HIDALGO Y OTRA.doc</t>
  </si>
  <si>
    <t>C:\Users\franc\OneDrive\Documentos\MALENTIN KARIME\BANCO ESTADO\2012 DEPTO ESCRITURAS fata\2012 DEPTO ESCRITURAS\RATIFICACION\LUIS VARAS HIDALGO Y OTRA III.doc</t>
  </si>
  <si>
    <t>C:\Users\franc\OneDrive\Documentos\MALENTIN KARIME\BANCO ESTADO\2012 DEPTO ESCRITURAS fata\2012 DEPTO ESCRITURAS\RATIFICACION\LUIS VARAS HIDALGO Y OTRA II.doc</t>
  </si>
  <si>
    <t>C:\Users\franc\OneDrive\Documentos\MALENTIN KARIME\BANCO ESTADO\2012 DEPTO ESCRITURAS fata\2012 DEPTO ESCRITURAS\RATIFICACION\AURORA PIZARRO PALACIOS.doc</t>
  </si>
  <si>
    <t>C:\Users\franc\OneDrive\Documentos\MALENTIN KARIME\BANCO ESTADO\2012 DEPTO ESCRITURAS fata\2012 DEPTO ESCRITURAS\PROTOCOLIZACION\VICTOR MORALES VARGAS Propuesta.doc</t>
  </si>
  <si>
    <t>C:\Users\franc\OneDrive\Documentos\MALENTIN KARIME\BANCO ESTADO\2012 DEPTO ESCRITURAS fata\2012 DEPTO ESCRITURAS\PROTOCOLIZACION\SOPPUEX.doc</t>
  </si>
  <si>
    <t>C:\Users\franc\OneDrive\Documentos\MALENTIN KARIME\BANCO ESTADO\2012 DEPTO ESCRITURAS fata\2012 DEPTO ESCRITURAS\PROTOCOLIZACION\SOPPUEX 2.doc</t>
  </si>
  <si>
    <t>C:\Users\franc\OneDrive\Documentos\MALENTIN KARIME\BANCO ESTADO\2012 DEPTO ESCRITURAS fata\2012 DEPTO ESCRITURAS\PROTOCOLIZACION\SOCIEDAD INMOBILIARIA FORMA prop 36.doc</t>
  </si>
  <si>
    <t>C:\Users\franc\OneDrive\Documentos\MALENTIN KARIME\BANCO ESTADO\2012 DEPTO ESCRITURAS fata\2012 DEPTO ESCRITURAS\PROTOCOLIZACION\SOCIEDAD INMOBILIARIA FORMA prop 16.doc</t>
  </si>
  <si>
    <t>C:\Users\franc\OneDrive\Documentos\MALENTIN KARIME\BANCO ESTADO\2012 DEPTO ESCRITURAS fata\2012 DEPTO ESCRITURAS\PROTOCOLIZACION\SOCIEDAD INMOBILIARIA FORMA II.doc</t>
  </si>
  <si>
    <t>C:\Users\franc\OneDrive\Documentos\MALENTIN KARIME\BANCO ESTADO\2012 DEPTO ESCRITURAS fata\2012 DEPTO ESCRITURAS\PROTOCOLIZACION\SOCIEDAD INMOBILIARIA FORMA I.doc</t>
  </si>
  <si>
    <t>C:\Users\franc\OneDrive\Documentos\MALENTIN KARIME\BANCO ESTADO\2012 DEPTO ESCRITURAS fata\2012 DEPTO ESCRITURAS\PROTOCOLIZACION\SERVICIOS TASUI S.A. Propuesta.doc</t>
  </si>
  <si>
    <t>C:\Users\franc\OneDrive\Documentos\MALENTIN KARIME\BANCO ESTADO\2012 DEPTO ESCRITURAS fata\2012 DEPTO ESCRITURAS\PROTOCOLIZACION\SERVICIOS INFORMATICOS LIMARI.doc</t>
  </si>
  <si>
    <t>C:\Users\franc\OneDrive\Documentos\MALENTIN KARIME\BANCO ESTADO\2012 DEPTO ESCRITURAS fata\2012 DEPTO ESCRITURAS\PROTOCOLIZACION\SERVICIOS DE BARRIDO Propuesta.doc</t>
  </si>
  <si>
    <t>C:\Users\franc\OneDrive\Documentos\MALENTIN KARIME\BANCO ESTADO\2012 DEPTO ESCRITURAS fata\2012 DEPTO ESCRITURAS\PROTOCOLIZACION\SERVICIOS DE BARRIDO Propuesta Modificacion.doc</t>
  </si>
  <si>
    <t>C:\Users\franc\OneDrive\Documentos\MALENTIN KARIME\BANCO ESTADO\2012 DEPTO ESCRITURAS fata\2012 DEPTO ESCRITURAS\PROTOCOLIZACION\SERGIO SALFATE Inventario.doc</t>
  </si>
  <si>
    <t>C:\Users\franc\OneDrive\Documentos\MALENTIN KARIME\BANCO ESTADO\2012 DEPTO ESCRITURAS fata\2012 DEPTO ESCRITURAS\PROTOCOLIZACION\SENDA URBANA Propuesta.doc</t>
  </si>
  <si>
    <t>C:\Users\franc\OneDrive\Documentos\MALENTIN KARIME\BANCO ESTADO\2012 DEPTO ESCRITURAS fata\2012 DEPTO ESCRITURAS\PROTOCOLIZACION\ROMAN AROS Acta.doc</t>
  </si>
  <si>
    <t>C:\Users\franc\OneDrive\Documentos\MALENTIN KARIME\BANCO ESTADO\2012 DEPTO ESCRITURAS fata\2012 DEPTO ESCRITURAS\PROTOCOLIZACION\ROBERTO VEGA (Resuelvo3166 DOH).doc</t>
  </si>
  <si>
    <t>C:\Users\franc\OneDrive\Documentos\MALENTIN KARIME\BANCO ESTADO\2012 DEPTO ESCRITURAS fata\2012 DEPTO ESCRITURAS\PROTOCOLIZACION\ROBERTO VEGA (Resuelvo1818 DOH).doc</t>
  </si>
  <si>
    <t>C:\Users\franc\OneDrive\Documentos\MALENTIN KARIME\BANCO ESTADO\2012 DEPTO ESCRITURAS fata\2012 DEPTO ESCRITURAS\PROTOCOLIZACION\ROBERTO VEGA (Resuelvo1470 DOH).doc</t>
  </si>
  <si>
    <t>C:\Users\franc\OneDrive\Documentos\MALENTIN KARIME\BANCO ESTADO\2012 DEPTO ESCRITURAS fata\2012 DEPTO ESCRITURAS\PROTOCOLIZACION\ROBERTO VEGA (Resuelvo 4201 DOH).doc</t>
  </si>
  <si>
    <t>C:\Users\franc\OneDrive\Documentos\MALENTIN KARIME\BANCO ESTADO\2012 DEPTO ESCRITURAS fata\2012 DEPTO ESCRITURAS\PROTOCOLIZACION\ROBERTO VEGA (Resuelvo 2707 DOH).doc</t>
  </si>
  <si>
    <t>C:\Users\franc\OneDrive\Documentos\MALENTIN KARIME\BANCO ESTADO\2012 DEPTO ESCRITURAS fata\2012 DEPTO ESCRITURAS\PROTOCOLIZACION\ROBERTO VEGA (CONVENIO AD REFERENDUM).doc</t>
  </si>
  <si>
    <t>C:\Users\franc\OneDrive\Documentos\MALENTIN KARIME\BANCO ESTADO\2012 DEPTO ESCRITURAS fata\2012 DEPTO ESCRITURAS\PROTOCOLIZACION\RICARDO GOMEZ A SUSANA MUÑOZ Jundep.doc</t>
  </si>
  <si>
    <t>C:\Users\franc\OneDrive\Documentos\MALENTIN KARIME\BANCO ESTADO\2012 DEPTO ESCRITURAS fata\2012 DEPTO ESCRITURAS\PROTOCOLIZACION\RAMON ESCOBAR MONDACA Poder ext.doc</t>
  </si>
  <si>
    <t>C:\Users\franc\OneDrive\Documentos\MALENTIN KARIME\BANCO ESTADO\2012 DEPTO ESCRITURAS fata\2012 DEPTO ESCRITURAS\PROTOCOLIZACION\PROTO. NOMB. NOTARIO PATRICIA ALFARO.doc</t>
  </si>
  <si>
    <t>C:\Users\franc\OneDrive\Documentos\MALENTIN KARIME\BANCO ESTADO\2012 DEPTO ESCRITURAS fata\2012 DEPTO ESCRITURAS\PROTOCOLIZACION\PROTO. NOMB. NOTARIO JOYCE RALLIN TAPIA.doc</t>
  </si>
  <si>
    <t>C:\Users\franc\OneDrive\Documentos\MALENTIN KARIME\BANCO ESTADO\2012 DEPTO ESCRITURAS fata\2012 DEPTO ESCRITURAS\PROTOCOLIZACION\PROTO. Claudio Araya.doc</t>
  </si>
  <si>
    <t>C:\Users\franc\OneDrive\Documentos\MALENTIN KARIME\BANCO ESTADO\2012 DEPTO ESCRITURAS fata\2012 DEPTO ESCRITURAS\PROTOCOLIZACION\PEDRO TORRES SANHUEZA ´Popuesta50-2011.doc</t>
  </si>
  <si>
    <t>C:\Users\franc\OneDrive\Documentos\MALENTIN KARIME\BANCO ESTADO\2012 DEPTO ESCRITURAS fata\2012 DEPTO ESCRITURAS\PROTOCOLIZACION\PEDRO TORRES SANHUEZA ´Popuesta.doc</t>
  </si>
  <si>
    <t>C:\Users\franc\OneDrive\Documentos\MALENTIN KARIME\BANCO ESTADO\2012 DEPTO ESCRITURAS fata\2012 DEPTO ESCRITURAS\PROTOCOLIZACION\PEDRO TORRES SANHUEZA ´Popuesta II.doc</t>
  </si>
  <si>
    <t>C:\Users\franc\OneDrive\Documentos\MALENTIN KARIME\BANCO ESTADO\2012 DEPTO ESCRITURAS fata\2012 DEPTO ESCRITURAS\PROTOCOLIZACION\PEDRO TORRES SANHUEZA 50-2011.doc</t>
  </si>
  <si>
    <t>C:\Users\franc\OneDrive\Documentos\MALENTIN KARIME\BANCO ESTADO\2012 DEPTO ESCRITURAS fata\2012 DEPTO ESCRITURAS\PROTOCOLIZACION\PEDRO TORRES SANHUEZA 3ª Modif.doc</t>
  </si>
  <si>
    <t>C:\Users\franc\OneDrive\Documentos\MALENTIN KARIME\BANCO ESTADO\2012 DEPTO ESCRITURAS fata\2012 DEPTO ESCRITURAS\PROTOCOLIZACION\PATRICIA LARA CASTRO Contrato Directo.doc</t>
  </si>
  <si>
    <t>C:\Users\franc\OneDrive\Documentos\MALENTIN KARIME\BANCO ESTADO\2012 DEPTO ESCRITURAS fata\2012 DEPTO ESCRITURAS\PROTOCOLIZACION\OSCAR GODOY CUELLAR Inventario.doc</t>
  </si>
  <si>
    <t>C:\Users\franc\OneDrive\Documentos\MALENTIN KARIME\BANCO ESTADO\2012 DEPTO ESCRITURAS fata\2012 DEPTO ESCRITURAS\PROTOCOLIZACION\OSCAR GODOY CUELLAR Arriendo.doc</t>
  </si>
  <si>
    <t>C:\Users\franc\OneDrive\Documentos\MALENTIN KARIME\BANCO ESTADO\2012 DEPTO ESCRITURAS fata\2012 DEPTO ESCRITURAS\PROTOCOLIZACION\OLGA PIZARRO E.I.R.L.pp 11-2012.doc</t>
  </si>
  <si>
    <t>C:\Users\franc\OneDrive\Documentos\MALENTIN KARIME\BANCO ESTADO\2012 DEPTO ESCRITURAS fata\2012 DEPTO ESCRITURAS\PROTOCOLIZACION\OLGA PIZARRO E.I.R.L.Agos 13.doc</t>
  </si>
  <si>
    <t>C:\Users\franc\OneDrive\Documentos\MALENTIN KARIME\BANCO ESTADO\2012 DEPTO ESCRITURAS fata\2012 DEPTO ESCRITURAS\PROTOCOLIZACION\OLGA PIZARRO E.I.R.L..doc</t>
  </si>
  <si>
    <t>C:\Users\franc\OneDrive\Documentos\MALENTIN KARIME\BANCO ESTADO\2012 DEPTO ESCRITURAS fata\2012 DEPTO ESCRITURAS\PROTOCOLIZACION\MERCADAL Propuesta.doc</t>
  </si>
  <si>
    <t>C:\Users\franc\OneDrive\Documentos\MALENTIN KARIME\BANCO ESTADO\2012 DEPTO ESCRITURAS fata\2012 DEPTO ESCRITURAS\PROTOCOLIZACION\MERCADAL Propuesta 09 octubre.doc</t>
  </si>
  <si>
    <t>C:\Users\franc\OneDrive\Documentos\MALENTIN KARIME\BANCO ESTADO\2012 DEPTO ESCRITURAS fata\2012 DEPTO ESCRITURAS\PROTOCOLIZACION\MARTIN ESCALA DIAZ Propuesta.doc</t>
  </si>
  <si>
    <t>C:\Users\franc\OneDrive\Documentos\MALENTIN KARIME\BANCO ESTADO\2012 DEPTO ESCRITURAS fata\2012 DEPTO ESCRITURAS\PROTOCOLIZACION\MARTA MUÑOZ SAAVEDRA.doc</t>
  </si>
  <si>
    <t>C:\Users\franc\OneDrive\Documentos\MALENTIN KARIME\BANCO ESTADO\2012 DEPTO ESCRITURAS fata\2012 DEPTO ESCRITURAS\PROTOCOLIZACION\MARTA ACUÑA CORTES  Propuesta.doc</t>
  </si>
  <si>
    <t>C:\Users\franc\OneDrive\Documentos\MALENTIN KARIME\BANCO ESTADO\2012 DEPTO ESCRITURAS fata\2012 DEPTO ESCRITURAS\PROTOCOLIZACION\MARIA PEREZ.doc</t>
  </si>
  <si>
    <t>C:\Users\franc\OneDrive\Documentos\MALENTIN KARIME\BANCO ESTADO\2012 DEPTO ESCRITURAS fata\2012 DEPTO ESCRITURAS\PROTOCOLIZACION\MARIA HERNANDEZ LEYTON.doc</t>
  </si>
  <si>
    <t>C:\Users\franc\OneDrive\Documentos\MALENTIN KARIME\BANCO ESTADO\2012 DEPTO ESCRITURAS fata\2012 DEPTO ESCRITURAS\PROTOCOLIZACION\MARIA ALVAREZ HENRIQUE drogas.doc</t>
  </si>
  <si>
    <t>C:\Users\franc\OneDrive\Documentos\MALENTIN KARIME\BANCO ESTADO\2012 DEPTO ESCRITURAS fata\2012 DEPTO ESCRITURAS\PROTOCOLIZACION\LUIS SALAS ROJAS.doc</t>
  </si>
  <si>
    <t>C:\Users\franc\OneDrive\Documentos\MALENTIN KARIME\BANCO ESTADO\2012 DEPTO ESCRITURAS fata\2012 DEPTO ESCRITURAS\PROTOCOLIZACION\LUIS DELGADOVALDES.doc</t>
  </si>
  <si>
    <t>C:\Users\franc\OneDrive\Documentos\MALENTIN KARIME\BANCO ESTADO\2012 DEPTO ESCRITURAS fata\2012 DEPTO ESCRITURAS\PROTOCOLIZACION\KAREN ALFARO Drogas.doc</t>
  </si>
  <si>
    <t>C:\Users\franc\OneDrive\Documentos\MALENTIN KARIME\BANCO ESTADO\2012 DEPTO ESCRITURAS fata\2012 DEPTO ESCRITURAS\PROTOCOLIZACION\KAREN ALFARO Dcl.Juez Suplente 323 bis.doc</t>
  </si>
  <si>
    <t>C:\Users\franc\OneDrive\Documentos\MALENTIN KARIME\BANCO ESTADO\2012 DEPTO ESCRITURAS fata\2012 DEPTO ESCRITURAS\PROTOCOLIZACION\JUNTA VIGILANCIA RIO MOSTAZAL.doc</t>
  </si>
  <si>
    <t>C:\Users\franc\OneDrive\Documentos\MALENTIN KARIME\BANCO ESTADO\2012 DEPTO ESCRITURAS fata\2012 DEPTO ESCRITURAS\PROTOCOLIZACION\JUNTA VECINOS PARRAL DE QUILES.doc</t>
  </si>
  <si>
    <t>C:\Users\franc\OneDrive\Documentos\MALENTIN KARIME\BANCO ESTADO\2012 DEPTO ESCRITURAS fata\2012 DEPTO ESCRITURAS\PROTOCOLIZACION\JUNTA VECINOS PARRAL DE QUILES MPunitaqui.doc</t>
  </si>
  <si>
    <t>C:\Users\franc\OneDrive\Documentos\MALENTIN KARIME\BANCO ESTADO\2012 DEPTO ESCRITURAS fata\2012 DEPTO ESCRITURAS\PROTOCOLIZACION\JTA DE VECINOS VILLA MINERA.doc</t>
  </si>
  <si>
    <t>C:\Users\franc\OneDrive\Documentos\MALENTIN KARIME\BANCO ESTADO\2012 DEPTO ESCRITURAS fata\2012 DEPTO ESCRITURAS\PROTOCOLIZACION\JORGE ARAYA MUÑOZ.doc</t>
  </si>
  <si>
    <t>C:\Users\franc\OneDrive\Documentos\MALENTIN KARIME\BANCO ESTADO\2012 DEPTO ESCRITURAS fata\2012 DEPTO ESCRITURAS\PROTOCOLIZACION\JORGE ARAYA MUÑOZ Indap.doc</t>
  </si>
  <si>
    <t>C:\Users\franc\OneDrive\Documentos\MALENTIN KARIME\BANCO ESTADO\2012 DEPTO ESCRITURAS fata\2012 DEPTO ESCRITURAS\PROTOCOLIZACION\JEANNETTE MEDINA ARAYA  Propuesta.doc</t>
  </si>
  <si>
    <t>C:\Users\franc\OneDrive\Documentos\MALENTIN KARIME\BANCO ESTADO\2012 DEPTO ESCRITURAS fata\2012 DEPTO ESCRITURAS\PROTOCOLIZACION\JAIME RAMIREZ VALENZUELA (Resuelvo).doc</t>
  </si>
  <si>
    <t>C:\Users\franc\OneDrive\Documentos\MALENTIN KARIME\BANCO ESTADO\2012 DEPTO ESCRITURAS fata\2012 DEPTO ESCRITURAS\PROTOCOLIZACION\IVAN VARELA.doc</t>
  </si>
  <si>
    <t>C:\Users\franc\OneDrive\Documentos\MALENTIN KARIME\BANCO ESTADO\2012 DEPTO ESCRITURAS fata\2012 DEPTO ESCRITURAS\PROTOCOLIZACION\Inventario.doc</t>
  </si>
  <si>
    <t>C:\Users\franc\OneDrive\Documentos\MALENTIN KARIME\BANCO ESTADO\2012 DEPTO ESCRITURAS fata\2012 DEPTO ESCRITURAS\PROTOCOLIZACION\INGENIERIA Y CONSTRUCCIONES CAMARICO Resolución 1578.doc</t>
  </si>
  <si>
    <t>C:\Users\franc\OneDrive\Documentos\MALENTIN KARIME\BANCO ESTADO\2012 DEPTO ESCRITURAS fata\2012 DEPTO ESCRITURAS\PROTOCOLIZACION\Hoja Anexa de Actas.doc</t>
  </si>
  <si>
    <t>C:\Users\franc\OneDrive\Documentos\MALENTIN KARIME\BANCO ESTADO\2012 DEPTO ESCRITURAS fata\2012 DEPTO ESCRITURAS\PROTOCOLIZACION\HERMAN ROJAS ALUCEMA.doc</t>
  </si>
  <si>
    <t>C:\Users\franc\OneDrive\Documentos\MALENTIN KARIME\BANCO ESTADO\2012 DEPTO ESCRITURAS fata\2012 DEPTO ESCRITURAS\PROTOCOLIZACION\HERMAN BOLVARAN DIAZ PP.doc</t>
  </si>
  <si>
    <t>C:\Users\franc\OneDrive\Documentos\MALENTIN KARIME\BANCO ESTADO\2012 DEPTO ESCRITURAS fata\2012 DEPTO ESCRITURAS\PROTOCOLIZACION\HERBET ROHDE Magistrado Fiscal.doc</t>
  </si>
  <si>
    <t>C:\Users\franc\OneDrive\Documentos\MALENTIN KARIME\BANCO ESTADO\2012 DEPTO ESCRITURAS fata\2012 DEPTO ESCRITURAS\PROTOCOLIZACION\GABRIEL RODRIGUEZ Inventario.doc</t>
  </si>
  <si>
    <t>C:\Users\franc\OneDrive\Documentos\MALENTIN KARIME\BANCO ESTADO\2012 DEPTO ESCRITURAS fata\2012 DEPTO ESCRITURAS\PROTOCOLIZACION\GABRIEL PEÑA LEDEZMA.doc</t>
  </si>
  <si>
    <t>C:\Users\franc\OneDrive\Documentos\MALENTIN KARIME\BANCO ESTADO\2012 DEPTO ESCRITURAS fata\2012 DEPTO ESCRITURAS\PROTOCOLIZACION\FRANCISCO UGALDE.doc</t>
  </si>
  <si>
    <t>C:\Users\franc\OneDrive\Documentos\MALENTIN KARIME\BANCO ESTADO\2012 DEPTO ESCRITURAS fata\2012 DEPTO ESCRITURAS\PROTOCOLIZACION\FRANCISCO PIZARRO RESOLUCION.doc</t>
  </si>
  <si>
    <t>C:\Users\franc\OneDrive\Documentos\MALENTIN KARIME\BANCO ESTADO\2012 DEPTO ESCRITURAS fata\2012 DEPTO ESCRITURAS\PROTOCOLIZACION\FIRMAS.AUT MUNICIP.ALCALDESA.doc</t>
  </si>
  <si>
    <t>C:\Users\franc\OneDrive\Documentos\MALENTIN KARIME\BANCO ESTADO\2012 DEPTO ESCRITURAS fata\2012 DEPTO ESCRITURAS\PROTOCOLIZACION\FIRMAS.AUT MUNICIP.ALCALDESA RIO HURTADO.doc</t>
  </si>
  <si>
    <t>C:\Users\franc\OneDrive\Documentos\MALENTIN KARIME\BANCO ESTADO\2012 DEPTO ESCRITURAS fata\2012 DEPTO ESCRITURAS\PROTOCOLIZACION\FIRMA AUT. Roberto Vega.doc</t>
  </si>
  <si>
    <t>C:\Users\franc\OneDrive\Documentos\MALENTIN KARIME\BANCO ESTADO\2012 DEPTO ESCRITURAS fata\2012 DEPTO ESCRITURAS\PROTOCOLIZACION\FIRMA AUT. Juan Francisco Soto Alfaro.doc</t>
  </si>
  <si>
    <t>C:\Users\franc\OneDrive\Documentos\MALENTIN KARIME\BANCO ESTADO\2012 DEPTO ESCRITURAS fata\2012 DEPTO ESCRITURAS\PROTOCOLIZACION\FABIOLA GONZALEZ BRAVO Indap.doc</t>
  </si>
  <si>
    <t>C:\Users\franc\OneDrive\Documentos\MALENTIN KARIME\BANCO ESTADO\2012 DEPTO ESCRITURAS fata\2012 DEPTO ESCRITURAS\PROTOCOLIZACION\ENRIQUE ORTIZ RIVAS Propuesta.doc</t>
  </si>
  <si>
    <t>C:\Users\franc\OneDrive\Documentos\MALENTIN KARIME\BANCO ESTADO\2012 DEPTO ESCRITURAS fata\2012 DEPTO ESCRITURAS\PROTOCOLIZACION\EDUARDO VARAS  Propuesta Modifc  Vehiculo.doc</t>
  </si>
  <si>
    <t>C:\Users\franc\OneDrive\Documentos\MALENTIN KARIME\BANCO ESTADO\2012 DEPTO ESCRITURAS fata\2012 DEPTO ESCRITURAS\PROTOCOLIZACION\EDITH PIZARRO GUERRERO.doc</t>
  </si>
  <si>
    <t>C:\Users\franc\OneDrive\Documentos\MALENTIN KARIME\BANCO ESTADO\2012 DEPTO ESCRITURAS fata\2012 DEPTO ESCRITURAS\PROTOCOLIZACION\DRV INGENIERIA Propuesta.doc</t>
  </si>
  <si>
    <t>C:\Users\franc\OneDrive\Documentos\MALENTIN KARIME\BANCO ESTADO\2012 DEPTO ESCRITURAS fata\2012 DEPTO ESCRITURAS\PROTOCOLIZACION\DEONILA ARAYA ALFARO Poder ext.doc</t>
  </si>
  <si>
    <t>C:\Users\franc\OneDrive\Documentos\MALENTIN KARIME\BANCO ESTADO\2012 DEPTO ESCRITURAS fata\2012 DEPTO ESCRITURAS\PROTOCOLIZACION\DAVID BUGUEÑO Testamento.doc</t>
  </si>
  <si>
    <t>C:\Users\franc\OneDrive\Documentos\MALENTIN KARIME\BANCO ESTADO\2012 DEPTO ESCRITURAS fata\2012 DEPTO ESCRITURAS\PROTOCOLIZACION\CUERPO DE BOMBEROS Super.doc</t>
  </si>
  <si>
    <t>C:\Users\franc\OneDrive\Documentos\MALENTIN KARIME\BANCO ESTADO\2012 DEPTO ESCRITURAS fata\2012 DEPTO ESCRITURAS\PROTOCOLIZACION\CUERPO DE BOMBEROS 3.doc</t>
  </si>
  <si>
    <t>C:\Users\franc\OneDrive\Documentos\MALENTIN KARIME\BANCO ESTADO\2012 DEPTO ESCRITURAS fata\2012 DEPTO ESCRITURAS\PROTOCOLIZACION\cuarta compañia de bomberos.doc</t>
  </si>
  <si>
    <t>C:\Users\franc\OneDrive\Documentos\MALENTIN KARIME\BANCO ESTADO\2012 DEPTO ESCRITURAS fata\2012 DEPTO ESCRITURAS\PROTOCOLIZACION\CONSTRUCTORA SAN MATEO  Propuesta.doc</t>
  </si>
  <si>
    <t>C:\Users\franc\OneDrive\Documentos\MALENTIN KARIME\BANCO ESTADO\2012 DEPTO ESCRITURAS fata\2012 DEPTO ESCRITURAS\PROTOCOLIZACION\CONSTRUCTORA SAN MATEO  Modificacion 3-12.doc</t>
  </si>
  <si>
    <t>C:\Users\franc\OneDrive\Documentos\MALENTIN KARIME\BANCO ESTADO\2012 DEPTO ESCRITURAS fata\2012 DEPTO ESCRITURAS\PROTOCOLIZACION\CONSTRUCTORA SAN FERNANDO  Propuesta.doc</t>
  </si>
  <si>
    <t>C:\Users\franc\OneDrive\Documentos\MALENTIN KARIME\BANCO ESTADO\2012 DEPTO ESCRITURAS fata\2012 DEPTO ESCRITURAS\PROTOCOLIZACION\CONSTRUCTORA SAN FERNANDO  Propuesta NOVIE 12.doc</t>
  </si>
  <si>
    <t>C:\Users\franc\OneDrive\Documentos\MALENTIN KARIME\BANCO ESTADO\2012 DEPTO ESCRITURAS fata\2012 DEPTO ESCRITURAS\PROTOCOLIZACION\CONSTRUCTORA SAN FERNANDO  Propuesta ii.doc</t>
  </si>
  <si>
    <t>C:\Users\franc\OneDrive\Documentos\MALENTIN KARIME\BANCO ESTADO\2012 DEPTO ESCRITURAS fata\2012 DEPTO ESCRITURAS\PROTOCOLIZACION\CONSTRUCTORA SAN FERNANDO  Propuesta 042013.doc</t>
  </si>
  <si>
    <t>C:\Users\franc\OneDrive\Documentos\MALENTIN KARIME\BANCO ESTADO\2012 DEPTO ESCRITURAS fata\2012 DEPTO ESCRITURAS\PROTOCOLIZACION\CONSTRUCTORA SAN FERNANDO  Propuesta 042013 ii.doc</t>
  </si>
  <si>
    <t>C:\Users\franc\OneDrive\Documentos\MALENTIN KARIME\BANCO ESTADO\2012 DEPTO ESCRITURAS fata\2012 DEPTO ESCRITURAS\PROTOCOLIZACION\CONSTRUCTORA SAN FERNANDO  Propuesta 04-12.doc</t>
  </si>
  <si>
    <t>C:\Users\franc\OneDrive\Documentos\MALENTIN KARIME\BANCO ESTADO\2012 DEPTO ESCRITURAS fata\2012 DEPTO ESCRITURAS\PROTOCOLIZACION\COMUNIDAD LAS DAMAS Presidente.doc</t>
  </si>
  <si>
    <t>C:\Users\franc\OneDrive\Documentos\MALENTIN KARIME\BANCO ESTADO\2012 DEPTO ESCRITURAS fata\2012 DEPTO ESCRITURAS\PROTOCOLIZACION\COMUNIDAD EL PERAL OJO DE AGUA.doc</t>
  </si>
  <si>
    <t>C:\Users\franc\OneDrive\Documentos\MALENTIN KARIME\BANCO ESTADO\2012 DEPTO ESCRITURAS fata\2012 DEPTO ESCRITURAS\PROTOCOLIZACION\COMUNIDAD EL OLIVO.doc</t>
  </si>
  <si>
    <t>C:\Users\franc\OneDrive\Documentos\MALENTIN KARIME\BANCO ESTADO\2012 DEPTO ESCRITURAS fata\2012 DEPTO ESCRITURAS\PROTOCOLIZACION\COMUNIDAD EL OLIVO 09 AGOSTO.doc</t>
  </si>
  <si>
    <t>C:\Users\franc\OneDrive\Documentos\MALENTIN KARIME\BANCO ESTADO\2012 DEPTO ESCRITURAS fata\2012 DEPTO ESCRITURAS\PROTOCOLIZACION\COMUNIDAD EL BUITRE.doc</t>
  </si>
  <si>
    <t>C:\Users\franc\OneDrive\Documentos\MALENTIN KARIME\BANCO ESTADO\2012 DEPTO ESCRITURAS fata\2012 DEPTO ESCRITURAS\PROTOCOLIZACION\Comunidad CARRIZAL Y LAGUNA de Seron.doc</t>
  </si>
  <si>
    <t>C:\Users\franc\OneDrive\Documentos\MALENTIN KARIME\BANCO ESTADO\2012 DEPTO ESCRITURAS fata\2012 DEPTO ESCRITURAS\PROTOCOLIZACION\COMUNIDAD AGRICOLA EL TOME.doc</t>
  </si>
  <si>
    <t>C:\Users\franc\OneDrive\Documentos\MALENTIN KARIME\BANCO ESTADO\2012 DEPTO ESCRITURAS fata\2012 DEPTO ESCRITURAS\PROTOCOLIZACION\COMUNIDAD AGRICOLA EL ALTAR.doc</t>
  </si>
  <si>
    <t>C:\Users\franc\OneDrive\Documentos\MALENTIN KARIME\BANCO ESTADO\2012 DEPTO ESCRITURAS fata\2012 DEPTO ESCRITURAS\PROTOCOLIZACION\COMITE JUAN PABLO I Y VERONICA VEGA.doc</t>
  </si>
  <si>
    <t>C:\Users\franc\OneDrive\Documentos\MALENTIN KARIME\BANCO ESTADO\2012 DEPTO ESCRITURAS fata\2012 DEPTO ESCRITURAS\PROTOCOLIZACION\COMITE DE AGUA POTABLE RURAL LAS MOLLACAS.doc</t>
  </si>
  <si>
    <t>C:\Users\franc\OneDrive\Documentos\MALENTIN KARIME\BANCO ESTADO\2012 DEPTO ESCRITURAS fata\2012 DEPTO ESCRITURAS\PROTOCOLIZACION\COMITE DE ADELANTO VILLA AGRICOLA.doc</t>
  </si>
  <si>
    <t>C:\Users\franc\OneDrive\Documentos\MALENTIN KARIME\BANCO ESTADO\2012 DEPTO ESCRITURAS fata\2012 DEPTO ESCRITURAS\PROTOCOLIZACION\COMITE AGUA POTABLE.doc</t>
  </si>
  <si>
    <t>C:\Users\franc\OneDrive\Documentos\MALENTIN KARIME\BANCO ESTADO\2012 DEPTO ESCRITURAS fata\2012 DEPTO ESCRITURAS\PROTOCOLIZACION\COMITE AGUA POTABLE RURAL COMBARBALA.doc</t>
  </si>
  <si>
    <t>C:\Users\franc\OneDrive\Documentos\MALENTIN KARIME\BANCO ESTADO\2012 DEPTO ESCRITURAS fata\2012 DEPTO ESCRITURAS\PROTOCOLIZACION\COFMED PRESTACIONES.doc</t>
  </si>
  <si>
    <t>C:\Users\franc\OneDrive\Documentos\MALENTIN KARIME\BANCO ESTADO\2012 DEPTO ESCRITURAS fata\2012 DEPTO ESCRITURAS\PROTOCOLIZACION\CLUB OVALLE Mario Barrios.doc</t>
  </si>
  <si>
    <t>C:\Users\franc\OneDrive\Documentos\MALENTIN KARIME\BANCO ESTADO\2012 DEPTO ESCRITURAS fata\2012 DEPTO ESCRITURAS\PROTOCOLIZACION\CLUB OVALLE 2009-2010Mario Barrios.doc</t>
  </si>
  <si>
    <t>C:\Users\franc\OneDrive\Documentos\MALENTIN KARIME\BANCO ESTADO\2012 DEPTO ESCRITURAS fata\2012 DEPTO ESCRITURAS\PROTOCOLIZACION\CLUB DEPORTIVO PUNITAQUI MPunitaqui.doc</t>
  </si>
  <si>
    <t>C:\Users\franc\OneDrive\Documentos\MALENTIN KARIME\BANCO ESTADO\2012 DEPTO ESCRITURAS fata\2012 DEPTO ESCRITURAS\PROTOCOLIZACION\CLUB DE RODEO 23 JUNIO.doc</t>
  </si>
  <si>
    <t>C:\Users\franc\OneDrive\Documentos\MALENTIN KARIME\BANCO ESTADO\2012 DEPTO ESCRITURAS fata\2012 DEPTO ESCRITURAS\PROTOCOLIZACION\CLUB DE RODEO 15 JULIO.doc</t>
  </si>
  <si>
    <t>C:\Users\franc\OneDrive\Documentos\MALENTIN KARIME\BANCO ESTADO\2012 DEPTO ESCRITURAS fata\2012 DEPTO ESCRITURAS\PROTOCOLIZACION\CLUB DE RODEO 1 DICIEMBRE.doc</t>
  </si>
  <si>
    <t>C:\Users\franc\OneDrive\Documentos\MALENTIN KARIME\BANCO ESTADO\2012 DEPTO ESCRITURAS fata\2012 DEPTO ESCRITURAS\PROTOCOLIZACION\CLUB DE LEONES DE OVALLE 15 JULIO 13.doc</t>
  </si>
  <si>
    <t>C:\Users\franc\OneDrive\Documentos\MALENTIN KARIME\BANCO ESTADO\2012 DEPTO ESCRITURAS fata\2012 DEPTO ESCRITURAS\PROTOCOLIZACION\CLAUDIA ORTIZ LEIVA drogas.doc</t>
  </si>
  <si>
    <t>C:\Users\franc\OneDrive\Documentos\MALENTIN KARIME\BANCO ESTADO\2012 DEPTO ESCRITURAS fata\2012 DEPTO ESCRITURAS\PROTOCOLIZACION\CIRO BERRIOS ROMERO  Propuesta.doc</t>
  </si>
  <si>
    <t>C:\Users\franc\OneDrive\Documentos\MALENTIN KARIME\BANCO ESTADO\2012 DEPTO ESCRITURAS fata\2012 DEPTO ESCRITURAS\PROTOCOLIZACION\CIRO BERRIOS  Propuesta.doc</t>
  </si>
  <si>
    <t>C:\Users\franc\OneDrive\Documentos\MALENTIN KARIME\BANCO ESTADO\2012 DEPTO ESCRITURAS fata\2012 DEPTO ESCRITURAS\PROTOCOLIZACION\CERMELO ZEPEDA Inventario.doc</t>
  </si>
  <si>
    <t>C:\Users\franc\OneDrive\Documentos\MALENTIN KARIME\BANCO ESTADO\2012 DEPTO ESCRITURAS fata\2012 DEPTO ESCRITURAS\PROTOCOLIZACION\CDAD INGA PICHASCA.doc</t>
  </si>
  <si>
    <t>C:\Users\franc\OneDrive\Documentos\MALENTIN KARIME\BANCO ESTADO\2012 DEPTO ESCRITURAS fata\2012 DEPTO ESCRITURAS\PROTOCOLIZACION\CDAD INGA PICHASCA fs. 47 v.doc</t>
  </si>
  <si>
    <t>C:\Users\franc\OneDrive\Documentos\MALENTIN KARIME\BANCO ESTADO\2012 DEPTO ESCRITURAS fata\2012 DEPTO ESCRITURAS\PROTOCOLIZACION\CDAD EL POTRERO DE HUATULAME.doc</t>
  </si>
  <si>
    <t>C:\Users\franc\OneDrive\Documentos\MALENTIN KARIME\BANCO ESTADO\2012 DEPTO ESCRITURAS fata\2012 DEPTO ESCRITURAS\PROTOCOLIZACION\CDAD AGUAS CANAL ROMERAL.doc</t>
  </si>
  <si>
    <t>C:\Users\franc\OneDrive\Documentos\MALENTIN KARIME\BANCO ESTADO\2012 DEPTO ESCRITURAS fata\2012 DEPTO ESCRITURAS\PROTOCOLIZACION\CDAD AGUAS CANAL PUNTILLA SAN JUAN.doc</t>
  </si>
  <si>
    <t>C:\Users\franc\OneDrive\Documentos\MALENTIN KARIME\BANCO ESTADO\2012 DEPTO ESCRITURAS fata\2012 DEPTO ESCRITURAS\PROTOCOLIZACION\CDAD AGRICOLA LA RINCONADA.doc</t>
  </si>
  <si>
    <t>C:\Users\franc\OneDrive\Documentos\MALENTIN KARIME\BANCO ESTADO\2012 DEPTO ESCRITURAS fata\2012 DEPTO ESCRITURAS\PROTOCOLIZACION\CDAD AGRICOLA EL POTRERO DE HUATULAME.doc</t>
  </si>
  <si>
    <t>C:\Users\franc\OneDrive\Documentos\MALENTIN KARIME\BANCO ESTADO\2012 DEPTO ESCRITURAS fata\2012 DEPTO ESCRITURAS\PROTOCOLIZACION\CDAD AGRICOLA EL POTRERO DE HUATULAME fs.37.doc</t>
  </si>
  <si>
    <t>C:\Users\franc\OneDrive\Documentos\MALENTIN KARIME\BANCO ESTADO\2012 DEPTO ESCRITURAS fata\2012 DEPTO ESCRITURAS\PROTOCOLIZACION\CDAD AGRICOLA EL POTRERO DE HUATULAME fs 26 vta..doc</t>
  </si>
  <si>
    <t>C:\Users\franc\OneDrive\Documentos\MALENTIN KARIME\BANCO ESTADO\2012 DEPTO ESCRITURAS fata\2012 DEPTO ESCRITURAS\PROTOCOLIZACION\CDAD AGRICOLA CARRIZAL Y LAGUNA DE SERON.doc</t>
  </si>
  <si>
    <t>C:\Users\franc\OneDrive\Documentos\MALENTIN KARIME\BANCO ESTADO\2012 DEPTO ESCRITURAS fata\2012 DEPTO ESCRITURAS\PROTOCOLIZACION\CARLOS MANRIQUEZ Propuesta.doc</t>
  </si>
  <si>
    <t>C:\Users\franc\OneDrive\Documentos\MALENTIN KARIME\BANCO ESTADO\2012 DEPTO ESCRITURAS fata\2012 DEPTO ESCRITURAS\PROTOCOLIZACION\CANTUARIAS Propuesta.doc</t>
  </si>
  <si>
    <t>C:\Users\franc\OneDrive\Documentos\MALENTIN KARIME\BANCO ESTADO\2012 DEPTO ESCRITURAS fata\2012 DEPTO ESCRITURAS\PROTOCOLIZACION\CANAL VECINDARI GRANDE LA CHIMBA.doc</t>
  </si>
  <si>
    <t>C:\Users\franc\OneDrive\Documentos\MALENTIN KARIME\BANCO ESTADO\2012 DEPTO ESCRITURAS fata\2012 DEPTO ESCRITURAS\PROTOCOLIZACION\CANAL CHAÑARAL DE CAREN.doc</t>
  </si>
  <si>
    <t>C:\Users\franc\OneDrive\Documentos\MALENTIN KARIME\BANCO ESTADO\2012 DEPTO ESCRITURAS fata\2012 DEPTO ESCRITURAS\PROTOCOLIZACION\BONIFICIO IBACACHE Inventario.doc</t>
  </si>
  <si>
    <t>C:\Users\franc\OneDrive\Documentos\MALENTIN KARIME\BANCO ESTADO\2012 DEPTO ESCRITURAS fata\2012 DEPTO ESCRITURAS\PROTOCOLIZACION\BOMBEROS 2 CIA..doc</t>
  </si>
  <si>
    <t>C:\Users\franc\OneDrive\Documentos\MALENTIN KARIME\BANCO ESTADO\2012 DEPTO ESCRITURAS fata\2012 DEPTO ESCRITURAS\PROTOCOLIZACION\Autorizo la firma de don RUBEN ANTONIO SIERRA SIERRA.doc</t>
  </si>
  <si>
    <t>C:\Users\franc\OneDrive\Documentos\MALENTIN KARIME\BANCO ESTADO\2012 DEPTO ESCRITURAS fata\2012 DEPTO ESCRITURAS\PROTOCOLIZACION\Autorizo la firma de don RAUL CAMPAÑA PIZARRO Tasui.doc</t>
  </si>
  <si>
    <t>C:\Users\franc\OneDrive\Documentos\MALENTIN KARIME\BANCO ESTADO\2012 DEPTO ESCRITURAS fata\2012 DEPTO ESCRITURAS\PROTOCOLIZACION\Autorizo la firma de don MAURICIO DI PEDE MARTIN.doc</t>
  </si>
  <si>
    <t>C:\Users\franc\OneDrive\Documentos\MALENTIN KARIME\BANCO ESTADO\2012 DEPTO ESCRITURAS fata\2012 DEPTO ESCRITURAS\PROTOCOLIZACION\Autorizo la firma de don MAURICIO DI PEDE MARTIN POLIDEPORTIVO.doc</t>
  </si>
  <si>
    <t>C:\Users\franc\OneDrive\Documentos\MALENTIN KARIME\BANCO ESTADO\2012 DEPTO ESCRITURAS fata\2012 DEPTO ESCRITURAS\PROTOCOLIZACION\Autorizo la firma de don ARTURO ENRIQUE FORNO RAMIREZ.doc</t>
  </si>
  <si>
    <t>C:\Users\franc\OneDrive\Documentos\MALENTIN KARIME\BANCO ESTADO\2012 DEPTO ESCRITURAS fata\2012 DEPTO ESCRITURAS\PROTOCOLIZACION\Autorizo la firma de don ALVARO FELIPE  MERCANDAL GONZALEZ.doc</t>
  </si>
  <si>
    <t>C:\Users\franc\OneDrive\Documentos\MALENTIN KARIME\BANCO ESTADO\2012 DEPTO ESCRITURAS fata\2012 DEPTO ESCRITURAS\PROTOCOLIZACION\Autorizo la firma de concesion puesto.doc</t>
  </si>
  <si>
    <t>C:\Users\franc\OneDrive\Documentos\MALENTIN KARIME\BANCO ESTADO\2012 DEPTO ESCRITURAS fata\2012 DEPTO ESCRITURAS\PROTOCOLIZACION\autorizacion.doc</t>
  </si>
  <si>
    <t>C:\Users\franc\OneDrive\Documentos\MALENTIN KARIME\BANCO ESTADO\2012 DEPTO ESCRITURAS fata\2012 DEPTO ESCRITURAS\PROTOCOLIZACION\autorizacion legajo.doc</t>
  </si>
  <si>
    <t>C:\Users\franc\OneDrive\Documentos\MALENTIN KARIME\BANCO ESTADO\2012 DEPTO ESCRITURAS fata\2012 DEPTO ESCRITURAS\PROTOCOLIZACION\autorizacion horizontal.doc</t>
  </si>
  <si>
    <t>C:\Users\franc\OneDrive\Documentos\MALENTIN KARIME\BANCO ESTADO\2012 DEPTO ESCRITURAS fata\2012 DEPTO ESCRITURAS\PROTOCOLIZACION\autorizacion hojas sueltas.doc</t>
  </si>
  <si>
    <t>C:\Users\franc\OneDrive\Documentos\MALENTIN KARIME\BANCO ESTADO\2012 DEPTO ESCRITURAS fata\2012 DEPTO ESCRITURAS\PROTOCOLIZACION\ASOCIACION NACIONAL PENSIONADOS.doc</t>
  </si>
  <si>
    <t>C:\Users\franc\OneDrive\Documentos\MALENTIN KARIME\BANCO ESTADO\2012 DEPTO ESCRITURAS fata\2012 DEPTO ESCRITURAS\PROTOCOLIZACION\ASOCIACION NACIONAL PENSIONADOS directiva.doc</t>
  </si>
  <si>
    <t>C:\Users\franc\OneDrive\Documentos\MALENTIN KARIME\BANCO ESTADO\2012 DEPTO ESCRITURAS fata\2012 DEPTO ESCRITURAS\PROTOCOLIZACION\ASOC. GREMIAL MINERA PUNITAQUI.doc</t>
  </si>
  <si>
    <t>C:\Users\franc\OneDrive\Documentos\MALENTIN KARIME\BANCO ESTADO\2012 DEPTO ESCRITURAS fata\2012 DEPTO ESCRITURAS\PROTOCOLIZACION\ASOC. GREMIAL MINERA PUNITAQUI estatutos.doc</t>
  </si>
  <si>
    <t>C:\Users\franc\OneDrive\Documentos\MALENTIN KARIME\BANCO ESTADO\2012 DEPTO ESCRITURAS fata\2012 DEPTO ESCRITURAS\PROTOCOLIZACION\APR VILLA SECA.doc</t>
  </si>
  <si>
    <t>C:\Users\franc\OneDrive\Documentos\MALENTIN KARIME\BANCO ESTADO\2012 DEPTO ESCRITURAS fata\2012 DEPTO ESCRITURAS\PROTOCOLIZACION\APR SAN MARCOS.doc</t>
  </si>
  <si>
    <t>C:\Users\franc\OneDrive\Documentos\MALENTIN KARIME\BANCO ESTADO\2012 DEPTO ESCRITURAS fata\2012 DEPTO ESCRITURAS\PROTOCOLIZACION\APR SAN MARCOS  Fs 54.doc</t>
  </si>
  <si>
    <t>C:\Users\franc\OneDrive\Documentos\MALENTIN KARIME\BANCO ESTADO\2012 DEPTO ESCRITURAS fata\2012 DEPTO ESCRITURAS\PROTOCOLIZACION\APR SAN MARCOS  Fs 52.doc</t>
  </si>
  <si>
    <t>C:\Users\franc\OneDrive\Documentos\MALENTIN KARIME\BANCO ESTADO\2012 DEPTO ESCRITURAS fata\2012 DEPTO ESCRITURAS\PROTOCOLIZACION\APR SAN MARCOS  Fs 51 vta..doc</t>
  </si>
  <si>
    <t>C:\Users\franc\OneDrive\Documentos\MALENTIN KARIME\BANCO ESTADO\2012 DEPTO ESCRITURAS fata\2012 DEPTO ESCRITURAS\PROTOCOLIZACION\APR SAN MARCOS  Fs 49.doc</t>
  </si>
  <si>
    <t>C:\Users\franc\OneDrive\Documentos\MALENTIN KARIME\BANCO ESTADO\2012 DEPTO ESCRITURAS fata\2012 DEPTO ESCRITURAS\PROTOCOLIZACION\APR SAN MARCOS  Fs 47+.doc</t>
  </si>
  <si>
    <t>C:\Users\franc\OneDrive\Documentos\MALENTIN KARIME\BANCO ESTADO\2012 DEPTO ESCRITURAS fata\2012 DEPTO ESCRITURAS\PROTOCOLIZACION\APR SAN MARCOS  Fs 47 vta..doc</t>
  </si>
  <si>
    <t>C:\Users\franc\OneDrive\Documentos\MALENTIN KARIME\BANCO ESTADO\2012 DEPTO ESCRITURAS fata\2012 DEPTO ESCRITURAS\PROTOCOLIZACION\APR SAN MARCOS  Fs 44 vta..doc</t>
  </si>
  <si>
    <t>C:\Users\franc\OneDrive\Documentos\MALENTIN KARIME\BANCO ESTADO\2012 DEPTO ESCRITURAS fata\2012 DEPTO ESCRITURAS\PROTOCOLIZACION\APR SAN MARCOS  Fs 43.doc</t>
  </si>
  <si>
    <t>C:\Users\franc\OneDrive\Documentos\MALENTIN KARIME\BANCO ESTADO\2012 DEPTO ESCRITURAS fata\2012 DEPTO ESCRITURAS\PROTOCOLIZACION\APR SAN MARCOS  Fs 1.doc</t>
  </si>
  <si>
    <t>C:\Users\franc\OneDrive\Documentos\MALENTIN KARIME\BANCO ESTADO\2012 DEPTO ESCRITURAS fata\2012 DEPTO ESCRITURAS\PROTOCOLIZACION\APR LA RINCONADA.doc</t>
  </si>
  <si>
    <t>C:\Users\franc\OneDrive\Documentos\MALENTIN KARIME\BANCO ESTADO\2012 DEPTO ESCRITURAS fata\2012 DEPTO ESCRITURAS\PROTOCOLIZACION\APR HUATULAME.doc</t>
  </si>
  <si>
    <t>C:\Users\franc\OneDrive\Documentos\MALENTIN KARIME\BANCO ESTADO\2012 DEPTO ESCRITURAS fata\2012 DEPTO ESCRITURAS\PROTOCOLIZACION\APR CERRILLOS DE TAMAYA.doc</t>
  </si>
  <si>
    <t>C:\Users\franc\OneDrive\Documentos\MALENTIN KARIME\BANCO ESTADO\2012 DEPTO ESCRITURAS fata\2012 DEPTO ESCRITURAS\PROTOCOLIZACION\ANA ELIZABETH Inventario.doc</t>
  </si>
  <si>
    <t>C:\Users\franc\OneDrive\Documentos\MALENTIN KARIME\BANCO ESTADO\2012 DEPTO ESCRITURAS fata\2012 DEPTO ESCRITURAS\PROTOCOLIZACION\AMELIA MIRANDA ROJAS.doc</t>
  </si>
  <si>
    <t>C:\Users\franc\OneDrive\Documentos\MALENTIN KARIME\BANCO ESTADO\2012 DEPTO ESCRITURAS fata\2012 DEPTO ESCRITURAS\PROTOCOLIZACION\ALEJANDRA QUIROGA  Propuesta.doc</t>
  </si>
  <si>
    <t>C:\Users\franc\OneDrive\Documentos\MALENTIN KARIME\BANCO ESTADO\2012 DEPTO ESCRITURAS fata\2012 DEPTO ESCRITURAS\PROTOCOLIZACION\4cv inversiones ltda..doc</t>
  </si>
  <si>
    <t>C:\Users\franc\OneDrive\Documentos\MALENTIN KARIME\BANCO ESTADO\2012 DEPTO ESCRITURAS fata\2012 DEPTO ESCRITURAS\PROTOCOLIZACION\4cv inversiones ltda PROP 74-2011.doc</t>
  </si>
  <si>
    <t>C:\Users\franc\OneDrive\Documentos\MALENTIN KARIME\BANCO ESTADO\2012 DEPTO ESCRITURAS fata\2012 DEPTO ESCRITURAS\PROMESAS\PRENDAS\SOCIEDAD DE TRANSPORTES ALZER Alzam.doc</t>
  </si>
  <si>
    <t>C:\Users\franc\OneDrive\Documentos\MALENTIN KARIME\BANCO ESTADO\2012 DEPTO ESCRITURAS fata\2012 DEPTO ESCRITURAS\PROMESAS\PRENDAS\SOCIEDAD DE TRANSPORTES ALZER Alzam PRIVADO.doc</t>
  </si>
  <si>
    <t>C:\Users\franc\OneDrive\Documentos\MALENTIN KARIME\BANCO ESTADO\2012 DEPTO ESCRITURAS fata\2012 DEPTO ESCRITURAS\PROMESAS\PRENDAS\SOCIEDAD DE TRANSPORTES ALZER Alzam PRIVADO 2.doc</t>
  </si>
  <si>
    <t>C:\Users\franc\OneDrive\Documentos\MALENTIN KARIME\BANCO ESTADO\2012 DEPTO ESCRITURAS fata\2012 DEPTO ESCRITURAS\PROMESAS\PRENDAS\pagare.doc</t>
  </si>
  <si>
    <t>C:\Users\franc\OneDrive\Documentos\MALENTIN KARIME\BANCO ESTADO\2012 DEPTO ESCRITURAS fata\2012 DEPTO ESCRITURAS\PROMESAS\PRENDAS\MIRTA GALLARDO A SOUTHERN FRUIT Nov 12.doc</t>
  </si>
  <si>
    <t>C:\Users\franc\OneDrive\Documentos\MALENTIN KARIME\BANCO ESTADO\2012 DEPTO ESCRITURAS fata\2012 DEPTO ESCRITURAS\PROMESAS\PRENDAS\humberto aguirre.doc</t>
  </si>
  <si>
    <t>C:\Users\franc\OneDrive\Documentos\MALENTIN KARIME\BANCO ESTADO\2012 DEPTO ESCRITURAS fata\2012 DEPTO ESCRITURAS\PROMESAS\PRENDAS\humberto aguirre y soc. mal paso RECTI.doc</t>
  </si>
  <si>
    <t>C:\Users\franc\OneDrive\Documentos\MALENTIN KARIME\BANCO ESTADO\2012 DEPTO ESCRITURAS fata\2012 DEPTO ESCRITURAS\PROMESAS\PRENDAS\HUMBERTO AGUIRRE SA A RIO BLANCO.doc</t>
  </si>
  <si>
    <t>C:\Users\franc\OneDrive\Documentos\MALENTIN KARIME\BANCO ESTADO\2012 DEPTO ESCRITURAS fata\2012 DEPTO ESCRITURAS\PROMESAS\PRENDAS\FERANCISCO BOU VILLADA A SOUTHERN FRUIT Nov 12.doc</t>
  </si>
  <si>
    <t>C:\Users\franc\OneDrive\Documentos\MALENTIN KARIME\BANCO ESTADO\2012 DEPTO ESCRITURAS fata\2012 DEPTO ESCRITURAS\PROMESAS\PRENDAS\DEL MONTE Y LA GREDA.doc</t>
  </si>
  <si>
    <t>C:\Users\franc\OneDrive\Documentos\MALENTIN KARIME\BANCO ESTADO\2012 DEPTO ESCRITURAS fata\2012 DEPTO ESCRITURAS\PROMESAS\PRENDAS\COPEVAL A MANUEL DIAZ.doc</t>
  </si>
  <si>
    <t>C:\Users\franc\OneDrive\Documentos\MALENTIN KARIME\BANCO ESTADO\2012 DEPTO ESCRITURAS fata\2012 DEPTO ESCRITURAS\PROMESAS\PRENDAS\CARTA DE INSTRUCCIONES.doc</t>
  </si>
  <si>
    <t>C:\Users\franc\OneDrive\Documentos\MALENTIN KARIME\BANCO ESTADO\2012 DEPTO ESCRITURAS fata\2012 DEPTO ESCRITURAS\PROMESAS\PRENDAS\CARTA DE INSTRUCCIONES ii.doc</t>
  </si>
  <si>
    <t>C:\Users\franc\OneDrive\Documentos\MALENTIN KARIME\BANCO ESTADO\2012 DEPTO ESCRITURAS fata\2012 DEPTO ESCRITURAS\PROMESAS\WILFREDO CONTRERAS SANTANDER.doc</t>
  </si>
  <si>
    <t>C:\Users\franc\OneDrive\Documentos\MALENTIN KARIME\BANCO ESTADO\2012 DEPTO ESCRITURAS fata\2012 DEPTO ESCRITURAS\PROMESAS\WANDA UGUEÑO UGUEÑO A MARIA FLORES.doc</t>
  </si>
  <si>
    <t>C:\Users\franc\OneDrive\Documentos\MALENTIN KARIME\BANCO ESTADO\2012 DEPTO ESCRITURAS fata\2012 DEPTO ESCRITURAS\PROMESAS\VICTOR CORTES A PATRICIA ARANCIBIA.doc</t>
  </si>
  <si>
    <t>C:\Users\franc\OneDrive\Documentos\MALENTIN KARIME\BANCO ESTADO\2012 DEPTO ESCRITURAS fata\2012 DEPTO ESCRITURAS\PROMESAS\TELLCOR LIMITADA A CARLOS SCHULTZ.doc</t>
  </si>
  <si>
    <t>C:\Users\franc\OneDrive\Documentos\MALENTIN KARIME\BANCO ESTADO\2012 DEPTO ESCRITURAS fata\2012 DEPTO ESCRITURAS\PROMESAS\TELLCOR LIMITADA A Alejandro Cornejo Minuta.doc</t>
  </si>
  <si>
    <t>C:\Users\franc\OneDrive\Documentos\MALENTIN KARIME\BANCO ESTADO\2012 DEPTO ESCRITURAS fata\2012 DEPTO ESCRITURAS\PROMESAS\TELLCOR LIMITADA A Alejandro Cornejo Minuta  MODIFICACION.doc</t>
  </si>
  <si>
    <t>C:\Users\franc\OneDrive\Documentos\MALENTIN KARIME\BANCO ESTADO\2012 DEPTO ESCRITURAS fata\2012 DEPTO ESCRITURAS\PROMESAS\SYLVIA FLORES ALVAREZ Con agua.doc</t>
  </si>
  <si>
    <t>C:\Users\franc\OneDrive\Documentos\MALENTIN KARIME\BANCO ESTADO\2012 DEPTO ESCRITURAS fata\2012 DEPTO ESCRITURAS\PROMESAS\ROSSANA ARAYA ALFARO A AMADIEL ALFARO Ariztía.doc</t>
  </si>
  <si>
    <t>C:\Users\franc\OneDrive\Documentos\MALENTIN KARIME\BANCO ESTADO\2012 DEPTO ESCRITURAS fata\2012 DEPTO ESCRITURAS\PROMESAS\ROSA SANVENERO A NOLVIA ARAYA.doc</t>
  </si>
  <si>
    <t>C:\Users\franc\OneDrive\Documentos\MALENTIN KARIME\BANCO ESTADO\2012 DEPTO ESCRITURAS fata\2012 DEPTO ESCRITURAS\PROMESAS\ROSA SANVENERO A NOLVIA ARAYA pórroga.doc</t>
  </si>
  <si>
    <t>C:\Users\franc\OneDrive\Documentos\MALENTIN KARIME\BANCO ESTADO\2012 DEPTO ESCRITURAS fata\2012 DEPTO ESCRITURAS\PROMESAS\ROSA CORTES RUBINA A CINTIHA ROJAS RIVERA.doc</t>
  </si>
  <si>
    <t>C:\Users\franc\OneDrive\Documentos\MALENTIN KARIME\BANCO ESTADO\2012 DEPTO ESCRITURAS fata\2012 DEPTO ESCRITURAS\PROMESAS\RAQUEL ZAMBRA CASTELLANOS.doc</t>
  </si>
  <si>
    <t>C:\Users\franc\OneDrive\Documentos\MALENTIN KARIME\BANCO ESTADO\2012 DEPTO ESCRITURAS fata\2012 DEPTO ESCRITURAS\PROMESAS\PROMESA C-V  AGUAS ZAMBRA A CA HUANA.doc</t>
  </si>
  <si>
    <t>C:\Users\franc\OneDrive\Documentos\MALENTIN KARIME\BANCO ESTADO\2012 DEPTO ESCRITURAS fata\2012 DEPTO ESCRITURAS\PROMESAS\PEDRO VEGA ROJAS A RAFAEL DIAZ.doc</t>
  </si>
  <si>
    <t>C:\Users\franc\OneDrive\Documentos\MALENTIN KARIME\BANCO ESTADO\2012 DEPTO ESCRITURAS fata\2012 DEPTO ESCRITURAS\PROMESAS\PEDRO PIÑONES ANTIQUERA A PEDRO VEGA.doc</t>
  </si>
  <si>
    <t>C:\Users\franc\OneDrive\Documentos\MALENTIN KARIME\BANCO ESTADO\2012 DEPTO ESCRITURAS fata\2012 DEPTO ESCRITURAS\PROMESAS\PALMENIA MAYA A LUPERFINA PLAZA Minuta Valeska.doc</t>
  </si>
  <si>
    <t>C:\Users\franc\OneDrive\Documentos\MALENTIN KARIME\BANCO ESTADO\2012 DEPTO ESCRITURAS fata\2012 DEPTO ESCRITURAS\PROMESAS\PAGARÉ Alegría Araya 06 12 2013.doc</t>
  </si>
  <si>
    <t>C:\Users\franc\OneDrive\Documentos\MALENTIN KARIME\BANCO ESTADO\2012 DEPTO ESCRITURAS fata\2012 DEPTO ESCRITURAS\PROMESAS\PAGARE A PLAZO.doc</t>
  </si>
  <si>
    <t>C:\Users\franc\OneDrive\Documentos\MALENTIN KARIME\BANCO ESTADO\2012 DEPTO ESCRITURAS fata\2012 DEPTO ESCRITURAS\PROMESAS\PAGARE A LA VISTA.doc</t>
  </si>
  <si>
    <t>C:\Users\franc\OneDrive\Documentos\MALENTIN KARIME\BANCO ESTADO\2012 DEPTO ESCRITURAS fata\2012 DEPTO ESCRITURAS\PROMESAS\OLGA TORO.doc</t>
  </si>
  <si>
    <t>C:\Users\franc\OneDrive\Documentos\MALENTIN KARIME\BANCO ESTADO\2012 DEPTO ESCRITURAS fata\2012 DEPTO ESCRITURAS\PROMESAS\MOISES MIRANDA TELLO.doc</t>
  </si>
  <si>
    <t>C:\Users\franc\OneDrive\Documentos\MALENTIN KARIME\BANCO ESTADO\2012 DEPTO ESCRITURAS fata\2012 DEPTO ESCRITURAS\PROMESAS\modelo SUPLENCIA.doc</t>
  </si>
  <si>
    <t>C:\Users\franc\OneDrive\Documentos\MALENTIN KARIME\BANCO ESTADO\2012 DEPTO ESCRITURAS fata\2012 DEPTO ESCRITURAS\PROMESAS\MARIA MUÑOZ A PILAR ALEJANDRA.doc</t>
  </si>
  <si>
    <t>C:\Users\franc\OneDrive\Documentos\MALENTIN KARIME\BANCO ESTADO\2012 DEPTO ESCRITURAS fata\2012 DEPTO ESCRITURAS\PROMESAS\MARIA ISABEL GONZALEZ A JOSE MORALES MUÑOZ.doc</t>
  </si>
  <si>
    <t>C:\Users\franc\OneDrive\Documentos\MALENTIN KARIME\BANCO ESTADO\2012 DEPTO ESCRITURAS fata\2012 DEPTO ESCRITURAS\PROMESAS\LUIS ERNESTO FLORES A SAUL INOSTROZA MENDEZ.doc</t>
  </si>
  <si>
    <t>C:\Users\franc\OneDrive\Documentos\MALENTIN KARIME\BANCO ESTADO\2012 DEPTO ESCRITURAS fata\2012 DEPTO ESCRITURAS\PROMESAS\LEONARDO FERRADA CORTES.doc</t>
  </si>
  <si>
    <t>C:\Users\franc\OneDrive\Documentos\MALENTIN KARIME\BANCO ESTADO\2012 DEPTO ESCRITURAS fata\2012 DEPTO ESCRITURAS\PROMESAS\JUAN SANTELICES LUCERO A SALVADOR MAYA Noviembre.doc</t>
  </si>
  <si>
    <t>C:\Users\franc\OneDrive\Documentos\MALENTIN KARIME\BANCO ESTADO\2012 DEPTO ESCRITURAS fata\2012 DEPTO ESCRITURAS\PROMESAS\JUAN SANTELICES LUCERO A Eduardo Castillo Abril.doc</t>
  </si>
  <si>
    <t>C:\Users\franc\OneDrive\Documentos\MALENTIN KARIME\BANCO ESTADO\2012 DEPTO ESCRITURAS fata\2012 DEPTO ESCRITURAS\PROMESAS\JUAN SANTELICES Cancelacion.doc</t>
  </si>
  <si>
    <t>C:\Users\franc\OneDrive\Documentos\MALENTIN KARIME\BANCO ESTADO\2012 DEPTO ESCRITURAS fata\2012 DEPTO ESCRITURAS\PROMESAS\JUAN CARVAJAL ECHEVERRÍA A MIRIAM MONARDEZ.doc</t>
  </si>
  <si>
    <t>C:\Users\franc\OneDrive\Documentos\MALENTIN KARIME\BANCO ESTADO\2012 DEPTO ESCRITURAS fata\2012 DEPTO ESCRITURAS\PROMESAS\JUAN ALBAREZ A MARCOS DIAZ.doc</t>
  </si>
  <si>
    <t>C:\Users\franc\OneDrive\Documentos\MALENTIN KARIME\BANCO ESTADO\2012 DEPTO ESCRITURAS fata\2012 DEPTO ESCRITURAS\PROMESAS\ISABEL ROJAS CARVAJAL A MERY HORTUA.doc</t>
  </si>
  <si>
    <t>C:\Users\franc\OneDrive\Documentos\MALENTIN KARIME\BANCO ESTADO\2012 DEPTO ESCRITURAS fata\2012 DEPTO ESCRITURAS\PROMESAS\IRIS ARACENA A GLADYS PEÑA Minuta Roberto Vega.doc</t>
  </si>
  <si>
    <t>C:\Users\franc\OneDrive\Documentos\MALENTIN KARIME\BANCO ESTADO\2012 DEPTO ESCRITURAS fata\2012 DEPTO ESCRITURAS\PROMESAS\HUGO VALDIVIA ARAYA A Contador Frutos Minuta.doc</t>
  </si>
  <si>
    <t>C:\Users\franc\OneDrive\Documentos\MALENTIN KARIME\BANCO ESTADO\2012 DEPTO ESCRITURAS fata\2012 DEPTO ESCRITURAS\PROMESAS\HORACIO DEL ROSARIO LOPEZ  A Juan Santelices.doc</t>
  </si>
  <si>
    <t>C:\Users\franc\OneDrive\Documentos\MALENTIN KARIME\BANCO ESTADO\2012 DEPTO ESCRITURAS fata\2012 DEPTO ESCRITURAS\PROMESAS\HORACIO DEL ROSARIO LOPEZ  A Juan Santelices II.doc</t>
  </si>
  <si>
    <t>C:\Users\franc\OneDrive\Documentos\MALENTIN KARIME\BANCO ESTADO\2012 DEPTO ESCRITURAS fata\2012 DEPTO ESCRITURAS\PROMESAS\HECTOR RICARDO LOPEZ A Eric Lecaros.doc</t>
  </si>
  <si>
    <t>C:\Users\franc\OneDrive\Documentos\MALENTIN KARIME\BANCO ESTADO\2012 DEPTO ESCRITURAS fata\2012 DEPTO ESCRITURAS\PROMESAS\HECTOR GODOY A Estefanía Contreras.doc</t>
  </si>
  <si>
    <t>C:\Users\franc\OneDrive\Documentos\MALENTIN KARIME\BANCO ESTADO\2012 DEPTO ESCRITURAS fata\2012 DEPTO ESCRITURAS\PROMESAS\HANNA MISLEH A DOLLY TABILO pórroga.doc</t>
  </si>
  <si>
    <t>C:\Users\franc\OneDrive\Documentos\MALENTIN KARIME\BANCO ESTADO\2012 DEPTO ESCRITURAS fata\2012 DEPTO ESCRITURAS\PROMESAS\FRUTICOLA RIO COPIAPO A SUCESION ALEGRIA Prorroga.doc</t>
  </si>
  <si>
    <t>C:\Users\franc\OneDrive\Documentos\MALENTIN KARIME\BANCO ESTADO\2012 DEPTO ESCRITURAS fata\2012 DEPTO ESCRITURAS\PROMESAS\FRUTICOLA RIO COPIAPO A ALBERTO ALEGRIA.doc</t>
  </si>
  <si>
    <t>C:\Users\franc\OneDrive\Documentos\MALENTIN KARIME\BANCO ESTADO\2012 DEPTO ESCRITURAS fata\2012 DEPTO ESCRITURAS\PROMESAS\FERNANDO AGUILERA A MARIA MONARDEZ.doc</t>
  </si>
  <si>
    <t>C:\Users\franc\OneDrive\Documentos\MALENTIN KARIME\BANCO ESTADO\2012 DEPTO ESCRITURAS fata\2012 DEPTO ESCRITURAS\PROMESAS\FELIX SORIA A Carlos Sarras.doc</t>
  </si>
  <si>
    <t>C:\Users\franc\OneDrive\Documentos\MALENTIN KARIME\BANCO ESTADO\2012 DEPTO ESCRITURAS fata\2012 DEPTO ESCRITURAS\PROMESAS\EDMUNDO ORTIZ A FERMIN QUISPE Minuta MIsabel Maluenda.doc</t>
  </si>
  <si>
    <t>C:\Users\franc\OneDrive\Documentos\MALENTIN KARIME\BANCO ESTADO\2012 DEPTO ESCRITURAS fata\2012 DEPTO ESCRITURAS\PROMESAS\DORALIZA AGUILERA A Jose Valenzuela.doc</t>
  </si>
  <si>
    <t>C:\Users\franc\OneDrive\Documentos\MALENTIN KARIME\BANCO ESTADO\2012 DEPTO ESCRITURAS fata\2012 DEPTO ESCRITURAS\PROMESAS\CAROLYN  GONGORA NAVARRETE A ALEJANDRA CASTAÑEDA Clemente Fuentealba.doc</t>
  </si>
  <si>
    <t>C:\Users\franc\OneDrive\Documentos\MALENTIN KARIME\BANCO ESTADO\2012 DEPTO ESCRITURAS fata\2012 DEPTO ESCRITURAS\PROMESAS\CARLOS CARVAJAL RODRIGUEZ.doc</t>
  </si>
  <si>
    <t>C:\Users\franc\OneDrive\Documentos\MALENTIN KARIME\BANCO ESTADO\2012 DEPTO ESCRITURAS fata\2012 DEPTO ESCRITURAS\PROMESAS\CARLOS CARVAJAL RODRIGUEZ a VIRGINIA JINEZ 42.doc</t>
  </si>
  <si>
    <t>C:\Users\franc\OneDrive\Documentos\MALENTIN KARIME\BANCO ESTADO\2012 DEPTO ESCRITURAS fata\2012 DEPTO ESCRITURAS\PROMESAS\CARLOS CARVAJAL RODRIGUEZ a SAIDA MUNDACA RIVERA 35.doc</t>
  </si>
  <si>
    <t>C:\Users\franc\OneDrive\Documentos\MALENTIN KARIME\BANCO ESTADO\2012 DEPTO ESCRITURAS fata\2012 DEPTO ESCRITURAS\PROMESAS\CARLOS CARVAJAL RODRIGUEZ a MARIA SALINAS 17.doc</t>
  </si>
  <si>
    <t>C:\Users\franc\OneDrive\Documentos\MALENTIN KARIME\BANCO ESTADO\2012 DEPTO ESCRITURAS fata\2012 DEPTO ESCRITURAS\PROMESAS\CARLOS CARVAJAL RODRIGUEZ a MARIA SALINAS  Y OTRA 16.doc</t>
  </si>
  <si>
    <t>C:\Users\franc\OneDrive\Documentos\MALENTIN KARIME\BANCO ESTADO\2012 DEPTO ESCRITURAS fata\2012 DEPTO ESCRITURAS\PROMESAS\CARLOS CARVAJAL RODRIGUEZ A Luis Veliz Salgado 18 B Nueva modelo.doc</t>
  </si>
  <si>
    <t>C:\Users\franc\OneDrive\Documentos\MALENTIN KARIME\BANCO ESTADO\2012 DEPTO ESCRITURAS fata\2012 DEPTO ESCRITURAS\PROMESAS\CARLOS CARVAJAL RODRIGUEZ a LORENA RAMIREZ 18 d.doc</t>
  </si>
  <si>
    <t>C:\Users\franc\OneDrive\Documentos\MALENTIN KARIME\BANCO ESTADO\2012 DEPTO ESCRITURAS fata\2012 DEPTO ESCRITURAS\PROMESAS\CARLOS CARVAJAL RODRIGUEZ A Iribando Cortés y Otros.doc</t>
  </si>
  <si>
    <t>C:\Users\franc\OneDrive\Documentos\MALENTIN KARIME\BANCO ESTADO\2012 DEPTO ESCRITURAS fata\2012 DEPTO ESCRITURAS\PROMESAS\CARLOS CARVAJAL RODRIGUEZ a GUSTAVO GONZALEZ.doc</t>
  </si>
  <si>
    <t>C:\Users\franc\OneDrive\Documentos\MALENTIN KARIME\BANCO ESTADO\2012 DEPTO ESCRITURAS fata\2012 DEPTO ESCRITURAS\PROMESAS\CARLOS CARVAJAL RODRIGUEZ a DANIEL PAUVIF Y OTRO L18F.doc</t>
  </si>
  <si>
    <t>C:\Users\franc\OneDrive\Documentos\MALENTIN KARIME\BANCO ESTADO\2012 DEPTO ESCRITURAS fata\2012 DEPTO ESCRITURAS\PROMESAS\CARLOS CARVAJAL RODRIGUEZ a Cleopatra Meneses.doc</t>
  </si>
  <si>
    <t>C:\Users\franc\OneDrive\Documentos\MALENTIN KARIME\BANCO ESTADO\2012 DEPTO ESCRITURAS fata\2012 DEPTO ESCRITURAS\PROMESAS\CARLOS CARVAJAL RODRIGUEZ a Carmen Araya Pinto.doc</t>
  </si>
  <si>
    <t>C:\Users\franc\OneDrive\Documentos\MALENTIN KARIME\BANCO ESTADO\2012 DEPTO ESCRITURAS fata\2012 DEPTO ESCRITURAS\PROMESAS\CARLOS CARVAJAL RODRIGUEZ a ALFREDO SANTANDER ARENAS 27 Y 28.doc</t>
  </si>
  <si>
    <t>C:\Users\franc\OneDrive\Documentos\MALENTIN KARIME\BANCO ESTADO\2012 DEPTO ESCRITURAS fata\2012 DEPTO ESCRITURAS\PROMESAS\CARLOS CARVAJAL RODRIGUEZ 24.doc</t>
  </si>
  <si>
    <t>C:\Users\franc\OneDrive\Documentos\MALENTIN KARIME\BANCO ESTADO\2012 DEPTO ESCRITURAS fata\2012 DEPTO ESCRITURAS\PROMESAS\CARLOS CARVAJAL RODRIGUEZ 18 B 5 y rescliacion.doc</t>
  </si>
  <si>
    <t>C:\Users\franc\OneDrive\Documentos\MALENTIN KARIME\BANCO ESTADO\2012 DEPTO ESCRITURAS fata\2012 DEPTO ESCRITURAS\PROMESAS\CARLOS CARVAJAL RODRIGUEZ 18 B 3.doc</t>
  </si>
  <si>
    <t>C:\Users\franc\OneDrive\Documentos\MALENTIN KARIME\BANCO ESTADO\2012 DEPTO ESCRITURAS fata\2012 DEPTO ESCRITURAS\PROMESAS\CARLOS CARVAJAL RODRIGUEZ 13.doc</t>
  </si>
  <si>
    <t>C:\Users\franc\OneDrive\Documentos\MALENTIN KARIME\BANCO ESTADO\2012 DEPTO ESCRITURAS fata\2012 DEPTO ESCRITURAS\PROMESAS\BERNARDO GUZMAN A GABRIEL ORELLANA.doc</t>
  </si>
  <si>
    <t>C:\Users\franc\OneDrive\Documentos\MALENTIN KARIME\BANCO ESTADO\2012 DEPTO ESCRITURAS fata\2012 DEPTO ESCRITURAS\PROMESAS\ALAMIRO ZUÑIGA PIZARRO.doc</t>
  </si>
  <si>
    <t>C:\Users\franc\OneDrive\Documentos\MALENTIN KARIME\BANCO ESTADO\2012 DEPTO ESCRITURAS fata\2012 DEPTO ESCRITURAS\pendientes\CESION DE DERECHOS HEREDITARIO Willson Pereira.doc</t>
  </si>
  <si>
    <t>C:\Users\franc\OneDrive\Documentos\MALENTIN KARIME\BANCO ESTADO\2012 DEPTO ESCRITURAS fata\2012 DEPTO ESCRITURAS\pendientes\CARMEN JORQUERA BUGUEÑO A Waldo Ledezma cony administrador tierra y agua.doc</t>
  </si>
  <si>
    <t>C:\Users\franc\OneDrive\Documentos\MALENTIN KARIME\BANCO ESTADO\2012 DEPTO ESCRITURAS fata\2012 DEPTO ESCRITURAS\pendientes\ANIVIEN  MANUFACTURA.doc</t>
  </si>
  <si>
    <t>C:\Users\franc\OneDrive\Documentos\MALENTIN KARIME\BANCO ESTADO\2012 DEPTO ESCRITURAS fata\2012 DEPTO ESCRITURAS\PATRICIO CASTRO\SUCESION MIRANDA A ROBERTO VEGA.doc</t>
  </si>
  <si>
    <t>C:\Users\franc\OneDrive\Documentos\MALENTIN KARIME\BANCO ESTADO\2012 DEPTO ESCRITURAS fata\2012 DEPTO ESCRITURAS\PATRICIO CASTRO\PAGARE A PLAZO_Novoa.doc</t>
  </si>
  <si>
    <t>C:\Users\franc\OneDrive\Documentos\MALENTIN KARIME\BANCO ESTADO\2012 DEPTO ESCRITURAS fata\2012 DEPTO ESCRITURAS\PATRICIA ALFARO\WALTER Y Rosa Gonzalez Liquidacion.doc</t>
  </si>
  <si>
    <t>C:\Users\franc\OneDrive\Documentos\MALENTIN KARIME\BANCO ESTADO\2012 DEPTO ESCRITURAS fata\2012 DEPTO ESCRITURAS\PATRICIA ALFARO\TERCER JUZGADO A CARMEN CONTRERAS adjudicación_carmen contreras.doc</t>
  </si>
  <si>
    <t>C:\Users\franc\OneDrive\Documentos\MALENTIN KARIME\BANCO ESTADO\2012 DEPTO ESCRITURAS fata\2012 DEPTO ESCRITURAS\PATRICIA ALFARO\Subdivisión _compraventa_María Elorza.doc</t>
  </si>
  <si>
    <t>C:\Users\franc\OneDrive\Documentos\MALENTIN KARIME\BANCO ESTADO\2012 DEPTO ESCRITURAS fata\2012 DEPTO ESCRITURAS\PATRICIA ALFARO\promesa luco gonzalez Promesa.doc</t>
  </si>
  <si>
    <t>C:\Users\franc\OneDrive\Documentos\MALENTIN KARIME\BANCO ESTADO\2012 DEPTO ESCRITURAS fata\2012 DEPTO ESCRITURAS\PATRICIA ALFARO\PATRICIA ALFARO Promesa.doc</t>
  </si>
  <si>
    <t>C:\Users\franc\OneDrive\Documentos\MALENTIN KARIME\BANCO ESTADO\2012 DEPTO ESCRITURAS fata\2012 DEPTO ESCRITURAS\PATRICIA ALFARO\PASCUAL CONTRERAS A Cesar Contreras cvta..doc</t>
  </si>
  <si>
    <t>C:\Users\franc\OneDrive\Documentos\MALENTIN KARIME\BANCO ESTADO\2012 DEPTO ESCRITURAS fata\2012 DEPTO ESCRITURAS\PATRICIA ALFARO\PAOLA CORTES BUGUEÑO Y Horacio Andrade Liquidacion.doc</t>
  </si>
  <si>
    <t>C:\Users\franc\OneDrive\Documentos\MALENTIN KARIME\BANCO ESTADO\2012 DEPTO ESCRITURAS fata\2012 DEPTO ESCRITURAS\PATRICIA ALFARO\PAGARE A PLAZO_Elorza Vergara.doc</t>
  </si>
  <si>
    <t>C:\Users\franc\OneDrive\Documentos\MALENTIN KARIME\BANCO ESTADO\2012 DEPTO ESCRITURAS fata\2012 DEPTO ESCRITURAS\PATRICIA ALFARO\PAGARE A PLAZO_Elorza Vergara VISTA.doc</t>
  </si>
  <si>
    <t>C:\Users\franc\OneDrive\Documentos\MALENTIN KARIME\BANCO ESTADO\2012 DEPTO ESCRITURAS fata\2012 DEPTO ESCRITURAS\PATRICIA ALFARO\OSCAR ROJAS ORDENES A SOC. AGRICOLA SAN MARCOS Term Arrenda.doc</t>
  </si>
  <si>
    <t>C:\Users\franc\OneDrive\Documentos\MALENTIN KARIME\BANCO ESTADO\2012 DEPTO ESCRITURAS fata\2012 DEPTO ESCRITURAS\PATRICIA ALFARO\OSCAR ARAYA BOLADOS Agosto 13.doc</t>
  </si>
  <si>
    <t>C:\Users\franc\OneDrive\Documentos\MALENTIN KARIME\BANCO ESTADO\2012 DEPTO ESCRITURAS fata\2012 DEPTO ESCRITURAS\PATRICIA ALFARO\MARIA GEMITA NOVOA PALACIOS.doc</t>
  </si>
  <si>
    <t>C:\Users\franc\OneDrive\Documentos\MALENTIN KARIME\BANCO ESTADO\2012 DEPTO ESCRITURAS fata\2012 DEPTO ESCRITURAS\PATRICIA ALFARO\MARIA ELORZA  VERGARA Particion, Usufructo.doc</t>
  </si>
  <si>
    <t>C:\Users\franc\OneDrive\Documentos\MALENTIN KARIME\BANCO ESTADO\2012 DEPTO ESCRITURAS fata\2012 DEPTO ESCRITURAS\PATRICIA ALFARO\MARIA ARAYA ELORZ A JUAN CARLOS JULIA Promesa Dic.13.doc</t>
  </si>
  <si>
    <t>C:\Users\franc\OneDrive\Documentos\MALENTIN KARIME\BANCO ESTADO\2012 DEPTO ESCRITURAS fata\2012 DEPTO ESCRITURAS\PATRICIA ALFARO\FRANCISCO IBACACHE A BONIFACIO IBACACHE mandato.doc</t>
  </si>
  <si>
    <t>C:\Users\franc\OneDrive\Documentos\MALENTIN KARIME\BANCO ESTADO\2012 DEPTO ESCRITURAS fata\2012 DEPTO ESCRITURAS\PATRICIA ALFARO\FRANCISCO IBACACHE A BONIFACIO IBACACHE mandato ii.doc</t>
  </si>
  <si>
    <t>C:\Users\franc\OneDrive\Documentos\MALENTIN KARIME\BANCO ESTADO\2012 DEPTO ESCRITURAS fata\2012 DEPTO ESCRITURAS\PATRICIA ALFARO\FLORES Y CHAMBI Modif Sociedad.doc</t>
  </si>
  <si>
    <t>C:\Users\franc\OneDrive\Documentos\MALENTIN KARIME\BANCO ESTADO\2012 DEPTO ESCRITURAS fata\2012 DEPTO ESCRITURAS\PATRICIA ALFARO\extracto modificacion sociedad_flores y chambi.doc</t>
  </si>
  <si>
    <t>C:\Users\franc\OneDrive\Documentos\MALENTIN KARIME\BANCO ESTADO\2012 DEPTO ESCRITURAS fata\2012 DEPTO ESCRITURAS\PATRICIA ALFARO\EXTRACTO Bona Fide Ltda..doc</t>
  </si>
  <si>
    <t>C:\Users\franc\OneDrive\Documentos\MALENTIN KARIME\BANCO ESTADO\2012 DEPTO ESCRITURAS fata\2012 DEPTO ESCRITURAS\PATRICIA ALFARO\EXTRACTO AP limitada.doc</t>
  </si>
  <si>
    <t>C:\Users\franc\OneDrive\Documentos\MALENTIN KARIME\BANCO ESTADO\2012 DEPTO ESCRITURAS fata\2012 DEPTO ESCRITURAS\PATRICIA ALFARO\CLUB DEPORTIVO Union Juventud y CLUB DE RODEO D.Uso.doc</t>
  </si>
  <si>
    <t>C:\Users\franc\OneDrive\Documentos\MALENTIN KARIME\BANCO ESTADO\2012 DEPTO ESCRITURAS fata\2012 DEPTO ESCRITURAS\PATRICIA ALFARO\CESAR RIVERA ALFAREZ Mandato.doc</t>
  </si>
  <si>
    <t>C:\Users\franc\OneDrive\Documentos\MALENTIN KARIME\BANCO ESTADO\2012 DEPTO ESCRITURAS fata\2012 DEPTO ESCRITURAS\PATRICIA ALFARO\carta de instrucciones_termino contrato de arrendamiento.doc</t>
  </si>
  <si>
    <t>C:\Users\franc\OneDrive\Documentos\MALENTIN KARIME\BANCO ESTADO\2012 DEPTO ESCRITURAS fata\2012 DEPTO ESCRITURAS\PATRICIA ALFARO\BONA FIDE Disolucion.doc</t>
  </si>
  <si>
    <t>C:\Users\franc\OneDrive\Documentos\MALENTIN KARIME\BANCO ESTADO\2012 DEPTO ESCRITURAS fata\2012 DEPTO ESCRITURAS\PATRICIA ALFARO\AUDALO SOTO A Alexis Araya Sept 13.doc</t>
  </si>
  <si>
    <t>C:\Users\franc\OneDrive\Documentos\MALENTIN KARIME\BANCO ESTADO\2012 DEPTO ESCRITURAS fata\2012 DEPTO ESCRITURAS\PATRICIA ALFARO\ASIA PACIFIC INTERNATIONAL TRADING Sociedad.doc</t>
  </si>
  <si>
    <t>C:\Users\franc\OneDrive\Documentos\MALENTIN KARIME\BANCO ESTADO\2012 DEPTO ESCRITURAS fata\2012 DEPTO ESCRITURAS\PATRICIA ALFARO\ALISTAHIR MUNDCA Y ANDRES DELGADO TERMINO Medieria.doc</t>
  </si>
  <si>
    <t>C:\Users\franc\OneDrive\Documentos\MALENTIN KARIME\BANCO ESTADO\2012 DEPTO ESCRITURAS fata\2012 DEPTO ESCRITURAS\PATRICIA ALFARO\ALISTAHIR MUNDCA Y ANDRES DELGADO Medieria.doc</t>
  </si>
  <si>
    <t>C:\Users\franc\OneDrive\Documentos\MALENTIN KARIME\BANCO ESTADO\2012 DEPTO ESCRITURAS fata\2012 DEPTO ESCRITURAS\PATRICIA ALFARO\ABRAHAM GALLARDO RIVERA A ALEJANDRA NAVARRO.doc</t>
  </si>
  <si>
    <t>C:\Users\franc\OneDrive\Documentos\MALENTIN KARIME\BANCO ESTADO\2012 DEPTO ESCRITURAS fata\2012 DEPTO ESCRITURAS\PATRICIA ALFARO\ABRAHAM GALLARDO RIVERA A ALEJANDRA NAVARRO Usufructo.doc</t>
  </si>
  <si>
    <t>C:\Users\franc\OneDrive\Documentos\MALENTIN KARIME\BANCO ESTADO\2012 DEPTO ESCRITURAS fata\2012 DEPTO ESCRITURAS\PARTICION\SUCESION SEGOVIA II.doc</t>
  </si>
  <si>
    <t>C:\Users\franc\OneDrive\Documentos\MALENTIN KARIME\BANCO ESTADO\2012 DEPTO ESCRITURAS fata\2012 DEPTO ESCRITURAS\PARTICION\SUCESION Perines Alvaerz Jorge ALlende.doc</t>
  </si>
  <si>
    <t>C:\Users\franc\OneDrive\Documentos\MALENTIN KARIME\BANCO ESTADO\2012 DEPTO ESCRITURAS fata\2012 DEPTO ESCRITURAS\PARTICION\SUCESION ISABEL ESPINOSA.doc</t>
  </si>
  <si>
    <t>C:\Users\franc\OneDrive\Documentos\MALENTIN KARIME\BANCO ESTADO\2012 DEPTO ESCRITURAS fata\2012 DEPTO ESCRITURAS\PARTICION\PARTICION SUCESION HERNAN TELLO, NOTARIA.doc</t>
  </si>
  <si>
    <t>C:\Users\franc\OneDrive\Documentos\MALENTIN KARIME\BANCO ESTADO\2012 DEPTO ESCRITURAS fata\2012 DEPTO ESCRITURAS\PARTICION\EXTRACTO MINERA SAN JOAQUIN.doc</t>
  </si>
  <si>
    <t>C:\Users\franc\OneDrive\Documentos\MALENTIN KARIME\BANCO ESTADO\2012 DEPTO ESCRITURAS fata\2012 DEPTO ESCRITURAS\PARTICION\EXTRACTO INMOBILIARIA SAN JOAQUIN.doc</t>
  </si>
  <si>
    <t>C:\Users\franc\OneDrive\Documentos\MALENTIN KARIME\BANCO ESTADO\2012 DEPTO ESCRITURAS fata\2012 DEPTO ESCRITURAS\PARTICION\CERTIFICO que la escritura pública precedente.doc</t>
  </si>
  <si>
    <t>C:\Users\franc\OneDrive\Documentos\MALENTIN KARIME\BANCO ESTADO\2012 DEPTO ESCRITURAS fata\2012 DEPTO ESCRITURAS\PARTICION\ADOLFO LAY Particion.doc</t>
  </si>
  <si>
    <t>C:\Users\franc\OneDrive\Documentos\MALENTIN KARIME\BANCO ESTADO\2012 DEPTO ESCRITURAS fata\2012 DEPTO ESCRITURAS\PARTICION\ADOLFO LAY Particion Final.doc</t>
  </si>
  <si>
    <t>C:\Users\franc\OneDrive\Documentos\MALENTIN KARIME\BANCO ESTADO\2012 DEPTO ESCRITURAS fata\2012 DEPTO ESCRITURAS\PARTICION\ADOLFO LAY Particion Final Modifica.doc</t>
  </si>
  <si>
    <t>C:\Users\franc\OneDrive\Documentos\MALENTIN KARIME\BANCO ESTADO\2012 DEPTO ESCRITURAS fata\2012 DEPTO ESCRITURAS\NOTARIOS Nombramientos\VIVIANA ALFARO ULLOA.doc</t>
  </si>
  <si>
    <t>C:\Users\franc\OneDrive\Documentos\MALENTIN KARIME\BANCO ESTADO\2012 DEPTO ESCRITURAS fata\2012 DEPTO ESCRITURAS\NOTARIOS Nombramientos\MODELO NOTARIO TITULAR.doc</t>
  </si>
  <si>
    <t>C:\Users\franc\OneDrive\Documentos\MALENTIN KARIME\BANCO ESTADO\2012 DEPTO ESCRITURAS fata\2012 DEPTO ESCRITURAS\NOTARIOS Nombramientos\DECRETO PATRICIA ALFARO.doc</t>
  </si>
  <si>
    <t>C:\Users\franc\OneDrive\Documentos\MALENTIN KARIME\BANCO ESTADO\2012 DEPTO ESCRITURAS fata\2012 DEPTO ESCRITURAS\NOTARIOS Nombramientos\DECRETO MARIA INES NUÑEZ.doc</t>
  </si>
  <si>
    <t>C:\Users\franc\OneDrive\Documentos\MALENTIN KARIME\BANCO ESTADO\2012 DEPTO ESCRITURAS fata\2012 DEPTO ESCRITURAS\NOTARIOS Nombramientos\DECRETO JOYCE RALLIN.doc</t>
  </si>
  <si>
    <t>C:\Users\franc\OneDrive\Documentos\MALENTIN KARIME\BANCO ESTADO\2012 DEPTO ESCRITURAS fata\2012 DEPTO ESCRITURAS\NOTARIOS Nombramientos\DECRETO JOYCE RALLIN 2.doc</t>
  </si>
  <si>
    <t>C:\Users\franc\OneDrive\Documentos\MALENTIN KARIME\BANCO ESTADO\2012 DEPTO ESCRITURAS fata\2012 DEPTO ESCRITURAS\NOTARIOS Nombramientos\DECRETO ANDREA RODRIGUEZ.doc</t>
  </si>
  <si>
    <t>C:\Users\franc\OneDrive\Documentos\MALENTIN KARIME\BANCO ESTADO\2012 DEPTO ESCRITURAS fata\2012 DEPTO ESCRITURAS\NOTARIOS Nombramientos\DECRETO  CLAUDIO ARAYA.doc</t>
  </si>
  <si>
    <t>C:\Users\franc\OneDrive\Documentos\MALENTIN KARIME\BANCO ESTADO\2012 DEPTO ESCRITURAS fata\2012 DEPTO ESCRITURAS\mutuos\WILLIAMS ABUSLEME A GEMA LTDA..doc</t>
  </si>
  <si>
    <t>C:\Users\franc\OneDrive\Documentos\MALENTIN KARIME\BANCO ESTADO\2012 DEPTO ESCRITURAS fata\2012 DEPTO ESCRITURAS\mutuos\SERGIO ARAYA A ALEJANDRINA BOQUEZ.doc</t>
  </si>
  <si>
    <t>C:\Users\franc\OneDrive\Documentos\MALENTIN KARIME\BANCO ESTADO\2012 DEPTO ESCRITURAS fata\2012 DEPTO ESCRITURAS\mutuos\SERGIO ALVAREZ AMANTE.doc</t>
  </si>
  <si>
    <t>C:\Users\franc\OneDrive\Documentos\MALENTIN KARIME\BANCO ESTADO\2012 DEPTO ESCRITURAS fata\2012 DEPTO ESCRITURAS\mutuos\muto a plazo.doc</t>
  </si>
  <si>
    <t>C:\Users\franc\OneDrive\Documentos\MALENTIN KARIME\BANCO ESTADO\2012 DEPTO ESCRITURAS fata\2012 DEPTO ESCRITURAS\mutuos\muto a la vista.doc</t>
  </si>
  <si>
    <t>C:\Users\franc\OneDrive\Documentos\MALENTIN KARIME\BANCO ESTADO\2012 DEPTO ESCRITURAS fata\2012 DEPTO ESCRITURAS\mutuos\MARIO ARAYA VEGA.doc</t>
  </si>
  <si>
    <t>C:\Users\franc\OneDrive\Documentos\MALENTIN KARIME\BANCO ESTADO\2012 DEPTO ESCRITURAS fata\2012 DEPTO ESCRITURAS\mutuos\LUCY ASTUDILLO.doc</t>
  </si>
  <si>
    <t>C:\Users\franc\OneDrive\Documentos\MALENTIN KARIME\BANCO ESTADO\2012 DEPTO ESCRITURAS fata\2012 DEPTO ESCRITURAS\mutuos\LILIANA ALFARO LAGUNAS.doc</t>
  </si>
  <si>
    <t>C:\Users\franc\OneDrive\Documentos\MALENTIN KARIME\BANCO ESTADO\2012 DEPTO ESCRITURAS fata\2012 DEPTO ESCRITURAS\mutuos\JUAN PORTILLA ALBURQUENQUE.doc</t>
  </si>
  <si>
    <t>C:\Users\franc\OneDrive\Documentos\MALENTIN KARIME\BANCO ESTADO\2012 DEPTO ESCRITURAS fata\2012 DEPTO ESCRITURAS\mutuos\IVAN PAVLETIC A KATIA PAVLETICH.doc</t>
  </si>
  <si>
    <t>C:\Users\franc\OneDrive\Documentos\MALENTIN KARIME\BANCO ESTADO\2012 DEPTO ESCRITURAS fata\2012 DEPTO ESCRITURAS\mutuos\HERMOGENES RUBIO CHICO.doc</t>
  </si>
  <si>
    <t>C:\Users\franc\OneDrive\Documentos\MALENTIN KARIME\BANCO ESTADO\2012 DEPTO ESCRITURAS fata\2012 DEPTO ESCRITURAS\mutuos\GUILLERMO MARIN A CLEMENTINA MARIN.doc</t>
  </si>
  <si>
    <t>C:\Users\franc\OneDrive\Documentos\MALENTIN KARIME\BANCO ESTADO\2012 DEPTO ESCRITURAS fata\2012 DEPTO ESCRITURAS\mutuos\F 241.doc</t>
  </si>
  <si>
    <t>C:\Users\franc\OneDrive\Documentos\MALENTIN KARIME\BANCO ESTADO\2012 DEPTO ESCRITURAS fata\2012 DEPTO ESCRITURAS\mutuos\F 24.doc</t>
  </si>
  <si>
    <t>C:\Users\franc\OneDrive\Documentos\MALENTIN KARIME\BANCO ESTADO\2012 DEPTO ESCRITURAS fata\2012 DEPTO ESCRITURAS\mutuos\F 24 Alejandrina Borquez.doc</t>
  </si>
  <si>
    <t>C:\Users\franc\OneDrive\Documentos\MALENTIN KARIME\BANCO ESTADO\2012 DEPTO ESCRITURAS fata\2012 DEPTO ESCRITURAS\mutuos\CLAUDIA PEREZ DIAZ Privado.doc</t>
  </si>
  <si>
    <t>C:\Users\franc\OneDrive\Documentos\MALENTIN KARIME\BANCO ESTADO\2012 DEPTO ESCRITURAS fata\2012 DEPTO ESCRITURAS\mutuos\AGREGA IMPUESTO MUTUO.doc</t>
  </si>
  <si>
    <t>C:\Users\franc\OneDrive\Documentos\MALENTIN KARIME\BANCO ESTADO\2012 DEPTO ESCRITURAS fata\2012 DEPTO ESCRITURAS\MUSALEN\Transportes Alser AlzamientoCOVALSA.doc</t>
  </si>
  <si>
    <t>C:\Users\franc\OneDrive\Documentos\MALENTIN KARIME\BANCO ESTADO\2012 DEPTO ESCRITURAS fata\2012 DEPTO ESCRITURAS\MUSALEN\Malvina Valezuela Alzamiento.doc</t>
  </si>
  <si>
    <t>C:\Users\franc\OneDrive\Documentos\MALENTIN KARIME\BANCO ESTADO\2012 DEPTO ESCRITURAS fata\2012 DEPTO ESCRITURAS\MUSALEN\MAGDA VENEGAS PLAZA.doc</t>
  </si>
  <si>
    <t>C:\Users\franc\OneDrive\Documentos\MALENTIN KARIME\BANCO ESTADO\2012 DEPTO ESCRITURAS fata\2012 DEPTO ESCRITURAS\MUSALEN\LOGISTICA INDUSTRIAL Febr 2013.doc</t>
  </si>
  <si>
    <t>C:\Users\franc\OneDrive\Documentos\MALENTIN KARIME\BANCO ESTADO\2012 DEPTO ESCRITURAS fata\2012 DEPTO ESCRITURAS\MUSALEN\JOSE MICHEA MICHEA Alzamiento.doc</t>
  </si>
  <si>
    <t>C:\Users\franc\OneDrive\Documentos\MALENTIN KARIME\BANCO ESTADO\2012 DEPTO ESCRITURAS fata\2012 DEPTO ESCRITURAS\MUSALEN\FRIO LOA Febr 2013.doc</t>
  </si>
  <si>
    <t>C:\Users\franc\OneDrive\Documentos\MALENTIN KARIME\BANCO ESTADO\2012 DEPTO ESCRITURAS fata\2012 DEPTO ESCRITURAS\MUSALEN\FRANCISCO MOLINA ZORRICUELTAAlzamiento.doc</t>
  </si>
  <si>
    <t>C:\Users\franc\OneDrive\Documentos\MALENTIN KARIME\BANCO ESTADO\2012 DEPTO ESCRITURAS fata\2012 DEPTO ESCRITURAS\MUSALEN\CARLOS CONTRERAS CARVAJAL.doc</t>
  </si>
  <si>
    <t>C:\Users\franc\OneDrive\Documentos\MALENTIN KARIME\BANCO ESTADO\2012 DEPTO ESCRITURAS fata\2012 DEPTO ESCRITURAS\MUSALEN\ANA MARIA ROJAS BUGUEÑO Cvta.doc</t>
  </si>
  <si>
    <t>C:\Users\franc\OneDrive\Documentos\MALENTIN KARIME\BANCO ESTADO\2012 DEPTO ESCRITURAS fata\2012 DEPTO ESCRITURAS\MUNICIPALIDAD\YASMIN VEGA PIZARRO.doc</t>
  </si>
  <si>
    <t>C:\Users\franc\OneDrive\Documentos\MALENTIN KARIME\BANCO ESTADO\2012 DEPTO ESCRITURAS fata\2012 DEPTO ESCRITURAS\MUNICIPALIDAD\YASMIN VEGA PIZARRO rectificacion.doc</t>
  </si>
  <si>
    <t>C:\Users\franc\OneDrive\Documentos\MALENTIN KARIME\BANCO ESTADO\2012 DEPTO ESCRITURAS fata\2012 DEPTO ESCRITURAS\MUNICIPALIDAD\VALENTIN MONTENEGRO RIVDENEIRA.doc</t>
  </si>
  <si>
    <t>C:\Users\franc\OneDrive\Documentos\MALENTIN KARIME\BANCO ESTADO\2012 DEPTO ESCRITURAS fata\2012 DEPTO ESCRITURAS\MUNICIPALIDAD\VALENTIN MONTENEGRO RIVDENEIRA Subrogante.doc</t>
  </si>
  <si>
    <t>C:\Users\franc\OneDrive\Documentos\MALENTIN KARIME\BANCO ESTADO\2012 DEPTO ESCRITURAS fata\2012 DEPTO ESCRITURAS\MUNICIPALIDAD\SERGIO CORREA DIAZ Claudio Renteria.doc</t>
  </si>
  <si>
    <t>C:\Users\franc\OneDrive\Documentos\MALENTIN KARIME\BANCO ESTADO\2012 DEPTO ESCRITURAS fata\2012 DEPTO ESCRITURAS\MUNICIPALIDAD\RUBEN ARAYA MIRANDA Claudio Renteria.doc</t>
  </si>
  <si>
    <t>C:\Users\franc\OneDrive\Documentos\MALENTIN KARIME\BANCO ESTADO\2012 DEPTO ESCRITURAS fata\2012 DEPTO ESCRITURAS\MUNICIPALIDAD\RUBEN ARAYA MIRANDA Claudio Renteria NOTITULAR.doc</t>
  </si>
  <si>
    <t>C:\Users\franc\OneDrive\Documentos\MALENTIN KARIME\BANCO ESTADO\2012 DEPTO ESCRITURAS fata\2012 DEPTO ESCRITURAS\MUNICIPALIDAD\ROSA MELENDRE SANVENERO.doc</t>
  </si>
  <si>
    <t>C:\Users\franc\OneDrive\Documentos\MALENTIN KARIME\BANCO ESTADO\2012 DEPTO ESCRITURAS fata\2012 DEPTO ESCRITURAS\MUNICIPALIDAD\MUNICIPALIDAD OVALLE A Carlos Vargas.doc</t>
  </si>
  <si>
    <t>C:\Users\franc\OneDrive\Documentos\MALENTIN KARIME\BANCO ESTADO\2012 DEPTO ESCRITURAS fata\2012 DEPTO ESCRITURAS\MUNICIPALIDAD\MUNICIPALIDAD DE OVALLE C Renteria A SERGIO GALLEGUILLOS.doc</t>
  </si>
  <si>
    <t>C:\Users\franc\OneDrive\Documentos\MALENTIN KARIME\BANCO ESTADO\2012 DEPTO ESCRITURAS fata\2012 DEPTO ESCRITURAS\MUNICIPALIDAD\MUNICIPALIDAD DE OVALLE C Renteria A claudio ardiles.doc</t>
  </si>
  <si>
    <t>C:\Users\franc\OneDrive\Documentos\MALENTIN KARIME\BANCO ESTADO\2012 DEPTO ESCRITURAS fata\2012 DEPTO ESCRITURAS\MUNICIPALIDAD\MONICA ARAYA LASTARRIA.doc</t>
  </si>
  <si>
    <t>C:\Users\franc\OneDrive\Documentos\MALENTIN KARIME\BANCO ESTADO\2012 DEPTO ESCRITURAS fata\2012 DEPTO ESCRITURAS\MUNICIPALIDAD\MARTA SEGOVIA HONORES Claudio Renteria.doc</t>
  </si>
  <si>
    <t>C:\Users\franc\OneDrive\Documentos\MALENTIN KARIME\BANCO ESTADO\2012 DEPTO ESCRITURAS fata\2012 DEPTO ESCRITURAS\MUNICIPALIDAD\MARTA SEGOVIA HONORES Claudio Renteria II.doc</t>
  </si>
  <si>
    <t>C:\Users\franc\OneDrive\Documentos\MALENTIN KARIME\BANCO ESTADO\2012 DEPTO ESCRITURAS fata\2012 DEPTO ESCRITURAS\MUNICIPALIDAD\MARIA AGUILERA CASTILLO.doc</t>
  </si>
  <si>
    <t>C:\Users\franc\OneDrive\Documentos\MALENTIN KARIME\BANCO ESTADO\2012 DEPTO ESCRITURAS fata\2012 DEPTO ESCRITURAS\MUNICIPALIDAD\LILIAN GODOY Subrogante.doc</t>
  </si>
  <si>
    <t>C:\Users\franc\OneDrive\Documentos\MALENTIN KARIME\BANCO ESTADO\2012 DEPTO ESCRITURAS fata\2012 DEPTO ESCRITURAS\MUNICIPALIDAD\KARINA ANDREA RAMOS MOYA.doc</t>
  </si>
  <si>
    <t>C:\Users\franc\OneDrive\Documentos\MALENTIN KARIME\BANCO ESTADO\2012 DEPTO ESCRITURAS fata\2012 DEPTO ESCRITURAS\MUNICIPALIDAD\KARINA ANDREA RAMOS MOYA Not Suplente.doc</t>
  </si>
  <si>
    <t>C:\Users\franc\OneDrive\Documentos\MALENTIN KARIME\BANCO ESTADO\2012 DEPTO ESCRITURAS fata\2012 DEPTO ESCRITURAS\MUNICIPALIDAD\INGENIERIA SENDA URBANA Contrato.doc</t>
  </si>
  <si>
    <t>C:\Users\franc\OneDrive\Documentos\MALENTIN KARIME\BANCO ESTADO\2012 DEPTO ESCRITURAS fata\2012 DEPTO ESCRITURAS\MUNICIPALIDAD\INGENIERIA SENDA URBANA Contrato Modificacion.doc</t>
  </si>
  <si>
    <t>C:\Users\franc\OneDrive\Documentos\MALENTIN KARIME\BANCO ESTADO\2012 DEPTO ESCRITURAS fata\2012 DEPTO ESCRITURAS\MUNICIPALIDAD\INGENIERIA SENDA URBANA Contrato Modificacion Subrogante.doc</t>
  </si>
  <si>
    <t>C:\Users\franc\OneDrive\Documentos\MALENTIN KARIME\BANCO ESTADO\2012 DEPTO ESCRITURAS fata\2012 DEPTO ESCRITURAS\MUNICIPALIDAD\HUGO OPAZO CONTRERAS.doc</t>
  </si>
  <si>
    <t>C:\Users\franc\OneDrive\Documentos\MALENTIN KARIME\BANCO ESTADO\2012 DEPTO ESCRITURAS fata\2012 DEPTO ESCRITURAS\MUNICIPALIDAD\EN LO PRINCIPAL.doc</t>
  </si>
  <si>
    <t>C:\Users\franc\OneDrive\Documentos\MALENTIN KARIME\BANCO ESTADO\2012 DEPTO ESCRITURAS fata\2012 DEPTO ESCRITURAS\MUNICIPALIDAD\CUERPO DE BOMBEROS Resciliacion.doc</t>
  </si>
  <si>
    <t>C:\Users\franc\OneDrive\Documentos\MALENTIN KARIME\BANCO ESTADO\2012 DEPTO ESCRITURAS fata\2012 DEPTO ESCRITURAS\MUNICIPALIDAD\Autorizo la firma de doña MARTA ELISA LOBOS INZUNZA.doc</t>
  </si>
  <si>
    <t>C:\Users\franc\OneDrive\Documentos\MALENTIN KARIME\BANCO ESTADO\2012 DEPTO ESCRITURAS fata\2012 DEPTO ESCRITURAS\MUNICIPALIDAD\Autorizo la firma de doña MARTA ELISA LOBOS INZUNZA ALCALDESA.doc</t>
  </si>
  <si>
    <t>C:\Users\franc\OneDrive\Documentos\MALENTIN KARIME\BANCO ESTADO\2012 DEPTO ESCRITURAS fata\2012 DEPTO ESCRITURAS\MUNICIPALIDAD\Autorizo la firma de don RODRIGO IGNACIO VEGA GOMEZ.doc</t>
  </si>
  <si>
    <t>C:\Users\franc\OneDrive\Documentos\MALENTIN KARIME\BANCO ESTADO\2012 DEPTO ESCRITURAS fata\2012 DEPTO ESCRITURAS\MINERIA\SLM EL REVENTON A DMO MINERALS arriendo minero.doc</t>
  </si>
  <si>
    <t>C:\Users\franc\OneDrive\Documentos\MALENTIN KARIME\BANCO ESTADO\2012 DEPTO ESCRITURAS fata\2012 DEPTO ESCRITURAS\MINERIA\SLM EL REVENTON A DMO MINERALS arriendo minero II.doc</t>
  </si>
  <si>
    <t>C:\Users\franc\OneDrive\Documentos\MALENTIN KARIME\BANCO ESTADO\2012 DEPTO ESCRITURAS fata\2012 DEPTO ESCRITURAS\MINERIA\SLM EL REVENTON A DMO MINERALS A DMO Legal.doc</t>
  </si>
  <si>
    <t>C:\Users\franc\OneDrive\Documentos\MALENTIN KARIME\BANCO ESTADO\2012 DEPTO ESCRITURAS fata\2012 DEPTO ESCRITURAS\MINERIA\SLM DIVISADERO II DE SAN LORENZO.doc</t>
  </si>
  <si>
    <t>C:\Users\franc\OneDrive\Documentos\MALENTIN KARIME\BANCO ESTADO\2012 DEPTO ESCRITURAS fata\2012 DEPTO ESCRITURAS\MINERIA\S.L.M. MINA ISRAEL ANTONIO UNO DE PUNITAQUI junta acc.doc</t>
  </si>
  <si>
    <t>C:\Users\franc\OneDrive\Documentos\MALENTIN KARIME\BANCO ESTADO\2012 DEPTO ESCRITURAS fata\2012 DEPTO ESCRITURAS\MINERIA\PEDRO ACUÑA CASTRO A PEDRO ARAYA Ces. Acc. Mras Y Termino Soc..doc</t>
  </si>
  <si>
    <t>C:\Users\franc\OneDrive\Documentos\MALENTIN KARIME\BANCO ESTADO\2012 DEPTO ESCRITURAS fata\2012 DEPTO ESCRITURAS\MINERIA\NIVALDO CAMPOS SEGOVIA A SCM.doc</t>
  </si>
  <si>
    <t>C:\Users\franc\OneDrive\Documentos\MALENTIN KARIME\BANCO ESTADO\2012 DEPTO ESCRITURAS fata\2012 DEPTO ESCRITURAS\MINERIA\MARCIAL VEGA NUÑEZ A SINEP - ACCIONES.doc</t>
  </si>
  <si>
    <t>C:\Users\franc\OneDrive\Documentos\MALENTIN KARIME\BANCO ESTADO\2012 DEPTO ESCRITURAS fata\2012 DEPTO ESCRITURAS\MINERIA\LEONARDO LA FLOR A JUAN ARAYA  LA ELY 1 AL 20.doc</t>
  </si>
  <si>
    <t>C:\Users\franc\OneDrive\Documentos\MALENTIN KARIME\BANCO ESTADO\2012 DEPTO ESCRITURAS fata\2012 DEPTO ESCRITURAS\MINERIA\Junta de Accionistas sociedad legal minera 2 amigos Uno de Andacollo.doc</t>
  </si>
  <si>
    <t>C:\Users\franc\OneDrive\Documentos\MALENTIN KARIME\BANCO ESTADO\2012 DEPTO ESCRITURAS fata\2012 DEPTO ESCRITURAS\MINERIA\JUAN CARLOS DIAZ DIAZ.doc</t>
  </si>
  <si>
    <t>C:\Users\franc\OneDrive\Documentos\MALENTIN KARIME\BANCO ESTADO\2012 DEPTO ESCRITURAS fata\2012 DEPTO ESCRITURAS\MINERIA\JUAN ACUÑA CASTRO Y OT. Ces. Acc. Mras.doc</t>
  </si>
  <si>
    <t>C:\Users\franc\OneDrive\Documentos\MALENTIN KARIME\BANCO ESTADO\2012 DEPTO ESCRITURAS fata\2012 DEPTO ESCRITURAS\MINERIA\JUAN ACUÑA CASTRO a MINERA ZUPILOCOS Mensuras.doc</t>
  </si>
  <si>
    <t>C:\Users\franc\OneDrive\Documentos\MALENTIN KARIME\BANCO ESTADO\2012 DEPTO ESCRITURAS fata\2012 DEPTO ESCRITURAS\MINERIA\Instrucciones_notariales_recibo_de_pago_(febrero_2012)[1].DOC</t>
  </si>
  <si>
    <t>C:\Users\franc\OneDrive\Documentos\MALENTIN KARIME\BANCO ESTADO\2012 DEPTO ESCRITURAS fata\2012 DEPTO ESCRITURAS\MINERIA\Instrucciones notario rectificación y modificación cttos de cv, opción CMDT-1.DOC</t>
  </si>
  <si>
    <t>C:\Users\franc\OneDrive\Documentos\MALENTIN KARIME\BANCO ESTADO\2012 DEPTO ESCRITURAS fata\2012 DEPTO ESCRITURAS\MINERIA\HUMBERTO RIVERA a MINERA ZUPILOCOS Mensuras.doc</t>
  </si>
  <si>
    <t>C:\Users\franc\OneDrive\Documentos\MALENTIN KARIME\BANCO ESTADO\2012 DEPTO ESCRITURAS fata\2012 DEPTO ESCRITURAS\MINERIA\FORTUNE VALLE Rectifica.doc</t>
  </si>
  <si>
    <t>C:\Users\franc\OneDrive\Documentos\MALENTIN KARIME\BANCO ESTADO\2012 DEPTO ESCRITURAS fata\2012 DEPTO ESCRITURAS\MINERIA\COMPAÑIA DEMETRIO TELLO Dacion pago.doc</t>
  </si>
  <si>
    <t>C:\Users\franc\OneDrive\Documentos\MALENTIN KARIME\BANCO ESTADO\2012 DEPTO ESCRITURAS fata\2012 DEPTO ESCRITURAS\MINERIA\CIA DEMETRIO TELLO A FORTUNE VALLEY DIc.doc</t>
  </si>
  <si>
    <t>C:\Users\franc\OneDrive\Documentos\MALENTIN KARIME\BANCO ESTADO\2012 DEPTO ESCRITURAS fata\2012 DEPTO ESCRITURAS\MINERIA\ADRIAN TELLO MONDACA Ces. Acc. Mras.doc</t>
  </si>
  <si>
    <t>C:\Users\franc\OneDrive\Documentos\MALENTIN KARIME\BANCO ESTADO\2012 DEPTO ESCRITURAS fata\2012 DEPTO ESCRITURAS\MINERIA\24  7 SERVICIOS MINEROS.doc</t>
  </si>
  <si>
    <t>C:\Users\franc\OneDrive\Documentos\MALENTIN KARIME\BANCO ESTADO\2012 DEPTO ESCRITURAS fata\2012 DEPTO ESCRITURAS\Meson\recibo dinero.doc</t>
  </si>
  <si>
    <t>C:\Users\franc\OneDrive\Documentos\MALENTIN KARIME\BANCO ESTADO\2012 DEPTO ESCRITURAS fata\2012 DEPTO ESCRITURAS\Meson\recibo dinero contratista.doc</t>
  </si>
  <si>
    <t>C:\Users\franc\OneDrive\Documentos\MALENTIN KARIME\BANCO ESTADO\2012 DEPTO ESCRITURAS fata\2012 DEPTO ESCRITURAS\Meson\recibo dinero contratista 2.doc</t>
  </si>
  <si>
    <t>C:\Users\franc\OneDrive\Documentos\MALENTIN KARIME\BANCO ESTADO\2012 DEPTO ESCRITURAS fata\2012 DEPTO ESCRITURAS\Meson\DECLARACION  JURADA MARIO PIZARRO.doc</t>
  </si>
  <si>
    <t>C:\Users\franc\OneDrive\Documentos\MALENTIN KARIME\BANCO ESTADO\2012 DEPTO ESCRITURAS fata\2012 DEPTO ESCRITURAS\Meson\dec.jurada.doc</t>
  </si>
  <si>
    <t>C:\Users\franc\OneDrive\Documentos\MALENTIN KARIME\BANCO ESTADO\2012 DEPTO ESCRITURAS fata\2012 DEPTO ESCRITURAS\Meson\cese de convivencia.doc</t>
  </si>
  <si>
    <t>C:\Users\franc\OneDrive\Documentos\MALENTIN KARIME\BANCO ESTADO\2012 DEPTO ESCRITURAS fata\2012 DEPTO ESCRITURAS\Meson\autoriza.doc</t>
  </si>
  <si>
    <t>C:\Users\franc\OneDrive\Documentos\MALENTIN KARIME\BANCO ESTADO\2012 DEPTO ESCRITURAS fata\2012 DEPTO ESCRITURAS\maria isabel maluenda\MANDATO\EMILIA ZEPEDA.doc</t>
  </si>
  <si>
    <t>C:\Users\franc\OneDrive\Documentos\MALENTIN KARIME\BANCO ESTADO\2012 DEPTO ESCRITURAS fata\2012 DEPTO ESCRITURAS\maria isabel maluenda\VICTOR ALLENDE AGUILERA A María Maluenda.doc</t>
  </si>
  <si>
    <t>C:\Users\franc\OneDrive\Documentos\MALENTIN KARIME\BANCO ESTADO\2012 DEPTO ESCRITURAS fata\2012 DEPTO ESCRITURAS\maria isabel maluenda\MONICA MIRANDA A JORGE MIRANDA.doc</t>
  </si>
  <si>
    <t>C:\Users\franc\OneDrive\Documentos\MALENTIN KARIME\BANCO ESTADO\2012 DEPTO ESCRITURAS fata\2012 DEPTO ESCRITURAS\maria isabel maluenda\MONICA MIRANDA A JORGE MIRANDA copia.doc</t>
  </si>
  <si>
    <t>C:\Users\franc\OneDrive\Documentos\MALENTIN KARIME\BANCO ESTADO\2012 DEPTO ESCRITURAS fata\2012 DEPTO ESCRITURAS\maria isabel maluenda\MINERA LOS MAITENES RIO HURTADO A Elias Díaz.doc</t>
  </si>
  <si>
    <t>C:\Users\franc\OneDrive\Documentos\MALENTIN KARIME\BANCO ESTADO\2012 DEPTO ESCRITURAS fata\2012 DEPTO ESCRITURAS\maria isabel maluenda\MINERA LOS MAITENES RIO HURTADO A Elias Díaz Modificacion.doc</t>
  </si>
  <si>
    <t>C:\Users\franc\OneDrive\Documentos\MALENTIN KARIME\BANCO ESTADO\2012 DEPTO ESCRITURAS fata\2012 DEPTO ESCRITURAS\maria isabel maluenda\MINERA LOS MAITENES Cancelacion.doc</t>
  </si>
  <si>
    <t>C:\Users\franc\OneDrive\Documentos\MALENTIN KARIME\BANCO ESTADO\2012 DEPTO ESCRITURAS fata\2012 DEPTO ESCRITURAS\maria isabel maluenda\MARIA JIMENA PAYERO MJudicial.doc</t>
  </si>
  <si>
    <t>C:\Users\franc\OneDrive\Documentos\MALENTIN KARIME\BANCO ESTADO\2012 DEPTO ESCRITURAS fata\2012 DEPTO ESCRITURAS\maria isabel maluenda\MARIA JIMENA PAYERO MJudicial 2222.doc</t>
  </si>
  <si>
    <t>C:\Users\franc\OneDrive\Documentos\MALENTIN KARIME\BANCO ESTADO\2012 DEPTO ESCRITURAS fata\2012 DEPTO ESCRITURAS\maria isabel maluenda\MARCOS CUELLO VEGA.doc</t>
  </si>
  <si>
    <t>C:\Users\franc\OneDrive\Documentos\MALENTIN KARIME\BANCO ESTADO\2012 DEPTO ESCRITURAS fata\2012 DEPTO ESCRITURAS\maria isabel maluenda\MANDATO. PARA PERCIBIR SRA JIMENA.doc</t>
  </si>
  <si>
    <t>C:\Users\franc\OneDrive\Documentos\MALENTIN KARIME\BANCO ESTADO\2012 DEPTO ESCRITURAS fata\2012 DEPTO ESCRITURAS\maria isabel maluenda\mandato especial maría isabel maluenda.doc</t>
  </si>
  <si>
    <t>C:\Users\franc\OneDrive\Documentos\MALENTIN KARIME\BANCO ESTADO\2012 DEPTO ESCRITURAS fata\2012 DEPTO ESCRITURAS\maria isabel maluenda\JESUS MILLA DIAZ Y OTROS.doc</t>
  </si>
  <si>
    <t>C:\Users\franc\OneDrive\Documentos\MALENTIN KARIME\BANCO ESTADO\2012 DEPTO ESCRITURAS fata\2012 DEPTO ESCRITURAS\maria isabel maluenda\JAIME GONZALEZ CASTILLO Mjudicial.doc</t>
  </si>
  <si>
    <t>C:\Users\franc\OneDrive\Documentos\MALENTIN KARIME\BANCO ESTADO\2012 DEPTO ESCRITURAS fata\2012 DEPTO ESCRITURAS\maria isabel maluenda\GUILLERMO LEDEZMA ARACENA.doc</t>
  </si>
  <si>
    <t>C:\Users\franc\OneDrive\Documentos\MALENTIN KARIME\BANCO ESTADO\2012 DEPTO ESCRITURAS fata\2012 DEPTO ESCRITURAS\maria isabel maluenda\ELIANA AGUILAR AVALOS.doc</t>
  </si>
  <si>
    <t>C:\Users\franc\OneDrive\Documentos\MALENTIN KARIME\BANCO ESTADO\2012 DEPTO ESCRITURAS fata\2012 DEPTO ESCRITURAS\maria isabel maluenda\CARMEN CONTADOR Oct 13.doc</t>
  </si>
  <si>
    <t>C:\Users\franc\OneDrive\Documentos\MALENTIN KARIME\BANCO ESTADO\2012 DEPTO ESCRITURAS fata\2012 DEPTO ESCRITURAS\maria isabel maluenda\BALBINA DIAZ ARAYA.doc</t>
  </si>
  <si>
    <t>C:\Users\franc\OneDrive\Documentos\MALENTIN KARIME\BANCO ESTADO\2012 DEPTO ESCRITURAS fata\2012 DEPTO ESCRITURAS\MANDATOS JUDICIALES\TANYA PEÑA\PATRICIA TAPIA.doc</t>
  </si>
  <si>
    <t>C:\Users\franc\OneDrive\Documentos\MALENTIN KARIME\BANCO ESTADO\2012 DEPTO ESCRITURAS fata\2012 DEPTO ESCRITURAS\MANDATOS JUDICIALES\SERGIO SALFATE\LUCAS ROJAS HONORES.doc</t>
  </si>
  <si>
    <t>C:\Users\franc\OneDrive\Documentos\MALENTIN KARIME\BANCO ESTADO\2012 DEPTO ESCRITURAS fata\2012 DEPTO ESCRITURAS\MANDATOS JUDICIALES\SERGIO GALLEGUILLOS\ILUSTRE MUNICIPALIDAD DE OVALLE.doc</t>
  </si>
  <si>
    <t>C:\Users\franc\OneDrive\Documentos\MALENTIN KARIME\BANCO ESTADO\2012 DEPTO ESCRITURAS fata\2012 DEPTO ESCRITURAS\MANDATOS JUDICIALES\RUBEN MIRANDA\LUIS CHANDIA.doc</t>
  </si>
  <si>
    <t>C:\Users\franc\OneDrive\Documentos\MALENTIN KARIME\BANCO ESTADO\2012 DEPTO ESCRITURAS fata\2012 DEPTO ESCRITURAS\MANDATOS JUDICIALES\ROBERTO VEGA\JUSTO BARRIOS A Roberto Vega.doc</t>
  </si>
  <si>
    <t>C:\Users\franc\OneDrive\Documentos\MALENTIN KARIME\BANCO ESTADO\2012 DEPTO ESCRITURAS fata\2012 DEPTO ESCRITURAS\MANDATOS JUDICIALES\RAUL SALAMANCA\GRACE CIR A RAUL SALAMANCA.doc</t>
  </si>
  <si>
    <t>C:\Users\franc\OneDrive\Documentos\MALENTIN KARIME\BANCO ESTADO\2012 DEPTO ESCRITURAS fata\2012 DEPTO ESCRITURAS\MANDATOS JUDICIALES\RAUL SALAMANCA\CRISTIAN VAN DER A RAUL SALAMANCA.doc</t>
  </si>
  <si>
    <t>C:\Users\franc\OneDrive\Documentos\MALENTIN KARIME\BANCO ESTADO\2012 DEPTO ESCRITURAS fata\2012 DEPTO ESCRITURAS\MANDATOS JUDICIALES\PATRICIA ALFARO\SILVIA ROJAS SARRIA.doc</t>
  </si>
  <si>
    <t>C:\Users\franc\OneDrive\Documentos\MALENTIN KARIME\BANCO ESTADO\2012 DEPTO ESCRITURAS fata\2012 DEPTO ESCRITURAS\MANDATOS JUDICIALES\PATRICIA ALFARO\MODELO.doc</t>
  </si>
  <si>
    <t>C:\Users\franc\OneDrive\Documentos\MALENTIN KARIME\BANCO ESTADO\2012 DEPTO ESCRITURAS fata\2012 DEPTO ESCRITURAS\MANDATOS JUDICIALES\PATRICIA ALFARO\MIRIAM AVILA.doc</t>
  </si>
  <si>
    <t>C:\Users\franc\OneDrive\Documentos\MALENTIN KARIME\BANCO ESTADO\2012 DEPTO ESCRITURAS fata\2012 DEPTO ESCRITURAS\MANDATOS JUDICIALES\PATRICIA ALFARO\MARIO PIZARRO A VIVIANA ALFARO.doc</t>
  </si>
  <si>
    <t>C:\Users\franc\OneDrive\Documentos\MALENTIN KARIME\BANCO ESTADO\2012 DEPTO ESCRITURAS fata\2012 DEPTO ESCRITURAS\MANDATOS JUDICIALES\PATRICIA ALFARO\JUAN CORTES MURA.doc</t>
  </si>
  <si>
    <t>C:\Users\franc\OneDrive\Documentos\MALENTIN KARIME\BANCO ESTADO\2012 DEPTO ESCRITURAS fata\2012 DEPTO ESCRITURAS\MANDATOS JUDICIALES\PATRICIA ALFARO\JINCONG DENG.doc</t>
  </si>
  <si>
    <t>C:\Users\franc\OneDrive\Documentos\MALENTIN KARIME\BANCO ESTADO\2012 DEPTO ESCRITURAS fata\2012 DEPTO ESCRITURAS\MANDATOS JUDICIALES\PATRICIA ALFARO\FUL BUSS.doc</t>
  </si>
  <si>
    <t>C:\Users\franc\OneDrive\Documentos\MALENTIN KARIME\BANCO ESTADO\2012 DEPTO ESCRITURAS fata\2012 DEPTO ESCRITURAS\MANDATOS JUDICIALES\PABLO VEGA ETCHEVERRY\RONALD LANAS.doc</t>
  </si>
  <si>
    <t>C:\Users\franc\OneDrive\Documentos\MALENTIN KARIME\BANCO ESTADO\2012 DEPTO ESCRITURAS fata\2012 DEPTO ESCRITURAS\MANDATOS JUDICIALES\PABLO VEGA ETCHEVERRY\RONALD LANAS copia.doc</t>
  </si>
  <si>
    <t>C:\Users\franc\OneDrive\Documentos\MALENTIN KARIME\BANCO ESTADO\2012 DEPTO ESCRITURAS fata\2012 DEPTO ESCRITURAS\MANDATOS JUDICIALES\NATALIA ESPINOZA\JULIAN MORATA G.doc</t>
  </si>
  <si>
    <t>C:\Users\franc\OneDrive\Documentos\MALENTIN KARIME\BANCO ESTADO\2012 DEPTO ESCRITURAS fata\2012 DEPTO ESCRITURAS\MANDATOS JUDICIALES\MIGUEL ANGEL SANHUEZA\JOSE TORREJON VILLALOBOS.doc</t>
  </si>
  <si>
    <t>C:\Users\franc\OneDrive\Documentos\MALENTIN KARIME\BANCO ESTADO\2012 DEPTO ESCRITURAS fata\2012 DEPTO ESCRITURAS\MANDATOS JUDICIALES\MIGUEL ANGEL SANHUEZA\EDUARDO MILLA TRIGOS.doc</t>
  </si>
  <si>
    <t>C:\Users\franc\OneDrive\Documentos\MALENTIN KARIME\BANCO ESTADO\2012 DEPTO ESCRITURAS fata\2012 DEPTO ESCRITURAS\MANDATOS JUDICIALES\MIGUEL ANGEL\RODRIGO FLORES.doc</t>
  </si>
  <si>
    <t>C:\Users\franc\OneDrive\Documentos\MALENTIN KARIME\BANCO ESTADO\2012 DEPTO ESCRITURAS fata\2012 DEPTO ESCRITURAS\MANDATOS JUDICIALES\MARIO RODRIGUEZ\ANA LAZO VILLAR.doc</t>
  </si>
  <si>
    <t>C:\Users\franc\OneDrive\Documentos\MALENTIN KARIME\BANCO ESTADO\2012 DEPTO ESCRITURAS fata\2012 DEPTO ESCRITURAS\MANDATOS JUDICIALES\MARIO BARRIOS\NELSON CONTRERAS.doc</t>
  </si>
  <si>
    <t>C:\Users\franc\OneDrive\Documentos\MALENTIN KARIME\BANCO ESTADO\2012 DEPTO ESCRITURAS fata\2012 DEPTO ESCRITURAS\MANDATOS JUDICIALES\MARIO BARRIOS\ELIANA RAMIREZ DIAZ Minuta.doc</t>
  </si>
  <si>
    <t>C:\Users\franc\OneDrive\Documentos\MALENTIN KARIME\BANCO ESTADO\2012 DEPTO ESCRITURAS fata\2012 DEPTO ESCRITURAS\MANDATOS JUDICIALES\MARIO BARRIOS\ALEJANDRO AGUIRRE.doc</t>
  </si>
  <si>
    <t>C:\Users\franc\OneDrive\Documentos\MALENTIN KARIME\BANCO ESTADO\2012 DEPTO ESCRITURAS fata\2012 DEPTO ESCRITURAS\MANDATOS JUDICIALES\MARIO BARRIOS\ABELARDO ALCAYAGA A NORMA TAPIA Minuta.doc</t>
  </si>
  <si>
    <t>C:\Users\franc\OneDrive\Documentos\MALENTIN KARIME\BANCO ESTADO\2012 DEPTO ESCRITURAS fata\2012 DEPTO ESCRITURAS\MANDATOS JUDICIALES\MARIA NUÑEZ HERRERA\MUNICIPALIDAD DE OVALLE C Renteria.doc</t>
  </si>
  <si>
    <t>C:\Users\franc\OneDrive\Documentos\MALENTIN KARIME\BANCO ESTADO\2012 DEPTO ESCRITURAS fata\2012 DEPTO ESCRITURAS\MANDATOS JUDICIALES\MARIA NUÑEZ HERRERA\LUIS LOPEZ CORTES.doc</t>
  </si>
  <si>
    <t>C:\Users\franc\OneDrive\Documentos\MALENTIN KARIME\BANCO ESTADO\2012 DEPTO ESCRITURAS fata\2012 DEPTO ESCRITURAS\MANDATOS JUDICIALES\MARIA NUÑEZ HERRERA\LUIS GUIRALDES.doc</t>
  </si>
  <si>
    <t>C:\Users\franc\OneDrive\Documentos\MALENTIN KARIME\BANCO ESTADO\2012 DEPTO ESCRITURAS fata\2012 DEPTO ESCRITURAS\MANDATOS JUDICIALES\MARIA NUÑEZ HERRERA\JOSE JOFRE FUENTES.doc</t>
  </si>
  <si>
    <t>C:\Users\franc\OneDrive\Documentos\MALENTIN KARIME\BANCO ESTADO\2012 DEPTO ESCRITURAS fata\2012 DEPTO ESCRITURAS\MANDATOS JUDICIALES\MARIA NUÑEZ HERRERA\HECTOR ROJAS ARAYA.doc</t>
  </si>
  <si>
    <t>C:\Users\franc\OneDrive\Documentos\MALENTIN KARIME\BANCO ESTADO\2012 DEPTO ESCRITURAS fata\2012 DEPTO ESCRITURAS\MANDATOS JUDICIALES\MARIA NUÑEZ HERRERA\HUGO ZEPEDA PINTO.doc</t>
  </si>
  <si>
    <t>C:\Users\franc\OneDrive\Documentos\MALENTIN KARIME\BANCO ESTADO\2012 DEPTO ESCRITURAS fata\2012 DEPTO ESCRITURAS\MANDATOS JUDICIALES\MARIA NUÑEZ HERRERA\ARMANDO SALAMANCA C.doc</t>
  </si>
  <si>
    <t>C:\Users\franc\OneDrive\Documentos\MALENTIN KARIME\BANCO ESTADO\2012 DEPTO ESCRITURAS fata\2012 DEPTO ESCRITURAS\MANDATOS JUDICIALES\MARIA JOSE CERDA ARANCIBIA\GABRIEL MONDACA CONTRERAS Minuta.doc</t>
  </si>
  <si>
    <t>C:\Users\franc\OneDrive\Documentos\MALENTIN KARIME\BANCO ESTADO\2012 DEPTO ESCRITURAS fata\2012 DEPTO ESCRITURAS\MANDATOS JUDICIALES\MARIA CRISTINA DIAZ HERNANDEZ\CERRO CAMPAÑARIO.doc</t>
  </si>
  <si>
    <t>C:\Users\franc\OneDrive\Documentos\MALENTIN KARIME\BANCO ESTADO\2012 DEPTO ESCRITURAS fata\2012 DEPTO ESCRITURAS\MANDATOS JUDICIALES\MARIA CRISTINA DIAZ HERNANDEZ\CERRO CAMPANARIO Mayo 2014.doc</t>
  </si>
  <si>
    <t>C:\Users\franc\OneDrive\Documentos\MALENTIN KARIME\BANCO ESTADO\2012 DEPTO ESCRITURAS fata\2012 DEPTO ESCRITURAS\MANDATOS JUDICIALES\YASNA CORTES A SHERIEL BUSTOS.doc</t>
  </si>
  <si>
    <t>C:\Users\franc\OneDrive\Documentos\MALENTIN KARIME\BANCO ESTADO\2012 DEPTO ESCRITURAS fata\2012 DEPTO ESCRITURAS\MANDATOS JUDICIALES\YASNA CORTES A SHERIEL BUSTOS 2222.doc</t>
  </si>
  <si>
    <t>C:\Users\franc\OneDrive\Documentos\MALENTIN KARIME\BANCO ESTADO\2012 DEPTO ESCRITURAS fata\2012 DEPTO ESCRITURAS\MANDATOS JUDICIALES\VICTOR TAPIA ROJAS Minuta.doc</t>
  </si>
  <si>
    <t>C:\Users\franc\OneDrive\Documentos\MALENTIN KARIME\BANCO ESTADO\2012 DEPTO ESCRITURAS fata\2012 DEPTO ESCRITURAS\MANDATOS JUDICIALES\TERESA DEL TRANSITO CORTES TELLO.doc</t>
  </si>
  <si>
    <t>C:\Users\franc\OneDrive\Documentos\MALENTIN KARIME\BANCO ESTADO\2012 DEPTO ESCRITURAS fata\2012 DEPTO ESCRITURAS\MANDATOS JUDICIALES\SUCESION UREN CORTES.doc</t>
  </si>
  <si>
    <t>C:\Users\franc\OneDrive\Documentos\MALENTIN KARIME\BANCO ESTADO\2012 DEPTO ESCRITURAS fata\2012 DEPTO ESCRITURAS\MANDATOS JUDICIALES\SUCESION UREN CORTES II Parte.doc</t>
  </si>
  <si>
    <t>C:\Users\franc\OneDrive\Documentos\MALENTIN KARIME\BANCO ESTADO\2012 DEPTO ESCRITURAS fata\2012 DEPTO ESCRITURAS\MANDATOS JUDICIALES\SUCESION CASTILLO IBACACHE judicial especial.doc</t>
  </si>
  <si>
    <t>C:\Users\franc\OneDrive\Documentos\MALENTIN KARIME\BANCO ESTADO\2012 DEPTO ESCRITURAS fata\2012 DEPTO ESCRITURAS\MANDATOS JUDICIALES\SERGIO ROMAN.doc</t>
  </si>
  <si>
    <t>C:\Users\franc\OneDrive\Documentos\MALENTIN KARIME\BANCO ESTADO\2012 DEPTO ESCRITURAS fata\2012 DEPTO ESCRITURAS\MANDATOS JUDICIALES\PATRICIO CORTES Judicial Especial.doc</t>
  </si>
  <si>
    <t>C:\Users\franc\OneDrive\Documentos\MALENTIN KARIME\BANCO ESTADO\2012 DEPTO ESCRITURAS fata\2012 DEPTO ESCRITURAS\MANDATOS JUDICIALES\PATRICIA NERIA delegacion.doc</t>
  </si>
  <si>
    <t>C:\Users\franc\OneDrive\Documentos\MALENTIN KARIME\BANCO ESTADO\2012 DEPTO ESCRITURAS fata\2012 DEPTO ESCRITURAS\MANDATOS JUDICIALES\PABLO SOTO Ratificacion.doc</t>
  </si>
  <si>
    <t>C:\Users\franc\OneDrive\Documentos\MALENTIN KARIME\BANCO ESTADO\2012 DEPTO ESCRITURAS fata\2012 DEPTO ESCRITURAS\MANDATOS JUDICIALES\NORMA ANGELICA GUERRA SAFFA Municipalidad.doc</t>
  </si>
  <si>
    <t>C:\Users\franc\OneDrive\Documentos\MALENTIN KARIME\BANCO ESTADO\2012 DEPTO ESCRITURAS fata\2012 DEPTO ESCRITURAS\MANDATOS JUDICIALES\MOISES COLOMA A DAGOBERTO RAMOS.doc</t>
  </si>
  <si>
    <t>C:\Users\franc\OneDrive\Documentos\MALENTIN KARIME\BANCO ESTADO\2012 DEPTO ESCRITURAS fata\2012 DEPTO ESCRITURAS\MANDATOS JUDICIALES\MAURICIO MAZZARELLI A CAROLA OJEDA.doc</t>
  </si>
  <si>
    <t>C:\Users\franc\OneDrive\Documentos\MALENTIN KARIME\BANCO ESTADO\2012 DEPTO ESCRITURAS fata\2012 DEPTO ESCRITURAS\MANDATOS JUDICIALES\MARIA QUIZAJADA JARA.doc</t>
  </si>
  <si>
    <t>C:\Users\franc\OneDrive\Documentos\MALENTIN KARIME\BANCO ESTADO\2012 DEPTO ESCRITURAS fata\2012 DEPTO ESCRITURAS\MANDATOS JUDICIALES\MARIA MADARIAGA PIZARRO Judicial Especial.doc</t>
  </si>
  <si>
    <t>C:\Users\franc\OneDrive\Documentos\MALENTIN KARIME\BANCO ESTADO\2012 DEPTO ESCRITURAS fata\2012 DEPTO ESCRITURAS\MANDATOS JUDICIALES\MARIA MADARIAGA PIZARRO Judicial Especial II.doc</t>
  </si>
  <si>
    <t>C:\Users\franc\OneDrive\Documentos\MALENTIN KARIME\BANCO ESTADO\2012 DEPTO ESCRITURAS fata\2012 DEPTO ESCRITURAS\MANDATOS JUDICIALES\MARCOS ROJAS QUIROZ Judicial Especial MINUTA.doc</t>
  </si>
  <si>
    <t>C:\Users\franc\OneDrive\Documentos\MALENTIN KARIME\BANCO ESTADO\2012 DEPTO ESCRITURAS fata\2012 DEPTO ESCRITURAS\MANDATOS JUDICIALES\MARCIAL TORRES CONTRERAS Judicial Especial.doc</t>
  </si>
  <si>
    <t>C:\Users\franc\OneDrive\Documentos\MALENTIN KARIME\BANCO ESTADO\2012 DEPTO ESCRITURAS fata\2012 DEPTO ESCRITURAS\MANDATOS JUDICIALES\LOS AROMOS  A Barbara Salinas.doc</t>
  </si>
  <si>
    <t>C:\Users\franc\OneDrive\Documentos\MALENTIN KARIME\BANCO ESTADO\2012 DEPTO ESCRITURAS fata\2012 DEPTO ESCRITURAS\MANDATOS JUDICIALES\JUNTA VIGILANCIA RIO MOSTAZAL.doc</t>
  </si>
  <si>
    <t>C:\Users\franc\OneDrive\Documentos\MALENTIN KARIME\BANCO ESTADO\2012 DEPTO ESCRITURAS fata\2012 DEPTO ESCRITURAS\MANDATOS JUDICIALES\JULIO MONTERO.doc</t>
  </si>
  <si>
    <t>C:\Users\franc\OneDrive\Documentos\MALENTIN KARIME\BANCO ESTADO\2012 DEPTO ESCRITURAS fata\2012 DEPTO ESCRITURAS\MANDATOS JUDICIALES\JUAN MAZU  A ALFREDO ESCOBAR.doc</t>
  </si>
  <si>
    <t>C:\Users\franc\OneDrive\Documentos\MALENTIN KARIME\BANCO ESTADO\2012 DEPTO ESCRITURAS fata\2012 DEPTO ESCRITURAS\MANDATOS JUDICIALES\JUAN MARAMBIO ANDUEZA A Roberto Naranjo Coopeval.doc</t>
  </si>
  <si>
    <t>C:\Users\franc\OneDrive\Documentos\MALENTIN KARIME\BANCO ESTADO\2012 DEPTO ESCRITURAS fata\2012 DEPTO ESCRITURAS\MANDATOS JUDICIALES\JOSE SANTANDER A JACQUELINE PIZARRO.doc</t>
  </si>
  <si>
    <t>C:\Users\franc\OneDrive\Documentos\MALENTIN KARIME\BANCO ESTADO\2012 DEPTO ESCRITURAS fata\2012 DEPTO ESCRITURAS\MANDATOS JUDICIALES\JUAN CARLOS GARCIA COLLAO.doc</t>
  </si>
  <si>
    <t>C:\Users\franc\OneDrive\Documentos\MALENTIN KARIME\BANCO ESTADO\2012 DEPTO ESCRITURAS fata\2012 DEPTO ESCRITURAS\MANDATOS JUDICIALES\JOSE LUIS MARTINEZ CORDOVA A MIGUEL CHAPARRO.doc</t>
  </si>
  <si>
    <t>C:\Users\franc\OneDrive\Documentos\MALENTIN KARIME\BANCO ESTADO\2012 DEPTO ESCRITURAS fata\2012 DEPTO ESCRITURAS\MANDATOS JUDICIALES\JOSE LUIS MARTINEZ A MIGUEL CHAPARRO.doc</t>
  </si>
  <si>
    <t>C:\Users\franc\OneDrive\Documentos\MALENTIN KARIME\BANCO ESTADO\2012 DEPTO ESCRITURAS fata\2012 DEPTO ESCRITURAS\MANDATOS JUDICIALES\JOSE JIMENEZ A EUGENIO RAMIREZ.doc</t>
  </si>
  <si>
    <t>C:\Users\franc\OneDrive\Documentos\MALENTIN KARIME\BANCO ESTADO\2012 DEPTO ESCRITURAS fata\2012 DEPTO ESCRITURAS\MANDATOS JUDICIALES\JOSE ANGEL ROJAS.doc</t>
  </si>
  <si>
    <t>C:\Users\franc\OneDrive\Documentos\MALENTIN KARIME\BANCO ESTADO\2012 DEPTO ESCRITURAS fata\2012 DEPTO ESCRITURAS\MANDATOS JUDICIALES\JORGE RIVERA CARVAJA A ALEJANDRO VILLEGAS.doc</t>
  </si>
  <si>
    <t>C:\Users\franc\OneDrive\Documentos\MALENTIN KARIME\BANCO ESTADO\2012 DEPTO ESCRITURAS fata\2012 DEPTO ESCRITURAS\MANDATOS JUDICIALES\JORGE CORTEZ GONZALEZ A PATRICIA VELASQUEZ.doc</t>
  </si>
  <si>
    <t>C:\Users\franc\OneDrive\Documentos\MALENTIN KARIME\BANCO ESTADO\2012 DEPTO ESCRITURAS fata\2012 DEPTO ESCRITURAS\MANDATOS JUDICIALES\JAVIER CONTADOR A Barbara Salinas.doc</t>
  </si>
  <si>
    <t>C:\Users\franc\OneDrive\Documentos\MALENTIN KARIME\BANCO ESTADO\2012 DEPTO ESCRITURAS fata\2012 DEPTO ESCRITURAS\MANDATOS JUDICIALES\JAVIER CONTADOR A Barbara Salinas II.doc</t>
  </si>
  <si>
    <t>C:\Users\franc\OneDrive\Documentos\MALENTIN KARIME\BANCO ESTADO\2012 DEPTO ESCRITURAS fata\2012 DEPTO ESCRITURAS\MANDATOS JUDICIALES\HONORIA AGUERO Judicial Especial.doc</t>
  </si>
  <si>
    <t>C:\Users\franc\OneDrive\Documentos\MALENTIN KARIME\BANCO ESTADO\2012 DEPTO ESCRITURAS fata\2012 DEPTO ESCRITURAS\MANDATOS JUDICIALES\HERMAN ANDRADES MORENO.doc</t>
  </si>
  <si>
    <t>C:\Users\franc\OneDrive\Documentos\MALENTIN KARIME\BANCO ESTADO\2012 DEPTO ESCRITURAS fata\2012 DEPTO ESCRITURAS\MANDATOS JUDICIALES\GUILLERMO VIDAURRE Judicial Especial.doc</t>
  </si>
  <si>
    <t>C:\Users\franc\OneDrive\Documentos\MALENTIN KARIME\BANCO ESTADO\2012 DEPTO ESCRITURAS fata\2012 DEPTO ESCRITURAS\MANDATOS JUDICIALES\GLADYS AROS A ETNA VARAS.doc</t>
  </si>
  <si>
    <t>C:\Users\franc\OneDrive\Documentos\MALENTIN KARIME\BANCO ESTADO\2012 DEPTO ESCRITURAS fata\2012 DEPTO ESCRITURAS\MANDATOS JUDICIALES\FRANCO RIETTA Judicial Especial.doc</t>
  </si>
  <si>
    <t>C:\Users\franc\OneDrive\Documentos\MALENTIN KARIME\BANCO ESTADO\2012 DEPTO ESCRITURAS fata\2012 DEPTO ESCRITURAS\MANDATOS JUDICIALES\FRANCISCO JAVIER MORGADO SALFATE A CRISTIAN ZEPEDA Menor edad.doc</t>
  </si>
  <si>
    <t>C:\Users\franc\OneDrive\Documentos\MALENTIN KARIME\BANCO ESTADO\2012 DEPTO ESCRITURAS fata\2012 DEPTO ESCRITURAS\MANDATOS JUDICIALES\FARMACEUTICA PRAD.doc</t>
  </si>
  <si>
    <t>C:\Users\franc\OneDrive\Documentos\MALENTIN KARIME\BANCO ESTADO\2012 DEPTO ESCRITURAS fata\2012 DEPTO ESCRITURAS\MANDATOS JUDICIALES\EXPORTADORA VALLE DEL LIMARI SpA.doc</t>
  </si>
  <si>
    <t>C:\Users\franc\OneDrive\Documentos\MALENTIN KARIME\BANCO ESTADO\2012 DEPTO ESCRITURAS fata\2012 DEPTO ESCRITURAS\MANDATOS JUDICIALES\ERIC MELLADAO A PATRICIA VIDAL Y OTRA.doc</t>
  </si>
  <si>
    <t>C:\Users\franc\OneDrive\Documentos\MALENTIN KARIME\BANCO ESTADO\2012 DEPTO ESCRITURAS fata\2012 DEPTO ESCRITURAS\MANDATOS JUDICIALES\ERCILIA ORTIZ.doc</t>
  </si>
  <si>
    <t>C:\Users\franc\OneDrive\Documentos\MALENTIN KARIME\BANCO ESTADO\2012 DEPTO ESCRITURAS fata\2012 DEPTO ESCRITURAS\MANDATOS JUDICIALES\EMMA ALCAYAGA LOPEZ A DANIEL SALFATE.doc</t>
  </si>
  <si>
    <t>C:\Users\franc\OneDrive\Documentos\MALENTIN KARIME\BANCO ESTADO\2012 DEPTO ESCRITURAS fata\2012 DEPTO ESCRITURAS\MANDATOS JUDICIALES\EDUVIGIS MANZANOJudicial Especial.doc</t>
  </si>
  <si>
    <t>C:\Users\franc\OneDrive\Documentos\MALENTIN KARIME\BANCO ESTADO\2012 DEPTO ESCRITURAS fata\2012 DEPTO ESCRITURAS\MANDATOS JUDICIALES\EDUARDO RIVERA A RENE YAÑEZ.docx</t>
  </si>
  <si>
    <t>C:\Users\franc\OneDrive\Documentos\MALENTIN KARIME\BANCO ESTADO\2012 DEPTO ESCRITURAS fata\2012 DEPTO ESCRITURAS\MANDATOS JUDICIALES\EDUARDO RIVERA A Rene Yañez minuta.doc</t>
  </si>
  <si>
    <t>C:\Users\franc\OneDrive\Documentos\MALENTIN KARIME\BANCO ESTADO\2012 DEPTO ESCRITURAS fata\2012 DEPTO ESCRITURAS\MANDATOS JUDICIALES\DANIEL GUERRA A ROCIO RODRIGUEZ.doc</t>
  </si>
  <si>
    <t>C:\Users\franc\OneDrive\Documentos\MALENTIN KARIME\BANCO ESTADO\2012 DEPTO ESCRITURAS fata\2012 DEPTO ESCRITURAS\MANDATOS JUDICIALES\DANIEL ARTURO SALFATE.doc</t>
  </si>
  <si>
    <t>C:\Users\franc\OneDrive\Documentos\MALENTIN KARIME\BANCO ESTADO\2012 DEPTO ESCRITURAS fata\2012 DEPTO ESCRITURAS\MANDATOS JUDICIALES\CONTADOR FRUTOS S.A. A Barbara Salinas.doc</t>
  </si>
  <si>
    <t>C:\Users\franc\OneDrive\Documentos\MALENTIN KARIME\BANCO ESTADO\2012 DEPTO ESCRITURAS fata\2012 DEPTO ESCRITURAS\MANDATOS JUDICIALES\CLEMENTE FUENTEALBA A Pedro Gutierrez.doc</t>
  </si>
  <si>
    <t>C:\Users\franc\OneDrive\Documentos\MALENTIN KARIME\BANCO ESTADO\2012 DEPTO ESCRITURAS fata\2012 DEPTO ESCRITURAS\MANDATOS JUDICIALES\carlos pinto a gabriela negrette.doc</t>
  </si>
  <si>
    <t>C:\Users\franc\OneDrive\Documentos\MALENTIN KARIME\BANCO ESTADO\2012 DEPTO ESCRITURAS fata\2012 DEPTO ESCRITURAS\MANDATOS JUDICIALES\CARLOS OTAROLA A OROMPELLO PALACIOS.doc</t>
  </si>
  <si>
    <t>C:\Users\franc\OneDrive\Documentos\MALENTIN KARIME\BANCO ESTADO\2012 DEPTO ESCRITURAS fata\2012 DEPTO ESCRITURAS\MANDATOS JUDICIALES\CARLOS ALARCON A NURYS ALARCON  Grisell abogada.doc</t>
  </si>
  <si>
    <t>C:\Users\franc\OneDrive\Documentos\MALENTIN KARIME\BANCO ESTADO\2012 DEPTO ESCRITURAS fata\2012 DEPTO ESCRITURAS\MANDATOS JUDICIALES\BRIGINA OLMOS A MARIA ORREGO.doc</t>
  </si>
  <si>
    <t>C:\Users\franc\OneDrive\Documentos\MALENTIN KARIME\BANCO ESTADO\2012 DEPTO ESCRITURAS fata\2012 DEPTO ESCRITURAS\MANDATOS JUDICIALES\BORIS JIMENEZ BORQUEZ A Israel Gutierrez.doc</t>
  </si>
  <si>
    <t>C:\Users\franc\OneDrive\Documentos\MALENTIN KARIME\BANCO ESTADO\2012 DEPTO ESCRITURAS fata\2012 DEPTO ESCRITURAS\SERGIO BUGUEÑO ROSALES.doc</t>
  </si>
  <si>
    <t>C:\Users\franc\OneDrive\Documentos\MALENTIN KARIME\BANCO ESTADO\2012 DEPTO ESCRITURAS fata\2012 DEPTO ESCRITURAS\reduccion EL SAUCE Reglamento.doc</t>
  </si>
  <si>
    <t>C:\Users\franc\OneDrive\Documentos\MALENTIN KARIME\BANCO ESTADO\2012 DEPTO ESCRITURAS fata\2012 DEPTO ESCRITURAS\personeria capel.doc</t>
  </si>
  <si>
    <t>C:\Users\franc\OneDrive\Documentos\MALENTIN KARIME\BANCO ESTADO\2012 DEPTO ESCRITURAS fata\2012 DEPTO ESCRITURAS\PEDRO ALFARO Y OTROS A Comité Agua Potable Rural SONORA.doc</t>
  </si>
  <si>
    <t>C:\Users\franc\OneDrive\Documentos\MALENTIN KARIME\BANCO ESTADO\2012 DEPTO ESCRITURAS fata\2012 DEPTO ESCRITURAS\PARTICION PARCIAL VEGA SOGOVIA (2).doc</t>
  </si>
  <si>
    <t>C:\Users\franc\OneDrive\Documentos\MALENTIN KARIME\BANCO ESTADO\2012 DEPTO ESCRITURAS fata\2012 DEPTO ESCRITURAS\notificacion.doc</t>
  </si>
  <si>
    <t>C:\Users\franc\OneDrive\Documentos\MALENTIN KARIME\BANCO ESTADO\2012 DEPTO ESCRITURAS fata\2012 DEPTO ESCRITURAS\NOTIFICA Gamal.doc</t>
  </si>
  <si>
    <t>C:\Users\franc\OneDrive\Documentos\MALENTIN KARIME\BANCO ESTADO\2012 DEPTO ESCRITURAS fata\2012 DEPTO ESCRITURAS\MODELO E.I.R.L Carlos Carvajal.doc</t>
  </si>
  <si>
    <t>C:\Users\franc\OneDrive\Documentos\MALENTIN KARIME\BANCO ESTADO\2012 DEPTO ESCRITURAS fata\2012 DEPTO ESCRITURAS\MANDATO JUDICIAL MODESTO FLORES LA VERDIONA OVALLE-2.doc</t>
  </si>
  <si>
    <t>C:\Users\franc\OneDrive\Documentos\MALENTIN KARIME\BANCO ESTADO\2012 DEPTO ESCRITURAS fata\2012 DEPTO ESCRITURAS\LUZ CORONADO A OCTAVIO MIRANDA.doc</t>
  </si>
  <si>
    <t>C:\Users\franc\OneDrive\Documentos\MALENTIN KARIME\BANCO ESTADO\2012 DEPTO ESCRITURAS fata\2012 DEPTO ESCRITURAS\LUIS TORREJON OVALLE.doc</t>
  </si>
  <si>
    <t>C:\Users\franc\OneDrive\Documentos\MALENTIN KARIME\BANCO ESTADO\2012 DEPTO ESCRITURAS fata\2012 DEPTO ESCRITURAS\LOGOS.doc</t>
  </si>
  <si>
    <t>C:\Users\franc\OneDrive\Documentos\MALENTIN KARIME\BANCO ESTADO\2012 DEPTO ESCRITURAS fata\2012 DEPTO ESCRITURAS\Libro1.xls</t>
  </si>
  <si>
    <t>C:\Users\franc\OneDrive\Documentos\MALENTIN KARIME\BANCO ESTADO\2012 DEPTO ESCRITURAS fata\2012 DEPTO ESCRITURAS\KARIME DCTOS.doc</t>
  </si>
  <si>
    <t>C:\Users\franc\OneDrive\Documentos\MALENTIN KARIME\BANCO ESTADO\2012 DEPTO ESCRITURAS fata\2012 DEPTO ESCRITURAS\JEANETTE GIANZO E.R.I.L..doc</t>
  </si>
  <si>
    <t>C:\Users\franc\OneDrive\Documentos\MALENTIN KARIME\BANCO ESTADO\2012 DEPTO ESCRITURAS fata\2012 DEPTO ESCRITURAS\JAVIER PIZARRO - CV DOBLE M.doc</t>
  </si>
  <si>
    <t>C:\Users\franc\OneDrive\Documentos\MALENTIN KARIME\BANCO ESTADO\2012 DEPTO ESCRITURAS fata\2012 DEPTO ESCRITURAS\INSTRUCCIONESSoc Comercial y Minera El Reloj Ltda BCH.doc</t>
  </si>
  <si>
    <t>C:\Users\franc\OneDrive\Documentos\MALENTIN KARIME\BANCO ESTADO\2012 DEPTO ESCRITURAS fata\2012 DEPTO ESCRITURAS\F 24.doc</t>
  </si>
  <si>
    <t>C:\Users\franc\OneDrive\Documentos\MALENTIN KARIME\BANCO ESTADO\2012 DEPTO ESCRITURAS fata\2012 DEPTO ESCRITURAS\F 24 5.doc</t>
  </si>
  <si>
    <t>C:\Users\franc\OneDrive\Documentos\MALENTIN KARIME\BANCO ESTADO\2012 DEPTO ESCRITURAS fata\2012 DEPTO ESCRITURAS\El Notario que suscribe  certifica que los cinco ciudadanos.doc</t>
  </si>
  <si>
    <t>C:\Users\franc\OneDrive\Documentos\MALENTIN KARIME\BANCO ESTADO\2012 DEPTO ESCRITURAS fata\2012 DEPTO ESCRITURAS\DIRECTORIO NOTARIOS.xls</t>
  </si>
  <si>
    <t>C:\Users\franc\OneDrive\Documentos\MALENTIN KARIME\BANCO ESTADO\2012 DEPTO ESCRITURAS fata\2012 DEPTO ESCRITURAS\Curriculum miriam.doc</t>
  </si>
  <si>
    <t>C:\Users\franc\OneDrive\Documentos\MALENTIN KARIME\BANCO ESTADO\2012 DEPTO ESCRITURAS fata\2012 DEPTO ESCRITURAS\COMPRAVENTA PAOLA VEGA DS Nº1 SUBSIDIO sergio galleguillos.doc</t>
  </si>
  <si>
    <t>C:\Users\franc\OneDrive\Documentos\MALENTIN KARIME\BANCO ESTADO\2012 DEPTO ESCRITURAS fata\2012 DEPTO ESCRITURAS\CERTIFICO CARTA.doc</t>
  </si>
  <si>
    <t>C:\Users\franc\OneDrive\Documentos\MALENTIN KARIME\BANCO ESTADO\2012 DEPTO ESCRITURAS fata\2012 DEPTO ESCRITURAS\carta Andrea.doc</t>
  </si>
  <si>
    <t>C:\Users\franc\OneDrive\Documentos\MALENTIN KARIME\BANCO ESTADO\2012 DEPTO ESCRITURAS fata\2012 DEPTO ESCRITURAS\Autorizo la firma de AGRONOBLE.doc</t>
  </si>
  <si>
    <t>C:\Users\franc\OneDrive\Documentos\MALENTIN KARIME\BANCO ESTADO\2012 DEPTO ESCRITURAS fata\2012 DEPTO ESCRITURAS\ANTONIO GALAZ A MIRZA ARAYA.doc</t>
  </si>
  <si>
    <t>C:\Users\franc\OneDrive\Documentos\MALENTIN KARIME\BANCO ESTADO\2012 DEPTO ESCRITURAS fata\2012 DEPTO ESCRITURAS\ANDRES DIAZ CORTES A SARA DIAZ.doc</t>
  </si>
  <si>
    <t>C:\Users\franc\OneDrive\Documentos\MALENTIN KARIME\BANCO ESTADO\2012 DEPTO ESCRITURAS fata\2012 DEPTO ESCRITURAS\ANDRES DIAZ CORTES A JORGE DIAZ.doc</t>
  </si>
  <si>
    <t>C:\Users\franc\OneDrive\Documentos\MALENTIN KARIME\BANCO ESTADO\2012 DEPTO ESCRITURAS fata\2012 DEPTO ESCRITURAS\ANDRES DIAZ CORTES A IVANJA DIAZ.doc</t>
  </si>
  <si>
    <t>C:\Users\franc\OneDrive\Documentos\MALENTIN KARIME\BANCO ESTADO\2012 DEPTO ESCRITURAS fata\2012 DEPTO ESCRITURAS\ALBERTO SEGUNDO NAVEA CASTILLO.doc</t>
  </si>
  <si>
    <t>C:\Users\franc\OneDrive\Documentos\MALENTIN KARIME\BANCO ESTADO\2012 DEPTO ESCRITURAS fata\2012 DEPTO ESCRITURAS\2010743 Kong-Frang Confecciones Limitada (Instrumento Privado).doc</t>
  </si>
  <si>
    <t>C:\Users\franc\OneDrive\Documentos\MALENTIN KARIME\BANCO ESTADO\YULAN LEON Octubre.doc</t>
  </si>
  <si>
    <t>C:\Users\franc\OneDrive\Documentos\MALENTIN KARIME\BANCO ESTADO\YOLANDA VEGA PIZARRO  A Angelina Lopez.doc</t>
  </si>
  <si>
    <t>C:\Users\franc\OneDrive\Documentos\MALENTIN KARIME\BANCO ESTADO\YENNY OSSANDON ESPINOZA octubre.doc</t>
  </si>
  <si>
    <t>C:\Users\franc\OneDrive\Documentos\MALENTIN KARIME\BANCO ESTADO\YENNY OSSANDON ESPINOZA octubre Armas.doc</t>
  </si>
  <si>
    <t>C:\Users\franc\OneDrive\Documentos\MALENTIN KARIME\BANCO ESTADO\VIGESIMO QUINTO.doc</t>
  </si>
  <si>
    <t>C:\Users\franc\OneDrive\Documentos\MALENTIN KARIME\BANCO ESTADO\SEGUNDO MARTINEZ ROJAS Y BANCO ESTADO Cvta Mutuo.doc</t>
  </si>
  <si>
    <t>C:\Users\franc\OneDrive\Documentos\MALENTIN KARIME\BANCO ESTADO\Scotiabank pers.doc</t>
  </si>
  <si>
    <t>C:\Users\franc\OneDrive\Documentos\MALENTIN KARIME\BANCO ESTADO\RODRIGO TORRES CISTERNAS y OTRA (Doble M - Del Atardecer 3º Etapa) - Banco Chile.doc</t>
  </si>
  <si>
    <t>C:\Users\franc\OneDrive\Documentos\MALENTIN KARIME\BANCO ESTADO\ROBERTO ZEPEDA ALFARO rectifica.doc</t>
  </si>
  <si>
    <t>C:\Users\franc\OneDrive\Documentos\MALENTIN KARIME\BANCO ESTADO\OSCAR MIRANDA ARAYA AL bec particular.doc</t>
  </si>
  <si>
    <t>C:\Users\franc\OneDrive\Documentos\MALENTIN KARIME\BANCO ESTADO\OSCAR MIRANDA ARAYA AL bec particular registro prenda.doc</t>
  </si>
  <si>
    <t>C:\Users\franc\OneDrive\Documentos\MALENTIN KARIME\BANCO ESTADO\ORLANDA SANTANDER SIERRA A IVAN LEON GONZALEZ Dic Sucesion.doc</t>
  </si>
  <si>
    <t>C:\Users\franc\OneDrive\Documentos\MALENTIN KARIME\BANCO ESTADO\OMAR GALLEGUILLOS Escritura.doc</t>
  </si>
  <si>
    <t>C:\Users\franc\OneDrive\Documentos\MALENTIN KARIME\BANCO ESTADO\OMAR GALLEGUILLOS Escritura publica.doc</t>
  </si>
  <si>
    <t>C:\Users\franc\OneDrive\Documentos\MALENTIN KARIME\BANCO ESTADO\OMAR GALLEGUILLOS carta resguardo.doc</t>
  </si>
  <si>
    <t>C:\Users\franc\OneDrive\Documentos\MALENTIN KARIME\BANCO ESTADO\NELSON MIRANDA Carta resguardo.doc</t>
  </si>
  <si>
    <t>C:\Users\franc\OneDrive\Documentos\MALENTIN KARIME\BANCO ESTADO\NELSON MIRANDA CACERES Y DOBLE M.doc</t>
  </si>
  <si>
    <t>C:\Users\franc\OneDrive\Documentos\MALENTIN KARIME\BANCO ESTADO\MIRTA CACERES TAPJIA diciembre.doc</t>
  </si>
  <si>
    <t>C:\Users\franc\OneDrive\Documentos\MALENTIN KARIME\BANCO ESTADO\MIRTA CACERES TAPJIA diciembre ejecutivo.doc</t>
  </si>
  <si>
    <t>C:\Users\franc\OneDrive\Documentos\MALENTIN KARIME\BANCO ESTADO\MILTON SANHUEZA Escrirtura.doc</t>
  </si>
  <si>
    <t>C:\Users\franc\OneDrive\Documentos\MALENTIN KARIME\BANCO ESTADO\MILTON SANHUEZA Escrirtura publica.doc</t>
  </si>
  <si>
    <t>C:\Users\franc\OneDrive\Documentos\MALENTIN KARIME\BANCO ESTADO\MILTON SANHUEZA c resgurado.doc</t>
  </si>
  <si>
    <t>C:\Users\franc\OneDrive\Documentos\MALENTIN KARIME\BANCO ESTADO\MARIA ACUÑA ORDENES octubre.doc</t>
  </si>
  <si>
    <t>C:\Users\franc\OneDrive\Documentos\MALENTIN KARIME\BANCO ESTADO\MARIA ACUÑA ORDENES octubre escritura armas.doc</t>
  </si>
  <si>
    <t>C:\Users\franc\OneDrive\Documentos\MALENTIN KARIME\BANCO ESTADO\JUSEF ARAYA LUNA  Y Doble M.doc</t>
  </si>
  <si>
    <t>C:\Users\franc\OneDrive\Documentos\MALENTIN KARIME\BANCO ESTADO\JUSEF ARAYA LUNA  Carta Resguardo.doc</t>
  </si>
  <si>
    <t>C:\Users\franc\OneDrive\Documentos\MALENTIN KARIME\BANCO ESTADO\JUAN SUMBA GARCIA Mutuo.doc</t>
  </si>
  <si>
    <t>C:\Users\franc\OneDrive\Documentos\MALENTIN KARIME\BANCO ESTADO\JUAN SUMBA GARCIA Mutuo escritura refinan.doc</t>
  </si>
  <si>
    <t>C:\Users\franc\OneDrive\Documentos\MALENTIN KARIME\BANCO ESTADO\JUAN MUÑOZ ARAYA Escritura Octubre.doc</t>
  </si>
  <si>
    <t>C:\Users\franc\OneDrive\Documentos\MALENTIN KARIME\BANCO ESTADO\JUAN MUÑOZ ARAYA Escritura CAMBIO AGENTE.doc</t>
  </si>
  <si>
    <t>C:\Users\franc\OneDrive\Documentos\MALENTIN KARIME\BANCO ESTADO\JOSUE COFRE NAVARRO Carta Resguardo.doc</t>
  </si>
  <si>
    <t>C:\Users\franc\OneDrive\Documentos\MALENTIN KARIME\BANCO ESTADO\GONZALO CACERES IRIARTE.doc</t>
  </si>
  <si>
    <t>C:\Users\franc\OneDrive\Documentos\MALENTIN KARIME\BANCO ESTADO\GONZALO CACERES Carta resguardo.doc</t>
  </si>
  <si>
    <t>C:\Users\franc\OneDrive\Documentos\MALENTIN KARIME\BANCO ESTADO\F 24 YULAN MERI.doc</t>
  </si>
  <si>
    <t>C:\Users\franc\OneDrive\Documentos\MALENTIN KARIME\BANCO ESTADO\F 24 YOLANDA VEGA 22.doc</t>
  </si>
  <si>
    <t>C:\Users\franc\OneDrive\Documentos\MALENTIN KARIME\BANCO ESTADO\F 24 RODRIGO TORRES.doc</t>
  </si>
  <si>
    <t>C:\Users\franc\OneDrive\Documentos\MALENTIN KARIME\BANCO ESTADO\F 24 RODRIGO TORRES 22.doc</t>
  </si>
  <si>
    <t>C:\Users\franc\OneDrive\Documentos\MALENTIN KARIME\BANCO ESTADO\F 24 PEDRO MUÑOZ 22.doc</t>
  </si>
  <si>
    <t>C:\Users\franc\OneDrive\Documentos\MALENTIN KARIME\BANCO ESTADO\F 24 Nelson Miranda Cáceres.doc</t>
  </si>
  <si>
    <t>C:\Users\franc\OneDrive\Documentos\MALENTIN KARIME\BANCO ESTADO\F 24 MIRTA CACERES.doc</t>
  </si>
  <si>
    <t>C:\Users\franc\OneDrive\Documentos\MALENTIN KARIME\BANCO ESTADO\F 24 LUIS TOREJON.doc</t>
  </si>
  <si>
    <t>C:\Users\franc\OneDrive\Documentos\MALENTIN KARIME\BANCO ESTADO\F 24 juan sumba ley 20130.doc</t>
  </si>
  <si>
    <t>C:\Users\franc\OneDrive\Documentos\MALENTIN KARIME\BANCO ESTADO\F 24 JOSUE COFRE.doc</t>
  </si>
  <si>
    <t>C:\Users\franc\OneDrive\Documentos\MALENTIN KARIME\BANCO ESTADO\F 24 IVAN LEON.doc</t>
  </si>
  <si>
    <t>C:\Users\franc\OneDrive\Documentos\MALENTIN KARIME\BANCO ESTADO\F 24 GONZALO CACERES.doc</t>
  </si>
  <si>
    <t>C:\Users\franc\OneDrive\Documentos\MALENTIN KARIME\BANCO ESTADO\F 24 DANIEL CONTRERAS.doc</t>
  </si>
  <si>
    <t>C:\Users\franc\OneDrive\Documentos\MALENTIN KARIME\BANCO ESTADO\F 24 CRISTIAN CORTES.doc</t>
  </si>
  <si>
    <t>C:\Users\franc\OneDrive\Documentos\MALENTIN KARIME\BANCO ESTADO\F 24 BORIS JIMENEZ.doc</t>
  </si>
  <si>
    <t>C:\Users\franc\OneDrive\Documentos\MALENTIN KARIME\BANCO ESTADO\DUBERLY MUNDACA ORTIZ (CIUDAD DEL ENCANTO I ETAPA - BCI) - Octubre C Resguardo.doc</t>
  </si>
  <si>
    <t>C:\Users\franc\OneDrive\Documentos\MALENTIN KARIME\BANCO ESTADO\DOBLE M A RODRIGO TORRES.doc</t>
  </si>
  <si>
    <t>C:\Users\franc\OneDrive\Documentos\MALENTIN KARIME\BANCO ESTADO\DOBLE M A RODRIGO TORRES definitiva.doc</t>
  </si>
  <si>
    <t>C:\Users\franc\OneDrive\Documentos\MALENTIN KARIME\BANCO ESTADO\DOBLE M A JOSUE COFRE definitiva.doc</t>
  </si>
  <si>
    <t>C:\Users\franc\OneDrive\Documentos\MALENTIN KARIME\BANCO ESTADO\DIEGO ARANCIBIA Octubre Escritura.doc</t>
  </si>
  <si>
    <t>C:\Users\franc\OneDrive\Documentos\MALENTIN KARIME\BANCO ESTADO\DANIEL CONTRERAS UBILLO Carta Resguardo.doc</t>
  </si>
  <si>
    <t>C:\Users\franc\OneDrive\Documentos\MALENTIN KARIME\BANCO ESTADO\DANIEL CONTRERAS UBILLO  A DOBLE M.doc</t>
  </si>
  <si>
    <t>C:\Users\franc\OneDrive\Documentos\MALENTIN KARIME\BANCO ESTADO\CV Mutuo Hipotecario (DOBLE M DEL ATARDECER III ETAPA) CRISTIAN CORTES PINTO - Septiembre (2)(2).doc</t>
  </si>
  <si>
    <t>C:\Users\franc\OneDrive\Documentos\MALENTIN KARIME\BANCO ESTADO\CV Mutuo Hipotecario (Doble M - Del Crepúculo) DANIEL CONTRERAS UBILLO - Febrero (2).doc</t>
  </si>
  <si>
    <t>C:\Users\franc\OneDrive\Documentos\MALENTIN KARIME\BANCO ESTADO\CRISTIAN DIAZ andrea.doc</t>
  </si>
  <si>
    <t>C:\Users\franc\OneDrive\Documentos\MALENTIN KARIME\BANCO ESTADO\CRISTIAN CORTES PINTO Y DOBLE M.doc</t>
  </si>
  <si>
    <t>C:\Users\franc\OneDrive\Documentos\MALENTIN KARIME\BANCO ESTADO\CRISTIAN CORTES PINTO Y DOBLE M 2.doc</t>
  </si>
  <si>
    <t>C:\Users\franc\OneDrive\Documentos\MALENTIN KARIME\BANCO ESTADO\CRISTIAN CORTES PINTO (Doble M - Del Atardecer 3º Etapa) - Banco Chile(2) CARTA RESGUARDO 2.doc</t>
  </si>
  <si>
    <t>C:\Users\franc\OneDrive\Documentos\MALENTIN KARIME\BANCO ESTADO\CRISTIAN CORTES PINTO (Doble M - Del Atardecer 3º Etapa) - Banco Chile.doc</t>
  </si>
  <si>
    <t>C:\Users\franc\OneDrive\Documentos\MALENTIN KARIME\BANCO ESTADO\compraventa y alzamiento MIGUEL MALUENDA Y BEATRIZ CARVAJAL_000038.pdf</t>
  </si>
  <si>
    <t>C:\Users\franc\OneDrive\Documentos\MALENTIN KARIME\BANCO ESTADO\CLAUDIO GARRIDO ROJAS Octubre.doc</t>
  </si>
  <si>
    <t>C:\Users\franc\OneDrive\Documentos\MALENTIN KARIME\BANCO ESTADO\CLAUDIO GARRIDO ROJAS Octubre escritura publica.doc</t>
  </si>
  <si>
    <t>C:\Users\franc\OneDrive\Documentos\MALENTIN KARIME\BANCO ESTADO\certificado hipotecas MIGUEL MALUENDA_000039.pdf</t>
  </si>
  <si>
    <t>C:\Users\franc\OneDrive\Documentos\MALENTIN KARIME\BANCO ESTADO\CARTA.doc</t>
  </si>
  <si>
    <t>C:\Users\franc\OneDrive\Documentos\MALENTIN KARIME\BANCO ESTADO\carta resguardo  MIGUEL MALUENDA_000040.pdf</t>
  </si>
  <si>
    <t>C:\Users\franc\OneDrive\Documentos\MALENTIN KARIME\BANCO ESTADO\BORIS JIMENEZ BORQUEZ (Doble M - Del Crepúsculo) - Banco Chile.doc</t>
  </si>
  <si>
    <t>C:\Users\franc\OneDrive\Documentos\MALENTIN KARIME\BANCO ESTADO\BORIS JIMENEZ BORQUEZ  A DOBLE M.doc</t>
  </si>
  <si>
    <t>C:\Users\franc\OneDrive\Documentos\MALENTIN KARIME\BANCO ESTADO\BORIS JIMENEZ  Complementacion.doc</t>
  </si>
  <si>
    <t>C:\Users\franc\OneDrive\Documentos\MALENTIN KARIME\BANCO ESTADO\Bech Yuran Mery Leon Octubre.doc</t>
  </si>
  <si>
    <t>C:\Users\franc\OneDrive\Documentos\MALENTIN KARIME\BANCO ESTADO\Bech JUAN MUÑOZ ARAYA (soltero - UNION CIVIL) - Octubre.doc</t>
  </si>
  <si>
    <t>C:\Users\franc\OneDrive\Documentos\MALENTIN KARIME\BANCO ESTADO\Bech JUAN MUÑOZ ARAYA (soltero - UNION CIVIL) - CResguardo.doc</t>
  </si>
  <si>
    <t>C:\Users\franc\OneDrive\Documentos\MALENTIN KARIME\BANCO ESTADO\Bech DUBERLY MUNDACA ORTIZ (CIUDAD DEL ENCANTO I ETAPA - BCI) - Octubre C Resguardo.doc</t>
  </si>
  <si>
    <t>C:\Users\franc\OneDrive\Documentos\MALENTIN KARIME\BANCO ESTADO\Bech DIEGO ARANCIBIA CASTILLO (csc - soltero) - Octubre.doc</t>
  </si>
  <si>
    <t>C:\Users\franc\OneDrive\Documentos\MALENTIN KARIME\BANCO ESTADO\BEATRIZ CARVAJAL.doc</t>
  </si>
  <si>
    <t>C:\Users\franc\OneDrive\Documentos\MALENTIN KARIME\BANCO ESTADO\BEATRIZ CARVAJAL Escritura.doc</t>
  </si>
  <si>
    <t>C:\Users\franc\OneDrive\Documentos\MALENTIN KARIME\BANCO ESTADO\BEATRIZ CARVAJAL carta resguardo.doc</t>
  </si>
  <si>
    <t>C:\Users\franc\OneDrive\Documentos\MALENTIN KARIME\BANCO ESTADO\BEATRIZ CARVAJAL Escritura publica.doc</t>
  </si>
  <si>
    <t>C:\Users\franc\OneDrive\Documentos\MALENTIN KARIME\BANCO ESTADO\ALEXIS CAMPOS escritura.doc</t>
  </si>
  <si>
    <t>C:\Users\franc\OneDrive\Documentos\MALENTIN KARIME\BANCO ESTADO\ALEXIS CAMPOS escritura publica.doc</t>
  </si>
  <si>
    <t>C:\Users\franc\OneDrive\Documentos\MALENTIN KARIME\BANCO ESTADO\ALDO JAVIER PORTILLO escritura.doc</t>
  </si>
  <si>
    <t>C:\Users\franc\OneDrive\Documentos\MALENTIN KARIME\BANCO ESTADO\ALDO JAVIER PORTILLO carta resguardo.doc</t>
  </si>
  <si>
    <t>C:\Users\franc\OneDrive\Documentos\MALENTIN KARIME\BANCO CREDITO\FER LORCA en ROSITA (Rosita)\VISITA\VISITA 4º BIMESTRE 2009.doc</t>
  </si>
  <si>
    <t>C:\Users\franc\OneDrive\Documentos\MALENTIN KARIME\BANCO CREDITO\FER LORCA en ROSITA (Rosita)\VISITA\VISITA 3º BIMESTRE 2009.doc</t>
  </si>
  <si>
    <t>C:\Users\franc\OneDrive\Documentos\MALENTIN KARIME\BANCO CREDITO\FER LORCA en ROSITA (Rosita)\VISITA\VISITA 2º BIMESTRE 2009.doc</t>
  </si>
  <si>
    <t>C:\Users\franc\OneDrive\Documentos\MALENTIN KARIME\BANCO CREDITO\FER LORCA en ROSITA (Rosita)\VISITA\SIN EFECTO.doc</t>
  </si>
  <si>
    <t>C:\Users\franc\OneDrive\Documentos\MALENTIN KARIME\BANCO CREDITO\FER LORCA en ROSITA (Rosita)\VISITA\SIN EFECTO..doc</t>
  </si>
  <si>
    <t>C:\Users\franc\OneDrive\Documentos\MALENTIN KARIME\BANCO CREDITO\FER LORCA en ROSITA (Rosita)\VISITA\SIN EFECTO.-.doc</t>
  </si>
  <si>
    <t>C:\Users\franc\OneDrive\Documentos\MALENTIN KARIME\BANCO CREDITO\FER LORCA en ROSITA (Rosita)\VISITA\SIN EFECTO HORIZONTAL2.doc</t>
  </si>
  <si>
    <t>C:\Users\franc\OneDrive\Documentos\MALENTIN KARIME\BANCO CREDITO\FER LORCA en ROSITA (Rosita)\VISITA\SIN EFECTO HORIZONTAL2.- RETIRO DE FIRMA.-.doc</t>
  </si>
  <si>
    <t>C:\Users\franc\OneDrive\Documentos\MALENTIN KARIME\BANCO CREDITO\FER LORCA en ROSITA (Rosita)\VISITA\SIN EFECTO HORIZONTAL.doc</t>
  </si>
  <si>
    <t>C:\Users\franc\OneDrive\Documentos\MALENTIN KARIME\BANCO CREDITO\FER LORCA en ROSITA (Rosita)\VISITA\SIN EFECTO HORIZONTAL.-.doc</t>
  </si>
  <si>
    <t>C:\Users\franc\OneDrive\Documentos\MALENTIN KARIME\BANCO CREDITO\FER LORCA en ROSITA (Rosita)\VISITA\SIN EFECTO HORIZONTAL.- 1.doc</t>
  </si>
  <si>
    <t>C:\Users\franc\OneDrive\Documentos\MALENTIN KARIME\BANCO CREDITO\FER LORCA en ROSITA (Rosita)\VISITA\CERTIFICO.- primera hoja visita.doc</t>
  </si>
  <si>
    <t>C:\Users\franc\OneDrive\Documentos\MALENTIN KARIME\BANCO CREDITO\FER LORCA en ROSITA (Rosita)\VISITA\CERTIFICO.- primera hoja visita..doc</t>
  </si>
  <si>
    <t>C:\Users\franc\OneDrive\Documentos\MALENTIN KARIME\BANCO CREDITO\FER LORCA en ROSITA (Rosita)\VISITA\ACTA VISITA ANUAL.- oct. 2009 - 2010.doc</t>
  </si>
  <si>
    <t>C:\Users\franc\OneDrive\Documentos\MALENTIN KARIME\BANCO CREDITO\FER LORCA en ROSITA (Rosita)\VISITA\ACTA VISITA 5º BIMESTRE 2010.doc</t>
  </si>
  <si>
    <t>C:\Users\franc\OneDrive\Documentos\MALENTIN KARIME\BANCO CREDITO\FER LORCA en ROSITA (Rosita)\VISITA\1.doc</t>
  </si>
  <si>
    <t>C:\Users\franc\OneDrive\Documentos\MALENTIN KARIME\BANCO CREDITO\FER LORCA en ROSITA (Rosita)\VARIOS\VARIOS\CIBERGESTION\CIBERGESTION.doc</t>
  </si>
  <si>
    <t>C:\Users\franc\OneDrive\Documentos\MALENTIN KARIME\BANCO CREDITO\FER LORCA en ROSITA (Rosita)\VARIOS\VARIOS\CARTAS ASICOM 09\CARTA DICIEMBRE 09.doc</t>
  </si>
  <si>
    <t>C:\Users\franc\OneDrive\Documentos\MALENTIN KARIME\BANCO CREDITO\FER LORCA en ROSITA (Rosita)\VARIOS\VARIOS\CARTAS ASICOM 09\CARTA ASICOM.doc</t>
  </si>
  <si>
    <t>C:\Users\franc\OneDrive\Documentos\MALENTIN KARIME\BANCO CREDITO\FER LORCA en ROSITA (Rosita)\VARIOS\VARIOS\CARTAS ASICOM 09\CARTA ASICOM sept..doc</t>
  </si>
  <si>
    <t>C:\Users\franc\OneDrive\Documentos\MALENTIN KARIME\BANCO CREDITO\FER LORCA en ROSITA (Rosita)\VARIOS\VARIOS\CARTAS ASICOM 09\CARTA ASICOM OCTUBRE.doc</t>
  </si>
  <si>
    <t>C:\Users\franc\OneDrive\Documentos\MALENTIN KARIME\BANCO CREDITO\FER LORCA en ROSITA (Rosita)\VARIOS\VARIOS\CARTAS ASICOM 09\CARTA ASICOM JULIO.doc</t>
  </si>
  <si>
    <t>C:\Users\franc\OneDrive\Documentos\MALENTIN KARIME\BANCO CREDITO\FER LORCA en ROSITA (Rosita)\VARIOS\VARIOS\CARTAS ASICOM 09\CARTA ASICOM ESC. MES DE OCTUBRE.doc</t>
  </si>
  <si>
    <t>C:\Users\franc\OneDrive\Documentos\MALENTIN KARIME\BANCO CREDITO\FER LORCA en ROSITA (Rosita)\VARIOS\VARIOS\SOBRE BIGGERASICOM.doc</t>
  </si>
  <si>
    <t>C:\Users\franc\OneDrive\Documentos\MALENTIN KARIME\BANCO CREDITO\FER LORCA en ROSITA (Rosita)\VARIOS\VARIOS\SOBRE BIGGER.doc</t>
  </si>
  <si>
    <t>C:\Users\franc\OneDrive\Documentos\MALENTIN KARIME\BANCO CREDITO\FER LORCA en ROSITA (Rosita)\VARIOS\VARIOS\LOGOS.doc</t>
  </si>
  <si>
    <t>C:\Users\franc\OneDrive\Documentos\MALENTIN KARIME\BANCO CREDITO\FER LORCA en ROSITA (Rosita)\VARIOS\VARIOS\LOGOS .-.doc</t>
  </si>
  <si>
    <t>C:\Users\franc\OneDrive\Documentos\MALENTIN KARIME\BANCO CREDITO\FER LORCA en ROSITA (Rosita)\VARIOS\VARIOS\FS.doc</t>
  </si>
  <si>
    <t>C:\Users\franc\OneDrive\Documentos\MALENTIN KARIME\BANCO CREDITO\FER LORCA en ROSITA (Rosita)\VARIOS\VARIOS\Copia de PROTOCOLIZADOS.xls</t>
  </si>
  <si>
    <t>C:\Users\franc\OneDrive\Documentos\MALENTIN KARIME\BANCO CREDITO\FER LORCA en ROSITA (Rosita)\VARIOS\VARIOS\CARTA.doc</t>
  </si>
  <si>
    <t>C:\Users\franc\OneDrive\Documentos\MALENTIN KARIME\BANCO CREDITO\FER LORCA en ROSITA (Rosita)\VARIOS\VARIOS\CARTA STGO- CORPBANCA.doc</t>
  </si>
  <si>
    <t>C:\Users\franc\OneDrive\Documentos\MALENTIN KARIME\BANCO CREDITO\FER LORCA en ROSITA (Rosita)\VARIOS\VARIOS\CARTA entrega.doc</t>
  </si>
  <si>
    <t>C:\Users\franc\OneDrive\Documentos\MALENTIN KARIME\BANCO CREDITO\FER LORCA en ROSITA (Rosita)\VARIOS\VARIOS\CARTA ENTREGA DOCUMENTOS.doc</t>
  </si>
  <si>
    <t>C:\Users\franc\OneDrive\Documentos\MALENTIN KARIME\BANCO CREDITO\FER LORCA en ROSITA (Rosita)\VARIOS\VICTOR MARTINEZ.doc</t>
  </si>
  <si>
    <t>C:\Users\franc\OneDrive\Documentos\MALENTIN KARIME\BANCO CREDITO\FER LORCA en ROSITA (Rosita)\VARIOS\SOBRE.doc</t>
  </si>
  <si>
    <t>C:\Users\franc\OneDrive\Documentos\MALENTIN KARIME\BANCO CREDITO\FER LORCA en ROSITA (Rosita)\VARIOS\SOBRE RMTE.- AMERICANO.doc</t>
  </si>
  <si>
    <t>C:\Users\franc\OneDrive\Documentos\MALENTIN KARIME\BANCO CREDITO\FER LORCA en ROSITA (Rosita)\VARIOS\SOBRE MEDIO OFICIO.doc</t>
  </si>
  <si>
    <t>C:\Users\franc\OneDrive\Documentos\MALENTIN KARIME\BANCO CREDITO\FER LORCA en ROSITA (Rosita)\VARIOS\SOBRE BIGGER.doc</t>
  </si>
  <si>
    <t>C:\Users\franc\OneDrive\Documentos\MALENTIN KARIME\BANCO CREDITO\FER LORCA en ROSITA (Rosita)\VARIOS\SOBRE BIGGER. TIO NANO.-.doc</t>
  </si>
  <si>
    <t>C:\Users\franc\OneDrive\Documentos\MALENTIN KARIME\BANCO CREDITO\FER LORCA en ROSITA (Rosita)\VARIOS\SOBRE BIGGER. MANLIO.doc</t>
  </si>
  <si>
    <t>C:\Users\franc\OneDrive\Documentos\MALENTIN KARIME\BANCO CREDITO\FER LORCA en ROSITA (Rosita)\VARIOS\SOBRE BIGGER. JOHN HUNTER.doc</t>
  </si>
  <si>
    <t>C:\Users\franc\OneDrive\Documentos\MALENTIN KARIME\BANCO CREDITO\FER LORCA en ROSITA (Rosita)\VARIOS\SOBRE A6.doc</t>
  </si>
  <si>
    <t>C:\Users\franc\OneDrive\Documentos\MALENTIN KARIME\BANCO CREDITO\FER LORCA en ROSITA (Rosita)\VARIOS\SEPARACION BIENES.doc</t>
  </si>
  <si>
    <t>C:\Users\franc\OneDrive\Documentos\MALENTIN KARIME\BANCO CREDITO\FER LORCA en ROSITA (Rosita)\VARIOS\RMTE..doc</t>
  </si>
  <si>
    <t>C:\Users\franc\OneDrive\Documentos\MALENTIN KARIME\BANCO CREDITO\FER LORCA en ROSITA (Rosita)\VARIOS\PAGO IMPUESTOS F 24.doc</t>
  </si>
  <si>
    <t>C:\Users\franc\OneDrive\Documentos\MALENTIN KARIME\BANCO CREDITO\FER LORCA en ROSITA (Rosita)\VARIOS\PAGO IMPUESTOS F 24..doc</t>
  </si>
  <si>
    <t>C:\Users\franc\OneDrive\Documentos\MALENTIN KARIME\BANCO CREDITO\FER LORCA en ROSITA (Rosita)\VARIOS\PAGARE A PLAZO.doc</t>
  </si>
  <si>
    <t>C:\Users\franc\OneDrive\Documentos\MALENTIN KARIME\BANCO CREDITO\FER LORCA en ROSITA (Rosita)\VARIOS\PAGARE A PLAZO .-.doc</t>
  </si>
  <si>
    <t>C:\Users\franc\OneDrive\Documentos\MALENTIN KARIME\BANCO CREDITO\FER LORCA en ROSITA (Rosita)\VARIOS\otros.doc</t>
  </si>
  <si>
    <t>C:\Users\franc\OneDrive\Documentos\MALENTIN KARIME\BANCO CREDITO\FER LORCA en ROSITA (Rosita)\VARIOS\notificacion.doc</t>
  </si>
  <si>
    <t>C:\Users\franc\OneDrive\Documentos\MALENTIN KARIME\BANCO CREDITO\FER LORCA en ROSITA (Rosita)\VARIOS\notas al margen. 2..doc</t>
  </si>
  <si>
    <t>C:\Users\franc\OneDrive\Documentos\MALENTIN KARIME\BANCO CREDITO\FER LORCA en ROSITA (Rosita)\VARIOS\notas al margen OTRA.-.doc</t>
  </si>
  <si>
    <t>C:\Users\franc\OneDrive\Documentos\MALENTIN KARIME\BANCO CREDITO\FER LORCA en ROSITA (Rosita)\VARIOS\notas al margen OT.-.doc</t>
  </si>
  <si>
    <t>C:\Users\franc\OneDrive\Documentos\MALENTIN KARIME\BANCO CREDITO\FER LORCA en ROSITA (Rosita)\VARIOS\notas al margen 2.- FTO. LUIS DIAZ.doc</t>
  </si>
  <si>
    <t>C:\Users\franc\OneDrive\Documentos\MALENTIN KARIME\BANCO CREDITO\FER LORCA en ROSITA (Rosita)\VARIOS\notas al margen 2.- FTO. LUIS DIAZ-.doc</t>
  </si>
  <si>
    <t>C:\Users\franc\OneDrive\Documentos\MALENTIN KARIME\BANCO CREDITO\FER LORCA en ROSITA (Rosita)\VARIOS\nota al margen.1.doc</t>
  </si>
  <si>
    <t>C:\Users\franc\OneDrive\Documentos\MALENTIN KARIME\BANCO CREDITO\FER LORCA en ROSITA (Rosita)\VARIOS\nota al margen RATIFICACION.doc</t>
  </si>
  <si>
    <t>C:\Users\franc\OneDrive\Documentos\MALENTIN KARIME\BANCO CREDITO\FER LORCA en ROSITA (Rosita)\VARIOS\nota al margen CANCELACION PRECIO..doc</t>
  </si>
  <si>
    <t>C:\Users\franc\OneDrive\Documentos\MALENTIN KARIME\BANCO CREDITO\FER LORCA en ROSITA (Rosita)\VARIOS\nota al margen 1..doc</t>
  </si>
  <si>
    <t>C:\Users\franc\OneDrive\Documentos\MALENTIN KARIME\BANCO CREDITO\FER LORCA en ROSITA (Rosita)\VARIOS\nota al margen 1.- rectific. cvta con subs.-.doc</t>
  </si>
  <si>
    <t>C:\Users\franc\OneDrive\Documentos\MALENTIN KARIME\BANCO CREDITO\FER LORCA en ROSITA (Rosita)\VARIOS\nota al margen ..doc</t>
  </si>
  <si>
    <t>C:\Users\franc\OneDrive\Documentos\MALENTIN KARIME\BANCO CREDITO\FER LORCA en ROSITA (Rosita)\VARIOS\NO TIENE REV. TECNICA.doc</t>
  </si>
  <si>
    <t>C:\Users\franc\OneDrive\Documentos\MALENTIN KARIME\BANCO CREDITO\FER LORCA en ROSITA (Rosita)\VARIOS\MODELO   FORMULARIO  24.doc</t>
  </si>
  <si>
    <t>C:\Users\franc\OneDrive\Documentos\MALENTIN KARIME\BANCO CREDITO\FER LORCA en ROSITA (Rosita)\VARIOS\MODELO   FORMULARIO  24.- OTROÇ.doc</t>
  </si>
  <si>
    <t>C:\Users\franc\OneDrive\Documentos\MALENTIN KARIME\BANCO CREDITO\FER LORCA en ROSITA (Rosita)\VARIOS\MODELO   FORMULARIO  24.- MUTUOS HIPOTECARIO.doc</t>
  </si>
  <si>
    <t>C:\Users\franc\OneDrive\Documentos\MALENTIN KARIME\BANCO CREDITO\FER LORCA en ROSITA (Rosita)\VARIOS\MODELO   FORMULARIO  24. SILIM DABED.doc</t>
  </si>
  <si>
    <t>C:\Users\franc\OneDrive\Documentos\MALENTIN KARIME\BANCO CREDITO\FER LORCA en ROSITA (Rosita)\VARIOS\MODELO   FORMULARIO  24 NORA[1].doc</t>
  </si>
  <si>
    <t>C:\Users\franc\OneDrive\Documentos\MALENTIN KARIME\BANCO CREDITO\FER LORCA en ROSITA (Rosita)\VARIOS\LOGOS.doc</t>
  </si>
  <si>
    <t>C:\Users\franc\OneDrive\Documentos\MALENTIN KARIME\BANCO CREDITO\FER LORCA en ROSITA (Rosita)\VARIOS\LOGOS MINAS.doc</t>
  </si>
  <si>
    <t>C:\Users\franc\OneDrive\Documentos\MALENTIN KARIME\BANCO CREDITO\FER LORCA en ROSITA (Rosita)\VARIOS\LOGOS MINAS TAPA.doc</t>
  </si>
  <si>
    <t>C:\Users\franc\OneDrive\Documentos\MALENTIN KARIME\BANCO CREDITO\FER LORCA en ROSITA (Rosita)\VARIOS\Libro1.- HOJA CARTA INSTRUCCIONES.xls</t>
  </si>
  <si>
    <t>C:\Users\franc\OneDrive\Documentos\MALENTIN KARIME\BANCO CREDITO\FER LORCA en ROSITA (Rosita)\VARIOS\LETRA DE CAMBIO MODELO.doc</t>
  </si>
  <si>
    <t>C:\Users\franc\OneDrive\Documentos\MALENTIN KARIME\BANCO CREDITO\FER LORCA en ROSITA (Rosita)\VARIOS\INFORME INTERNO.xls</t>
  </si>
  <si>
    <t>C:\Users\franc\OneDrive\Documentos\MALENTIN KARIME\BANCO CREDITO\FER LORCA en ROSITA (Rosita)\VARIOS\IMPUESTOS VEHICULOS.doc</t>
  </si>
  <si>
    <t>C:\Users\franc\OneDrive\Documentos\MALENTIN KARIME\BANCO CREDITO\FER LORCA en ROSITA (Rosita)\VARIOS\IMPUESTOS VEHICULOS.-.doc</t>
  </si>
  <si>
    <t>C:\Users\franc\OneDrive\Documentos\MALENTIN KARIME\BANCO CREDITO\FER LORCA en ROSITA (Rosita)\VARIOS\IMPUESTOS EN PROMESA DE COMPRAVENTA.doc</t>
  </si>
  <si>
    <t>C:\Users\franc\OneDrive\Documentos\MALENTIN KARIME\BANCO CREDITO\FER LORCA en ROSITA (Rosita)\VARIOS\FORMULARIO  24.doc</t>
  </si>
  <si>
    <t>C:\Users\franc\OneDrive\Documentos\MALENTIN KARIME\BANCO CREDITO\FER LORCA en ROSITA (Rosita)\VARIOS\FORMULARIO  24.- ALBERTO SCHENFELD.- BCO. CHILE.doc</t>
  </si>
  <si>
    <t>C:\Users\franc\OneDrive\Documentos\MALENTIN KARIME\BANCO CREDITO\FER LORCA en ROSITA (Rosita)\VARIOS\DEC JURADA SIMPLE....EDG.S..doc</t>
  </si>
  <si>
    <t>C:\Users\franc\OneDrive\Documentos\MALENTIN KARIME\BANCO CREDITO\FER LORCA en ROSITA (Rosita)\VARIOS\CXARTA INSTRUCCION.doc</t>
  </si>
  <si>
    <t>C:\Users\franc\OneDrive\Documentos\MALENTIN KARIME\BANCO CREDITO\FER LORCA en ROSITA (Rosita)\VARIOS\Copia de Libro1.- HOJA CARTA INSTRUCCIONES..xls</t>
  </si>
  <si>
    <t>C:\Users\franc\OneDrive\Documentos\MALENTIN KARIME\BANCO CREDITO\FER LORCA en ROSITA (Rosita)\VARIOS\Copia de Copia de PROTOCOLIZADOS.-.xls</t>
  </si>
  <si>
    <t>C:\Users\franc\OneDrive\Documentos\MALENTIN KARIME\BANCO CREDITO\FER LORCA en ROSITA (Rosita)\VARIOS\CARTA.doc</t>
  </si>
  <si>
    <t>C:\Users\franc\OneDrive\Documentos\MALENTIN KARIME\BANCO CREDITO\FER LORCA en ROSITA (Rosita)\VARIOS\CARTA.-.doc</t>
  </si>
  <si>
    <t>C:\Users\franc\OneDrive\Documentos\MALENTIN KARIME\BANCO CREDITO\FER LORCA en ROSITA (Rosita)\VARIOS\CARTA.- GABRIEL.doc</t>
  </si>
  <si>
    <t>C:\Users\franc\OneDrive\Documentos\MALENTIN KARIME\BANCO CREDITO\FER LORCA en ROSITA (Rosita)\VARIOS\CARTA.- GABRIEL.- B.C.I. SEGUROS.doc</t>
  </si>
  <si>
    <t>C:\Users\franc\OneDrive\Documentos\MALENTIN KARIME\BANCO CREDITO\FER LORCA en ROSITA (Rosita)\VARIOS\CARTA JUZGADO.doc</t>
  </si>
  <si>
    <t>C:\Users\franc\OneDrive\Documentos\MALENTIN KARIME\BANCO CREDITO\FER LORCA en ROSITA (Rosita)\VARIOS\CARTA JUZGADO.- ENERO.doc</t>
  </si>
  <si>
    <t>C:\Users\franc\OneDrive\Documentos\MALENTIN KARIME\BANCO CREDITO\FER LORCA en ROSITA (Rosita)\VARIOS\CARTA JUZGADO.- ENERO 2011.doc</t>
  </si>
  <si>
    <t>C:\Users\franc\OneDrive\Documentos\MALENTIN KARIME\BANCO CREDITO\FER LORCA en ROSITA (Rosita)\VARIOS\CARTA INSTRUCCIONES.-1.doc</t>
  </si>
  <si>
    <t>C:\Users\franc\OneDrive\Documentos\MALENTIN KARIME\BANCO CREDITO\FER LORCA en ROSITA (Rosita)\VARIOS\CARTA INSTRUCCIONES.-.doc</t>
  </si>
  <si>
    <t>C:\Users\franc\OneDrive\Documentos\MALENTIN KARIME\BANCO CREDITO\FER LORCA en ROSITA (Rosita)\VARIOS\CARTA INSTRUCCION.doc</t>
  </si>
  <si>
    <t>C:\Users\franc\OneDrive\Documentos\MALENTIN KARIME\BANCO CREDITO\FER LORCA en ROSITA (Rosita)\VARIOS\CARTA bci.doc</t>
  </si>
  <si>
    <t>C:\Users\franc\OneDrive\Documentos\MALENTIN KARIME\BANCO CREDITO\FER LORCA en ROSITA (Rosita)\VARIOS\CARTA AL C.B.R. PROT. PLANO.doc</t>
  </si>
  <si>
    <t>C:\Users\franc\OneDrive\Documentos\MALENTIN KARIME\BANCO CREDITO\FER LORCA en ROSITA (Rosita)\VARIOS\CARTA AL  C.B.R. PROTOC. PLANOOTRA.doc</t>
  </si>
  <si>
    <t>C:\Users\franc\OneDrive\Documentos\MALENTIN KARIME\BANCO CREDITO\FER LORCA en ROSITA (Rosita)\VARIOS\CARTA AL  C.B.R. PROTOC. PLANO.doc</t>
  </si>
  <si>
    <t>C:\Users\franc\OneDrive\Documentos\MALENTIN KARIME\BANCO CREDITO\FER LORCA en ROSITA (Rosita)\VARIOS\CARTA AL  C.B.R. PROTOC. PLANO.- MONTE PATRIA.doc</t>
  </si>
  <si>
    <t>C:\Users\franc\OneDrive\Documentos\MALENTIN KARIME\BANCO CREDITO\FER LORCA en ROSITA (Rosita)\VARIOS\CARTA .C.B.R. PEDRO GAHONA.doc</t>
  </si>
  <si>
    <t>C:\Users\franc\OneDrive\Documentos\MALENTIN KARIME\BANCO CREDITO\FER LORCA en ROSITA (Rosita)\VARIOS\AUTORIZACION ESCRITRUAS CON VIGENCIA.doc</t>
  </si>
  <si>
    <t>C:\Users\franc\OneDrive\Documentos\MALENTIN KARIME\BANCO CREDITO\FER LORCA en ROSITA (Rosita)\VARIOS\AUTORIZACION ESCRITRUAS CON VIGENCIA otro.doc</t>
  </si>
  <si>
    <t>C:\Users\franc\OneDrive\Documentos\MALENTIN KARIME\BANCO CREDITO\FER LORCA en ROSITA (Rosita)\VARIOS\AUTORIZACION ESCRITRUAS CON VIGENCIA horizontal.doc</t>
  </si>
  <si>
    <t>C:\Users\franc\OneDrive\Documentos\MALENTIN KARIME\BANCO CREDITO\FER LORCA en ROSITA (Rosita)\VARIOS\AUTORIZACION DIARIO..doc</t>
  </si>
  <si>
    <t>C:\Users\franc\OneDrive\Documentos\MALENTIN KARIME\BANCO CREDITO\FER LORCA en ROSITA (Rosita)\VARIOS\AUTORIZACION DIARIO digital.doc</t>
  </si>
  <si>
    <t>C:\Users\franc\OneDrive\Documentos\MALENTIN KARIME\BANCO CREDITO\FER LORCA en ROSITA (Rosita)\VARIOS\AUTORIZACION BOLETÍN MINERIA.doc</t>
  </si>
  <si>
    <t>C:\Users\franc\OneDrive\Documentos\MALENTIN KARIME\BANCO CREDITO\FER LORCA en ROSITA (Rosita)\VARIOS\AUT. FIRMAS.doc</t>
  </si>
  <si>
    <t>C:\Users\franc\OneDrive\Documentos\MALENTIN KARIME\BANCO CREDITO\FER LORCA en ROSITA (Rosita)\VARIOS\AUT. FIRMAS. ALFONSO ARTIGUES POR ANGOSTURA.doc</t>
  </si>
  <si>
    <t>C:\Users\franc\OneDrive\Documentos\MALENTIN KARIME\BANCO CREDITO\FER LORCA en ROSITA (Rosita)\VARIOS\AGREGA IMPUESTO.doc</t>
  </si>
  <si>
    <t>C:\Users\franc\OneDrive\Documentos\MALENTIN KARIME\BANCO CREDITO\FER LORCA en ROSITA (Rosita)\VARIOS\AGREGA IMPUESTO.-.doc</t>
  </si>
  <si>
    <t>C:\Users\franc\OneDrive\Documentos\MALENTIN KARIME\BANCO CREDITO\FER LORCA en ROSITA (Rosita)\VARIOS\AGREGA IMPUESTO MUTUO.doc</t>
  </si>
  <si>
    <t>C:\Users\franc\OneDrive\Documentos\MALENTIN KARIME\BANCO CREDITO\FER LORCA en ROSITA (Rosita)\VARIOS\AGREGA IMPUESTO MUTUO..doc</t>
  </si>
  <si>
    <t>C:\Users\franc\OneDrive\Documentos\MALENTIN KARIME\BANCO CREDITO\FER LORCA en ROSITA (Rosita)\VARIOS\AGREGA IMPUESTO MUTUO.-.doc</t>
  </si>
  <si>
    <t>C:\Users\franc\OneDrive\Documentos\MALENTIN KARIME\BANCO CREDITO\FER LORCA en ROSITA (Rosita)\VARIOS\AGREGA IMPUESTO MUTUO.-..doc</t>
  </si>
  <si>
    <t>C:\Users\franc\OneDrive\Documentos\MALENTIN KARIME\BANCO CREDITO\FER LORCA en ROSITA (Rosita)\VARIOS\AGREGA CERTIFICADO.doc</t>
  </si>
  <si>
    <t>C:\Users\franc\OneDrive\Documentos\MALENTIN KARIME\BANCO CREDITO\FER LORCA en ROSITA (Rosita)\VARIOS\AGREGA CERTIFICADO PAGO CONTRIB..doc</t>
  </si>
  <si>
    <t>C:\Users\franc\OneDrive\Documentos\MALENTIN KARIME\BANCO CREDITO\FER LORCA en ROSITA (Rosita)\VARIOS\AGREGA CERTIFICADO matrimonio.doc</t>
  </si>
  <si>
    <t>C:\Users\franc\OneDrive\Documentos\MALENTIN KARIME\BANCO CREDITO\FER LORCA en ROSITA (Rosita)\VARIOS\AGREGA CERTIFICADO MAT. MARCELO CORRAL SEP. DE BIENESÇ.doc</t>
  </si>
  <si>
    <t>C:\Users\franc\OneDrive\Documentos\MALENTIN KARIME\BANCO CREDITO\FER LORCA en ROSITA (Rosita)\VARIOS\2SOBRE BIGGER.doc</t>
  </si>
  <si>
    <t>C:\Users\franc\OneDrive\Documentos\MALENTIN KARIME\BANCO CREDITO\FER LORCA en ROSITA (Rosita)\U.A.F.-\UAF.- 2009\ROE.II 09..xls</t>
  </si>
  <si>
    <t>C:\Users\franc\OneDrive\Documentos\MALENTIN KARIME\BANCO CREDITO\FER LORCA en ROSITA (Rosita)\U.A.F.-\UAF.- 2009\ROE.-.xls</t>
  </si>
  <si>
    <t>C:\Users\franc\OneDrive\Documentos\MALENTIN KARIME\BANCO CREDITO\FER LORCA en ROSITA (Rosita)\U.A.F.-\2011\ROE. I SEMESTRE.xls</t>
  </si>
  <si>
    <t>C:\Users\franc\OneDrive\Documentos\MALENTIN KARIME\BANCO CREDITO\FER LORCA en ROSITA (Rosita)\U.A.F.-\2010\ROE. II SEMESTRE..xls</t>
  </si>
  <si>
    <t>C:\Users\franc\OneDrive\Documentos\MALENTIN KARIME\BANCO CREDITO\FER LORCA en ROSITA (Rosita)\U.A.F.-\2010\ROE. I SEMESTRE.xls</t>
  </si>
  <si>
    <t>C:\Users\franc\OneDrive\Documentos\MALENTIN KARIME\BANCO CREDITO\FER LORCA en ROSITA (Rosita)\U.A.F.-\2010\Copia de ROE. II SEMESTRE..xls</t>
  </si>
  <si>
    <t>C:\Users\franc\OneDrive\Documentos\MALENTIN KARIME\BANCO CREDITO\FER LORCA en ROSITA (Rosita)\U.A.F.-\Copia de TABLA UAF 1º SEMESTRE.xls</t>
  </si>
  <si>
    <t>C:\Users\franc\OneDrive\Documentos\MALENTIN KARIME\BANCO CREDITO\FER LORCA en ROSITA (Rosita)\TRANSACCION\OVALLE .-.doc</t>
  </si>
  <si>
    <t>C:\Users\franc\OneDrive\Documentos\MALENTIN KARIME\BANCO CREDITO\FER LORCA en ROSITA (Rosita)\TESTAMENTOS\Testamento Mario  Gonzalez Morales. ADOLFO LAY.doc</t>
  </si>
  <si>
    <t>C:\Users\franc\OneDrive\Documentos\MALENTIN KARIME\BANCO CREDITO\FER LORCA en ROSITA (Rosita)\TESTAMENTOS\MARIA E. MOLINA OMON.doc</t>
  </si>
  <si>
    <t>C:\Users\franc\OneDrive\Documentos\MALENTIN KARIME\BANCO CREDITO\FER LORCA en ROSITA (Rosita)\TESTAMENTOS\Formulario para Testamentos[2].doc</t>
  </si>
  <si>
    <t>C:\Users\franc\OneDrive\Documentos\MALENTIN KARIME\BANCO CREDITO\FER LORCA en ROSITA (Rosita)\SOCIEDAD\MODIF. SOC\EDITH PIZARRO.doc</t>
  </si>
  <si>
    <t>C:\Users\franc\OneDrive\Documentos\MALENTIN KARIME\BANCO CREDITO\FER LORCA en ROSITA (Rosita)\SOCIEDAD\SOC. TRANSCAP LTDA.-.doc</t>
  </si>
  <si>
    <t>C:\Users\franc\OneDrive\Documentos\MALENTIN KARIME\BANCO CREDITO\FER LORCA en ROSITA (Rosita)\SOCIEDAD\SOC. SCM. LOS 4 AMIGOS.doc</t>
  </si>
  <si>
    <t>C:\Users\franc\OneDrive\Documentos\MALENTIN KARIME\BANCO CREDITO\FER LORCA en ROSITA (Rosita)\SOCIEDAD\extracto sociedad transcap[1].doc</t>
  </si>
  <si>
    <t>C:\Users\franc\OneDrive\Documentos\MALENTIN KARIME\BANCO CREDITO\FER LORCA en ROSITA (Rosita)\SOCIEDAD\EXTRACTO SOC. MINERALES CHILECITO LTDA.doc</t>
  </si>
  <si>
    <t>C:\Users\franc\OneDrive\Documentos\MALENTIN KARIME\BANCO CREDITO\FER LORCA en ROSITA (Rosita)\SOCIEDAD\EXTRACTO SERGIO HENRIQUEZ (OVALLE).-.doc</t>
  </si>
  <si>
    <t>C:\Users\franc\OneDrive\Documentos\MALENTIN KARIME\BANCO CREDITO\FER LORCA en ROSITA (Rosita)\SOC. FRESSO LTDA.-\PAGARE  A PLAZO.- MARTA MULET.doc</t>
  </si>
  <si>
    <t>C:\Users\franc\OneDrive\Documentos\MALENTIN KARIME\BANCO CREDITO\FER LORCA en ROSITA (Rosita)\SOC. FRESSO LTDA.-\MODELO   FORMULARIO  24.- MARTA MULET. JULIO 2010.doc</t>
  </si>
  <si>
    <t>C:\Users\franc\OneDrive\Documentos\MALENTIN KARIME\BANCO CREDITO\FER LORCA en ROSITA (Rosita)\SOC. FRESSO LTDA.-\MANDATO Especial.Nogales del Norte_v2.- ESTEBAN INO..doc</t>
  </si>
  <si>
    <t>C:\Users\franc\OneDrive\Documentos\MALENTIN KARIME\BANCO CREDITO\FER LORCA en ROSITA (Rosita)\SOC. FRESSO LTDA.-\LIQUIDAC. SOC. CONYUGAL.doc</t>
  </si>
  <si>
    <t>C:\Users\franc\OneDrive\Documentos\MALENTIN KARIME\BANCO CREDITO\FER LORCA en ROSITA (Rosita)\SOC. FRESSO LTDA.-\FRESSO.COMPRAVENTA A MARTA MULET.doc</t>
  </si>
  <si>
    <t>C:\Users\franc\OneDrive\Documentos\MALENTIN KARIME\BANCO CREDITO\FER LORCA en ROSITA (Rosita)\SOC. FRESSO LTDA.-\FRESSO.COMPRAVENTA A MARTA MULET.-.doc</t>
  </si>
  <si>
    <t>C:\Users\franc\OneDrive\Documentos\MALENTIN KARIME\BANCO CREDITO\FER LORCA en ROSITA (Rosita)\SERVIDUMBRE\servidumbre herrera-godoy definitiva.- JULIO 2010.doc</t>
  </si>
  <si>
    <t>C:\Users\franc\OneDrive\Documentos\MALENTIN KARIME\BANCO CREDITO\FER LORCA en ROSITA (Rosita)\SERVIDUMBRE\AGRICOLA ARBOLITO.doc</t>
  </si>
  <si>
    <t>C:\Users\franc\OneDrive\Documentos\MALENTIN KARIME\BANCO CREDITO\FER LORCA en ROSITA (Rosita)\SERGIO HENRIQUEZ CARTER\SOC. SCM. LOS 4 AMIGOS.- OCTUBRE.doc</t>
  </si>
  <si>
    <t>C:\Users\franc\OneDrive\Documentos\MALENTIN KARIME\BANCO CREDITO\FER LORCA en ROSITA (Rosita)\SERGIO HENRIQUEZ CARTER\POSIBLE MUTUO......doc</t>
  </si>
  <si>
    <t>C:\Users\franc\OneDrive\Documentos\MALENTIN KARIME\BANCO CREDITO\FER LORCA en ROSITA (Rosita)\SERGIO HENRIQUEZ CARTER\JORGE QUINTANA A JORGE BRITO.doc</t>
  </si>
  <si>
    <t>C:\Users\franc\OneDrive\Documentos\MALENTIN KARIME\BANCO CREDITO\FER LORCA en ROSITA (Rosita)\SERGIO HENRIQUEZ CARTER\EXTRACTO VISTA AL VALLE.- NOVIOEM,BRE.doc</t>
  </si>
  <si>
    <t>C:\Users\franc\OneDrive\Documentos\MALENTIN KARIME\BANCO CREDITO\FER LORCA en ROSITA (Rosita)\SERGIO HENRIQUEZ CARTER\EXTRACTO SERGIO HENRIQUEZ (OVALLE).doc</t>
  </si>
  <si>
    <t>C:\Users\franc\OneDrive\Documentos\MALENTIN KARIME\BANCO CREDITO\FER LORCA en ROSITA (Rosita)\SERGIO HENRIQUEZ CARTER\carta instrucc.doc</t>
  </si>
  <si>
    <t>C:\Users\franc\OneDrive\Documentos\MALENTIN KARIME\BANCO CREDITO\FER LORCA en ROSITA (Rosita)\SERGIO HENRIQUEZ CARTER\carta instrucc..-.doc</t>
  </si>
  <si>
    <t>C:\Users\franc\OneDrive\Documentos\MALENTIN KARIME\BANCO CREDITO\FER LORCA en ROSITA (Rosita)\SEPARACIONES DE BIENES\GABRIEL CARMONA SALFATE Y PATRICIA URETA.doc</t>
  </si>
  <si>
    <t>C:\Users\franc\OneDrive\Documentos\MALENTIN KARIME\BANCO CREDITO\FER LORCA en ROSITA (Rosita)\SEPARACIONES DE BIENES\ALBERTO NUÑEZ Y HILDA ANJEL+.doc</t>
  </si>
  <si>
    <t>C:\Users\franc\OneDrive\Documentos\MALENTIN KARIME\BANCO CREDITO\FER LORCA en ROSITA (Rosita)\RESCILIACION\ROMELIO HONORES.- MINERO.doc</t>
  </si>
  <si>
    <t>C:\Users\franc\OneDrive\Documentos\MALENTIN KARIME\BANCO CREDITO\FER LORCA en ROSITA (Rosita)\RESCILIACION\MIGUEL TAPIA LAGUNAS.doc</t>
  </si>
  <si>
    <t>C:\Users\franc\OneDrive\Documentos\MALENTIN KARIME\BANCO CREDITO\FER LORCA en ROSITA (Rosita)\RESCILIACION\CARMEN MUNIZAGA Y ROSA TIRADO.- PROMESA DE VENTA Y ARRIENDO.doc</t>
  </si>
  <si>
    <t>C:\Users\franc\OneDrive\Documentos\MALENTIN KARIME\BANCO CREDITO\FER LORCA en ROSITA (Rosita)\REPUDIO\RENE PINTO.- SEPT. 2010.-.doc</t>
  </si>
  <si>
    <t>C:\Users\franc\OneDrive\Documentos\MALENTIN KARIME\BANCO CREDITO\FER LORCA en ROSITA (Rosita)\REPUDIO\FELIX ARAYA ADONES.doc</t>
  </si>
  <si>
    <t>C:\Users\franc\OneDrive\Documentos\MALENTIN KARIME\BANCO CREDITO\FER LORCA en ROSITA (Rosita)\REPUDIO\BERNARDO MUÑOZ.doc</t>
  </si>
  <si>
    <t>C:\Users\franc\OneDrive\Documentos\MALENTIN KARIME\BANCO CREDITO\FER LORCA en ROSITA (Rosita)\RENUNCIA USUFRUCTO\PABLO CORTES.doc</t>
  </si>
  <si>
    <t>C:\Users\franc\OneDrive\Documentos\MALENTIN KARIME\BANCO CREDITO\FER LORCA en ROSITA (Rosita)\RENUNCIA USUFRUCTO\DORALIZA CARVAJAL LOPEZ.doc</t>
  </si>
  <si>
    <t>C:\Users\franc\OneDrive\Documentos\MALENTIN KARIME\BANCO CREDITO\FER LORCA en ROSITA (Rosita)\RENUNCIA MANDATOS\RAFAEL REPETTO Y OTRO.doc</t>
  </si>
  <si>
    <t>C:\Users\franc\OneDrive\Documentos\MALENTIN KARIME\BANCO CREDITO\FER LORCA en ROSITA (Rosita)\RENUNCIA GANANCIALES\LIDIA OPAZO MONARDEZ.doc</t>
  </si>
  <si>
    <t>C:\Users\franc\OneDrive\Documentos\MALENTIN KARIME\BANCO CREDITO\FER LORCA en ROSITA (Rosita)\RED.ESC.PUBLICA\RIO MOSTAZAL\JTA.GRAL. RIO MOSTAZAL.doc</t>
  </si>
  <si>
    <t>C:\Users\franc\OneDrive\Documentos\MALENTIN KARIME\BANCO CREDITO\FER LORCA en ROSITA (Rosita)\RED.ESC.PUBLICA\RIO MOSTAZAL\CONST. DE DIRECT. RIO MOSTAZAL.doc</t>
  </si>
  <si>
    <t>C:\Users\franc\OneDrive\Documentos\MALENTIN KARIME\BANCO CREDITO\FER LORCA en ROSITA (Rosita)\RED.ESC.PUBLICA\LOS MANTOS\Reducción Acta JEA Tamaya - Ovalle.doc</t>
  </si>
  <si>
    <t>C:\Users\franc\OneDrive\Documentos\MALENTIN KARIME\BANCO CREDITO\FER LORCA en ROSITA (Rosita)\RED.ESC.PUBLICA\LOS MANTOS\Reducción Acta JEA Los Mantos - Ovalle.doc</t>
  </si>
  <si>
    <t>C:\Users\franc\OneDrive\Documentos\MALENTIN KARIME\BANCO CREDITO\FER LORCA en ROSITA (Rosita)\RED.ESC.PUBLICA\CESAR ALUCEMA\Contrato[1] MINUTA.-.doc</t>
  </si>
  <si>
    <t>C:\Users\franc\OneDrive\Documentos\MALENTIN KARIME\BANCO CREDITO\FER LORCA en ROSITA (Rosita)\RED.ESC.PUBLICA\CESAR ALUCEMA\CEASR ALUCEMA.- RED. ESCR..doc</t>
  </si>
  <si>
    <t>C:\Users\franc\OneDrive\Documentos\MALENTIN KARIME\BANCO CREDITO\FER LORCA en ROSITA (Rosita)\RED.ESC.PUBLICA\CANAL CAMARICO\Estatutos_Camarico_Asamblea_OK[1].doc</t>
  </si>
  <si>
    <t>C:\Users\franc\OneDrive\Documentos\MALENTIN KARIME\BANCO CREDITO\FER LORCA en ROSITA (Rosita)\RED.ESC.PUBLICA\CANAL CAMARICO\Acta_Junta_Extrord_ACCC__Aprobaci%C3%B3n_Nuevos_Estatutos[1].doc</t>
  </si>
  <si>
    <t>C:\Users\franc\OneDrive\Documentos\MALENTIN KARIME\BANCO CREDITO\FER LORCA en ROSITA (Rosita)\RED.ESC.PUBLICA\CANAL CAMARICO\Acta_Junta_Extrord_ACCC__Aprobaci%C3%B3n_Informe_Ref_Estatutos[1].doc</t>
  </si>
  <si>
    <t>C:\Users\franc\OneDrive\Documentos\MALENTIN KARIME\BANCO CREDITO\FER LORCA en ROSITA (Rosita)\RED.ESC.PUBLICA\CANAL CAMARICO\ACTA 1º.doc</t>
  </si>
  <si>
    <t>C:\Users\franc\OneDrive\Documentos\MALENTIN KARIME\BANCO CREDITO\FER LORCA en ROSITA (Rosita)\RED.ESC.PUBLICA\BOMBEROS OVALLE\ANEXO ACTA DE CONSTITUCION[1].doc</t>
  </si>
  <si>
    <t>C:\Users\franc\OneDrive\Documentos\MALENTIN KARIME\BANCO CREDITO\FER LORCA en ROSITA (Rosita)\RED.ESC.PUBLICA\BOMBEROS OVALLE\ACTA DE CONSTITUCION AÑO 2011.doc</t>
  </si>
  <si>
    <t>C:\Users\franc\OneDrive\Documentos\MALENTIN KARIME\BANCO CREDITO\FER LORCA en ROSITA (Rosita)\RED.ESC.PUBLICA\VIÑA OCHOTIERRAS.doc</t>
  </si>
  <si>
    <t>C:\Users\franc\OneDrive\Documentos\MALENTIN KARIME\BANCO CREDITO\FER LORCA en ROSITA (Rosita)\RED.ESC.PUBLICA\VIÑA OCHOTIERRAS.- agosto 2009.doc</t>
  </si>
  <si>
    <t>C:\Users\franc\OneDrive\Documentos\MALENTIN KARIME\BANCO CREDITO\FER LORCA en ROSITA (Rosita)\RED.ESC.PUBLICA\SOC. INMOBILIARIA AYLLU S.A.-.doc</t>
  </si>
  <si>
    <t>C:\Users\franc\OneDrive\Documentos\MALENTIN KARIME\BANCO CREDITO\FER LORCA en ROSITA (Rosita)\RED.ESC.PUBLICA\SOC. EDUC. SOST. STA. MARIA.doc</t>
  </si>
  <si>
    <t>C:\Users\franc\OneDrive\Documentos\MALENTIN KARIME\BANCO CREDITO\FER LORCA en ROSITA (Rosita)\RED.ESC.PUBLICA\SOC. EDUC. SOST. STA. MARIA.- II.doc</t>
  </si>
  <si>
    <t>C:\Users\franc\OneDrive\Documentos\MALENTIN KARIME\BANCO CREDITO\FER LORCA en ROSITA (Rosita)\RED.ESC.PUBLICA\SERGIO HERNANDEZ].doc</t>
  </si>
  <si>
    <t>C:\Users\franc\OneDrive\Documentos\MALENTIN KARIME\BANCO CREDITO\FER LORCA en ROSITA (Rosita)\RED.ESC.PUBLICA\JUAN CORTES MERCADO.doc</t>
  </si>
  <si>
    <t>C:\Users\franc\OneDrive\Documentos\MALENTIN KARIME\BANCO CREDITO\FER LORCA en ROSITA (Rosita)\RED.ESC.PUBLICA\CARRIZALITO.doc</t>
  </si>
  <si>
    <t>C:\Users\franc\OneDrive\Documentos\MALENTIN KARIME\BANCO CREDITO\FER LORCA en ROSITA (Rosita)\RED.ESC.PUBLICA\5º cia. bomberos sotaqui.doc</t>
  </si>
  <si>
    <t>C:\Users\franc\OneDrive\Documentos\MALENTIN KARIME\BANCO CREDITO\FER LORCA en ROSITA (Rosita)\RECTIFICACION\PRIVADA\COMPLEMENTACION_FRAN_EDUARDO_SEGOVIA_SEGOVIA[1].doc</t>
  </si>
  <si>
    <t>C:\Users\franc\OneDrive\Documentos\MALENTIN KARIME\BANCO CREDITO\FER LORCA en ROSITA (Rosita)\RECTIFICACION\SOC. PACIFICO LTDA.doc</t>
  </si>
  <si>
    <t>C:\Users\franc\OneDrive\Documentos\MALENTIN KARIME\BANCO CREDITO\FER LORCA en ROSITA (Rosita)\RECTIFICACION\ROLANDO CONCHA.doc</t>
  </si>
  <si>
    <t>C:\Users\franc\OneDrive\Documentos\MALENTIN KARIME\BANCO CREDITO\FER LORCA en ROSITA (Rosita)\RECTIFICACION\Rectifica__vallejos_a_medina[1].doc</t>
  </si>
  <si>
    <t>C:\Users\franc\OneDrive\Documentos\MALENTIN KARIME\BANCO CREDITO\FER LORCA en ROSITA (Rosita)\RECTIFICACION\RECTIFICACION CRISTIAN.doc</t>
  </si>
  <si>
    <t>C:\Users\franc\OneDrive\Documentos\MALENTIN KARIME\BANCO CREDITO\FER LORCA en ROSITA (Rosita)\RECTIFICACION\RECTIFICAC. MANDATO GENERAL. RUT. ABRIL 2011.doc</t>
  </si>
  <si>
    <t>C:\Users\franc\OneDrive\Documentos\MALENTIN KARIME\BANCO CREDITO\FER LORCA en ROSITA (Rosita)\RECTIFICACION\RECTIF. JORGE.-.doc</t>
  </si>
  <si>
    <t>C:\Users\franc\OneDrive\Documentos\MALENTIN KARIME\BANCO CREDITO\FER LORCA en ROSITA (Rosita)\RECTIFICACION\RECTIF. CVTA. JUNIO 2010.- OSCAR LUZA.doc</t>
  </si>
  <si>
    <t>C:\Users\franc\OneDrive\Documentos\MALENTIN KARIME\BANCO CREDITO\FER LORCA en ROSITA (Rosita)\RECTIFICACION\RECTIF. COMPLEMENTACION CVTA. JUNIO 2010.- NATIVIDAD CORTES.doc</t>
  </si>
  <si>
    <t>C:\Users\franc\OneDrive\Documentos\MALENTIN KARIME\BANCO CREDITO\FER LORCA en ROSITA (Rosita)\RECTIFICACION\RECTIF. COMPLEMENTACION CVTA. JULIO 2010.- NATIVIDAD CORTES.- II.doc</t>
  </si>
  <si>
    <t>C:\Users\franc\OneDrive\Documentos\MALENTIN KARIME\BANCO CREDITO\FER LORCA en ROSITA (Rosita)\RECTIFICACION\RECT. POR MINUTA.doc</t>
  </si>
  <si>
    <t>C:\Users\franc\OneDrive\Documentos\MALENTIN KARIME\BANCO CREDITO\FER LORCA en ROSITA (Rosita)\RECTIFICACION\RATIFICACION.- COMPRAVENTA CONYUGE.-2010.doc</t>
  </si>
  <si>
    <t>C:\Users\franc\OneDrive\Documentos\MALENTIN KARIME\BANCO CREDITO\FER LORCA en ROSITA (Rosita)\RECTIFICACION\RATIFICACION.- COMPRAVENTA CONYUGE.-.doc</t>
  </si>
  <si>
    <t>C:\Users\franc\OneDrive\Documentos\MALENTIN KARIME\BANCO CREDITO\FER LORCA en ROSITA (Rosita)\RECTIFICACION\MTYO. BCO. SANTANDER. R. GUSTAVO CORRAL.doc</t>
  </si>
  <si>
    <t>C:\Users\franc\OneDrive\Documentos\MALENTIN KARIME\BANCO CREDITO\FER LORCA en ROSITA (Rosita)\RECTIFICACION\JAMIS NETTLE LAZO.doc</t>
  </si>
  <si>
    <t>C:\Users\franc\OneDrive\Documentos\MALENTIN KARIME\BANCO CREDITO\FER LORCA en ROSITA (Rosita)\RECTIFICACION\CVTA. REP. 354.- MAYO 2010.doc</t>
  </si>
  <si>
    <t>C:\Users\franc\OneDrive\Documentos\MALENTIN KARIME\BANCO CREDITO\FER LORCA en ROSITA (Rosita)\RECTIFICACION\COMPLEMENTACION.doc</t>
  </si>
  <si>
    <t>C:\Users\franc\OneDrive\Documentos\MALENTIN KARIME\BANCO CREDITO\FER LORCA en ROSITA (Rosita)\RECTIFICACION\COMPLEMENTACION.- REP. 159.doc</t>
  </si>
  <si>
    <t>C:\Users\franc\OneDrive\Documentos\MALENTIN KARIME\BANCO CREDITO\FER LORCA en ROSITA (Rosita)\RECTIFICACION\COMPLEMENTACION CVTA. REP. 198.doc</t>
  </si>
  <si>
    <t>C:\Users\franc\OneDrive\Documentos\MALENTIN KARIME\BANCO CREDITO\FER LORCA en ROSITA (Rosita)\PUNITAQUI MINERA\PUNITAQUI\VICTOR ESCALANTE BROCHON.doc</t>
  </si>
  <si>
    <t>C:\Users\franc\OneDrive\Documentos\MALENTIN KARIME\BANCO CREDITO\FER LORCA en ROSITA (Rosita)\PUNITAQUI MINERA\PUNITAQUI\MODELOS.doc</t>
  </si>
  <si>
    <t>C:\Users\franc\OneDrive\Documentos\MALENTIN KARIME\BANCO CREDITO\FER LORCA en ROSITA (Rosita)\PUNITAQUI MINERA\PUNITAQUI\MODELO.doc</t>
  </si>
  <si>
    <t>C:\Users\franc\OneDrive\Documentos\MALENTIN KARIME\BANCO CREDITO\FER LORCA en ROSITA (Rosita)\PUNITAQUI MINERA\MAYO 2009\JORGE TAPIA CORTES.doc</t>
  </si>
  <si>
    <t>C:\Users\franc\OneDrive\Documentos\MALENTIN KARIME\BANCO CREDITO\FER LORCA en ROSITA (Rosita)\PUNITAQUI MINERA\MAYO 2009\I.- MAYO.doc</t>
  </si>
  <si>
    <t>C:\Users\franc\OneDrive\Documentos\MALENTIN KARIME\BANCO CREDITO\FER LORCA en ROSITA (Rosita)\PUNITAQUI MINERA\MAYO 2009\FIRMAS.doc</t>
  </si>
  <si>
    <t>C:\Users\franc\OneDrive\Documentos\MALENTIN KARIME\BANCO CREDITO\FER LORCA en ROSITA (Rosita)\PUNITAQUI MINERA\MATOS. JACQUELINE PIZARRO\punitaqui.doc</t>
  </si>
  <si>
    <t>C:\Users\franc\OneDrive\Documentos\MALENTIN KARIME\BANCO CREDITO\FER LORCA en ROSITA (Rosita)\PUNITAQUI MINERA\MATOS. JACQUELINE PIZARRO\MODELO.doc</t>
  </si>
  <si>
    <t>C:\Users\franc\OneDrive\Documentos\MALENTIN KARIME\BANCO CREDITO\FER LORCA en ROSITA (Rosita)\PUNITAQUI MINERA\MATOS. JACQUELINE PIZARRO\JOSE CORTES Y OTRO.doc</t>
  </si>
  <si>
    <t>C:\Users\franc\OneDrive\Documentos\MALENTIN KARIME\BANCO CREDITO\FER LORCA en ROSITA (Rosita)\PUNITAQUI MINERA\MATOS. JACQUELINE PIZARRO\I.-.doc</t>
  </si>
  <si>
    <t>C:\Users\franc\OneDrive\Documentos\MALENTIN KARIME\BANCO CREDITO\FER LORCA en ROSITA (Rosita)\PUNITAQUI MINERA\MATOS. JACQUELINE PIZARRO\ANGELO TATAN.doc</t>
  </si>
  <si>
    <t>C:\Users\franc\OneDrive\Documentos\MALENTIN KARIME\BANCO CREDITO\FER LORCA en ROSITA (Rosita)\PUNITAQUI MINERA\MATOS. JACQUELINE PIZARRO\ALDO MUÑOZ PARRA.doc</t>
  </si>
  <si>
    <t>C:\Users\franc\OneDrive\Documentos\MALENTIN KARIME\BANCO CREDITO\FER LORCA en ROSITA (Rosita)\PUNITAQUI MINERA\SOLO.- ALEJANDRO MIRANDA.doc</t>
  </si>
  <si>
    <t>C:\Users\franc\OneDrive\Documentos\MALENTIN KARIME\BANCO CREDITO\FER LORCA en ROSITA (Rosita)\PUNITAQUI MINERA\MTO. MAYO.doc</t>
  </si>
  <si>
    <t>C:\Users\franc\OneDrive\Documentos\MALENTIN KARIME\BANCO CREDITO\FER LORCA en ROSITA (Rosita)\PUNITAQUI MINERA\mandato.doc</t>
  </si>
  <si>
    <t>C:\Users\franc\OneDrive\Documentos\MALENTIN KARIME\BANCO CREDITO\FER LORCA en ROSITA (Rosita)\PUNITAQUI MINERA\FIRMAS.doc</t>
  </si>
  <si>
    <t>C:\Users\franc\OneDrive\Documentos\MALENTIN KARIME\BANCO CREDITO\FER LORCA en ROSITA (Rosita)\PROTOCOLIZACION\PROTOC. SOC.-\SOC. MINERA EL COBRE LTDA.-.doc</t>
  </si>
  <si>
    <t>C:\Users\franc\OneDrive\Documentos\MALENTIN KARIME\BANCO CREDITO\FER LORCA en ROSITA (Rosita)\PROTOCOLIZACION\NOTARIO SUPLENTE\SERGIO CORTES BELTRAN- 29-07-2009.doc</t>
  </si>
  <si>
    <t>C:\Users\franc\OneDrive\Documentos\MALENTIN KARIME\BANCO CREDITO\FER LORCA en ROSITA (Rosita)\PROTOCOLIZACION\NOTARIO SUPLENTE\SERGIO CORTES BELTRAN- 26-07-2009.doc</t>
  </si>
  <si>
    <t>C:\Users\franc\OneDrive\Documentos\MALENTIN KARIME\BANCO CREDITO\FER LORCA en ROSITA (Rosita)\PROTOCOLIZACION\NOTARIO SUPLENTE\SERGIO CORTES BELTRAN- 19-08-2009.doc</t>
  </si>
  <si>
    <t>C:\Users\franc\OneDrive\Documentos\MALENTIN KARIME\BANCO CREDITO\FER LORCA en ROSITA (Rosita)\PROTOCOLIZACION\NOTARIO SUPLENTE\SERGIO CORTES BELTRAN- 17-07-2009.doc</t>
  </si>
  <si>
    <t>C:\Users\franc\OneDrive\Documentos\MALENTIN KARIME\BANCO CREDITO\FER LORCA en ROSITA (Rosita)\PROTOCOLIZACION\NOTARIO SUPLENTE\SERGIO CORTES BELTRAN- 12-08-2009.doc</t>
  </si>
  <si>
    <t>C:\Users\franc\OneDrive\Documentos\MALENTIN KARIME\BANCO CREDITO\FER LORCA en ROSITA (Rosita)\PROTOCOLIZACION\NOTARIO SUPLENTE\SERGIO CORTES BELTRAN- 08-07-2009.doc</t>
  </si>
  <si>
    <t>C:\Users\franc\OneDrive\Documentos\MALENTIN KARIME\BANCO CREDITO\FER LORCA en ROSITA (Rosita)\PROTOCOLIZACION\NOTARIO SUPLENTE\SERGIO CORTES BELTRAN- 05-08-2009.doc</t>
  </si>
  <si>
    <t>C:\Users\franc\OneDrive\Documentos\MALENTIN KARIME\BANCO CREDITO\FER LORCA en ROSITA (Rosita)\PROTOCOLIZACION\NOTARIO SUPLENTE\ROBERTO VEGA 30-12-2009.doc</t>
  </si>
  <si>
    <t>C:\Users\franc\OneDrive\Documentos\MALENTIN KARIME\BANCO CREDITO\FER LORCA en ROSITA (Rosita)\PROTOCOLIZACION\NOTARIO SUPLENTE\ROBERTO VEGA 25-01-10 HASTA 15-02.doc</t>
  </si>
  <si>
    <t>C:\Users\franc\OneDrive\Documentos\MALENTIN KARIME\BANCO CREDITO\FER LORCA en ROSITA (Rosita)\PROTOCOLIZACION\NOTARIO SUPLENTE\ROBERTO VEGA 24-12-2009.doc</t>
  </si>
  <si>
    <t>C:\Users\franc\OneDrive\Documentos\MALENTIN KARIME\BANCO CREDITO\FER LORCA en ROSITA (Rosita)\PROTOCOLIZACION\NOTARIO SUPLENTE\ROBERTO VEGA 23-09-2009.doc</t>
  </si>
  <si>
    <t>C:\Users\franc\OneDrive\Documentos\MALENTIN KARIME\BANCO CREDITO\FER LORCA en ROSITA (Rosita)\PROTOCOLIZACION\NOTARIO SUPLENTE\ROBERTO VEGA 22-03-2010 HASTA 26-03-2010.doc</t>
  </si>
  <si>
    <t>C:\Users\franc\OneDrive\Documentos\MALENTIN KARIME\BANCO CREDITO\FER LORCA en ROSITA (Rosita)\PROTOCOLIZACION\NOTARIO SUPLENTE\ROBERTO VEGA 18-10-2010.doc</t>
  </si>
  <si>
    <t>C:\Users\franc\OneDrive\Documentos\MALENTIN KARIME\BANCO CREDITO\FER LORCA en ROSITA (Rosita)\PROTOCOLIZACION\NOTARIO SUPLENTE\ROBERTO VEGA 16-04-2010.doc</t>
  </si>
  <si>
    <t>C:\Users\franc\OneDrive\Documentos\MALENTIN KARIME\BANCO CREDITO\FER LORCA en ROSITA (Rosita)\PROTOCOLIZACION\NOTARIO SUPLENTE\ROBERTO VEGA 12-01-2010.doc</t>
  </si>
  <si>
    <t>C:\Users\franc\OneDrive\Documentos\MALENTIN KARIME\BANCO CREDITO\FER LORCA en ROSITA (Rosita)\PROTOCOLIZACION\NOTARIO SUPLENTE\ROBERTO VEGA 11-12-2009.doc</t>
  </si>
  <si>
    <t>C:\Users\franc\OneDrive\Documentos\MALENTIN KARIME\BANCO CREDITO\FER LORCA en ROSITA (Rosita)\PROTOCOLIZACION\NOTARIO SUPLENTE\REASUME CARGO RODRIGO CABRERA ALBARRAN.doc</t>
  </si>
  <si>
    <t>C:\Users\franc\OneDrive\Documentos\MALENTIN KARIME\BANCO CREDITO\FER LORCA en ROSITA (Rosita)\PROTOCOLIZACION\NOTARIO SUPLENTE\MARIO YAÑEZ- 04-10-2009.doc</t>
  </si>
  <si>
    <t>C:\Users\franc\OneDrive\Documentos\MALENTIN KARIME\BANCO CREDITO\FER LORCA en ROSITA (Rosita)\PROTOCOLIZACION\NOTARIO SUPLENTE\MARIA INES NUÑEZ.doc</t>
  </si>
  <si>
    <t>C:\Users\franc\OneDrive\Documentos\MALENTIN KARIME\BANCO CREDITO\FER LORCA en ROSITA (Rosita)\PROTOCOLIZACION\NOTARIO SUPLENTE\CTALINA MULET DIAZ.- ABRIL 2011.doc</t>
  </si>
  <si>
    <t>C:\Users\franc\OneDrive\Documentos\MALENTIN KARIME\BANCO CREDITO\FER LORCA en ROSITA (Rosita)\PROTOCOLIZACION\NOTARIO SUPLENTE\CLAUDIO ARAYA CASTILLO.- 25-JUNIO 2010.doc</t>
  </si>
  <si>
    <t>C:\Users\franc\OneDrive\Documentos\MALENTIN KARIME\BANCO CREDITO\FER LORCA en ROSITA (Rosita)\PROTOCOLIZACION\NOTARIO SUPLENTE\CLAUDIO ARAYA CASTILLO.- 12 DE JULIO 2010.doc</t>
  </si>
  <si>
    <t>C:\Users\franc\OneDrive\Documentos\MALENTIN KARIME\BANCO CREDITO\FER LORCA en ROSITA (Rosita)\PROTOCOLIZACION\NOMB. NOTARIO\SERGIO CORTES BELTRAN.doc</t>
  </si>
  <si>
    <t>C:\Users\franc\OneDrive\Documentos\MALENTIN KARIME\BANCO CREDITO\FER LORCA en ROSITA (Rosita)\PROTOCOLIZACION\NOMB. NOTARIO\PROTO. NOMB. NOTARIO FRANCISCO SAAVEDRA.doc</t>
  </si>
  <si>
    <t>C:\Users\franc\OneDrive\Documentos\MALENTIN KARIME\BANCO CREDITO\FER LORCA en ROSITA (Rosita)\PROTOCOLIZACION\NOMB. NOTARIO\MANLIO METTIFOGO.doc</t>
  </si>
  <si>
    <t>C:\Users\franc\OneDrive\Documentos\MALENTIN KARIME\BANCO CREDITO\FER LORCA en ROSITA (Rosita)\PROTOCOLIZACION\NOMB. NOTARIO\MANLIO METTIFOGO.- 05 JUNIO 2009.doc</t>
  </si>
  <si>
    <t>C:\Users\franc\OneDrive\Documentos\MALENTIN KARIME\BANCO CREDITO\FER LORCA en ROSITA (Rosita)\PROTOCOLIZACION\NOMB. NOTARIO\MANLIO METTIFOGO. 20-ABRIL-09.doc</t>
  </si>
  <si>
    <t>C:\Users\franc\OneDrive\Documentos\MALENTIN KARIME\BANCO CREDITO\FER LORCA en ROSITA (Rosita)\PROTOCOLIZACION\NOMB. NOTARIO\MANLIO METTIFOGO. 04MAYO-2009.doc</t>
  </si>
  <si>
    <t>C:\Users\franc\OneDrive\Documentos\MALENTIN KARIME\BANCO CREDITO\FER LORCA en ROSITA (Rosita)\PROTOCOLIZACION\NOMB. NOTARIO\MANLIO METTIFOGO NOVIEMBRE.doc</t>
  </si>
  <si>
    <t>C:\Users\franc\OneDrive\Documentos\MALENTIN KARIME\BANCO CREDITO\FER LORCA en ROSITA (Rosita)\PROTOCOLIZACION\NOMB. NOTARIO\ADOLFO LAY.- 04-10-2008.doc</t>
  </si>
  <si>
    <t>C:\Users\franc\OneDrive\Documentos\MALENTIN KARIME\BANCO CREDITO\FER LORCA en ROSITA (Rosita)\PROTOCOLIZACION\INVENTARIO\PROTOCOLIZACION  INVENTARIO SIMPLE. CARLOS PIZARRO FERNANDEZ.doc</t>
  </si>
  <si>
    <t>C:\Users\franc\OneDrive\Documentos\MALENTIN KARIME\BANCO CREDITO\FER LORCA en ROSITA (Rosita)\PROTOCOLIZACION\INVENTARIO\PROTOCOLIZACION  INVENTARIO . IVO BACIC.doc</t>
  </si>
  <si>
    <t>C:\Users\franc\OneDrive\Documentos\MALENTIN KARIME\BANCO CREDITO\FER LORCA en ROSITA (Rosita)\PROTOCOLIZACION\INVENTARIO\PROTOCOLIZACION  INVENTARIO  YOLANDA MAURIN MAURIN.doc</t>
  </si>
  <si>
    <t>C:\Users\franc\OneDrive\Documentos\MALENTIN KARIME\BANCO CREDITO\FER LORCA en ROSITA (Rosita)\PROTOCOLIZACION\INVENTARIO\MERCEDES CARVAJAL ROJAS.doc</t>
  </si>
  <si>
    <t>C:\Users\franc\OneDrive\Documentos\MALENTIN KARIME\BANCO CREDITO\FER LORCA en ROSITA (Rosita)\PROTOCOLIZACION\INVENTARIO\MARIA GRACIELA ROJAS GUZMAN.doc</t>
  </si>
  <si>
    <t>C:\Users\franc\OneDrive\Documentos\MALENTIN KARIME\BANCO CREDITO\FER LORCA en ROSITA (Rosita)\PROTOCOLIZACION\INVENTARIO\MARIA ANG. LOPEZ CAIMANQUE.doc</t>
  </si>
  <si>
    <t>C:\Users\franc\OneDrive\Documentos\MALENTIN KARIME\BANCO CREDITO\FER LORCA en ROSITA (Rosita)\PROTOCOLIZACION\INVENTARIO\INVENTARIO. LUIS GALLARDO OSORIO.doc</t>
  </si>
  <si>
    <t>C:\Users\franc\OneDrive\Documentos\MALENTIN KARIME\BANCO CREDITO\FER LORCA en ROSITA (Rosita)\PROTOCOLIZACION\INVENTARIO\ELENA NANJARI LUCO.doc</t>
  </si>
  <si>
    <t>C:\Users\franc\OneDrive\Documentos\MALENTIN KARIME\BANCO CREDITO\FER LORCA en ROSITA (Rosita)\PROTOCOLIZACION\CVTA. SUB. DS.174\RECTIFICATORIAS 2010\ORIANA VILLARROEL.doc</t>
  </si>
  <si>
    <t>C:\Users\franc\OneDrive\Documentos\MALENTIN KARIME\BANCO CREDITO\FER LORCA en ROSITA (Rosita)\PROTOCOLIZACION\CVTA. SUB. DS.174\FONDO SOLIDARIO\WILSON HENRIQUEZ A FERNANDO ARAYA.doc</t>
  </si>
  <si>
    <t>C:\Users\franc\OneDrive\Documentos\MALENTIN KARIME\BANCO CREDITO\FER LORCA en ROSITA (Rosita)\PROTOCOLIZACION\CVTA. SUB. DS.174\FONDO SOLIDARIO\ROSA NICOLA TALAMILLA A NORA ALVAREZ TALAMILLA.doc</t>
  </si>
  <si>
    <t>C:\Users\franc\OneDrive\Documentos\MALENTIN KARIME\BANCO CREDITO\FER LORCA en ROSITA (Rosita)\PROTOCOLIZACION\CVTA. SUB. DS.174\FONDO SOLIDARIO\LUISA TAPIA PIZARRO A JOHANNA ZEPEDA.doc</t>
  </si>
  <si>
    <t>C:\Users\franc\OneDrive\Documentos\MALENTIN KARIME\BANCO CREDITO\FER LORCA en ROSITA (Rosita)\PROTOCOLIZACION\CVTA. SUB. DS.174\FONDO SOLIDARIO\LINA ROJAS A GABRIELA ROJAS.doc</t>
  </si>
  <si>
    <t>C:\Users\franc\OneDrive\Documentos\MALENTIN KARIME\BANCO CREDITO\FER LORCA en ROSITA (Rosita)\PROTOCOLIZACION\CVTA. SUB. DS.174\CERTIFICADOS\SEPTIEMBRE\COSME MICHEA.doc</t>
  </si>
  <si>
    <t>C:\Users\franc\OneDrive\Documentos\MALENTIN KARIME\BANCO CREDITO\FER LORCA en ROSITA (Rosita)\PROTOCOLIZACION\CVTA. SUB. DS.174\CERTIFICADOS\ROSA SEGOVIA.doc</t>
  </si>
  <si>
    <t>C:\Users\franc\OneDrive\Documentos\MALENTIN KARIME\BANCO CREDITO\FER LORCA en ROSITA (Rosita)\PROTOCOLIZACION\CVTA. SUB. DS.174\CERTIFICADOS\MARIA VALLEJOS A CLAUDIO OLIVARES.doc</t>
  </si>
  <si>
    <t>C:\Users\franc\OneDrive\Documentos\MALENTIN KARIME\BANCO CREDITO\FER LORCA en ROSITA (Rosita)\PROTOCOLIZACION\CVTA. SUB. DS.174\CERTIFICADOS\JUAN OLMOS CORTES.doc</t>
  </si>
  <si>
    <t>C:\Users\franc\OneDrive\Documentos\MALENTIN KARIME\BANCO CREDITO\FER LORCA en ROSITA (Rosita)\PROTOCOLIZACION\CVTA. SUB. DS.174\CERTIFICADOS\GUILLERMO CHACANA.doc</t>
  </si>
  <si>
    <t>C:\Users\franc\OneDrive\Documentos\MALENTIN KARIME\BANCO CREDITO\FER LORCA en ROSITA (Rosita)\PROTOCOLIZACION\CVTA. SUB. DS.174\CERTIFICADOS\GLADYS PLAZA A JONATHAN ROJAS.doc</t>
  </si>
  <si>
    <t>C:\Users\franc\OneDrive\Documentos\MALENTIN KARIME\BANCO CREDITO\FER LORCA en ROSITA (Rosita)\PROTOCOLIZACION\CVTA. SUB. DS.174\CERTIFICADOS\ELBA CASTILLO A MARGARITA ACUÑA LARA.doc</t>
  </si>
  <si>
    <t>C:\Users\franc\OneDrive\Documentos\MALENTIN KARIME\BANCO CREDITO\FER LORCA en ROSITA (Rosita)\PROTOCOLIZACION\CVTA. SUB. DS.174\CERTIFICADOS\CERT. CVTA. HUGO A. a SANDRA A..doc</t>
  </si>
  <si>
    <t>C:\Users\franc\OneDrive\Documentos\MALENTIN KARIME\BANCO CREDITO\FER LORCA en ROSITA (Rosita)\PROTOCOLIZACION\CVTA. SUB. DS.174\CERTIFICADOS\CERT. CARLOS CONTRERAS A ANA MOLINA.doc</t>
  </si>
  <si>
    <t>C:\Users\franc\OneDrive\Documentos\MALENTIN KARIME\BANCO CREDITO\FER LORCA en ROSITA (Rosita)\PROTOCOLIZACION\CVTA. SUB. DS.174\AUTORIZ. FIRMAS CVI 174 HUGO ARAYA.doc</t>
  </si>
  <si>
    <t>C:\Users\franc\OneDrive\Documentos\MALENTIN KARIME\BANCO CREDITO\FER LORCA en ROSITA (Rosita)\PROTOCOLIZACION\CVTA. SUB. DS.174\AUTORIZ. FIRMAS CVI 174  (2).doc</t>
  </si>
  <si>
    <t>C:\Users\franc\OneDrive\Documentos\MALENTIN KARIME\BANCO CREDITO\FER LORCA en ROSITA (Rosita)\PROTOCOLIZACION\CVTA. SUB. DS.174\AUT. COPIA RECTIFICADA.doc</t>
  </si>
  <si>
    <t>C:\Users\franc\OneDrive\Documentos\MALENTIN KARIME\BANCO CREDITO\FER LORCA en ROSITA (Rosita)\PROTOCOLIZACION\CUARTO CAJON\REUNION ORDINARIA.doc</t>
  </si>
  <si>
    <t>C:\Users\franc\OneDrive\Documentos\MALENTIN KARIME\BANCO CREDITO\FER LORCA en ROSITA (Rosita)\PROTOCOLIZACION\COMITE SUEÑO PROPIO\COMITE PRO-CASA.doc</t>
  </si>
  <si>
    <t>C:\Users\franc\OneDrive\Documentos\MALENTIN KARIME\BANCO CREDITO\FER LORCA en ROSITA (Rosita)\PROTOCOLIZACION\COMITE SUEÑO PROPIO\COMITE - SUEÑO PROPIO. JACQUELINE OLMOS.doc</t>
  </si>
  <si>
    <t>C:\Users\franc\OneDrive\Documentos\MALENTIN KARIME\BANCO CREDITO\FER LORCA en ROSITA (Rosita)\PROTOCOLIZACION\COMITE SUEÑO PROPIO\ACTA SAMBLEA.doc</t>
  </si>
  <si>
    <t>C:\Users\franc\OneDrive\Documentos\MALENTIN KARIME\BANCO CREDITO\FER LORCA en ROSITA (Rosita)\PROTOCOLIZACION\COM. ALCONES\ELIANA LOPEZ.- 07-mayo-2009.doc</t>
  </si>
  <si>
    <t>C:\Users\franc\OneDrive\Documentos\MALENTIN KARIME\BANCO CREDITO\FER LORCA en ROSITA (Rosita)\PROTOCOLIZACION\COM. ALCONES\AUTORIZA LIBRO PARA COPIAS.doc</t>
  </si>
  <si>
    <t>C:\Users\franc\OneDrive\Documentos\MALENTIN KARIME\BANCO CREDITO\FER LORCA en ROSITA (Rosita)\PROTOCOLIZACION\COM. ALCONES\AUTORIZA LIBRO PARA COPIAS HORIZ..doc</t>
  </si>
  <si>
    <t>C:\Users\franc\OneDrive\Documentos\MALENTIN KARIME\BANCO CREDITO\FER LORCA en ROSITA (Rosita)\PROTOCOLIZACION\COM. ALCONES\ALCONES SRA.ELIANA LOPEZ.doc</t>
  </si>
  <si>
    <t>C:\Users\franc\OneDrive\Documentos\MALENTIN KARIME\BANCO CREDITO\FER LORCA en ROSITA (Rosita)\PROTOCOLIZACION\COM. ALCONES\ALCONES (JUAN CARLOS).doc</t>
  </si>
  <si>
    <t>C:\Users\franc\OneDrive\Documentos\MALENTIN KARIME\BANCO CREDITO\FER LORCA en ROSITA (Rosita)\PROTOCOLIZACION\COM. ALCONES\ALCONES (JUAN CARLOS) 2.doc</t>
  </si>
  <si>
    <t>C:\Users\franc\OneDrive\Documentos\MALENTIN KARIME\BANCO CREDITO\FER LORCA en ROSITA (Rosita)\PROTOCOLIZACION\COM. ALCONES\ALCONES (JUAN CARLOS) .- OCTUBRE.doc</t>
  </si>
  <si>
    <t>C:\Users\franc\OneDrive\Documentos\MALENTIN KARIME\BANCO CREDITO\FER LORCA en ROSITA (Rosita)\PROTOCOLIZACION\COM. ALCONES\29 MAYO 2008.doc</t>
  </si>
  <si>
    <t>C:\Users\franc\OneDrive\Documentos\MALENTIN KARIME\BANCO CREDITO\FER LORCA en ROSITA (Rosita)\PROTOCOLIZACION\COM. ALCONES\18 MAYO 2008.doc</t>
  </si>
  <si>
    <t>C:\Users\franc\OneDrive\Documentos\MALENTIN KARIME\BANCO CREDITO\FER LORCA en ROSITA (Rosita)\PROTOCOLIZACION\COM. AGUAS CANAL GRANDE Y LOS AZULES DE SOTAQUIÇ\ACTA Nº 3.doc</t>
  </si>
  <si>
    <t>C:\Users\franc\OneDrive\Documentos\MALENTIN KARIME\BANCO CREDITO\FER LORCA en ROSITA (Rosita)\PROTOCOLIZACION\COM. AGUAS CANAL GRANDE Y LOS AZULES DE SOTAQUIÇ\ACTA Nº 2.doc</t>
  </si>
  <si>
    <t>C:\Users\franc\OneDrive\Documentos\MALENTIN KARIME\BANCO CREDITO\FER LORCA en ROSITA (Rosita)\PROTOCOLIZACION\COM. AGUAS CANAL GRANDE Y LOS AZULES DE SOTAQUIÇ\ACTA Nº 1.doc</t>
  </si>
  <si>
    <t>C:\Users\franc\OneDrive\Documentos\MALENTIN KARIME\BANCO CREDITO\FER LORCA en ROSITA (Rosita)\PROTOCOLIZACION\CLUB DE RODEO\CLUB DE RODEO.doc</t>
  </si>
  <si>
    <t>C:\Users\franc\OneDrive\Documentos\MALENTIN KARIME\BANCO CREDITO\FER LORCA en ROSITA (Rosita)\PROTOCOLIZACION\CLUB DE RODEO\CLUB DE RODEO.- MAYO 2010.-.doc</t>
  </si>
  <si>
    <t>C:\Users\franc\OneDrive\Documentos\MALENTIN KARIME\BANCO CREDITO\FER LORCA en ROSITA (Rosita)\PROTOCOLIZACION\CLUB DE RODEO\CLUB DE RODEO.- MARZO 2010.-.doc</t>
  </si>
  <si>
    <t>C:\Users\franc\OneDrive\Documentos\MALENTIN KARIME\BANCO CREDITO\FER LORCA en ROSITA (Rosita)\PROTOCOLIZACION\CLUB DE RODEO\CLUB DE RODEO.- 15- JUNIO 2010.-.doc</t>
  </si>
  <si>
    <t>C:\Users\franc\OneDrive\Documentos\MALENTIN KARIME\BANCO CREDITO\FER LORCA en ROSITA (Rosita)\PROTOCOLIZACION\BASILIO AGUIRRE\MEJORAMIENTO IST. AGUA POTABLE DE EL SAUCE.doc</t>
  </si>
  <si>
    <t>C:\Users\franc\OneDrive\Documentos\MALENTIN KARIME\BANCO CREDITO\FER LORCA en ROSITA (Rosita)\PROTOCOLIZACION\BASILIO AGUIRRE\MEJORAMIENTO IST. AGUA POTABLE DE COLLIGUAY.doc</t>
  </si>
  <si>
    <t>C:\Users\franc\OneDrive\Documentos\MALENTIN KARIME\BANCO CREDITO\FER LORCA en ROSITA (Rosita)\PROTOCOLIZACION\TALLER PROD. APICOLA U. CAMP.II.doc</t>
  </si>
  <si>
    <t>C:\Users\franc\OneDrive\Documentos\MALENTIN KARIME\BANCO CREDITO\FER LORCA en ROSITA (Rosita)\PROTOCOLIZACION\TALLER PROD. APICOLA U. CAMP..doc</t>
  </si>
  <si>
    <t>C:\Users\franc\OneDrive\Documentos\MALENTIN KARIME\BANCO CREDITO\FER LORCA en ROSITA (Rosita)\PROTOCOLIZACION\SONIA CAIMANQUE.doc</t>
  </si>
  <si>
    <t>C:\Users\franc\OneDrive\Documentos\MALENTIN KARIME\BANCO CREDITO\FER LORCA en ROSITA (Rosita)\PROTOCOLIZACION\SOC. VERANEO PACIFICO LTDA.-.doc</t>
  </si>
  <si>
    <t>C:\Users\franc\OneDrive\Documentos\MALENTIN KARIME\BANCO CREDITO\FER LORCA en ROSITA (Rosita)\PROTOCOLIZACION\SOC. INMOB. E INVERS. ATRIA Y PEREZ LTDA..doc</t>
  </si>
  <si>
    <t>C:\Users\franc\OneDrive\Documentos\MALENTIN KARIME\BANCO CREDITO\FER LORCA en ROSITA (Rosita)\PROTOCOLIZACION\SOC. EXPORT. RIO RAPELS.A.doc</t>
  </si>
  <si>
    <t>C:\Users\franc\OneDrive\Documentos\MALENTIN KARIME\BANCO CREDITO\FER LORCA en ROSITA (Rosita)\PROTOCOLIZACION\SOC. CARRIZAL (LINO HERNANDEZ).doc</t>
  </si>
  <si>
    <t>C:\Users\franc\OneDrive\Documentos\MALENTIN KARIME\BANCO CREDITO\FER LORCA en ROSITA (Rosita)\PROTOCOLIZACION\SINDICATO TRABAJADORES.doc</t>
  </si>
  <si>
    <t>C:\Users\franc\OneDrive\Documentos\MALENTIN KARIME\BANCO CREDITO\FER LORCA en ROSITA (Rosita)\PROTOCOLIZACION\SIDICATO TRABAJADORES.doc</t>
  </si>
  <si>
    <t>C:\Users\franc\OneDrive\Documentos\MALENTIN KARIME\BANCO CREDITO\FER LORCA en ROSITA (Rosita)\PROTOCOLIZACION\RADIO CLUB. PROVINCIA LIMARI.doc</t>
  </si>
  <si>
    <t>C:\Users\franc\OneDrive\Documentos\MALENTIN KARIME\BANCO CREDITO\FER LORCA en ROSITA (Rosita)\PROTOCOLIZACION\PROTOCOLIZACION DECLARACIONES NOTARIA ANIBAL SERRANO.-.doc</t>
  </si>
  <si>
    <t>C:\Users\franc\OneDrive\Documentos\MALENTIN KARIME\BANCO CREDITO\FER LORCA en ROSITA (Rosita)\PROTOCOLIZACION\PROP. PUBLICA 87. SOC. LINCOQUEO Y MUÑOZ Y OTRO.doc</t>
  </si>
  <si>
    <t>C:\Users\franc\OneDrive\Documentos\MALENTIN KARIME\BANCO CREDITO\FER LORCA en ROSITA (Rosita)\PROTOCOLIZACION\PODER EXTRANJERO.- ORLANDO ARAYA CODOCEO.- NOVIEMBRE.doc</t>
  </si>
  <si>
    <t>C:\Users\franc\OneDrive\Documentos\MALENTIN KARIME\BANCO CREDITO\FER LORCA en ROSITA (Rosita)\PROTOCOLIZACION\PEDRO BARRIOS.doc</t>
  </si>
  <si>
    <t>C:\Users\franc\OneDrive\Documentos\MALENTIN KARIME\BANCO CREDITO\FER LORCA en ROSITA (Rosita)\PROTOCOLIZACION\PAOLA CARVAJAL.doc</t>
  </si>
  <si>
    <t>C:\Users\franc\OneDrive\Documentos\MALENTIN KARIME\BANCO CREDITO\FER LORCA en ROSITA (Rosita)\PROTOCOLIZACION\OFERTA DE COMPRA.- CLAUDIO ANDRADE Y HERNAN ARAYA.doc</t>
  </si>
  <si>
    <t>C:\Users\franc\OneDrive\Documentos\MALENTIN KARIME\BANCO CREDITO\FER LORCA en ROSITA (Rosita)\PROTOCOLIZACION\MEMO Nº 54.doc</t>
  </si>
  <si>
    <t>C:\Users\franc\OneDrive\Documentos\MALENTIN KARIME\BANCO CREDITO\FER LORCA en ROSITA (Rosita)\PROTOCOLIZACION\MARIO AGUILERA.- ABRIL 2011.doc</t>
  </si>
  <si>
    <t>C:\Users\franc\OneDrive\Documentos\MALENTIN KARIME\BANCO CREDITO\FER LORCA en ROSITA (Rosita)\PROTOCOLIZACION\MARIA MOYA MARQUEZ. PROP. PUBLICA.doc</t>
  </si>
  <si>
    <t>C:\Users\franc\OneDrive\Documentos\MALENTIN KARIME\BANCO CREDITO\FER LORCA en ROSITA (Rosita)\PROTOCOLIZACION\LAS DAMAS NOVIEMBRE 2009.doc</t>
  </si>
  <si>
    <t>C:\Users\franc\OneDrive\Documentos\MALENTIN KARIME\BANCO CREDITO\FER LORCA en ROSITA (Rosita)\PROTOCOLIZACION\KAREN ALFARO LOPEZ.doc</t>
  </si>
  <si>
    <t>C:\Users\franc\OneDrive\Documentos\MALENTIN KARIME\BANCO CREDITO\FER LORCA en ROSITA (Rosita)\PROTOCOLIZACION\KAREN ALFARO LOPEZ. DEC. JURA. SIMPLE.doc</t>
  </si>
  <si>
    <t>C:\Users\franc\OneDrive\Documentos\MALENTIN KARIME\BANCO CREDITO\FER LORCA en ROSITA (Rosita)\PROTOCOLIZACION\JUNTA DE VECINOS VILLA AGRICOLA II.- AGOSTO 2010.doc</t>
  </si>
  <si>
    <t>C:\Users\franc\OneDrive\Documentos\MALENTIN KARIME\BANCO CREDITO\FER LORCA en ROSITA (Rosita)\PROTOCOLIZACION\JUNTA DE VECINOS PEÑABLANCA.doc</t>
  </si>
  <si>
    <t>C:\Users\franc\OneDrive\Documentos\MALENTIN KARIME\BANCO CREDITO\FER LORCA en ROSITA (Rosita)\PROTOCOLIZACION\JUNTA DE VECINOS EL DURAZNO DE QUILES.- DIC. 2010.doc</t>
  </si>
  <si>
    <t>C:\Users\franc\OneDrive\Documentos\MALENTIN KARIME\BANCO CREDITO\FER LORCA en ROSITA (Rosita)\PROTOCOLIZACION\JUNTA DE VECINOS ALEJANDRO GARCIA PICA.- ABRIL 2011.doc</t>
  </si>
  <si>
    <t>C:\Users\franc\OneDrive\Documentos\MALENTIN KARIME\BANCO CREDITO\FER LORCA en ROSITA (Rosita)\PROTOCOLIZACION\JUAN FRANCISCO SOTO.- ENERO 2011.doc</t>
  </si>
  <si>
    <t>C:\Users\franc\OneDrive\Documentos\MALENTIN KARIME\BANCO CREDITO\FER LORCA en ROSITA (Rosita)\PROTOCOLIZACION\JOSE EGAÑA.- ADOLFO LAY.doc</t>
  </si>
  <si>
    <t>C:\Users\franc\OneDrive\Documentos\MALENTIN KARIME\BANCO CREDITO\FER LORCA en ROSITA (Rosita)\PROTOCOLIZACION\GOTA DE LECHE 92.doc</t>
  </si>
  <si>
    <t>C:\Users\franc\OneDrive\Documentos\MALENTIN KARIME\BANCO CREDITO\FER LORCA en ROSITA (Rosita)\PROTOCOLIZACION\GOTA DE LECHE 91.doc</t>
  </si>
  <si>
    <t>C:\Users\franc\OneDrive\Documentos\MALENTIN KARIME\BANCO CREDITO\FER LORCA en ROSITA (Rosita)\PROTOCOLIZACION\GOTA DE LECHE 91 Cyntia.doc</t>
  </si>
  <si>
    <t>C:\Users\franc\OneDrive\Documentos\MALENTIN KARIME\BANCO CREDITO\FER LORCA en ROSITA (Rosita)\PROTOCOLIZACION\GLENDA EQUILUZ CASTILLO.doc</t>
  </si>
  <si>
    <t>C:\Users\franc\OneDrive\Documentos\MALENTIN KARIME\BANCO CREDITO\FER LORCA en ROSITA (Rosita)\PROTOCOLIZACION\GLENDA EQUILUZ CASTILLO II.doc</t>
  </si>
  <si>
    <t>C:\Users\franc\OneDrive\Documentos\MALENTIN KARIME\BANCO CREDITO\FER LORCA en ROSITA (Rosita)\PROTOCOLIZACION\GILBERTO ARAYA GALVEZ.doc</t>
  </si>
  <si>
    <t>C:\Users\franc\OneDrive\Documentos\MALENTIN KARIME\BANCO CREDITO\FER LORCA en ROSITA (Rosita)\PROTOCOLIZACION\GEORGINA FERNANDEZ.doc</t>
  </si>
  <si>
    <t>C:\Users\franc\OneDrive\Documentos\MALENTIN KARIME\BANCO CREDITO\FER LORCA en ROSITA (Rosita)\PROTOCOLIZACION\FIRMAS.AUT MUNICIP..doc</t>
  </si>
  <si>
    <t>C:\Users\franc\OneDrive\Documentos\MALENTIN KARIME\BANCO CREDITO\FER LORCA en ROSITA (Rosita)\PROTOCOLIZACION\ESC. SOC. Y CULTURAL PRODED.. ABRIL 2010.doc</t>
  </si>
  <si>
    <t>C:\Users\franc\OneDrive\Documentos\MALENTIN KARIME\BANCO CREDITO\FER LORCA en ROSITA (Rosita)\PROTOCOLIZACION\EDUARDO RAMIREZ. JUEZ SUPL. JUZG. GARANTIA.doc</t>
  </si>
  <si>
    <t>C:\Users\franc\OneDrive\Documentos\MALENTIN KARIME\BANCO CREDITO\FER LORCA en ROSITA (Rosita)\PROTOCOLIZACION\DECLARACIONES NOTARIA SERRANO.doc</t>
  </si>
  <si>
    <t>C:\Users\franc\OneDrive\Documentos\MALENTIN KARIME\BANCO CREDITO\FER LORCA en ROSITA (Rosita)\PROTOCOLIZACION\COMUNIDAD QUEBRADA LAS MOLLACAS.doc</t>
  </si>
  <si>
    <t>C:\Users\franc\OneDrive\Documentos\MALENTIN KARIME\BANCO CREDITO\FER LORCA en ROSITA (Rosita)\PROTOCOLIZACION\COMUNIDAD EMPEDRADO LOS HOYOS.doc</t>
  </si>
  <si>
    <t>C:\Users\franc\OneDrive\Documentos\MALENTIN KARIME\BANCO CREDITO\FER LORCA en ROSITA (Rosita)\PROTOCOLIZACION\COMUNIDAD CHACARILLA.doc</t>
  </si>
  <si>
    <t>C:\Users\franc\OneDrive\Documentos\MALENTIN KARIME\BANCO CREDITO\FER LORCA en ROSITA (Rosita)\PROTOCOLIZACION\COMUNIDAD AGRICOLA ORURO.doc</t>
  </si>
  <si>
    <t>C:\Users\franc\OneDrive\Documentos\MALENTIN KARIME\BANCO CREDITO\FER LORCA en ROSITA (Rosita)\PROTOCOLIZACION\COMUNIDAD AGRICOLA LA VERDIONA.doc</t>
  </si>
  <si>
    <t>C:\Users\franc\OneDrive\Documentos\MALENTIN KARIME\BANCO CREDITO\FER LORCA en ROSITA (Rosita)\PROTOCOLIZACION\COMUNIDAD AGRICOLA BUENOS AIRES DE PUNILLA.doc</t>
  </si>
  <si>
    <t>C:\Users\franc\OneDrive\Documentos\MALENTIN KARIME\BANCO CREDITO\FER LORCA en ROSITA (Rosita)\PROTOCOLIZACION\COMUNIDAD AGRIC. HIGUERITAS UNIDAS.doc</t>
  </si>
  <si>
    <t>C:\Users\franc\OneDrive\Documentos\MALENTIN KARIME\BANCO CREDITO\FER LORCA en ROSITA (Rosita)\PROTOCOLIZACION\COMUNIDAD AGRIC. EL TOME.doc</t>
  </si>
  <si>
    <t>C:\Users\franc\OneDrive\Documentos\MALENTIN KARIME\BANCO CREDITO\FER LORCA en ROSITA (Rosita)\PROTOCOLIZACION\COMUNIDAD AGRIC. EL TOME.- DICIEMBRE.doc</t>
  </si>
  <si>
    <t>C:\Users\franc\OneDrive\Documentos\MALENTIN KARIME\BANCO CREDITO\FER LORCA en ROSITA (Rosita)\PROTOCOLIZACION\COMUNIDAD AGRIC. EL POTRERO DE HUATULAME.doc</t>
  </si>
  <si>
    <t>C:\Users\franc\OneDrive\Documentos\MALENTIN KARIME\BANCO CREDITO\FER LORCA en ROSITA (Rosita)\PROTOCOLIZACION\COMUNIDAD AGRIC EL ALTAR.doc</t>
  </si>
  <si>
    <t>C:\Users\franc\OneDrive\Documentos\MALENTIN KARIME\BANCO CREDITO\FER LORCA en ROSITA (Rosita)\PROTOCOLIZACION\COMUNI.AGRIC.INCA PICHASCA.doc</t>
  </si>
  <si>
    <t>C:\Users\franc\OneDrive\Documentos\MALENTIN KARIME\BANCO CREDITO\FER LORCA en ROSITA (Rosita)\PROTOCOLIZACION\COMUNI.AGRIC.INCA PICHASCA II.-.doc</t>
  </si>
  <si>
    <t>C:\Users\franc\OneDrive\Documentos\MALENTIN KARIME\BANCO CREDITO\FER LORCA en ROSITA (Rosita)\PROTOCOLIZACION\COMITE PRO CASA SANTA ELENA. SEPT. 2010.doc</t>
  </si>
  <si>
    <t>C:\Users\franc\OneDrive\Documentos\MALENTIN KARIME\BANCO CREDITO\FER LORCA en ROSITA (Rosita)\PROTOCOLIZACION\COMITE PRO CASA EBENEZER.- NOVIEMBREÇ.doc</t>
  </si>
  <si>
    <t>C:\Users\franc\OneDrive\Documentos\MALENTIN KARIME\BANCO CREDITO\FER LORCA en ROSITA (Rosita)\PROTOCOLIZACION\COMITE PRO - AGUA BARRAZA ALTO.doc</t>
  </si>
  <si>
    <t>C:\Users\franc\OneDrive\Documentos\MALENTIN KARIME\BANCO CREDITO\FER LORCA en ROSITA (Rosita)\PROTOCOLIZACION\COMITE EL PERAL.doc</t>
  </si>
  <si>
    <t>C:\Users\franc\OneDrive\Documentos\MALENTIN KARIME\BANCO CREDITO\FER LORCA en ROSITA (Rosita)\PROTOCOLIZACION\COMITE EL MIRADOR EL PERAL.- TULAHUEN.doc</t>
  </si>
  <si>
    <t>C:\Users\franc\OneDrive\Documentos\MALENTIN KARIME\BANCO CREDITO\FER LORCA en ROSITA (Rosita)\PROTOCOLIZACION\COMITE EBENEZER.- GONZALEZ DEL RIO.doc</t>
  </si>
  <si>
    <t>C:\Users\franc\OneDrive\Documentos\MALENTIN KARIME\BANCO CREDITO\FER LORCA en ROSITA (Rosita)\PROTOCOLIZACION\COMERCIANTES MAYORISTAS FERIA MODELO.doc</t>
  </si>
  <si>
    <t>C:\Users\franc\OneDrive\Documentos\MALENTIN KARIME\BANCO CREDITO\FER LORCA en ROSITA (Rosita)\PROTOCOLIZACION\COM. PIEDRA LISA.doc</t>
  </si>
  <si>
    <t>C:\Users\franc\OneDrive\Documentos\MALENTIN KARIME\BANCO CREDITO\FER LORCA en ROSITA (Rosita)\PROTOCOLIZACION\COM. PIEDRA LISA II.doc</t>
  </si>
  <si>
    <t>C:\Users\franc\OneDrive\Documentos\MALENTIN KARIME\BANCO CREDITO\FER LORCA en ROSITA (Rosita)\PROTOCOLIZACION\COM. LOS MOSOS.doc</t>
  </si>
  <si>
    <t>C:\Users\franc\OneDrive\Documentos\MALENTIN KARIME\BANCO CREDITO\FER LORCA en ROSITA (Rosita)\PROTOCOLIZACION\COM. LOS MAITENES. ELEC. DIRECTIVA.doc</t>
  </si>
  <si>
    <t>C:\Users\franc\OneDrive\Documentos\MALENTIN KARIME\BANCO CREDITO\FER LORCA en ROSITA (Rosita)\PROTOCOLIZACION\COM. LOS MAITENES DE SAMO ALTO.doc</t>
  </si>
  <si>
    <t>C:\Users\franc\OneDrive\Documentos\MALENTIN KARIME\BANCO CREDITO\FER LORCA en ROSITA (Rosita)\PROTOCOLIZACION\COM. FERNDO. ALVAREZ LOS CANELOS.doc</t>
  </si>
  <si>
    <t>C:\Users\franc\OneDrive\Documentos\MALENTIN KARIME\BANCO CREDITO\FER LORCA en ROSITA (Rosita)\PROTOCOLIZACION\COM. estancia carrizal y laguna de seron.doc</t>
  </si>
  <si>
    <t>C:\Users\franc\OneDrive\Documentos\MALENTIN KARIME\BANCO CREDITO\FER LORCA en ROSITA (Rosita)\PROTOCOLIZACION\COM. EL ESPINAL.doc</t>
  </si>
  <si>
    <t>C:\Users\franc\OneDrive\Documentos\MALENTIN KARIME\BANCO CREDITO\FER LORCA en ROSITA (Rosita)\PROTOCOLIZACION\COM. EDIFICIO NUEVIO CENTRO.doc</t>
  </si>
  <si>
    <t>C:\Users\franc\OneDrive\Documentos\MALENTIN KARIME\BANCO CREDITO\FER LORCA en ROSITA (Rosita)\PROTOCOLIZACION\COM. AGUAS NUEVO FUTURO.doc</t>
  </si>
  <si>
    <t>C:\Users\franc\OneDrive\Documentos\MALENTIN KARIME\BANCO CREDITO\FER LORCA en ROSITA (Rosita)\PROTOCOLIZACION\COM. AGUAS NUEVO FUTURO.-17 MARZO 09.doc</t>
  </si>
  <si>
    <t>C:\Users\franc\OneDrive\Documentos\MALENTIN KARIME\BANCO CREDITO\FER LORCA en ROSITA (Rosita)\PROTOCOLIZACION\COM. AGUAS HIGUERITAS UNIDAS.doc</t>
  </si>
  <si>
    <t>C:\Users\franc\OneDrive\Documentos\MALENTIN KARIME\BANCO CREDITO\FER LORCA en ROSITA (Rosita)\PROTOCOLIZACION\COM. AGUAS HIGUERITAS UNIDAS.- 2.doc</t>
  </si>
  <si>
    <t>C:\Users\franc\OneDrive\Documentos\MALENTIN KARIME\BANCO CREDITO\FER LORCA en ROSITA (Rosita)\PROTOCOLIZACION\COM. AGUAS CANAL SAN JULIAN.doc</t>
  </si>
  <si>
    <t>C:\Users\franc\OneDrive\Documentos\MALENTIN KARIME\BANCO CREDITO\FER LORCA en ROSITA (Rosita)\PROTOCOLIZACION\COM. AGUAS CANAL ROJO.doc</t>
  </si>
  <si>
    <t>C:\Users\franc\OneDrive\Documentos\MALENTIN KARIME\BANCO CREDITO\FER LORCA en ROSITA (Rosita)\PROTOCOLIZACION\COM. AGUAS CANAL ISLONES.- NOVIEMBRE.doc</t>
  </si>
  <si>
    <t>C:\Users\franc\OneDrive\Documentos\MALENTIN KARIME\BANCO CREDITO\FER LORCA en ROSITA (Rosita)\PROTOCOLIZACION\COM. AGUA POTABLE. SERON.doc</t>
  </si>
  <si>
    <t>C:\Users\franc\OneDrive\Documentos\MALENTIN KARIME\BANCO CREDITO\FER LORCA en ROSITA (Rosita)\PROTOCOLIZACION\COM. AGUA POTABLE. CAREN.doc</t>
  </si>
  <si>
    <t>C:\Users\franc\OneDrive\Documentos\MALENTIN KARIME\BANCO CREDITO\FER LORCA en ROSITA (Rosita)\PROTOCOLIZACION\COM. AGUA POTABLE. CAREN.- II.doc</t>
  </si>
  <si>
    <t>C:\Users\franc\OneDrive\Documentos\MALENTIN KARIME\BANCO CREDITO\FER LORCA en ROSITA (Rosita)\PROTOCOLIZACION\COM. AGUA POT. LA HIGUERA DE PUNITAQUI.doc</t>
  </si>
  <si>
    <t>C:\Users\franc\OneDrive\Documentos\MALENTIN KARIME\BANCO CREDITO\FER LORCA en ROSITA (Rosita)\PROTOCOLIZACION\COM. AGUA POT. LA HIGUERA DE PUNITAQUI.- 2.doc</t>
  </si>
  <si>
    <t>C:\Users\franc\OneDrive\Documentos\MALENTIN KARIME\BANCO CREDITO\FER LORCA en ROSITA (Rosita)\PROTOCOLIZACION\COM. AGRIC. EL ROMERAL. RIO HURTADO.doc</t>
  </si>
  <si>
    <t>C:\Users\franc\OneDrive\Documentos\MALENTIN KARIME\BANCO CREDITO\FER LORCA en ROSITA (Rosita)\PROTOCOLIZACION\COM. AGRIC. DAHIN Y CORTADERILLA.doc</t>
  </si>
  <si>
    <t>C:\Users\franc\OneDrive\Documentos\MALENTIN KARIME\BANCO CREDITO\FER LORCA en ROSITA (Rosita)\PROTOCOLIZACION\COM AGRIC. CERRO GIGANTE.doc</t>
  </si>
  <si>
    <t>C:\Users\franc\OneDrive\Documentos\MALENTIN KARIME\BANCO CREDITO\FER LORCA en ROSITA (Rosita)\PROTOCOLIZACION\CLUB DEP. LOS CANELOS.doc</t>
  </si>
  <si>
    <t>C:\Users\franc\OneDrive\Documentos\MALENTIN KARIME\BANCO CREDITO\FER LORCA en ROSITA (Rosita)\PROTOCOLIZACION\CLUB DEP. ESCUELA BELGICA.doc</t>
  </si>
  <si>
    <t>C:\Users\franc\OneDrive\Documentos\MALENTIN KARIME\BANCO CREDITO\FER LORCA en ROSITA (Rosita)\PROTOCOLIZACION\CLUB DE LEONES.doc</t>
  </si>
  <si>
    <t>C:\Users\franc\OneDrive\Documentos\MALENTIN KARIME\BANCO CREDITO\FER LORCA en ROSITA (Rosita)\PROTOCOLIZACION\CLUB ADULTO MAYOR .- ABRIL 2011.doc</t>
  </si>
  <si>
    <t>C:\Users\franc\OneDrive\Documentos\MALENTIN KARIME\BANCO CREDITO\FER LORCA en ROSITA (Rosita)\PROTOCOLIZACION\CLAUDIO MARCHANT.......doc</t>
  </si>
  <si>
    <t>C:\Users\franc\OneDrive\Documentos\MALENTIN KARIME\BANCO CREDITO\FER LORCA en ROSITA (Rosita)\PROTOCOLIZACION\CIRC. SUBOFICIALES CARABINEROS EN RETIRO.doc</t>
  </si>
  <si>
    <t>C:\Users\franc\OneDrive\Documentos\MALENTIN KARIME\BANCO CREDITO\FER LORCA en ROSITA (Rosita)\PROTOCOLIZACION\CIRC. SUBOFICIALES CARABINEROS EN RETIRO.- MARZO 2010.- LUIS REGODECEVES.doc</t>
  </si>
  <si>
    <t>C:\Users\franc\OneDrive\Documentos\MALENTIN KARIME\BANCO CREDITO\FER LORCA en ROSITA (Rosita)\PROTOCOLIZACION\CENRTO DE PADRES EL DIVISADERO.doc</t>
  </si>
  <si>
    <t>C:\Users\franc\OneDrive\Documentos\MALENTIN KARIME\BANCO CREDITO\FER LORCA en ROSITA (Rosita)\PROTOCOLIZACION\C. BOMBEROS DE EL PALQUI.doc</t>
  </si>
  <si>
    <t>C:\Users\franc\OneDrive\Documentos\MALENTIN KARIME\BANCO CREDITO\FER LORCA en ROSITA (Rosita)\PROTOCOLIZACION\BOMBEROS 7º COMPAÑIA OVALLE.doc</t>
  </si>
  <si>
    <t>C:\Users\franc\OneDrive\Documentos\MALENTIN KARIME\BANCO CREDITO\FER LORCA en ROSITA (Rosita)\PROTOCOLIZACION\BOMBEROS 4º COMPAÑIA OVALLE.doc</t>
  </si>
  <si>
    <t>C:\Users\franc\OneDrive\Documentos\MALENTIN KARIME\BANCO CREDITO\FER LORCA en ROSITA (Rosita)\PROTOCOLIZACION\BOMBEROS 3º COMPAÑIA OVALLE.doc</t>
  </si>
  <si>
    <t>C:\Users\franc\OneDrive\Documentos\MALENTIN KARIME\BANCO CREDITO\FER LORCA en ROSITA (Rosita)\PROTOCOLIZACION\BOMBEROS 1º COMPAÑIA OVALLE.doc</t>
  </si>
  <si>
    <t>C:\Users\franc\OneDrive\Documentos\MALENTIN KARIME\BANCO CREDITO\FER LORCA en ROSITA (Rosita)\PROTOCOLIZACION\BENJAMIN SANCHEZ - VIÑA CONCHA Y TORO.doc</t>
  </si>
  <si>
    <t>C:\Users\franc\OneDrive\Documentos\MALENTIN KARIME\BANCO CREDITO\FER LORCA en ROSITA (Rosita)\PROTOCOLIZACION\BASILIO AGUIRRE (LIQUIDACION FINAL).doc</t>
  </si>
  <si>
    <t>C:\Users\franc\OneDrive\Documentos\MALENTIN KARIME\BANCO CREDITO\FER LORCA en ROSITA (Rosita)\PROTOCOLIZACION\AUTORIZA LIBRO PARA COPIAS.doc</t>
  </si>
  <si>
    <t>C:\Users\franc\OneDrive\Documentos\MALENTIN KARIME\BANCO CREDITO\FER LORCA en ROSITA (Rosita)\PROTOCOLIZACION\AUTORIZA LIBRO PARA COPIAS..doc</t>
  </si>
  <si>
    <t>C:\Users\franc\OneDrive\Documentos\MALENTIN KARIME\BANCO CREDITO\FER LORCA en ROSITA (Rosita)\PROTOCOLIZACION\AUTORIZA LIBRO PARA COPIAS.-.doc</t>
  </si>
  <si>
    <t>C:\Users\franc\OneDrive\Documentos\MALENTIN KARIME\BANCO CREDITO\FER LORCA en ROSITA (Rosita)\PROTOCOLIZACION\AUTORIZA LIBRO PARA COPIAS.- HORIZONTAL.doc</t>
  </si>
  <si>
    <t>C:\Users\franc\OneDrive\Documentos\MALENTIN KARIME\BANCO CREDITO\FER LORCA en ROSITA (Rosita)\PROTOCOLIZACION\AUTORIZA LIBRO PARA COPIAS.- HORIZONTAL..doc</t>
  </si>
  <si>
    <t>C:\Users\franc\OneDrive\Documentos\MALENTIN KARIME\BANCO CREDITO\FER LORCA en ROSITA (Rosita)\PROTOCOLIZACION\AUTORIZA LIBRO PARA COPIAS.- HORIZONTAL.-.doc</t>
  </si>
  <si>
    <t>C:\Users\franc\OneDrive\Documentos\MALENTIN KARIME\BANCO CREDITO\FER LORCA en ROSITA (Rosita)\PROTOCOLIZACION\ASS.doc</t>
  </si>
  <si>
    <t>C:\Users\franc\OneDrive\Documentos\MALENTIN KARIME\BANCO CREDITO\FER LORCA en ROSITA (Rosita)\PROTOCOLIZACION\ASOC. GREMIAL DE PESCADORES.doc</t>
  </si>
  <si>
    <t>C:\Users\franc\OneDrive\Documentos\MALENTIN KARIME\BANCO CREDITO\FER LORCA en ROSITA (Rosita)\PROTOCOLIZACION\ASOC. CANALISTAS CAREN.doc</t>
  </si>
  <si>
    <t>C:\Users\franc\OneDrive\Documentos\MALENTIN KARIME\BANCO CREDITO\FER LORCA en ROSITA (Rosita)\PROTOCOLIZACION\ARRENDAMIENTO ERASMO CORTES A MARIO RIVERA.doc</t>
  </si>
  <si>
    <t>C:\Users\franc\OneDrive\Documentos\MALENTIN KARIME\BANCO CREDITO\FER LORCA en ROSITA (Rosita)\PROTOCOLIZACION\ANIBAL GONZALO SERRANO DEL SOLAR Dcl. Intereses.doc</t>
  </si>
  <si>
    <t>C:\Users\franc\OneDrive\Documentos\MALENTIN KARIME\BANCO CREDITO\FER LORCA en ROSITA (Rosita)\PROTOCOLIZACION\ANDRES GALVEZ KELLY.doc</t>
  </si>
  <si>
    <t>C:\Users\franc\OneDrive\Documentos\MALENTIN KARIME\BANCO CREDITO\FER LORCA en ROSITA (Rosita)\PROTOCOLIZACION\ALEJANDRA ARAYA F. JUEZ SUPL. FAMILIA.doc</t>
  </si>
  <si>
    <t>C:\Users\franc\OneDrive\Documentos\MALENTIN KARIME\BANCO CREDITO\FER LORCA en ROSITA (Rosita)\PROTOCOLIZACION\AGRUPACION FOLKLORICA AGUAS DEL AJIAL.- AGOSTO 2010.doc</t>
  </si>
  <si>
    <t>C:\Users\franc\OneDrive\Documentos\MALENTIN KARIME\BANCO CREDITO\FER LORCA en ROSITA (Rosita)\PROTOCOLIZACION\ACTA. COM. AGRIC. COLLIGUAY.doc</t>
  </si>
  <si>
    <t>C:\Users\franc\OneDrive\Documentos\MALENTIN KARIME\BANCO CREDITO\FER LORCA en ROSITA (Rosita)\PROTOCOLIZACION\ACTA Nº 38 CLUB DE LEONES.doc</t>
  </si>
  <si>
    <t>C:\Users\franc\OneDrive\Documentos\MALENTIN KARIME\BANCO CREDITO\FER LORCA en ROSITA (Rosita)\PROMESAS PRIVADAS\PROMESA DE COMPRAVENTA RORRO.doc</t>
  </si>
  <si>
    <t>C:\Users\franc\OneDrive\Documentos\MALENTIN KARIME\BANCO CREDITO\FER LORCA en ROSITA (Rosita)\PROMESAS PRIVADAS\alfonso pineda - abril 2010[1] (1).doc</t>
  </si>
  <si>
    <t>C:\Users\franc\OneDrive\Documentos\MALENTIN KARIME\BANCO CREDITO\FER LORCA en ROSITA (Rosita)\PROMESAS\VEHICULOS\ROBERTO VASQUEZ A GLADYS PEÑA(VEHICULO).doc</t>
  </si>
  <si>
    <t>C:\Users\franc\OneDrive\Documentos\MALENTIN KARIME\BANCO CREDITO\FER LORCA en ROSITA (Rosita)\PROMESAS\VEHICULOS\PLACIDO RUBINA A JORGE ANTIVILO.- DIC. 2010.-.doc</t>
  </si>
  <si>
    <t>C:\Users\franc\OneDrive\Documentos\MALENTIN KARIME\BANCO CREDITO\FER LORCA en ROSITA (Rosita)\PROMESAS\VEHICULOS\MODELO.doc</t>
  </si>
  <si>
    <t>C:\Users\franc\OneDrive\Documentos\MALENTIN KARIME\BANCO CREDITO\FER LORCA en ROSITA (Rosita)\PROMESAS\VEHICULOS\MODELO..doc</t>
  </si>
  <si>
    <t>C:\Users\franc\OneDrive\Documentos\MALENTIN KARIME\BANCO CREDITO\FER LORCA en ROSITA (Rosita)\PROMESAS\VEHICULOS\MAYO 2010.doc</t>
  </si>
  <si>
    <t>C:\Users\franc\OneDrive\Documentos\MALENTIN KARIME\BANCO CREDITO\FER LORCA en ROSITA (Rosita)\PROMESAS\VEHICULOS\MARTA ALVAREZ A ORLANDO BUGUEÑO.- AGOSTO 2010.doc</t>
  </si>
  <si>
    <t>C:\Users\franc\OneDrive\Documentos\MALENTIN KARIME\BANCO CREDITO\FER LORCA en ROSITA (Rosita)\PROMESAS\VEHICULOS\LEONARDO FREDES A EDUARDO CODOCEO.doc</t>
  </si>
  <si>
    <t>C:\Users\franc\OneDrive\Documentos\MALENTIN KARIME\BANCO CREDITO\FER LORCA en ROSITA (Rosita)\PROMESAS\VEHICULOS\JUAN SANTELICES.- JULIO 2010.-.doc</t>
  </si>
  <si>
    <t>C:\Users\franc\OneDrive\Documentos\MALENTIN KARIME\BANCO CREDITO\FER LORCA en ROSITA (Rosita)\PROMESAS\VEHICULOS\ANDRES BARRERA A JULIO MALUENDA.- ENERO 2011.doc</t>
  </si>
  <si>
    <t>C:\Users\franc\OneDrive\Documentos\MALENTIN KARIME\BANCO CREDITO\FER LORCA en ROSITA (Rosita)\PROMESAS\VEHICULOS\alfonso pineda - abril 2010[1].doc</t>
  </si>
  <si>
    <t>C:\Users\franc\OneDrive\Documentos\MALENTIN KARIME\BANCO CREDITO\FER LORCA en ROSITA (Rosita)\PROMESAS\VEHICULOS\ALEXIS CORTES A MARIA DIAZ.- SEPT. 2010.-.doc</t>
  </si>
  <si>
    <t>C:\Users\franc\OneDrive\Documentos\MALENTIN KARIME\BANCO CREDITO\FER LORCA en ROSITA (Rosita)\PROMESAS\YARELLA ROJAS.-.doc</t>
  </si>
  <si>
    <t>C:\Users\franc\OneDrive\Documentos\MALENTIN KARIME\BANCO CREDITO\FER LORCA en ROSITA (Rosita)\PROMESAS\PROMESA COMPRAVENTA - MARCELA PEÑA LEDEZMA - Junio.doc</t>
  </si>
  <si>
    <t>C:\Users\franc\OneDrive\Documentos\MALENTIN KARIME\BANCO CREDITO\FER LORCA en ROSITA (Rosita)\PROMESAS\PEDRO VEGA GARCIA A VAN DER BERGH.- DIC. 2010.doc</t>
  </si>
  <si>
    <t>C:\Users\franc\OneDrive\Documentos\MALENTIN KARIME\BANCO CREDITO\FER LORCA en ROSITA (Rosita)\PROMESAS\PEDO PEREZ PEÑA A ARIEL GALLEGUILLOS.- AUT. CONYUGE.doc</t>
  </si>
  <si>
    <t>C:\Users\franc\OneDrive\Documentos\MALENTIN KARIME\BANCO CREDITO\FER LORCA en ROSITA (Rosita)\PROMESAS\PATRICIA GIMENEZ A ELDA OLIVARES.doc</t>
  </si>
  <si>
    <t>C:\Users\franc\OneDrive\Documentos\MALENTIN KARIME\BANCO CREDITO\FER LORCA en ROSITA (Rosita)\PROMESAS\PATRICIA GIMENEZ A ELDA OLIVARES 2.doc</t>
  </si>
  <si>
    <t>C:\Users\franc\OneDrive\Documentos\MALENTIN KARIME\BANCO CREDITO\FER LORCA en ROSITA (Rosita)\PROMESAS\PAGARE A PLAZO.-  MARGARITAÇ.doc</t>
  </si>
  <si>
    <t>C:\Users\franc\OneDrive\Documentos\MALENTIN KARIME\BANCO CREDITO\FER LORCA en ROSITA (Rosita)\PROMESAS\PAGARE A PLAZO.-  ENERO 2011.doc</t>
  </si>
  <si>
    <t>C:\Users\franc\OneDrive\Documentos\MALENTIN KARIME\BANCO CREDITO\FER LORCA en ROSITA (Rosita)\PROMESAS\PAGARE A LA VISTA.doc</t>
  </si>
  <si>
    <t>C:\Users\franc\OneDrive\Documentos\MALENTIN KARIME\BANCO CREDITO\FER LORCA en ROSITA (Rosita)\PROMESAS\PABLO CORTES.- A JAIME ROBLES.- OCTUBRE 2010.-.doc</t>
  </si>
  <si>
    <t>C:\Users\franc\OneDrive\Documentos\MALENTIN KARIME\BANCO CREDITO\FER LORCA en ROSITA (Rosita)\PROMESAS\modelo.doc</t>
  </si>
  <si>
    <t>C:\Users\franc\OneDrive\Documentos\MALENTIN KARIME\BANCO CREDITO\FER LORCA en ROSITA (Rosita)\PROMESAS\MODELO COMPLETO.doc</t>
  </si>
  <si>
    <t>C:\Users\franc\OneDrive\Documentos\MALENTIN KARIME\BANCO CREDITO\FER LORCA en ROSITA (Rosita)\PROMESAS\MIGUEL ACUÑA A CELINDA NUÑEZ (PTE. ALCOHOL).doc</t>
  </si>
  <si>
    <t>C:\Users\franc\OneDrive\Documentos\MALENTIN KARIME\BANCO CREDITO\FER LORCA en ROSITA (Rosita)\PROMESAS\MICCONO MUNIZAGA A ROSA TIRADO.doc</t>
  </si>
  <si>
    <t>C:\Users\franc\OneDrive\Documentos\MALENTIN KARIME\BANCO CREDITO\FER LORCA en ROSITA (Rosita)\PROMESAS\MARIA BARRAZA A CARLOS GODOY. (CASA).doc</t>
  </si>
  <si>
    <t>C:\Users\franc\OneDrive\Documentos\MALENTIN KARIME\BANCO CREDITO\FER LORCA en ROSITA (Rosita)\PROMESAS\MARGARITA ARAYA.doc</t>
  </si>
  <si>
    <t>C:\Users\franc\OneDrive\Documentos\MALENTIN KARIME\BANCO CREDITO\FER LORCA en ROSITA (Rosita)\PROMESAS\IRENE A IDILIO CORTES.doc</t>
  </si>
  <si>
    <t>C:\Users\franc\OneDrive\Documentos\MALENTIN KARIME\BANCO CREDITO\FER LORCA en ROSITA (Rosita)\PROMESAS\ALBERTO MUÑOZ A HERMENEGILDO GARCIA.doc</t>
  </si>
  <si>
    <t>C:\Users\franc\OneDrive\Documentos\MALENTIN KARIME\BANCO CREDITO\FER LORCA en ROSITA (Rosita)\PROHIBICION\ALICIA CUEVAS\DANIEL CAMPUSANO.doc</t>
  </si>
  <si>
    <t>C:\Users\franc\OneDrive\Documentos\MALENTIN KARIME\BANCO CREDITO\FER LORCA en ROSITA (Rosita)\PROHIBICION\PROHIBICION JULIO CARVAJAL AGUILERA.doc</t>
  </si>
  <si>
    <t>C:\Users\franc\OneDrive\Documentos\MALENTIN KARIME\BANCO CREDITO\FER LORCA en ROSITA (Rosita)\PROHIBICION\LEONARDO PUJADO ESCOBAR.doc</t>
  </si>
  <si>
    <t>C:\Users\franc\OneDrive\Documentos\MALENTIN KARIME\BANCO CREDITO\FER LORCA en ROSITA (Rosita)\PROHIBICION\JOSE MERCEDES VALDIVIA.doc</t>
  </si>
  <si>
    <t>C:\Users\franc\OneDrive\Documentos\MALENTIN KARIME\BANCO CREDITO\FER LORCA en ROSITA (Rosita)\PROHIBICION\JIL TAPIA.doc</t>
  </si>
  <si>
    <t>C:\Users\franc\OneDrive\Documentos\MALENTIN KARIME\BANCO CREDITO\FER LORCA en ROSITA (Rosita)\PROHIBICION\GERARDO ROJAS ROJAS.doc</t>
  </si>
  <si>
    <t>C:\Users\franc\OneDrive\Documentos\MALENTIN KARIME\BANCO CREDITO\FER LORCA en ROSITA (Rosita)\PROHIBICION\EVA ALFARO CASTILLO.doc</t>
  </si>
  <si>
    <t>C:\Users\franc\OneDrive\Documentos\MALENTIN KARIME\BANCO CREDITO\FER LORCA en ROSITA (Rosita)\PROHIBICION\DECLARACION NO PARENTESCO.doc</t>
  </si>
  <si>
    <t>C:\Users\franc\OneDrive\Documentos\MALENTIN KARIME\BANCO CREDITO\FER LORCA en ROSITA (Rosita)\PROHIBICION\DECLARACION NO PARENTESCO.- VICTOR .- MABEL.....doc</t>
  </si>
  <si>
    <t>C:\Users\franc\OneDrive\Documentos\MALENTIN KARIME\BANCO CREDITO\FER LORCA en ROSITA (Rosita)\PROHIBICION\CLARA BUGUEÑO.doc</t>
  </si>
  <si>
    <t>C:\Users\franc\OneDrive\Documentos\MALENTIN KARIME\BANCO CREDITO\FER LORCA en ROSITA (Rosita)\PROHIBICION\CAROLINA RODRIGUEZ GUERRERO.- JUNIO 2010.doc</t>
  </si>
  <si>
    <t>C:\Users\franc\OneDrive\Documentos\MALENTIN KARIME\BANCO CREDITO\FER LORCA en ROSITA (Rosita)\PROHIBICION\ANGEL CUSTODIO ESPINOZA.doc</t>
  </si>
  <si>
    <t>C:\Users\franc\OneDrive\Documentos\MALENTIN KARIME\BANCO CREDITO\FER LORCA en ROSITA (Rosita)\PRENDA SIN DESPLAZAMIENTO\HERMAN CARVAJAL A MARCELO ONETTO.doc</t>
  </si>
  <si>
    <t>C:\Users\franc\OneDrive\Documentos\MALENTIN KARIME\BANCO CREDITO\FER LORCA en ROSITA (Rosita)\PRENDA SIN DESPLAZAMIENTO\herman carvajal a marcelo oneto.doc</t>
  </si>
  <si>
    <t>C:\Users\franc\OneDrive\Documentos\MALENTIN KARIME\BANCO CREDITO\FER LORCA en ROSITA (Rosita)\PRENDA\ARKON CON DABED.doc</t>
  </si>
  <si>
    <t>C:\Users\franc\OneDrive\Documentos\MALENTIN KARIME\BANCO CREDITO\FER LORCA en ROSITA (Rosita)\PRENDA\ARKON CON DABED.-.doc</t>
  </si>
  <si>
    <t>C:\Users\franc\OneDrive\Documentos\MALENTIN KARIME\BANCO CREDITO\FER LORCA en ROSITA (Rosita)\PLANILLAS AGUAS\OFICIOS\OFICIO SEPTIEMBRE.doc</t>
  </si>
  <si>
    <t>C:\Users\franc\OneDrive\Documentos\MALENTIN KARIME\BANCO CREDITO\FER LORCA en ROSITA (Rosita)\PLANILLAS AGUAS\OFICIOS\OFICIO SEPT. 2009.doc</t>
  </si>
  <si>
    <t>C:\Users\franc\OneDrive\Documentos\MALENTIN KARIME\BANCO CREDITO\FER LORCA en ROSITA (Rosita)\PLANILLAS AGUAS\OFICIOS\OFICIO OCTUBRE.doc</t>
  </si>
  <si>
    <t>C:\Users\franc\OneDrive\Documentos\MALENTIN KARIME\BANCO CREDITO\FER LORCA en ROSITA (Rosita)\PLANILLAS AGUAS\OFICIOS\OFICIO OCTUBRE 2009.doc</t>
  </si>
  <si>
    <t>C:\Users\franc\OneDrive\Documentos\MALENTIN KARIME\BANCO CREDITO\FER LORCA en ROSITA (Rosita)\PLANILLAS AGUAS\OFICIOS\OFICIO NOVIEMBRE.doc</t>
  </si>
  <si>
    <t>C:\Users\franc\OneDrive\Documentos\MALENTIN KARIME\BANCO CREDITO\FER LORCA en ROSITA (Rosita)\PLANILLAS AGUAS\OFICIOS\OFICIO DICIEMBRE.doc</t>
  </si>
  <si>
    <t>C:\Users\franc\OneDrive\Documentos\MALENTIN KARIME\BANCO CREDITO\FER LORCA en ROSITA (Rosita)\PLANILLAS AGUAS\OFICIOS\OFICIO AGOSTO.doc</t>
  </si>
  <si>
    <t>C:\Users\franc\OneDrive\Documentos\MALENTIN KARIME\BANCO CREDITO\FER LORCA en ROSITA (Rosita)\PLANILLAS AGUAS\OFICIOS\NO HUBO.doc</t>
  </si>
  <si>
    <t>C:\Users\franc\OneDrive\Documentos\MALENTIN KARIME\BANCO CREDITO\FER LORCA en ROSITA (Rosita)\PLANILLAS AGUAS\PLANILLA SEPTIEMBRE.doc</t>
  </si>
  <si>
    <t>C:\Users\franc\OneDrive\Documentos\MALENTIN KARIME\BANCO CREDITO\FER LORCA en ROSITA (Rosita)\PLANILLAS AGUAS\PLANILLA SEPT. 2009.doc</t>
  </si>
  <si>
    <t>C:\Users\franc\OneDrive\Documentos\MALENTIN KARIME\BANCO CREDITO\FER LORCA en ROSITA (Rosita)\PLANILLAS AGUAS\PLANILLA OCTUBRE.doc</t>
  </si>
  <si>
    <t>C:\Users\franc\OneDrive\Documentos\MALENTIN KARIME\BANCO CREDITO\FER LORCA en ROSITA (Rosita)\PLANILLAS AGUAS\PLANILLA OCTUBRE 2009.doc</t>
  </si>
  <si>
    <t>C:\Users\franc\OneDrive\Documentos\MALENTIN KARIME\BANCO CREDITO\FER LORCA en ROSITA (Rosita)\PLANILLAS AGUAS\PLANILLA NOVIEMBRE.doc</t>
  </si>
  <si>
    <t>C:\Users\franc\OneDrive\Documentos\MALENTIN KARIME\BANCO CREDITO\FER LORCA en ROSITA (Rosita)\PLANILLAS AGUAS\PLANILLA JUNIO -2009.doc</t>
  </si>
  <si>
    <t>C:\Users\franc\OneDrive\Documentos\MALENTIN KARIME\BANCO CREDITO\FER LORCA en ROSITA (Rosita)\PLANILLAS AGUAS\PLANILLA JULIO -2009.doc</t>
  </si>
  <si>
    <t>C:\Users\franc\OneDrive\Documentos\MALENTIN KARIME\BANCO CREDITO\FER LORCA en ROSITA (Rosita)\PLANILLAS AGUAS\PLANILLA DIRECCION GENERAL DE AGUAS.doc</t>
  </si>
  <si>
    <t>C:\Users\franc\OneDrive\Documentos\MALENTIN KARIME\BANCO CREDITO\FER LORCA en ROSITA (Rosita)\PLANILLAS AGUAS\PLANILLA DICIEMBRE.doc</t>
  </si>
  <si>
    <t>C:\Users\franc\OneDrive\Documentos\MALENTIN KARIME\BANCO CREDITO\FER LORCA en ROSITA (Rosita)\PLANILLAS AGUAS\PLANILLA AGOSTO 2009.doc</t>
  </si>
  <si>
    <t>C:\Users\franc\OneDrive\Documentos\MALENTIN KARIME\BANCO CREDITO\FER LORCA en ROSITA (Rosita)\PLANILLAS AGUAS\OFICIO MAYO.doc</t>
  </si>
  <si>
    <t>C:\Users\franc\OneDrive\Documentos\MALENTIN KARIME\BANCO CREDITO\FER LORCA en ROSITA (Rosita)\PLANILLAS AGUAS\OFICIO JULIO.doc</t>
  </si>
  <si>
    <t>C:\Users\franc\OneDrive\Documentos\MALENTIN KARIME\BANCO CREDITO\FER LORCA en ROSITA (Rosita)\PLANILLAS AGUAS\OF. SEPT. 2009.doc</t>
  </si>
  <si>
    <t>C:\Users\franc\OneDrive\Documentos\MALENTIN KARIME\BANCO CREDITO\FER LORCA en ROSITA (Rosita)\PET\OCTUBRE\REPETIDAS\JUAN C. TAPIA escritura_resciliada.doc</t>
  </si>
  <si>
    <t>C:\Users\franc\OneDrive\Documentos\MALENTIN KARIME\BANCO CREDITO\FER LORCA en ROSITA (Rosita)\PET\OCTUBRE\CERTIFICADOS\VICENTE GALLARDO OSSANDON.doc</t>
  </si>
  <si>
    <t>C:\Users\franc\OneDrive\Documentos\MALENTIN KARIME\BANCO CREDITO\FER LORCA en ROSITA (Rosita)\PET\OCTUBRE\CERTIFICADOS\SOLANGE BARRAZA MUÑOZ.doc</t>
  </si>
  <si>
    <t>C:\Users\franc\OneDrive\Documentos\MALENTIN KARIME\BANCO CREDITO\FER LORCA en ROSITA (Rosita)\PET\OCTUBRE\CERTIFICADOS\ROSA GONZALEZ SANTIAGO.doc</t>
  </si>
  <si>
    <t>C:\Users\franc\OneDrive\Documentos\MALENTIN KARIME\BANCO CREDITO\FER LORCA en ROSITA (Rosita)\PET\OCTUBRE\CERTIFICADOS\PEDRO ALVAREZ.doc</t>
  </si>
  <si>
    <t>C:\Users\franc\OneDrive\Documentos\MALENTIN KARIME\BANCO CREDITO\FER LORCA en ROSITA (Rosita)\PET\OCTUBRE\CERTIFICADOS\PAOLA GARCIA VALDIVIA.doc</t>
  </si>
  <si>
    <t>C:\Users\franc\OneDrive\Documentos\MALENTIN KARIME\BANCO CREDITO\FER LORCA en ROSITA (Rosita)\PET\OCTUBRE\CERTIFICADOS\ORIETA CHACANA VEGA.doc</t>
  </si>
  <si>
    <t>C:\Users\franc\OneDrive\Documentos\MALENTIN KARIME\BANCO CREDITO\FER LORCA en ROSITA (Rosita)\PET\OCTUBRE\CERTIFICADOS\MARIA CARVAJAL VILLALOBOS.doc</t>
  </si>
  <si>
    <t>C:\Users\franc\OneDrive\Documentos\MALENTIN KARIME\BANCO CREDITO\FER LORCA en ROSITA (Rosita)\PET\OCTUBRE\CERTIFICADOS\LUISA GONZALEZ DIAZ.doc</t>
  </si>
  <si>
    <t>C:\Users\franc\OneDrive\Documentos\MALENTIN KARIME\BANCO CREDITO\FER LORCA en ROSITA (Rosita)\PET\OCTUBRE\CERTIFICADOS\LILIANA VERGARA RAMOS.doc</t>
  </si>
  <si>
    <t>C:\Users\franc\OneDrive\Documentos\MALENTIN KARIME\BANCO CREDITO\FER LORCA en ROSITA (Rosita)\PET\OCTUBRE\CERTIFICADOS\JUAN CARLOS CONCHA GALLARDO.doc</t>
  </si>
  <si>
    <t>C:\Users\franc\OneDrive\Documentos\MALENTIN KARIME\BANCO CREDITO\FER LORCA en ROSITA (Rosita)\PET\OCTUBRE\CERTIFICADOS\JESUS PIZARRO BARRIOS.doc</t>
  </si>
  <si>
    <t>C:\Users\franc\OneDrive\Documentos\MALENTIN KARIME\BANCO CREDITO\FER LORCA en ROSITA (Rosita)\PET\OCTUBRE\CERTIFICADOS\HUGO VARGAS OPORTO.doc</t>
  </si>
  <si>
    <t>C:\Users\franc\OneDrive\Documentos\MALENTIN KARIME\BANCO CREDITO\FER LORCA en ROSITA (Rosita)\PET\OCTUBRE\CERTIFICADOS\HECTO VEGA CHACANA.doc</t>
  </si>
  <si>
    <t>C:\Users\franc\OneDrive\Documentos\MALENTIN KARIME\BANCO CREDITO\FER LORCA en ROSITA (Rosita)\PET\OCTUBRE\CERTIFICADOS\GINO GALLEGUILLOS VELIZ.doc</t>
  </si>
  <si>
    <t>C:\Users\franc\OneDrive\Documentos\MALENTIN KARIME\BANCO CREDITO\FER LORCA en ROSITA (Rosita)\PET\OCTUBRE\CERTIFICADOS\GABRIEL RODRIGUEZ AQUEA.doc</t>
  </si>
  <si>
    <t>C:\Users\franc\OneDrive\Documentos\MALENTIN KARIME\BANCO CREDITO\FER LORCA en ROSITA (Rosita)\PET\OCTUBRE\CERTIFICADOS\CLAUDIA TABILO CERDA.doc</t>
  </si>
  <si>
    <t>C:\Users\franc\OneDrive\Documentos\MALENTIN KARIME\BANCO CREDITO\FER LORCA en ROSITA (Rosita)\PET\OCTUBRE\CERTIFICADOS\CLARA CONTRERAS ARAYA.doc</t>
  </si>
  <si>
    <t>C:\Users\franc\OneDrive\Documentos\MALENTIN KARIME\BANCO CREDITO\FER LORCA en ROSITA (Rosita)\PET\OCTUBRE\CERTIFICADOS\CARLOS TELLO ULLOA.doc</t>
  </si>
  <si>
    <t>C:\Users\franc\OneDrive\Documentos\MALENTIN KARIME\BANCO CREDITO\FER LORCA en ROSITA (Rosita)\PET\OCTUBRE\CARTA\carta_de_renuncia_beneficio_pet_(2)[1].doc</t>
  </si>
  <si>
    <t>C:\Users\franc\OneDrive\Documentos\MALENTIN KARIME\BANCO CREDITO\FER LORCA en ROSITA (Rosita)\PET\OCTUBRE\VICENTE GALARDO OSSANDON.doc</t>
  </si>
  <si>
    <t>C:\Users\franc\OneDrive\Documentos\MALENTIN KARIME\BANCO CREDITO\FER LORCA en ROSITA (Rosita)\PET\OCTUBRE\SOLANGE BARRAZA MUÑOZ.doc</t>
  </si>
  <si>
    <t>C:\Users\franc\OneDrive\Documentos\MALENTIN KARIME\BANCO CREDITO\FER LORCA en ROSITA (Rosita)\PET\OCTUBRE\SIRLE MIRANDA HENRIQUEZ.doc</t>
  </si>
  <si>
    <t>C:\Users\franc\OneDrive\Documentos\MALENTIN KARIME\BANCO CREDITO\FER LORCA en ROSITA (Rosita)\PET\OCTUBRE\ROSA MONDACA SANTIAGO.doc</t>
  </si>
  <si>
    <t>C:\Users\franc\OneDrive\Documentos\MALENTIN KARIME\BANCO CREDITO\FER LORCA en ROSITA (Rosita)\PET\OCTUBRE\PEDRO ALVAREZ RAMOS.doc</t>
  </si>
  <si>
    <t>C:\Users\franc\OneDrive\Documentos\MALENTIN KARIME\BANCO CREDITO\FER LORCA en ROSITA (Rosita)\PET\OCTUBRE\PATRICIO VELIZ ESTAY.doc</t>
  </si>
  <si>
    <t>C:\Users\franc\OneDrive\Documentos\MALENTIN KARIME\BANCO CREDITO\FER LORCA en ROSITA (Rosita)\PET\OCTUBRE\PATRICIA MARTINEZ PIZARRO.doc</t>
  </si>
  <si>
    <t>C:\Users\franc\OneDrive\Documentos\MALENTIN KARIME\BANCO CREDITO\FER LORCA en ROSITA (Rosita)\PET\OCTUBRE\PAOLA GARCIA VALDIVIA.doc</t>
  </si>
  <si>
    <t>C:\Users\franc\OneDrive\Documentos\MALENTIN KARIME\BANCO CREDITO\FER LORCA en ROSITA (Rosita)\PET\OCTUBRE\ORIETA CHACANA VEGA.doc</t>
  </si>
  <si>
    <t>C:\Users\franc\OneDrive\Documentos\MALENTIN KARIME\BANCO CREDITO\FER LORCA en ROSITA (Rosita)\PET\OCTUBRE\MONICA MILLA CORTES.doc</t>
  </si>
  <si>
    <t>C:\Users\franc\OneDrive\Documentos\MALENTIN KARIME\BANCO CREDITO\FER LORCA en ROSITA (Rosita)\PET\OCTUBRE\MARIA GAMBOA BAHAMONDES.doc</t>
  </si>
  <si>
    <t>C:\Users\franc\OneDrive\Documentos\MALENTIN KARIME\BANCO CREDITO\FER LORCA en ROSITA (Rosita)\PET\OCTUBRE\MARIA CONTRERAS VEAS.doc</t>
  </si>
  <si>
    <t>C:\Users\franc\OneDrive\Documentos\MALENTIN KARIME\BANCO CREDITO\FER LORCA en ROSITA (Rosita)\PET\OCTUBRE\MARIA CARVAJAL VILLALOBOS.doc</t>
  </si>
  <si>
    <t>C:\Users\franc\OneDrive\Documentos\MALENTIN KARIME\BANCO CREDITO\FER LORCA en ROSITA (Rosita)\PET\OCTUBRE\LUISA GONZALEZ DIAZ.doc</t>
  </si>
  <si>
    <t>C:\Users\franc\OneDrive\Documentos\MALENTIN KARIME\BANCO CREDITO\FER LORCA en ROSITA (Rosita)\PET\OCTUBRE\LUIS PIZARRO AGUILAR.doc</t>
  </si>
  <si>
    <t>C:\Users\franc\OneDrive\Documentos\MALENTIN KARIME\BANCO CREDITO\FER LORCA en ROSITA (Rosita)\PET\OCTUBRE\LILIANA VERGARA RAMOS.doc</t>
  </si>
  <si>
    <t>C:\Users\franc\OneDrive\Documentos\MALENTIN KARIME\BANCO CREDITO\FER LORCA en ROSITA (Rosita)\PET\OCTUBRE\JUAN CONCHA GALLARDO.doc</t>
  </si>
  <si>
    <t>C:\Users\franc\OneDrive\Documentos\MALENTIN KARIME\BANCO CREDITO\FER LORCA en ROSITA (Rosita)\PET\OCTUBRE\JORGE OLIVARES CORTES.doc</t>
  </si>
  <si>
    <t>C:\Users\franc\OneDrive\Documentos\MALENTIN KARIME\BANCO CREDITO\FER LORCA en ROSITA (Rosita)\PET\OCTUBRE\JESUS PIZARRO BARRIO (28-10).doc</t>
  </si>
  <si>
    <t>C:\Users\franc\OneDrive\Documentos\MALENTIN KARIME\BANCO CREDITO\FER LORCA en ROSITA (Rosita)\PET\OCTUBRE\HUGO VARGAS OPORTO.doc</t>
  </si>
  <si>
    <t>C:\Users\franc\OneDrive\Documentos\MALENTIN KARIME\BANCO CREDITO\FER LORCA en ROSITA (Rosita)\PET\OCTUBRE\HECTOR VEGA CHACANA.doc</t>
  </si>
  <si>
    <t>C:\Users\franc\OneDrive\Documentos\MALENTIN KARIME\BANCO CREDITO\FER LORCA en ROSITA (Rosita)\PET\OCTUBRE\GINO GALLEGUILLOS VELIZ.doc</t>
  </si>
  <si>
    <t>C:\Users\franc\OneDrive\Documentos\MALENTIN KARIME\BANCO CREDITO\FER LORCA en ROSITA (Rosita)\PET\OCTUBRE\GABRIEL RODRIGUEZ AQUEA.doc</t>
  </si>
  <si>
    <t>C:\Users\franc\OneDrive\Documentos\MALENTIN KARIME\BANCO CREDITO\FER LORCA en ROSITA (Rosita)\PET\OCTUBRE\ESTRELLA ARANCIBIA MUÑOZ.doc</t>
  </si>
  <si>
    <t>C:\Users\franc\OneDrive\Documentos\MALENTIN KARIME\BANCO CREDITO\FER LORCA en ROSITA (Rosita)\PET\OCTUBRE\DIONISIA BERNAL VERA.doc</t>
  </si>
  <si>
    <t>C:\Users\franc\OneDrive\Documentos\MALENTIN KARIME\BANCO CREDITO\FER LORCA en ROSITA (Rosita)\PET\OCTUBRE\DIONISIA BERNAL VERA 2.doc</t>
  </si>
  <si>
    <t>C:\Users\franc\OneDrive\Documentos\MALENTIN KARIME\BANCO CREDITO\FER LORCA en ROSITA (Rosita)\PET\OCTUBRE\DIMITILA DIAZ LOPEZ.doc</t>
  </si>
  <si>
    <t>C:\Users\franc\OneDrive\Documentos\MALENTIN KARIME\BANCO CREDITO\FER LORCA en ROSITA (Rosita)\PET\OCTUBRE\CLAUDIA TABILO CERDA.doc</t>
  </si>
  <si>
    <t>C:\Users\franc\OneDrive\Documentos\MALENTIN KARIME\BANCO CREDITO\FER LORCA en ROSITA (Rosita)\PET\OCTUBRE\CLARA CONTRERAS ARAYA.doc</t>
  </si>
  <si>
    <t>C:\Users\franc\OneDrive\Documentos\MALENTIN KARIME\BANCO CREDITO\FER LORCA en ROSITA (Rosita)\PET\OCTUBRE\CESAR DIAZ NAVARRO.doc</t>
  </si>
  <si>
    <t>C:\Users\franc\OneDrive\Documentos\MALENTIN KARIME\BANCO CREDITO\FER LORCA en ROSITA (Rosita)\PET\OCTUBRE\CARMEN DIAZ AGUILERA.doc</t>
  </si>
  <si>
    <t>C:\Users\franc\OneDrive\Documentos\MALENTIN KARIME\BANCO CREDITO\FER LORCA en ROSITA (Rosita)\PET\OCTUBRE\CARLOS TELLO ULLOA.doc</t>
  </si>
  <si>
    <t>C:\Users\franc\OneDrive\Documentos\MALENTIN KARIME\BANCO CREDITO\FER LORCA en ROSITA (Rosita)\PET\OCTUBRE\BENITO ALFARO ALFARO.doc</t>
  </si>
  <si>
    <t>C:\Users\franc\OneDrive\Documentos\MALENTIN KARIME\BANCO CREDITO\FER LORCA en ROSITA (Rosita)\PET\NOVIEMBRE\CERTIFICADOS\FIRMA MANLIO\ROSA VEGA ARAYA.doc</t>
  </si>
  <si>
    <t>C:\Users\franc\OneDrive\Documentos\MALENTIN KARIME\BANCO CREDITO\FER LORCA en ROSITA (Rosita)\PET\NOVIEMBRE\CERTIFICADOS\FIRMA MANLIO\HUGO VARGAS OPORTO.doc</t>
  </si>
  <si>
    <t>C:\Users\franc\OneDrive\Documentos\MALENTIN KARIME\BANCO CREDITO\FER LORCA en ROSITA (Rosita)\PET\NOVIEMBRE\CERTIFICADOS\SILVANA BARRAZA MUÑOZ.doc</t>
  </si>
  <si>
    <t>C:\Users\franc\OneDrive\Documentos\MALENTIN KARIME\BANCO CREDITO\FER LORCA en ROSITA (Rosita)\PET\NOVIEMBRE\CERTIFICADOS\PATRICIO CONTRERAS TORO.doc</t>
  </si>
  <si>
    <t>C:\Users\franc\OneDrive\Documentos\MALENTIN KARIME\BANCO CREDITO\FER LORCA en ROSITA (Rosita)\PET\NOVIEMBRE\CERTIFICADOS\NELLY BUSTAMANTE.doc</t>
  </si>
  <si>
    <t>C:\Users\franc\OneDrive\Documentos\MALENTIN KARIME\BANCO CREDITO\FER LORCA en ROSITA (Rosita)\PET\NOVIEMBRE\CERTIFICADOS\MARIELA PEREZ CHAZARRO.doc</t>
  </si>
  <si>
    <t>C:\Users\franc\OneDrive\Documentos\MALENTIN KARIME\BANCO CREDITO\FER LORCA en ROSITA (Rosita)\PET\NOVIEMBRE\SILVIO DOLL MENESES.doc</t>
  </si>
  <si>
    <t>C:\Users\franc\OneDrive\Documentos\MALENTIN KARIME\BANCO CREDITO\FER LORCA en ROSITA (Rosita)\PET\NOVIEMBRE\SILVANA BARRAZA MUÑOZ.doc</t>
  </si>
  <si>
    <t>C:\Users\franc\OneDrive\Documentos\MALENTIN KARIME\BANCO CREDITO\FER LORCA en ROSITA (Rosita)\PET\NOVIEMBRE\RUBEN MARCOS ROJAS TABILO.doc</t>
  </si>
  <si>
    <t>C:\Users\franc\OneDrive\Documentos\MALENTIN KARIME\BANCO CREDITO\FER LORCA en ROSITA (Rosita)\PET\NOVIEMBRE\ROSA VEGA ARAYA.doc</t>
  </si>
  <si>
    <t>C:\Users\franc\OneDrive\Documentos\MALENTIN KARIME\BANCO CREDITO\FER LORCA en ROSITA (Rosita)\PET\NOVIEMBRE\PATRICIO VELIZ ESTAY.doc</t>
  </si>
  <si>
    <t>C:\Users\franc\OneDrive\Documentos\MALENTIN KARIME\BANCO CREDITO\FER LORCA en ROSITA (Rosita)\PET\NOVIEMBRE\PATRICIO CONTRERAS TORO.doc</t>
  </si>
  <si>
    <t>C:\Users\franc\OneDrive\Documentos\MALENTIN KARIME\BANCO CREDITO\FER LORCA en ROSITA (Rosita)\PET\NOVIEMBRE\PATRICIA MARTINEZ PIZARR.doc</t>
  </si>
  <si>
    <t>C:\Users\franc\OneDrive\Documentos\MALENTIN KARIME\BANCO CREDITO\FER LORCA en ROSITA (Rosita)\PET\NOVIEMBRE\NELLY DEL CARMEN BUSTAMANTE.doc</t>
  </si>
  <si>
    <t>C:\Users\franc\OneDrive\Documentos\MALENTIN KARIME\BANCO CREDITO\FER LORCA en ROSITA (Rosita)\PET\NOVIEMBRE\MONICA MUÑOZ MUÑOZ.doc</t>
  </si>
  <si>
    <t>C:\Users\franc\OneDrive\Documentos\MALENTIN KARIME\BANCO CREDITO\FER LORCA en ROSITA (Rosita)\PET\NOVIEMBRE\MONICA MILLA CORTES.doc</t>
  </si>
  <si>
    <t>C:\Users\franc\OneDrive\Documentos\MALENTIN KARIME\BANCO CREDITO\FER LORCA en ROSITA (Rosita)\PET\NOVIEMBRE\MARIELA PEREZ CHAZARRO.doc</t>
  </si>
  <si>
    <t>C:\Users\franc\OneDrive\Documentos\MALENTIN KARIME\BANCO CREDITO\FER LORCA en ROSITA (Rosita)\PET\NOVIEMBRE\MARIA GAMBOA BAHAMONDES.doc</t>
  </si>
  <si>
    <t>C:\Users\franc\OneDrive\Documentos\MALENTIN KARIME\BANCO CREDITO\FER LORCA en ROSITA (Rosita)\PET\NOVIEMBRE\MARIA CONTRERAS VEAS.doc</t>
  </si>
  <si>
    <t>C:\Users\franc\OneDrive\Documentos\MALENTIN KARIME\BANCO CREDITO\FER LORCA en ROSITA (Rosita)\PET\NOVIEMBRE\JUAN CARLOS TAPIA BARRERA. RESCILIACION.doc</t>
  </si>
  <si>
    <t>C:\Users\franc\OneDrive\Documentos\MALENTIN KARIME\BANCO CREDITO\FER LORCA en ROSITA (Rosita)\PET\NOVIEMBRE\LUIS PIZARRO AGUILAR.doc</t>
  </si>
  <si>
    <t>C:\Users\franc\OneDrive\Documentos\MALENTIN KARIME\BANCO CREDITO\FER LORCA en ROSITA (Rosita)\PET\NOVIEMBRE\HUGO VARGAS OPORTO.doc</t>
  </si>
  <si>
    <t>C:\Users\franc\OneDrive\Documentos\MALENTIN KARIME\BANCO CREDITO\FER LORCA en ROSITA (Rosita)\PET\NOVIEMBRE\HILDA AEDO YAÑEZ.doc</t>
  </si>
  <si>
    <t>C:\Users\franc\OneDrive\Documentos\MALENTIN KARIME\BANCO CREDITO\FER LORCA en ROSITA (Rosita)\PET\NOVIEMBRE\ESTRELLA ARANCIBIA MUÑOZ.doc</t>
  </si>
  <si>
    <t>C:\Users\franc\OneDrive\Documentos\MALENTIN KARIME\BANCO CREDITO\FER LORCA en ROSITA (Rosita)\PET\NOVIEMBRE\DOMITILA DIAZ LOPEZ.doc</t>
  </si>
  <si>
    <t>C:\Users\franc\OneDrive\Documentos\MALENTIN KARIME\BANCO CREDITO\FER LORCA en ROSITA (Rosita)\PET\NOVIEMBRE\DIONISIA BERNAL VERA.doc</t>
  </si>
  <si>
    <t>C:\Users\franc\OneDrive\Documentos\MALENTIN KARIME\BANCO CREDITO\FER LORCA en ROSITA (Rosita)\PET\NOVIEMBRE\CESAR DIAZ NAVARRO.doc</t>
  </si>
  <si>
    <t>C:\Users\franc\OneDrive\Documentos\MALENTIN KARIME\BANCO CREDITO\FER LORCA en ROSITA (Rosita)\PET\NOVIEMBRE\CARMEN DIAZ AGUILERA.doc</t>
  </si>
  <si>
    <t>C:\Users\franc\OneDrive\Documentos\MALENTIN KARIME\BANCO CREDITO\FER LORCA en ROSITA (Rosita)\PET\NOVIEMBRE\BENITO ALFARO ALFARO.doc</t>
  </si>
  <si>
    <t>C:\Users\franc\OneDrive\Documentos\MALENTIN KARIME\BANCO CREDITO\FER LORCA en ROSITA (Rosita)\PET\MAYO\SUSANA LEMUS VICENCIO.doc</t>
  </si>
  <si>
    <t>C:\Users\franc\OneDrive\Documentos\MALENTIN KARIME\BANCO CREDITO\FER LORCA en ROSITA (Rosita)\PET\MAYO\SANDRA TAPIA CASTILLO.doc</t>
  </si>
  <si>
    <t>C:\Users\franc\OneDrive\Documentos\MALENTIN KARIME\BANCO CREDITO\FER LORCA en ROSITA (Rosita)\PET\MAYO\ROBERTO ALEGRE GUZMAN.doc</t>
  </si>
  <si>
    <t>C:\Users\franc\OneDrive\Documentos\MALENTIN KARIME\BANCO CREDITO\FER LORCA en ROSITA (Rosita)\PET\MAYO\RAUL PIZARRO ARAYA.doc</t>
  </si>
  <si>
    <t>C:\Users\franc\OneDrive\Documentos\MALENTIN KARIME\BANCO CREDITO\FER LORCA en ROSITA (Rosita)\PET\MAYO\OSCAR PIÑONEZ ROJAS.doc</t>
  </si>
  <si>
    <t>C:\Users\franc\OneDrive\Documentos\MALENTIN KARIME\BANCO CREDITO\FER LORCA en ROSITA (Rosita)\PET\MAYO\Nelson Sandoval Rojas.doc</t>
  </si>
  <si>
    <t>C:\Users\franc\OneDrive\Documentos\MALENTIN KARIME\BANCO CREDITO\FER LORCA en ROSITA (Rosita)\PET\MAYO\MARIO ECHEVERRIA TAPIA.doc</t>
  </si>
  <si>
    <t>C:\Users\franc\OneDrive\Documentos\MALENTIN KARIME\BANCO CREDITO\FER LORCA en ROSITA (Rosita)\PET\MAYO\MARIA VELIZ ROJAS.doc</t>
  </si>
  <si>
    <t>C:\Users\franc\OneDrive\Documentos\MALENTIN KARIME\BANCO CREDITO\FER LORCA en ROSITA (Rosita)\PET\MAYO\MARCELA MUÑOZ MOLINA.doc</t>
  </si>
  <si>
    <t>C:\Users\franc\OneDrive\Documentos\MALENTIN KARIME\BANCO CREDITO\FER LORCA en ROSITA (Rosita)\PET\MAYO\LUIS PEREZ CONTRERAS.doc</t>
  </si>
  <si>
    <t>C:\Users\franc\OneDrive\Documentos\MALENTIN KARIME\BANCO CREDITO\FER LORCA en ROSITA (Rosita)\PET\MAYO\JUAN VEGA MUNDACA.doc</t>
  </si>
  <si>
    <t>C:\Users\franc\OneDrive\Documentos\MALENTIN KARIME\BANCO CREDITO\FER LORCA en ROSITA (Rosita)\PET\MAYO\JOSE LUIS BARRAZA ARAYA.doc</t>
  </si>
  <si>
    <t>C:\Users\franc\OneDrive\Documentos\MALENTIN KARIME\BANCO CREDITO\FER LORCA en ROSITA (Rosita)\PET\MAYO\ETHEL BRAVO AVALOS.doc</t>
  </si>
  <si>
    <t>C:\Users\franc\OneDrive\Documentos\MALENTIN KARIME\BANCO CREDITO\FER LORCA en ROSITA (Rosita)\PET\MAYO\ELIANA OLMOS GARCIA.doc</t>
  </si>
  <si>
    <t>C:\Users\franc\OneDrive\Documentos\MALENTIN KARIME\BANCO CREDITO\FER LORCA en ROSITA (Rosita)\PET\MAYO\ALEX ROJAS MIRANDA- MANLIO.doc</t>
  </si>
  <si>
    <t>C:\Users\franc\OneDrive\Documentos\MALENTIN KARIME\BANCO CREDITO\FER LORCA en ROSITA (Rosita)\PET\FIRMA- MANLIO\VIOLETA MENA SAGUA.doc</t>
  </si>
  <si>
    <t>C:\Users\franc\OneDrive\Documentos\MALENTIN KARIME\BANCO CREDITO\FER LORCA en ROSITA (Rosita)\PET\FIRMA- MANLIO\SARA VASQUEZ ESPINOZA.doc</t>
  </si>
  <si>
    <t>C:\Users\franc\OneDrive\Documentos\MALENTIN KARIME\BANCO CREDITO\FER LORCA en ROSITA (Rosita)\PET\FIRMA- MANLIO\RICARDO P. COLLAO CASTILLO.doc</t>
  </si>
  <si>
    <t>C:\Users\franc\OneDrive\Documentos\MALENTIN KARIME\BANCO CREDITO\FER LORCA en ROSITA (Rosita)\PET\FIRMA- MANLIO\RICARDO MORALES ECHEVERRIA.doc</t>
  </si>
  <si>
    <t>C:\Users\franc\OneDrive\Documentos\MALENTIN KARIME\BANCO CREDITO\FER LORCA en ROSITA (Rosita)\PET\FIRMA- MANLIO\RICARDO ALFARO SAPIAIN.doc</t>
  </si>
  <si>
    <t>C:\Users\franc\OneDrive\Documentos\MALENTIN KARIME\BANCO CREDITO\FER LORCA en ROSITA (Rosita)\PET\FIRMA- MANLIO\PATRICIO VELIZ ESTAY.doc</t>
  </si>
  <si>
    <t>C:\Users\franc\OneDrive\Documentos\MALENTIN KARIME\BANCO CREDITO\FER LORCA en ROSITA (Rosita)\PET\FIRMA- MANLIO\PATRICIO ESPINOZA JIMENEZ.doc</t>
  </si>
  <si>
    <t>C:\Users\franc\OneDrive\Documentos\MALENTIN KARIME\BANCO CREDITO\FER LORCA en ROSITA (Rosita)\PET\FIRMA- MANLIO\PATRICIA ZAMBRANO ARRIAGADA.doc</t>
  </si>
  <si>
    <t>C:\Users\franc\OneDrive\Documentos\MALENTIN KARIME\BANCO CREDITO\FER LORCA en ROSITA (Rosita)\PET\FIRMA- MANLIO\PAOLA PEREZ TORRES.doc</t>
  </si>
  <si>
    <t>C:\Users\franc\OneDrive\Documentos\MALENTIN KARIME\BANCO CREDITO\FER LORCA en ROSITA (Rosita)\PET\FIRMA- MANLIO\OSCAR ROJAS CARVAJAL.doc</t>
  </si>
  <si>
    <t>C:\Users\franc\OneDrive\Documentos\MALENTIN KARIME\BANCO CREDITO\FER LORCA en ROSITA (Rosita)\PET\FIRMA- MANLIO\ORLANDO CACERES ELIZONDO.doc</t>
  </si>
  <si>
    <t>C:\Users\franc\OneDrive\Documentos\MALENTIN KARIME\BANCO CREDITO\FER LORCA en ROSITA (Rosita)\PET\FIRMA- MANLIO\NOEMI CARVAJAL CARVAJAL.doc</t>
  </si>
  <si>
    <t>C:\Users\franc\OneDrive\Documentos\MALENTIN KARIME\BANCO CREDITO\FER LORCA en ROSITA (Rosita)\PET\FIRMA- MANLIO\MERCEDES ZEPEDA CORTES.doc</t>
  </si>
  <si>
    <t>C:\Users\franc\OneDrive\Documentos\MALENTIN KARIME\BANCO CREDITO\FER LORCA en ROSITA (Rosita)\PET\FIRMA- MANLIO\MELISSA RODRIGUEZ CASANOVA.doc</t>
  </si>
  <si>
    <t>C:\Users\franc\OneDrive\Documentos\MALENTIN KARIME\BANCO CREDITO\FER LORCA en ROSITA (Rosita)\PET\FIRMA- MANLIO\MARIO MUTARELLO VERGARA.doc</t>
  </si>
  <si>
    <t>C:\Users\franc\OneDrive\Documentos\MALENTIN KARIME\BANCO CREDITO\FER LORCA en ROSITA (Rosita)\PET\FIRMA- MANLIO\MARGARITA SILVA MILLA.doc</t>
  </si>
  <si>
    <t>C:\Users\franc\OneDrive\Documentos\MALENTIN KARIME\BANCO CREDITO\FER LORCA en ROSITA (Rosita)\PET\FIRMA- MANLIO\MARCELO JIMENEZ GUERRERO.doc</t>
  </si>
  <si>
    <t>C:\Users\franc\OneDrive\Documentos\MALENTIN KARIME\BANCO CREDITO\FER LORCA en ROSITA (Rosita)\PET\FIRMA- MANLIO\MANUEL CISTERNAS MUÑOZ.doc</t>
  </si>
  <si>
    <t>C:\Users\franc\OneDrive\Documentos\MALENTIN KARIME\BANCO CREDITO\FER LORCA en ROSITA (Rosita)\PET\FIRMA- MANLIO\LUS MARIA TORRES DIAZ.doc</t>
  </si>
  <si>
    <t>C:\Users\franc\OneDrive\Documentos\MALENTIN KARIME\BANCO CREDITO\FER LORCA en ROSITA (Rosita)\PET\FIRMA- MANLIO\LUIS ALVARADO VEGA.doc</t>
  </si>
  <si>
    <t>C:\Users\franc\OneDrive\Documentos\MALENTIN KARIME\BANCO CREDITO\FER LORCA en ROSITA (Rosita)\PET\FIRMA- MANLIO\LORENA CORTES CORTES.doc</t>
  </si>
  <si>
    <t>C:\Users\franc\OneDrive\Documentos\MALENTIN KARIME\BANCO CREDITO\FER LORCA en ROSITA (Rosita)\PET\FIRMA- MANLIO\LEONADO PIZARRO SALFATE.doc</t>
  </si>
  <si>
    <t>C:\Users\franc\OneDrive\Documentos\MALENTIN KARIME\BANCO CREDITO\FER LORCA en ROSITA (Rosita)\PET\FIRMA- MANLIO\JUAN CARLOS GUERRA VENEGAS.doc</t>
  </si>
  <si>
    <t>C:\Users\franc\OneDrive\Documentos\MALENTIN KARIME\BANCO CREDITO\FER LORCA en ROSITA (Rosita)\PET\FIRMA- MANLIO\JOSE AGUILERA ALBORNOZ.doc</t>
  </si>
  <si>
    <t>C:\Users\franc\OneDrive\Documentos\MALENTIN KARIME\BANCO CREDITO\FER LORCA en ROSITA (Rosita)\PET\FIRMA- MANLIO\JAVIER ORO BAEZA.doc</t>
  </si>
  <si>
    <t>C:\Users\franc\OneDrive\Documentos\MALENTIN KARIME\BANCO CREDITO\FER LORCA en ROSITA (Rosita)\PET\FIRMA- MANLIO\JACOB MUNDACA GUERRERO.doc</t>
  </si>
  <si>
    <t>C:\Users\franc\OneDrive\Documentos\MALENTIN KARIME\BANCO CREDITO\FER LORCA en ROSITA (Rosita)\PET\FIRMA- MANLIO\ISABEL MARTINEZ PIZARRO.doc</t>
  </si>
  <si>
    <t>C:\Users\franc\OneDrive\Documentos\MALENTIN KARIME\BANCO CREDITO\FER LORCA en ROSITA (Rosita)\PET\FIRMA- MANLIO\INGRID CASTILLO MUÑOZ.doc</t>
  </si>
  <si>
    <t>C:\Users\franc\OneDrive\Documentos\MALENTIN KARIME\BANCO CREDITO\FER LORCA en ROSITA (Rosita)\PET\FIRMA- MANLIO\GUILLERMO VIDAURRE ANDRADES.doc</t>
  </si>
  <si>
    <t>C:\Users\franc\OneDrive\Documentos\MALENTIN KARIME\BANCO CREDITO\FER LORCA en ROSITA (Rosita)\PET\FIRMA- MANLIO\GREGORIO PEREZ CONTRERAS.doc</t>
  </si>
  <si>
    <t>C:\Users\franc\OneDrive\Documentos\MALENTIN KARIME\BANCO CREDITO\FER LORCA en ROSITA (Rosita)\PET\FIRMA- MANLIO\GARY CARVAJAL ALFARO.doc</t>
  </si>
  <si>
    <t>C:\Users\franc\OneDrive\Documentos\MALENTIN KARIME\BANCO CREDITO\FER LORCA en ROSITA (Rosita)\PET\FIRMA- MANLIO\EDUARDO OLIVARES CAMUS.doc</t>
  </si>
  <si>
    <t>C:\Users\franc\OneDrive\Documentos\MALENTIN KARIME\BANCO CREDITO\FER LORCA en ROSITA (Rosita)\PET\FIRMA- MANLIO\DAVID MARIN CASTILLO.doc</t>
  </si>
  <si>
    <t>C:\Users\franc\OneDrive\Documentos\MALENTIN KARIME\BANCO CREDITO\FER LORCA en ROSITA (Rosita)\PET\FIRMA- MANLIO\DANIEL TORRES MENA.doc</t>
  </si>
  <si>
    <t>C:\Users\franc\OneDrive\Documentos\MALENTIN KARIME\BANCO CREDITO\FER LORCA en ROSITA (Rosita)\PET\FIRMA- MANLIO\CLAUDIA NUÑEZ MARTINEZ.doc</t>
  </si>
  <si>
    <t>C:\Users\franc\OneDrive\Documentos\MALENTIN KARIME\BANCO CREDITO\FER LORCA en ROSITA (Rosita)\PET\FIRMA- MANLIO\CAROLINA MALDONADO PIZARRO.doc</t>
  </si>
  <si>
    <t>C:\Users\franc\OneDrive\Documentos\MALENTIN KARIME\BANCO CREDITO\FER LORCA en ROSITA (Rosita)\PET\FIRMA- MANLIO\CARMEN GLORIA CASTILLO CABRERA.doc</t>
  </si>
  <si>
    <t>C:\Users\franc\OneDrive\Documentos\MALENTIN KARIME\BANCO CREDITO\FER LORCA en ROSITA (Rosita)\PET\FIRMA- MANLIO\AURELIA CARVAJAL.doc</t>
  </si>
  <si>
    <t>C:\Users\franc\OneDrive\Documentos\MALENTIN KARIME\BANCO CREDITO\FER LORCA en ROSITA (Rosita)\PET\FIRMA- MANLIO\ARNOLDO CORTES VEGAS.doc</t>
  </si>
  <si>
    <t>C:\Users\franc\OneDrive\Documentos\MALENTIN KARIME\BANCO CREDITO\FER LORCA en ROSITA (Rosita)\PET\FIRMA- MANLIO\ANA MARCELA MILLA NETTLE.doc</t>
  </si>
  <si>
    <t>C:\Users\franc\OneDrive\Documentos\MALENTIN KARIME\BANCO CREDITO\FER LORCA en ROSITA (Rosita)\PET\FIRMA- MANLIO\ALIAN URQUETA AGUIRRE.doc</t>
  </si>
  <si>
    <t>C:\Users\franc\OneDrive\Documentos\MALENTIN KARIME\BANCO CREDITO\FER LORCA en ROSITA (Rosita)\PET\FIRMA- MANLIO\ALFREDO MONSALVE PIZARRO.doc</t>
  </si>
  <si>
    <t>C:\Users\franc\OneDrive\Documentos\MALENTIN KARIME\BANCO CREDITO\FER LORCA en ROSITA (Rosita)\PET\FIRMA- MANLIO\ADELINA SALAZAR ZEPEDA.doc</t>
  </si>
  <si>
    <t>C:\Users\franc\OneDrive\Documentos\MALENTIN KARIME\BANCO CREDITO\FER LORCA en ROSITA (Rosita)\PET\ENERO 09\CERTIFICADOS\CARMEN BERNARDA DIAZ AGUILERA.doc</t>
  </si>
  <si>
    <t>C:\Users\franc\OneDrive\Documentos\MALENTIN KARIME\BANCO CREDITO\FER LORCA en ROSITA (Rosita)\PET\ENERO 09\RUBEN MARCOS ROJAS TABILO.doc</t>
  </si>
  <si>
    <t>C:\Users\franc\OneDrive\Documentos\MALENTIN KARIME\BANCO CREDITO\FER LORCA en ROSITA (Rosita)\PET\ENERO 09\PATRICIO PIZARRO MENDIZABAL.doc</t>
  </si>
  <si>
    <t>C:\Users\franc\OneDrive\Documentos\MALENTIN KARIME\BANCO CREDITO\FER LORCA en ROSITA (Rosita)\PET\ENERO 09\PATRICIO GERARDO VELIZ ESTAY.doc</t>
  </si>
  <si>
    <t>C:\Users\franc\OneDrive\Documentos\MALENTIN KARIME\BANCO CREDITO\FER LORCA en ROSITA (Rosita)\PET\ENERO 09\PATRICIA ELIZABETH MARTINEZ PIZARR.doc</t>
  </si>
  <si>
    <t>C:\Users\franc\OneDrive\Documentos\MALENTIN KARIME\BANCO CREDITO\FER LORCA en ROSITA (Rosita)\PET\ENERO 09\MONICA HAYDEE MILLA CORTES.doc</t>
  </si>
  <si>
    <t>C:\Users\franc\OneDrive\Documentos\MALENTIN KARIME\BANCO CREDITO\FER LORCA en ROSITA (Rosita)\PET\ENERO 09\MAº ELENA GAMBOA BAHAMONDES.doc</t>
  </si>
  <si>
    <t>C:\Users\franc\OneDrive\Documentos\MALENTIN KARIME\BANCO CREDITO\FER LORCA en ROSITA (Rosita)\PET\ENERO 09\MARIA ELENA CONTRERAS VEAS.doc</t>
  </si>
  <si>
    <t>C:\Users\franc\OneDrive\Documentos\MALENTIN KARIME\BANCO CREDITO\FER LORCA en ROSITA (Rosita)\PET\ENERO 09\LUIS ALBERTO PIZARRO AGUILAR.doc</t>
  </si>
  <si>
    <t>C:\Users\franc\OneDrive\Documentos\MALENTIN KARIME\BANCO CREDITO\FER LORCA en ROSITA (Rosita)\PET\ENERO 09\HILDA ALEJANDRA AEDO YAÑEZ.doc</t>
  </si>
  <si>
    <t>C:\Users\franc\OneDrive\Documentos\MALENTIN KARIME\BANCO CREDITO\FER LORCA en ROSITA (Rosita)\PET\ENERO 09\ESTRELLA DEL CARMEN ARANCIBIA MUÑOZ.doc</t>
  </si>
  <si>
    <t>C:\Users\franc\OneDrive\Documentos\MALENTIN KARIME\BANCO CREDITO\FER LORCA en ROSITA (Rosita)\PET\ENERO 09\DOMITILA DEL CARMEN DIAZ LOPEZ.doc</t>
  </si>
  <si>
    <t>C:\Users\franc\OneDrive\Documentos\MALENTIN KARIME\BANCO CREDITO\FER LORCA en ROSITA (Rosita)\PET\ENERO 09\DIONISIA BERNAL VERA.doc</t>
  </si>
  <si>
    <t>C:\Users\franc\OneDrive\Documentos\MALENTIN KARIME\BANCO CREDITO\FER LORCA en ROSITA (Rosita)\PET\ENERO 09\CLAUDIO ALFONSO CASTRO FLORES.doc</t>
  </si>
  <si>
    <t>C:\Users\franc\OneDrive\Documentos\MALENTIN KARIME\BANCO CREDITO\FER LORCA en ROSITA (Rosita)\PET\ENERO 09\CESAR ANTONIO DIAZ NAVARRO.doc</t>
  </si>
  <si>
    <t>C:\Users\franc\OneDrive\Documentos\MALENTIN KARIME\BANCO CREDITO\FER LORCA en ROSITA (Rosita)\PET\ENERO 09\CARMEN BERNARDA DIAZ AGUILERA. (AG.SUP.).doc</t>
  </si>
  <si>
    <t>C:\Users\franc\OneDrive\Documentos\MALENTIN KARIME\BANCO CREDITO\FER LORCA en ROSITA (Rosita)\PET\ENERO 09\BENITO DE LA CRUZ ALFARO ALFARO.doc</t>
  </si>
  <si>
    <t>C:\Users\franc\OneDrive\Documentos\MALENTIN KARIME\BANCO CREDITO\FER LORCA en ROSITA (Rosita)\PET\ENERO 09\AMADIEL DEL ROSARIO ROJO.doc</t>
  </si>
  <si>
    <t>C:\Users\franc\OneDrive\Documentos\MALENTIN KARIME\BANCO CREDITO\FER LORCA en ROSITA (Rosita)\PET\CERTIFICADO SIN EFECTO\NELSON CUELLAR.doc</t>
  </si>
  <si>
    <t>C:\Users\franc\OneDrive\Documentos\MALENTIN KARIME\BANCO CREDITO\FER LORCA en ROSITA (Rosita)\PET\AGOSTO\CERTIFICADOS\VILMA LASTARRIA PERALTA, REP. 1678.doc</t>
  </si>
  <si>
    <t>C:\Users\franc\OneDrive\Documentos\MALENTIN KARIME\BANCO CREDITO\FER LORCA en ROSITA (Rosita)\PET\AGOSTO\CERTIFICADOS\VERONICA FLORES FARIAS.doc</t>
  </si>
  <si>
    <t>C:\Users\franc\OneDrive\Documentos\MALENTIN KARIME\BANCO CREDITO\FER LORCA en ROSITA (Rosita)\PET\AGOSTO\CERTIFICADOS\SANTIAGO URQUETA HENRIQUEZ, REP. 1687..doc</t>
  </si>
  <si>
    <t>C:\Users\franc\OneDrive\Documentos\MALENTIN KARIME\BANCO CREDITO\FER LORCA en ROSITA (Rosita)\PET\AGOSTO\CERTIFICADOS\RICARDO CORTES CARVAJAL.doc</t>
  </si>
  <si>
    <t>C:\Users\franc\OneDrive\Documentos\MALENTIN KARIME\BANCO CREDITO\FER LORCA en ROSITA (Rosita)\PET\AGOSTO\CERTIFICADOS\OMAR CAMPOS. REP.1598.doc</t>
  </si>
  <si>
    <t>C:\Users\franc\OneDrive\Documentos\MALENTIN KARIME\BANCO CREDITO\FER LORCA en ROSITA (Rosita)\PET\AGOSTO\CERTIFICADOS\OLGA ALFARO GAMBOA, REP. 1674.doc</t>
  </si>
  <si>
    <t>C:\Users\franc\OneDrive\Documentos\MALENTIN KARIME\BANCO CREDITO\FER LORCA en ROSITA (Rosita)\PET\AGOSTO\CERTIFICADOS\NELSON CORTES BARRAZA, REP. 1672.doc</t>
  </si>
  <si>
    <t>C:\Users\franc\OneDrive\Documentos\MALENTIN KARIME\BANCO CREDITO\FER LORCA en ROSITA (Rosita)\PET\AGOSTO\CERTIFICADOS\MARIA LUCY AVILA.doc</t>
  </si>
  <si>
    <t>C:\Users\franc\OneDrive\Documentos\MALENTIN KARIME\BANCO CREDITO\FER LORCA en ROSITA (Rosita)\PET\AGOSTO\CERTIFICADOS\MARIA CONTRERAS VEAS.doc</t>
  </si>
  <si>
    <t>C:\Users\franc\OneDrive\Documentos\MALENTIN KARIME\BANCO CREDITO\FER LORCA en ROSITA (Rosita)\PET\AGOSTO\CERTIFICADOS\JUAN CARLOS TAPIA BARRERA.doc</t>
  </si>
  <si>
    <t>C:\Users\franc\OneDrive\Documentos\MALENTIN KARIME\BANCO CREDITO\FER LORCA en ROSITA (Rosita)\PET\AGOSTO\CERTIFICADOS\JAVIER ROJAS MIRANDA, REP. 1673.doc</t>
  </si>
  <si>
    <t>C:\Users\franc\OneDrive\Documentos\MALENTIN KARIME\BANCO CREDITO\FER LORCA en ROSITA (Rosita)\PET\AGOSTO\CERTIFICADOS\IRMA ARAYA CORTES.doc</t>
  </si>
  <si>
    <t>C:\Users\franc\OneDrive\Documentos\MALENTIN KARIME\BANCO CREDITO\FER LORCA en ROSITA (Rosita)\PET\AGOSTO\CERTIFICADOS\DAVID JIMENEZ BRUCE.doc</t>
  </si>
  <si>
    <t>C:\Users\franc\OneDrive\Documentos\MALENTIN KARIME\BANCO CREDITO\FER LORCA en ROSITA (Rosita)\PET\AGOSTO\CERTIFICADOS\CRISTIAN JARA ENCINAREP.1649.doc</t>
  </si>
  <si>
    <t>C:\Users\franc\OneDrive\Documentos\MALENTIN KARIME\BANCO CREDITO\FER LORCA en ROSITA (Rosita)\PET\AGOSTO\CERTIFICADOS\CERT. PEDRO BRITO CASTILLO.doc</t>
  </si>
  <si>
    <t>C:\Users\franc\OneDrive\Documentos\MALENTIN KARIME\BANCO CREDITO\FER LORCA en ROSITA (Rosita)\PET\AGOSTO\CERTIFICADOS\CERT. PAULINA CASANOVA REP.1604.doc</t>
  </si>
  <si>
    <t>C:\Users\franc\OneDrive\Documentos\MALENTIN KARIME\BANCO CREDITO\FER LORCA en ROSITA (Rosita)\PET\AGOSTO\CERTIFICADOS\CARMEN FAJARDO ROJAS.doc</t>
  </si>
  <si>
    <t>C:\Users\franc\OneDrive\Documentos\MALENTIN KARIME\BANCO CREDITO\FER LORCA en ROSITA (Rosita)\PET\AGOSTO\CERTIFICADOS\ARMINDA ABALOS REP. 1688.doc</t>
  </si>
  <si>
    <t>C:\Users\franc\OneDrive\Documentos\MALENTIN KARIME\BANCO CREDITO\FER LORCA en ROSITA (Rosita)\PET\AGOSTO\VILMA LASTARRIA PERALTA.doc</t>
  </si>
  <si>
    <t>C:\Users\franc\OneDrive\Documentos\MALENTIN KARIME\BANCO CREDITO\FER LORCA en ROSITA (Rosita)\PET\AGOSTO\VERONICA FLORES FARIAS.doc</t>
  </si>
  <si>
    <t>C:\Users\franc\OneDrive\Documentos\MALENTIN KARIME\BANCO CREDITO\FER LORCA en ROSITA (Rosita)\PET\AGOSTO\SOLANGE BARRAZA MUÑOZ.doc</t>
  </si>
  <si>
    <t>C:\Users\franc\OneDrive\Documentos\MALENTIN KARIME\BANCO CREDITO\FER LORCA en ROSITA (Rosita)\PET\AGOSTO\SIRLE MIRANDA HENRIQUEZ.doc</t>
  </si>
  <si>
    <t>C:\Users\franc\OneDrive\Documentos\MALENTIN KARIME\BANCO CREDITO\FER LORCA en ROSITA (Rosita)\PET\AGOSTO\SERGIO CORREA AGUILERA.doc</t>
  </si>
  <si>
    <t>C:\Users\franc\OneDrive\Documentos\MALENTIN KARIME\BANCO CREDITO\FER LORCA en ROSITA (Rosita)\PET\AGOSTO\SANTIAGO URQUETA HENRIQUEZ].doc</t>
  </si>
  <si>
    <t>C:\Users\franc\OneDrive\Documentos\MALENTIN KARIME\BANCO CREDITO\FER LORCA en ROSITA (Rosita)\PET\AGOSTO\RICARDO CORTES CARVAJAL.doc</t>
  </si>
  <si>
    <t>C:\Users\franc\OneDrive\Documentos\MALENTIN KARIME\BANCO CREDITO\FER LORCA en ROSITA (Rosita)\PET\AGOSTO\PAULINA CASANOVA BARRAZA.SIN_CONYUGE.doc</t>
  </si>
  <si>
    <t>C:\Users\franc\OneDrive\Documentos\MALENTIN KARIME\BANCO CREDITO\FER LORCA en ROSITA (Rosita)\PET\AGOSTO\PATRICIO VELIZ ESTAY.doc</t>
  </si>
  <si>
    <t>C:\Users\franc\OneDrive\Documentos\MALENTIN KARIME\BANCO CREDITO\FER LORCA en ROSITA (Rosita)\PET\AGOSTO\OMAR CAMPOS RAMOS.doc</t>
  </si>
  <si>
    <t>C:\Users\franc\OneDrive\Documentos\MALENTIN KARIME\BANCO CREDITO\FER LORCA en ROSITA (Rosita)\PET\AGOSTO\OLGA ALFARO GAMBOA.doc</t>
  </si>
  <si>
    <t>C:\Users\franc\OneDrive\Documentos\MALENTIN KARIME\BANCO CREDITO\FER LORCA en ROSITA (Rosita)\PET\AGOSTO\NELSON VARGAS OPORTO.doc</t>
  </si>
  <si>
    <t>C:\Users\franc\OneDrive\Documentos\MALENTIN KARIME\BANCO CREDITO\FER LORCA en ROSITA (Rosita)\PET\AGOSTO\NELSON CORTES BARRAZA+.doc</t>
  </si>
  <si>
    <t>C:\Users\franc\OneDrive\Documentos\MALENTIN KARIME\BANCO CREDITO\FER LORCA en ROSITA (Rosita)\PET\AGOSTO\MONICA MILLA CORTES.doc</t>
  </si>
  <si>
    <t>C:\Users\franc\OneDrive\Documentos\MALENTIN KARIME\BANCO CREDITO\FER LORCA en ROSITA (Rosita)\PET\AGOSTO\MARIA LUCY AVILA AVILA.doc</t>
  </si>
  <si>
    <t>C:\Users\franc\OneDrive\Documentos\MALENTIN KARIME\BANCO CREDITO\FER LORCA en ROSITA (Rosita)\PET\AGOSTO\MARIA GAMBOA BAHAMONDES.doc</t>
  </si>
  <si>
    <t>C:\Users\franc\OneDrive\Documentos\MALENTIN KARIME\BANCO CREDITO\FER LORCA en ROSITA (Rosita)\PET\AGOSTO\MARIA CONTRERAS VEAS.doc</t>
  </si>
  <si>
    <t>C:\Users\franc\OneDrive\Documentos\MALENTIN KARIME\BANCO CREDITO\FER LORCA en ROSITA (Rosita)\PET\AGOSTO\LUISA GONZALEZ DIAZ.doc</t>
  </si>
  <si>
    <t>C:\Users\franc\OneDrive\Documentos\MALENTIN KARIME\BANCO CREDITO\FER LORCA en ROSITA (Rosita)\PET\AGOSTO\LUIS PIZARRO AGUILAR.doc</t>
  </si>
  <si>
    <t>C:\Users\franc\OneDrive\Documentos\MALENTIN KARIME\BANCO CREDITO\FER LORCA en ROSITA (Rosita)\PET\AGOSTO\LORENA FAJARDO ROJAS.doc</t>
  </si>
  <si>
    <t>C:\Users\franc\OneDrive\Documentos\MALENTIN KARIME\BANCO CREDITO\FER LORCA en ROSITA (Rosita)\PET\AGOSTO\JUAN CARLOS TAPIA BARRERA].doc</t>
  </si>
  <si>
    <t>C:\Users\franc\OneDrive\Documentos\MALENTIN KARIME\BANCO CREDITO\FER LORCA en ROSITA (Rosita)\PET\AGOSTO\JUAN CARLOS CONCHA GALLARDO.doc</t>
  </si>
  <si>
    <t>C:\Users\franc\OneDrive\Documentos\MALENTIN KARIME\BANCO CREDITO\FER LORCA en ROSITA (Rosita)\PET\AGOSTO\JOSE TAPIA MUJICA.doc</t>
  </si>
  <si>
    <t>C:\Users\franc\OneDrive\Documentos\MALENTIN KARIME\BANCO CREDITO\FER LORCA en ROSITA (Rosita)\PET\AGOSTO\JHON TELLO MERELLO.doc</t>
  </si>
  <si>
    <t>C:\Users\franc\OneDrive\Documentos\MALENTIN KARIME\BANCO CREDITO\FER LORCA en ROSITA (Rosita)\PET\AGOSTO\JEISY GALLARDO OSSANDON.doc</t>
  </si>
  <si>
    <t>C:\Users\franc\OneDrive\Documentos\MALENTIN KARIME\BANCO CREDITO\FER LORCA en ROSITA (Rosita)\PET\AGOSTO\JAVIER ROJAS MIRANDA.doc</t>
  </si>
  <si>
    <t>C:\Users\franc\OneDrive\Documentos\MALENTIN KARIME\BANCO CREDITO\FER LORCA en ROSITA (Rosita)\PET\AGOSTO\IRMA ARAYA CORTES.doc</t>
  </si>
  <si>
    <t>C:\Users\franc\OneDrive\Documentos\MALENTIN KARIME\BANCO CREDITO\FER LORCA en ROSITA (Rosita)\PET\AGOSTO\GINO GALEGUILLOS.doc</t>
  </si>
  <si>
    <t>C:\Users\franc\OneDrive\Documentos\MALENTIN KARIME\BANCO CREDITO\FER LORCA en ROSITA (Rosita)\PET\AGOSTO\ESTRELLA ARANCIBIA MUÑOZ.doc</t>
  </si>
  <si>
    <t>C:\Users\franc\OneDrive\Documentos\MALENTIN KARIME\BANCO CREDITO\FER LORCA en ROSITA (Rosita)\PET\AGOSTO\DOMITILA DIAZ LOPEZ.doc</t>
  </si>
  <si>
    <t>C:\Users\franc\OneDrive\Documentos\MALENTIN KARIME\BANCO CREDITO\FER LORCA en ROSITA (Rosita)\PET\AGOSTO\DIONISIA BERNAL VERA.doc</t>
  </si>
  <si>
    <t>C:\Users\franc\OneDrive\Documentos\MALENTIN KARIME\BANCO CREDITO\FER LORCA en ROSITA (Rosita)\PET\AGOSTO\DAVID JIMENEZ BRUCE- CLAUSULA ESPE.doc</t>
  </si>
  <si>
    <t>C:\Users\franc\OneDrive\Documentos\MALENTIN KARIME\BANCO CREDITO\FER LORCA en ROSITA (Rosita)\PET\AGOSTO\CRISTIAN JARA ENCINA.doc</t>
  </si>
  <si>
    <t>C:\Users\franc\OneDrive\Documentos\MALENTIN KARIME\BANCO CREDITO\FER LORCA en ROSITA (Rosita)\PET\AGOSTO\CLAUDIA TABILO CERDA.doc</t>
  </si>
  <si>
    <t>C:\Users\franc\OneDrive\Documentos\MALENTIN KARIME\BANCO CREDITO\FER LORCA en ROSITA (Rosita)\PET\AGOSTO\CESAR DIAZ NAVARRO.doc</t>
  </si>
  <si>
    <t>C:\Users\franc\OneDrive\Documentos\MALENTIN KARIME\BANCO CREDITO\FER LORCA en ROSITA (Rosita)\PET\AGOSTO\CESAR DIAZ NAVARRO 2.doc</t>
  </si>
  <si>
    <t>C:\Users\franc\OneDrive\Documentos\MALENTIN KARIME\BANCO CREDITO\FER LORCA en ROSITA (Rosita)\PET\AGOSTO\CARMEN DIAZ AGUILERA.doc</t>
  </si>
  <si>
    <t>C:\Users\franc\OneDrive\Documentos\MALENTIN KARIME\BANCO CREDITO\FER LORCA en ROSITA (Rosita)\PET\AGOSTO\CARLOS TELLO ULLOA.doc</t>
  </si>
  <si>
    <t>C:\Users\franc\OneDrive\Documentos\MALENTIN KARIME\BANCO CREDITO\FER LORCA en ROSITA (Rosita)\PET\AGOSTO\BRITO CASTILLO.doc</t>
  </si>
  <si>
    <t>C:\Users\franc\OneDrive\Documentos\MALENTIN KARIME\BANCO CREDITO\FER LORCA en ROSITA (Rosita)\PET\AGOSTO\BENITO ALFARO ALFARO[1].doc</t>
  </si>
  <si>
    <t>C:\Users\franc\OneDrive\Documentos\MALENTIN KARIME\BANCO CREDITO\FER LORCA en ROSITA (Rosita)\PET\AGOSTO\ARMINDA DE MERCEDES ABALOS.doc</t>
  </si>
  <si>
    <t>C:\Users\franc\OneDrive\Documentos\MALENTIN KARIME\BANCO CREDITO\FER LORCA en ROSITA (Rosita)\PET\YESSICA ARAYA CAÑETE.doc</t>
  </si>
  <si>
    <t>C:\Users\franc\OneDrive\Documentos\MALENTIN KARIME\BANCO CREDITO\FER LORCA en ROSITA (Rosita)\PET\VICTOR CORTES REGODECEVES.doc</t>
  </si>
  <si>
    <t>C:\Users\franc\OneDrive\Documentos\MALENTIN KARIME\BANCO CREDITO\FER LORCA en ROSITA (Rosita)\PET\ULISES ROJAS MUÑOZ.doc</t>
  </si>
  <si>
    <t>C:\Users\franc\OneDrive\Documentos\MALENTIN KARIME\BANCO CREDITO\FER LORCA en ROSITA (Rosita)\PET\SILVERIO CONTRERAS CARVAJAL.doc</t>
  </si>
  <si>
    <t>C:\Users\franc\OneDrive\Documentos\MALENTIN KARIME\BANCO CREDITO\FER LORCA en ROSITA (Rosita)\PET\SERGIO CARVAJAL PONCE.doc</t>
  </si>
  <si>
    <t>C:\Users\franc\OneDrive\Documentos\MALENTIN KARIME\BANCO CREDITO\FER LORCA en ROSITA (Rosita)\PET\RAUL CORTES OSSANDON.doc</t>
  </si>
  <si>
    <t>C:\Users\franc\OneDrive\Documentos\MALENTIN KARIME\BANCO CREDITO\FER LORCA en ROSITA (Rosita)\PET\RAIMUNDO ROJAS MALUENDA.doc</t>
  </si>
  <si>
    <t>C:\Users\franc\OneDrive\Documentos\MALENTIN KARIME\BANCO CREDITO\FER LORCA en ROSITA (Rosita)\PET\PATRICIO CARVAJAL PONCE 09.doc</t>
  </si>
  <si>
    <t>C:\Users\franc\OneDrive\Documentos\MALENTIN KARIME\BANCO CREDITO\FER LORCA en ROSITA (Rosita)\PET\PAOLA PEREZ (JULIO) Sra. Ana Luisa.doc</t>
  </si>
  <si>
    <t>C:\Users\franc\OneDrive\Documentos\MALENTIN KARIME\BANCO CREDITO\FER LORCA en ROSITA (Rosita)\PET\OSCAR CORTES CORTES 28.doc</t>
  </si>
  <si>
    <t>C:\Users\franc\OneDrive\Documentos\MALENTIN KARIME\BANCO CREDITO\FER LORCA en ROSITA (Rosita)\PET\NELSO QUINTO QUINTO.doc</t>
  </si>
  <si>
    <t>C:\Users\franc\OneDrive\Documentos\MALENTIN KARIME\BANCO CREDITO\FER LORCA en ROSITA (Rosita)\PET\MISAEL TAPIA OLIVARES.doc</t>
  </si>
  <si>
    <t>C:\Users\franc\OneDrive\Documentos\MALENTIN KARIME\BANCO CREDITO\FER LORCA en ROSITA (Rosita)\PET\MIGUEL ANGEL ARAYA BOLVARAN.doc</t>
  </si>
  <si>
    <t>C:\Users\franc\OneDrive\Documentos\MALENTIN KARIME\BANCO CREDITO\FER LORCA en ROSITA (Rosita)\PET\MAURICIO ZEPEDA LEMUS.doc</t>
  </si>
  <si>
    <t>C:\Users\franc\OneDrive\Documentos\MALENTIN KARIME\BANCO CREDITO\FER LORCA en ROSITA (Rosita)\PET\MARTIN ORDENES TABILO.doc</t>
  </si>
  <si>
    <t>C:\Users\franc\OneDrive\Documentos\MALENTIN KARIME\BANCO CREDITO\FER LORCA en ROSITA (Rosita)\PET\MARIA TRONCOSO MANRIQUEZ.doc</t>
  </si>
  <si>
    <t>C:\Users\franc\OneDrive\Documentos\MALENTIN KARIME\BANCO CREDITO\FER LORCA en ROSITA (Rosita)\PET\JUAN OSSANDON ROJAS.doc</t>
  </si>
  <si>
    <t>C:\Users\franc\OneDrive\Documentos\MALENTIN KARIME\BANCO CREDITO\FER LORCA en ROSITA (Rosita)\PET\JUAN CARLOS GUERRA VENEGAS.doc</t>
  </si>
  <si>
    <t>C:\Users\franc\OneDrive\Documentos\MALENTIN KARIME\BANCO CREDITO\FER LORCA en ROSITA (Rosita)\PET\JUAN ARAYA ROJAS.doc</t>
  </si>
  <si>
    <t>C:\Users\franc\OneDrive\Documentos\MALENTIN KARIME\BANCO CREDITO\FER LORCA en ROSITA (Rosita)\PET\JOSE TOMAS CARMONA PIZARRO.doc</t>
  </si>
  <si>
    <t>C:\Users\franc\OneDrive\Documentos\MALENTIN KARIME\BANCO CREDITO\FER LORCA en ROSITA (Rosita)\PET\JIMENA ARAYA LAYANA.doc</t>
  </si>
  <si>
    <t>C:\Users\franc\OneDrive\Documentos\MALENTIN KARIME\BANCO CREDITO\FER LORCA en ROSITA (Rosita)\PET\ivan vega rojas11.doc</t>
  </si>
  <si>
    <t>C:\Users\franc\OneDrive\Documentos\MALENTIN KARIME\BANCO CREDITO\FER LORCA en ROSITA (Rosita)\PET\ISMAEL ARAYA CONTRERAS.doc</t>
  </si>
  <si>
    <t>C:\Users\franc\OneDrive\Documentos\MALENTIN KARIME\BANCO CREDITO\FER LORCA en ROSITA (Rosita)\PET\HUMBERTO RODRIGUEZ RODRIGUEZ.doc</t>
  </si>
  <si>
    <t>C:\Users\franc\OneDrive\Documentos\MALENTIN KARIME\BANCO CREDITO\FER LORCA en ROSITA (Rosita)\PET\HOMERO TAPIA ARAYA.doc</t>
  </si>
  <si>
    <t>C:\Users\franc\OneDrive\Documentos\MALENTIN KARIME\BANCO CREDITO\FER LORCA en ROSITA (Rosita)\PET\HOFFMANN ANDRADE ANDRADE.doc</t>
  </si>
  <si>
    <t>C:\Users\franc\OneDrive\Documentos\MALENTIN KARIME\BANCO CREDITO\FER LORCA en ROSITA (Rosita)\PET\FIDEL LEYTON CONTRERAS.doc</t>
  </si>
  <si>
    <t>C:\Users\franc\OneDrive\Documentos\MALENTIN KARIME\BANCO CREDITO\FER LORCA en ROSITA (Rosita)\PET\ELIZABETH CONTRERAS VILLARROEL.doc</t>
  </si>
  <si>
    <t>C:\Users\franc\OneDrive\Documentos\MALENTIN KARIME\BANCO CREDITO\FER LORCA en ROSITA (Rosita)\PET\EDUARDO CORTES OLIVARES.doc</t>
  </si>
  <si>
    <t>C:\Users\franc\OneDrive\Documentos\MALENTIN KARIME\BANCO CREDITO\FER LORCA en ROSITA (Rosita)\PET\EDITH BONILLA ZEPEDA 11.doc</t>
  </si>
  <si>
    <t>C:\Users\franc\OneDrive\Documentos\MALENTIN KARIME\BANCO CREDITO\FER LORCA en ROSITA (Rosita)\PET\DEYCE DEL CARMEN CASTILLO MAYA.doc</t>
  </si>
  <si>
    <t>C:\Users\franc\OneDrive\Documentos\MALENTIN KARIME\BANCO CREDITO\FER LORCA en ROSITA (Rosita)\PET\DARWIN MALEBRAN MALEBRAN.doc</t>
  </si>
  <si>
    <t>C:\Users\franc\OneDrive\Documentos\MALENTIN KARIME\BANCO CREDITO\FER LORCA en ROSITA (Rosita)\PET\CLAUDIA IBA´ÑEZ RUZ.doc</t>
  </si>
  <si>
    <t>C:\Users\franc\OneDrive\Documentos\MALENTIN KARIME\BANCO CREDITO\FER LORCA en ROSITA (Rosita)\PET\CARLOS LEON LUCO.doc</t>
  </si>
  <si>
    <t>C:\Users\franc\OneDrive\Documentos\MALENTIN KARIME\BANCO CREDITO\FER LORCA en ROSITA (Rosita)\PET\BERNARDA GALLEGUILLOS PIZARRO.doc</t>
  </si>
  <si>
    <t>C:\Users\franc\OneDrive\Documentos\MALENTIN KARIME\BANCO CREDITO\FER LORCA en ROSITA (Rosita)\PET\ANA TELLO VEGA.doc</t>
  </si>
  <si>
    <t>C:\Users\franc\OneDrive\Documentos\MALENTIN KARIME\BANCO CREDITO\FER LORCA en ROSITA (Rosita)\PET\ALEXIS ARANEDA CARES.doc</t>
  </si>
  <si>
    <t>C:\Users\franc\OneDrive\Documentos\MALENTIN KARIME\BANCO CREDITO\FER LORCA en ROSITA (Rosita)\PET\ALEXANDRA ARAYA ROJAS.doc</t>
  </si>
  <si>
    <t>C:\Users\franc\OneDrive\Documentos\MALENTIN KARIME\BANCO CREDITO\FER LORCA en ROSITA (Rosita)\PET\ALEX LOPEZ CORTES.doc</t>
  </si>
  <si>
    <t>C:\Users\franc\OneDrive\Documentos\MALENTIN KARIME\BANCO CREDITO\FER LORCA en ROSITA (Rosita)\MUTUOS\Mutuo a la vista a Patricio Polanco Dabed.doc</t>
  </si>
  <si>
    <t>C:\Users\franc\OneDrive\Documentos\MALENTIN KARIME\BANCO CREDITO\FER LORCA en ROSITA (Rosita)\MUTUOS\Mutuo a la vista a Julio Polanco Dabed.doc</t>
  </si>
  <si>
    <t>C:\Users\franc\OneDrive\Documentos\MALENTIN KARIME\BANCO CREDITO\FER LORCA en ROSITA (Rosita)\MUTUOS\MARCELO MEYER ERWIN RIEDEL.doc</t>
  </si>
  <si>
    <t>C:\Users\franc\OneDrive\Documentos\MALENTIN KARIME\BANCO CREDITO\FER LORCA en ROSITA (Rosita)\MUTUOS\LUIS CARRASCO.doc</t>
  </si>
  <si>
    <t>C:\Users\franc\OneDrive\Documentos\MALENTIN KARIME\BANCO CREDITO\FER LORCA en ROSITA (Rosita)\MUTUOS\02. Mutuo Dalmacia a Digna Castillo.doc</t>
  </si>
  <si>
    <t>C:\Users\franc\OneDrive\Documentos\MALENTIN KARIME\BANCO CREDITO\FER LORCA en ROSITA (Rosita)\MUNICIPALIDAD OVALLE\PROT. CONTRATOS\VEHICULOS\YANKO PINTO ARAYA.doc</t>
  </si>
  <si>
    <t>C:\Users\franc\OneDrive\Documentos\MALENTIN KARIME\BANCO CREDITO\FER LORCA en ROSITA (Rosita)\MUNICIPALIDAD OVALLE\PROT. CONTRATOS\VEHICULOS\TEODORO.doc</t>
  </si>
  <si>
    <t>C:\Users\franc\OneDrive\Documentos\MALENTIN KARIME\BANCO CREDITO\FER LORCA en ROSITA (Rosita)\MUNICIPALIDAD OVALLE\PROT. CONTRATOS\VEHICULOS\TEODORO AGUIRRE.doc</t>
  </si>
  <si>
    <t>C:\Users\franc\OneDrive\Documentos\MALENTIN KARIME\BANCO CREDITO\FER LORCA en ROSITA (Rosita)\MUNICIPALIDAD OVALLE\PROT. CONTRATOS\VEHICULOS\PEDRO CORTES ESQUIVEL.doc</t>
  </si>
  <si>
    <t>C:\Users\franc\OneDrive\Documentos\MALENTIN KARIME\BANCO CREDITO\FER LORCA en ROSITA (Rosita)\MUNICIPALIDAD OVALLE\PROT. CONTRATOS\VEHICULOS\MARITZA RAMIREZ.doc</t>
  </si>
  <si>
    <t>C:\Users\franc\OneDrive\Documentos\MALENTIN KARIME\BANCO CREDITO\FER LORCA en ROSITA (Rosita)\MUNICIPALIDAD OVALLE\PROT. CONTRATOS\VEHICULOS\MARINO GONZALEZ GONZALEZ.doc</t>
  </si>
  <si>
    <t>C:\Users\franc\OneDrive\Documentos\MALENTIN KARIME\BANCO CREDITO\FER LORCA en ROSITA (Rosita)\MUNICIPALIDAD OVALLE\PROT. CONTRATOS\VEHICULOS\LUIS PASTEN. ALC. SUBR. Y RENTERIA protocolizados.doc</t>
  </si>
  <si>
    <t>C:\Users\franc\OneDrive\Documentos\MALENTIN KARIME\BANCO CREDITO\FER LORCA en ROSITA (Rosita)\MUNICIPALIDAD OVALLE\PROT. CONTRATOS\VEHICULOS\LUIS CONTRERAS.doc</t>
  </si>
  <si>
    <t>C:\Users\franc\OneDrive\Documentos\MALENTIN KARIME\BANCO CREDITO\FER LORCA en ROSITA (Rosita)\MUNICIPALIDAD OVALLE\PROT. CONTRATOS\VEHICULOS\LUIS ANTONIO LARRONDO.doc</t>
  </si>
  <si>
    <t>C:\Users\franc\OneDrive\Documentos\MALENTIN KARIME\BANCO CREDITO\FER LORCA en ROSITA (Rosita)\MUNICIPALIDAD OVALLE\PROT. CONTRATOS\VEHICULOS\LORENZO ORMEÑO FLORES.doc</t>
  </si>
  <si>
    <t>C:\Users\franc\OneDrive\Documentos\MALENTIN KARIME\BANCO CREDITO\FER LORCA en ROSITA (Rosita)\MUNICIPALIDAD OVALLE\PROT. CONTRATOS\VEHICULOS\HERNAN BOLVARAN.doc</t>
  </si>
  <si>
    <t>C:\Users\franc\OneDrive\Documentos\MALENTIN KARIME\BANCO CREDITO\FER LORCA en ROSITA (Rosita)\MUNICIPALIDAD OVALLE\PROT. CONTRATOS\VEHICULOS\HERMAN ROJAS.doc</t>
  </si>
  <si>
    <t>C:\Users\franc\OneDrive\Documentos\MALENTIN KARIME\BANCO CREDITO\FER LORCA en ROSITA (Rosita)\MUNICIPALIDAD OVALLE\PROT. CONTRATOS\VEHICULOS\ALCALDESA Y RENTERIA.doc</t>
  </si>
  <si>
    <t>C:\Users\franc\OneDrive\Documentos\MALENTIN KARIME\BANCO CREDITO\FER LORCA en ROSITA (Rosita)\MUNICIPALIDAD OVALLE\PROT. CONTRATOS\VEHICULOS\ALCALDESA Y RENTERIA.- MARITZA RAMIREZ.doc</t>
  </si>
  <si>
    <t>C:\Users\franc\OneDrive\Documentos\MALENTIN KARIME\BANCO CREDITO\FER LORCA en ROSITA (Rosita)\MUNICIPALIDAD OVALLE\PROT. CONTRATOS\VEHICULOS\ALCALDESA Y RENTERIA protocolizados.doc</t>
  </si>
  <si>
    <t>C:\Users\franc\OneDrive\Documentos\MALENTIN KARIME\BANCO CREDITO\FER LORCA en ROSITA (Rosita)\MUNICIPALIDAD OVALLE\PROT. CONTRATOS\OLGA PIZARRO\PROP. OLGA TORO E.I.R.L..doc</t>
  </si>
  <si>
    <t>C:\Users\franc\OneDrive\Documentos\MALENTIN KARIME\BANCO CREDITO\FER LORCA en ROSITA (Rosita)\MUNICIPALIDAD OVALLE\PROT. CONTRATOS\OLGA PIZARRO\PROP. OLGA TORO E.I.R.L.- IV.doc</t>
  </si>
  <si>
    <t>C:\Users\franc\OneDrive\Documentos\MALENTIN KARIME\BANCO CREDITO\FER LORCA en ROSITA (Rosita)\MUNICIPALIDAD OVALLE\PROT. CONTRATOS\OLGA PIZARRO\PROP. OLGA TORO E.I.R.L.- III.doc</t>
  </si>
  <si>
    <t>C:\Users\franc\OneDrive\Documentos\MALENTIN KARIME\BANCO CREDITO\FER LORCA en ROSITA (Rosita)\MUNICIPALIDAD OVALLE\PROT. CONTRATOS\OLGA PIZARRO\PROP. OLGA TORO E.I.R.L.- II.doc</t>
  </si>
  <si>
    <t>C:\Users\franc\OneDrive\Documentos\MALENTIN KARIME\BANCO CREDITO\FER LORCA en ROSITA (Rosita)\MUNICIPALIDAD OVALLE\PROT. CONTRATOS\OLGA PIZARRO\ALCALDESA Y RENTERIA.doc</t>
  </si>
  <si>
    <t>C:\Users\franc\OneDrive\Documentos\MALENTIN KARIME\BANCO CREDITO\FER LORCA en ROSITA (Rosita)\MUNICIPALIDAD OVALLE\PROT. CONTRATOS\OLGA PIZARRO\ALCALDESA Y RENTERIA, sin protocolizacion.doc</t>
  </si>
  <si>
    <t>C:\Users\franc\OneDrive\Documentos\MALENTIN KARIME\BANCO CREDITO\FER LORCA en ROSITA (Rosita)\MUNICIPALIDAD OVALLE\PROT. CONTRATOS\SOC. CONSTRUCTORA BRAC.doc</t>
  </si>
  <si>
    <t>C:\Users\franc\OneDrive\Documentos\MALENTIN KARIME\BANCO CREDITO\FER LORCA en ROSITA (Rosita)\MUNICIPALIDAD OVALLE\PROT. CONTRATOS\SOC. CONSTRUCTORA BRAC.- NOVIEMBRE.doc</t>
  </si>
  <si>
    <t>C:\Users\franc\OneDrive\Documentos\MALENTIN KARIME\BANCO CREDITO\FER LORCA en ROSITA (Rosita)\MUNICIPALIDAD OVALLE\PROT. CONTRATOS\SOC. CONSTRUCTORA BRAC.- marzo.-.doc</t>
  </si>
  <si>
    <t>C:\Users\franc\OneDrive\Documentos\MALENTIN KARIME\BANCO CREDITO\FER LORCA en ROSITA (Rosita)\MUNICIPALIDAD OVALLE\PROT. CONTRATOS\PROTOCOLIZACION CTO. SOC. SERVIC. INFORMATICOS.-.doc</t>
  </si>
  <si>
    <t>C:\Users\franc\OneDrive\Documentos\MALENTIN KARIME\BANCO CREDITO\FER LORCA en ROSITA (Rosita)\MUNICIPALIDAD OVALLE\PROT. CONTRATOS\PROTOCOLIZACION CTO. SOC. SERVIC. INFORMATICOS.- 54.doc</t>
  </si>
  <si>
    <t>C:\Users\franc\OneDrive\Documentos\MALENTIN KARIME\BANCO CREDITO\FER LORCA en ROSITA (Rosita)\MUNICIPALIDAD OVALLE\PROT. CONTRATOS\PROTOCOLIZACION CONTRATO ZAMORA CONSULTORES LTDA.-.doc</t>
  </si>
  <si>
    <t>C:\Users\franc\OneDrive\Documentos\MALENTIN KARIME\BANCO CREDITO\FER LORCA en ROSITA (Rosita)\MUNICIPALIDAD OVALLE\PROT. CONTRATOS\PROTOCOLIZACION CONTRATO MARITZA RAMIREZ.doc</t>
  </si>
  <si>
    <t>C:\Users\franc\OneDrive\Documentos\MALENTIN KARIME\BANCO CREDITO\FER LORCA en ROSITA (Rosita)\MUNICIPALIDAD OVALLE\PROT. CONTRATOS\PROTOCOLIZACION CONTRATO MARITZA RAMIREZ  II.doc</t>
  </si>
  <si>
    <t>C:\Users\franc\OneDrive\Documentos\MALENTIN KARIME\BANCO CREDITO\FER LORCA en ROSITA (Rosita)\MUNICIPALIDAD OVALLE\PROT. CONTRATOS\PROTOCOLIZACION CONTRATO CIRO BERRIOS.doc</t>
  </si>
  <si>
    <t>C:\Users\franc\OneDrive\Documentos\MALENTIN KARIME\BANCO CREDITO\FER LORCA en ROSITA (Rosita)\MUNICIPALIDAD OVALLE\PROT. CONTRATOS\PROTOCOLIZACION CONTRATO CIRO BERRIOS.- OTRO.doc</t>
  </si>
  <si>
    <t>C:\Users\franc\OneDrive\Documentos\MALENTIN KARIME\BANCO CREDITO\FER LORCA en ROSITA (Rosita)\MUNICIPALIDAD OVALLE\PROT. CONTRATOS\PROTOCOLIZACION CONTRATO CARLOS ROJAS.doc</t>
  </si>
  <si>
    <t>C:\Users\franc\OneDrive\Documentos\MALENTIN KARIME\BANCO CREDITO\FER LORCA en ROSITA (Rosita)\MUNICIPALIDAD OVALLE\PROT. CONTRATOS\PROTOCOLIZACION CONTRATO ALFREDO MOYA.doc</t>
  </si>
  <si>
    <t>C:\Users\franc\OneDrive\Documentos\MALENTIN KARIME\BANCO CREDITO\FER LORCA en ROSITA (Rosita)\MUNICIPALIDAD OVALLE\PROT. CONTRATOS\PROP. ELIANA CORTES PIZARRO.doc</t>
  </si>
  <si>
    <t>C:\Users\franc\OneDrive\Documentos\MALENTIN KARIME\BANCO CREDITO\FER LORCA en ROSITA (Rosita)\MUNICIPALIDAD OVALLE\PROT. CONTRATOS\LUIS PASTE.- SUBROGANTE. RENTERIA Y CONSTR. BRAC.doc</t>
  </si>
  <si>
    <t>C:\Users\franc\OneDrive\Documentos\MALENTIN KARIME\BANCO CREDITO\FER LORCA en ROSITA (Rosita)\MUNICIPALIDAD OVALLE\PROT. CONTRATOS\LOBOS - RENTERIA Y CONSTR. BRAC.-.doc</t>
  </si>
  <si>
    <t>C:\Users\franc\OneDrive\Documentos\MALENTIN KARIME\BANCO CREDITO\FER LORCA en ROSITA (Rosita)\MUNICIPALIDAD OVALLE\PROT. CONTRATOS\FIRMAS.AUT.doc</t>
  </si>
  <si>
    <t>C:\Users\franc\OneDrive\Documentos\MALENTIN KARIME\BANCO CREDITO\FER LORCA en ROSITA (Rosita)\MUNICIPALIDAD OVALLE\PROT. CONTRATOS\FIRMAS. dos.doc</t>
  </si>
  <si>
    <t>C:\Users\franc\OneDrive\Documentos\MALENTIN KARIME\BANCO CREDITO\FER LORCA en ROSITA (Rosita)\MUNICIPALIDAD OVALLE\PROT. CONTRATOS\FIRMA CON DON GLEN FLORES.doc</t>
  </si>
  <si>
    <t>C:\Users\franc\OneDrive\Documentos\MALENTIN KARIME\BANCO CREDITO\FER LORCA en ROSITA (Rosita)\MUNICIPALIDAD OVALLE\PROT. CONTRATOS\FIRMA CON DON GLEN FLORES 2º.doc</t>
  </si>
  <si>
    <t>C:\Users\franc\OneDrive\Documentos\MALENTIN KARIME\BANCO CREDITO\FER LORCA en ROSITA (Rosita)\MUNICIPALIDAD OVALLE\PROT. CONTRATOS\ALCALDESA Y RENTERIA.doc</t>
  </si>
  <si>
    <t>C:\Users\franc\OneDrive\Documentos\MALENTIN KARIME\BANCO CREDITO\FER LORCA en ROSITA (Rosita)\MUNICIPALIDAD OVALLE\PROT. CONTRATOS\ALCALDESA Y RENTERIA.- marzo 2011.doc</t>
  </si>
  <si>
    <t>C:\Users\franc\OneDrive\Documentos\MALENTIN KARIME\BANCO CREDITO\FER LORCA en ROSITA (Rosita)\MUNICIPALIDAD OVALLE\PROT. CONTRATOS\ALCALDESA Y RENTERIA, sin protocolizacion.doc</t>
  </si>
  <si>
    <t>C:\Users\franc\OneDrive\Documentos\MALENTIN KARIME\BANCO CREDITO\FER LORCA en ROSITA (Rosita)\MUNICIPALIDAD OVALLE\PROT. CONTRATOS\.- sin prot..doc</t>
  </si>
  <si>
    <t>C:\Users\franc\OneDrive\Documentos\MALENTIN KARIME\BANCO CREDITO\FER LORCA en ROSITA (Rosita)\MUNICIPALIDAD OVALLE\HUAMALATA\HERMAN OLIVARES.doc</t>
  </si>
  <si>
    <t>C:\Users\franc\OneDrive\Documentos\MALENTIN KARIME\BANCO CREDITO\FER LORCA en ROSITA (Rosita)\MUNICIPALIDAD OVALLE\HUAMALATA\ESCRITURAS TERMINADAS.doc</t>
  </si>
  <si>
    <t>C:\Users\franc\OneDrive\Documentos\MALENTIN KARIME\BANCO CREDITO\FER LORCA en ROSITA (Rosita)\MUNICIPALIDAD OVALLE\HUAMALATA\CERTIFICADO MODELO.doc</t>
  </si>
  <si>
    <t>C:\Users\franc\OneDrive\Documentos\MALENTIN KARIME\BANCO CREDITO\FER LORCA en ROSITA (Rosita)\MUNICIPALIDAD OVALLE\FIRMAS\JOSE RICALDE BORBOLLA.doc</t>
  </si>
  <si>
    <t>C:\Users\franc\OneDrive\Documentos\MALENTIN KARIME\BANCO CREDITO\FER LORCA en ROSITA (Rosita)\MUNICIPALIDAD OVALLE\FIRMAS\FIRMAS DE CONTRATO VIVIENDA.doc</t>
  </si>
  <si>
    <t>C:\Users\franc\OneDrive\Documentos\MALENTIN KARIME\BANCO CREDITO\FER LORCA en ROSITA (Rosita)\MUNICIPALIDAD OVALLE\FIRMAS\FIRMAS DE CONTRATO VIVIENDA. SIN PROTOCOLO.doc</t>
  </si>
  <si>
    <t>C:\Users\franc\OneDrive\Documentos\MALENTIN KARIME\BANCO CREDITO\FER LORCA en ROSITA (Rosita)\MUNICIPALIDAD OVALLE\CONTRATO COMITE VILLA ESPERANZA\PTOR. VILLA ESPERANZA.doc</t>
  </si>
  <si>
    <t>C:\Users\franc\OneDrive\Documentos\MALENTIN KARIME\BANCO CREDITO\FER LORCA en ROSITA (Rosita)\MUNICIPALIDAD OVALLE\ALZAMIENTOS\LUIS PASTEN GONZALEZ.doc</t>
  </si>
  <si>
    <t>C:\Users\franc\OneDrive\Documentos\MALENTIN KARIME\BANCO CREDITO\FER LORCA en ROSITA (Rosita)\MUNICIPALIDAD OVALLE\DECRETO EXENTO DOMINGA CORTES.doc</t>
  </si>
  <si>
    <t>C:\Users\franc\OneDrive\Documentos\MALENTIN KARIME\BANCO CREDITO\FER LORCA en ROSITA (Rosita)\MUNICIPALIDAD OVALLE\AUTORIZACION FIRMAS....CON COMITE EBENEZER.doc</t>
  </si>
  <si>
    <t>C:\Users\franc\OneDrive\Documentos\MALENTIN KARIME\BANCO CREDITO\FER LORCA en ROSITA (Rosita)\MUNICIP. RIO HURTADO\MEJORAMIENTO ESC. BASICA DE PICHASCA.doc</t>
  </si>
  <si>
    <t>C:\Users\franc\OneDrive\Documentos\MALENTIN KARIME\BANCO CREDITO\FER LORCA en ROSITA (Rosita)\MUNICIP. RIO HURTADO\CONTRATO DE EJECUCION DE OBRAS.doc</t>
  </si>
  <si>
    <t>C:\Users\franc\OneDrive\Documentos\MALENTIN KARIME\BANCO CREDITO\FER LORCA en ROSITA (Rosita)\MITSUI MUSALEM\MODELO MANDATO PRIVADO.doc</t>
  </si>
  <si>
    <t>C:\Users\franc\OneDrive\Documentos\MALENTIN KARIME\BANCO CREDITO\FER LORCA en ROSITA (Rosita)\MITSUI MUSALEM\Autorizo la firma MITSUI.doc</t>
  </si>
  <si>
    <t>C:\Users\franc\OneDrive\Documentos\MALENTIN KARIME\BANCO CREDITO\FER LORCA en ROSITA (Rosita)\MINAS\NOVIEMBRE\LOS  BARRIALES.doc</t>
  </si>
  <si>
    <t>C:\Users\franc\OneDrive\Documentos\MALENTIN KARIME\BANCO CREDITO\FER LORCA en ROSITA (Rosita)\MINAS\NOVIEMBRE\DON MANUEL.doc</t>
  </si>
  <si>
    <t>C:\Users\franc\OneDrive\Documentos\MALENTIN KARIME\BANCO CREDITO\FER LORCA en ROSITA (Rosita)\MINAS\NOVIEMBRE\DON GUSTAVO.doc</t>
  </si>
  <si>
    <t>C:\Users\franc\OneDrive\Documentos\MALENTIN KARIME\BANCO CREDITO\FER LORCA en ROSITA (Rosita)\MINAS\NOVIEMBRE\DON DOMINGO.doc</t>
  </si>
  <si>
    <t>C:\Users\franc\OneDrive\Documentos\MALENTIN KARIME\BANCO CREDITO\FER LORCA en ROSITA (Rosita)\MINAS\NOVIEMBRE\DON CARLOS 1.doc</t>
  </si>
  <si>
    <t>C:\Users\franc\OneDrive\Documentos\MALENTIN KARIME\BANCO CREDITO\FER LORCA en ROSITA (Rosita)\MINAS\NOVIEMBRE\CORRAL UNO.- 3º JUZGADO.doc</t>
  </si>
  <si>
    <t>C:\Users\franc\OneDrive\Documentos\MALENTIN KARIME\BANCO CREDITO\FER LORCA en ROSITA (Rosita)\MINAS\ENERO 2011\Borrador_PCV_Mina_La_Reina(v-2).doc</t>
  </si>
  <si>
    <t>C:\Users\franc\OneDrive\Documentos\MALENTIN KARIME\BANCO CREDITO\FER LORCA en ROSITA (Rosita)\MINAS\ENERO 2011\Borrador_PCV_Mina_La_Reina(v-2).- OTRO REPERTORIO.doc</t>
  </si>
  <si>
    <t>C:\Users\franc\OneDrive\Documentos\MALENTIN KARIME\BANCO CREDITO\FER LORCA en ROSITA (Rosita)\MINAS\ENERO 2011\Borrador_PCV_Mina_La_Reina(v-2).- minuta.doc</t>
  </si>
  <si>
    <t>C:\Users\franc\OneDrive\Documentos\MALENTIN KARIME\BANCO CREDITO\FER LORCA en ROSITA (Rosita)\MINAS\ULTIMO GUERRERO.doc</t>
  </si>
  <si>
    <t>C:\Users\franc\OneDrive\Documentos\MALENTIN KARIME\BANCO CREDITO\FER LORCA en ROSITA (Rosita)\MINAS\SENTENCIA ENTROPIA 1 AL 10.doc</t>
  </si>
  <si>
    <t>C:\Users\franc\OneDrive\Documentos\MALENTIN KARIME\BANCO CREDITO\FER LORCA en ROSITA (Rosita)\MINAS\SAMIGUEO 1 AL 20....3ºJ..doc</t>
  </si>
  <si>
    <t>C:\Users\franc\OneDrive\Documentos\MALENTIN KARIME\BANCO CREDITO\FER LORCA en ROSITA (Rosita)\MINAS\QUISCO 43 -   TERCER JUZGADO.doc</t>
  </si>
  <si>
    <t>C:\Users\franc\OneDrive\Documentos\MALENTIN KARIME\BANCO CREDITO\FER LORCA en ROSITA (Rosita)\MINAS\PARINCOTA UNO (SEGUNDO JUZGADO).doc</t>
  </si>
  <si>
    <t>C:\Users\franc\OneDrive\Documentos\MALENTIN KARIME\BANCO CREDITO\FER LORCA en ROSITA (Rosita)\MINAS\PARINCOTA DOS (SEGUNDO JUZGADO).doc</t>
  </si>
  <si>
    <t>C:\Users\franc\OneDrive\Documentos\MALENTIN KARIME\BANCO CREDITO\FER LORCA en ROSITA (Rosita)\MINAS\MODELO MENSURA.doc</t>
  </si>
  <si>
    <t>C:\Users\franc\OneDrive\Documentos\MALENTIN KARIME\BANCO CREDITO\FER LORCA en ROSITA (Rosita)\MINAS\MINA LAMPERA, ALB.CERDA.1ºJUZGADO.doc</t>
  </si>
  <si>
    <t>C:\Users\franc\OneDrive\Documentos\MALENTIN KARIME\BANCO CREDITO\FER LORCA en ROSITA (Rosita)\MINAS\MINA LA ONDA 1 AL 10 2ºJUZGADO.doc</t>
  </si>
  <si>
    <t>C:\Users\franc\OneDrive\Documentos\MALENTIN KARIME\BANCO CREDITO\FER LORCA en ROSITA (Rosita)\MINAS\MINA CARRIZALINA UNA AL VEINTE.doc</t>
  </si>
  <si>
    <t>C:\Users\franc\OneDrive\Documentos\MALENTIN KARIME\BANCO CREDITO\FER LORCA en ROSITA (Rosita)\MINAS\MENSURA ENTROPIA I AL 10.doc</t>
  </si>
  <si>
    <t>C:\Users\franc\OneDrive\Documentos\MALENTIN KARIME\BANCO CREDITO\FER LORCA en ROSITA (Rosita)\MINAS\MANIFESTACION M. CULLANA 1 AL 40.doc</t>
  </si>
  <si>
    <t>C:\Users\franc\OneDrive\Documentos\MALENTIN KARIME\BANCO CREDITO\FER LORCA en ROSITA (Rosita)\MINAS\MANIFESTACION LA ENVIDIOSA DEL  1 AL 20. 1º JUZG..doc</t>
  </si>
  <si>
    <t>C:\Users\franc\OneDrive\Documentos\MALENTIN KARIME\BANCO CREDITO\FER LORCA en ROSITA (Rosita)\MINAS\MANIFESTACION  MINA REYES 1º JUZG..doc</t>
  </si>
  <si>
    <t>C:\Users\franc\OneDrive\Documentos\MALENTIN KARIME\BANCO CREDITO\FER LORCA en ROSITA (Rosita)\MINAS\MANIFESTACION  LA CHUQUI CHICA 2º JUZG..doc</t>
  </si>
  <si>
    <t>C:\Users\franc\OneDrive\Documentos\MALENTIN KARIME\BANCO CREDITO\FER LORCA en ROSITA (Rosita)\MINAS\MANIFEST.  AL 20. 2º JUZG..doc</t>
  </si>
  <si>
    <t>C:\Users\franc\OneDrive\Documentos\MALENTIN KARIME\BANCO CREDITO\FER LORCA en ROSITA (Rosita)\MINAS\MANIF. STA. ANITA 1 AL 2.- 2º JUZGADO.doc</t>
  </si>
  <si>
    <t>C:\Users\franc\OneDrive\Documentos\MALENTIN KARIME\BANCO CREDITO\FER LORCA en ROSITA (Rosita)\MINAS\LA PAISANA  1 AL 20. ANG.SUCK..doc</t>
  </si>
  <si>
    <t>C:\Users\franc\OneDrive\Documentos\MALENTIN KARIME\BANCO CREDITO\FER LORCA en ROSITA (Rosita)\MINAS\LA NONITA 1 AL 9. ALB.CERDA. C. 2º JUZG..doc</t>
  </si>
  <si>
    <t>C:\Users\franc\OneDrive\Documentos\MALENTIN KARIME\BANCO CREDITO\FER LORCA en ROSITA (Rosita)\MINAS\LA MORENA 1 AL 20 ALBERTO CERDA CERDA SEGUNDO JUZGADO.doc</t>
  </si>
  <si>
    <t>C:\Users\franc\OneDrive\Documentos\MALENTIN KARIME\BANCO CREDITO\FER LORCA en ROSITA (Rosita)\MINAS\LA HUANACA 1 AL 10-     TERCER JDO   JORGE ROMO.doc</t>
  </si>
  <si>
    <t>C:\Users\franc\OneDrive\Documentos\MALENTIN KARIME\BANCO CREDITO\FER LORCA en ROSITA (Rosita)\MINAS\LA ESPERANZA 1 AL 8.doc</t>
  </si>
  <si>
    <t>C:\Users\franc\OneDrive\Documentos\MALENTIN KARIME\BANCO CREDITO\FER LORCA en ROSITA (Rosita)\MINAS\LA DESPRECIADA 1 AL 5     TERCER JDO   JORGE ROMO.doc</t>
  </si>
  <si>
    <t>C:\Users\franc\OneDrive\Documentos\MALENTIN KARIME\BANCO CREDITO\FER LORCA en ROSITA (Rosita)\MINAS\LA ATUTEMA 1 AL 3     TERCER JDO   JORGE ROMO.doc</t>
  </si>
  <si>
    <t>C:\Users\franc\OneDrive\Documentos\MALENTIN KARIME\BANCO CREDITO\FER LORCA en ROSITA (Rosita)\MINAS\LA AMARILLA DE LA COIPA UNA AL VEINTE (SEGUNDO JUZGADO).doc</t>
  </si>
  <si>
    <t>C:\Users\franc\OneDrive\Documentos\MALENTIN KARIME\BANCO CREDITO\FER LORCA en ROSITA (Rosita)\MINAS\GITANILLA 1 AL 5.  2º JUZG. ANGEL. SUCKELL.doc</t>
  </si>
  <si>
    <t>C:\Users\franc\OneDrive\Documentos\MALENTIN KARIME\BANCO CREDITO\FER LORCA en ROSITA (Rosita)\MINAS\CUCHILLA BLANCA.doc</t>
  </si>
  <si>
    <t>C:\Users\franc\OneDrive\Documentos\MALENTIN KARIME\BANCO CREDITO\FER LORCA en ROSITA (Rosita)\MINAS\CUCHILLA BLANCA DOS.doc</t>
  </si>
  <si>
    <t>C:\Users\franc\OneDrive\Documentos\MALENTIN KARIME\BANCO CREDITO\FER LORCA en ROSITA (Rosita)\MINAS\CASCARITA  1 AL 91.doc</t>
  </si>
  <si>
    <t>C:\Users\franc\OneDrive\Documentos\MALENTIN KARIME\BANCO CREDITO\FER LORCA en ROSITA (Rosita)\MARITZA RETAMAL\RESCILIACIÓN PROMESA DE VENTA.doc</t>
  </si>
  <si>
    <t>C:\Users\franc\OneDrive\Documentos\MALENTIN KARIME\BANCO CREDITO\FER LORCA en ROSITA (Rosita)\MANDATOS\YEANETTE SEGURA\VALERICIO OLIVARES CIFUENTES.doc</t>
  </si>
  <si>
    <t>C:\Users\franc\OneDrive\Documentos\MALENTIN KARIME\BANCO CREDITO\FER LORCA en ROSITA (Rosita)\MANDATOS\YEANETTE SEGURA\MTO. ROSA GALLEGUILLOS.doc</t>
  </si>
  <si>
    <t>C:\Users\franc\OneDrive\Documentos\MALENTIN KARIME\BANCO CREDITO\FER LORCA en ROSITA (Rosita)\MANDATOS\YEANETTE SEGURA\CONTRATO ROSA GALLEGUILLOS[1].doc</t>
  </si>
  <si>
    <t>C:\Users\franc\OneDrive\Documentos\MALENTIN KARIME\BANCO CREDITO\FER LORCA en ROSITA (Rosita)\MANDATOS\YEANETTE SEGURA\CONTRATO OLIVARES[1].doc</t>
  </si>
  <si>
    <t>C:\Users\franc\OneDrive\Documentos\MALENTIN KARIME\BANCO CREDITO\FER LORCA en ROSITA (Rosita)\MANDATOS\YEANETTE SEGURA\CONTRATO GALLEGUILLOS[1].doc</t>
  </si>
  <si>
    <t>C:\Users\franc\OneDrive\Documentos\MALENTIN KARIME\BANCO CREDITO\FER LORCA en ROSITA (Rosita)\MANDATOS\VENDER\TOMAS MALEBRAN A MARIA CASTAÑEDA (VENTA=.doc</t>
  </si>
  <si>
    <t>C:\Users\franc\OneDrive\Documentos\MALENTIN KARIME\BANCO CREDITO\FER LORCA en ROSITA (Rosita)\MANDATOS\VENDER\ROSA VILLALOBOS E HIJOS  A VILMA VILLALOBOS.- SEPT. 2010.doc</t>
  </si>
  <si>
    <t>C:\Users\franc\OneDrive\Documentos\MALENTIN KARIME\BANCO CREDITO\FER LORCA en ROSITA (Rosita)\MANDATOS\VENDER\PEDRO ALVAREZ A AMELIA ALVAREZ.- COMPRAR.doc</t>
  </si>
  <si>
    <t>C:\Users\franc\OneDrive\Documentos\MALENTIN KARIME\BANCO CREDITO\FER LORCA en ROSITA (Rosita)\MANDATOS\VENDER\PATRICIO CONTRERAS A JOSE CONTRERAS.doc</t>
  </si>
  <si>
    <t>C:\Users\franc\OneDrive\Documentos\MALENTIN KARIME\BANCO CREDITO\FER LORCA en ROSITA (Rosita)\MANDATOS\VENDER\PABLO CORTES.- PACHACHA.doc</t>
  </si>
  <si>
    <t>C:\Users\franc\OneDrive\Documentos\MALENTIN KARIME\BANCO CREDITO\FER LORCA en ROSITA (Rosita)\MANDATOS\VENDER\MARTA LOBOS.- ABRIL 2011.doc</t>
  </si>
  <si>
    <t>C:\Users\franc\OneDrive\Documentos\MALENTIN KARIME\BANCO CREDITO\FER LORCA en ROSITA (Rosita)\MANDATOS\VENDER\LILIAN MABEL  Y ESPOSO A SU HERMANA (DERECHOS).doc</t>
  </si>
  <si>
    <t>C:\Users\franc\OneDrive\Documentos\MALENTIN KARIME\BANCO CREDITO\FER LORCA en ROSITA (Rosita)\MANDATOS\VENDER\JILIBERTO GONZALEZ A  CAMILA ROJAS.doc</t>
  </si>
  <si>
    <t>C:\Users\franc\OneDrive\Documentos\MALENTIN KARIME\BANCO CREDITO\FER LORCA en ROSITA (Rosita)\MANDATOS\VENDER\HUMBERTO GONZALEZ A GRIMALDINA ARAYA.doc</t>
  </si>
  <si>
    <t>C:\Users\franc\OneDrive\Documentos\MALENTIN KARIME\BANCO CREDITO\FER LORCA en ROSITA (Rosita)\MANDATOS\VENDER\HERIBERTO MARIN.. Y AUT. CONYUGAL.doc</t>
  </si>
  <si>
    <t>C:\Users\franc\OneDrive\Documentos\MALENTIN KARIME\BANCO CREDITO\FER LORCA en ROSITA (Rosita)\MANDATOS\VENDER\DEMETRIO VILLALOBOS A VILMA VILLALOBOS.- SEPT. 2010.doc</t>
  </si>
  <si>
    <t>C:\Users\franc\OneDrive\Documentos\MALENTIN KARIME\BANCO CREDITO\FER LORCA en ROSITA (Rosita)\MANDATOS\VENDER\CRISTIAN OSSANDON  A LUIS OSSANDON.doc</t>
  </si>
  <si>
    <t>C:\Users\franc\OneDrive\Documentos\MALENTIN KARIME\BANCO CREDITO\FER LORCA en ROSITA (Rosita)\MANDATOS\VENDER\ANA BARRAZA Y OTROS A ANA MARIA CRUZ BARRAZA.doc</t>
  </si>
  <si>
    <t>C:\Users\franc\OneDrive\Documentos\MALENTIN KARIME\BANCO CREDITO\FER LORCA en ROSITA (Rosita)\MANDATOS\VENDER\ALDO JULIO MUCCONO A ROSSANA MICCONO.doc</t>
  </si>
  <si>
    <t>C:\Users\franc\OneDrive\Documentos\MALENTIN KARIME\BANCO CREDITO\FER LORCA en ROSITA (Rosita)\MANDATOS\VENDER\ALDO JULIO MICCONO A ROSSANA MICCONO.- (DERECHOS).doc</t>
  </si>
  <si>
    <t>C:\Users\franc\OneDrive\Documentos\MALENTIN KARIME\BANCO CREDITO\FER LORCA en ROSITA (Rosita)\MANDATOS\REVOCACION MTOS\ROSA VILLALOBOS.doc</t>
  </si>
  <si>
    <t>C:\Users\franc\OneDrive\Documentos\MALENTIN KARIME\BANCO CREDITO\FER LORCA en ROSITA (Rosita)\MANDATOS\REVOCACION MTOS\LAURA GALLARDO A FELIX ZEPEDA GALLARDO.doc</t>
  </si>
  <si>
    <t>C:\Users\franc\OneDrive\Documentos\MALENTIN KARIME\BANCO CREDITO\FER LORCA en ROSITA (Rosita)\MANDATOS\REVOCACION MTOS\JESUS TORREJON CASTRO.doc</t>
  </si>
  <si>
    <t>C:\Users\franc\OneDrive\Documentos\MALENTIN KARIME\BANCO CREDITO\FER LORCA en ROSITA (Rosita)\MANDATOS\REVOCACION MTOS\GRACIA CARVAJAL Y OTROS A FELIPE BRAVO ALBORNOZ.doc</t>
  </si>
  <si>
    <t>C:\Users\franc\OneDrive\Documentos\MALENTIN KARIME\BANCO CREDITO\FER LORCA en ROSITA (Rosita)\MANDATOS\REVOCACION MTOS\GERMAN ANGEL Y OTROS.doc</t>
  </si>
  <si>
    <t>C:\Users\franc\OneDrive\Documentos\MALENTIN KARIME\BANCO CREDITO\FER LORCA en ROSITA (Rosita)\MANDATOS\REVOCACION MTOS\ERIKA JOFRE LEIVA A CLAUDIO ARD..doc</t>
  </si>
  <si>
    <t>C:\Users\franc\OneDrive\Documentos\MALENTIN KARIME\BANCO CREDITO\FER LORCA en ROSITA (Rosita)\MANDATOS\REVOCACION MTOS\BERTA GUERRERO ARAOS A SERGIO DIAZ.doc</t>
  </si>
  <si>
    <t>C:\Users\franc\OneDrive\Documentos\MALENTIN KARIME\BANCO CREDITO\FER LORCA en ROSITA (Rosita)\MANDATOS\REVOCACION MTOS\ANDREA MORENO SANTANDER.doc</t>
  </si>
  <si>
    <t>C:\Users\franc\OneDrive\Documentos\MALENTIN KARIME\BANCO CREDITO\FER LORCA en ROSITA (Rosita)\MANDATOS\REVOCACION MTOS\ALEJANDRO ROBLES A DAMASO CONTRERAS.doc</t>
  </si>
  <si>
    <t>C:\Users\franc\OneDrive\Documentos\MALENTIN KARIME\BANCO CREDITO\FER LORCA en ROSITA (Rosita)\MANDATOS\MINEROS\PATRICIO ARAYA CASTILLO.doc</t>
  </si>
  <si>
    <t>C:\Users\franc\OneDrive\Documentos\MALENTIN KARIME\BANCO CREDITO\FER LORCA en ROSITA (Rosita)\MANDATOS\MINEROS\MINA LA YACO 1 AL 19.doc</t>
  </si>
  <si>
    <t>C:\Users\franc\OneDrive\Documentos\MALENTIN KARIME\BANCO CREDITO\FER LORCA en ROSITA (Rosita)\MANDATOS\MINEROS\LA REGALONA.doc</t>
  </si>
  <si>
    <t>C:\Users\franc\OneDrive\Documentos\MALENTIN KARIME\BANCO CREDITO\FER LORCA en ROSITA (Rosita)\MANDATOS\MINEROS\ANEXO A MANDATO.- la regalona.doc</t>
  </si>
  <si>
    <t>C:\Users\franc\OneDrive\Documentos\MALENTIN KARIME\BANCO CREDITO\FER LORCA en ROSITA (Rosita)\MANDATOS\MINEROS\ADELA RAMIREZ ROJAS.doc</t>
  </si>
  <si>
    <t>C:\Users\franc\OneDrive\Documentos\MALENTIN KARIME\BANCO CREDITO\FER LORCA en ROSITA (Rosita)\MANDATOS\JUDICIAL\VIVIANA ALFARO ULLOA\TERESA PERALTA CASTILLO.doc</t>
  </si>
  <si>
    <t>C:\Users\franc\OneDrive\Documentos\MALENTIN KARIME\BANCO CREDITO\FER LORCA en ROSITA (Rosita)\MANDATOS\JUDICIAL\VIVIANA ALFARO ULLOA\ARAYA ARAYA Y OTROS.- (19 PERSONAS).doc</t>
  </si>
  <si>
    <t>C:\Users\franc\OneDrive\Documentos\MALENTIN KARIME\BANCO CREDITO\FER LORCA en ROSITA (Rosita)\MANDATOS\JUDICIAL\SOC. AGRICOLA ALFALFARES\AGRIC. ALFALFARES A MARIO YAÑEZ VERGARA.doc</t>
  </si>
  <si>
    <t>C:\Users\franc\OneDrive\Documentos\MALENTIN KARIME\BANCO CREDITO\FER LORCA en ROSITA (Rosita)\MANDATOS\JUDICIAL\ROBERTO VEGA\SUSAN CASTILLO.doc</t>
  </si>
  <si>
    <t>C:\Users\franc\OneDrive\Documentos\MALENTIN KARIME\BANCO CREDITO\FER LORCA en ROSITA (Rosita)\MANDATOS\JUDICIAL\ROBERTO VEGA\MANDATO JUDICIAL CORTES JILES SOC..doc</t>
  </si>
  <si>
    <t>C:\Users\franc\OneDrive\Documentos\MALENTIN KARIME\BANCO CREDITO\FER LORCA en ROSITA (Rosita)\MANDATOS\JUDICIAL\ROBERTO VEGA\INVERSIONES ROMERAL.doc</t>
  </si>
  <si>
    <t>C:\Users\franc\OneDrive\Documentos\MALENTIN KARIME\BANCO CREDITO\FER LORCA en ROSITA (Rosita)\MANDATOS\JUDICIAL\ROBERTO VEGA\ELOISA ELORZA E.I.R.L..doc</t>
  </si>
  <si>
    <t>C:\Users\franc\OneDrive\Documentos\MALENTIN KARIME\BANCO CREDITO\FER LORCA en ROSITA (Rosita)\MANDATOS\JUDICIAL\ROBERTO VEGA\BLANCA LEON.doc</t>
  </si>
  <si>
    <t>C:\Users\franc\OneDrive\Documentos\MALENTIN KARIME\BANCO CREDITO\FER LORCA en ROSITA (Rosita)\MANDATOS\JUDICIAL\ROBERTO VEGA\ADOLFO CORTES JILES.doc</t>
  </si>
  <si>
    <t>C:\Users\franc\OneDrive\Documentos\MALENTIN KARIME\BANCO CREDITO\FER LORCA en ROSITA (Rosita)\MANDATOS\JUDICIAL\RICARDO SEPULVEDA\FERNANDO TAPIA HENRIQUEZ.doc</t>
  </si>
  <si>
    <t>C:\Users\franc\OneDrive\Documentos\MALENTIN KARIME\BANCO CREDITO\FER LORCA en ROSITA (Rosita)\MANDATOS\JUDICIAL\RAUL SALAMANCA\GASTON URRUTIA.doc</t>
  </si>
  <si>
    <t>C:\Users\franc\OneDrive\Documentos\MALENTIN KARIME\BANCO CREDITO\FER LORCA en ROSITA (Rosita)\MANDATOS\JUDICIAL\RAUL CORTES\WILSON PLAZA CORTES.doc</t>
  </si>
  <si>
    <t>C:\Users\franc\OneDrive\Documentos\MALENTIN KARIME\BANCO CREDITO\FER LORCA en ROSITA (Rosita)\MANDATOS\JUDICIAL\RAUL CORTES\TOMAS ARAYA Y OTROS.doc</t>
  </si>
  <si>
    <t>C:\Users\franc\OneDrive\Documentos\MALENTIN KARIME\BANCO CREDITO\FER LORCA en ROSITA (Rosita)\MANDATOS\JUDICIAL\PERALTA\MAND-JUD CONGREGACION LA PROVIDENCIA 19-11-2010.DOC</t>
  </si>
  <si>
    <t>C:\Users\franc\OneDrive\Documentos\MALENTIN KARIME\BANCO CREDITO\FER LORCA en ROSITA (Rosita)\MANDATOS\JUDICIAL\PEDRO VARGAS\IVAN LAGUNAS.- MARZO 2011.doc</t>
  </si>
  <si>
    <t>C:\Users\franc\OneDrive\Documentos\MALENTIN KARIME\BANCO CREDITO\FER LORCA en ROSITA (Rosita)\MANDATOS\JUDICIAL\PEDRO GUTIERREZ\PEDRO GONZALEZ.doc</t>
  </si>
  <si>
    <t>C:\Users\franc\OneDrive\Documentos\MALENTIN KARIME\BANCO CREDITO\FER LORCA en ROSITA (Rosita)\MANDATOS\JUDICIAL\PATRICIA MARTINEZ SOTO\GABRIEL BUGUEÑO.doc</t>
  </si>
  <si>
    <t>C:\Users\franc\OneDrive\Documentos\MALENTIN KARIME\BANCO CREDITO\FER LORCA en ROSITA (Rosita)\MANDATOS\JUDICIAL\PATRICIA ALFARO ULLOA\TRANSACCION.doc</t>
  </si>
  <si>
    <t>C:\Users\franc\OneDrive\Documentos\MALENTIN KARIME\BANCO CREDITO\FER LORCA en ROSITA (Rosita)\MANDATOS\JUDICIAL\PATRICIA ALFARO ULLOA\FRIEDLENE AGNES MANN.doc</t>
  </si>
  <si>
    <t>C:\Users\franc\OneDrive\Documentos\MALENTIN KARIME\BANCO CREDITO\FER LORCA en ROSITA (Rosita)\MANDATOS\JUDICIAL\PABLO QUEZADA\LUIS PATRICIO GONZALEZ.doc</t>
  </si>
  <si>
    <t>C:\Users\franc\OneDrive\Documentos\MALENTIN KARIME\BANCO CREDITO\FER LORCA en ROSITA (Rosita)\MANDATOS\JUDICIAL\PABLO CAMPILLAY\YALICA ESPINOZA.doc</t>
  </si>
  <si>
    <t>C:\Users\franc\OneDrive\Documentos\MALENTIN KARIME\BANCO CREDITO\FER LORCA en ROSITA (Rosita)\MANDATOS\JUDICIAL\PABLO CAMPILLAY\RODRIGO ROJAS ZEPEDA.doc</t>
  </si>
  <si>
    <t>C:\Users\franc\OneDrive\Documentos\MALENTIN KARIME\BANCO CREDITO\FER LORCA en ROSITA (Rosita)\MANDATOS\JUDICIAL\PABLO CAMPILLAY\BENITO CASTAÑEDA ZEPEDA.doc</t>
  </si>
  <si>
    <t>C:\Users\franc\OneDrive\Documentos\MALENTIN KARIME\BANCO CREDITO\FER LORCA en ROSITA (Rosita)\MANDATOS\JUDICIAL\PABLO BEMER MALDONADO\ANDREA MORENO SANTANDER.doc</t>
  </si>
  <si>
    <t>C:\Users\franc\OneDrive\Documentos\MALENTIN KARIME\BANCO CREDITO\FER LORCA en ROSITA (Rosita)\MANDATOS\JUDICIAL\MIGUEL SANHUEZA Q\ESROISLO VALDIVIA.doc</t>
  </si>
  <si>
    <t>C:\Users\franc\OneDrive\Documentos\MALENTIN KARIME\BANCO CREDITO\FER LORCA en ROSITA (Rosita)\MANDATOS\JUDICIAL\MIGUEL ANGEL SANHUEZA Q\JOSE FLORES.doc</t>
  </si>
  <si>
    <t>C:\Users\franc\OneDrive\Documentos\MALENTIN KARIME\BANCO CREDITO\FER LORCA en ROSITA (Rosita)\MANDATOS\JUDICIAL\MIGUEL ANGEL SANHUEZA Q\EMELINDA GONZALEZ VALDES.doc</t>
  </si>
  <si>
    <t>C:\Users\franc\OneDrive\Documentos\MALENTIN KARIME\BANCO CREDITO\FER LORCA en ROSITA (Rosita)\MANDATOS\JUDICIAL\MATIAS MUNDACA\PEDRO JOSE ARAYA.doc</t>
  </si>
  <si>
    <t>C:\Users\franc\OneDrive\Documentos\MALENTIN KARIME\BANCO CREDITO\FER LORCA en ROSITA (Rosita)\MANDATOS\JUDICIAL\MARJORIE RAMOS A. SINDIC. TRAB. MIN. ESP\ALEJANDRO ZUÑIOGA.doc</t>
  </si>
  <si>
    <t>C:\Users\franc\OneDrive\Documentos\MALENTIN KARIME\BANCO CREDITO\FER LORCA en ROSITA (Rosita)\MANDATOS\JUDICIAL\MARITZA RETAMAL\LORENZO SIERRA.doc</t>
  </si>
  <si>
    <t>C:\Users\franc\OneDrive\Documentos\MALENTIN KARIME\BANCO CREDITO\FER LORCA en ROSITA (Rosita)\MANDATOS\JUDICIAL\MARITZA RETAMAL\COVALSA.doc</t>
  </si>
  <si>
    <t>C:\Users\franc\OneDrive\Documentos\MALENTIN KARIME\BANCO CREDITO\FER LORCA en ROSITA (Rosita)\MANDATOS\JUDICIAL\MARITZA RETAMAL\ABUELO JORGE ARANCIBIA.doc</t>
  </si>
  <si>
    <t>C:\Users\franc\OneDrive\Documentos\MALENTIN KARIME\BANCO CREDITO\FER LORCA en ROSITA (Rosita)\MANDATOS\JUDICIAL\MARIO YAÑEZ VERGARA\MODELO.doc</t>
  </si>
  <si>
    <t>C:\Users\franc\OneDrive\Documentos\MALENTIN KARIME\BANCO CREDITO\FER LORCA en ROSITA (Rosita)\MANDATOS\JUDICIAL\MARIO YAÑEZ VERGARA\MICAEL GOLDSCHMIDT.doc</t>
  </si>
  <si>
    <t>C:\Users\franc\OneDrive\Documentos\MALENTIN KARIME\BANCO CREDITO\FER LORCA en ROSITA (Rosita)\MANDATOS\JUDICIAL\MARIO YAÑEZ VERGARA\mandadto judicial Micael.doc</t>
  </si>
  <si>
    <t>C:\Users\franc\OneDrive\Documentos\MALENTIN KARIME\BANCO CREDITO\FER LORCA en ROSITA (Rosita)\MANDATOS\JUDICIAL\MARIO BARRIOS ROJAS\SANTIAGO BOSMAN A MARIO BARRIOS.doc</t>
  </si>
  <si>
    <t>C:\Users\franc\OneDrive\Documentos\MALENTIN KARIME\BANCO CREDITO\FER LORCA en ROSITA (Rosita)\MANDATOS\JUDICIAL\MARIO BARRIOS ROJAS\MARTA LOBOS.-.doc</t>
  </si>
  <si>
    <t>C:\Users\franc\OneDrive\Documentos\MALENTIN KARIME\BANCO CREDITO\FER LORCA en ROSITA (Rosita)\MANDATOS\JUDICIAL\MARIO BARRIOS ROJAS\INM. CORRAL NEWMAN LTDA.- JULIO 2010.doc</t>
  </si>
  <si>
    <t>C:\Users\franc\OneDrive\Documentos\MALENTIN KARIME\BANCO CREDITO\FER LORCA en ROSITA (Rosita)\MANDATOS\JUDICIAL\MARIO BARRIOS ROJAS\FAMILIA CUELLAR CAMPUSANO.doc</t>
  </si>
  <si>
    <t>C:\Users\franc\OneDrive\Documentos\MALENTIN KARIME\BANCO CREDITO\FER LORCA en ROSITA (Rosita)\MANDATOS\JUDICIAL\MARIA INES NUÑEZ\MACARENA GARCIA.-.doc</t>
  </si>
  <si>
    <t>C:\Users\franc\OneDrive\Documentos\MALENTIN KARIME\BANCO CREDITO\FER LORCA en ROSITA (Rosita)\MANDATOS\JUDICIAL\MARIA DIAZ HERNANDEZ\viviana quiroga.doc</t>
  </si>
  <si>
    <t>C:\Users\franc\OneDrive\Documentos\MALENTIN KARIME\BANCO CREDITO\FER LORCA en ROSITA (Rosita)\MANDATOS\JUDICIAL\MARIA A. MARIN\LUIS MARIN FERNANDEZ.doc</t>
  </si>
  <si>
    <t>C:\Users\franc\OneDrive\Documentos\MALENTIN KARIME\BANCO CREDITO\FER LORCA en ROSITA (Rosita)\MANDATOS\JUDICIAL\MARCO JURIN\PEDRO MANZANO A MARCO JURIN.doc</t>
  </si>
  <si>
    <t>C:\Users\franc\OneDrive\Documentos\MALENTIN KARIME\BANCO CREDITO\FER LORCA en ROSITA (Rosita)\MANDATOS\JUDICIAL\MARCO JURIN\MARTIN FREDES.doc</t>
  </si>
  <si>
    <t>C:\Users\franc\OneDrive\Documentos\MALENTIN KARIME\BANCO CREDITO\FER LORCA en ROSITA (Rosita)\MANDATOS\JUDICIAL\MARCO JURIN\LUIS CASTILLO LEIVA.doc</t>
  </si>
  <si>
    <t>C:\Users\franc\OneDrive\Documentos\MALENTIN KARIME\BANCO CREDITO\FER LORCA en ROSITA (Rosita)\MANDATOS\JUDICIAL\MARCO JURIN\ARINDO PASTEN.doc</t>
  </si>
  <si>
    <t>C:\Users\franc\OneDrive\Documentos\MALENTIN KARIME\BANCO CREDITO\FER LORCA en ROSITA (Rosita)\MANDATOS\JUDICIAL\MARCELO ALVAREZ RODRIGUEZ\MARIA GUTIERREZ VALENZUELA.doc</t>
  </si>
  <si>
    <t>C:\Users\franc\OneDrive\Documentos\MALENTIN KARIME\BANCO CREDITO\FER LORCA en ROSITA (Rosita)\MANDATOS\JUDICIAL\MANLIO METTIFOGO\MANDATO JUDICIAL MArgarita Lopez.doc</t>
  </si>
  <si>
    <t>C:\Users\franc\OneDrive\Documentos\MALENTIN KARIME\BANCO CREDITO\FER LORCA en ROSITA (Rosita)\MANDATOS\JUDICIAL\LUIS URQUETA\ERIKA JOFRE LEIVA.doc</t>
  </si>
  <si>
    <t>C:\Users\franc\OneDrive\Documentos\MALENTIN KARIME\BANCO CREDITO\FER LORCA en ROSITA (Rosita)\MANDATOS\JUDICIAL\LUIS GALLARDO\ELIANA CORTES CORTES.doc</t>
  </si>
  <si>
    <t>C:\Users\franc\OneDrive\Documentos\MALENTIN KARIME\BANCO CREDITO\FER LORCA en ROSITA (Rosita)\MANDATOS\JUDICIAL\LUIS GALLARDO\CARLOS RAFAEL  CORTES CORTES.doc</t>
  </si>
  <si>
    <t>C:\Users\franc\OneDrive\Documentos\MALENTIN KARIME\BANCO CREDITO\FER LORCA en ROSITA (Rosita)\MANDATOS\JUDICIAL\JULIO POLANCO DABEDÇ\PABLO MUÑOZ PUEBLA.doc</t>
  </si>
  <si>
    <t>C:\Users\franc\OneDrive\Documentos\MALENTIN KARIME\BANCO CREDITO\FER LORCA en ROSITA (Rosita)\MANDATOS\JUDICIAL\JUAN PABLO CORRAL\solange grondin.doc</t>
  </si>
  <si>
    <t>C:\Users\franc\OneDrive\Documentos\MALENTIN KARIME\BANCO CREDITO\FER LORCA en ROSITA (Rosita)\MANDATOS\JUDICIAL\JUAN PABLO CORRAL\SOC. PLASTOCK LTDA.doc</t>
  </si>
  <si>
    <t>C:\Users\franc\OneDrive\Documentos\MALENTIN KARIME\BANCO CREDITO\FER LORCA en ROSITA (Rosita)\MANDATOS\JUDICIAL\JUAN PABLO CORRAL\MAYKE GHOMEZ.- DICIEMBRE.doc</t>
  </si>
  <si>
    <t>C:\Users\franc\OneDrive\Documentos\MALENTIN KARIME\BANCO CREDITO\FER LORCA en ROSITA (Rosita)\MANDATOS\JUDICIAL\JUAN PABLO CORRAL\LORENA CASTILLO.doc</t>
  </si>
  <si>
    <t>C:\Users\franc\OneDrive\Documentos\MALENTIN KARIME\BANCO CREDITO\FER LORCA en ROSITA (Rosita)\MANDATOS\JUDICIAL\JUAN PABLO CORRAL\JAUN PABLO.doc</t>
  </si>
  <si>
    <t>C:\Users\franc\OneDrive\Documentos\MALENTIN KARIME\BANCO CREDITO\FER LORCA en ROSITA (Rosita)\MANDATOS\JUDICIAL\JUAN PABLO CORRAL\ISMAEL ARAYA.- DICIEMBRE.doc</t>
  </si>
  <si>
    <t>C:\Users\franc\OneDrive\Documentos\MALENTIN KARIME\BANCO CREDITO\FER LORCA en ROSITA (Rosita)\MANDATOS\JUDICIAL\JUAN PABLO CORRAL\HERNAN RAMOS.doc</t>
  </si>
  <si>
    <t>C:\Users\franc\OneDrive\Documentos\MALENTIN KARIME\BANCO CREDITO\FER LORCA en ROSITA (Rosita)\MANDATOS\JUDICIAL\JUAN PABLO CORRAL\ELBA GONZALEZ S. a J. P. CORRAL.doc</t>
  </si>
  <si>
    <t>C:\Users\franc\OneDrive\Documentos\MALENTIN KARIME\BANCO CREDITO\FER LORCA en ROSITA (Rosita)\MANDATOS\JUDICIAL\JOSE LUIS CRAIG\TIRSA MANZANO Y OTRO.doc</t>
  </si>
  <si>
    <t>C:\Users\franc\OneDrive\Documentos\MALENTIN KARIME\BANCO CREDITO\FER LORCA en ROSITA (Rosita)\MANDATOS\JUDICIAL\JOSE LUIS CRAIG\ASOCIACION GREMIAL. MIRTHA GALLARDO.doc</t>
  </si>
  <si>
    <t>C:\Users\franc\OneDrive\Documentos\MALENTIN KARIME\BANCO CREDITO\FER LORCA en ROSITA (Rosita)\MANDATOS\JUDICIAL\JORGE FUENZALIDA Y OTROS\JORGE MIRANDA.doc</t>
  </si>
  <si>
    <t>C:\Users\franc\OneDrive\Documentos\MALENTIN KARIME\BANCO CREDITO\FER LORCA en ROSITA (Rosita)\MANDATOS\JUDICIAL\JORGE ALVARADO\ZULEMA ACUÑA ACUÑA.doc</t>
  </si>
  <si>
    <t>C:\Users\franc\OneDrive\Documentos\MALENTIN KARIME\BANCO CREDITO\FER LORCA en ROSITA (Rosita)\MANDATOS\JUDICIAL\JORGE ALVARADO\YENNY PIZARRO.doc</t>
  </si>
  <si>
    <t>C:\Users\franc\OneDrive\Documentos\MALENTIN KARIME\BANCO CREDITO\FER LORCA en ROSITA (Rosita)\MANDATOS\JUDICIAL\JORGE ALVARADO\ROSSANA GARCIA.doc</t>
  </si>
  <si>
    <t>C:\Users\franc\OneDrive\Documentos\MALENTIN KARIME\BANCO CREDITO\FER LORCA en ROSITA (Rosita)\MANDATOS\JUDICIAL\JORGE ALVARADO\ROMAN JOFRE.- 2011.doc</t>
  </si>
  <si>
    <t>C:\Users\franc\OneDrive\Documentos\MALENTIN KARIME\BANCO CREDITO\FER LORCA en ROSITA (Rosita)\MANDATOS\JUDICIAL\JORGE ALVARADO\PATRICIO CARMONA BOLADOS.doc</t>
  </si>
  <si>
    <t>C:\Users\franc\OneDrive\Documentos\MALENTIN KARIME\BANCO CREDITO\FER LORCA en ROSITA (Rosita)\MANDATOS\JUDICIAL\JORGE ALVARADO\NOLVIA CHAVEZ.doc</t>
  </si>
  <si>
    <t>C:\Users\franc\OneDrive\Documentos\MALENTIN KARIME\BANCO CREDITO\FER LORCA en ROSITA (Rosita)\MANDATOS\JUDICIAL\JORGE ALVARADO\NOLVIA CHAVEZ.- MAYO 2010.doc</t>
  </si>
  <si>
    <t>C:\Users\franc\OneDrive\Documentos\MALENTIN KARIME\BANCO CREDITO\FER LORCA en ROSITA (Rosita)\MANDATOS\JUDICIAL\JORGE ALVARADO\MIGUEL GOMEZ.- AGOSTO 2010.doc</t>
  </si>
  <si>
    <t>C:\Users\franc\OneDrive\Documentos\MALENTIN KARIME\BANCO CREDITO\FER LORCA en ROSITA (Rosita)\MANDATOS\JUDICIAL\JORGE ALVARADO\MARTA BRICEÑO.doc</t>
  </si>
  <si>
    <t>C:\Users\franc\OneDrive\Documentos\MALENTIN KARIME\BANCO CREDITO\FER LORCA en ROSITA (Rosita)\MANDATOS\JUDICIAL\JORGE ALVARADO\MARIA MOLINA.doc</t>
  </si>
  <si>
    <t>C:\Users\franc\OneDrive\Documentos\MALENTIN KARIME\BANCO CREDITO\FER LORCA en ROSITA (Rosita)\MANDATOS\JUDICIAL\JORGE ALVARADO\MARCELO PASTEN.- ABRIL 2010.doc</t>
  </si>
  <si>
    <t>C:\Users\franc\OneDrive\Documentos\MALENTIN KARIME\BANCO CREDITO\FER LORCA en ROSITA (Rosita)\MANDATOS\JUDICIAL\JORGE ALVARADO\MARCELA JEREZ A JORGE ALVARADO.doc</t>
  </si>
  <si>
    <t>C:\Users\franc\OneDrive\Documentos\MALENTIN KARIME\BANCO CREDITO\FER LORCA en ROSITA (Rosita)\MANDATOS\JUDICIAL\JORGE ALVARADO\LUCY NAVEA.doc</t>
  </si>
  <si>
    <t>C:\Users\franc\OneDrive\Documentos\MALENTIN KARIME\BANCO CREDITO\FER LORCA en ROSITA (Rosita)\MANDATOS\JUDICIAL\JORGE ALVARADO\JORGE MIRANDA.doc</t>
  </si>
  <si>
    <t>C:\Users\franc\OneDrive\Documentos\MALENTIN KARIME\BANCO CREDITO\FER LORCA en ROSITA (Rosita)\MANDATOS\JUDICIAL\JORGE ALVARADO\JAIME YAÑEZ.- JUNIO 2010.doc</t>
  </si>
  <si>
    <t>C:\Users\franc\OneDrive\Documentos\MALENTIN KARIME\BANCO CREDITO\FER LORCA en ROSITA (Rosita)\MANDATOS\JUDICIAL\JORGE ALVARADO\GONZALO LEMUS.doc</t>
  </si>
  <si>
    <t>C:\Users\franc\OneDrive\Documentos\MALENTIN KARIME\BANCO CREDITO\FER LORCA en ROSITA (Rosita)\MANDATOS\JUDICIAL\JORGE ALVARADO\EDISON TOLEDO.doc</t>
  </si>
  <si>
    <t>C:\Users\franc\OneDrive\Documentos\MALENTIN KARIME\BANCO CREDITO\FER LORCA en ROSITA (Rosita)\MANDATOS\JUDICIAL\JORGE ALVARADO\DORIS PUELLES.- ABRIL 2011.- POSESION EFECTIUVA.doc</t>
  </si>
  <si>
    <t>C:\Users\franc\OneDrive\Documentos\MALENTIN KARIME\BANCO CREDITO\FER LORCA en ROSITA (Rosita)\MANDATOS\JUDICIAL\JORGE ALVARADO\DICIEMBRE.doc</t>
  </si>
  <si>
    <t>C:\Users\franc\OneDrive\Documentos\MALENTIN KARIME\BANCO CREDITO\FER LORCA en ROSITA (Rosita)\MANDATOS\JUDICIAL\JORGE ALVARADO\CLAUDIA MERIÑO.doc</t>
  </si>
  <si>
    <t>C:\Users\franc\OneDrive\Documentos\MALENTIN KARIME\BANCO CREDITO\FER LORCA en ROSITA (Rosita)\MANDATOS\JUDICIAL\JORGE ALVARADO\CAROLINA TORREJON.doc</t>
  </si>
  <si>
    <t>C:\Users\franc\OneDrive\Documentos\MALENTIN KARIME\BANCO CREDITO\FER LORCA en ROSITA (Rosita)\MANDATOS\JUDICIAL\JORGE ALVARADO\BORIS SURCO. SEPT. 2010.doc</t>
  </si>
  <si>
    <t>C:\Users\franc\OneDrive\Documentos\MALENTIN KARIME\BANCO CREDITO\FER LORCA en ROSITA (Rosita)\MANDATOS\JUDICIAL\JORGE ALVARADO\ALEX RAMIREZ Y MARIA BUGUEÑO.doc</t>
  </si>
  <si>
    <t>C:\Users\franc\OneDrive\Documentos\MALENTIN KARIME\BANCO CREDITO\FER LORCA en ROSITA (Rosita)\MANDATOS\JUDICIAL\JORGE ALVARADO\ALEX CUELLO.- OCTUBRE 2010.- CLUB DEPORTIVO  LAUTARO.-.doc</t>
  </si>
  <si>
    <t>C:\Users\franc\OneDrive\Documentos\MALENTIN KARIME\BANCO CREDITO\FER LORCA en ROSITA (Rosita)\MANDATOS\JUDICIAL\JORGE ALVARADO\ALEX CUELLO.- JULIO 2010.doc</t>
  </si>
  <si>
    <t>C:\Users\franc\OneDrive\Documentos\MALENTIN KARIME\BANCO CREDITO\FER LORCA en ROSITA (Rosita)\MANDATOS\JUDICIAL\JACQUELINE PIZARRO\ROBERTO VEGA CAMPUSANO.doc</t>
  </si>
  <si>
    <t>C:\Users\franc\OneDrive\Documentos\MALENTIN KARIME\BANCO CREDITO\FER LORCA en ROSITA (Rosita)\MANDATOS\JUDICIAL\JACQUELINE PIZARRO\JESUS TORREJON CASTRO.doc</t>
  </si>
  <si>
    <t>C:\Users\franc\OneDrive\Documentos\MALENTIN KARIME\BANCO CREDITO\FER LORCA en ROSITA (Rosita)\MANDATOS\JUDICIAL\JACQUELINE PIZARRO\JESUS TORREJON CASTRO..doc</t>
  </si>
  <si>
    <t>C:\Users\franc\OneDrive\Documentos\MALENTIN KARIME\BANCO CREDITO\FER LORCA en ROSITA (Rosita)\MANDATOS\JUDICIAL\HERNAN  PEREZ DUARTE\mandato judicial Jose F. a Flanklin Gallardo.doc</t>
  </si>
  <si>
    <t>C:\Users\franc\OneDrive\Documentos\MALENTIN KARIME\BANCO CREDITO\FER LORCA en ROSITA (Rosita)\MANDATOS\JUDICIAL\HERNAN  PEREZ DUARTE\COMITE AGUA P. RURAL. RAPEL.doc</t>
  </si>
  <si>
    <t>C:\Users\franc\OneDrive\Documentos\MALENTIN KARIME\BANCO CREDITO\FER LORCA en ROSITA (Rosita)\MANDATOS\JUDICIAL\FUNCIONARIOS MUNICIPALES\CLEMENTE PIZARRO y otros.- SEPT..doc</t>
  </si>
  <si>
    <t>C:\Users\franc\OneDrive\Documentos\MALENTIN KARIME\BANCO CREDITO\FER LORCA en ROSITA (Rosita)\MANDATOS\JUDICIAL\FRANKLIN GALLARDOÇ\JOSE HERBERTO FLORES ARAYA.doc</t>
  </si>
  <si>
    <t>C:\Users\franc\OneDrive\Documentos\MALENTIN KARIME\BANCO CREDITO\FER LORCA en ROSITA (Rosita)\MANDATOS\JUDICIAL\FRANCISCO SOTO\GUILLERMO LIZAMA Y OTRA.doc</t>
  </si>
  <si>
    <t>C:\Users\franc\OneDrive\Documentos\MALENTIN KARIME\BANCO CREDITO\FER LORCA en ROSITA (Rosita)\MANDATOS\JUDICIAL\FRANCISCO SAAVEDRA\LILIANA ALFARO LAGUNAS.doc</t>
  </si>
  <si>
    <t>C:\Users\franc\OneDrive\Documentos\MALENTIN KARIME\BANCO CREDITO\FER LORCA en ROSITA (Rosita)\MANDATOS\JUDICIAL\FELIPE ALAMO BARRIOS\CARLOS ROJAS CAMPOS.doc</t>
  </si>
  <si>
    <t>C:\Users\franc\OneDrive\Documentos\MALENTIN KARIME\BANCO CREDITO\FER LORCA en ROSITA (Rosita)\MANDATOS\JUDICIAL\EUGENIO RIVAS\RUTH VEGA.doc</t>
  </si>
  <si>
    <t>C:\Users\franc\OneDrive\Documentos\MALENTIN KARIME\BANCO CREDITO\FER LORCA en ROSITA (Rosita)\MANDATOS\JUDICIAL\EUGENIO RIVAS\GLADYS RODRIGUEZ.doc</t>
  </si>
  <si>
    <t>C:\Users\franc\OneDrive\Documentos\MALENTIN KARIME\BANCO CREDITO\FER LORCA en ROSITA (Rosita)\MANDATOS\JUDICIAL\EUGENIO RIVAS\FAM. ROJO OLIVARES.doc</t>
  </si>
  <si>
    <t>C:\Users\franc\OneDrive\Documentos\MALENTIN KARIME\BANCO CREDITO\FER LORCA en ROSITA (Rosita)\MANDATOS\JUDICIAL\EUGENIO RIVAS\EUGENIO RIVAS VARELA.doc</t>
  </si>
  <si>
    <t>C:\Users\franc\OneDrive\Documentos\MALENTIN KARIME\BANCO CREDITO\FER LORCA en ROSITA (Rosita)\MANDATOS\JUDICIAL\ENCARGO DON LUIS DIAZ\mandato judicial odl serena Juan Villlalobos.doc</t>
  </si>
  <si>
    <t>C:\Users\franc\OneDrive\Documentos\MALENTIN KARIME\BANCO CREDITO\FER LORCA en ROSITA (Rosita)\MANDATOS\JUDICIAL\ENCARGO DON LUIS DIAZ\mandato judicial odl serena José Olivares.doc</t>
  </si>
  <si>
    <t>C:\Users\franc\OneDrive\Documentos\MALENTIN KARIME\BANCO CREDITO\FER LORCA en ROSITA (Rosita)\MANDATOS\JUDICIAL\EDGARDO MENDEZ SALINAS\LUIS GALLEGUILLOS.doc</t>
  </si>
  <si>
    <t>C:\Users\franc\OneDrive\Documentos\MALENTIN KARIME\BANCO CREDITO\FER LORCA en ROSITA (Rosita)\MANDATOS\JUDICIAL\DANIEL SALFATE\JIMY SORIA.doc</t>
  </si>
  <si>
    <t>C:\Users\franc\OneDrive\Documentos\MALENTIN KARIME\BANCO CREDITO\FER LORCA en ROSITA (Rosita)\MANDATOS\JUDICIAL\DANIEL BARTOLLA\JOSE TOMAS DEL SOLAR.doc</t>
  </si>
  <si>
    <t>C:\Users\franc\OneDrive\Documentos\MALENTIN KARIME\BANCO CREDITO\FER LORCA en ROSITA (Rosita)\MANDATOS\JUDICIAL\CRISTIAN MUÑOZ\MINUTA MTO JUDICIAL.doc</t>
  </si>
  <si>
    <t>C:\Users\franc\OneDrive\Documentos\MALENTIN KARIME\BANCO CREDITO\FER LORCA en ROSITA (Rosita)\MANDATOS\JUDICIAL\CRISTIAN MUÑOZ\CRISTIAN ZUÑIGA.doc</t>
  </si>
  <si>
    <t>C:\Users\franc\OneDrive\Documentos\MALENTIN KARIME\BANCO CREDITO\FER LORCA en ROSITA (Rosita)\MANDATOS\JUDICIAL\CLAUDIO MARCHANT\MARCELO ROJAS.doc</t>
  </si>
  <si>
    <t>C:\Users\franc\OneDrive\Documentos\MALENTIN KARIME\BANCO CREDITO\FER LORCA en ROSITA (Rosita)\MANDATOS\JUDICIAL\CLAUDIO ARDILES\SERGIO BUGUEÑO.doc</t>
  </si>
  <si>
    <t>C:\Users\franc\OneDrive\Documentos\MALENTIN KARIME\BANCO CREDITO\FER LORCA en ROSITA (Rosita)\MANDATOS\JUDICIAL\CLAUDIO ARDILES\RUBEN BERRIOS.- OCTUBRE 2010.-.doc</t>
  </si>
  <si>
    <t>C:\Users\franc\OneDrive\Documentos\MALENTIN KARIME\BANCO CREDITO\FER LORCA en ROSITA (Rosita)\MANDATOS\JUDICIAL\CLAUDIO ARDILES\MODELO.doc</t>
  </si>
  <si>
    <t>C:\Users\franc\OneDrive\Documentos\MALENTIN KARIME\BANCO CREDITO\FER LORCA en ROSITA (Rosita)\MANDATOS\JUDICIAL\CLAUDIO ARDILES\MARIO GONZALEZ PEÑAILILLO.doc</t>
  </si>
  <si>
    <t>C:\Users\franc\OneDrive\Documentos\MALENTIN KARIME\BANCO CREDITO\FER LORCA en ROSITA (Rosita)\MANDATOS\JUDICIAL\CLAUDIO ARDILES\MARIA VIDELA.doc</t>
  </si>
  <si>
    <t>C:\Users\franc\OneDrive\Documentos\MALENTIN KARIME\BANCO CREDITO\FER LORCA en ROSITA (Rosita)\MANDATOS\JUDICIAL\CLAUDIO ARDILES\MARCELO CORRAL.doc</t>
  </si>
  <si>
    <t>C:\Users\franc\OneDrive\Documentos\MALENTIN KARIME\BANCO CREDITO\FER LORCA en ROSITA (Rosita)\MANDATOS\JUDICIAL\CLAUDIO ARDILES\MARCELA CORTES Y HECTOR BARRAZA.doc</t>
  </si>
  <si>
    <t>C:\Users\franc\OneDrive\Documentos\MALENTIN KARIME\BANCO CREDITO\FER LORCA en ROSITA (Rosita)\MANDATOS\JUDICIAL\CLAUDIO ARDILES\mandato judicial maria olivares.- MARZO 2011.doc</t>
  </si>
  <si>
    <t>C:\Users\franc\OneDrive\Documentos\MALENTIN KARIME\BANCO CREDITO\FER LORCA en ROSITA (Rosita)\MANDATOS\JUDICIAL\CLAUDIO ARDILES\LEONEL ZAPATA AVENDAÑO.doc</t>
  </si>
  <si>
    <t>C:\Users\franc\OneDrive\Documentos\MALENTIN KARIME\BANCO CREDITO\FER LORCA en ROSITA (Rosita)\MANDATOS\JUDICIAL\CLAUDIO ARDILES\JORGE LARRONDO.doc</t>
  </si>
  <si>
    <t>C:\Users\franc\OneDrive\Documentos\MALENTIN KARIME\BANCO CREDITO\FER LORCA en ROSITA (Rosita)\MANDATOS\JUDICIAL\CLAUDIO ARDILES\HUGO PIZARRO.doc</t>
  </si>
  <si>
    <t>C:\Users\franc\OneDrive\Documentos\MALENTIN KARIME\BANCO CREDITO\FER LORCA en ROSITA (Rosita)\MANDATOS\JUDICIAL\CLAUDIO ARDILES\HECTOR LEAL GONZALEZ.doc</t>
  </si>
  <si>
    <t>C:\Users\franc\OneDrive\Documentos\MALENTIN KARIME\BANCO CREDITO\FER LORCA en ROSITA (Rosita)\MANDATOS\JUDICIAL\CLAUDIO ARDILES\GRETTEL CORTES.doc</t>
  </si>
  <si>
    <t>C:\Users\franc\OneDrive\Documentos\MALENTIN KARIME\BANCO CREDITO\FER LORCA en ROSITA (Rosita)\MANDATOS\JUDICIAL\CLAUDIO ARDILES\EDGARDO LOPEZ CORTES1.doc</t>
  </si>
  <si>
    <t>C:\Users\franc\OneDrive\Documentos\MALENTIN KARIME\BANCO CREDITO\FER LORCA en ROSITA (Rosita)\MANDATOS\JUDICIAL\CLAUDIO ARDILES\DANIEL TELLO GALLARDO.doc</t>
  </si>
  <si>
    <t>C:\Users\franc\OneDrive\Documentos\MALENTIN KARIME\BANCO CREDITO\FER LORCA en ROSITA (Rosita)\MANDATOS\JUDICIAL\CLAUDIO ARDILES\CLAUDIA LATORRE RIQUELME.doc</t>
  </si>
  <si>
    <t>C:\Users\franc\OneDrive\Documentos\MALENTIN KARIME\BANCO CREDITO\FER LORCA en ROSITA (Rosita)\MANDATOS\JUDICIAL\CLAUDIO ARAYA CASTILLO\VILMA VILLALOBOS.doc</t>
  </si>
  <si>
    <t>C:\Users\franc\OneDrive\Documentos\MALENTIN KARIME\BANCO CREDITO\FER LORCA en ROSITA (Rosita)\MANDATOS\JUDICIAL\CLAUDIO ARDILES\BCGA SERV. GENRALES.doc</t>
  </si>
  <si>
    <t>C:\Users\franc\OneDrive\Documentos\MALENTIN KARIME\BANCO CREDITO\FER LORCA en ROSITA (Rosita)\MANDATOS\JUDICIAL\CLAUDIO ARAYA CASTILLO\SOC. COMERCIAL CONEFI LTDA.doc</t>
  </si>
  <si>
    <t>C:\Users\franc\OneDrive\Documentos\MALENTIN KARIME\BANCO CREDITO\FER LORCA en ROSITA (Rosita)\MANDATOS\JUDICIAL\CLAUDIO ARAYA CASTILLO\SARA JOFRE MANDUJANO Y OTRAÇ.doc</t>
  </si>
  <si>
    <t>C:\Users\franc\OneDrive\Documentos\MALENTIN KARIME\BANCO CREDITO\FER LORCA en ROSITA (Rosita)\MANDATOS\JUDICIAL\CLAUDIO ARAYA CASTILLO\PATRICIO RODRIGUEZ.- OCTUBRE.doc</t>
  </si>
  <si>
    <t>C:\Users\franc\OneDrive\Documentos\MALENTIN KARIME\BANCO CREDITO\FER LORCA en ROSITA (Rosita)\MANDATOS\JUDICIAL\CLAUDIO ARAYA CASTILLO\OSCAR VALDIVIA.- ENERO 2011.doc</t>
  </si>
  <si>
    <t>C:\Users\franc\OneDrive\Documentos\MALENTIN KARIME\BANCO CREDITO\FER LORCA en ROSITA (Rosita)\MANDATOS\JUDICIAL\CLAUDIO ARAYA CASTILLO\MIGUEL SALAS.doc</t>
  </si>
  <si>
    <t>C:\Users\franc\OneDrive\Documentos\MALENTIN KARIME\BANCO CREDITO\FER LORCA en ROSITA (Rosita)\MANDATOS\JUDICIAL\CLAUDIO ARAYA CASTILLO\LAURA SALINAS.doc</t>
  </si>
  <si>
    <t>C:\Users\franc\OneDrive\Documentos\MALENTIN KARIME\BANCO CREDITO\FER LORCA en ROSITA (Rosita)\MANDATOS\JUDICIAL\CLAUDIO ARAYA CASTILLO\JUAN GONZALEZ BARRAZA.doc</t>
  </si>
  <si>
    <t>C:\Users\franc\OneDrive\Documentos\MALENTIN KARIME\BANCO CREDITO\FER LORCA en ROSITA (Rosita)\MANDATOS\JUDICIAL\CLAUDIO ARAYA CASTILLO\JOHNY VILLALOBOS.doc</t>
  </si>
  <si>
    <t>C:\Users\franc\OneDrive\Documentos\MALENTIN KARIME\BANCO CREDITO\FER LORCA en ROSITA (Rosita)\MANDATOS\JUDICIAL\CLAUDIO ARAYA CASTILLO\IVO MARIN.- DICIEMBRE 2010.doc</t>
  </si>
  <si>
    <t>C:\Users\franc\OneDrive\Documentos\MALENTIN KARIME\BANCO CREDITO\FER LORCA en ROSITA (Rosita)\MANDATOS\JUDICIAL\CLAUDIO ARAYA CASTILLO\HERMANOS BARRAZA.- ENERO 2011.doc</t>
  </si>
  <si>
    <t>C:\Users\franc\OneDrive\Documentos\MALENTIN KARIME\BANCO CREDITO\FER LORCA en ROSITA (Rosita)\MANDATOS\JUDICIAL\CLAUDIO ARAYA CASTILLO\GLORIA VILLALOBOS.doc</t>
  </si>
  <si>
    <t>C:\Users\franc\OneDrive\Documentos\MALENTIN KARIME\BANCO CREDITO\FER LORCA en ROSITA (Rosita)\MANDATOS\JUDICIAL\CLAUDIO ARAYA CASTILLO\FERNANDO PROHENS.doc</t>
  </si>
  <si>
    <t>C:\Users\franc\OneDrive\Documentos\MALENTIN KARIME\BANCO CREDITO\FER LORCA en ROSITA (Rosita)\MANDATOS\JUDICIAL\CLAUDIO ARAYA CASTILLO\CECILIA ARDILES.doc</t>
  </si>
  <si>
    <t>C:\Users\franc\OneDrive\Documentos\MALENTIN KARIME\BANCO CREDITO\FER LORCA en ROSITA (Rosita)\MANDATOS\JUDICIAL\CLAUDIO ARAYA CASTILLO\barbara pizarro.- abril 2011.doc</t>
  </si>
  <si>
    <t>C:\Users\franc\OneDrive\Documentos\MALENTIN KARIME\BANCO CREDITO\FER LORCA en ROSITA (Rosita)\MANDATOS\JUDICIAL\CLAUDIO ARAYA CASTILLO\ANA ROJAS NOVIEMBRE.-.doc</t>
  </si>
  <si>
    <t>C:\Users\franc\OneDrive\Documentos\MALENTIN KARIME\BANCO CREDITO\FER LORCA en ROSITA (Rosita)\MANDATOS\JUDICIAL\CATALINA MULET\FABIO GONZALEZ.- ENERO 2011.doc</t>
  </si>
  <si>
    <t>C:\Users\franc\OneDrive\Documentos\MALENTIN KARIME\BANCO CREDITO\FER LORCA en ROSITA (Rosita)\MANDATOS\JUDICIAL\ASOC. CANALISTAS\ASOC. CANALISTAS COGOTI A CHRISTIAN ROJAS.doc</t>
  </si>
  <si>
    <t>C:\Users\franc\OneDrive\Documentos\MALENTIN KARIME\BANCO CREDITO\FER LORCA en ROSITA (Rosita)\MANDATOS\JUDICIAL\ANDRES CORRAL MACIAS\SERPROCAR S.A..doc</t>
  </si>
  <si>
    <t>C:\Users\franc\OneDrive\Documentos\MALENTIN KARIME\BANCO CREDITO\FER LORCA en ROSITA (Rosita)\MANDATOS\JUDICIAL\ALFREDO VILLAGRAN\MARIAN VEGA GONZALEZ.doc</t>
  </si>
  <si>
    <t>C:\Users\franc\OneDrive\Documentos\MALENTIN KARIME\BANCO CREDITO\FER LORCA en ROSITA (Rosita)\MANDATOS\JUDICIAL\ALFREDO VILLAGRAN\MARIA FLORES MUNDACA.doc</t>
  </si>
  <si>
    <t>C:\Users\franc\OneDrive\Documentos\MALENTIN KARIME\BANCO CREDITO\FER LORCA en ROSITA (Rosita)\MANDATOS\JUDICIAL\ALFREDO VILLAGRAN\JAIME GUERRERO.doc</t>
  </si>
  <si>
    <t>C:\Users\franc\OneDrive\Documentos\MALENTIN KARIME\BANCO CREDITO\FER LORCA en ROSITA (Rosita)\MANDATOS\JUDICIAL\ALEJANDRO NAVARRO\LUIS NARVAEZ RAMIREZ.doc</t>
  </si>
  <si>
    <t>C:\Users\franc\OneDrive\Documentos\MALENTIN KARIME\BANCO CREDITO\FER LORCA en ROSITA (Rosita)\MANDATOS\JUDICIAL\ADOLFO LAY\MANUEL LEON CORREA.doc</t>
  </si>
  <si>
    <t>C:\Users\franc\OneDrive\Documentos\MALENTIN KARIME\BANCO CREDITO\FER LORCA en ROSITA (Rosita)\MANDATOS\JUDICIAL\ADOLFO LAY\JUAN VILLARROEL Y CIA LTDA.doc</t>
  </si>
  <si>
    <t>C:\Users\franc\OneDrive\Documentos\MALENTIN KARIME\BANCO CREDITO\FER LORCA en ROSITA (Rosita)\MANDATOS\JUDICIAL\ADOLFO LAY\CAROLINA RIVEA CANIBILO.doc</t>
  </si>
  <si>
    <t>C:\Users\franc\OneDrive\Documentos\MALENTIN KARIME\BANCO CREDITO\FER LORCA en ROSITA (Rosita)\MANDATOS\JUDICIAL\ADOLFO LAY\CARMEN VELIZ POR SOC. HOTELERA DEL PACIFICO.doc</t>
  </si>
  <si>
    <t>C:\Users\franc\OneDrive\Documentos\MALENTIN KARIME\BANCO CREDITO\FER LORCA en ROSITA (Rosita)\MANDATOS\JUDICIAL\WILFREDO RIQUELME.doc</t>
  </si>
  <si>
    <t>C:\Users\franc\OneDrive\Documentos\MALENTIN KARIME\BANCO CREDITO\FER LORCA en ROSITA (Rosita)\MANDATOS\JUDICIAL\WILFREDO RIQUELME.- JUNIO.doc</t>
  </si>
  <si>
    <t>C:\Users\franc\OneDrive\Documentos\MALENTIN KARIME\BANCO CREDITO\FER LORCA en ROSITA (Rosita)\MANDATOS\JUDICIAL\SOC. COMERC. FRUTOS DEL PAIS LAS CABRAS LTDA A  EDO. GALLARDO URBINA.doc</t>
  </si>
  <si>
    <t>C:\Users\franc\OneDrive\Documentos\MALENTIN KARIME\BANCO CREDITO\FER LORCA en ROSITA (Rosita)\MANDATOS\JUDICIAL\RISSO SCHAFF A DINO RAMIREZ.doc</t>
  </si>
  <si>
    <t>C:\Users\franc\OneDrive\Documentos\MALENTIN KARIME\BANCO CREDITO\FER LORCA en ROSITA (Rosita)\MANDATOS\JUDICIAL\NICOLAS LOPEZ A JOSE OJEDA.doc</t>
  </si>
  <si>
    <t>C:\Users\franc\OneDrive\Documentos\MALENTIN KARIME\BANCO CREDITO\FER LORCA en ROSITA (Rosita)\MANDATOS\JUDICIAL\MAXIMO SOTO.doc</t>
  </si>
  <si>
    <t>C:\Users\franc\OneDrive\Documentos\MALENTIN KARIME\BANCO CREDITO\FER LORCA en ROSITA (Rosita)\MANDATOS\JUDICIAL\MARIA INES NUÑEZ HERRERA.-.doc</t>
  </si>
  <si>
    <t>C:\Users\franc\OneDrive\Documentos\MALENTIN KARIME\BANCO CREDITO\FER LORCA en ROSITA (Rosita)\MANDATOS\JUDICIAL\MARCOS CUELLO A MA. MALUENDA ROJAS.doc</t>
  </si>
  <si>
    <t>C:\Users\franc\OneDrive\Documentos\MALENTIN KARIME\BANCO CREDITO\FER LORCA en ROSITA (Rosita)\MANDATOS\JUDICIAL\mandato judicial especial HECTOR CONTRERAS ROCHA.-.doc</t>
  </si>
  <si>
    <t>C:\Users\franc\OneDrive\Documentos\MALENTIN KARIME\BANCO CREDITO\FER LORCA en ROSITA (Rosita)\MANDATOS\JUDICIAL\LUIS CACERES MARABOLI.doc</t>
  </si>
  <si>
    <t>C:\Users\franc\OneDrive\Documentos\MALENTIN KARIME\BANCO CREDITO\FER LORCA en ROSITA (Rosita)\MANDATOS\JUDICIAL\LJUAN SANTELICES A EUGENIO CORTES.doc</t>
  </si>
  <si>
    <t>C:\Users\franc\OneDrive\Documentos\MALENTIN KARIME\BANCO CREDITO\FER LORCA en ROSITA (Rosita)\MANDATOS\JUDICIAL\LEONARDO PEREZ A FELIPE NUÑEZ.- JULIO 2010.doc</t>
  </si>
  <si>
    <t>C:\Users\franc\OneDrive\Documentos\MALENTIN KARIME\BANCO CREDITO\FER LORCA en ROSITA (Rosita)\MANDATOS\JUDICIAL\JAIME GALINDIO SOLAR.- OCTUBRE.doc</t>
  </si>
  <si>
    <t>C:\Users\franc\OneDrive\Documentos\MALENTIN KARIME\BANCO CREDITO\FER LORCA en ROSITA (Rosita)\MANDATOS\JUDICIAL\HILDA ALFARO GAMBOA A RUBEN MIRANA LAGOS.doc</t>
  </si>
  <si>
    <t>C:\Users\franc\OneDrive\Documentos\MALENTIN KARIME\BANCO CREDITO\FER LORCA en ROSITA (Rosita)\MANDATOS\JUDICIAL\GRACIELA CASTILLO.doc</t>
  </si>
  <si>
    <t>C:\Users\franc\OneDrive\Documentos\MALENTIN KARIME\BANCO CREDITO\FER LORCA en ROSITA (Rosita)\MANDATOS\JUDICIAL\FRIDA MATUS....A MANUEL CARVAJAL.doc</t>
  </si>
  <si>
    <t>C:\Users\franc\OneDrive\Documentos\MALENTIN KARIME\BANCO CREDITO\FER LORCA en ROSITA (Rosita)\MANDATOS\JUDICIAL\FRANCISCO MUÑOZ A SEBASTIAN VALDIVIA.-.doc</t>
  </si>
  <si>
    <t>C:\Users\franc\OneDrive\Documentos\MALENTIN KARIME\BANCO CREDITO\FER LORCA en ROSITA (Rosita)\MANDATOS\JUDICIAL\EUGENIO ALVARADO A AANA ALVARADO.doc</t>
  </si>
  <si>
    <t>C:\Users\franc\OneDrive\Documentos\MALENTIN KARIME\BANCO CREDITO\FER LORCA en ROSITA (Rosita)\MANDATOS\JUDICIAL\EDUARDO BARTHOLAMAUS.doc</t>
  </si>
  <si>
    <t>C:\Users\franc\OneDrive\Documentos\MALENTIN KARIME\BANCO CREDITO\FER LORCA en ROSITA (Rosita)\MANDATOS\JUDICIAL\COM. HIGUERITAS UNIDAS A CARLOS FUENTEALBA Y OTR.doc</t>
  </si>
  <si>
    <t>C:\Users\franc\OneDrive\Documentos\MALENTIN KARIME\BANCO CREDITO\FER LORCA en ROSITA (Rosita)\MANDATOS\JUDICIAL\claudio dalidet belmar.doc</t>
  </si>
  <si>
    <t>C:\Users\franc\OneDrive\Documentos\MALENTIN KARIME\BANCO CREDITO\FER LORCA en ROSITA (Rosita)\MANDATOS\JUDICIAL\CECILIA IZQUIERSO A CRISTIAN ZEPEDA.doc</t>
  </si>
  <si>
    <t>C:\Users\franc\OneDrive\Documentos\MALENTIN KARIME\BANCO CREDITO\FER LORCA en ROSITA (Rosita)\MANDATOS\GENERAL\MODELO.doc</t>
  </si>
  <si>
    <t>C:\Users\franc\OneDrive\Documentos\MALENTIN KARIME\BANCO CREDITO\FER LORCA en ROSITA (Rosita)\MANDATOS\GENERAL\MARJORIE ASTUDILLO A WLADIMIR VALDIVIA.-.doc</t>
  </si>
  <si>
    <t>C:\Users\franc\OneDrive\Documentos\MALENTIN KARIME\BANCO CREDITO\FER LORCA en ROSITA (Rosita)\MANDATOS\GENERAL\MARIA ZEPEDA.doc</t>
  </si>
  <si>
    <t>C:\Users\franc\OneDrive\Documentos\MALENTIN KARIME\BANCO CREDITO\FER LORCA en ROSITA (Rosita)\MANDATOS\GENERAL\MARIA SALFATE A RODRIGO VICENCIO.doc</t>
  </si>
  <si>
    <t>C:\Users\franc\OneDrive\Documentos\MALENTIN KARIME\BANCO CREDITO\FER LORCA en ROSITA (Rosita)\MANDATOS\GENERAL\LUIS POZO A LUCIA POZO.doc</t>
  </si>
  <si>
    <t>C:\Users\franc\OneDrive\Documentos\MALENTIN KARIME\BANCO CREDITO\FER LORCA en ROSITA (Rosita)\MANDATOS\GENERAL\JUAN CARLOS ZARRICUETA A NICOLAS ARAYA.doc</t>
  </si>
  <si>
    <t>C:\Users\franc\OneDrive\Documentos\MALENTIN KARIME\BANCO CREDITO\FER LORCA en ROSITA (Rosita)\MANDATOS\GENERAL\IVETTE EUGENIA MAURIN P. MARZO 2010.doc</t>
  </si>
  <si>
    <t>C:\Users\franc\OneDrive\Documentos\MALENTIN KARIME\BANCO CREDITO\FER LORCA en ROSITA (Rosita)\MANDATOS\GENERAL\GENERAL AMPLIO.... JUANA ALFARO.doc</t>
  </si>
  <si>
    <t>C:\Users\franc\OneDrive\Documentos\MALENTIN KARIME\BANCO CREDITO\FER LORCA en ROSITA (Rosita)\MANDATOS\GENERAL\CHRISTIAN LOYOLA A EDMUNDO LOYOLA. NOVIEMBRE.-.doc</t>
  </si>
  <si>
    <t>C:\Users\franc\OneDrive\Documentos\MALENTIN KARIME\BANCO CREDITO\FER LORCA en ROSITA (Rosita)\MANDATOS\GENERAL\CESAR ALVAREZ.- AGOSTO 2010.-.doc</t>
  </si>
  <si>
    <t>C:\Users\franc\OneDrive\Documentos\MALENTIN KARIME\BANCO CREDITO\FER LORCA en ROSITA (Rosita)\MANDATOS\GENERAL\ALFREDO FERNANDEZ A REINALDO FERNANDEZ.- NOVIEMBRE.doc</t>
  </si>
  <si>
    <t>C:\Users\franc\OneDrive\Documentos\MALENTIN KARIME\BANCO CREDITO\FER LORCA en ROSITA (Rosita)\MANDATOS\GENERAL\ALEJANDRA A BASILIO AGUIRRE.- DIC.doc</t>
  </si>
  <si>
    <t>C:\Users\franc\OneDrive\Documentos\MALENTIN KARIME\BANCO CREDITO\FER LORCA en ROSITA (Rosita)\MANDATOS\ESPECIAL\OLIVIA RIVEROS\OLIVIA RIVEROS A BERTA RIVEROS.- AGOSTO 2010.- JURAMENTO UNA....doc</t>
  </si>
  <si>
    <t>C:\Users\franc\OneDrive\Documentos\MALENTIN KARIME\BANCO CREDITO\FER LORCA en ROSITA (Rosita)\MANDATOS\ESPECIAL\OLIVIA RIVEROS\OLIVIA RIVEROS A BERTA RIVEROS.- AGOSTO 2010.- ABANDOBNADA UNA.....doc</t>
  </si>
  <si>
    <t>C:\Users\franc\OneDrive\Documentos\MALENTIN KARIME\BANCO CREDITO\FER LORCA en ROSITA (Rosita)\MANDATOS\ESPECIAL\MTOS. A CARVALLO\Mandato Canihuante Mundaca a Mario Carvallo.doc</t>
  </si>
  <si>
    <t>C:\Users\franc\OneDrive\Documentos\MALENTIN KARIME\BANCO CREDITO\FER LORCA en ROSITA (Rosita)\MANDATOS\ESPECIAL\SOC. MEDICA MUÑOZ MARZAL LTDA.doc</t>
  </si>
  <si>
    <t>C:\Users\franc\OneDrive\Documentos\MALENTIN KARIME\BANCO CREDITO\FER LORCA en ROSITA (Rosita)\MANDATOS\ESPECIAL\ROSA ECHAVE OTRO.doc</t>
  </si>
  <si>
    <t>C:\Users\franc\OneDrive\Documentos\MALENTIN KARIME\BANCO CREDITO\FER LORCA en ROSITA (Rosita)\MANDATOS\ESPECIAL\ROSA ECHAVE A ALVARO LEIVA ECHAVE.doc</t>
  </si>
  <si>
    <t>C:\Users\franc\OneDrive\Documentos\MALENTIN KARIME\BANCO CREDITO\FER LORCA en ROSITA (Rosita)\MANDATOS\ESPECIAL\RAMON BORQUEZ...... A   ......doc</t>
  </si>
  <si>
    <t>C:\Users\franc\OneDrive\Documentos\MALENTIN KARIME\BANCO CREDITO\FER LORCA en ROSITA (Rosita)\MANDATOS\ESPECIAL\RAMON ARAYA A DEISY ARAYA.doc</t>
  </si>
  <si>
    <t>C:\Users\franc\OneDrive\Documentos\MALENTIN KARIME\BANCO CREDITO\FER LORCA en ROSITA (Rosita)\MANDATOS\ESPECIAL\PEDRO RODRIGUEZ ARAYA A ALICIA RODRIGUEZ.- TAMIT. POS. EFECT..doc</t>
  </si>
  <si>
    <t>C:\Users\franc\OneDrive\Documentos\MALENTIN KARIME\BANCO CREDITO\FER LORCA en ROSITA (Rosita)\MANDATOS\ESPECIAL\OLIVIA RIVEROS A BERTA RIVEROS.- AGOSTO 2010.doc</t>
  </si>
  <si>
    <t>C:\Users\franc\OneDrive\Documentos\MALENTIN KARIME\BANCO CREDITO\FER LORCA en ROSITA (Rosita)\MANDATOS\ESPECIAL\NAZE ESBIR.doc</t>
  </si>
  <si>
    <t>C:\Users\franc\OneDrive\Documentos\MALENTIN KARIME\BANCO CREDITO\FER LORCA en ROSITA (Rosita)\MANDATOS\ESPECIAL\MODELO.doc</t>
  </si>
  <si>
    <t>C:\Users\franc\OneDrive\Documentos\MALENTIN KARIME\BANCO CREDITO\FER LORCA en ROSITA (Rosita)\MANDATOS\ESPECIAL\MODELO DR. ARAB.doc</t>
  </si>
  <si>
    <t>C:\Users\franc\OneDrive\Documentos\MALENTIN KARIME\BANCO CREDITO\FER LORCA en ROSITA (Rosita)\MANDATOS\ESPECIAL\MISAEL VALDIVIA.- (MENOS VENDER).doc</t>
  </si>
  <si>
    <t>C:\Users\franc\OneDrive\Documentos\MALENTIN KARIME\BANCO CREDITO\FER LORCA en ROSITA (Rosita)\MANDATOS\ESPECIAL\MISAEL VALDIVIA .- 2.doc</t>
  </si>
  <si>
    <t>C:\Users\franc\OneDrive\Documentos\MALENTIN KARIME\BANCO CREDITO\FER LORCA en ROSITA (Rosita)\MANDATOS\ESPECIAL\MARTA LOBOS.- ABRIL 2011.doc</t>
  </si>
  <si>
    <t>C:\Users\franc\OneDrive\Documentos\MALENTIN KARIME\BANCO CREDITO\FER LORCA en ROSITA (Rosita)\MANDATOS\ESPECIAL\MARCELO  ARAYA CORTES A PATRICIA ARAYA CORTES (VENTA CONYUGE).doc</t>
  </si>
  <si>
    <t>C:\Users\franc\OneDrive\Documentos\MALENTIN KARIME\BANCO CREDITO\FER LORCA en ROSITA (Rosita)\MANDATOS\ESPECIAL\MANUEL ARAYA CORTES A P. ARAYA.doc</t>
  </si>
  <si>
    <t>C:\Users\franc\OneDrive\Documentos\MALENTIN KARIME\BANCO CREDITO\FER LORCA en ROSITA (Rosita)\MANDATOS\ESPECIAL\Mandato CARLOS ACUÑA.doc</t>
  </si>
  <si>
    <t>C:\Users\franc\OneDrive\Documentos\MALENTIN KARIME\BANCO CREDITO\FER LORCA en ROSITA (Rosita)\MANDATOS\ESPECIAL\MANDATO .- ALVARO GALLEGUILLOS.. AGOSTO 2010.-.doc</t>
  </si>
  <si>
    <t>C:\Users\franc\OneDrive\Documentos\MALENTIN KARIME\BANCO CREDITO\FER LORCA en ROSITA (Rosita)\MANDATOS\ESPECIAL\LUIS TAPIA ORREGO.doc</t>
  </si>
  <si>
    <t>C:\Users\franc\OneDrive\Documentos\MALENTIN KARIME\BANCO CREDITO\FER LORCA en ROSITA (Rosita)\MANDATOS\ESPECIAL\LUIS CASTILLO (cobro pension).doc</t>
  </si>
  <si>
    <t>C:\Users\franc\OneDrive\Documentos\MALENTIN KARIME\BANCO CREDITO\FER LORCA en ROSITA (Rosita)\MANDATOS\ESPECIAL\LESLY ZAMARCA A MARIANO SILVA ROJAS.doc</t>
  </si>
  <si>
    <t>C:\Users\franc\OneDrive\Documentos\MALENTIN KARIME\BANCO CREDITO\FER LORCA en ROSITA (Rosita)\MANDATOS\ESPECIAL\JULIO MONTERO.....doc</t>
  </si>
  <si>
    <t>C:\Users\franc\OneDrive\Documentos\MALENTIN KARIME\BANCO CREDITO\FER LORCA en ROSITA (Rosita)\MANDATOS\ESPECIAL\JUAN CORTES.- A ISELIA PIZARRO.- TRAMITES DE PROHIBICION.doc</t>
  </si>
  <si>
    <t>C:\Users\franc\OneDrive\Documentos\MALENTIN KARIME\BANCO CREDITO\FER LORCA en ROSITA (Rosita)\MANDATOS\ESPECIAL\HECTOR MIRANDA A NALDI ELENA ROJAS.doc</t>
  </si>
  <si>
    <t>C:\Users\franc\OneDrive\Documentos\MALENTIN KARIME\BANCO CREDITO\FER LORCA en ROSITA (Rosita)\MANDATOS\ESPECIAL\GLADYS ROJAS A DIOGENES ROJAS .-.doc</t>
  </si>
  <si>
    <t>C:\Users\franc\OneDrive\Documentos\MALENTIN KARIME\BANCO CREDITO\FER LORCA en ROSITA (Rosita)\MANDATOS\ESPECIAL\GLADYS DIAZ.- ODER ESPECIAL BIEN RAIZ CON VENTA Y AUT. CONYUGE.doc</t>
  </si>
  <si>
    <t>C:\Users\franc\OneDrive\Documentos\MALENTIN KARIME\BANCO CREDITO\FER LORCA en ROSITA (Rosita)\MANDATOS\ESPECIAL\DR. ARAB.- JUDICIAL.- OCTUBRE 2010.-.doc</t>
  </si>
  <si>
    <t>C:\Users\franc\OneDrive\Documentos\MALENTIN KARIME\BANCO CREDITO\FER LORCA en ROSITA (Rosita)\MANDATOS\ESPECIAL\BIANA VAZOLI.doc</t>
  </si>
  <si>
    <t>C:\Users\franc\OneDrive\Documentos\MALENTIN KARIME\BANCO CREDITO\FER LORCA en ROSITA (Rosita)\MANDATOS\ESPECIAL\ARNOLDO G. FIRMAR CONST. DE SOCIEDAD.doc</t>
  </si>
  <si>
    <t>C:\Users\franc\OneDrive\Documentos\MALENTIN KARIME\BANCO CREDITO\FER LORCA en ROSITA (Rosita)\MANDATOS\ESPECIAL\ALFONSO PASTEN A JOAQUIN PASTE.doc</t>
  </si>
  <si>
    <t>C:\Users\franc\OneDrive\Documentos\MALENTIN KARIME\BANCO CREDITO\FER LORCA en ROSITA (Rosita)\MANDATOS\ESPECIAL\ALEXIS ARAYA CORTES A PATRICIA ARAYA.doc</t>
  </si>
  <si>
    <t>C:\Users\franc\OneDrive\Documentos\MALENTIN KARIME\BANCO CREDITO\FER LORCA en ROSITA (Rosita)\MANDATOS\ESPECIAL\(ADMINISTRACION).doc</t>
  </si>
  <si>
    <t>C:\Users\franc\OneDrive\Documentos\MALENTIN KARIME\BANCO CREDITO\FER LORCA en ROSITA (Rosita)\MANDATOS\CLAUDIO ARDILES\JORGE SAUTERREL.doc</t>
  </si>
  <si>
    <t>C:\Users\franc\OneDrive\Documentos\MALENTIN KARIME\BANCO CREDITO\FER LORCA en ROSITA (Rosita)\MANDATOS\BCO.CHILE\PEDRO BOU A PEDRO BOU ALVAREZ.- OCTUBRE.doc</t>
  </si>
  <si>
    <t>C:\Users\franc\OneDrive\Documentos\MALENTIN KARIME\BANCO CREDITO\FER LORCA en ROSITA (Rosita)\MANDATOS\BCO.CHILE\PEDRO BOU A PEDRO BOU ALVAREZ.- NOVIEMBRE.doc</t>
  </si>
  <si>
    <t>C:\Users\franc\OneDrive\Documentos\MALENTIN KARIME\BANCO CREDITO\FER LORCA en ROSITA (Rosita)\MANDATOS\BCO.CHILE\PABLO CORTES.- NOVIEMBRE.doc</t>
  </si>
  <si>
    <t>C:\Users\franc\OneDrive\Documentos\MALENTIN KARIME\BANCO CREDITO\FER LORCA en ROSITA (Rosita)\MANDATOS\BCO.CHILE\MANUEL ROMAN.- DICIEMBRE.doc</t>
  </si>
  <si>
    <t>C:\Users\franc\OneDrive\Documentos\MALENTIN KARIME\BANCO CREDITO\FER LORCA en ROSITA (Rosita)\MANDATOS\BCO.CHILE\JUAN B. SANTELICES.doc</t>
  </si>
  <si>
    <t>C:\Users\franc\OneDrive\Documentos\MALENTIN KARIME\BANCO CREDITO\FER LORCA en ROSITA (Rosita)\MANDATOS\BCO.CHILE\HILDA ANJEL C. Chq.Panulcillo.doc</t>
  </si>
  <si>
    <t>C:\Users\franc\OneDrive\Documentos\MALENTIN KARIME\BANCO CREDITO\FER LORCA en ROSITA (Rosita)\MANDATOS\BCO.CHILE\GUILLERMO ORMEÑO (B.CHile).doc</t>
  </si>
  <si>
    <t>C:\Users\franc\OneDrive\Documentos\MALENTIN KARIME\BANCO CREDITO\FER LORCA en ROSITA (Rosita)\MANDATOS\BCO.CHILE\GUILLERMO ORMEÑO (B.CHile).- SEPT. 2010.doc</t>
  </si>
  <si>
    <t>C:\Users\franc\OneDrive\Documentos\MALENTIN KARIME\BANCO CREDITO\FER LORCA en ROSITA (Rosita)\MANDATOS\BCO.CHILE\ENRIQUE BERRIOS A JUANA BERRIOS.- ABRIL 2011.doc</t>
  </si>
  <si>
    <t>C:\Users\franc\OneDrive\Documentos\MALENTIN KARIME\BANCO CREDITO\FER LORCA en ROSITA (Rosita)\MANDATOS\BANCARIOS\ZUNILDA MORALES.- ENERO 2011.doc</t>
  </si>
  <si>
    <t>C:\Users\franc\OneDrive\Documentos\MALENTIN KARIME\BANCO CREDITO\FER LORCA en ROSITA (Rosita)\MANDATOS\BANCARIOS\SOC. AGRIC. VALDIVIA A ENRIQUE VALDIVIA.- 2010 ( CTA.CTE).doc</t>
  </si>
  <si>
    <t>C:\Users\franc\OneDrive\Documentos\MALENTIN KARIME\BANCO CREDITO\FER LORCA en ROSITA (Rosita)\MANDATOS\BANCARIOS\OSCAR ROJAS.- AGOSTO 2010.doc</t>
  </si>
  <si>
    <t>C:\Users\franc\OneDrive\Documentos\MALENTIN KARIME\BANCO CREDITO\FER LORCA en ROSITA (Rosita)\MANDATOS\BANCARIOS\OMAR RODRIGUEZ.- SEPT. 2010Ç.doc</t>
  </si>
  <si>
    <t>C:\Users\franc\OneDrive\Documentos\MALENTIN KARIME\BANCO CREDITO\FER LORCA en ROSITA (Rosita)\MANDATOS\BANCARIOS\MAGALY RODRIGUEZ.- MARZO 2011.doc</t>
  </si>
  <si>
    <t>C:\Users\franc\OneDrive\Documentos\MALENTIN KARIME\BANCO CREDITO\FER LORCA en ROSITA (Rosita)\MANDATOS\BANCARIOS\LUIS CORTES C. Bco.Desarr.CAPEL.- 2010.doc</t>
  </si>
  <si>
    <t>C:\Users\franc\OneDrive\Documentos\MALENTIN KARIME\BANCO CREDITO\FER LORCA en ROSITA (Rosita)\MANDATOS\BANCARIOS\ENRIQUE VALDIVIA A ALEX VALDIVIA.- 2010 ( CTA.CTE).doc</t>
  </si>
  <si>
    <t>C:\Users\franc\OneDrive\Documentos\MALENTIN KARIME\BANCO CREDITO\FER LORCA en ROSITA (Rosita)\MANDATOS\SUC. GUERRA A ELBA VELIS.doc</t>
  </si>
  <si>
    <t>C:\Users\franc\OneDrive\Documentos\MALENTIN KARIME\BANCO CREDITO\FER LORCA en ROSITA (Rosita)\MANDATOS\ROLANDO CONCHA A MARIA MALDONADO.- ABRIL 2010 (VENTA CONYUGE).doc</t>
  </si>
  <si>
    <t>C:\Users\franc\OneDrive\Documentos\MALENTIN KARIME\BANCO CREDITO\FER LORCA en ROSITA (Rosita)\MANDATOS\OSCAR TOLEDO A NURY MARDONES (VENTA CONYUGE).doc</t>
  </si>
  <si>
    <t>C:\Users\franc\OneDrive\Documentos\MALENTIN KARIME\BANCO CREDITO\FER LORCA en ROSITA (Rosita)\MANDATOS\MANDATO PATRICIO ARAYA CASTILLO.doc</t>
  </si>
  <si>
    <t>C:\Users\franc\OneDrive\Documentos\MALENTIN KARIME\BANCO CREDITO\FER LORCA en ROSITA (Rosita)\MANDATOS\MANDATO JUDICIAL.- JOSE LUIS MARTINEZ.doc</t>
  </si>
  <si>
    <t>C:\Users\franc\OneDrive\Documentos\MALENTIN KARIME\BANCO CREDITO\FER LORCA en ROSITA (Rosita)\MANDATOS\JOSE LUIS SERIN VALLEJOS.doc</t>
  </si>
  <si>
    <t>C:\Users\franc\OneDrive\Documentos\MALENTIN KARIME\BANCO CREDITO\FER LORCA en ROSITA (Rosita)\MANDATOS\EDUARDO RETAMAL NARANJO.doc</t>
  </si>
  <si>
    <t>C:\Users\franc\OneDrive\Documentos\MALENTIN KARIME\BANCO CREDITO\FER LORCA en ROSITA (Rosita)\MANDATOS\CARLOS MUÑOZ BARRAZA.doc</t>
  </si>
  <si>
    <t>C:\Users\franc\OneDrive\Documentos\MALENTIN KARIME\BANCO CREDITO\FER LORCA en ROSITA (Rosita)\MANDATOS\AGRICOLA JULIO PORRAS.doc</t>
  </si>
  <si>
    <t>C:\Users\franc\OneDrive\Documentos\MALENTIN KARIME\BANCO CREDITO\FER LORCA en ROSITA (Rosita)\LUIS AREYUNA CORTES\ESCRITURA DE SANEAMIENTO[1]NUEVA.doc</t>
  </si>
  <si>
    <t>C:\Users\franc\OneDrive\Documentos\MALENTIN KARIME\BANCO CREDITO\FER LORCA en ROSITA (Rosita)\LUIS AREYUNA CORTES\ESCRITURA DE SANEAMIENTO.- CON EXTARCTO INCLUIDO.doc</t>
  </si>
  <si>
    <t>C:\Users\franc\OneDrive\Documentos\MALENTIN KARIME\BANCO CREDITO\FER LORCA en ROSITA (Rosita)\LUIS AREYUNA CORTES\ESCRITURA DE SANEAMIENTO .- EIRL.-.doc</t>
  </si>
  <si>
    <t>C:\Users\franc\OneDrive\Documentos\MALENTIN KARIME\BANCO CREDITO\FER LORCA en ROSITA (Rosita)\LOGROS\NOVIEMBRE\VICTOR HERRERA.doc</t>
  </si>
  <si>
    <t>C:\Users\franc\OneDrive\Documentos\MALENTIN KARIME\BANCO CREDITO\FER LORCA en ROSITA (Rosita)\LOGROS\AGOSTO 2010.-\OSCAR CORTES.doc</t>
  </si>
  <si>
    <t>C:\Users\franc\OneDrive\Documentos\MALENTIN KARIME\BANCO CREDITO\FER LORCA en ROSITA (Rosita)\LIQUIDACION SOC. CONYUGAL\MODELO.doc</t>
  </si>
  <si>
    <t>C:\Users\franc\OneDrive\Documentos\MALENTIN KARIME\BANCO CREDITO\FER LORCA en ROSITA (Rosita)\LIQUIDACION SOC. CONYUGAL\MODELO ARREGLADO.-1.doc</t>
  </si>
  <si>
    <t>C:\Users\franc\OneDrive\Documentos\MALENTIN KARIME\BANCO CREDITO\FER LORCA en ROSITA (Rosita)\LIQUIDACION SOC. CONYUGAL\MODELO ARREGLADO.-.doc</t>
  </si>
  <si>
    <t>C:\Users\franc\OneDrive\Documentos\MALENTIN KARIME\BANCO CREDITO\FER LORCA en ROSITA (Rosita)\LIQUIDACION SOC. CONYUGAL\HECTOR ARACENA.doc</t>
  </si>
  <si>
    <t>C:\Users\franc\OneDrive\Documentos\MALENTIN KARIME\BANCO CREDITO\FER LORCA en ROSITA (Rosita)\JORGE ARANCIBIA\SOCIEDAD.doc</t>
  </si>
  <si>
    <t>C:\Users\franc\OneDrive\Documentos\MALENTIN KARIME\BANCO CREDITO\FER LORCA en ROSITA (Rosita)\JORGE ARANCIBIA\SOCIEDAD MINUTA.doc</t>
  </si>
  <si>
    <t>C:\Users\franc\OneDrive\Documentos\MALENTIN KARIME\BANCO CREDITO\FER LORCA en ROSITA (Rosita)\JORGE ARANCIBIA\EXTRACTO JORGE.doc</t>
  </si>
  <si>
    <t>C:\Users\franc\OneDrive\Documentos\MALENTIN KARIME\BANCO CREDITO\FER LORCA en ROSITA (Rosita)\JORGE ARANCIBIA\EXTRACTO JORGE.- NOVIEMBRE.doc</t>
  </si>
  <si>
    <t>C:\Users\franc\OneDrive\Documentos\MALENTIN KARIME\BANCO CREDITO\FER LORCA en ROSITA (Rosita)\JORGE ARANCIBIA\CONSTITUCION DE EMPRESA INDIVIDUAL DE RESPONSABILIDAD LIMITADA.- NOVIEMBRE.-.doc</t>
  </si>
  <si>
    <t>C:\Users\franc\OneDrive\Documentos\MALENTIN KARIME\BANCO CREDITO\FER LORCA en ROSITA (Rosita)\INDAP\ROMAN TORRES ALVAREZ.- ENERO 2011.doc</t>
  </si>
  <si>
    <t>C:\Users\franc\OneDrive\Documentos\MALENTIN KARIME\BANCO CREDITO\FER LORCA en ROSITA (Rosita)\INDAP\FIRMAS.doc</t>
  </si>
  <si>
    <t>C:\Users\franc\OneDrive\Documentos\MALENTIN KARIME\BANCO CREDITO\FER LORCA en ROSITA (Rosita)\FUSION\FUSION_LOTES_ARTIGUES[1].doc</t>
  </si>
  <si>
    <t>C:\Users\franc\OneDrive\Documentos\MALENTIN KARIME\BANCO CREDITO\FER LORCA en ROSITA (Rosita)\FERRR\PUNITAQUI\MTO. PUNIT. CONTRATISTA. FERNANDO.doc</t>
  </si>
  <si>
    <t>C:\Users\franc\OneDrive\Documentos\MALENTIN KARIME\BANCO CREDITO\FER LORCA en ROSITA (Rosita)\FERRR\PUNITAQUI\MANDATO PUNITAQUI Nº  11.doc</t>
  </si>
  <si>
    <t>C:\Users\franc\OneDrive\Documentos\MALENTIN KARIME\BANCO CREDITO\FER LORCA en ROSITA (Rosita)\FERRR\PUNITAQUI\MANDATO PUNITAQUI Nº  10.doc</t>
  </si>
  <si>
    <t>C:\Users\franc\OneDrive\Documentos\MALENTIN KARIME\BANCO CREDITO\FER LORCA en ROSITA (Rosita)\FERRR\PROMESA CVTA\GADY LEVIN.doc</t>
  </si>
  <si>
    <t>C:\Users\franc\OneDrive\Documentos\MALENTIN KARIME\BANCO CREDITO\FER LORCA en ROSITA (Rosita)\FERRR\PLANILLAS AGUAS FEBRERO\PLANILLA FEBRERO.doc</t>
  </si>
  <si>
    <t>C:\Users\franc\OneDrive\Documentos\MALENTIN KARIME\BANCO CREDITO\FER LORCA en ROSITA (Rosita)\FERRR\PLANILLAS AGUAS FEBRERO\OFICIO FEBRERO.doc</t>
  </si>
  <si>
    <t>C:\Users\franc\OneDrive\Documentos\MALENTIN KARIME\BANCO CREDITO\FER LORCA en ROSITA (Rosita)\FERRR\PET\CERTIF. CAROL MARTIN PINTO.doc</t>
  </si>
  <si>
    <t>C:\Users\franc\OneDrive\Documentos\MALENTIN KARIME\BANCO CREDITO\FER LORCA en ROSITA (Rosita)\FERRR\MTO. JUDICIAL\VERONICA HERNANDEZ- A - CLAUDIO ARAYA CASTILLO.doc</t>
  </si>
  <si>
    <t>C:\Users\franc\OneDrive\Documentos\MALENTIN KARIME\BANCO CREDITO\FER LORCA en ROSITA (Rosita)\FERRR\JULIO MONTERO\MUTUO JULIO MONTERO.doc</t>
  </si>
  <si>
    <t>C:\Users\franc\OneDrive\Documentos\MALENTIN KARIME\BANCO CREDITO\FER LORCA en ROSITA (Rosita)\FERRR\FACTORONE\VICTOR ROJAS.doc</t>
  </si>
  <si>
    <t>C:\Users\franc\OneDrive\Documentos\MALENTIN KARIME\BANCO CREDITO\FER LORCA en ROSITA (Rosita)\FERRR\FACTORONE\ctt.rojas_y_ortega_ltda.[1].doc</t>
  </si>
  <si>
    <t>C:\Users\franc\OneDrive\Documentos\MALENTIN KARIME\BANCO CREDITO\FER LORCA en ROSITA (Rosita)\FERRR\COMPRAVENTA\ULISES HERRERA PIZARRO- RECTIF.-.doc</t>
  </si>
  <si>
    <t>C:\Users\franc\OneDrive\Documentos\MALENTIN KARIME\BANCO CREDITO\FER LORCA en ROSITA (Rosita)\FERRR\COMPRAVENTA\ULISES HERRERA PIZARRO- RECTIF.- modelo.doc</t>
  </si>
  <si>
    <t>C:\Users\franc\OneDrive\Documentos\MALENTIN KARIME\BANCO CREDITO\FER LORCA en ROSITA (Rosita)\FERRR\CIBERGESTION\FANNY CORTES LAZO.doc</t>
  </si>
  <si>
    <t>C:\Users\franc\OneDrive\Documentos\MALENTIN KARIME\BANCO CREDITO\FER LORCA en ROSITA (Rosita)\FERRR\CESION DERECHOS HERD\VARGAS ANITA A CARLOS MALDONADO.doc</t>
  </si>
  <si>
    <t>C:\Users\franc\OneDrive\Documentos\MALENTIN KARIME\BANCO CREDITO\FER LORCA en ROSITA (Rosita)\FERRR\CARLOS BUGUEÑO\CRUZ PALTA.doc</t>
  </si>
  <si>
    <t>C:\Users\franc\OneDrive\Documentos\MALENTIN KARIME\BANCO CREDITO\FER LORCA en ROSITA (Rosita)\FERRR\CARLOS BUGUEÑO\carta_instrucc_cruz_palta_salfate_26-02-09.doc</t>
  </si>
  <si>
    <t>C:\Users\franc\OneDrive\Documentos\MALENTIN KARIME\BANCO CREDITO\FER LORCA en ROSITA (Rosita)\FERRR\CARLOS BUGUEÑO\carta_instrucc_cruz_palta_salfate 27-02-2009.doc</t>
  </si>
  <si>
    <t>C:\Users\franc\OneDrive\Documentos\MALENTIN KARIME\BANCO CREDITO\FER LORCA en ROSITA (Rosita)\FERRR\ALZ.BCO. ESTADO\YOLANDA ALFARO ORTIZ.doc</t>
  </si>
  <si>
    <t>C:\Users\franc\OneDrive\Documentos\MALENTIN KARIME\BANCO CREDITO\FER LORCA en ROSITA (Rosita)\FERRR\ALZ.BCO. ESTADO\RAQUEL DE LAS MERCEDES ARAYA VERGARA.doc</t>
  </si>
  <si>
    <t>C:\Users\franc\OneDrive\Documentos\MALENTIN KARIME\BANCO CREDITO\FER LORCA en ROSITA (Rosita)\FERRR\ALZ.BCO. ESTADO\NESTINA TAPIA TAPIA.doc</t>
  </si>
  <si>
    <t>C:\Users\franc\OneDrive\Documentos\MALENTIN KARIME\BANCO CREDITO\FER LORCA en ROSITA (Rosita)\FERRR\ALZ.BCO. ESTADO\NANCY VEGA ADONES.doc</t>
  </si>
  <si>
    <t>C:\Users\franc\OneDrive\Documentos\MALENTIN KARIME\BANCO CREDITO\FER LORCA en ROSITA (Rosita)\FERRR\ALZ.BCO. ESTADO\LUIS RIVAS TAPIA.doc</t>
  </si>
  <si>
    <t>C:\Users\franc\OneDrive\Documentos\MALENTIN KARIME\BANCO CREDITO\FER LORCA en ROSITA (Rosita)\FERRR\ALZ.BCO. ESTADO\LAURA GOMEZ CORTES.doc</t>
  </si>
  <si>
    <t>C:\Users\franc\OneDrive\Documentos\MALENTIN KARIME\BANCO CREDITO\FER LORCA en ROSITA (Rosita)\FERRR\ALZ.BCO. ESTADO\JOSE MANUEL PEREZ CORTES.doc</t>
  </si>
  <si>
    <t>C:\Users\franc\OneDrive\Documentos\MALENTIN KARIME\BANCO CREDITO\FER LORCA en ROSITA (Rosita)\FERRR\ALZ.BCO. ESTADO\HILDA SIERRA FLORES.doc</t>
  </si>
  <si>
    <t>C:\Users\franc\OneDrive\Documentos\MALENTIN KARIME\BANCO CREDITO\FER LORCA en ROSITA (Rosita)\FERRR\ALZ.BCO. ESTADO\GLORIA VEGA ORDENES.doc</t>
  </si>
  <si>
    <t>C:\Users\franc\OneDrive\Documentos\MALENTIN KARIME\BANCO CREDITO\FER LORCA en ROSITA (Rosita)\FERRR\ALZ.BCO. ESTADO\FRANCISCA RAMIREZ PUEBLA.doc</t>
  </si>
  <si>
    <t>C:\Users\franc\OneDrive\Documentos\MALENTIN KARIME\BANCO CREDITO\FER LORCA en ROSITA (Rosita)\FERRR\ALZ.BCO. ESTADO\EDWAR HERMAN CONTRERAS CARVAJAL.doc</t>
  </si>
  <si>
    <t>C:\Users\franc\OneDrive\Documentos\MALENTIN KARIME\BANCO CREDITO\FER LORCA en ROSITA (Rosita)\FERRR\ALZ.BCO. ESTADO\ARTURO OPAZO SALFATE.doc</t>
  </si>
  <si>
    <t>C:\Users\franc\OneDrive\Documentos\MALENTIN KARIME\BANCO CREDITO\FER LORCA en ROSITA (Rosita)\FERRR\ALZ.BCO. ESTADO\ADRIAN CORTES TELLO.doc</t>
  </si>
  <si>
    <t>C:\Users\franc\OneDrive\Documentos\MALENTIN KARIME\BANCO CREDITO\FER LORCA en ROSITA (Rosita)\FERRR\ROLANDO MUÑOZ a EUGENIA PORTILLA (VENTA CONYUGE).doc</t>
  </si>
  <si>
    <t>C:\Users\franc\OneDrive\Documentos\MALENTIN KARIME\BANCO CREDITO\FER LORCA en ROSITA (Rosita)\FERRR\REVOC. MTO. CARMEN DUBO.doc</t>
  </si>
  <si>
    <t>C:\Users\franc\OneDrive\Documentos\MALENTIN KARIME\BANCO CREDITO\FER LORCA en ROSITA (Rosita)\FERRR\Repudiación Katherina Peña- CORP..doc</t>
  </si>
  <si>
    <t>C:\Users\franc\OneDrive\Documentos\MALENTIN KARIME\BANCO CREDITO\FER LORCA en ROSITA (Rosita)\FERRR\RECIBO DE DINERO.doc</t>
  </si>
  <si>
    <t>C:\Users\franc\OneDrive\Documentos\MALENTIN KARIME\BANCO CREDITO\FER LORCA en ROSITA (Rosita)\FERRR\notificacion.doc</t>
  </si>
  <si>
    <t>C:\Users\franc\OneDrive\Documentos\MALENTIN KARIME\BANCO CREDITO\FER LORCA en ROSITA (Rosita)\FERRR\MTO. PIA VAZQUEZ.doc</t>
  </si>
  <si>
    <t>C:\Users\franc\OneDrive\Documentos\MALENTIN KARIME\BANCO CREDITO\FER LORCA en ROSITA (Rosita)\FERRR\MTO. COPR. NOLVIA.doc</t>
  </si>
  <si>
    <t>C:\Users\franc\OneDrive\Documentos\MALENTIN KARIME\BANCO CREDITO\FER LORCA en ROSITA (Rosita)\FERRR\MARTIN_PINTO_CAROL_ANDREA,_corregida[1].doc</t>
  </si>
  <si>
    <t>C:\Users\franc\OneDrive\Documentos\MALENTIN KARIME\BANCO CREDITO\FER LORCA en ROSITA (Rosita)\FERRR\MARIA ALVAREZ.-MTO VENDER. C.A.A.-.doc</t>
  </si>
  <si>
    <t>C:\Users\franc\OneDrive\Documentos\MALENTIN KARIME\BANCO CREDITO\FER LORCA en ROSITA (Rosita)\FERRR\MANLIO METTIFOGO. 27-02-2009.doc</t>
  </si>
  <si>
    <t>C:\Users\franc\OneDrive\Documentos\MALENTIN KARIME\BANCO CREDITO\FER LORCA en ROSITA (Rosita)\FERRR\Mandato Judicial Silvia Cortés CORP..doc</t>
  </si>
  <si>
    <t>C:\Users\franc\OneDrive\Documentos\MALENTIN KARIME\BANCO CREDITO\FER LORCA en ROSITA (Rosita)\FERRR\MANDATO COMPLETO.doc</t>
  </si>
  <si>
    <t>C:\Users\franc\OneDrive\Documentos\MALENTIN KARIME\BANCO CREDITO\FER LORCA en ROSITA (Rosita)\FERRR\LUIS PIZARRO BARRAZA (ARREGLADA).doc</t>
  </si>
  <si>
    <t>C:\Users\franc\OneDrive\Documentos\MALENTIN KARIME\BANCO CREDITO\FER LORCA en ROSITA (Rosita)\FERRR\GUILLERMO VILLALOBOS- PROH- SERVIU.doc</t>
  </si>
  <si>
    <t>C:\Users\franc\OneDrive\Documentos\MALENTIN KARIME\BANCO CREDITO\FER LORCA en ROSITA (Rosita)\FERRR\GRIGOR GRIGORYAN C. para Comprar.doc</t>
  </si>
  <si>
    <t>C:\Users\franc\OneDrive\Documentos\MALENTIN KARIME\BANCO CREDITO\FER LORCA en ROSITA (Rosita)\FERRR\FIRMAS.doc</t>
  </si>
  <si>
    <t>C:\Users\franc\OneDrive\Documentos\MALENTIN KARIME\BANCO CREDITO\FER LORCA en ROSITA (Rosita)\FERRR\ESC. ENERO FIRMADAS.doc</t>
  </si>
  <si>
    <t>C:\Users\franc\OneDrive\Documentos\MALENTIN KARIME\BANCO CREDITO\FER LORCA en ROSITA (Rosita)\FERRR\DANIEL ARECENA - CORP..doc</t>
  </si>
  <si>
    <t>C:\Users\franc\OneDrive\Documentos\MALENTIN KARIME\BANCO CREDITO\FER LORCA en ROSITA (Rosita)\FERRR\COMUNIDAD PIEDRA LISA TULAHUEN.doc</t>
  </si>
  <si>
    <t>C:\Users\franc\OneDrive\Documentos\MALENTIN KARIME\BANCO CREDITO\FER LORCA en ROSITA (Rosita)\FERRR\COM. LORENZO PERALTA DE PUNILLA.doc</t>
  </si>
  <si>
    <t>C:\Users\franc\OneDrive\Documentos\MALENTIN KARIME\BANCO CREDITO\FER LORCA en ROSITA (Rosita)\FERRR\COM. AGRICOLA EL TOME.doc</t>
  </si>
  <si>
    <t>C:\Users\franc\OneDrive\Documentos\MALENTIN KARIME\BANCO CREDITO\FER LORCA en ROSITA (Rosita)\FERRR\CERTIFICADO LEY.  20130.doc</t>
  </si>
  <si>
    <t>C:\Users\franc\OneDrive\Documentos\MALENTIN KARIME\BANCO CREDITO\FER LORCA en ROSITA (Rosita)\FERRR\CERTIFICADO CONCENTRACION DE NOTAS.xls</t>
  </si>
  <si>
    <t>C:\Users\franc\OneDrive\Documentos\MALENTIN KARIME\BANCO CREDITO\FER LORCA en ROSITA (Rosita)\FERRR\CARTA AL C.B.R. PROT. PLANO.doc</t>
  </si>
  <si>
    <t>C:\Users\franc\OneDrive\Documentos\MALENTIN KARIME\BANCO CREDITO\FER LORCA en ROSITA (Rosita)\FERRR\AUTORIZA LIBRO PARA COPIAS.doc</t>
  </si>
  <si>
    <t>C:\Users\franc\OneDrive\Documentos\MALENTIN KARIME\BANCO CREDITO\FER LORCA en ROSITA (Rosita)\FERRR\AUT. PAGARE FACTORONE.doc</t>
  </si>
  <si>
    <t>C:\Users\franc\OneDrive\Documentos\MALENTIN KARIME\BANCO CREDITO\FER LORCA en ROSITA (Rosita)\FERRR\ASS.doc</t>
  </si>
  <si>
    <t>C:\Users\franc\OneDrive\Documentos\MALENTIN KARIME\BANCO CREDITO\FER LORCA en ROSITA (Rosita)\FERRR\AGREGA CERTIFICADO PAGO CONTRIB..doc</t>
  </si>
  <si>
    <t>C:\Users\franc\OneDrive\Documentos\MALENTIN KARIME\BANCO CREDITO\FER LORCA en ROSITA (Rosita)\FERRR\AGREGA CERTIF. SRA ANA LUISA.doc</t>
  </si>
  <si>
    <t>C:\Users\franc\OneDrive\Documentos\MALENTIN KARIME\BANCO CREDITO\FER LORCA en ROSITA (Rosita)\FERRR\acta finanza.doc</t>
  </si>
  <si>
    <t>C:\Users\franc\OneDrive\Documentos\MALENTIN KARIME\BANCO CREDITO\FER LORCA en ROSITA (Rosita)\FERRR\6º CÍA. BOMBEROS OVALLE.doc</t>
  </si>
  <si>
    <t>C:\Users\franc\OneDrive\Documentos\MALENTIN KARIME\BANCO CREDITO\FER LORCA en ROSITA (Rosita)\FERR\viviacop\BERNAL_VERA_DIONISIA_GERTUDRIS_ovalle[1].doc</t>
  </si>
  <si>
    <t>C:\Users\franc\OneDrive\Documentos\MALENTIN KARIME\BANCO CREDITO\FER LORCA en ROSITA (Rosita)\FERR\VARIOS\nota al margen 1.doc</t>
  </si>
  <si>
    <t>C:\Users\franc\OneDrive\Documentos\MALENTIN KARIME\BANCO CREDITO\FER LORCA en ROSITA (Rosita)\FERR\VARIOS\clausula.doc</t>
  </si>
  <si>
    <t>C:\Users\franc\OneDrive\Documentos\MALENTIN KARIME\BANCO CREDITO\FER LORCA en ROSITA (Rosita)\FERR\VARIOS\AUTORIZACION ESCRITRUAS CON VIGENCIA.doc</t>
  </si>
  <si>
    <t>C:\Users\franc\OneDrive\Documentos\MALENTIN KARIME\BANCO CREDITO\FER LORCA en ROSITA (Rosita)\FERR\VARIOS\AGREGA IMPUESTO MUTUO.doc</t>
  </si>
  <si>
    <t>C:\Users\franc\OneDrive\Documentos\MALENTIN KARIME\BANCO CREDITO\FER LORCA en ROSITA (Rosita)\FERR\SUBDIVISION\HUGO CORTES ZEPEDA.doc</t>
  </si>
  <si>
    <t>C:\Users\franc\OneDrive\Documentos\MALENTIN KARIME\BANCO CREDITO\FER LORCA en ROSITA (Rosita)\FERR\REVOC. MTOS\maria elorza vergara y otro.doc</t>
  </si>
  <si>
    <t>C:\Users\franc\OneDrive\Documentos\MALENTIN KARIME\BANCO CREDITO\FER LORCA en ROSITA (Rosita)\FERR\REVOC. MTOS\LAURA GALLARDO .-.doc</t>
  </si>
  <si>
    <t>C:\Users\franc\OneDrive\Documentos\MALENTIN KARIME\BANCO CREDITO\FER LORCA en ROSITA (Rosita)\FERR\REVOC. MTOS\GUERRERO ARANGUIZ JUAN CARLOS Y OTRA.doc</t>
  </si>
  <si>
    <t>C:\Users\franc\OneDrive\Documentos\MALENTIN KARIME\BANCO CREDITO\FER LORCA en ROSITA (Rosita)\FERR\PROTO\PROT. BOLETA.doc</t>
  </si>
  <si>
    <t>C:\Users\franc\OneDrive\Documentos\MALENTIN KARIME\BANCO CREDITO\FER LORCA en ROSITA (Rosita)\FERR\RECTIFICACION\ANA MARIA MUNDACA.doc</t>
  </si>
  <si>
    <t>C:\Users\franc\OneDrive\Documentos\MALENTIN KARIME\BANCO CREDITO\FER LORCA en ROSITA (Rosita)\FERR\PROTO\PAOLA.doc</t>
  </si>
  <si>
    <t>C:\Users\franc\OneDrive\Documentos\MALENTIN KARIME\BANCO CREDITO\FER LORCA en ROSITA (Rosita)\FERR\PROTO\FRANCISCO BRAVO RAMIREZ.doc</t>
  </si>
  <si>
    <t>C:\Users\franc\OneDrive\Documentos\MALENTIN KARIME\BANCO CREDITO\FER LORCA en ROSITA (Rosita)\FERR\PROTO\FRANCISCO BRAVO RAMIREZ 2.doc</t>
  </si>
  <si>
    <t>C:\Users\franc\OneDrive\Documentos\MALENTIN KARIME\BANCO CREDITO\FER LORCA en ROSITA (Rosita)\FERR\PROTO\DECLARACION JURADA.doc</t>
  </si>
  <si>
    <t>C:\Users\franc\OneDrive\Documentos\MALENTIN KARIME\BANCO CREDITO\FER LORCA en ROSITA (Rosita)\FERR\PROTO\DECLARACION JURADA KAREN DIAZ.doc</t>
  </si>
  <si>
    <t>C:\Users\franc\OneDrive\Documentos\MALENTIN KARIME\BANCO CREDITO\FER LORCA en ROSITA (Rosita)\FERR\PROTO\BOMBEROS 1º COMPAÑIA OVALLE.doc</t>
  </si>
  <si>
    <t>C:\Users\franc\OneDrive\Documentos\MALENTIN KARIME\BANCO CREDITO\FER LORCA en ROSITA (Rosita)\FERR\PROT. SOC\SOC. AGRIC. CORTES CORRAL LTDA.doc</t>
  </si>
  <si>
    <t>C:\Users\franc\OneDrive\Documentos\MALENTIN KARIME\BANCO CREDITO\FER LORCA en ROSITA (Rosita)\FERR\PROT. SOC\AGRICOLA STA. JULIA LTDA.doc</t>
  </si>
  <si>
    <t>C:\Users\franc\OneDrive\Documentos\MALENTIN KARIME\BANCO CREDITO\FER LORCA en ROSITA (Rosita)\FERR\PROT. SOC\AGRIC. E INV. MARYLO LTDA.- CORTES CORRAÑ.doc</t>
  </si>
  <si>
    <t>C:\Users\franc\OneDrive\Documentos\MALENTIN KARIME\BANCO CREDITO\FER LORCA en ROSITA (Rosita)\FERR\PROHIBICION\ROBERTO PIZARRO.doc</t>
  </si>
  <si>
    <t>C:\Users\franc\OneDrive\Documentos\MALENTIN KARIME\BANCO CREDITO\FER LORCA en ROSITA (Rosita)\FERR\PROHIBICION\LUIS PIZARRO BARRAZA.doc</t>
  </si>
  <si>
    <t>C:\Users\franc\OneDrive\Documentos\MALENTIN KARIME\BANCO CREDITO\FER LORCA en ROSITA (Rosita)\FERR\PROHIBICION\DIGNA PEREZ.doc</t>
  </si>
  <si>
    <t>C:\Users\franc\OneDrive\Documentos\MALENTIN KARIME\BANCO CREDITO\FER LORCA en ROSITA (Rosita)\FERR\PROHIBICION\AROLINDA OLIVARES.doc</t>
  </si>
  <si>
    <t>C:\Users\franc\OneDrive\Documentos\MALENTIN KARIME\BANCO CREDITO\FER LORCA en ROSITA (Rosita)\FERR\PLANILLAS AGUAS\MARZO.-\PLANILLA ENERO.doc</t>
  </si>
  <si>
    <t>C:\Users\franc\OneDrive\Documentos\MALENTIN KARIME\BANCO CREDITO\FER LORCA en ROSITA (Rosita)\FERR\PLANILLAS AGUAS\MARZO.-\OFICIO MARZO 2009.doc</t>
  </si>
  <si>
    <t>C:\Users\franc\OneDrive\Documentos\MALENTIN KARIME\BANCO CREDITO\FER LORCA en ROSITA (Rosita)\FERR\PLANILLAS AGUAS\MARZO.-\OFICIO ENERO 2009.doc</t>
  </si>
  <si>
    <t>C:\Users\franc\OneDrive\Documentos\MALENTIN KARIME\BANCO CREDITO\FER LORCA en ROSITA (Rosita)\FERR\PLANILLAS AGUAS\PLANILLA MAYO.doc</t>
  </si>
  <si>
    <t>C:\Users\franc\OneDrive\Documentos\MALENTIN KARIME\BANCO CREDITO\FER LORCA en ROSITA (Rosita)\FERR\PLANILLAS AGUAS\PLANILLA ABRIL.doc</t>
  </si>
  <si>
    <t>C:\Users\franc\OneDrive\Documentos\MALENTIN KARIME\BANCO CREDITO\FER LORCA en ROSITA (Rosita)\FERR\PLANILLAS AGUAS\OFICIO MAYO.doc</t>
  </si>
  <si>
    <t>C:\Users\franc\OneDrive\Documentos\MALENTIN KARIME\BANCO CREDITO\FER LORCA en ROSITA (Rosita)\FERR\PLANILLAS AGUAS\OFICIO ABRIL.doc</t>
  </si>
  <si>
    <t>C:\Users\franc\OneDrive\Documentos\MALENTIN KARIME\BANCO CREDITO\FER LORCA en ROSITA (Rosita)\FERR\NOTARIO SUPLENTE\ROBERTO VEGA 26-01-09.doc</t>
  </si>
  <si>
    <t>C:\Users\franc\OneDrive\Documentos\MALENTIN KARIME\BANCO CREDITO\FER LORCA en ROSITA (Rosita)\FERR\NOTARIO SUPLENTE\MANLIO METTIFOGO.doc</t>
  </si>
  <si>
    <t>C:\Users\franc\OneDrive\Documentos\MALENTIN KARIME\BANCO CREDITO\FER LORCA en ROSITA (Rosita)\FERR\NOTARIO SUPLENTE\MANLIO METTIFOGO 13-02-2009.doc</t>
  </si>
  <si>
    <t>C:\Users\franc\OneDrive\Documentos\MALENTIN KARIME\BANCO CREDITO\FER LORCA en ROSITA (Rosita)\FERR\MANDATOS MINEROS\CUNACO UNO DEL 1 AL 100.doc</t>
  </si>
  <si>
    <t>C:\Users\franc\OneDrive\Documentos\MALENTIN KARIME\BANCO CREDITO\FER LORCA en ROSITA (Rosita)\FERR\MANDATOS MINEROS\CUNACO DOS 1 al 20.doc</t>
  </si>
  <si>
    <t>C:\Users\franc\OneDrive\Documentos\MALENTIN KARIME\BANCO CREDITO\FER LORCA en ROSITA (Rosita)\FERR\MANDATOS\ZUNILDA ALFARO  Y ESPOSO A SU HERMANA (DERECHOS).doc</t>
  </si>
  <si>
    <t>C:\Users\franc\OneDrive\Documentos\MALENTIN KARIME\BANCO CREDITO\FER LORCA en ROSITA (Rosita)\FERR\MANDATOS\VICTORIA SALAZAR. a LUIS GALLARDO.doc</t>
  </si>
  <si>
    <t>C:\Users\franc\OneDrive\Documentos\MALENTIN KARIME\BANCO CREDITO\FER LORCA en ROSITA (Rosita)\FERR\MANDATOS\RUTH VEGA - EUGENIO RIVAS.doc</t>
  </si>
  <si>
    <t>C:\Users\franc\OneDrive\Documentos\MALENTIN KARIME\BANCO CREDITO\FER LORCA en ROSITA (Rosita)\FERR\MANDATOS\PEDRO MARIN.doc</t>
  </si>
  <si>
    <t>C:\Users\franc\OneDrive\Documentos\MALENTIN KARIME\BANCO CREDITO\FER LORCA en ROSITA (Rosita)\FERR\MANDATOS\PAOLA SANTANDER A RAFAEL MACHULAS JUDIC..doc</t>
  </si>
  <si>
    <t>C:\Users\franc\OneDrive\Documentos\MALENTIN KARIME\BANCO CREDITO\FER LORCA en ROSITA (Rosita)\FERR\MANDATOS\PAOLA SANTANDER A RAFAEL  DIAZ MACHULAS.doc</t>
  </si>
  <si>
    <t>C:\Users\franc\OneDrive\Documentos\MALENTIN KARIME\BANCO CREDITO\FER LORCA en ROSITA (Rosita)\FERR\MANDATOS\notificacion.doc</t>
  </si>
  <si>
    <t>C:\Users\franc\OneDrive\Documentos\MALENTIN KARIME\BANCO CREDITO\FER LORCA en ROSITA (Rosita)\FERR\MANDATOS\MTO. CORP. LUIS CAMPUSANO MONDACA.doc</t>
  </si>
  <si>
    <t>C:\Users\franc\OneDrive\Documentos\MALENTIN KARIME\BANCO CREDITO\FER LORCA en ROSITA (Rosita)\FERR\MANDATOS\MANUEL  MARILEO A CARMEN EUGENIN.- JUDIC..doc</t>
  </si>
  <si>
    <t>C:\Users\franc\OneDrive\Documentos\MALENTIN KARIME\BANCO CREDITO\FER LORCA en ROSITA (Rosita)\FERR\MANDATOS\Mandato_Judicial_REINALDO ALFARO.doc</t>
  </si>
  <si>
    <t>C:\Users\franc\OneDrive\Documentos\MALENTIN KARIME\BANCO CREDITO\FER LORCA en ROSITA (Rosita)\FERR\MANDATOS\Mandato_Judicial_LILIANA JOFRE.doc</t>
  </si>
  <si>
    <t>C:\Users\franc\OneDrive\Documentos\MALENTIN KARIME\BANCO CREDITO\FER LORCA en ROSITA (Rosita)\FERR\MANDATOS\LUIS NARVAEZ.doc</t>
  </si>
  <si>
    <t>C:\Users\franc\OneDrive\Documentos\MALENTIN KARIME\BANCO CREDITO\FER LORCA en ROSITA (Rosita)\FERR\MANDATOS\LUIS CORTES A RICARDO SEPULVEDA C.doc</t>
  </si>
  <si>
    <t>C:\Users\franc\OneDrive\Documentos\MALENTIN KARIME\BANCO CREDITO\FER LORCA en ROSITA (Rosita)\FERR\MANDATOS\LAURA GALLARDO.- MTO. GENERAL.doc</t>
  </si>
  <si>
    <t>C:\Users\franc\OneDrive\Documentos\MALENTIN KARIME\BANCO CREDITO\FER LORCA en ROSITA (Rosita)\FERR\MANDATOS\GUSTAVO YAÑEZ A MABEL.doc</t>
  </si>
  <si>
    <t>C:\Users\franc\OneDrive\Documentos\MALENTIN KARIME\BANCO CREDITO\FER LORCA en ROSITA (Rosita)\FERR\MANDATOS\GODOFREDO GONZALEZ A ALFREDO VILLAGRAN.doc</t>
  </si>
  <si>
    <t>C:\Users\franc\OneDrive\Documentos\MALENTIN KARIME\BANCO CREDITO\FER LORCA en ROSITA (Rosita)\FERR\MANDATO PUNIT\MANDATO PUNITAQUI Nº  9.doc</t>
  </si>
  <si>
    <t>C:\Users\franc\OneDrive\Documentos\MALENTIN KARIME\BANCO CREDITO\FER LORCA en ROSITA (Rosita)\FERR\MANDATO PUNIT\MANDATO PUNITAQUI Nº  8.doc</t>
  </si>
  <si>
    <t>C:\Users\franc\OneDrive\Documentos\MALENTIN KARIME\BANCO CREDITO\FER LORCA en ROSITA (Rosita)\FERR\MANDATO PUNIT\MANDATO PUNITAQUI Nº  7.doc</t>
  </si>
  <si>
    <t>C:\Users\franc\OneDrive\Documentos\MALENTIN KARIME\BANCO CREDITO\FER LORCA en ROSITA (Rosita)\FERR\LOGROS\LUIS_ARAYA_CASTRO[1].doc</t>
  </si>
  <si>
    <t>C:\Users\franc\OneDrive\Documentos\MALENTIN KARIME\BANCO CREDITO\FER LORCA en ROSITA (Rosita)\FERR\FACTORONE\LABRIANA RODRIGUEZ.doc</t>
  </si>
  <si>
    <t>C:\Users\franc\OneDrive\Documentos\MALENTIN KARIME\BANCO CREDITO\FER LORCA en ROSITA (Rosita)\FERR\FACTORONE\ESTER ZEPEDA.doc</t>
  </si>
  <si>
    <t>C:\Users\franc\OneDrive\Documentos\MALENTIN KARIME\BANCO CREDITO\FER LORCA en ROSITA (Rosita)\FERR\FACTORONE\autorizacion_dep_otra_cuenta[1].doc</t>
  </si>
  <si>
    <t>C:\Users\franc\OneDrive\Documentos\MALENTIN KARIME\BANCO CREDITO\FER LORCA en ROSITA (Rosita)\FERR\FACTORONE\ALIRO FLORES.doc</t>
  </si>
  <si>
    <t>C:\Users\franc\OneDrive\Documentos\MALENTIN KARIME\BANCO CREDITO\FER LORCA en ROSITA (Rosita)\FERR\DABED\MANDATO_BIPERSONAL2[1].doc</t>
  </si>
  <si>
    <t>C:\Users\franc\OneDrive\Documentos\MALENTIN KARIME\BANCO CREDITO\FER LORCA en ROSITA (Rosita)\FERR\DABED\mandato. dabed.doc</t>
  </si>
  <si>
    <t>C:\Users\franc\OneDrive\Documentos\MALENTIN KARIME\BANCO CREDITO\FER LORCA en ROSITA (Rosita)\FERR\DABED\ARRIENDO MARIA DIAZ Y CIA LTDA..doc</t>
  </si>
  <si>
    <t>C:\Users\franc\OneDrive\Documentos\MALENTIN KARIME\BANCO CREDITO\FER LORCA en ROSITA (Rosita)\FERR\CVTA. AGUAS\GILBERTO CABEZAS A FRANCO DALBOSCO.doc</t>
  </si>
  <si>
    <t>C:\Users\franc\OneDrive\Documentos\MALENTIN KARIME\BANCO CREDITO\FER LORCA en ROSITA (Rosita)\FERR\COMPRAVENTA\BIENES MUEBLES\MODELO.doc</t>
  </si>
  <si>
    <t>C:\Users\franc\OneDrive\Documentos\MALENTIN KARIME\BANCO CREDITO\FER LORCA en ROSITA (Rosita)\FERR\COMPRAVENTA\ULISES HERRERA PIZARRO.doc</t>
  </si>
  <si>
    <t>C:\Users\franc\OneDrive\Documentos\MALENTIN KARIME\BANCO CREDITO\FER LORCA en ROSITA (Rosita)\FERR\COMPRAVENTA\HUGO CORTES - BUGUEÑO.doc</t>
  </si>
  <si>
    <t>C:\Users\franc\OneDrive\Documentos\MALENTIN KARIME\BANCO CREDITO\FER LORCA en ROSITA (Rosita)\FERR\COMPRAVENTA\AMALIA VEGA A PAOLA ADARO.doc</t>
  </si>
  <si>
    <t>C:\Users\franc\OneDrive\Documentos\MALENTIN KARIME\BANCO CREDITO\FER LORCA en ROSITA (Rosita)\FERR\CIBERGESTION\FANNY_CORTES_LAZO[1].doc</t>
  </si>
  <si>
    <t>C:\Users\franc\OneDrive\Documentos\MALENTIN KARIME\BANCO CREDITO\FER LORCA en ROSITA (Rosita)\FERR\CESION DERECHOS HEREDITARIOS\ROJAS MILLA A DOMINGA ROJAS M..doc</t>
  </si>
  <si>
    <t>C:\Users\franc\OneDrive\Documentos\MALENTIN KARIME\BANCO CREDITO\FER LORCA en ROSITA (Rosita)\FERR\CESION DERECHOS HEREDITARIOS\MIRZIA OTRA.doc</t>
  </si>
  <si>
    <t>C:\Users\franc\OneDrive\Documentos\MALENTIN KARIME\BANCO CREDITO\FER LORCA en ROSITA (Rosita)\FERR\CESION DERECHOS HEREDITARIOS\MIRZIA MAZUELA A BERTA LUCO.doc</t>
  </si>
  <si>
    <t>C:\Users\franc\OneDrive\Documentos\MALENTIN KARIME\BANCO CREDITO\FER LORCA en ROSITA (Rosita)\FERR\CESION DERECHOS HEREDITARIOS\GRACIELA  VARELA.- SOLA.doc</t>
  </si>
  <si>
    <t>C:\Users\franc\OneDrive\Documentos\MALENTIN KARIME\BANCO CREDITO\FER LORCA en ROSITA (Rosita)\FERR\CESION DERECHOS HEREDITARIOS\FRANCO JOFRE A. Y OTROS A NORMA JOFRE.doc</t>
  </si>
  <si>
    <t>C:\Users\franc\OneDrive\Documentos\MALENTIN KARIME\BANCO CREDITO\FER LORCA en ROSITA (Rosita)\FERR\BANCO ESTADO\ROSA PINEDA CACERES.doc</t>
  </si>
  <si>
    <t>C:\Users\franc\OneDrive\Documentos\MALENTIN KARIME\BANCO CREDITO\FER LORCA en ROSITA (Rosita)\FERR\BANCO ESTADO\MERCEDES TORRES CONTADOR.doc</t>
  </si>
  <si>
    <t>C:\Users\franc\OneDrive\Documentos\MALENTIN KARIME\BANCO CREDITO\FER LORCA en ROSITA (Rosita)\FERR\BANCO ESTADO\HECTOR ROJAS MARTINEZ.doc</t>
  </si>
  <si>
    <t>C:\Users\franc\OneDrive\Documentos\MALENTIN KARIME\BANCO CREDITO\FER LORCA en ROSITA (Rosita)\FERR\ALZ. MUNICIP. OVALLE\PATRICIA MEDALLA CASTILLO.doc</t>
  </si>
  <si>
    <t>C:\Users\franc\OneDrive\Documentos\MALENTIN KARIME\BANCO CREDITO\FER LORCA en ROSITA (Rosita)\FERR\ALZ. MUNICIP. OVALLE\JUANA ADAOS MEDALLA.doc</t>
  </si>
  <si>
    <t>C:\Users\franc\OneDrive\Documentos\MALENTIN KARIME\BANCO CREDITO\FER LORCA en ROSITA (Rosita)\FERR\SDTO. T. ARENEROS.doc</t>
  </si>
  <si>
    <t>C:\Users\franc\OneDrive\Documentos\MALENTIN KARIME\BANCO CREDITO\FER LORCA en ROSITA (Rosita)\FERR\MODELO   FORMULARIO  24.doc</t>
  </si>
  <si>
    <t>C:\Users\franc\OneDrive\Documentos\MALENTIN KARIME\BANCO CREDITO\FER LORCA en ROSITA (Rosita)\FERR\MARIA ALVAREZ HENRIQUEZ.doc</t>
  </si>
  <si>
    <t>C:\Users\franc\OneDrive\Documentos\MALENTIN KARIME\BANCO CREDITO\FER LORCA en ROSITA (Rosita)\FERR\LAURA GALLARDO A FELIX GALLARDO. MTO. VENDER.doc</t>
  </si>
  <si>
    <t>C:\Users\franc\OneDrive\Documentos\MALENTIN KARIME\BANCO CREDITO\FER LORCA en ROSITA (Rosita)\FERR\INSTRUCCIONES CONTRATO DE PROVISIÓN DE LOS SERVICIOS DE MANTENIMIENTO Y MEJORAMIENTO DEL ALUMBRADO PÚBLICO DE OVALLE.doc</t>
  </si>
  <si>
    <t>C:\Users\franc\OneDrive\Documentos\MALENTIN KARIME\BANCO CREDITO\FER LORCA en ROSITA (Rosita)\FERR\INFORMATIVO.doc</t>
  </si>
  <si>
    <t>C:\Users\franc\OneDrive\Documentos\MALENTIN KARIME\BANCO CREDITO\FER LORCA en ROSITA (Rosita)\FERR\Gustavo Yañez.doc</t>
  </si>
  <si>
    <t>C:\Users\franc\OneDrive\Documentos\MALENTIN KARIME\BANCO CREDITO\FER LORCA en ROSITA (Rosita)\FERR\GMO. ARAYA ALVAREZ Cta.Cte. CORPBANCA.doc</t>
  </si>
  <si>
    <t>C:\Users\franc\OneDrive\Documentos\MALENTIN KARIME\BANCO CREDITO\FER LORCA en ROSITA (Rosita)\FERR\frases.doc</t>
  </si>
  <si>
    <t>C:\Users\franc\OneDrive\Documentos\MALENTIN KARIME\BANCO CREDITO\FER LORCA en ROSITA (Rosita)\FERR\FIRMAS.doc</t>
  </si>
  <si>
    <t>C:\Users\franc\OneDrive\Documentos\MALENTIN KARIME\BANCO CREDITO\FER LORCA en ROSITA (Rosita)\FERR\FACTORING.doc</t>
  </si>
  <si>
    <t>C:\Users\franc\OneDrive\Documentos\MALENTIN KARIME\BANCO CREDITO\FER LORCA en ROSITA (Rosita)\FERR\CUOTAS TRAJES.doc</t>
  </si>
  <si>
    <t>C:\Users\franc\OneDrive\Documentos\MALENTIN KARIME\BANCO CREDITO\FER LORCA en ROSITA (Rosita)\FERR\CARTA.doc</t>
  </si>
  <si>
    <t>C:\Users\franc\OneDrive\Documentos\MALENTIN KARIME\BANCO CREDITO\FER LORCA en ROSITA (Rosita)\FERR\AUTORIZACION DIARIO digital.doc</t>
  </si>
  <si>
    <t>C:\Users\franc\OneDrive\Documentos\MALENTIN KARIME\BANCO CREDITO\FER LORCA en ROSITA (Rosita)\FERR\AUTORIZA LIBRO PARA COPIAS.doc</t>
  </si>
  <si>
    <t>C:\Users\franc\OneDrive\Documentos\MALENTIN KARIME\BANCO CREDITO\FER LORCA en ROSITA (Rosita)\FERR\AUTORIZA LIBRO PARA COPIAS HORIZ..doc</t>
  </si>
  <si>
    <t>C:\Users\franc\OneDrive\Documentos\MALENTIN KARIME\BANCO CREDITO\FER LORCA en ROSITA (Rosita)\FERR\AUT. PAGARE FACTORONE.doc</t>
  </si>
  <si>
    <t>C:\Users\franc\OneDrive\Documentos\MALENTIN KARIME\BANCO CREDITO\FER LORCA en ROSITA (Rosita)\FERR\aut. firmas.-.doc</t>
  </si>
  <si>
    <t>C:\Users\franc\OneDrive\Documentos\MALENTIN KARIME\BANCO CREDITO\FER LORCA en ROSITA (Rosita)\FERR\ASS.doc</t>
  </si>
  <si>
    <t>C:\Users\franc\OneDrive\Documentos\MALENTIN KARIME\BANCO CREDITO\FER LORCA en ROSITA (Rosita)\FERR\AMADIEL DEL ROSARIO ROJO....PET.doc</t>
  </si>
  <si>
    <t>C:\Users\franc\OneDrive\Documentos\MALENTIN KARIME\BANCO CREDITO\FER LORCA en ROSITA (Rosita)\FERR\ALIRO ROJAS OCHOA.doc</t>
  </si>
  <si>
    <t>C:\Users\franc\OneDrive\Documentos\MALENTIN KARIME\BANCO CREDITO\FER LORCA en ROSITA (Rosita)\FERR\ALCONES SRA.ELIANA LOPEZ.doc</t>
  </si>
  <si>
    <t>C:\Users\franc\OneDrive\Documentos\MALENTIN KARIME\BANCO CREDITO\FER LORCA en ROSITA (Rosita)\FERNANDO SANCHEZ\CONTRATO DE MUTUO DE DINERO A_W..doc</t>
  </si>
  <si>
    <t>C:\Users\franc\OneDrive\Documentos\MALENTIN KARIME\BANCO CREDITO\FER LORCA en ROSITA (Rosita)\FERNANDO SANCHEZ\ARRIENDO_ MINA SAN FELIX_E.I.R.L..doc</t>
  </si>
  <si>
    <t>C:\Users\franc\OneDrive\Documentos\MALENTIN KARIME\BANCO CREDITO\FER LORCA en ROSITA (Rosita)\FER\sergio peralta\TRANSACCION__VILLALON15ENERO2009_UV_not_cabrera[1].doc</t>
  </si>
  <si>
    <t>C:\Users\franc\OneDrive\Documentos\MALENTIN KARIME\BANCO CREDITO\FER LORCA en ROSITA (Rosita)\FER\sergio peralta\TRANSACCION.doc</t>
  </si>
  <si>
    <t>C:\Users\franc\OneDrive\Documentos\MALENTIN KARIME\BANCO CREDITO\FER LORCA en ROSITA (Rosita)\FER\ROBERTO VEGA\minuta compraventa.doc</t>
  </si>
  <si>
    <t>C:\Users\franc\OneDrive\Documentos\MALENTIN KARIME\BANCO CREDITO\FER LORCA en ROSITA (Rosita)\FER\ROBERTO VEGA\COMPRAVENTA ACUÑA.doc</t>
  </si>
  <si>
    <t>C:\Users\franc\OneDrive\Documentos\MALENTIN KARIME\BANCO CREDITO\FER LORCA en ROSITA (Rosita)\FER\ROBERTO VEGA\COMPLEMENTACION.doc</t>
  </si>
  <si>
    <t>C:\Users\franc\OneDrive\Documentos\MALENTIN KARIME\BANCO CREDITO\FER LORCA en ROSITA (Rosita)\FER\ROBERTO VEGA\COMPLEMENTACION 15-01-2009.doc</t>
  </si>
  <si>
    <t>C:\Users\franc\OneDrive\Documentos\MALENTIN KARIME\BANCO CREDITO\FER LORCA en ROSITA (Rosita)\FER\ROBERTO VEGA\COM. AGUAS CANAL EL RANCHO.doc</t>
  </si>
  <si>
    <t>C:\Users\franc\OneDrive\Documentos\MALENTIN KARIME\BANCO CREDITO\FER LORCA en ROSITA (Rosita)\FER\RED. ESCRITURA\ACTA_PRIMERA_ASAMBLEA_COMUNIDAD_DE_AGUAS_CANAL_EL_RANCHO[1].doc</t>
  </si>
  <si>
    <t>C:\Users\franc\OneDrive\Documentos\MALENTIN KARIME\BANCO CREDITO\FER LORCA en ROSITA (Rosita)\FER\RED. ESCRITURA\ACTA JTA EXTRAORD AGROVAL 12.01.09.doc</t>
  </si>
  <si>
    <t>C:\Users\franc\OneDrive\Documentos\MALENTIN KARIME\BANCO CREDITO\FER LORCA en ROSITA (Rosita)\FER\RED. ESCRITURA\ACCIONISTAS AGROVAL.doc</t>
  </si>
  <si>
    <t>C:\Users\franc\OneDrive\Documentos\MALENTIN KARIME\BANCO CREDITO\FER LORCA en ROSITA (Rosita)\FER\PUNIT. TERMINADOS\MODELO FIRMAS 1.doc</t>
  </si>
  <si>
    <t>C:\Users\franc\OneDrive\Documentos\MALENTIN KARIME\BANCO CREDITO\FER LORCA en ROSITA (Rosita)\FER\PUNIT. TERMINADOS\MANDATO PUNITAQUI Nº 6.doc</t>
  </si>
  <si>
    <t>C:\Users\franc\OneDrive\Documentos\MALENTIN KARIME\BANCO CREDITO\FER LORCA en ROSITA (Rosita)\FER\PUNIT. TERMINADOS\MANDATO PUNITAQUI Nº 5.doc</t>
  </si>
  <si>
    <t>C:\Users\franc\OneDrive\Documentos\MALENTIN KARIME\BANCO CREDITO\FER LORCA en ROSITA (Rosita)\FER\PUNIT. TERMINADOS\MANDATO PUNITAQUI 4.doc</t>
  </si>
  <si>
    <t>C:\Users\franc\OneDrive\Documentos\MALENTIN KARIME\BANCO CREDITO\FER LORCA en ROSITA (Rosita)\FER\PUNIT. TERMINADOS\MANDATO PUNITAQUI 3.doc</t>
  </si>
  <si>
    <t>C:\Users\franc\OneDrive\Documentos\MALENTIN KARIME\BANCO CREDITO\FER LORCA en ROSITA (Rosita)\FER\PROTOCOLIZACION\TRANSACCION\TRANSACCION DIVORCIO.doc</t>
  </si>
  <si>
    <t>C:\Users\franc\OneDrive\Documentos\MALENTIN KARIME\BANCO CREDITO\FER LORCA en ROSITA (Rosita)\FER\PROTOCOLIZACION\PAOLA CARVAJAL VALENZUELA.doc</t>
  </si>
  <si>
    <t>C:\Users\franc\OneDrive\Documentos\MALENTIN KARIME\BANCO CREDITO\FER LORCA en ROSITA (Rosita)\FER\PROTOCOLIZACION\FACTORING.doc</t>
  </si>
  <si>
    <t>C:\Users\franc\OneDrive\Documentos\MALENTIN KARIME\BANCO CREDITO\FER LORCA en ROSITA (Rosita)\FER\PROTOCOLIZACION\COMUNIDAD DE ORURO.doc</t>
  </si>
  <si>
    <t>C:\Users\franc\OneDrive\Documentos\MALENTIN KARIME\BANCO CREDITO\FER LORCA en ROSITA (Rosita)\FER\PROTOCOLIZACION\AUTORIZA LIBRO PARA COPIAS.doc</t>
  </si>
  <si>
    <t>C:\Users\franc\OneDrive\Documentos\MALENTIN KARIME\BANCO CREDITO\FER LORCA en ROSITA (Rosita)\FER\PROTOCOLIZACION\ADOLFO LAY.- 17-01-09.doc</t>
  </si>
  <si>
    <t>C:\Users\franc\OneDrive\Documentos\MALENTIN KARIME\BANCO CREDITO\FER LORCA en ROSITA (Rosita)\FER\PROTOCOLIZACION\3º CIA. BOMBEROS.doc</t>
  </si>
  <si>
    <t>C:\Users\franc\OneDrive\Documentos\MALENTIN KARIME\BANCO CREDITO\FER LORCA en ROSITA (Rosita)\FER\PROTOCOLIZACION\3º CIA. BOMBEROS MANDATO.doc</t>
  </si>
  <si>
    <t>C:\Users\franc\OneDrive\Documentos\MALENTIN KARIME\BANCO CREDITO\FER LORCA en ROSITA (Rosita)\FER\PROMESAS\VEHICULO\JUAN F. TAPIA Y ROBERTO DIAZ.doc</t>
  </si>
  <si>
    <t>C:\Users\franc\OneDrive\Documentos\MALENTIN KARIME\BANCO CREDITO\FER LORCA en ROSITA (Rosita)\FER\PROMESAS\VEHICULO\ADOLFO ARAYA A RICARDO ZAMORA.doc</t>
  </si>
  <si>
    <t>C:\Users\franc\OneDrive\Documentos\MALENTIN KARIME\BANCO CREDITO\FER LORCA en ROSITA (Rosita)\FER\MUNIC. OVALLE\ALZAMIENTOS\PATRICIA MEDALLA CASTILLO.doc</t>
  </si>
  <si>
    <t>C:\Users\franc\OneDrive\Documentos\MALENTIN KARIME\BANCO CREDITO\FER LORCA en ROSITA (Rosita)\FER\MAº INES CORTES CORRAL\MAº CORTES CORRAL.doc</t>
  </si>
  <si>
    <t>C:\Users\franc\OneDrive\Documentos\MALENTIN KARIME\BANCO CREDITO\FER LORCA en ROSITA (Rosita)\FER\MAº INES CORTES CORRAL\MANDATO MAº CORTES CORRAL.doc</t>
  </si>
  <si>
    <t>C:\Users\franc\OneDrive\Documentos\MALENTIN KARIME\BANCO CREDITO\FER LORCA en ROSITA (Rosita)\FER\MAº INES CORTES CORRAL\1.doc</t>
  </si>
  <si>
    <t>C:\Users\franc\OneDrive\Documentos\MALENTIN KARIME\BANCO CREDITO\FER LORCA en ROSITA (Rosita)\FER\MANDATO JUDICIAL\PEDRO LEIVA A FELIX OSSANDON.doc</t>
  </si>
  <si>
    <t>C:\Users\franc\OneDrive\Documentos\MALENTIN KARIME\BANCO CREDITO\FER LORCA en ROSITA (Rosita)\FER\MANDATO JUDICIAL\PAOLA PAZ A J.P. CORRAL.doc</t>
  </si>
  <si>
    <t>C:\Users\franc\OneDrive\Documentos\MALENTIN KARIME\BANCO CREDITO\FER LORCA en ROSITA (Rosita)\FER\MANDATO JUDICIAL\MARIO ALVAREZ A E. RIVAS. JUDIC..doc</t>
  </si>
  <si>
    <t>C:\Users\franc\OneDrive\Documentos\MALENTIN KARIME\BANCO CREDITO\FER LORCA en ROSITA (Rosita)\FER\MANDATO JUDICIAL\INVENTARIO SIMPLE CASA.doc</t>
  </si>
  <si>
    <t>C:\Users\franc\OneDrive\Documentos\MALENTIN KARIME\BANCO CREDITO\FER LORCA en ROSITA (Rosita)\FER\MANDATO JUDICIAL\FERNANDO SANCHEZ VILCHES.doc</t>
  </si>
  <si>
    <t>C:\Users\franc\OneDrive\Documentos\MALENTIN KARIME\BANCO CREDITO\FER LORCA en ROSITA (Rosita)\FER\SINOPSIS DOCUMENTAL.doc</t>
  </si>
  <si>
    <t>C:\Users\franc\OneDrive\Documentos\MALENTIN KARIME\BANCO CREDITO\FER LORCA en ROSITA (Rosita)\FER\MTO. ESPECIAL BRUNILDA CARVAJAL.doc</t>
  </si>
  <si>
    <t>C:\Users\franc\OneDrive\Documentos\MALENTIN KARIME\BANCO CREDITO\FER LORCA en ROSITA (Rosita)\FER\MTO. CONTRATISTA.doc</t>
  </si>
  <si>
    <t>C:\Users\franc\OneDrive\Documentos\MALENTIN KARIME\BANCO CREDITO\FER LORCA en ROSITA (Rosita)\FER\MTO. CONT. HECTOR VELIZ.doc</t>
  </si>
  <si>
    <t>C:\Users\franc\OneDrive\Documentos\MALENTIN KARIME\BANCO CREDITO\FER LORCA en ROSITA (Rosita)\FER\MANDATO ESPECIAL CHEQUES.doc</t>
  </si>
  <si>
    <t>C:\Users\franc\OneDrive\Documentos\MALENTIN KARIME\BANCO CREDITO\FER LORCA en ROSITA (Rosita)\FER\FIRMAS.doc</t>
  </si>
  <si>
    <t>C:\Users\franc\OneDrive\Documentos\MALENTIN KARIME\BANCO CREDITO\FER LORCA en ROSITA (Rosita)\FER\DORALISA CASTILLO Chq. Capel.doc</t>
  </si>
  <si>
    <t>C:\Users\franc\OneDrive\Documentos\MALENTIN KARIME\BANCO CREDITO\FER LORCA en ROSITA (Rosita)\FER\DECLARACION MODELO.doc</t>
  </si>
  <si>
    <t>C:\Users\franc\OneDrive\Documentos\MALENTIN KARIME\BANCO CREDITO\FER LORCA en ROSITA (Rosita)\FER\CERTIFICACION COPIA MATRIZ.doc</t>
  </si>
  <si>
    <t>C:\Users\franc\OneDrive\Documentos\MALENTIN KARIME\BANCO CREDITO\FER LORCA en ROSITA (Rosita)\FER\AUT. FIRMAS.doc</t>
  </si>
  <si>
    <t>C:\Users\franc\OneDrive\Documentos\MALENTIN KARIME\BANCO CREDITO\FER LORCA en ROSITA (Rosita)\FER\ASS.doc</t>
  </si>
  <si>
    <t>C:\Users\franc\OneDrive\Documentos\MALENTIN KARIME\BANCO CREDITO\FER LORCA en ROSITA (Rosita)\FACTORONE\SEPTIEMBRE\valle grande ltda.-.doc</t>
  </si>
  <si>
    <t>C:\Users\franc\OneDrive\Documentos\MALENTIN KARIME\BANCO CREDITO\FER LORCA en ROSITA (Rosita)\FACTORONE\SEPTIEMBRE\RUBEN BERIOS AVILA.doc</t>
  </si>
  <si>
    <t>C:\Users\franc\OneDrive\Documentos\MALENTIN KARIME\BANCO CREDITO\FER LORCA en ROSITA (Rosita)\FACTORONE\SEPTIEMBRE\CTO. LUIS ARAYA CASTRO.doc</t>
  </si>
  <si>
    <t>C:\Users\franc\OneDrive\Documentos\MALENTIN KARIME\BANCO CREDITO\FER LORCA en ROSITA (Rosita)\FACTORONE\SEPTIEMBRE\Carta Notificacion carlos adaos pizarro (valle grande S[1].A).doc</t>
  </si>
  <si>
    <t>C:\Users\franc\OneDrive\Documentos\MALENTIN KARIME\BANCO CREDITO\FER LORCA en ROSITA (Rosita)\FACTORONE\SEPTIEMBRE\CARTA NOTIFICA. LUIS CORTES.doc</t>
  </si>
  <si>
    <t>C:\Users\franc\OneDrive\Documentos\MALENTIN KARIME\BANCO CREDITO\FER LORCA en ROSITA (Rosita)\FACTORONE\OCTUBRE\RICARDO MONTERO.doc</t>
  </si>
  <si>
    <t>C:\Users\franc\OneDrive\Documentos\MALENTIN KARIME\BANCO CREDITO\FER LORCA en ROSITA (Rosita)\FACTORONE\OCTUBRE\CARLOS ADAOS PIZARRO.doc</t>
  </si>
  <si>
    <t>C:\Users\franc\OneDrive\Documentos\MALENTIN KARIME\BANCO CREDITO\FER LORCA en ROSITA (Rosita)\FACTORONE\FEBRERO\carta de notificación José Ossa 08-02-2010.doc</t>
  </si>
  <si>
    <t>C:\Users\franc\OneDrive\Documentos\MALENTIN KARIME\BANCO CREDITO\FER LORCA en ROSITA (Rosita)\FACTORONE\AGOSTO 2010\ctt.Comercial Javier Rodriguez E.I.R.L.doc</t>
  </si>
  <si>
    <t>C:\Users\franc\OneDrive\Documentos\MALENTIN KARIME\BANCO CREDITO\FER LORCA en ROSITA (Rosita)\FACTORONE\AGOSTO\JORGE IBACACHE.doc</t>
  </si>
  <si>
    <t>C:\Users\franc\OneDrive\Documentos\MALENTIN KARIME\BANCO CREDITO\FER LORCA en ROSITA (Rosita)\FACTORONE\AGOSTO\ALBERTO SCHENFELD.doc</t>
  </si>
  <si>
    <t>C:\Users\franc\OneDrive\Documentos\MALENTIN KARIME\BANCO CREDITO\FER LORCA en ROSITA (Rosita)\FACTORONE\SOBRE medio.doc</t>
  </si>
  <si>
    <t>C:\Users\franc\OneDrive\Documentos\MALENTIN KARIME\BANCO CREDITO\FER LORCA en ROSITA (Rosita)\FACTORONE\SOBRE medio.-otro.doc</t>
  </si>
  <si>
    <t>C:\Users\franc\OneDrive\Documentos\MALENTIN KARIME\BANCO CREDITO\FER LORCA en ROSITA (Rosita)\FACTORONE\PODER ESPECIAL.- PERSONA NATURAL.doc</t>
  </si>
  <si>
    <t>C:\Users\franc\OneDrive\Documentos\MALENTIN KARIME\BANCO CREDITO\FER LORCA en ROSITA (Rosita)\FACTORONE\notificacion.doc</t>
  </si>
  <si>
    <t>C:\Users\franc\OneDrive\Documentos\MALENTIN KARIME\BANCO CREDITO\FER LORCA en ROSITA (Rosita)\FACTORONE\MANDATO ESPECIAL.doc</t>
  </si>
  <si>
    <t>C:\Users\franc\OneDrive\Documentos\MALENTIN KARIME\BANCO CREDITO\FER LORCA en ROSITA (Rosita)\FACTORONE\GILBERTO PARDO.doc</t>
  </si>
  <si>
    <t>C:\Users\franc\OneDrive\Documentos\MALENTIN KARIME\BANCO CREDITO\FER LORCA en ROSITA (Rosita)\FACTORONE\CARTA NOTIFICACION CONSTRUCMART.doc</t>
  </si>
  <si>
    <t>C:\Users\franc\OneDrive\Documentos\MALENTIN KARIME\BANCO CREDITO\FER LORCA en ROSITA (Rosita)\FACTORLINE\9. FAC. Pna.Nat. con aval casado- autoriz.conyuge.doc</t>
  </si>
  <si>
    <t>C:\Users\franc\OneDrive\Documentos\MALENTIN KARIME\BANCO CREDITO\FER LORCA en ROSITA (Rosita)\FACTORLINE\8. FAC. Pna.Nat con aval. (1).doc</t>
  </si>
  <si>
    <t>C:\Users\franc\OneDrive\Documentos\MALENTIN KARIME\BANCO CREDITO\FER LORCA en ROSITA (Rosita)\FACTORLINE\7. FAC. Pna.Nat. sin aval.doc</t>
  </si>
  <si>
    <t>C:\Users\franc\OneDrive\Documentos\MALENTIN KARIME\BANCO CREDITO\FER LORCA en ROSITA (Rosita)\FACTORLINE\5. FAC. Pna.Jdca con aval casado- autoriz.conyuge (1).doc</t>
  </si>
  <si>
    <t>C:\Users\franc\OneDrive\Documentos\MALENTIN KARIME\BANCO CREDITO\FER LORCA en ROSITA (Rosita)\FACTORLINE\4. FAC. Pna.Jdca con aval Soltero.doc</t>
  </si>
  <si>
    <t>C:\Users\franc\OneDrive\Documentos\MALENTIN KARIME\BANCO CREDITO\FER LORCA en ROSITA (Rosita)\FACTORLINE\3. FAC. Pna.Jdca con aval simple.doc</t>
  </si>
  <si>
    <t>C:\Users\franc\OneDrive\Documentos\MALENTIN KARIME\BANCO CREDITO\FER LORCA en ROSITA (Rosita)\FACTORLINE\2. FAC. Pna.Jdca sin aval.doc</t>
  </si>
  <si>
    <t>C:\Users\franc\OneDrive\Documentos\MALENTIN KARIME\BANCO CREDITO\FER LORCA en ROSITA (Rosita)\FACTORING EUROAMERICA\MTO. ESPECIAL. AGRIC. CANTA RANA.doc</t>
  </si>
  <si>
    <t>C:\Users\franc\OneDrive\Documentos\MALENTIN KARIME\BANCO CREDITO\FER LORCA en ROSITA (Rosita)\FACTORING EUROAMERICA\FACT. AGRIC. CANTA RANA.doc</t>
  </si>
  <si>
    <t>C:\Users\franc\OneDrive\Documentos\MALENTIN KARIME\BANCO CREDITO\FER LORCA en ROSITA (Rosita)\FACTORING\Contrato_Factoring BENJAMIN CORTES.doc</t>
  </si>
  <si>
    <t>C:\Users\franc\OneDrive\Documentos\MALENTIN KARIME\BANCO CREDITO\FER LORCA en ROSITA (Rosita)\ENTEL PCS\PODER ESPECIAL.doc</t>
  </si>
  <si>
    <t>C:\Users\franc\OneDrive\Documentos\MALENTIN KARIME\BANCO CREDITO\FER LORCA en ROSITA (Rosita)\ENTEL PCS\INSTRUCCIONES AL NOTARIO PÚBLICO OVALLE.doc</t>
  </si>
  <si>
    <t>C:\Users\franc\OneDrive\Documentos\MALENTIN KARIME\BANCO CREDITO\FER LORCA en ROSITA (Rosita)\ENTEL PCS\INSTRUCCIONES AL NOTARIO PÚBLICO OVALLE..doc</t>
  </si>
  <si>
    <t>C:\Users\franc\OneDrive\Documentos\MALENTIN KARIME\BANCO CREDITO\FER LORCA en ROSITA (Rosita)\ENTEL PCS\DECLARACIÓN JURADA Y AUTORIZACIÓN.doc</t>
  </si>
  <si>
    <t>C:\Users\franc\OneDrive\Documentos\MALENTIN KARIME\BANCO CREDITO\FER LORCA en ROSITA (Rosita)\ENTEL PCS\CONTRATO NOTARIA UFN390 SAMO ALTO.doc</t>
  </si>
  <si>
    <t>C:\Users\franc\OneDrive\Documentos\MALENTIN KARIME\BANCO CREDITO\FER LORCA en ROSITA (Rosita)\ENTEL PCS\CONTRATO NOTARIA UFN390 SAMO ALTO 2011.doc</t>
  </si>
  <si>
    <t>C:\Users\franc\OneDrive\Documentos\MALENTIN KARIME\BANCO CREDITO\FER LORCA en ROSITA (Rosita)\ENTEL PCS\AUTORIZACIÓN PARA EMPALME ELÉCTRICO PROVISORIO.doc</t>
  </si>
  <si>
    <t>C:\Users\franc\OneDrive\Documentos\MALENTIN KARIME\BANCO CREDITO\FER LORCA en ROSITA (Rosita)\DON LUIS\Cesión derechos hereditarios Alberto Cortés Paolini.doc</t>
  </si>
  <si>
    <t>C:\Users\franc\OneDrive\Documentos\MALENTIN KARIME\BANCO CREDITO\FER LORCA en ROSITA (Rosita)\DOBLE M\CV Mutuo Hipotecario (Doble M - del Atardecer 2º Etapa) EDUARDO IRIARTE ALVAREZ - Agosto.doc</t>
  </si>
  <si>
    <t>C:\Users\franc\OneDrive\Documentos\MALENTIN KARIME\BANCO CREDITO\FER LORCA en ROSITA (Rosita)\DERECHO REAL DE USO\WILSON MALEBRAN A WILSON MALEBRAN.doc</t>
  </si>
  <si>
    <t>C:\Users\franc\OneDrive\Documentos\MALENTIN KARIME\BANCO CREDITO\FER LORCA en ROSITA (Rosita)\DERECHO REAL DE USO\MARIELA ADONES A RENE RAMIREZ.- CON PROH. LEGAL.doc</t>
  </si>
  <si>
    <t>C:\Users\franc\OneDrive\Documentos\MALENTIN KARIME\BANCO CREDITO\FER LORCA en ROSITA (Rosita)\DERECHO REAL DE USO\ANA FLORES A PAMELA CARVAJAL.- MARZO 2011.doc</t>
  </si>
  <si>
    <t>C:\Users\franc\OneDrive\Documentos\MALENTIN KARIME\BANCO CREDITO\FER LORCA en ROSITA (Rosita)\DERECHO REAL DE USO\ALICIA OLIVARES A EMA BOLADOS.- ABRIL.doc</t>
  </si>
  <si>
    <t>C:\Users\franc\OneDrive\Documentos\MALENTIN KARIME\BANCO CREDITO\FER LORCA en ROSITA (Rosita)\DERECHO REAL DE USO\ALEJANDRO IBAÑEZ  A BARBARA LUKSIC.doc</t>
  </si>
  <si>
    <t>C:\Users\franc\OneDrive\Documentos\MALENTIN KARIME\BANCO CREDITO\FER LORCA en ROSITA (Rosita)\DELEGACION DE FACULTADES\WILSON SALINAS.doc</t>
  </si>
  <si>
    <t>C:\Users\franc\OneDrive\Documentos\MALENTIN KARIME\BANCO CREDITO\FER LORCA en ROSITA (Rosita)\DELEGACION DE FACULTADES\IVAN VARELA.doc</t>
  </si>
  <si>
    <t>C:\Users\franc\OneDrive\Documentos\MALENTIN KARIME\BANCO CREDITO\FER LORCA en ROSITA (Rosita)\DAVID BUGUEÑO\arrendamiento chato cruz[1].doc</t>
  </si>
  <si>
    <t>C:\Users\franc\OneDrive\Documentos\MALENTIN KARIME\BANCO CREDITO\FER LORCA en ROSITA (Rosita)\DAVID BUGUEÑO\ALZAMIENTO PRENDA.- OCTUBRE.doc</t>
  </si>
  <si>
    <t>C:\Users\franc\OneDrive\Documentos\MALENTIN KARIME\BANCO CREDITO\FER LORCA en ROSITA (Rosita)\DACION EN PAGO\MARCO GAJARDO ALVARADO.- AGOSTO 2010Ç.doc</t>
  </si>
  <si>
    <t>C:\Users\franc\OneDrive\Documentos\MALENTIN KARIME\BANCO CREDITO\FER LORCA en ROSITA (Rosita)\DABED\mandato judicial antofagasta.doc</t>
  </si>
  <si>
    <t>C:\Users\franc\OneDrive\Documentos\MALENTIN KARIME\BANCO CREDITO\FER LORCA en ROSITA (Rosita)\DABED\EXTRACTO Innova..doc</t>
  </si>
  <si>
    <t>C:\Users\franc\OneDrive\Documentos\MALENTIN KARIME\BANCO CREDITO\FER LORCA en ROSITA (Rosita)\DABED\Contrato de suministros de materiales Selim Dabed y Compañia Limitada a Incoveg Ltda.- ABRIL 2011.doc</t>
  </si>
  <si>
    <t>C:\Users\franc\OneDrive\Documentos\MALENTIN KARIME\BANCO CREDITO\FER LORCA en ROSITA (Rosita)\DABED\CONSTITUCION innova.- MARZO.doc</t>
  </si>
  <si>
    <t>C:\Users\franc\OneDrive\Documentos\MALENTIN KARIME\BANCO CREDITO\FER LORCA en ROSITA (Rosita)\CVTA. SUB. DS.174\FONDO SOLIDARIO\WILSON HENRIQUEZ A FERNANDO ARAYA.doc</t>
  </si>
  <si>
    <t>C:\Users\franc\OneDrive\Documentos\MALENTIN KARIME\BANCO CREDITO\FER LORCA en ROSITA (Rosita)\CVTA. SUB. DS.174\FONDO SOLIDARIO\ROSA NICOLA TALAMILLA A NORA ALVAREZ TALAMILLA.doc</t>
  </si>
  <si>
    <t>C:\Users\franc\OneDrive\Documentos\MALENTIN KARIME\BANCO CREDITO\FER LORCA en ROSITA (Rosita)\CVTA. SUB. DS.174\FONDO SOLIDARIO\LUISA TAPIA PIZARRO A JOHANNA ZEPEDA.doc</t>
  </si>
  <si>
    <t>C:\Users\franc\OneDrive\Documentos\MALENTIN KARIME\BANCO CREDITO\FER LORCA en ROSITA (Rosita)\CVTA. SUB. DS.174\FONDO SOLIDARIO\LINA ROJAS A GABRIELA ROJAS.doc</t>
  </si>
  <si>
    <t>C:\Users\franc\OneDrive\Documentos\MALENTIN KARIME\BANCO CREDITO\FER LORCA en ROSITA (Rosita)\CVTA. SUB. DS.174\CERTIFICADOS\PATRICIO VERGARA.doc</t>
  </si>
  <si>
    <t>C:\Users\franc\OneDrive\Documentos\MALENTIN KARIME\BANCO CREDITO\FER LORCA en ROSITA (Rosita)\CVTA. SUB. DS.174\CERTIFICADOS\NIDIA OLIVARES.doc</t>
  </si>
  <si>
    <t>C:\Users\franc\OneDrive\Documentos\MALENTIN KARIME\BANCO CREDITO\FER LORCA en ROSITA (Rosita)\CVTA. SUB. DS.174\CERTIFICADOS\MARIA VALLEJOS A CLAUDIO OLIVARES.doc</t>
  </si>
  <si>
    <t>C:\Users\franc\OneDrive\Documentos\MALENTIN KARIME\BANCO CREDITO\FER LORCA en ROSITA (Rosita)\CVTA. SUB. DS.174\CERTIFICADOS\LILA HUENCHULLAN A CARLOS PERINES.doc</t>
  </si>
  <si>
    <t>C:\Users\franc\OneDrive\Documentos\MALENTIN KARIME\BANCO CREDITO\FER LORCA en ROSITA (Rosita)\CVTA. SUB. DS.174\CERTIFICADOS\JUAN OLMOS CORTES.doc</t>
  </si>
  <si>
    <t>C:\Users\franc\OneDrive\Documentos\MALENTIN KARIME\BANCO CREDITO\FER LORCA en ROSITA (Rosita)\CVTA. SUB. DS.174\CERTIFICADOS\HERNAN RIVERA HERRERA.doc</t>
  </si>
  <si>
    <t>C:\Users\franc\OneDrive\Documentos\MALENTIN KARIME\BANCO CREDITO\FER LORCA en ROSITA (Rosita)\CVTA. SUB. DS.174\CERTIFICADOS\GLADYS PLAZA A JONATHAN ROJAS.doc</t>
  </si>
  <si>
    <t>C:\Users\franc\OneDrive\Documentos\MALENTIN KARIME\BANCO CREDITO\FER LORCA en ROSITA (Rosita)\CVTA. SUB. DS.174\CERTIFICADOS\ELBA CASTILLO A MARGARITA ACUÑA LARA.doc</t>
  </si>
  <si>
    <t>C:\Users\franc\OneDrive\Documentos\MALENTIN KARIME\BANCO CREDITO\FER LORCA en ROSITA (Rosita)\CVTA. SUB. DS.174\CERTIFICADOS\CERT. CVTA. HUGO A. a SANDRA A..doc</t>
  </si>
  <si>
    <t>C:\Users\franc\OneDrive\Documentos\MALENTIN KARIME\BANCO CREDITO\FER LORCA en ROSITA (Rosita)\CVTA. SUB. DS.174\CERTIFICADOS\CERT. CARLOS CONTRERAS A ANA MOLINA.doc</t>
  </si>
  <si>
    <t>C:\Users\franc\OneDrive\Documentos\MALENTIN KARIME\BANCO CREDITO\FER LORCA en ROSITA (Rosita)\CVTA. SUB. DS.174\PATRICIO VERGARA_a_ELIZABETH AGUIRRE.doc</t>
  </si>
  <si>
    <t>C:\Users\franc\OneDrive\Documentos\MALENTIN KARIME\BANCO CREDITO\FER LORCA en ROSITA (Rosita)\CVTA. SUB. DS.174\HERNAN RIVERA A WILSON RIVERAS.- ESCRITURA.doc</t>
  </si>
  <si>
    <t>C:\Users\franc\OneDrive\Documentos\MALENTIN KARIME\BANCO CREDITO\FER LORCA en ROSITA (Rosita)\CVTA. SUB. DS.174\CARLOS ALFARO_a_ NIDIA OLIVARES[1].doc</t>
  </si>
  <si>
    <t>C:\Users\franc\OneDrive\Documentos\MALENTIN KARIME\BANCO CREDITO\FER LORCA en ROSITA (Rosita)\CVTA. SUB. DS.174\AUTORIZ. FIRMAS CVI 174 HUGO ARAYA.doc</t>
  </si>
  <si>
    <t>C:\Users\franc\OneDrive\Documentos\MALENTIN KARIME\BANCO CREDITO\FER LORCA en ROSITA (Rosita)\CVTA. SUB. DS.174\AUTORIZ. FIRMAS CVI 174  (2).doc</t>
  </si>
  <si>
    <t>C:\Users\franc\OneDrive\Documentos\MALENTIN KARIME\BANCO CREDITO\FER LORCA en ROSITA (Rosita)\CVTA. SUB. DS.174\AUT. COPIA RECTIFICADA.doc</t>
  </si>
  <si>
    <t>C:\Users\franc\OneDrive\Documentos\MALENTIN KARIME\BANCO CREDITO\FER LORCA en ROSITA (Rosita)\CVTA. AGUAS\PERSOL...S.A\SOC. AGRIC. TRAEGER con PERSOL S.A.-.doc</t>
  </si>
  <si>
    <t>C:\Users\franc\OneDrive\Documentos\MALENTIN KARIME\BANCO CREDITO\FER LORCA en ROSITA (Rosita)\CVTA. AGUAS\PERSOL...S.A\SERGIO CORREA A .-AGRIC. LSP LTDA.- EPT. AGUA.- 2010.doc</t>
  </si>
  <si>
    <t>C:\Users\franc\OneDrive\Documentos\MALENTIN KARIME\BANCO CREDITO\FER LORCA en ROSITA (Rosita)\CVTA. AGUAS\PERSOL...S.A\INVERSIONES EL RETIRO S.A.-.doc</t>
  </si>
  <si>
    <t>C:\Users\franc\OneDrive\Documentos\MALENTIN KARIME\BANCO CREDITO\FER LORCA en ROSITA (Rosita)\CVTA. AGUAS\PERSOL...S.A\AGRIC. LSP LTDA.- SEPT. AGUA.- 2010.doc</t>
  </si>
  <si>
    <t>C:\Users\franc\OneDrive\Documentos\MALENTIN KARIME\BANCO CREDITO\FER LORCA en ROSITA (Rosita)\CVTA. AGUAS\SOC. AGRIC. VALDIVIA.- OCTUBRE.doc</t>
  </si>
  <si>
    <t>C:\Users\franc\OneDrive\Documentos\MALENTIN KARIME\BANCO CREDITO\FER LORCA en ROSITA (Rosita)\CVTA. AGUAS\SOC. AGRIC. VALDIVIA.- NOVIEMBRE.doc</t>
  </si>
  <si>
    <t>C:\Users\franc\OneDrive\Documentos\MALENTIN KARIME\BANCO CREDITO\FER LORCA en ROSITA (Rosita)\CVTA. AGUAS\RENE RAMIREZ POR FERNANDO GOMEZ.doc</t>
  </si>
  <si>
    <t>C:\Users\franc\OneDrive\Documentos\MALENTIN KARIME\BANCO CREDITO\FER LORCA en ROSITA (Rosita)\CVTA. AGUAS\modelo.doc</t>
  </si>
  <si>
    <t>C:\Users\franc\OneDrive\Documentos\MALENTIN KARIME\BANCO CREDITO\FER LORCA en ROSITA (Rosita)\CVTA. AGUAS\MARCELO MERY.doc</t>
  </si>
  <si>
    <t>C:\Users\franc\OneDrive\Documentos\MALENTIN KARIME\BANCO CREDITO\FER LORCA en ROSITA (Rosita)\CVTA. AGUAS\LUIS GODOY G. a RENATO HERRERA.doc</t>
  </si>
  <si>
    <t>C:\Users\franc\OneDrive\Documentos\MALENTIN KARIME\BANCO CREDITO\FER LORCA en ROSITA (Rosita)\CVTA. AGUAS\ENCABEZADO NOTARIO.doc</t>
  </si>
  <si>
    <t>C:\Users\franc\OneDrive\Documentos\MALENTIN KARIME\BANCO CREDITO\FER LORCA en ROSITA (Rosita)\CVTA. AGUAS\EMILIO MUÑOZ A LUIS PEPPI.- C. BUGUEÑO.doc</t>
  </si>
  <si>
    <t>C:\Users\franc\OneDrive\Documentos\MALENTIN KARIME\BANCO CREDITO\FER LORCA en ROSITA (Rosita)\CVTA. AGUAS\ELIANA OLIVARES A JAVIER OLIVARES.doc</t>
  </si>
  <si>
    <t>C:\Users\franc\OneDrive\Documentos\MALENTIN KARIME\BANCO CREDITO\FER LORCA en ROSITA (Rosita)\CVTA. AGUAS\CARTA INSTRUCCION. SOC. AGRIC. MAL PASO A CARMEN FLORES.doc</t>
  </si>
  <si>
    <t>C:\Users\franc\OneDrive\Documentos\MALENTIN KARIME\BANCO CREDITO\FER LORCA en ROSITA (Rosita)\CVTA. AGUAS\CARMEN FLORES SUAREZ A SOC. AGRIC. MAL PASO.doc</t>
  </si>
  <si>
    <t>C:\Users\franc\OneDrive\Documentos\MALENTIN KARIME\BANCO CREDITO\FER LORCA en ROSITA (Rosita)\CVTA. AGUAS\BASILIO AGUIRRE.doc</t>
  </si>
  <si>
    <t>C:\Users\franc\OneDrive\Documentos\MALENTIN KARIME\BANCO CREDITO\FER LORCA en ROSITA (Rosita)\CORPORACION ASIST. JUDICIAL\MODELOS\PAMELA GALLEGUILLOS CORTES.doc</t>
  </si>
  <si>
    <t>C:\Users\franc\OneDrive\Documentos\MALENTIN KARIME\BANCO CREDITO\FER LORCA en ROSITA (Rosita)\CORPORACION ASIST. JUDICIAL\MODELOS\mandato Tomasa Bonilla.doc</t>
  </si>
  <si>
    <t>C:\Users\franc\OneDrive\Documentos\MALENTIN KARIME\BANCO CREDITO\FER LORCA en ROSITA (Rosita)\CORPORACION ASIST. JUDICIAL\MODELOS\mandato patricia diaz.doc</t>
  </si>
  <si>
    <t>C:\Users\franc\OneDrive\Documentos\MALENTIN KARIME\BANCO CREDITO\FER LORCA en ROSITA (Rosita)\CORPORACION ASIST. JUDICIAL\MODELOS\mandato MAURICIO PEREZ IBACACHE.doc</t>
  </si>
  <si>
    <t>C:\Users\franc\OneDrive\Documentos\MALENTIN KARIME\BANCO CREDITO\FER LORCA en ROSITA (Rosita)\CORPORACION ASIST. JUDICIAL\MODELOS\Mandato judicial maximo cortes.doc</t>
  </si>
  <si>
    <t>C:\Users\franc\OneDrive\Documentos\MALENTIN KARIME\BANCO CREDITO\FER LORCA en ROSITA (Rosita)\CORPORACION ASIST. JUDICIAL\MODELOS\MANDATO JUDICIAL especial divorcio maria devia definitiva.doc</t>
  </si>
  <si>
    <t>C:\Users\franc\OneDrive\Documentos\MALENTIN KARIME\BANCO CREDITO\FER LORCA en ROSITA (Rosita)\CORPORACION ASIST. JUDICIAL\MODELOS\MANDATO JUDICIAL ESPECIAL DIVORCIO eduviges.doc</t>
  </si>
  <si>
    <t>C:\Users\franc\OneDrive\Documentos\MALENTIN KARIME\BANCO CREDITO\FER LORCA en ROSITA (Rosita)\CORPORACION ASIST. JUDICIAL\MODELOS\mandato jeanette definitivo.doc</t>
  </si>
  <si>
    <t>C:\Users\franc\OneDrive\Documentos\MALENTIN KARIME\BANCO CREDITO\FER LORCA en ROSITA (Rosita)\CORPORACION ASIST. JUDICIAL\MODELOS\mandato Jacqueline Cortes.doc</t>
  </si>
  <si>
    <t>C:\Users\franc\OneDrive\Documentos\MALENTIN KARIME\BANCO CREDITO\FER LORCA en ROSITA (Rosita)\CORPORACION ASIST. JUDICIAL\MODELOS\CAMILO CORTES GUERRERO II.doc</t>
  </si>
  <si>
    <t>C:\Users\franc\OneDrive\Documentos\MALENTIN KARIME\BANCO CREDITO\FER LORCA en ROSITA (Rosita)\CORPORACION ASIST. JUDICIAL\MODELOS\ARAYA - GALLARDO.doc</t>
  </si>
  <si>
    <t>C:\Users\franc\OneDrive\Documentos\MALENTIN KARIME\BANCO CREDITO\FER LORCA en ROSITA (Rosita)\CORPORACION ASIST. JUDICIAL\MARZO.- 2011\mandato Maria Angelica Garay La pintana.- ABRIL 2011.doc</t>
  </si>
  <si>
    <t>C:\Users\franc\OneDrive\Documentos\MALENTIN KARIME\BANCO CREDITO\FER LORCA en ROSITA (Rosita)\CORPORACION ASIST. JUDICIAL\JUDIC. CORP\MINUTA ANAN HONORES.doc</t>
  </si>
  <si>
    <t>C:\Users\franc\OneDrive\Documentos\MALENTIN KARIME\BANCO CREDITO\FER LORCA en ROSITA (Rosita)\CORPORACION ASIST. JUDICIAL\JUDIC. CORP\MANDATO JUDICIAL especial divorcio Elizabeth Araya.doc</t>
  </si>
  <si>
    <t>C:\Users\franc\OneDrive\Documentos\MALENTIN KARIME\BANCO CREDITO\FER LORCA en ROSITA (Rosita)\CORPORACION ASIST. JUDICIAL\JUDIC. CORP\JORGE CONTRERAS.doc</t>
  </si>
  <si>
    <t>C:\Users\franc\OneDrive\Documentos\MALENTIN KARIME\BANCO CREDITO\FER LORCA en ROSITA (Rosita)\CORPORACION ASIST. JUDICIAL\JUDIC. CORP\ELIZABETH ARAYA.doc</t>
  </si>
  <si>
    <t>C:\Users\franc\OneDrive\Documentos\MALENTIN KARIME\BANCO CREDITO\FER LORCA en ROSITA (Rosita)\CORPORACION ASIST. JUDICIAL\2010\SEPTIEMBRE 2010.-\reduccion. HECTOR ARANCIBIA.doc</t>
  </si>
  <si>
    <t>C:\Users\franc\OneDrive\Documentos\MALENTIN KARIME\BANCO CREDITO\FER LORCA en ROSITA (Rosita)\CORPORACION ASIST. JUDICIAL\2010\OCTUBRE\reduccion alicia torrejon (listoca)[1].doc</t>
  </si>
  <si>
    <t>C:\Users\franc\OneDrive\Documentos\MALENTIN KARIME\BANCO CREDITO\FER LORCA en ROSITA (Rosita)\CORPORACION ASIST. JUDICIAL\2010\OCTUBRE\MANDATO DON JORGE ANTONIO CONTRERAS ROJAS.doc</t>
  </si>
  <si>
    <t>C:\Users\franc\OneDrive\Documentos\MALENTIN KARIME\BANCO CREDITO\FER LORCA en ROSITA (Rosita)\CORPORACION ASIST. JUDICIAL\2010\NOVIEMBRE 10\REDUCCION_ESCRITURA_PUBLICA_Fonseca Rojo Irene.doc</t>
  </si>
  <si>
    <t>C:\Users\franc\OneDrive\Documentos\MALENTIN KARIME\BANCO CREDITO\FER LORCA en ROSITA (Rosita)\CORPORACION ASIST. JUDICIAL\2010\NOVIEMBRE 10\REDUCCION_ESCRITURA_PUBLICA_Cortes Cortes Agustin.doc</t>
  </si>
  <si>
    <t>C:\Users\franc\OneDrive\Documentos\MALENTIN KARIME\BANCO CREDITO\FER LORCA en ROSITA (Rosita)\CORPORACION ASIST. JUDICIAL\2010\NOVIEMBRE 10\MARIA ZAPATA.- REDUCCION FELIX SAEZ.doc</t>
  </si>
  <si>
    <t>C:\Users\franc\OneDrive\Documentos\MALENTIN KARIME\BANCO CREDITO\FER LORCA en ROSITA (Rosita)\CORPORACION ASIST. JUDICIAL\2010\NOVIEMBRE 10\MANDATO_CELINDA[1].doc</t>
  </si>
  <si>
    <t>C:\Users\franc\OneDrive\Documentos\MALENTIN KARIME\BANCO CREDITO\FER LORCA en ROSITA (Rosita)\CORPORACION ASIST. JUDICIAL\2010\NOVIEMBRE 10\MANDATO_CELINDA.-.doc</t>
  </si>
  <si>
    <t>C:\Users\franc\OneDrive\Documentos\MALENTIN KARIME\BANCO CREDITO\FER LORCA en ROSITA (Rosita)\CORPORACION ASIST. JUDICIAL\2010\NOVIEMBRE 10\MANDATO JUDICIAL RODRIGO LEYTON CAJ CALAMA.-.doc</t>
  </si>
  <si>
    <t>C:\Users\franc\OneDrive\Documentos\MALENTIN KARIME\BANCO CREDITO\FER LORCA en ROSITA (Rosita)\CORPORACION ASIST. JUDICIAL\2010\NOVIEMBRE 10\MANDATO ESPEC. DIVORCIO MIRIAM CISTERNAS POZO ALMONTE.doc</t>
  </si>
  <si>
    <t>C:\Users\franc\OneDrive\Documentos\MALENTIN KARIME\BANCO CREDITO\FER LORCA en ROSITA (Rosita)\CORPORACION ASIST. JUDICIAL\2010\MAYO 2010\REDUCCION ESCRITURA PUBLICA_Marisol_del_Transito_Araya_Castro_Francisco_Bravo[1].doc</t>
  </si>
  <si>
    <t>C:\Users\franc\OneDrive\Documentos\MALENTIN KARIME\BANCO CREDITO\FER LORCA en ROSITA (Rosita)\CORPORACION ASIST. JUDICIAL\2010\MARZO 2010\MANDATO ESPEC. ANA CASANOVA.doc</t>
  </si>
  <si>
    <t>C:\Users\franc\OneDrive\Documentos\MALENTIN KARIME\BANCO CREDITO\FER LORCA en ROSITA (Rosita)\CORPORACION ASIST. JUDICIAL\2010\JUNIO 2010\REDUCCION ESCRITURA PUBLICA_ana_naranjo.- MARCELA RIVERA.doc</t>
  </si>
  <si>
    <t>C:\Users\franc\OneDrive\Documentos\MALENTIN KARIME\BANCO CREDITO\FER LORCA en ROSITA (Rosita)\CORPORACION ASIST. JUDICIAL\2010\JULIO 2010.-\mdto jud divorcio la serena ROSA ALVAREZ[1].doc</t>
  </si>
  <si>
    <t>C:\Users\franc\OneDrive\Documentos\MALENTIN KARIME\BANCO CREDITO\FER LORCA en ROSITA (Rosita)\CORPORACION ASIST. JUDICIAL\2010\JULIO 2010.-\mandato don amadiel araya.doc</t>
  </si>
  <si>
    <t>C:\Users\franc\OneDrive\Documentos\MALENTIN KARIME\BANCO CREDITO\FER LORCA en ROSITA (Rosita)\CORPORACION ASIST. JUDICIAL\2010\JULIO 2010.-\LOYOLA con NAVEA. OTRO FORMATO.- JULIO 2010.doc</t>
  </si>
  <si>
    <t>C:\Users\franc\OneDrive\Documentos\MALENTIN KARIME\BANCO CREDITO\FER LORCA en ROSITA (Rosita)\CORPORACION ASIST. JUDICIAL\2010\ENERO 2010\mandato_osvaldo_emmanuel_avila_rojas[1][1].doc</t>
  </si>
  <si>
    <t>C:\Users\franc\OneDrive\Documentos\MALENTIN KARIME\BANCO CREDITO\FER LORCA en ROSITA (Rosita)\CORPORACION ASIST. JUDICIAL\2010\DICIEMBRE 10\REGISTRO_DE_INSTRUMENTOS_PUBLICOS_DE_OVALLE[1] huerta.doc</t>
  </si>
  <si>
    <t>C:\Users\franc\OneDrive\Documentos\MALENTIN KARIME\BANCO CREDITO\FER LORCA en ROSITA (Rosita)\CORPORACION ASIST. JUDICIAL\2010\DICIEMBRE 10\Mandato judicial Abel Araya Ramírez .corr.doc</t>
  </si>
  <si>
    <t>C:\Users\franc\OneDrive\Documentos\MALENTIN KARIME\BANCO CREDITO\FER LORCA en ROSITA (Rosita)\CORPORACION ASIST. JUDICIAL\2010\AGOSTO\Cesion digna rojas.corregida-cabrera.doc</t>
  </si>
  <si>
    <t>C:\Users\franc\OneDrive\Documentos\MALENTIN KARIME\BANCO CREDITO\FER LORCA en ROSITA (Rosita)\CORPORACION ASIST. JUDICIAL\2010\DICIEMBRE 10\Copia de MANDATO JUDICIAL Bernabe Cortes.- dic.doc</t>
  </si>
  <si>
    <t>C:\Users\franc\OneDrive\Documentos\MALENTIN KARIME\BANCO CREDITO\FER LORCA en ROSITA (Rosita)\CORPORACION ASIST. JUDICIAL\2009\SEPTIEMBRE\MANDATO JUDICIAL DIVORCIO MIREYA.doc</t>
  </si>
  <si>
    <t>C:\Users\franc\OneDrive\Documentos\MALENTIN KARIME\BANCO CREDITO\FER LORCA en ROSITA (Rosita)\CORPORACION ASIST. JUDICIAL\2009\SEPTIEMBRE\INVENTARIO SIMPLE.-.doc</t>
  </si>
  <si>
    <t>C:\Users\franc\OneDrive\Documentos\MALENTIN KARIME\BANCO CREDITO\FER LORCA en ROSITA (Rosita)\CORPORACION ASIST. JUDICIAL\2009\SEPTIEMBRE\COMPRAVENTA DE COSA MUEBLE AL CONTADO.- MARIA BAHAMONDES.doc</t>
  </si>
  <si>
    <t>C:\Users\franc\OneDrive\Documentos\MALENTIN KARIME\BANCO CREDITO\FER LORCA en ROSITA (Rosita)\CORPORACION ASIST. JUDICIAL\2009\NOVIEMBRE 09\PATRICIA PEREZ PEREZ.doc</t>
  </si>
  <si>
    <t>C:\Users\franc\OneDrive\Documentos\MALENTIN KARIME\BANCO CREDITO\FER LORCA en ROSITA (Rosita)\CORPORACION ASIST. JUDICIAL\2009\NOVIEMBRE 09\FAVIOLA RAMOS LABARCA.doc</t>
  </si>
  <si>
    <t>C:\Users\franc\OneDrive\Documentos\MALENTIN KARIME\BANCO CREDITO\FER LORCA en ROSITA (Rosita)\CORPORACION ASIST. JUDICIAL\2009\MAYO 2009\ROMUALDO ALEX URQUIETA PIZARRO.doc</t>
  </si>
  <si>
    <t>C:\Users\franc\OneDrive\Documentos\MALENTIN KARIME\BANCO CREDITO\FER LORCA en ROSITA (Rosita)\CORPORACION ASIST. JUDICIAL\2009\MAYO 2009\ROBERTO OSSANDON CORTES.doc</t>
  </si>
  <si>
    <t>C:\Users\franc\OneDrive\Documentos\MALENTIN KARIME\BANCO CREDITO\FER LORCA en ROSITA (Rosita)\CORPORACION ASIST. JUDICIAL\2009\MAYO 2009\LEONTINA HINOJOSA ARAYA.doc</t>
  </si>
  <si>
    <t>C:\Users\franc\OneDrive\Documentos\MALENTIN KARIME\BANCO CREDITO\FER LORCA en ROSITA (Rosita)\CORPORACION ASIST. JUDICIAL\2009\MAYO 2009\JUAN FRANCISCO OSSANDON.doc</t>
  </si>
  <si>
    <t>C:\Users\franc\OneDrive\Documentos\MALENTIN KARIME\BANCO CREDITO\FER LORCA en ROSITA (Rosita)\CORPORACION ASIST. JUDICIAL\2009\MAYO 2009\FLORIDOR ARAYA ADAROS.doc</t>
  </si>
  <si>
    <t>C:\Users\franc\OneDrive\Documentos\MALENTIN KARIME\BANCO CREDITO\FER LORCA en ROSITA (Rosita)\CORPORACION ASIST. JUDICIAL\2009\MAYO 2009\FEDERICO ARAYA.-.doc</t>
  </si>
  <si>
    <t>C:\Users\franc\OneDrive\Documentos\MALENTIN KARIME\BANCO CREDITO\FER LORCA en ROSITA (Rosita)\CORPORACION ASIST. JUDICIAL\YERKO SAAVEDRA.doc</t>
  </si>
  <si>
    <t>C:\Users\franc\OneDrive\Documentos\MALENTIN KARIME\BANCO CREDITO\FER LORCA en ROSITA (Rosita)\CORPORACION ASIST. JUDICIAL\TIMBRE PRIVILEGIO POBREZA.doc</t>
  </si>
  <si>
    <t>C:\Users\franc\OneDrive\Documentos\MALENTIN KARIME\BANCO CREDITO\FER LORCA en ROSITA (Rosita)\CORPORACION ASIST. JUDICIAL\Pacto_separacion_de_bienes.ROSA_ARAYA.corregido.doc</t>
  </si>
  <si>
    <t>C:\Users\franc\OneDrive\Documentos\MALENTIN KARIME\BANCO CREDITO\FER LORCA en ROSITA (Rosita)\CORPORACION ASIST. JUDICIAL\MARIA ROJAS. DIVORCIO.doc</t>
  </si>
  <si>
    <t>C:\Users\franc\OneDrive\Documentos\MALENTIN KARIME\BANCO CREDITO\FER LORCA en ROSITA (Rosita)\CORPORACION ASIST. JUDICIAL\MARIA PASTEN ROJAS.doc</t>
  </si>
  <si>
    <t>C:\Users\franc\OneDrive\Documentos\MALENTIN KARIME\BANCO CREDITO\FER LORCA en ROSITA (Rosita)\CORPORACION ASIST. JUDICIAL\MARIA DEVIA.doc</t>
  </si>
  <si>
    <t>C:\Users\franc\OneDrive\Documentos\MALENTIN KARIME\BANCO CREDITO\FER LORCA en ROSITA (Rosita)\CORPORACION ASIST. JUDICIAL\MANDATO JUDICIAL ESPECIAL antofagasta CORP..doc</t>
  </si>
  <si>
    <t>C:\Users\franc\OneDrive\Documentos\MALENTIN KARIME\BANCO CREDITO\FER LORCA en ROSITA (Rosita)\CORPORACION ASIST. JUDICIAL\MANDATO JUD. ESPECIAL ARICA.doc</t>
  </si>
  <si>
    <t>C:\Users\franc\OneDrive\Documentos\MALENTIN KARIME\BANCO CREDITO\FER LORCA en ROSITA (Rosita)\CORPORACION ASIST. JUDICIAL\mandato becerra-cabrera.corregido.doc</t>
  </si>
  <si>
    <t>C:\Users\franc\OneDrive\Documentos\MALENTIN KARIME\BANCO CREDITO\FER LORCA en ROSITA (Rosita)\CORPORACION ASIST. JUDICIAL\JEANETTE CORTES.doc</t>
  </si>
  <si>
    <t>C:\Users\franc\OneDrive\Documentos\MALENTIN KARIME\BANCO CREDITO\FER LORCA en ROSITA (Rosita)\CORPORACION ASIST. JUDICIAL\JAVIER ALFARO RUBINA.doc</t>
  </si>
  <si>
    <t>C:\Users\franc\OneDrive\Documentos\MALENTIN KARIME\BANCO CREDITO\FER LORCA en ROSITA (Rosita)\CORPORACION ASIST. JUDICIAL\HILDA GONZALEZ MOLINA.doc</t>
  </si>
  <si>
    <t>C:\Users\franc\OneDrive\Documentos\MALENTIN KARIME\BANCO CREDITO\FER LORCA en ROSITA (Rosita)\CORPORACION ASIST. JUDICIAL\escritura cuidado robert tabilo.doc</t>
  </si>
  <si>
    <t>C:\Users\franc\OneDrive\Documentos\MALENTIN KARIME\BANCO CREDITO\FER LORCA en ROSITA (Rosita)\CORPORACION ASIST. JUDICIAL\CAMILO CORTES GUERRERO.doc</t>
  </si>
  <si>
    <t>C:\Users\franc\OneDrive\Documentos\MALENTIN KARIME\BANCO CREDITO\FER LORCA en ROSITA (Rosita)\CORP. HABITACIONAL\CERTIFICADOS NOV._\NAVEA CHACANA A GUSTAVO CARVAJAL.doc</t>
  </si>
  <si>
    <t>C:\Users\franc\OneDrive\Documentos\MALENTIN KARIME\BANCO CREDITO\FER LORCA en ROSITA (Rosita)\CORP. HABITACIONAL\CERTIFICADOS NOV._\MAXIMO VALDIVIA A SILVIA DIAZ.doc</t>
  </si>
  <si>
    <t>C:\Users\franc\OneDrive\Documentos\MALENTIN KARIME\BANCO CREDITO\FER LORCA en ROSITA (Rosita)\CORP. HABITACIONAL\CERTIFICADOS NOV._\MARIA GOMEZ A LORENA EGAÑA.doc</t>
  </si>
  <si>
    <t>C:\Users\franc\OneDrive\Documentos\MALENTIN KARIME\BANCO CREDITO\FER LORCA en ROSITA (Rosita)\CORP. HABITACIONAL\CERTIFICADOS NOV._\MARIA BALCAZAR Y GRIMALDINA PEREIRA.doc</t>
  </si>
  <si>
    <t>C:\Users\franc\OneDrive\Documentos\MALENTIN KARIME\BANCO CREDITO\FER LORCA en ROSITA (Rosita)\CORP. HABITACIONAL\CERTIFICADOS NOV._\JEANETTE BARRAZA A JOSSELINE DIAZ.doc</t>
  </si>
  <si>
    <t>C:\Users\franc\OneDrive\Documentos\MALENTIN KARIME\BANCO CREDITO\FER LORCA en ROSITA (Rosita)\CORP. HABITACIONAL\CERTIFICADOS NOV._\FRAN SEGOVIA A ALEJANDRO CARVAJAL.doc</t>
  </si>
  <si>
    <t>C:\Users\franc\OneDrive\Documentos\MALENTIN KARIME\BANCO CREDITO\FER LORCA en ROSITA (Rosita)\CORP. HABITACIONAL\VALDIVIA a DIAZ[.doc</t>
  </si>
  <si>
    <t>C:\Users\franc\OneDrive\Documentos\MALENTIN KARIME\BANCO CREDITO\FER LORCA en ROSITA (Rosita)\CORP. HABITACIONAL\SEGOVIA a CARVAJAL[1].doc</t>
  </si>
  <si>
    <t>C:\Users\franc\OneDrive\Documentos\MALENTIN KARIME\BANCO CREDITO\FER LORCA en ROSITA (Rosita)\CORP. HABITACIONAL\PEREIRA a BALCAZAR[1].doc</t>
  </si>
  <si>
    <t>C:\Users\franc\OneDrive\Documentos\MALENTIN KARIME\BANCO CREDITO\FER LORCA en ROSITA (Rosita)\CORP. HABITACIONAL\NAVEA a CARVAJAL[1].doc</t>
  </si>
  <si>
    <t>C:\Users\franc\OneDrive\Documentos\MALENTIN KARIME\BANCO CREDITO\FER LORCA en ROSITA (Rosita)\CORP. HABITACIONAL\LOPEZ a JOFRE[1].doc</t>
  </si>
  <si>
    <t>C:\Users\franc\OneDrive\Documentos\MALENTIN KARIME\BANCO CREDITO\FER LORCA en ROSITA (Rosita)\CORP. HABITACIONAL\GOMEZ A EGAÑA.doc</t>
  </si>
  <si>
    <t>C:\Users\franc\OneDrive\Documentos\MALENTIN KARIME\BANCO CREDITO\FER LORCA en ROSITA (Rosita)\CORP. HABITACIONAL\BARRAZA a DIAZ[1].doc</t>
  </si>
  <si>
    <t>C:\Users\franc\OneDrive\Documentos\MALENTIN KARIME\BANCO CREDITO\FER LORCA en ROSITA (Rosita)\CORP. HABITACIONAL\AUT. FIRMAS.doc</t>
  </si>
  <si>
    <t>C:\Users\franc\OneDrive\Documentos\MALENTIN KARIME\BANCO CREDITO\FER LORCA en ROSITA (Rosita)\CONTRATO ARRIENDOS\MISAEL V. SOC. AGRIC. VALDIVIA.doc</t>
  </si>
  <si>
    <t>C:\Users\franc\OneDrive\Documentos\MALENTIN KARIME\BANCO CREDITO\FER LORCA en ROSITA (Rosita)\CONTRATO ARRIENDOS\IRELVA MOYA.doc</t>
  </si>
  <si>
    <t>C:\Users\franc\OneDrive\Documentos\MALENTIN KARIME\BANCO CREDITO\FER LORCA en ROSITA (Rosita)\CONTRATO ARRIENDOS\AGRICOLA MISAEL VALDIVIA A JAIME VALDIVIA.doc</t>
  </si>
  <si>
    <t>C:\Users\franc\OneDrive\Documentos\MALENTIN KARIME\BANCO CREDITO\FER LORCA en ROSITA (Rosita)\COMPRAVENTAS - SUBSIDIO\HUGO BUGUEÑOOO.doc</t>
  </si>
  <si>
    <t>C:\Users\franc\OneDrive\Documentos\MALENTIN KARIME\BANCO CREDITO\FER LORCA en ROSITA (Rosita)\COMPRAVENTA Y CESION\HECTOR A. A JORGE ROJAS.doc</t>
  </si>
  <si>
    <t>C:\Users\franc\OneDrive\Documentos\MALENTIN KARIME\BANCO CREDITO\FER LORCA en ROSITA (Rosita)\COMPRAVENTA CON USUFRUCTO\MARIA VIDAL A WILSON (HIJO).doc</t>
  </si>
  <si>
    <t>C:\Users\franc\OneDrive\Documentos\MALENTIN KARIME\BANCO CREDITO\FER LORCA en ROSITA (Rosita)\COMPRAVENTA CON USUFRUCTO\JULIETA VEGA Y ALBERTO OGALDE.- BENAVENTE.- USUFRUCTO.-.doc</t>
  </si>
  <si>
    <t>C:\Users\franc\OneDrive\Documentos\MALENTIN KARIME\BANCO CREDITO\FER LORCA en ROSITA (Rosita)\COMPRAVENTA CON USUFRUCTO\JULIETA VEGA A SUS HIJOS.- AUT. CONYUGE.-.doc</t>
  </si>
  <si>
    <t>C:\Users\franc\OneDrive\Documentos\MALENTIN KARIME\BANCO CREDITO\FER LORCA en ROSITA (Rosita)\COMPRAVENTA CON USUFRUCTO\JULIETA VEGA A SUS HIJOS.- AUT. CONYUGE.- PARCELA 11-158.- AMBOS HIJOS.doc</t>
  </si>
  <si>
    <t>C:\Users\franc\OneDrive\Documentos\MALENTIN KARIME\BANCO CREDITO\FER LORCA en ROSITA (Rosita)\COMPRAVENTA CON USUFRUCTO\JULIETA VEGA A SUS HIJOS.- AUT. CONYUGE.- LOTE 77 A-4.- AMBOS HIJOS.doc</t>
  </si>
  <si>
    <t>C:\Users\franc\OneDrive\Documentos\MALENTIN KARIME\BANCO CREDITO\FER LORCA en ROSITA (Rosita)\COMPRAVENTA CON USUFRUCTO\JULIETA VEGA A SUS HIJOS.- AUT. CONYUGE.- GUANAQUEROS.doc</t>
  </si>
  <si>
    <t>C:\Users\franc\OneDrive\Documentos\MALENTIN KARIME\BANCO CREDITO\FER LORCA en ROSITA (Rosita)\COMPRAVENTA CON USUFRUCTO\JULIETA VEGA A SUS HIJOS.- AUT. CONYUGE.- BELLAVISTA.- AMBOS HIJOS.doc</t>
  </si>
  <si>
    <t>C:\Users\franc\OneDrive\Documentos\MALENTIN KARIME\BANCO CREDITO\FER LORCA en ROSITA (Rosita)\COMPRAVENTA\MINEROS\VICTOR MORALES A CLAUDIO BARRIOS. Cv. Drchos Mros..doc</t>
  </si>
  <si>
    <t>C:\Users\franc\OneDrive\Documentos\MALENTIN KARIME\BANCO CREDITO\FER LORCA en ROSITA (Rosita)\COMPRAVENTA\MINEROS\SLM LA SOLITARIA UNO DE LIMARI.doc</t>
  </si>
  <si>
    <t>C:\Users\franc\OneDrive\Documentos\MALENTIN KARIME\BANCO CREDITO\FER LORCA en ROSITA (Rosita)\COMPRAVENTA\MINEROS\JOSE CORTES ANGEL. Ces.Acc.Mras.doc</t>
  </si>
  <si>
    <t>C:\Users\franc\OneDrive\Documentos\MALENTIN KARIME\BANCO CREDITO\FER LORCA en ROSITA (Rosita)\COMPRAVENTA\MINEROS\FELIX GALLARDOL. Cv. Drchos Mros..doc</t>
  </si>
  <si>
    <t>C:\Users\franc\OneDrive\Documentos\MALENTIN KARIME\BANCO CREDITO\FER LORCA en ROSITA (Rosita)\COMPRAVENTA\MINEROS\FELIX GALLARDOL. Cv. Drchos Mros. SAN FELIX III.doc</t>
  </si>
  <si>
    <t>C:\Users\franc\OneDrive\Documentos\MALENTIN KARIME\BANCO CREDITO\FER LORCA en ROSITA (Rosita)\COMPRAVENTA\MINEROS\FELIX GALLARDOL. Cv. Drchos Mros. SAN FELIX II.doc</t>
  </si>
  <si>
    <t>C:\Users\franc\OneDrive\Documentos\MALENTIN KARIME\BANCO CREDITO\FER LORCA en ROSITA (Rosita)\COMPRAVENTA\MINEROS\FELIX GALLARDOL. Cv. Drchos Mros. SAN FELIX I.doc</t>
  </si>
  <si>
    <t>C:\Users\franc\OneDrive\Documentos\MALENTIN KARIME\BANCO CREDITO\FER LORCA en ROSITA (Rosita)\COMPRAVENTA\MINEROS\COMPRAVENTA DERECHOS MIN ARIZONA.doc</t>
  </si>
  <si>
    <t>C:\Users\franc\OneDrive\Documentos\MALENTIN KARIME\BANCO CREDITO\FER LORCA en ROSITA (Rosita)\COMPRAVENTA\MINEROS\COMPRAVENTA ACCIONES SLM VALLECITO II.doc</t>
  </si>
  <si>
    <t>C:\Users\franc\OneDrive\Documentos\MALENTIN KARIME\BANCO CREDITO\FER LORCA en ROSITA (Rosita)\COMPRAVENTA\DERECHOS\ZUNILDA ROJAS E HIJOS.- ENERO 2011.doc</t>
  </si>
  <si>
    <t>C:\Users\franc\OneDrive\Documentos\MALENTIN KARIME\BANCO CREDITO\FER LORCA en ROSITA (Rosita)\COMPRAVENTA\DERECHOS\RIQUELME ANTIQUERA CASTILLO Dchos Bien Raiz.doc</t>
  </si>
  <si>
    <t>C:\Users\franc\OneDrive\Documentos\MALENTIN KARIME\BANCO CREDITO\FER LORCA en ROSITA (Rosita)\COMPRAVENTA\DERECHOS\REBECA RODRIGUEZ Y OTROS A ROSA RODRIGUEZ HIJ. 15 (CESION DE DERECHOS.doc</t>
  </si>
  <si>
    <t>C:\Users\franc\OneDrive\Documentos\MALENTIN KARIME\BANCO CREDITO\FER LORCA en ROSITA (Rosita)\COMPRAVENTA\DERECHOS\ORLANDO ARAYA.- NOVIEMBRE Drchos B.Raiz.doc</t>
  </si>
  <si>
    <t>C:\Users\franc\OneDrive\Documentos\MALENTIN KARIME\BANCO CREDITO\FER LORCA en ROSITA (Rosita)\COMPRAVENTA\DERECHOS\MISAEL VALDIVIA A ENRIQUE VALDIVIA.doc</t>
  </si>
  <si>
    <t>C:\Users\franc\OneDrive\Documentos\MALENTIN KARIME\BANCO CREDITO\FER LORCA en ROSITA (Rosita)\COMPRAVENTA\DERECHOS\MIGUEL FLORES Y OTROS A SU HIJA (CON CONYUGE AUTOIR).doc</t>
  </si>
  <si>
    <t>C:\Users\franc\OneDrive\Documentos\MALENTIN KARIME\BANCO CREDITO\FER LORCA en ROSITA (Rosita)\COMPRAVENTA\DERECHOS\MIGUEL FLORES Y OTROS A SU HIJA (CON CONYUGE AUTOIR).- ENERO 2011.doc</t>
  </si>
  <si>
    <t>C:\Users\franc\OneDrive\Documentos\MALENTIN KARIME\BANCO CREDITO\FER LORCA en ROSITA (Rosita)\COMPRAVENTA\DERECHOS\MIGUEL FLORES Y OTROS A SU HIJA (CON CONYUGE AUTOIR).- abril 2010.doc</t>
  </si>
  <si>
    <t>C:\Users\franc\OneDrive\Documentos\MALENTIN KARIME\BANCO CREDITO\FER LORCA en ROSITA (Rosita)\COMPRAVENTA\DERECHOS\JACQUELINE HERNANDEZ A CAROLINA HERNANDEZ DIAZ.doc</t>
  </si>
  <si>
    <t>C:\Users\franc\OneDrive\Documentos\MALENTIN KARIME\BANCO CREDITO\FER LORCA en ROSITA (Rosita)\COMPRAVENTA\DERECHOS\GUSMAN ALBURQUENQUE A LUIS ALB.-.doc</t>
  </si>
  <si>
    <t>C:\Users\franc\OneDrive\Documentos\MALENTIN KARIME\BANCO CREDITO\FER LORCA en ROSITA (Rosita)\COMPRAVENTA\DERECHOS\GABRIELA OGALDE A GABRIELA CHACANA.doc</t>
  </si>
  <si>
    <t>C:\Users\franc\OneDrive\Documentos\MALENTIN KARIME\BANCO CREDITO\FER LORCA en ROSITA (Rosita)\COMPRAVENTA\DERECHOS\FERID CORTES A ELIANA CORTES.doc</t>
  </si>
  <si>
    <t>C:\Users\franc\OneDrive\Documentos\MALENTIN KARIME\BANCO CREDITO\FER LORCA en ROSITA (Rosita)\COMPRAVENTA\DERECHOS\ERASMO LOPEZ A PABLA LAZO.- DICIEMBRE.doc</t>
  </si>
  <si>
    <t>C:\Users\franc\OneDrive\Documentos\MALENTIN KARIME\BANCO CREDITO\FER LORCA en ROSITA (Rosita)\COMPRAVENTA\CVTA. E HIPOTECA\MARIA CLARINA A JUAN DAVID.- CON PODER.doc</t>
  </si>
  <si>
    <t>C:\Users\franc\OneDrive\Documentos\MALENTIN KARIME\BANCO CREDITO\FER LORCA en ROSITA (Rosita)\COMPRAVENTA\WALDA GARCIA Y OTROS.-.doc</t>
  </si>
  <si>
    <t>C:\Users\franc\OneDrive\Documentos\MALENTIN KARIME\BANCO CREDITO\FER LORCA en ROSITA (Rosita)\COMPRAVENTA\VILMA ARAYA A EDITH CARRASCO (HIJA).doc</t>
  </si>
  <si>
    <t>C:\Users\franc\OneDrive\Documentos\MALENTIN KARIME\BANCO CREDITO\FER LORCA en ROSITA (Rosita)\COMPRAVENTA\VERONICA ESPINOZA A BELLA ARAYA.- OCTUBRE.doc</t>
  </si>
  <si>
    <t>C:\Users\franc\OneDrive\Documentos\MALENTIN KARIME\BANCO CREDITO\FER LORCA en ROSITA (Rosita)\COMPRAVENTA\SUC. CAMPUSANO ALVARADO.- (AUT. CONYUGE Y PROH. LEGAL).doc</t>
  </si>
  <si>
    <t>C:\Users\franc\OneDrive\Documentos\MALENTIN KARIME\BANCO CREDITO\FER LORCA en ROSITA (Rosita)\COMPRAVENTA\SERGIO RAMON SEGOVIA... 2010.-  AUT.CONYUGE.doc</t>
  </si>
  <si>
    <t>C:\Users\franc\OneDrive\Documentos\MALENTIN KARIME\BANCO CREDITO\FER LORCA en ROSITA (Rosita)\COMPRAVENTA\RODRIGO GONZALEZ A VICTOR CORTES.- AUT. CONYUGE.- SEPT. 2010.doc</t>
  </si>
  <si>
    <t>C:\Users\franc\OneDrive\Documentos\MALENTIN KARIME\BANCO CREDITO\FER LORCA en ROSITA (Rosita)\COMPRAVENTA\RAUL CIKUTOVIC A MARCIA VARAS.doc</t>
  </si>
  <si>
    <t>C:\Users\franc\OneDrive\Documentos\MALENTIN KARIME\BANCO CREDITO\FER LORCA en ROSITA (Rosita)\COMPRAVENTA\PATRICIA MUÑOZ A JOSE ARAYA.doc</t>
  </si>
  <si>
    <t>C:\Users\franc\OneDrive\Documentos\MALENTIN KARIME\BANCO CREDITO\FER LORCA en ROSITA (Rosita)\COMPRAVENTA\RAUL CIKUTOVIC A MARCIA VARAS (1).doc</t>
  </si>
  <si>
    <t>C:\Users\franc\OneDrive\Documentos\MALENTIN KARIME\BANCO CREDITO\FER LORCA en ROSITA (Rosita)\COMPRAVENTA\PAOLA CORTES A SILVIA IBACACHE.- MARZO 2011.doc</t>
  </si>
  <si>
    <t>C:\Users\franc\OneDrive\Documentos\MALENTIN KARIME\BANCO CREDITO\FER LORCA en ROSITA (Rosita)\COMPRAVENTA\NILZA CERDA A RAQUEL VILLARROEL.- PODER.doc</t>
  </si>
  <si>
    <t>C:\Users\franc\OneDrive\Documentos\MALENTIN KARIME\BANCO CREDITO\FER LORCA en ROSITA (Rosita)\COMPRAVENTA\NELSON PIZARRO A MATIAS PIZARRO.- JUNIO 2010.doc</t>
  </si>
  <si>
    <t>C:\Users\franc\OneDrive\Documentos\MALENTIN KARIME\BANCO CREDITO\FER LORCA en ROSITA (Rosita)\COMPRAVENTA\NANCY ARAYA A ALICIA MARTINEZ.- AUT. CONYUGE.- NOVIEMBRE.doc</t>
  </si>
  <si>
    <t>C:\Users\franc\OneDrive\Documentos\MALENTIN KARIME\BANCO CREDITO\FER LORCA en ROSITA (Rosita)\COMPRAVENTA\MODELO.doc</t>
  </si>
  <si>
    <t>C:\Users\franc\OneDrive\Documentos\MALENTIN KARIME\BANCO CREDITO\FER LORCA en ROSITA (Rosita)\COMPRAVENTA\MODELO.- SEPT..doc</t>
  </si>
  <si>
    <t>C:\Users\franc\OneDrive\Documentos\MALENTIN KARIME\BANCO CREDITO\FER LORCA en ROSITA (Rosita)\COMPRAVENTA\MIRIAM CISTERNAS A PABLO RAMIREZ.- DICIEMBRE.doc</t>
  </si>
  <si>
    <t>C:\Users\franc\OneDrive\Documentos\MALENTIN KARIME\BANCO CREDITO\FER LORCA en ROSITA (Rosita)\COMPRAVENTA\MIGUEL BARRAZA Y OTROS........... A PABLO USEDO.doc</t>
  </si>
  <si>
    <t>C:\Users\franc\OneDrive\Documentos\MALENTIN KARIME\BANCO CREDITO\FER LORCA en ROSITA (Rosita)\COMPRAVENTA\MICCONO MONTALVAN A FANTINA OLIVARES.- (CUERNPO CIERTO).doc</t>
  </si>
  <si>
    <t>C:\Users\franc\OneDrive\Documentos\MALENTIN KARIME\BANCO CREDITO\FER LORCA en ROSITA (Rosita)\COMPRAVENTA\MAURICIO FIGUEROA A REBECA OLMEDO.doc</t>
  </si>
  <si>
    <t>C:\Users\franc\OneDrive\Documentos\MALENTIN KARIME\BANCO CREDITO\FER LORCA en ROSITA (Rosita)\COMPRAVENTA\MAURICIO ARIAS ROJAS A ANGELO CARVAJAL (PROH. LEGAL).doc</t>
  </si>
  <si>
    <t>C:\Users\franc\OneDrive\Documentos\MALENTIN KARIME\BANCO CREDITO\FER LORCA en ROSITA (Rosita)\COMPRAVENTA\MARIO REARTE A ROSENDO ADONES.- AUT. CONYUGE.- NOVIEMBRE.doc</t>
  </si>
  <si>
    <t>C:\Users\franc\OneDrive\Documentos\MALENTIN KARIME\BANCO CREDITO\FER LORCA en ROSITA (Rosita)\COMPRAVENTA\MARINA LEDEZMA A LEYLA IZABETA........doc</t>
  </si>
  <si>
    <t>C:\Users\franc\OneDrive\Documentos\MALENTIN KARIME\BANCO CREDITO\FER LORCA en ROSITA (Rosita)\COMPRAVENTA\MARIO CERDA MADRID.- AUT. CONYUGE.- JUNIO 2010.-.doc</t>
  </si>
  <si>
    <t>C:\Users\franc\OneDrive\Documentos\MALENTIN KARIME\BANCO CREDITO\FER LORCA en ROSITA (Rosita)\COMPRAVENTA\MARIA TAPIA CASANOVA.doc</t>
  </si>
  <si>
    <t>C:\Users\franc\OneDrive\Documentos\MALENTIN KARIME\BANCO CREDITO\FER LORCA en ROSITA (Rosita)\COMPRAVENTA\MARIA RODRIGUEZ A SERGIO ROJAS.- AGOSTO 2010.-.doc</t>
  </si>
  <si>
    <t>C:\Users\franc\OneDrive\Documentos\MALENTIN KARIME\BANCO CREDITO\FER LORCA en ROSITA (Rosita)\COMPRAVENTA\MARIA ISABEL VASQUEZ ORELLANA.- NOVIEMBRE.doc</t>
  </si>
  <si>
    <t>C:\Users\franc\OneDrive\Documentos\MALENTIN KARIME\BANCO CREDITO\FER LORCA en ROSITA (Rosita)\COMPRAVENTA\MARIA INES RODRIGUEZ CON HIJO.- VILLA SAN LUIS.- ABRIL 2011.doc</t>
  </si>
  <si>
    <t>C:\Users\franc\OneDrive\Documentos\MALENTIN KARIME\BANCO CREDITO\FER LORCA en ROSITA (Rosita)\COMPRAVENTA\MARIA CORENJO A NATIVIDAD CORTES- AUT.CONYUGE.doc</t>
  </si>
  <si>
    <t>C:\Users\franc\OneDrive\Documentos\MALENTIN KARIME\BANCO CREDITO\FER LORCA en ROSITA (Rosita)\COMPRAVENTA\MARIA BARRAZA A CARLOS GODOY.doc</t>
  </si>
  <si>
    <t>C:\Users\franc\OneDrive\Documentos\MALENTIN KARIME\BANCO CREDITO\FER LORCA en ROSITA (Rosita)\COMPRAVENTA\MARIA ANGELICA A LUIS VELIZ (CON PROH. LEGAL).doc</t>
  </si>
  <si>
    <t>C:\Users\franc\OneDrive\Documentos\MALENTIN KARIME\BANCO CREDITO\FER LORCA en ROSITA (Rosita)\COMPRAVENTA\MARGARITA ROJAS A JOSEFINA CORTES  (CONYUGE) ART. 150.doc</t>
  </si>
  <si>
    <t>C:\Users\franc\OneDrive\Documentos\MALENTIN KARIME\BANCO CREDITO\FER LORCA en ROSITA (Rosita)\COMPRAVENTA\MARCELA PEÑA. SITIO Nº 5.doc</t>
  </si>
  <si>
    <t>C:\Users\franc\OneDrive\Documentos\MALENTIN KARIME\BANCO CREDITO\FER LORCA en ROSITA (Rosita)\COMPRAVENTA\MARCELA PEÑA. SITIO Nº 4.doc</t>
  </si>
  <si>
    <t>C:\Users\franc\OneDrive\Documentos\MALENTIN KARIME\BANCO CREDITO\FER LORCA en ROSITA (Rosita)\COMPRAVENTA\MARCELA PEÑA. SITIO Nº 3..doc</t>
  </si>
  <si>
    <t>C:\Users\franc\OneDrive\Documentos\MALENTIN KARIME\BANCO CREDITO\FER LORCA en ROSITA (Rosita)\COMPRAVENTA\MARCELA PEÑA. SITIO Nº 2..doc</t>
  </si>
  <si>
    <t>C:\Users\franc\OneDrive\Documentos\MALENTIN KARIME\BANCO CREDITO\FER LORCA en ROSITA (Rosita)\COMPRAVENTA\LAFONSO VILLEGAS A LARRINSON LEON.- AGOSTO 2010 (PROH. LEGAL).doc</t>
  </si>
  <si>
    <t>C:\Users\franc\OneDrive\Documentos\MALENTIN KARIME\BANCO CREDITO\FER LORCA en ROSITA (Rosita)\COMPRAVENTA\KAREN ALFARO A JHONY PEREIRA.- NOV.-.doc</t>
  </si>
  <si>
    <t>C:\Users\franc\OneDrive\Documentos\MALENTIN KARIME\BANCO CREDITO\FER LORCA en ROSITA (Rosita)\COMPRAVENTA\JUAN IRARRAZABAL.doc</t>
  </si>
  <si>
    <t>C:\Users\franc\OneDrive\Documentos\MALENTIN KARIME\BANCO CREDITO\FER LORCA en ROSITA (Rosita)\COMPRAVENTA\JUAN MONDACA A MARIA I. GONZALEZ.doc</t>
  </si>
  <si>
    <t>C:\Users\franc\OneDrive\Documentos\MALENTIN KARIME\BANCO CREDITO\FER LORCA en ROSITA (Rosita)\COMPRAVENTA\JORGE MALDONADO A NELYDA MALDONADO.- CVTA. CON DERE, COMUN. Y CUERPO CIERTO.- ENERO 2011.doc</t>
  </si>
  <si>
    <t>C:\Users\franc\OneDrive\Documentos\MALENTIN KARIME\BANCO CREDITO\FER LORCA en ROSITA (Rosita)\COMPRAVENTA\JORGE GUTIERREZ Y DANIEL SILVA.- PODER. TIERRAS Y AGUASÇ.doc</t>
  </si>
  <si>
    <t>C:\Users\franc\OneDrive\Documentos\MALENTIN KARIME\BANCO CREDITO\FER LORCA en ROSITA (Rosita)\COMPRAVENTA\JILIBERTO GONZALEZ  A XXXXXXXXX.doc</t>
  </si>
  <si>
    <t>C:\Users\franc\OneDrive\Documentos\MALENTIN KARIME\BANCO CREDITO\FER LORCA en ROSITA (Rosita)\COMPRAVENTA\JILBERTO CORDOVA... A DAVID OLIVARES.- AUT. CONYUGE.- JUNIO 2010.-.doc</t>
  </si>
  <si>
    <t>C:\Users\franc\OneDrive\Documentos\MALENTIN KARIME\BANCO CREDITO\FER LORCA en ROSITA (Rosita)\COMPRAVENTA\JERMAN ACUÑA MARIN A MARIA POBLETE.- OCT. 2010.doc</t>
  </si>
  <si>
    <t>C:\Users\franc\OneDrive\Documentos\MALENTIN KARIME\BANCO CREDITO\FER LORCA en ROSITA (Rosita)\COMPRAVENTA\INSTRUCCIONES.- amanda.doc</t>
  </si>
  <si>
    <t>C:\Users\franc\OneDrive\Documentos\MALENTIN KARIME\BANCO CREDITO\FER LORCA en ROSITA (Rosita)\COMPRAVENTA\INMO. E INV. DASIL S.A. A ERIKA ORTIZ.doc</t>
  </si>
  <si>
    <t>C:\Users\franc\OneDrive\Documentos\MALENTIN KARIME\BANCO CREDITO\FER LORCA en ROSITA (Rosita)\COMPRAVENTA\IGNACIO GARCIA  A LUIS VELIZ (CON PROH. LEGAL).doc</t>
  </si>
  <si>
    <t>C:\Users\franc\OneDrive\Documentos\MALENTIN KARIME\BANCO CREDITO\FER LORCA en ROSITA (Rosita)\COMPRAVENTA\HUMBERTO ARAYA.... HJ. CON DEREC. COMUNIDAD. Y GOCE SINGULAR.doc</t>
  </si>
  <si>
    <t>C:\Users\franc\OneDrive\Documentos\MALENTIN KARIME\BANCO CREDITO\FER LORCA en ROSITA (Rosita)\COMPRAVENTA\HUMBERTO ARAYA  A JORGE FLOREST. Hj y Com.Agr.doc</t>
  </si>
  <si>
    <t>C:\Users\franc\OneDrive\Documentos\MALENTIN KARIME\BANCO CREDITO\FER LORCA en ROSITA (Rosita)\COMPRAVENTA\HERMANOS SRA. JENARA.doc</t>
  </si>
  <si>
    <t>C:\Users\franc\OneDrive\Documentos\MALENTIN KARIME\BANCO CREDITO\FER LORCA en ROSITA (Rosita)\COMPRAVENTA\HERENCIA ELISA SALINAS....-----.doc</t>
  </si>
  <si>
    <t>C:\Users\franc\OneDrive\Documentos\MALENTIN KARIME\BANCO CREDITO\FER LORCA en ROSITA (Rosita)\COMPRAVENTA\FANTINA OLIVARES A JOSE MORALES.- ENERO 2011.doc</t>
  </si>
  <si>
    <t>C:\Users\franc\OneDrive\Documentos\MALENTIN KARIME\BANCO CREDITO\FER LORCA en ROSITA (Rosita)\COMPRAVENTA\ESTELA VALDIVIA Y OTROS A ESPERANZA NARANJO.doc</t>
  </si>
  <si>
    <t>C:\Users\franc\OneDrive\Documentos\MALENTIN KARIME\BANCO CREDITO\FER LORCA en ROSITA (Rosita)\COMPRAVENTA\EDUVIGIS GUTIERREZ B. Cuerpo cierto.doc</t>
  </si>
  <si>
    <t>C:\Users\franc\OneDrive\Documentos\MALENTIN KARIME\BANCO CREDITO\FER LORCA en ROSITA (Rosita)\COMPRAVENTA\DAVID PIZARRO A ANA TOLEDO (CON PROH. LEGAL).doc</t>
  </si>
  <si>
    <t>C:\Users\franc\OneDrive\Documentos\MALENTIN KARIME\BANCO CREDITO\FER LORCA en ROSITA (Rosita)\COMPRAVENTA\DANIEL SALINAS A CARLOS ZULETA.- ABRIL 2010.-.doc</t>
  </si>
  <si>
    <t>C:\Users\franc\OneDrive\Documentos\MALENTIN KARIME\BANCO CREDITO\FER LORCA en ROSITA (Rosita)\COMPRAVENTA\CRAE MUÑOZ -A LUZ MANRIQUEZ- AUT.CONYUGE.doc</t>
  </si>
  <si>
    <t>C:\Users\franc\OneDrive\Documentos\MALENTIN KARIME\BANCO CREDITO\FER LORCA en ROSITA (Rosita)\COMPRAVENTA\COMPRAVENTA ARAYA CON LUZA.- JUNIO 2010.doc</t>
  </si>
  <si>
    <t>C:\Users\franc\OneDrive\Documentos\MALENTIN KARIME\BANCO CREDITO\FER LORCA en ROSITA (Rosita)\COMPRAVENTA\compra parcelas huana.doc</t>
  </si>
  <si>
    <t>C:\Users\franc\OneDrive\Documentos\MALENTIN KARIME\BANCO CREDITO\FER LORCA en ROSITA (Rosita)\COMPRAVENTA\COMPAÑIA MINERA.doc</t>
  </si>
  <si>
    <t>C:\Users\franc\OneDrive\Documentos\MALENTIN KARIME\BANCO CREDITO\FER LORCA en ROSITA (Rosita)\COMPRAVENTA\CARMEN ROJAS A JUAN ROJAS (CON PROH. LEGAL).- ENE 11.doc</t>
  </si>
  <si>
    <t>C:\Users\franc\OneDrive\Documentos\MALENTIN KARIME\BANCO CREDITO\FER LORCA en ROSITA (Rosita)\COMPRAVENTA\CARMEN PIZARRO A JORGE ARANCIBIA.- AGOSTO 2010.doc</t>
  </si>
  <si>
    <t>C:\Users\franc\OneDrive\Documentos\MALENTIN KARIME\BANCO CREDITO\FER LORCA en ROSITA (Rosita)\COMPRAVENTA\CARMEN PIZARRO A JORGE ARANCIBIA.- AGOSTO 2010.-.doc</t>
  </si>
  <si>
    <t>C:\Users\franc\OneDrive\Documentos\MALENTIN KARIME\BANCO CREDITO\FER LORCA en ROSITA (Rosita)\COMPRAVENTA\CARLOS ITE A LAURA ITE.- NOVIEMBRE.doc</t>
  </si>
  <si>
    <t>C:\Users\franc\OneDrive\Documentos\MALENTIN KARIME\BANCO CREDITO\FER LORCA en ROSITA (Rosita)\COMPRAVENTA\ARISTIDES ANGEL A HERNAN VASQUEZ.doc</t>
  </si>
  <si>
    <t>C:\Users\franc\OneDrive\Documentos\MALENTIN KARIME\BANCO CREDITO\FER LORCA en ROSITA (Rosita)\COMPRAVENTA\ANGELICA MOSALVE A MARIO MONSALVE- AUT.CONYUGE.doc</t>
  </si>
  <si>
    <t>C:\Users\franc\OneDrive\Documentos\MALENTIN KARIME\BANCO CREDITO\FER LORCA en ROSITA (Rosita)\COMPRAVENTA\AMERICA CARVAJAL A ANA LEMUS.doc</t>
  </si>
  <si>
    <t>C:\Users\franc\OneDrive\Documentos\MALENTIN KARIME\BANCO CREDITO\FER LORCA en ROSITA (Rosita)\COMPRAVENTA\AMANDA VENEGAS.- FEDERICO.doc</t>
  </si>
  <si>
    <t>C:\Users\franc\OneDrive\Documentos\MALENTIN KARIME\BANCO CREDITO\FER LORCA en ROSITA (Rosita)\COMPRAVENTA\ALEYINA TABILO TORO.- POB. MANZANO.doc</t>
  </si>
  <si>
    <t>C:\Users\franc\OneDrive\Documentos\MALENTIN KARIME\BANCO CREDITO\FER LORCA en ROSITA (Rosita)\COMODATO\POTRERILLOS BAJOS.doc</t>
  </si>
  <si>
    <t>C:\Users\franc\OneDrive\Documentos\MALENTIN KARIME\BANCO CREDITO\FER LORCA en ROSITA (Rosita)\COMODATO\COMUNI. AGRIC. LOS TRISGO A COMITE ADULTO MAYOR AMOR A LA VIDA.doc</t>
  </si>
  <si>
    <t>C:\Users\franc\OneDrive\Documentos\MALENTIN KARIME\BANCO CREDITO\FER LORCA en ROSITA (Rosita)\CLEMENTEN FUENTEALBA\JUAN VELIZ A ROSA MONSALVE  (CONYUGE) ART. 150.doc</t>
  </si>
  <si>
    <t>C:\Users\franc\OneDrive\Documentos\MALENTIN KARIME\BANCO CREDITO\FER LORCA en ROSITA (Rosita)\CLEMENTEN FUENTEALBA\carta instrucciones.doc</t>
  </si>
  <si>
    <t>C:\Users\franc\OneDrive\Documentos\MALENTIN KARIME\BANCO CREDITO\FER LORCA en ROSITA (Rosita)\CLAUDIO CASTILLO\MANUEL CORTES A CARLOS HIDALGO, st media luna.doc</t>
  </si>
  <si>
    <t>C:\Users\franc\OneDrive\Documentos\MALENTIN KARIME\BANCO CREDITO\FER LORCA en ROSITA (Rosita)\CLAUDIO CASTILLO\HERBERTO TRONCOSO.- SEPT. 2'010.-.doc</t>
  </si>
  <si>
    <t>C:\Users\franc\OneDrive\Documentos\MALENTIN KARIME\BANCO CREDITO\FER LORCA en ROSITA (Rosita)\CIBERGESTION\SEPTIEMBRE\CERTIFICADOS\MARIA YANET CAMPOS DIAZ.doc</t>
  </si>
  <si>
    <t>C:\Users\franc\OneDrive\Documentos\MALENTIN KARIME\BANCO CREDITO\FER LORCA en ROSITA (Rosita)\CIBERGESTION\SEPTIEMBRE\CERTIFICADOS\ESTRELLA IBACACHE.doc</t>
  </si>
  <si>
    <t>C:\Users\franc\OneDrive\Documentos\MALENTIN KARIME\BANCO CREDITO\FER LORCA en ROSITA (Rosita)\CIBERGESTION\SEPTIEMBRE\CERTIFICADOS\BERTA BRUNA.doc</t>
  </si>
  <si>
    <t>C:\Users\franc\OneDrive\Documentos\MALENTIN KARIME\BANCO CREDITO\FER LORCA en ROSITA (Rosita)\CIBERGESTION\SEPTIEMBRE\PATRICIA LOPEZ LOPEZ[1].doc</t>
  </si>
  <si>
    <t>C:\Users\franc\OneDrive\Documentos\MALENTIN KARIME\BANCO CREDITO\FER LORCA en ROSITA (Rosita)\CIBERGESTION\SEPTIEMBRE\MARIA CAMPOS DIZ[1].doc</t>
  </si>
  <si>
    <t>C:\Users\franc\OneDrive\Documentos\MALENTIN KARIME\BANCO CREDITO\FER LORCA en ROSITA (Rosita)\CIBERGESTION\SEPTIEMBRE\HERNAN CASTRO LOYOLA[1].doc</t>
  </si>
  <si>
    <t>C:\Users\franc\OneDrive\Documentos\MALENTIN KARIME\BANCO CREDITO\FER LORCA en ROSITA (Rosita)\CIBERGESTION\SEPTIEMBRE\ESTRELLA IBACACHE JIMENEZ[1].doc</t>
  </si>
  <si>
    <t>C:\Users\franc\OneDrive\Documentos\MALENTIN KARIME\BANCO CREDITO\FER LORCA en ROSITA (Rosita)\CIBERGESTION\SEPTIEMBRE\CARLOS BRUNA CUBILLOS[1] TRANSACCION.doc</t>
  </si>
  <si>
    <t>C:\Users\franc\OneDrive\Documentos\MALENTIN KARIME\BANCO CREDITO\FER LORCA en ROSITA (Rosita)\CIBERGESTION\SEPTIEMBRE\BERTA BRUNA VERA[1].doc</t>
  </si>
  <si>
    <t>C:\Users\franc\OneDrive\Documentos\MALENTIN KARIME\BANCO CREDITO\FER LORCA en ROSITA (Rosita)\CIBERGESTION\OCTUBRE\JAVIER RIVERA BARRAZA[1].doc</t>
  </si>
  <si>
    <t>C:\Users\franc\OneDrive\Documentos\MALENTIN KARIME\BANCO CREDITO\FER LORCA en ROSITA (Rosita)\CIBERGESTION\NOVIEMBRE\TRANSACCION\PATRICIA SOLAR ARANIBAR[1].doc</t>
  </si>
  <si>
    <t>C:\Users\franc\OneDrive\Documentos\MALENTIN KARIME\BANCO CREDITO\FER LORCA en ROSITA (Rosita)\CIBERGESTION\NOVIEMBRE\YOSSELYN ESQUIVEL SOTO.doc</t>
  </si>
  <si>
    <t>C:\Users\franc\OneDrive\Documentos\MALENTIN KARIME\BANCO CREDITO\FER LORCA en ROSITA (Rosita)\CIBERGESTION\NOVIEMBRE\ROSA JULIO JULIO.doc</t>
  </si>
  <si>
    <t>C:\Users\franc\OneDrive\Documentos\MALENTIN KARIME\BANCO CREDITO\FER LORCA en ROSITA (Rosita)\CIBERGESTION\NOVIEMBRE\RAMON MILLA MONARDEZ.doc</t>
  </si>
  <si>
    <t>C:\Users\franc\OneDrive\Documentos\MALENTIN KARIME\BANCO CREDITO\FER LORCA en ROSITA (Rosita)\CIBERGESTION\NOVIEMBRE\ISAAC HERRERA CASTILLO.doc</t>
  </si>
  <si>
    <t>C:\Users\franc\OneDrive\Documentos\MALENTIN KARIME\BANCO CREDITO\FER LORCA en ROSITA (Rosita)\CIBERGESTION\NOVIEMBRE\HONORINO VEGA VEGA.doc</t>
  </si>
  <si>
    <t>C:\Users\franc\OneDrive\Documentos\MALENTIN KARIME\BANCO CREDITO\FER LORCA en ROSITA (Rosita)\CIBERGESTION\JULIO `09\TRANSACCION\INGRID_TORRES_TAPIA[1].doc</t>
  </si>
  <si>
    <t>C:\Users\franc\OneDrive\Documentos\MALENTIN KARIME\BANCO CREDITO\FER LORCA en ROSITA (Rosita)\CIBERGESTION\JULIO `09\CERTIFICADOS\RAFAEL BARRAZA CISTERNAS.doc</t>
  </si>
  <si>
    <t>C:\Users\franc\OneDrive\Documentos\MALENTIN KARIME\BANCO CREDITO\FER LORCA en ROSITA (Rosita)\CIBERGESTION\JULIO `09\CERTIFICADOS\PAMELA RETAMALES.doc</t>
  </si>
  <si>
    <t>C:\Users\franc\OneDrive\Documentos\MALENTIN KARIME\BANCO CREDITO\FER LORCA en ROSITA (Rosita)\CIBERGESTION\JULIO `09\CERTIFICADOS\PAMELA MOLINA FLORES.doc</t>
  </si>
  <si>
    <t>C:\Users\franc\OneDrive\Documentos\MALENTIN KARIME\BANCO CREDITO\FER LORCA en ROSITA (Rosita)\CIBERGESTION\JULIO `09\CERTIFICADOS\ANGEL CORTES VEGA.doc</t>
  </si>
  <si>
    <t>C:\Users\franc\OneDrive\Documentos\MALENTIN KARIME\BANCO CREDITO\FER LORCA en ROSITA (Rosita)\CIBERGESTION\JULIO `09\RAFAEL_BARRAZA_CISTERNAS[1].doc</t>
  </si>
  <si>
    <t>C:\Users\franc\OneDrive\Documentos\MALENTIN KARIME\BANCO CREDITO\FER LORCA en ROSITA (Rosita)\CIBERGESTION\JULIO `09\PAMELA_RETAMALES_LOPEZ.doc</t>
  </si>
  <si>
    <t>C:\Users\franc\OneDrive\Documentos\MALENTIN KARIME\BANCO CREDITO\FER LORCA en ROSITA (Rosita)\CIBERGESTION\JULIO `09\PAMELA_MOLINA_FLORES[2].doc</t>
  </si>
  <si>
    <t>C:\Users\franc\OneDrive\Documentos\MALENTIN KARIME\BANCO CREDITO\FER LORCA en ROSITA (Rosita)\CIBERGESTION\JULIO `09\MIRIAM_BARRAZA_CORTES[1].doc</t>
  </si>
  <si>
    <t>C:\Users\franc\OneDrive\Documentos\MALENTIN KARIME\BANCO CREDITO\FER LORCA en ROSITA (Rosita)\CIBERGESTION\JULIO `09\MIREYA_TORO_OPAZO[1].doc</t>
  </si>
  <si>
    <t>C:\Users\franc\OneDrive\Documentos\MALENTIN KARIME\BANCO CREDITO\FER LORCA en ROSITA (Rosita)\CIBERGESTION\JULIO `09\GUSTAVO_GONZALEZ_GONZALEZ[1].doc</t>
  </si>
  <si>
    <t>C:\Users\franc\OneDrive\Documentos\MALENTIN KARIME\BANCO CREDITO\FER LORCA en ROSITA (Rosita)\CIBERGESTION\JULIO `09\GUSTAVO_GONZALEZ_ FIRMA CONYUGE.doc</t>
  </si>
  <si>
    <t>C:\Users\franc\OneDrive\Documentos\MALENTIN KARIME\BANCO CREDITO\FER LORCA en ROSITA (Rosita)\CIBERGESTION\JULIO `09\EXEQUIEL_LOPEZ_MALUENDA[1].doc</t>
  </si>
  <si>
    <t>C:\Users\franc\OneDrive\Documentos\MALENTIN KARIME\BANCO CREDITO\FER LORCA en ROSITA (Rosita)\CIBERGESTION\JULIO `09\EXEQUIEL LOPEZ MALUENDA.doc</t>
  </si>
  <si>
    <t>C:\Users\franc\OneDrive\Documentos\MALENTIN KARIME\BANCO CREDITO\FER LORCA en ROSITA (Rosita)\CIBERGESTION\JULIO `09\CLAUDIO_CASTRO_FLORES[1].doc</t>
  </si>
  <si>
    <t>C:\Users\franc\OneDrive\Documentos\MALENTIN KARIME\BANCO CREDITO\FER LORCA en ROSITA (Rosita)\CIBERGESTION\JULIO `09\ANGEL_CORTES_VEGA[1].doc</t>
  </si>
  <si>
    <t>C:\Users\franc\OneDrive\Documentos\MALENTIN KARIME\BANCO CREDITO\FER LORCA en ROSITA (Rosita)\CIBERGESTION\DICIEMBRE 2010\Marcela Andrea Carmona Carmona, transaccion , Dic..doc</t>
  </si>
  <si>
    <t>C:\Users\franc\OneDrive\Documentos\MALENTIN KARIME\BANCO CREDITO\FER LORCA en ROSITA (Rosita)\CIBERGESTION\CERTIFICADOS ANT\RUBÉN CORTES COLQUE.doc</t>
  </si>
  <si>
    <t>C:\Users\franc\OneDrive\Documentos\MALENTIN KARIME\BANCO CREDITO\FER LORCA en ROSITA (Rosita)\CIBERGESTION\CERTIFICADOS ANT\PATRICIA TORREJON LEON.doc</t>
  </si>
  <si>
    <t>C:\Users\franc\OneDrive\Documentos\MALENTIN KARIME\BANCO CREDITO\FER LORCA en ROSITA (Rosita)\CIBERGESTION\CERTIFICADOS ANT\NELSON ROJAS VALDES.doc</t>
  </si>
  <si>
    <t>C:\Users\franc\OneDrive\Documentos\MALENTIN KARIME\BANCO CREDITO\FER LORCA en ROSITA (Rosita)\CIBERGESTION\CERTIFICADOS ANT\NELSON ARAYA ARAYA.doc</t>
  </si>
  <si>
    <t>C:\Users\franc\OneDrive\Documentos\MALENTIN KARIME\BANCO CREDITO\FER LORCA en ROSITA (Rosita)\CIBERGESTION\CERTIFICADOS ANT\MIREYA CARES CORTES.doc</t>
  </si>
  <si>
    <t>C:\Users\franc\OneDrive\Documentos\MALENTIN KARIME\BANCO CREDITO\FER LORCA en ROSITA (Rosita)\CIBERGESTION\CERTIFICADOS ANT\MARIA CORTES ALFARO.doc</t>
  </si>
  <si>
    <t>C:\Users\franc\OneDrive\Documentos\MALENTIN KARIME\BANCO CREDITO\FER LORCA en ROSITA (Rosita)\CIBERGESTION\CERTIFICADOS ANT\MANUEL GONZALEZ PEÑA.doc</t>
  </si>
  <si>
    <t>C:\Users\franc\OneDrive\Documentos\MALENTIN KARIME\BANCO CREDITO\FER LORCA en ROSITA (Rosita)\CIBERGESTION\CERTIFICADOS ANT\LUISA FLORS MUNDACA.doc</t>
  </si>
  <si>
    <t>C:\Users\franc\OneDrive\Documentos\MALENTIN KARIME\BANCO CREDITO\FER LORCA en ROSITA (Rosita)\CIBERGESTION\CERTIFICADOS ANT\JORGE HUERTA GONZALEZ.doc</t>
  </si>
  <si>
    <t>C:\Users\franc\OneDrive\Documentos\MALENTIN KARIME\BANCO CREDITO\FER LORCA en ROSITA (Rosita)\CIBERGESTION\CERTIFICADOS ANT\GUSTAVO GONZALEZ GONZALEZ[1].doc</t>
  </si>
  <si>
    <t>C:\Users\franc\OneDrive\Documentos\MALENTIN KARIME\BANCO CREDITO\FER LORCA en ROSITA (Rosita)\CIBERGESTION\CERTIFICADOS ANT\CAROLA VELASQUEZ RIVERA.doc</t>
  </si>
  <si>
    <t>C:\Users\franc\OneDrive\Documentos\MALENTIN KARIME\BANCO CREDITO\FER LORCA en ROSITA (Rosita)\CIBERGESTION\CERTIFICADOS ANT\ANA MATAMOROS ZEPEDA.doc</t>
  </si>
  <si>
    <t>C:\Users\franc\OneDrive\Documentos\MALENTIN KARIME\BANCO CREDITO\FER LORCA en ROSITA (Rosita)\CIBERGESTION\CERTIFICADOS ANT\CARLOS TORO ROJAS.doc</t>
  </si>
  <si>
    <t>C:\Users\franc\OneDrive\Documentos\MALENTIN KARIME\BANCO CREDITO\FER LORCA en ROSITA (Rosita)\CIBERGESTION\CERTIFICADOS\MIRIAM BARRAZA MUÑOZ.- 29 JUL. SERGIO CORTES.doc</t>
  </si>
  <si>
    <t>C:\Users\franc\OneDrive\Documentos\MALENTIN KARIME\BANCO CREDITO\FER LORCA en ROSITA (Rosita)\CIBERGESTION\CERTIFICADOS\GUSTAVO GONZALEZ GONZALEZ.- 29 JUL. SERGIO CORTES.doc</t>
  </si>
  <si>
    <t>C:\Users\franc\OneDrive\Documentos\MALENTIN KARIME\BANCO CREDITO\FER LORCA en ROSITA (Rosita)\CIBERGESTION\CERTIF. TRANSACCION\JUAN VAZQUEZ ORTIZ.doc</t>
  </si>
  <si>
    <t>C:\Users\franc\OneDrive\Documentos\MALENTIN KARIME\BANCO CREDITO\FER LORCA en ROSITA (Rosita)\CIBERGESTION\CERTIF. TRANSACCION\INGRID TORRES TAPIA.doc</t>
  </si>
  <si>
    <t>C:\Users\franc\OneDrive\Documentos\MALENTIN KARIME\BANCO CREDITO\FER LORCA en ROSITA (Rosita)\CIBERGESTION\AGOSTO `09\CERTIFICADOS\MIRIAM ALVARADO.doc</t>
  </si>
  <si>
    <t>C:\Users\franc\OneDrive\Documentos\MALENTIN KARIME\BANCO CREDITO\FER LORCA en ROSITA (Rosita)\CIBERGESTION\AGOSTO `09\CERTIFICADOS\MARITZA GUERRA.doc</t>
  </si>
  <si>
    <t>C:\Users\franc\OneDrive\Documentos\MALENTIN KARIME\BANCO CREDITO\FER LORCA en ROSITA (Rosita)\CIBERGESTION\AGOSTO `09\MIRIAM ARAYA[1].doc</t>
  </si>
  <si>
    <t>C:\Users\franc\OneDrive\Documentos\MALENTIN KARIME\BANCO CREDITO\FER LORCA en ROSITA (Rosita)\CIBERGESTION\AGOSTO `09\MARITZA GUERRA CORTES[1].doc</t>
  </si>
  <si>
    <t>C:\Users\franc\OneDrive\Documentos\MALENTIN KARIME\BANCO CREDITO\FER LORCA en ROSITA (Rosita)\CIBERGESTION\AGOSTO `09\MARIO GALLARDO ARACENA.doc</t>
  </si>
  <si>
    <t>C:\Users\franc\OneDrive\Documentos\MALENTIN KARIME\BANCO CREDITO\FER LORCA en ROSITA (Rosita)\CIBERGESTION\AGOSTO `09\ESTRELLA  ARANCIBIA MUÑOZ.doc</t>
  </si>
  <si>
    <t>C:\Users\franc\OneDrive\Documentos\MALENTIN KARIME\BANCO CREDITO\FER LORCA en ROSITA (Rosita)\CIBERGESTION\SOBRE CIBERGESTION.doc</t>
  </si>
  <si>
    <t>C:\Users\franc\OneDrive\Documentos\MALENTIN KARIME\BANCO CREDITO\FER LORCA en ROSITA (Rosita)\CIBERGESTION\CARTA DAVID.doc</t>
  </si>
  <si>
    <t>C:\Users\franc\OneDrive\Documentos\MALENTIN KARIME\BANCO CREDITO\FER LORCA en ROSITA (Rosita)\CESION MINERAS\MIGUEL TAPIA (HIJO).doc</t>
  </si>
  <si>
    <t>C:\Users\franc\OneDrive\Documentos\MALENTIN KARIME\BANCO CREDITO\FER LORCA en ROSITA (Rosita)\CESION DERECHOS COMUNITARIOS\COM. PUNITAQUI\AGUSTIN BARRAZA A ALEX SANTANDER.doc</t>
  </si>
  <si>
    <t>C:\Users\franc\OneDrive\Documentos\MALENTIN KARIME\BANCO CREDITO\FER LORCA en ROSITA (Rosita)\CESION DERECHOS COMUNITARIOS\MANUEL ROJAS A OSCAR MURILLO (CASTILLO, MAL PASO).doc</t>
  </si>
  <si>
    <t>C:\Users\franc\OneDrive\Documentos\MALENTIN KARIME\BANCO CREDITO\FER LORCA en ROSITA (Rosita)\CESION DERECHOS COMUNITARIOS\agrega detalle de pago.doc</t>
  </si>
  <si>
    <t>C:\Users\franc\OneDrive\Documentos\MALENTIN KARIME\BANCO CREDITO\FER LORCA en ROSITA (Rosita)\CESION DER. HEREDIT\SARA BACHO A SUS HIJOS.- JUNIO 2010.doc</t>
  </si>
  <si>
    <t>C:\Users\franc\OneDrive\Documentos\MALENTIN KARIME\BANCO CREDITO\FER LORCA en ROSITA (Rosita)\CESION DER. HEREDIT\OSCAR NAVARRO.doc</t>
  </si>
  <si>
    <t>C:\Users\franc\OneDrive\Documentos\MALENTIN KARIME\BANCO CREDITO\FER LORCA en ROSITA (Rosita)\CESION DER. HEREDIT\OSCAR NAVARRO.-.doc</t>
  </si>
  <si>
    <t>C:\Users\franc\OneDrive\Documentos\MALENTIN KARIME\BANCO CREDITO\FER LORCA en ROSITA (Rosita)\CESION DER. HEREDIT\OSCAR NAVARRO.- sin algunas personas.-.doc</t>
  </si>
  <si>
    <t>C:\Users\franc\OneDrive\Documentos\MALENTIN KARIME\BANCO CREDITO\FER LORCA en ROSITA (Rosita)\CESION DER. HEREDIT\NANCY MUNDACA A JOSE MUNDACA.doc</t>
  </si>
  <si>
    <t>C:\Users\franc\OneDrive\Documentos\MALENTIN KARIME\BANCO CREDITO\FER LORCA en ROSITA (Rosita)\CESION DER. HEREDIT\MIGUEL FLORES Y OTROS A SU HIJA (CON CONYUGE AUTOIR).doc</t>
  </si>
  <si>
    <t>C:\Users\franc\OneDrive\Documentos\MALENTIN KARIME\BANCO CREDITO\FER LORCA en ROSITA (Rosita)\CESION DER. HEREDIT\MARIO ROJAS A MARIA VEGA.doc</t>
  </si>
  <si>
    <t>C:\Users\franc\OneDrive\Documentos\MALENTIN KARIME\BANCO CREDITO\FER LORCA en ROSITA (Rosita)\CESION DER. HEREDIT\JUAN CARLOS CORTES TRUJILLO A MIGUEL ALVAREZ ALVAREZ.doc</t>
  </si>
  <si>
    <t>C:\Users\franc\OneDrive\Documentos\MALENTIN KARIME\BANCO CREDITO\FER LORCA en ROSITA (Rosita)\CESION DER. HEREDIT\JORGE DIAZ A RAUL DIAZ.-HIJUELA SIETE.doc</t>
  </si>
  <si>
    <t>C:\Users\franc\OneDrive\Documentos\MALENTIN KARIME\BANCO CREDITO\FER LORCA en ROSITA (Rosita)\CESION DER. HEREDIT\JORGE DIAZ A RAUL DIAZ.-.doc</t>
  </si>
  <si>
    <t>C:\Users\franc\OneDrive\Documentos\MALENTIN KARIME\BANCO CREDITO\FER LORCA en ROSITA (Rosita)\CESION DER. HEREDIT\INVENTARIO SIMPLE CASA.doc</t>
  </si>
  <si>
    <t>C:\Users\franc\OneDrive\Documentos\MALENTIN KARIME\BANCO CREDITO\FER LORCA en ROSITA (Rosita)\CESION DER. HEREDIT\GRACIELA  VARELA Y OTROS A ANGELA ROJAS  (SRA. ANA LUISA.doc</t>
  </si>
  <si>
    <t>C:\Users\franc\OneDrive\Documentos\MALENTIN KARIME\BANCO CREDITO\FER LORCA en ROSITA (Rosita)\CESION DER. HEREDIT\Cesion de Derechos  de HERENCIA.- FERNANDO VIVAR.doc</t>
  </si>
  <si>
    <t>C:\Users\franc\OneDrive\Documentos\MALENTIN KARIME\BANCO CREDITO\FER LORCA en ROSITA (Rosita)\CESION DER. HEREDIT\CES. EXC. SRA. GRACIELA.doc</t>
  </si>
  <si>
    <t>C:\Users\franc\OneDrive\Documentos\MALENTIN KARIME\BANCO CREDITO\FER LORCA en ROSITA (Rosita)\CESION DER. HEREDIT\ANA GRACIELA PEREZ PIZARRO E HIJOS.doc</t>
  </si>
  <si>
    <t>C:\Users\franc\OneDrive\Documentos\MALENTIN KARIME\BANCO CREDITO\FER LORCA en ROSITA (Rosita)\CESION DER. HEREDIT\ANA CASTILLO Y OTROS A SU MAMA.doc</t>
  </si>
  <si>
    <t>C:\Users\franc\OneDrive\Documentos\MALENTIN KARIME\BANCO CREDITO\FER LORCA en ROSITA (Rosita)\CARLOS BUGUEÑO\STRUCCIONES\MARCELO CORRAL.doc</t>
  </si>
  <si>
    <t>C:\Users\franc\OneDrive\Documentos\MALENTIN KARIME\BANCO CREDITO\FER LORCA en ROSITA (Rosita)\CARLOS BUGUEÑO\STRUCCIONES\corral y pardo - con inostroza.doc</t>
  </si>
  <si>
    <t>C:\Users\franc\OneDrive\Documentos\MALENTIN KARIME\BANCO CREDITO\FER LORCA en ROSITA (Rosita)\CARLOS BUGUEÑO\STRUCCIONES\corral y pardo - con inostroza.- MARZO 2010.doc</t>
  </si>
  <si>
    <t>C:\Users\franc\OneDrive\Documentos\MALENTIN KARIME\BANCO CREDITO\FER LORCA en ROSITA (Rosita)\CARLOS BUGUEÑO\STRUCCIONES\corral y pardo - con inostroza (2).doc</t>
  </si>
  <si>
    <t>C:\Users\franc\OneDrive\Documentos\MALENTIN KARIME\BANCO CREDITO\FER LORCA en ROSITA (Rosita)\CARLOS BUGUEÑO\STRUCCIONES\carta[1].instrucc aguas roberto de la cruz aguilera - enero 2010.doc</t>
  </si>
  <si>
    <t>C:\Users\franc\OneDrive\Documentos\MALENTIN KARIME\BANCO CREDITO\FER LORCA en ROSITA (Rosita)\CARLOS BUGUEÑO\STRUCCIONES\carta instrucciones venta norterra ltda[1]. enero 2010.doc</t>
  </si>
  <si>
    <t>C:\Users\franc\OneDrive\Documentos\MALENTIN KARIME\BANCO CREDITO\FER LORCA en ROSITA (Rosita)\CARLOS BUGUEÑO\STRUCCIONES\carta instrucciones venta  gonzalo alvarez - feb 2010[1].doc</t>
  </si>
  <si>
    <t>C:\Users\franc\OneDrive\Documentos\MALENTIN KARIME\BANCO CREDITO\FER LORCA en ROSITA (Rosita)\CARLOS BUGUEÑO\STRUCCIONES\carta instrucciones venta  gonzalo alvarez - feb 2010[1].- NUEVA.doc</t>
  </si>
  <si>
    <t>C:\Users\franc\OneDrive\Documentos\MALENTIN KARIME\BANCO CREDITO\FER LORCA en ROSITA (Rosita)\CARLOS BUGUEÑO\STRUCCIONES\carta instrucc guido maya - julio 2010.doc</t>
  </si>
  <si>
    <t>C:\Users\franc\OneDrive\Documentos\MALENTIN KARIME\BANCO CREDITO\FER LORCA en ROSITA (Rosita)\CARLOS BUGUEÑO\STRUCCIONES\carta instrucc fco cerva - junio 2010.doc</t>
  </si>
  <si>
    <t>C:\Users\franc\OneDrive\Documentos\MALENTIN KARIME\BANCO CREDITO\FER LORCA en ROSITA (Rosita)\CARLOS BUGUEÑO\STRUCCIONES\carta instrucc BENEDICTO CISTERNAS - febrero 2010[1].doc</t>
  </si>
  <si>
    <t>C:\Users\franc\OneDrive\Documentos\MALENTIN KARIME\BANCO CREDITO\FER LORCA en ROSITA (Rosita)\CARLOS BUGUEÑO\SOCIEDAD\erika jofre. extracto junio 2010.doc</t>
  </si>
  <si>
    <t>C:\Users\franc\OneDrive\Documentos\MALENTIN KARIME\BANCO CREDITO\FER LORCA en ROSITA (Rosita)\CARLOS BUGUEÑO\SOCIEDAD\erika jofre . junio 2010.doc</t>
  </si>
  <si>
    <t>C:\Users\franc\OneDrive\Documentos\MALENTIN KARIME\BANCO CREDITO\FER LORCA en ROSITA (Rosita)\CARLOS BUGUEÑO\SOC. ARKON LTDA\CONTRATO DE COMPRAVENTA.doc</t>
  </si>
  <si>
    <t>C:\Users\franc\OneDrive\Documentos\MALENTIN KARIME\BANCO CREDITO\FER LORCA en ROSITA (Rosita)\CARLOS BUGUEÑO\SOC. ARKON LTDA\CESION DERECHOS DE PROMESA COMPRAVENTA.doc</t>
  </si>
  <si>
    <t>C:\Users\franc\OneDrive\Documentos\MALENTIN KARIME\BANCO CREDITO\FER LORCA en ROSITA (Rosita)\CARLOS BUGUEÑO\SOC. AGRIC. ANGOSTURA LTDA.-\VENTA LOTE A .- CON SELIM DABED.doc</t>
  </si>
  <si>
    <t>C:\Users\franc\OneDrive\Documentos\MALENTIN KARIME\BANCO CREDITO\FER LORCA en ROSITA (Rosita)\CARLOS BUGUEÑO\SAMUEL BOZO LORCA\escritura Acta Junta extraordinaria - 1 julio 2010.doc</t>
  </si>
  <si>
    <t>C:\Users\franc\OneDrive\Documentos\MALENTIN KARIME\BANCO CREDITO\FER LORCA en ROSITA (Rosita)\CARLOS BUGUEÑO\SAMUEL BOZO LORCA\cesion derechos sostenedor - julio 2010.doc</t>
  </si>
  <si>
    <t>C:\Users\franc\OneDrive\Documentos\MALENTIN KARIME\BANCO CREDITO\FER LORCA en ROSITA (Rosita)\CARLOS BUGUEÑO\SAMUEL BOZO LORCA\acta jta extr sostenedora samuel bozo - extracto.doc</t>
  </si>
  <si>
    <t>C:\Users\franc\OneDrive\Documentos\MALENTIN KARIME\BANCO CREDITO\FER LORCA en ROSITA (Rosita)\CARLOS BUGUEÑO\REDUCCION ESCRITURA PUBLICA\CANAL GRANDE Y LOS AZULES\ESCRIT~1.DOC</t>
  </si>
  <si>
    <t>C:\Users\franc\OneDrive\Documentos\MALENTIN KARIME\BANCO CREDITO\FER LORCA en ROSITA (Rosita)\CARLOS BUGUEÑO\REDUCCION ESCRITURA PUBLICA\CANAL GRANDE Y LOS AZULES\Canal Grande y Los Azules - julio 2010.- 2.-.doc</t>
  </si>
  <si>
    <t>C:\Users\franc\OneDrive\Documentos\MALENTIN KARIME\BANCO CREDITO\FER LORCA en ROSITA (Rosita)\CARLOS BUGUEÑO\REDUCCION ESCRITURA PUBLICA\rescilia escritura Acta sesion directorio limari trading sa enero 2010 - esc.doc</t>
  </si>
  <si>
    <t>C:\Users\franc\OneDrive\Documentos\MALENTIN KARIME\BANCO CREDITO\FER LORCA en ROSITA (Rosita)\CARLOS BUGUEÑO\REDUCCION ESCRITURA PUBLICA\nueva escritura Acta sesion directorio limari trading sa enero 2010 - esc[1].doc</t>
  </si>
  <si>
    <t>C:\Users\franc\OneDrive\Documentos\MALENTIN KARIME\BANCO CREDITO\FER LORCA en ROSITA (Rosita)\CARLOS BUGUEÑO\REDUCCION ESCRITURA PUBLICA\escritura Acta sesion directorio don valentino sa dic 2009 - esc[1].doc</t>
  </si>
  <si>
    <t>C:\Users\franc\OneDrive\Documentos\MALENTIN KARIME\BANCO CREDITO\FER LORCA en ROSITA (Rosita)\CARLOS BUGUEÑO\REDUCCION ESCRITURA PUBLICA\escritura Acta Junta extraordinaria don valentino sa dic 2009 - esc[1].doc</t>
  </si>
  <si>
    <t>C:\Users\franc\OneDrive\Documentos\MALENTIN KARIME\BANCO CREDITO\FER LORCA en ROSITA (Rosita)\CARLOS BUGUEÑO\REDUCCION ESCRITURA PUBLICA\Acta sesion directorio limari trading sa dic 2009 - esc[1].doc</t>
  </si>
  <si>
    <t>C:\Users\franc\OneDrive\Documentos\MALENTIN KARIME\BANCO CREDITO\FER LORCA en ROSITA (Rosita)\CARLOS BUGUEÑO\REDUCCION ESCRITURA PUBLICA\abrl 2010 escritura Acta sesion directorio limari trading sa.doc</t>
  </si>
  <si>
    <t>C:\Users\franc\OneDrive\Documentos\MALENTIN KARIME\BANCO CREDITO\FER LORCA en ROSITA (Rosita)\CARLOS BUGUEÑO\rectificaciones\ratifica venta lote 6 - rocio valdivia.- 2 JUNIO 2010.doc</t>
  </si>
  <si>
    <t>C:\Users\franc\OneDrive\Documentos\MALENTIN KARIME\BANCO CREDITO\FER LORCA en ROSITA (Rosita)\CARLOS BUGUEÑO\rectificaciones\JUAN INOSTROZA - SOC. FRESSO LTDA.doc</t>
  </si>
  <si>
    <t>C:\Users\franc\OneDrive\Documentos\MALENTIN KARIME\BANCO CREDITO\FER LORCA en ROSITA (Rosita)\CARLOS BUGUEÑO\rectificaciones\complementa maria ramos - mayo 2010.doc</t>
  </si>
  <si>
    <t>C:\Users\franc\OneDrive\Documentos\MALENTIN KARIME\BANCO CREDITO\FER LORCA en ROSITA (Rosita)\CARLOS BUGUEÑO\rectificaciones\angostura - selim dabed - enero 2010[1].doc</t>
  </si>
  <si>
    <t>C:\Users\franc\OneDrive\Documentos\MALENTIN KARIME\BANCO CREDITO\FER LORCA en ROSITA (Rosita)\CARLOS BUGUEÑO\rectificaciones\aclara venta fco cerva - julio 2010.doc</t>
  </si>
  <si>
    <t>C:\Users\franc\OneDrive\Documentos\MALENTIN KARIME\BANCO CREDITO\FER LORCA en ROSITA (Rosita)\CARLOS BUGUEÑO\rectificaciones\ACLARA venta aguas sucesion pereira alvarez - enero 2010.doc</t>
  </si>
  <si>
    <t>C:\Users\franc\OneDrive\Documentos\MALENTIN KARIME\BANCO CREDITO\FER LORCA en ROSITA (Rosita)\CARLOS BUGUEÑO\rectificaciones\ACLARA soc..doc</t>
  </si>
  <si>
    <t>C:\Users\franc\OneDrive\Documentos\MALENTIN KARIME\BANCO CREDITO\FER LORCA en ROSITA (Rosita)\CARLOS BUGUEÑO\rectificaciones\aclara maria ramos - julio 2010.-.doc</t>
  </si>
  <si>
    <t>C:\Users\franc\OneDrive\Documentos\MALENTIN KARIME\BANCO CREDITO\FER LORCA en ROSITA (Rosita)\CARLOS BUGUEÑO\rectificaciones\aclara escritura modifica estatutos - canal grande y los azules - noviembre 2009[1].doc</t>
  </si>
  <si>
    <t>C:\Users\franc\OneDrive\Documentos\MALENTIN KARIME\BANCO CREDITO\FER LORCA en ROSITA (Rosita)\CARLOS BUGUEÑO\rectificaciones\ACLARA compraventa a john keeler - enero 2010[1].doc</t>
  </si>
  <si>
    <t>C:\Users\franc\OneDrive\Documentos\MALENTIN KARIME\BANCO CREDITO\FER LORCA en ROSITA (Rosita)\CARLOS BUGUEÑO\RATIFICACION AGENTE OFICIOSO\ratifica ag ofic humberto gonzalez a carlos bugueño - julio 2010.doc</t>
  </si>
  <si>
    <t>C:\Users\franc\OneDrive\Documentos\MALENTIN KARIME\BANCO CREDITO\FER LORCA en ROSITA (Rosita)\CARLOS BUGUEÑO\PROTOCOLIZACION\SOC. INMOB. E INVERS. ATRIA Y PEREZ LTDA..doc</t>
  </si>
  <si>
    <t>C:\Users\franc\OneDrive\Documentos\MALENTIN KARIME\BANCO CREDITO\FER LORCA en ROSITA (Rosita)\CARLOS BUGUEÑO\PROTOCOLIZACION\MODIFICAICON SOCIAL SOC. AGRIC. MOSTAZAL.doc</t>
  </si>
  <si>
    <t>C:\Users\franc\OneDrive\Documentos\MALENTIN KARIME\BANCO CREDITO\FER LORCA en ROSITA (Rosita)\CARLOS BUGUEÑO\PROTOCOLIZACION\INMOBILIARIA CORRAL NEWMAN LTDA.-.doc</t>
  </si>
  <si>
    <t>C:\Users\franc\OneDrive\Documentos\MALENTIN KARIME\BANCO CREDITO\FER LORCA en ROSITA (Rosita)\CARLOS BUGUEÑO\PROTOCOLIZACION\CONST. SOC. AGRIC.STA.MARIA MOSTAZAL.doc</t>
  </si>
  <si>
    <t>C:\Users\franc\OneDrive\Documentos\MALENTIN KARIME\BANCO CREDITO\FER LORCA en ROSITA (Rosita)\CARLOS BUGUEÑO\PROTOCOLIZACION\ACTA EXT. COMUNIDAD MIALQUI.doc</t>
  </si>
  <si>
    <t>C:\Users\franc\OneDrive\Documentos\MALENTIN KARIME\BANCO CREDITO\FER LORCA en ROSITA (Rosita)\CARLOS BUGUEÑO\PROMESAS\ROSA CONTRERAS Y PATRICIO PINTO.doc</t>
  </si>
  <si>
    <t>C:\Users\franc\OneDrive\Documentos\MALENTIN KARIME\BANCO CREDITO\FER LORCA en ROSITA (Rosita)\CARLOS BUGUEÑO\PROMESAS\ELENA GALLEGUILLOS - FILOMENA CASTILLO.doc</t>
  </si>
  <si>
    <t>C:\Users\franc\OneDrive\Documentos\MALENTIN KARIME\BANCO CREDITO\FER LORCA en ROSITA (Rosita)\CARLOS BUGUEÑO\PARTICION\MARZO - 2009\CONT. ARREND. INMB.JOFRE A CLAUDIA PEREZ.doc</t>
  </si>
  <si>
    <t>C:\Users\franc\OneDrive\Documentos\MALENTIN KARIME\BANCO CREDITO\FER LORCA en ROSITA (Rosita)\CARLOS BUGUEÑO\PARTICION\MARZO - 2009\CONT. ARREND. CESAR YAÑEZ.doc</t>
  </si>
  <si>
    <t>C:\Users\franc\OneDrive\Documentos\MALENTIN KARIME\BANCO CREDITO\FER LORCA en ROSITA (Rosita)\CARLOS BUGUEÑO\PARTICION\MARZO - 2009\COMODATO ERIKA LEIVA.. CESAR YAÑEZ.doc</t>
  </si>
  <si>
    <t>C:\Users\franc\OneDrive\Documentos\MALENTIN KARIME\BANCO CREDITO\FER LORCA en ROSITA (Rosita)\CARLOS BUGUEÑO\PARTICION\particion pato pinto y otros - mayo 2010.- CORREGIDA.-.doc</t>
  </si>
  <si>
    <t>C:\Users\franc\OneDrive\Documentos\MALENTIN KARIME\BANCO CREDITO\FER LORCA en ROSITA (Rosita)\CARLOS BUGUEÑO\PARTICION\particion pato pinto y otros - abril 2010.doc</t>
  </si>
  <si>
    <t>C:\Users\franc\OneDrive\Documentos\MALENTIN KARIME\BANCO CREDITO\FER LORCA en ROSITA (Rosita)\CARLOS BUGUEÑO\MUTUOS\mutuo maria belen baquedano - sept 2010.doc</t>
  </si>
  <si>
    <t>C:\Users\franc\OneDrive\Documentos\MALENTIN KARIME\BANCO CREDITO\FER LORCA en ROSITA (Rosita)\CARLOS BUGUEÑO\MUTUOS\mutuo maria belen baquedano - sept 2010..doc</t>
  </si>
  <si>
    <t>C:\Users\franc\OneDrive\Documentos\MALENTIN KARIME\BANCO CREDITO\FER LORCA en ROSITA (Rosita)\CARLOS BUGUEÑO\MUTUOS\mutuo dinero a la vista marcela cortes.doc</t>
  </si>
  <si>
    <t>C:\Users\franc\OneDrive\Documentos\MALENTIN KARIME\BANCO CREDITO\FER LORCA en ROSITA (Rosita)\CARLOS BUGUEÑO\MANDATOS\poder judicial OM. AGUAS CANAL GRANDE Y LOS AZULESa claudio ardiles - sept 2010.doc</t>
  </si>
  <si>
    <t>C:\Users\franc\OneDrive\Documentos\MALENTIN KARIME\BANCO CREDITO\FER LORCA en ROSITA (Rosita)\CARLOS BUGUEÑO\MANDATOS\PODER JUDIC. LA GREDA A CLAUDIO ARDILES- sept 2010.doc</t>
  </si>
  <si>
    <t>C:\Users\franc\OneDrive\Documentos\MALENTIN KARIME\BANCO CREDITO\FER LORCA en ROSITA (Rosita)\CARLOS BUGUEÑO\MANDATOS\poder especial enrique lopez - mayo 2010.doc</t>
  </si>
  <si>
    <t>C:\Users\franc\OneDrive\Documentos\MALENTIN KARIME\BANCO CREDITO\FER LORCA en ROSITA (Rosita)\CARLOS BUGUEÑO\MANDATOS\poder adriana chandia - sept 2010.- SIMPLE.doc</t>
  </si>
  <si>
    <t>C:\Users\franc\OneDrive\Documentos\MALENTIN KARIME\BANCO CREDITO\FER LORCA en ROSITA (Rosita)\CARLOS BUGUEÑO\MANDATOS\NOLVIA CARVAJAL.- 19-01.doc</t>
  </si>
  <si>
    <t>C:\Users\franc\OneDrive\Documentos\MALENTIN KARIME\BANCO CREDITO\FER LORCA en ROSITA (Rosita)\CARLOS BUGUEÑO\MANDATOS\lidia aviles mandato judicial.-.doc</t>
  </si>
  <si>
    <t>C:\Users\franc\OneDrive\Documentos\MALENTIN KARIME\BANCO CREDITO\FER LORCA en ROSITA (Rosita)\CARLOS BUGUEÑO\MANDATOS\inv y agric bosman y gioia a claudio ardiles  - mayo 2010.doc</t>
  </si>
  <si>
    <t>C:\Users\franc\OneDrive\Documentos\MALENTIN KARIME\BANCO CREDITO\FER LORCA en ROSITA (Rosita)\CARLOS BUGUEÑO\MANDATOS\HERNAN CORRAL NEWMAN.- MTO. JUDIC. a mario barrios - diciembre 2009[1].doc</t>
  </si>
  <si>
    <t>C:\Users\franc\OneDrive\Documentos\MALENTIN KARIME\BANCO CREDITO\FER LORCA en ROSITA (Rosita)\CARLOS BUGUEÑO\MANDATOS\GUSTAVO CORRAL A HUGO VEGA.doc</t>
  </si>
  <si>
    <t>C:\Users\franc\OneDrive\Documentos\MALENTIN KARIME\BANCO CREDITO\FER LORCA en ROSITA (Rosita)\CARLOS BUGUEÑO\MANDATOS\FRANKLIN MUNDACA A MARIO BARRIOS.doc</t>
  </si>
  <si>
    <t>C:\Users\franc\OneDrive\Documentos\MALENTIN KARIME\BANCO CREDITO\FER LORCA en ROSITA (Rosita)\CARLOS BUGUEÑO\MANDATOS\cristian robles - claudio ardiles - febrero 2010[1].doc</t>
  </si>
  <si>
    <t>C:\Users\franc\OneDrive\Documentos\MALENTIN KARIME\BANCO CREDITO\FER LORCA en ROSITA (Rosita)\CARLOS BUGUEÑO\MANDATOS\BERNARDO ARAYA.- AGOSTO 2010.-.doc</t>
  </si>
  <si>
    <t>C:\Users\franc\OneDrive\Documentos\MALENTIN KARIME\BANCO CREDITO\FER LORCA en ROSITA (Rosita)\CARLOS BUGUEÑO\MANDATOS\autorizacion nolvia villar carvajal - enero 2010[1].doc</t>
  </si>
  <si>
    <t>C:\Users\franc\OneDrive\Documentos\MALENTIN KARIME\BANCO CREDITO\FER LORCA en ROSITA (Rosita)\CARLOS BUGUEÑO\FINIQUITOS\resciliacon contrato mariana bolvaran - sept 2010.doc</t>
  </si>
  <si>
    <t>C:\Users\franc\OneDrive\Documentos\MALENTIN KARIME\BANCO CREDITO\FER LORCA en ROSITA (Rosita)\CARLOS BUGUEÑO\FINIQUITOS\finiquito manuel cortes - sept 2010.doc</t>
  </si>
  <si>
    <t>C:\Users\franc\OneDrive\Documentos\MALENTIN KARIME\BANCO CREDITO\FER LORCA en ROSITA (Rosita)\CARLOS BUGUEÑO\FINIQUITOS\FINIQUITO CONTRATU TRABAJO.Ernesto Araya.doc</t>
  </si>
  <si>
    <t>C:\Users\franc\OneDrive\Documentos\MALENTIN KARIME\BANCO CREDITO\FER LORCA en ROSITA (Rosita)\CARLOS BUGUEÑO\FINIQUITOS\FINIQUITO CONTRATO CLAUDIO VEGA (1).doc</t>
  </si>
  <si>
    <t>C:\Users\franc\OneDrive\Documentos\MALENTIN KARIME\BANCO CREDITO\FER LORCA en ROSITA (Rosita)\CARLOS BUGUEÑO\FINIQUITOS\finiquito cbo - sept 2010.doc</t>
  </si>
  <si>
    <t>C:\Users\franc\OneDrive\Documentos\MALENTIN KARIME\BANCO CREDITO\FER LORCA en ROSITA (Rosita)\CARLOS BUGUEÑO\EXTRACTOS\sociedad john keeler - extracto - enero 2010[1].doc</t>
  </si>
  <si>
    <t>C:\Users\franc\OneDrive\Documentos\MALENTIN KARIME\BANCO CREDITO\FER LORCA en ROSITA (Rosita)\CARLOS BUGUEÑO\EXTRACTOS\extracto marcelo corral soc - modific soc agosto 2010.doc</t>
  </si>
  <si>
    <t>C:\Users\franc\OneDrive\Documentos\MALENTIN KARIME\BANCO CREDITO\FER LORCA en ROSITA (Rosita)\CARLOS BUGUEÑO\DACION EN PAGO\finiquito mariana bolvaran - marzo 2010.doc</t>
  </si>
  <si>
    <t>C:\Users\franc\OneDrive\Documentos\MALENTIN KARIME\BANCO CREDITO\FER LORCA en ROSITA (Rosita)\CARLOS BUGUEÑO\DACION EN PAGO\finiquito gonzalo vega - marzo 2010.doc</t>
  </si>
  <si>
    <t>C:\Users\franc\OneDrive\Documentos\MALENTIN KARIME\BANCO CREDITO\FER LORCA en ROSITA (Rosita)\CARLOS BUGUEÑO\DACION EN PAGO\dacion en pago mariana bolvaran - marzo 2010.doc</t>
  </si>
  <si>
    <t>C:\Users\franc\OneDrive\Documentos\MALENTIN KARIME\BANCO CREDITO\FER LORCA en ROSITA (Rosita)\CARLOS BUGUEÑO\DACION EN PAGO\dacion en pago mariana bolvaran - marzo 2010.-.doc</t>
  </si>
  <si>
    <t>C:\Users\franc\OneDrive\Documentos\MALENTIN KARIME\BANCO CREDITO\FER LORCA en ROSITA (Rosita)\CARLOS BUGUEÑO\DACION EN PAGO\dacion en pago gonzalo vega - marzo 2010.doc</t>
  </si>
  <si>
    <t>C:\Users\franc\OneDrive\Documentos\MALENTIN KARIME\BANCO CREDITO\FER LORCA en ROSITA (Rosita)\CARLOS BUGUEÑO\CORRAL\renuncia usufructo - gustavo corral - octubre 2009.doc</t>
  </si>
  <si>
    <t>C:\Users\franc\OneDrive\Documentos\MALENTIN KARIME\BANCO CREDITO\FER LORCA en ROSITA (Rosita)\CARLOS BUGUEÑO\CORRAL\renuncia usufructo (4) - gustavo corral - octubre 2009.doc</t>
  </si>
  <si>
    <t>C:\Users\franc\OneDrive\Documentos\MALENTIN KARIME\BANCO CREDITO\FER LORCA en ROSITA (Rosita)\CARLOS BUGUEÑO\CORRAL\renuncia usufructo (3) - gustavo corral - octubre 2009.doc</t>
  </si>
  <si>
    <t>C:\Users\franc\OneDrive\Documentos\MALENTIN KARIME\BANCO CREDITO\FER LORCA en ROSITA (Rosita)\CARLOS BUGUEÑO\CORRAL\renuncia usufructo (2) - gustavo corral - octubre 2009.doc</t>
  </si>
  <si>
    <t>C:\Users\franc\OneDrive\Documentos\MALENTIN KARIME\BANCO CREDITO\FER LORCA en ROSITA (Rosita)\CARLOS BUGUEÑO\CORRAL\MTO. JUDICIAL. MARCELO CORRAL.doc</t>
  </si>
  <si>
    <t>C:\Users\franc\OneDrive\Documentos\MALENTIN KARIME\BANCO CREDITO\FER LORCA en ROSITA (Rosita)\CARLOS BUGUEÑO\CORRAL\marcelo corral soc - modific soc.- AGOSTO 2010.doc</t>
  </si>
  <si>
    <t>C:\Users\franc\OneDrive\Documentos\MALENTIN KARIME\BANCO CREDITO\FER LORCA en ROSITA (Rosita)\CARLOS BUGUEÑO\CORRAL\MANDATO GUSTAVO CORRAL BARRIOS A BSANTANDER 12.04.2010[1].doc</t>
  </si>
  <si>
    <t>C:\Users\franc\OneDrive\Documentos\MALENTIN KARIME\BANCO CREDITO\FER LORCA en ROSITA (Rosita)\CARLOS BUGUEÑO\CORRAL\CERTIFICACION NOTARIO.doc</t>
  </si>
  <si>
    <t>C:\Users\franc\OneDrive\Documentos\MALENTIN KARIME\BANCO CREDITO\FER LORCA en ROSITA (Rosita)\CARLOS BUGUEÑO\CORRAL\CERTIFICACION NOTARIO.- 2º.doc</t>
  </si>
  <si>
    <t>C:\Users\franc\OneDrive\Documentos\MALENTIN KARIME\BANCO CREDITO\FER LORCA en ROSITA (Rosita)\CARLOS BUGUEÑO\CONST. SOCIEDAD\cruz cortes - enero 2010.doc</t>
  </si>
  <si>
    <t>C:\Users\franc\OneDrive\Documentos\MALENTIN KARIME\BANCO CREDITO\FER LORCA en ROSITA (Rosita)\CARLOS BUGUEÑO\CONST. SOCIEDAD\sociedad john keeler -enero 2010[1].doc</t>
  </si>
  <si>
    <t>C:\Users\franc\OneDrive\Documentos\MALENTIN KARIME\BANCO CREDITO\FER LORCA en ROSITA (Rosita)\CARLOS BUGUEÑO\COMPRAVENTAS\VEHICULOS\MARIA SOLEDAD  ZEPEDA PROVIS.doc</t>
  </si>
  <si>
    <t>C:\Users\franc\OneDrive\Documentos\MALENTIN KARIME\BANCO CREDITO\FER LORCA en ROSITA (Rosita)\CARLOS BUGUEÑO\COMPRAVENTAS\PRIVADA\venta dotacion aguas rio limari - enero 2010[1].doc</t>
  </si>
  <si>
    <t>C:\Users\franc\OneDrive\Documentos\MALENTIN KARIME\BANCO CREDITO\FER LORCA en ROSITA (Rosita)\CARLOS BUGUEÑO\COMPRAVENTAS\CVTA. Y SUBDIVISION\jaime[1].villalon - miguel salazar - enero 2010.doc</t>
  </si>
  <si>
    <t>C:\Users\franc\OneDrive\Documentos\MALENTIN KARIME\BANCO CREDITO\FER LORCA en ROSITA (Rosita)\CARLOS BUGUEÑO\COMPRAVENTAS\venta lotes 16 y v17 - comite procasa[1] MIALQUI.doc</t>
  </si>
  <si>
    <t>C:\Users\franc\OneDrive\Documentos\MALENTIN KARIME\BANCO CREDITO\FER LORCA en ROSITA (Rosita)\CARLOS BUGUEÑO\COMPRAVENTAS\venta propiedad cbb - j larrondo - calle miguel aguirre - julio 2010.- EST. JURIDICO.doc</t>
  </si>
  <si>
    <t>C:\Users\franc\OneDrive\Documentos\MALENTIN KARIME\BANCO CREDITO\FER LORCA en ROSITA (Rosita)\CARLOS BUGUEÑO\COMPRAVENTAS\VENTA LOTE 6. ROCIO VALDIVIA.- INM. CRUZ COLORADA.doc</t>
  </si>
  <si>
    <t>C:\Users\franc\OneDrive\Documentos\MALENTIN KARIME\BANCO CREDITO\FER LORCA en ROSITA (Rosita)\CARLOS BUGUEÑO\COMPRAVENTAS\venta lote 4  lidia aviles[1].doc</t>
  </si>
  <si>
    <t>C:\Users\franc\OneDrive\Documentos\MALENTIN KARIME\BANCO CREDITO\FER LORCA en ROSITA (Rosita)\CARLOS BUGUEÑO\COMPRAVENTAS\RODRIGO BAQUEDANO.- 2. - sept 2010 (1).doc</t>
  </si>
  <si>
    <t>C:\Users\franc\OneDrive\Documentos\MALENTIN KARIME\BANCO CREDITO\FER LORCA en ROSITA (Rosita)\CARLOS BUGUEÑO\COMPRAVENTAS\RODRIGO BAQUEDANO - sept 2010.doc</t>
  </si>
  <si>
    <t>C:\Users\franc\OneDrive\Documentos\MALENTIN KARIME\BANCO CREDITO\FER LORCA en ROSITA (Rosita)\CARLOS BUGUEÑO\COMPRAVENTAS\mirna rojas - Lote 8 compraventa - febrero 2010.doc</t>
  </si>
  <si>
    <t>C:\Users\franc\OneDrive\Documentos\MALENTIN KARIME\BANCO CREDITO\FER LORCA en ROSITA (Rosita)\CARLOS BUGUEÑO\COMPRAVENTAS\maria cristina robles - julio 2010 (2) GUANAQUEROS.doc</t>
  </si>
  <si>
    <t>C:\Users\franc\OneDrive\Documentos\MALENTIN KARIME\BANCO CREDITO\FER LORCA en ROSITA (Rosita)\CARLOS BUGUEÑO\COMPRAVENTAS\MARIA BELEN BAQUEDANO- sept 2010.doc</t>
  </si>
  <si>
    <t>C:\Users\franc\OneDrive\Documentos\MALENTIN KARIME\BANCO CREDITO\FER LORCA en ROSITA (Rosita)\CARLOS BUGUEÑO\COMPRAVENTAS\Lote 49 - humberto gonzalez - julio 2010.doc</t>
  </si>
  <si>
    <t>C:\Users\franc\OneDrive\Documentos\MALENTIN KARIME\BANCO CREDITO\FER LORCA en ROSITA (Rosita)\CARLOS BUGUEÑO\COMPRAVENTAS\Lote 40 compraventa hector araya - noviembre 2009[1].doc</t>
  </si>
  <si>
    <t>C:\Users\franc\OneDrive\Documentos\MALENTIN KARIME\BANCO CREDITO\FER LORCA en ROSITA (Rosita)\CARLOS BUGUEÑO\COMPRAVENTAS\Lote 10 - francisco cerva - junio 2010.doc</t>
  </si>
  <si>
    <t>C:\Users\franc\OneDrive\Documentos\MALENTIN KARIME\BANCO CREDITO\FER LORCA en ROSITA (Rosita)\CARLOS BUGUEÑO\COMPRAVENTAS\lorena sandoval y otro - marzo 2010 - Lote 11 compraventa.doc</t>
  </si>
  <si>
    <t>C:\Users\franc\OneDrive\Documentos\MALENTIN KARIME\BANCO CREDITO\FER LORCA en ROSITA (Rosita)\CARLOS BUGUEÑO\COMPRAVENTAS\Lote 10 - francisco cerva - junio 2010.- INM. PINTO.doc</t>
  </si>
  <si>
    <t>C:\Users\franc\OneDrive\Documentos\MALENTIN KARIME\BANCO CREDITO\FER LORCA en ROSITA (Rosita)\CARLOS BUGUEÑO\COMPRAVENTAS\LORENA SANDOVAL  - abril 2010 - Lote 11 compraventa.doc</t>
  </si>
  <si>
    <t>C:\Users\franc\OneDrive\Documentos\MALENTIN KARIME\BANCO CREDITO\FER LORCA en ROSITA (Rosita)\CARLOS BUGUEÑO\COMPRAVENTAS\INM. CRUZ COLORADA.- 24-12-2009.doc</t>
  </si>
  <si>
    <t>C:\Users\franc\OneDrive\Documentos\MALENTIN KARIME\BANCO CREDITO\FER LORCA en ROSITA (Rosita)\CARLOS BUGUEÑO\COMPRAVENTAS\compraventa lote 21 a franklin araya - enero 2010. NUEVA.doc</t>
  </si>
  <si>
    <t>C:\Users\franc\OneDrive\Documentos\MALENTIN KARIME\BANCO CREDITO\FER LORCA en ROSITA (Rosita)\CARLOS BUGUEÑO\COMPRAVENTAS\compra venta lote 21 a2 franklin araya - enero 2010[1].doc</t>
  </si>
  <si>
    <t>C:\Users\franc\OneDrive\Documentos\MALENTIN KARIME\BANCO CREDITO\FER LORCA en ROSITA (Rosita)\CARLOS BUGUEÑO\COMPRAVENTAS\compra parcelas huana.- SOC. AGRIC. EL PUENTE LTDA.-.doc</t>
  </si>
  <si>
    <t>C:\Users\franc\OneDrive\Documentos\MALENTIN KARIME\BANCO CREDITO\FER LORCA en ROSITA (Rosita)\CARLOS BUGUEÑO\COMPRAVENTAS\compra luis pinto a agricola aliro pinto sr ltda[2].doc</t>
  </si>
  <si>
    <t>C:\Users\franc\OneDrive\Documentos\MALENTIN KARIME\BANCO CREDITO\FER LORCA en ROSITA (Rosita)\CARLOS BUGUEÑO\COMPRAVENTAS\BERNARDO ARAYA A JOHN KEELER.doc</t>
  </si>
  <si>
    <t>C:\Users\franc\OneDrive\Documentos\MALENTIN KARIME\BANCO CREDITO\FER LORCA en ROSITA (Rosita)\CARLOS BUGUEÑO\COMPRAVENTAS\COMPRA FRESSO.- ABRIL.doc</t>
  </si>
  <si>
    <t>C:\Users\franc\OneDrive\Documentos\MALENTIN KARIME\BANCO CREDITO\FER LORCA en ROSITA (Rosita)\CARLOS BUGUEÑO\COMPRAVENTAS\antonio corral - venta parcela - marzo 2010.doc</t>
  </si>
  <si>
    <t>C:\Users\franc\OneDrive\Documentos\MALENTIN KARIME\BANCO CREDITO\FER LORCA en ROSITA (Rosita)\CARLOS BUGUEÑO\COMPRAVENTA  AGUAS\SEPT. 2010\venta aguas palmenia maya - sept 2010.doc</t>
  </si>
  <si>
    <t>C:\Users\franc\OneDrive\Documentos\MALENTIN KARIME\BANCO CREDITO\FER LORCA en ROSITA (Rosita)\CARLOS BUGUEÑO\COMPRAVENTA  AGUAS\SEPT. 2010\venta a camila aracena villar - sept 2010.doc</t>
  </si>
  <si>
    <t>C:\Users\franc\OneDrive\Documentos\MALENTIN KARIME\BANCO CREDITO\FER LORCA en ROSITA (Rosita)\CARLOS BUGUEÑO\COMPRAVENTA  AGUAS\SEPT. 2010\carta instrucc palmenia maya - septiembre 2010.doc</t>
  </si>
  <si>
    <t>C:\Users\franc\OneDrive\Documentos\MALENTIN KARIME\BANCO CREDITO\FER LORCA en ROSITA (Rosita)\CARLOS BUGUEÑO\COMPRAVENTA  AGUAS\SEPT. 2010\carta instrucc camila aracena - septiembre 2010.doc</t>
  </si>
  <si>
    <t>C:\Users\franc\OneDrive\Documentos\MALENTIN KARIME\BANCO CREDITO\FER LORCA en ROSITA (Rosita)\CARLOS BUGUEÑO\COMPRAVENTA  AGUAS\OCTUBRE\modelo.-.doc</t>
  </si>
  <si>
    <t>C:\Users\franc\OneDrive\Documentos\MALENTIN KARIME\BANCO CREDITO\FER LORCA en ROSITA (Rosita)\CARLOS BUGUEÑO\COMPRAVENTA  AGUAS\OCTUBRE\carta instrucciones venta aguas manriquez.doc</t>
  </si>
  <si>
    <t>C:\Users\franc\OneDrive\Documentos\MALENTIN KARIME\BANCO CREDITO\FER LORCA en ROSITA (Rosita)\CARLOS BUGUEÑO\COMPRAVENTA  AGUAS\OCTUBRE\MARIA S. MANRIQUEZ A AGRICOLA LAS MERCEDES.- OCT. 2010.doc</t>
  </si>
  <si>
    <t>C:\Users\franc\OneDrive\Documentos\MALENTIN KARIME\BANCO CREDITO\FER LORCA en ROSITA (Rosita)\CARLOS BUGUEÑO\COMPRAVENTA  AGUAS\venta aguas guido maya - julio 2010.doc</t>
  </si>
  <si>
    <t>C:\Users\franc\OneDrive\Documentos\MALENTIN KARIME\BANCO CREDITO\FER LORCA en ROSITA (Rosita)\CARLOS BUGUEÑO\COMPRAVENTA  AGUAS\venta aguas guido maya - julio 2010 (1).doc</t>
  </si>
  <si>
    <t>C:\Users\franc\OneDrive\Documentos\MALENTIN KARIME\BANCO CREDITO\FER LORCA en ROSITA (Rosita)\CARLOS BUGUEÑO\COMPRAVENTA  AGUAS\SOC. BOSSMAN.- GONZALO ALVAREZ.doc</t>
  </si>
  <si>
    <t>C:\Users\franc\OneDrive\Documentos\MALENTIN KARIME\BANCO CREDITO\FER LORCA en ROSITA (Rosita)\CARLOS BUGUEÑO\COMPRAVENTA  AGUAS\ROBERTO AGUILERA A SOC. AGRIC. MAL PASO LTDA.-.doc</t>
  </si>
  <si>
    <t>C:\Users\franc\OneDrive\Documentos\MALENTIN KARIME\BANCO CREDITO\FER LORCA en ROSITA (Rosita)\CARLOS BUGUEÑO\COMPRAVENTA  AGUAS\ROBERTO AGUILERA A SOC. AGRIC. MAL PASO LTDA.- buena.doc</t>
  </si>
  <si>
    <t>C:\Users\franc\OneDrive\Documentos\MALENTIN KARIME\BANCO CREDITO\FER LORCA en ROSITA (Rosita)\CARLOS BUGUEÑO\COMPRAVENTA  AGUAS\LUIS MIRANDA A INV. AGRIC. BOSSMANN.doc</t>
  </si>
  <si>
    <t>C:\Users\franc\OneDrive\Documentos\MALENTIN KARIME\BANCO CREDITO\FER LORCA en ROSITA (Rosita)\CARLOS BUGUEÑO\COMPRAVENTA  AGUAS\EMILIO MUÑOZ - LUIS PEPPI.doc</t>
  </si>
  <si>
    <t>C:\Users\franc\OneDrive\Documentos\MALENTIN KARIME\BANCO CREDITO\FER LORCA en ROSITA (Rosita)\CARLOS BUGUEÑO\COMPRAVENTA  AGUAS\compra aguas a norterra ltda - enero 2010[1].doc</t>
  </si>
  <si>
    <t>C:\Users\franc\OneDrive\Documentos\MALENTIN KARIME\BANCO CREDITO\FER LORCA en ROSITA (Rosita)\CARLOS BUGUEÑO\COMPRAVENTA  AGUAS\AGRICOLA LAS MERCEDES.- Y BENEDICTO CISTERNAS.doc</t>
  </si>
  <si>
    <t>C:\Users\franc\OneDrive\Documentos\MALENTIN KARIME\BANCO CREDITO\FER LORCA en ROSITA (Rosita)\CARLOS BUGUEÑO\CESION\venta lote 4  lidia aviles a fruticola rio copiapo ltda[1].doc</t>
  </si>
  <si>
    <t>C:\Users\franc\OneDrive\Documentos\MALENTIN KARIME\BANCO CREDITO\FER LORCA en ROSITA (Rosita)\CARLOS BUGUEÑO\CESION DE ACCIONES\cesion acciones bernardita - junio 2010.- STA. TERESA.doc</t>
  </si>
  <si>
    <t>C:\Users\franc\OneDrive\Documentos\MALENTIN KARIME\BANCO CREDITO\FER LORCA en ROSITA (Rosita)\CARLOS BUGUEÑO\CESION\cesion derecho lidia aviles a andres barros - dic 2009[1].doc</t>
  </si>
  <si>
    <t>C:\Users\franc\OneDrive\Documentos\MALENTIN KARIME\BANCO CREDITO\FER LORCA en ROSITA (Rosita)\CARLOS BUGUEÑO\CESION\cesion (2) derecho y goce singular MARIA ALFARO - mayo 2010.doc</t>
  </si>
  <si>
    <t>C:\Users\franc\OneDrive\Documentos\MALENTIN KARIME\BANCO CREDITO\FER LORCA en ROSITA (Rosita)\CARLOS BUGUEÑO\CESION\carta.inst. compra a maria gonzalez alfaro - mayo 2010.doc</t>
  </si>
  <si>
    <t>C:\Users\franc\OneDrive\Documentos\MALENTIN KARIME\BANCO CREDITO\FER LORCA en ROSITA (Rosita)\CARLOS BUGUEÑO\CESION\cesion (2) derecho y goce singular MARIA ALFARO - mayo 2010.- MODELO.doc</t>
  </si>
  <si>
    <t>C:\Users\franc\OneDrive\Documentos\MALENTIN KARIME\BANCO CREDITO\FER LORCA en ROSITA (Rosita)\CARLOS BUGUEÑO\CESION\carta inst (2)[1]. compra a lidia aviles.doc</t>
  </si>
  <si>
    <t>C:\Users\franc\OneDrive\Documentos\MALENTIN KARIME\BANCO CREDITO\FER LORCA en ROSITA (Rosita)\CARLOS BUGUEÑO\CESION\carta inst (1)[1]. compra a lidia aviles.doc</t>
  </si>
  <si>
    <t>C:\Users\franc\OneDrive\Documentos\MALENTIN KARIME\BANCO CREDITO\FER LORCA en ROSITA (Rosita)\CARLOS BUGUEÑO\CANCELACION\cancelacion sergio salfate -marzo 2010.doc</t>
  </si>
  <si>
    <t>C:\Users\franc\OneDrive\Documentos\MALENTIN KARIME\BANCO CREDITO\FER LORCA en ROSITA (Rosita)\CARLOS BUGUEÑO\CANCELACION\cancelacion precio venta lote 21 a franklin araya - julio 2010.- MARCELO CORRAL.doc</t>
  </si>
  <si>
    <t>C:\Users\franc\OneDrive\Documentos\MALENTIN KARIME\BANCO CREDITO\FER LORCA en ROSITA (Rosita)\CARLOS BUGUEÑO\CANCELACION\cancelacion precio pamela cofre - febrero 2010[1].doc</t>
  </si>
  <si>
    <t>C:\Users\franc\OneDrive\Documentos\MALENTIN KARIME\BANCO CREDITO\FER LORCA en ROSITA (Rosita)\CARLOS BUGUEÑO\CANCELACION\cancelacion precio gmo gibson - marzo 2010.doc</t>
  </si>
  <si>
    <t>C:\Users\franc\OneDrive\Documentos\MALENTIN KARIME\BANCO CREDITO\FER LORCA en ROSITA (Rosita)\CARLOS BUGUEÑO\CANCELACION\cancelacion cbb a jorge larrondo - agosto 2010 (1).doc</t>
  </si>
  <si>
    <t>C:\Users\franc\OneDrive\Documentos\MALENTIN KARIME\BANCO CREDITO\FER LORCA en ROSITA (Rosita)\CARLOS BUGUEÑO\ARRIENDOS\termino raul carmona - junio 2010.doc</t>
  </si>
  <si>
    <t>C:\Users\franc\OneDrive\Documentos\MALENTIN KARIME\BANCO CREDITO\FER LORCA en ROSITA (Rosita)\CARLOS BUGUEÑO\ARRIENDOS\soc agricola esperanza - mayo 2010 (1).doc</t>
  </si>
  <si>
    <t>C:\Users\franc\OneDrive\Documentos\MALENTIN KARIME\BANCO CREDITO\FER LORCA en ROSITA (Rosita)\CARLOS BUGUEÑO\ALZAMIENTO B.C.I\alzamiento hipoteca bci - julio 2010.doc</t>
  </si>
  <si>
    <t>C:\Users\franc\OneDrive\Documentos\MALENTIN KARIME\BANCO CREDITO\FER LORCA en ROSITA (Rosita)\CARLOS BUGUEÑO\ACTAS\nueva escritura Acta sesion directorio limari trading sa enero 2010 - esc[1].doc</t>
  </si>
  <si>
    <t>C:\Users\franc\OneDrive\Documentos\MALENTIN KARIME\BANCO CREDITO\FER LORCA en ROSITA (Rosita)\CARLOS BUGUEÑO\ACTAS\escrituracion acta junta ordinaria - enero 2010[1]MIALQUI.-.doc</t>
  </si>
  <si>
    <t>C:\Users\franc\OneDrive\Documentos\MALENTIN KARIME\BANCO CREDITO\FER LORCA en ROSITA (Rosita)\CARLOS BUGUEÑO\ACTAS\escritura Acta sesion directorio limari trading sa mayo 2010 - esc.doc</t>
  </si>
  <si>
    <t>C:\Users\franc\OneDrive\Documentos\MALENTIN KARIME\BANCO CREDITO\FER LORCA en ROSITA (Rosita)\CARLOS BUGUEÑO\ACTAS\escritura Acta Junta Ordinaria - mayo 2010 - esc.doc</t>
  </si>
  <si>
    <t>C:\Users\franc\OneDrive\Documentos\MALENTIN KARIME\BANCO CREDITO\FER LORCA en ROSITA (Rosita)\CARLOS BUGUEÑO\SESION DE DIRECTORIO H. JOFRE.doc</t>
  </si>
  <si>
    <t>C:\Users\franc\OneDrive\Documentos\MALENTIN KARIME\BANCO CREDITO\FER LORCA en ROSITA (Rosita)\CARLOS BUGUEÑO\SESION DE DIRECTORIO  nº 8.doc</t>
  </si>
  <si>
    <t>C:\Users\franc\OneDrive\Documentos\MALENTIN KARIME\BANCO CREDITO\FER LORCA en ROSITA (Rosita)\CARLOS BUGUEÑO\PAGARE A PLAZO.- SOC. FRESSO.doc</t>
  </si>
  <si>
    <t>C:\Users\franc\OneDrive\Documentos\MALENTIN KARIME\BANCO CREDITO\FER LORCA en ROSITA (Rosita)\CARLOS BUGUEÑO\modifica arriendo vicuña mackenna 253 - nov 2008.doc</t>
  </si>
  <si>
    <t>C:\Users\franc\OneDrive\Documentos\MALENTIN KARIME\BANCO CREDITO\FER LORCA en ROSITA (Rosita)\CARLOS BUGUEÑO\MODIFI. SOC. AGRICOLA LAS CAÑAS DE SOTAQUI.doc</t>
  </si>
  <si>
    <t>C:\Users\franc\OneDrive\Documentos\MALENTIN KARIME\BANCO CREDITO\FER LORCA en ROSITA (Rosita)\CARLOS BUGUEÑO\MODELO   FORMULARIO  24.-.doc</t>
  </si>
  <si>
    <t>C:\Users\franc\OneDrive\Documentos\MALENTIN KARIME\BANCO CREDITO\FER LORCA en ROSITA (Rosita)\CARLOS BUGUEÑO\MODELO   FORMULARIO  24.- FRESSO.doc</t>
  </si>
  <si>
    <t>C:\Users\franc\OneDrive\Documentos\MALENTIN KARIME\BANCO CREDITO\FER LORCA en ROSITA (Rosita)\CARLOS BUGUEÑO\HUGO JOFRE Nº 2.doc</t>
  </si>
  <si>
    <t>C:\Users\franc\OneDrive\Documentos\MALENTIN KARIME\BANCO CREDITO\FER LORCA en ROSITA (Rosita)\CARLOS BUGUEÑO\hugo jofre agricooa los leones sa - renuncia usufructo[1].doc</t>
  </si>
  <si>
    <t>C:\Users\franc\OneDrive\Documentos\MALENTIN KARIME\BANCO CREDITO\FER LORCA en ROSITA (Rosita)\CARLOS BUGUEÑO\declaracion jurada elsa guerrero -mundaca[1].doc</t>
  </si>
  <si>
    <t>C:\Users\franc\OneDrive\Documentos\MALENTIN KARIME\BANCO CREDITO\FER LORCA en ROSITA (Rosita)\CARLOS BUGUEÑO\CRISTIAN CARRION.doc</t>
  </si>
  <si>
    <t>C:\Users\franc\OneDrive\Documentos\MALENTIN KARIME\BANCO CREDITO\FER LORCA en ROSITA (Rosita)\CARLOS BUGUEÑO\COMPRAVENTA VEHICULO.doc</t>
  </si>
  <si>
    <t>C:\Users\franc\OneDrive\Documentos\MALENTIN KARIME\BANCO CREDITO\FER LORCA en ROSITA (Rosita)\CARLOS BUGUEÑO\arriendo_r_celedon_-__dic_2008[1].doc</t>
  </si>
  <si>
    <t>C:\Users\franc\OneDrive\Documentos\MALENTIN KARIME\BANCO CREDITO\FER LORCA en ROSITA (Rosita)\CARLOS BUGUEÑO\arriendo_alejandro_pinilla_-_modifica_arriendo_dic_2008[1].doc</t>
  </si>
  <si>
    <t>C:\Users\franc\OneDrive\Documentos\MALENTIN KARIME\BANCO CREDITO\FER LORCA en ROSITA (Rosita)\CARLOS BUGUEÑO\29    04      2010            76.doc</t>
  </si>
  <si>
    <t>C:\Users\franc\OneDrive\Documentos\MALENTIN KARIME\BANCO CREDITO\FER LORCA en ROSITA (Rosita)\BIENES MUEBLES.-\sergio leon.doc</t>
  </si>
  <si>
    <t>C:\Users\franc\OneDrive\Documentos\MALENTIN KARIME\BANCO CREDITO\FER LORCA en ROSITA (Rosita)\BIENES MUEBLES.-\MARIA CARVAJAL A JUANA PARRA.- NOVIEMBRE.doc</t>
  </si>
  <si>
    <t>C:\Users\franc\OneDrive\Documentos\MALENTIN KARIME\BANCO CREDITO\FER LORCA en ROSITA (Rosita)\BANCOS\SCOTIABANK\SOC. ALFALFARES\HIPOTECA COMERCIAL 2º GRADO.- INCOVEG.doc</t>
  </si>
  <si>
    <t>C:\Users\franc\OneDrive\Documentos\MALENTIN KARIME\BANCO CREDITO\FER LORCA en ROSITA (Rosita)\BANCOS\SCOTIABANK\SOC. ALFALFARES\HIPOTECA 2 º SOC. ALFALFARES. PC. 32.doc</t>
  </si>
  <si>
    <t>C:\Users\franc\OneDrive\Documentos\MALENTIN KARIME\BANCO CREDITO\FER LORCA en ROSITA (Rosita)\BANCOS\SCOTIABANK\SOC. ALFALFARES\HIPOTECA 2 º . ALFALFARES. PC. 39.doc</t>
  </si>
  <si>
    <t>C:\Users\franc\OneDrive\Documentos\MALENTIN KARIME\BANCO CREDITO\FER LORCA en ROSITA (Rosita)\BANCOS\SCOTIABANK\SOC. ALFALFARES\AMPLIACION PRENDA. INCOVEG.doc</t>
  </si>
  <si>
    <t>C:\Users\franc\OneDrive\Documentos\MALENTIN KARIME\BANCO CREDITO\FER LORCA en ROSITA (Rosita)\BANCOS\SCOTIABANK\SOC. ALFALFARES\AMPLIACION PRENDA. INCOVEG.= 2.doc</t>
  </si>
  <si>
    <t>C:\Users\franc\OneDrive\Documentos\MALENTIN KARIME\BANCO CREDITO\FER LORCA en ROSITA (Rosita)\BANCOS\SCOTIABANK\SOC. ALFALFARES\AMP. PRENDA SOC. ALFALFARES LTDA..doc</t>
  </si>
  <si>
    <t>C:\Users\franc\OneDrive\Documentos\MALENTIN KARIME\BANCO CREDITO\FER LORCA en ROSITA (Rosita)\BANCOS\SCOTIABANK\SCOTT HEIDMILLER\Hipoteca Comercial 2º Grado Scotiabank Scott William Heidmiller,aguas AGOSTO 2010.doc</t>
  </si>
  <si>
    <t>C:\Users\franc\OneDrive\Documentos\MALENTIN KARIME\BANCO CREDITO\FER LORCA en ROSITA (Rosita)\BANCOS\SCOTIABANK\SCOTT HEIDMILLER\Hipoteca Comercial 2º Grado Scotiabank Scott William Heidmiller, AGOSTO.- HPOTECA.doc</t>
  </si>
  <si>
    <t>C:\Users\franc\OneDrive\Documentos\MALENTIN KARIME\BANCO CREDITO\FER LORCA en ROSITA (Rosita)\BANCOS\SCOTIABANK\SCOTT HEIDMILLER\ampliación prenda Scott Heidmiller (Cerro Negro Ltda)lt 4-3.doc</t>
  </si>
  <si>
    <t>C:\Users\franc\OneDrive\Documentos\MALENTIN KARIME\BANCO CREDITO\FER LORCA en ROSITA (Rosita)\BANCOS\SCOTIABANK\SCOTT HEIDMILLER\ampliación prenda Scott Heidmiller (Cerro Negro Ltda)Lt 35.doc</t>
  </si>
  <si>
    <t>C:\Users\franc\OneDrive\Documentos\MALENTIN KARIME\BANCO CREDITO\FER LORCA en ROSITA (Rosita)\BANCOS\SCOTIABANK\SCOTT HEIDMILLER\ampliación prenda Scott Heidmiller (Cerro Negro Ltda)Lt 34A y 35.doc</t>
  </si>
  <si>
    <t>C:\Users\franc\OneDrive\Documentos\MALENTIN KARIME\BANCO CREDITO\FER LORCA en ROSITA (Rosita)\BANCOS\SCOTIABANK\REVOCACION DE MANDATOS\SCOTIABANK VICENTE POLO.doc</t>
  </si>
  <si>
    <t>C:\Users\franc\OneDrive\Documentos\MALENTIN KARIME\BANCO CREDITO\FER LORCA en ROSITA (Rosita)\BANCOS\SCOTIABANK\PRENDA\Manuel Castañeda Gómez. AGOSTO 2010.-.doc</t>
  </si>
  <si>
    <t>C:\Users\franc\OneDrive\Documentos\MALENTIN KARIME\BANCO CREDITO\FER LORCA en ROSITA (Rosita)\BANCOS\SCOTIABANK\PRENDA\DIGNA CASTILLO ARAYA.- OCTUBRE.doc</t>
  </si>
  <si>
    <t>C:\Users\franc\OneDrive\Documentos\MALENTIN KARIME\BANCO CREDITO\FER LORCA en ROSITA (Rosita)\BANCOS\SCOTIABANK\PRENDA\108 Digna Castillo Araya. 150 cc, enero.doc</t>
  </si>
  <si>
    <t>C:\Users\franc\OneDrive\Documentos\MALENTIN KARIME\BANCO CREDITO\FER LORCA en ROSITA (Rosita)\BANCOS\SCOTIABANK\MUTUOS\Mutuo Tasa Fija UFespecial) MARY GOMEZ ARAYA.csb.oct.doc</t>
  </si>
  <si>
    <t>C:\Users\franc\OneDrive\Documentos\MALENTIN KARIME\BANCO CREDITO\FER LORCA en ROSITA (Rosita)\BANCOS\SCOTIABANK\LUIS MARMADUQUE\AMP. PRENDA. 3.doc</t>
  </si>
  <si>
    <t>C:\Users\franc\OneDrive\Documentos\MALENTIN KARIME\BANCO CREDITO\FER LORCA en ROSITA (Rosita)\BANCOS\SCOTIABANK\LUIS MARMADUQUE\AMP. PRENDA. 1.doc</t>
  </si>
  <si>
    <t>C:\Users\franc\OneDrive\Documentos\MALENTIN KARIME\BANCO CREDITO\FER LORCA en ROSITA (Rosita)\BANCOS\SCOTIABANK\LUIS MARMADUQUE\AMP. PRENDA 2..doc</t>
  </si>
  <si>
    <t>C:\Users\franc\OneDrive\Documentos\MALENTIN KARIME\BANCO CREDITO\FER LORCA en ROSITA (Rosita)\BANCOS\SCOTIABANK\LEASING\ENERO 2011.-\TRANSP  VICAL Y CIA  1617401( 3VUFSBCG).doc</t>
  </si>
  <si>
    <t>C:\Users\franc\OneDrive\Documentos\MALENTIN KARIME\BANCO CREDITO\FER LORCA en ROSITA (Rosita)\BANCOS\SCOTIABANK\LEASING\DICIEMBRE\PEDRO ARAYA VALDIVIA ENERO 2011.doc</t>
  </si>
  <si>
    <t>C:\Users\franc\OneDrive\Documentos\MALENTIN KARIME\BANCO CREDITO\FER LORCA en ROSITA (Rosita)\BANCOS\SCOTIABANK\LEASING\DICIEMBRE\PEDRO ARAYA VALDIVIA 1VUFSBSG.doc</t>
  </si>
  <si>
    <t>C:\Users\franc\OneDrive\Documentos\MALENTIN KARIME\BANCO CREDITO\FER LORCA en ROSITA (Rosita)\BANCOS\SCOTIABANK\LEASING\JOSE OSSA ... JUNIO 2010.doc</t>
  </si>
  <si>
    <t>C:\Users\franc\OneDrive\Documentos\MALENTIN KARIME\BANCO CREDITO\FER LORCA en ROSITA (Rosita)\BANCOS\SCOTIABANK\HIPOTECAS\SEPTIEMBRE\HIPOTECA Héctor Diaz Saavedra. SEPT..doc</t>
  </si>
  <si>
    <t>C:\Users\franc\OneDrive\Documentos\MALENTIN KARIME\BANCO CREDITO\FER LORCA en ROSITA (Rosita)\BANCOS\SCOTIABANK\HIPOTECAS\ROSA ESTELVINA FLORES ARAYA.- OCTUBRE.-.doc</t>
  </si>
  <si>
    <t>C:\Users\franc\OneDrive\Documentos\MALENTIN KARIME\BANCO CREDITO\FER LORCA en ROSITA (Rosita)\BANCOS\SCOTIABANK\HIPOTECAS\ROSA ESTELVINA FLORES ARAYA.- NOVIEMBRE.doc</t>
  </si>
  <si>
    <t>C:\Users\franc\OneDrive\Documentos\MALENTIN KARIME\BANCO CREDITO\FER LORCA en ROSITA (Rosita)\BANCOS\SCOTIABANK\HIPOTECAS\MARIA VERONICA PIZARRO GARCIA.doc</t>
  </si>
  <si>
    <t>C:\Users\franc\OneDrive\Documentos\MALENTIN KARIME\BANCO CREDITO\FER LORCA en ROSITA (Rosita)\BANCOS\SCOTIABANK\HIPOTECAS\LUIS GUERRA COLLADO.doc</t>
  </si>
  <si>
    <t>C:\Users\franc\OneDrive\Documentos\MALENTIN KARIME\BANCO CREDITO\FER LORCA en ROSITA (Rosita)\BANCOS\SCOTIABANK\HIPOTECAS\HIPOTECA. SAMUEL BOZO LORCA. EL ROMERAL 10.doc</t>
  </si>
  <si>
    <t>C:\Users\franc\OneDrive\Documentos\MALENTIN KARIME\BANCO CREDITO\FER LORCA en ROSITA (Rosita)\BANCOS\SCOTIABANK\HIPOTECAS\HIPOTECA. Luis Salinas Peña.AGOSTO 2010.doc</t>
  </si>
  <si>
    <t>C:\Users\franc\OneDrive\Documentos\MALENTIN KARIME\BANCO CREDITO\FER LORCA en ROSITA (Rosita)\BANCOS\SCOTIABANK\HIPOTECAS\HIPOTECA SAMUEL BOZO LORCA.doc</t>
  </si>
  <si>
    <t>C:\Users\franc\OneDrive\Documentos\MALENTIN KARIME\BANCO CREDITO\FER LORCA en ROSITA (Rosita)\BANCOS\SCOTIABANK\HIPOTECAS\HIPOTECA RAMON LUNA.- HACER.doc</t>
  </si>
  <si>
    <t>C:\Users\franc\OneDrive\Documentos\MALENTIN KARIME\BANCO CREDITO\FER LORCA en ROSITA (Rosita)\BANCOS\SCOTIABANK\HIPOTECAS\HIPOTECA RAMON LUNA CON ANGEL LUNA.- HACER.doc</t>
  </si>
  <si>
    <t>C:\Users\franc\OneDrive\Documentos\MALENTIN KARIME\BANCO CREDITO\FER LORCA en ROSITA (Rosita)\BANCOS\SCOTIABANK\HIPOTECAS\HIPOTECA NICOMEDES BUGUEÑO BARRAZA.doc</t>
  </si>
  <si>
    <t>C:\Users\franc\OneDrive\Documentos\MALENTIN KARIME\BANCO CREDITO\FER LORCA en ROSITA (Rosita)\BANCOS\SCOTIABANK\HIPOTECAS\HIPOTECA MARY GOMEZ ARAYA. OCTUBRE 2010.doc</t>
  </si>
  <si>
    <t>C:\Users\franc\OneDrive\Documentos\MALENTIN KARIME\BANCO CREDITO\FER LORCA en ROSITA (Rosita)\BANCOS\SCOTIABANK\HIPOTECAS\HIPOTECA LORENZO ARAYA.doc</t>
  </si>
  <si>
    <t>C:\Users\franc\OneDrive\Documentos\MALENTIN KARIME\BANCO CREDITO\FER LORCA en ROSITA (Rosita)\BANCOS\SCOTIABANK\HIPOTECAS\HIPOTECA LAUTARO GONZALEZ CAMPOS.doc</t>
  </si>
  <si>
    <t>C:\Users\franc\OneDrive\Documentos\MALENTIN KARIME\BANCO CREDITO\FER LORCA en ROSITA (Rosita)\BANCOS\SCOTIABANK\HIPOTECAS\HIPOTECA IRIS GALLEGUILLOS MALDONADO.doc</t>
  </si>
  <si>
    <t>C:\Users\franc\OneDrive\Documentos\MALENTIN KARIME\BANCO CREDITO\FER LORCA en ROSITA (Rosita)\BANCOS\SCOTIABANK\HIPOTECAS\HIPOTECA ESMERALDO ENRIQUE VALDIVIA .- FEBRERO.doc</t>
  </si>
  <si>
    <t>C:\Users\franc\OneDrive\Documentos\MALENTIN KARIME\BANCO CREDITO\FER LORCA en ROSITA (Rosita)\BANCOS\SCOTIABANK\HIPOTECAS\HIPOTECA ENRIQUE MOLINA OTAROLA.doc</t>
  </si>
  <si>
    <t>C:\Users\franc\OneDrive\Documentos\MALENTIN KARIME\BANCO CREDITO\FER LORCA en ROSITA (Rosita)\BANCOS\SCOTIABANK\HIPOTECAS\HIPOTECA EMIR RODRIGUEZ.doc</t>
  </si>
  <si>
    <t>C:\Users\franc\OneDrive\Documentos\MALENTIN KARIME\BANCO CREDITO\FER LORCA en ROSITA (Rosita)\BANCOS\SCOTIABANK\HIPOTECAS\HIPOTECA DELICIA BUGUEÑO MUÑOZ...-.doc</t>
  </si>
  <si>
    <t>C:\Users\franc\OneDrive\Documentos\MALENTIN KARIME\BANCO CREDITO\FER LORCA en ROSITA (Rosita)\BANCOS\SCOTIABANK\HIPOTECAS\Hipoteca Comercial 2º Grado Scotiabank Luis Guerra Collao.-.doc</t>
  </si>
  <si>
    <t>C:\Users\franc\OneDrive\Documentos\MALENTIN KARIME\BANCO CREDITO\FER LORCA en ROSITA (Rosita)\BANCOS\SCOTIABANK\HIPOTECAS\Hipoteca Comercial 2º Grado Scotiabank Inv e Inmob Cahur Ltda- Serena.- ABRIL.doc</t>
  </si>
  <si>
    <t>C:\Users\franc\OneDrive\Documentos\MALENTIN KARIME\BANCO CREDITO\FER LORCA en ROSITA (Rosita)\BANCOS\SCOTIABANK\HIPOTECAS\Hipoteca Comercial 2º Grado Scotiabank Inv e Inmob Cahur Ltda- Coquimbo.- ABRIL.doc</t>
  </si>
  <si>
    <t>C:\Users\franc\OneDrive\Documentos\MALENTIN KARIME\BANCO CREDITO\FER LORCA en ROSITA (Rosita)\BANCOS\SCOTIABANK\HIPOTECAS\Hipoteca Comercial 2º Grado Scotiabank Inmob Las Cardas Ltda- AGOSTO 2010.doc</t>
  </si>
  <si>
    <t>C:\Users\franc\OneDrive\Documentos\MALENTIN KARIME\BANCO CREDITO\FER LORCA en ROSITA (Rosita)\BANCOS\SCOTIABANK\HIPOTECAS\Hipoteca Comercial 2º Grado Scotiabank Inmob Las Cardas Ltda- AGOSTO 2010..doc</t>
  </si>
  <si>
    <t>C:\Users\franc\OneDrive\Documentos\MALENTIN KARIME\BANCO CREDITO\FER LORCA en ROSITA (Rosita)\BANCOS\SCOTIABANK\HIPOTECAS\Hipoteca Comercial 2º Grado Scotiabank Inmob Las Cardas Ltda- AGOSTO 2010.-.doc</t>
  </si>
  <si>
    <t>C:\Users\franc\OneDrive\Documentos\MALENTIN KARIME\BANCO CREDITO\FER LORCA en ROSITA (Rosita)\BANCOS\SCOTIABANK\HIPOTECAS\Hipoteca Comercial 2º Grado Scotiabank Hector Rojas González.doc</t>
  </si>
  <si>
    <t>C:\Users\franc\OneDrive\Documentos\MALENTIN KARIME\BANCO CREDITO\FER LORCA en ROSITA (Rosita)\BANCOS\SCOTIABANK\HIPOTECAS\Hipoteca Comercial 2º Grado Scotiabank Altamirano Buono-Core Hnos Ltda.doc</t>
  </si>
  <si>
    <t>C:\Users\franc\OneDrive\Documentos\MALENTIN KARIME\BANCO CREDITO\FER LORCA en ROSITA (Rosita)\BANCOS\SCOTIABANK\HIPOTECAS\HIPOTECA BLANCA HIDALGO VILLALOBOS.doc</t>
  </si>
  <si>
    <t>C:\Users\franc\OneDrive\Documentos\MALENTIN KARIME\BANCO CREDITO\FER LORCA en ROSITA (Rosita)\BANCOS\SCOTIABANK\HIPOTECAS\HIPOTECA  Exequiel Véliz Ordenes.- ABRIL.- HACER.doc</t>
  </si>
  <si>
    <t>C:\Users\franc\OneDrive\Documentos\MALENTIN KARIME\BANCO CREDITO\FER LORCA en ROSITA (Rosita)\BANCOS\SCOTIABANK\HIPOTECAS\HIPOTECA   PATRICIA  DELGADO RUBIO.doc</t>
  </si>
  <si>
    <t>C:\Users\franc\OneDrive\Documentos\MALENTIN KARIME\BANCO CREDITO\FER LORCA en ROSITA (Rosita)\BANCOS\SCOTIABANK\HIPOTECAS\HIPOT. FRESIA CASTILLO IRIARTE.- MARZOÇ.doc</t>
  </si>
  <si>
    <t>C:\Users\franc\OneDrive\Documentos\MALENTIN KARIME\BANCO CREDITO\FER LORCA en ROSITA (Rosita)\BANCOS\SCOTIABANK\HIPOTECAS\FRANCISCO NIÑO DE ZEPEDA.- JUNIO 2010.doc</t>
  </si>
  <si>
    <t>C:\Users\franc\OneDrive\Documentos\MALENTIN KARIME\BANCO CREDITO\FER LORCA en ROSITA (Rosita)\BANCOS\SCOTIABANK\HIPOTECAS\Fernando Pizarro Vargas.dic DICIEMBRE.doc</t>
  </si>
  <si>
    <t>C:\Users\franc\OneDrive\Documentos\MALENTIN KARIME\BANCO CREDITO\FER LORCA en ROSITA (Rosita)\BANCOS\SCOTIABANK\HIPOTECAS\Exequiel Alfaro Araya.A Dhalmar.AGOSTO.- 2010.doc</t>
  </si>
  <si>
    <t>C:\Users\franc\OneDrive\Documentos\MALENTIN KARIME\BANCO CREDITO\FER LORCA en ROSITA (Rosita)\BANCOS\SCOTIABANK\HIPOTECAS\Exequiel Alfaro Araya .Libertad. AGOSTO 2010.- 2-.doc</t>
  </si>
  <si>
    <t>C:\Users\franc\OneDrive\Documentos\MALENTIN KARIME\BANCO CREDITO\FER LORCA en ROSITA (Rosita)\BANCOS\SCOTIABANK\HIPOTECAS\DIST. COMB. CONDE  Y  DIAZ   LTDA.-.doc</t>
  </si>
  <si>
    <t>C:\Users\franc\OneDrive\Documentos\MALENTIN KARIME\BANCO CREDITO\FER LORCA en ROSITA (Rosita)\BANCOS\SCOTIABANK\HIPOTECAS\COMPLEMENTACION AM.  HIPOT. SCOTT WILLIAM HEIDMILLER.- OCTUBRE.doc</t>
  </si>
  <si>
    <t>C:\Users\franc\OneDrive\Documentos\MALENTIN KARIME\BANCO CREDITO\FER LORCA en ROSITA (Rosita)\BANCOS\SCOTIABANK\HIPOTECAS\AROLDO TELLO CORTES.- ABRIL 2010.doc</t>
  </si>
  <si>
    <t>C:\Users\franc\OneDrive\Documentos\MALENTIN KARIME\BANCO CREDITO\FER LORCA en ROSITA (Rosita)\BANCOS\SCOTIABANK\FLOR MARIA.- RAUL JOFRE- CARMEN\ON CARMEN BRAVO\HIPOTECA CARMEN BRAVO CASTILLO. SOC. FLOR MARIA.doc</t>
  </si>
  <si>
    <t>C:\Users\franc\OneDrive\Documentos\MALENTIN KARIME\BANCO CREDITO\FER LORCA en ROSITA (Rosita)\BANCOS\SCOTIABANK\FLOR MARIA.- RAUL JOFRE- CARMEN\ON CARMEN BRAVO\HIPOTECA CARMEN BRAVO CASTILLO- FLOR MARIA.doc</t>
  </si>
  <si>
    <t>C:\Users\franc\OneDrive\Documentos\MALENTIN KARIME\BANCO CREDITO\FER LORCA en ROSITA (Rosita)\BANCOS\SCOTIABANK\FLOR MARIA.- RAUL JOFRE- CARMEN\ON CARMEN BRAVO\AMPLIAC.  PRENDA. CARMEN BRAVO CASTILLO.doc</t>
  </si>
  <si>
    <t>C:\Users\franc\OneDrive\Documentos\MALENTIN KARIME\BANCO CREDITO\FER LORCA en ROSITA (Rosita)\BANCOS\SCOTIABANK\FLOR MARIA.- RAUL JOFRE- CARMEN\HIPOTECA. SOC. FLOR MARIA LTDA.doc</t>
  </si>
  <si>
    <t>C:\Users\franc\OneDrive\Documentos\MALENTIN KARIME\BANCO CREDITO\FER LORCA en ROSITA (Rosita)\BANCOS\SCOTIABANK\FLOR MARIA.- RAUL JOFRE- CARMEN\HIPOTECA. RAUL TARCISIO JOFRE.doc</t>
  </si>
  <si>
    <t>C:\Users\franc\OneDrive\Documentos\MALENTIN KARIME\BANCO CREDITO\FER LORCA en ROSITA (Rosita)\BANCOS\SCOTIABANK\FLOR MARIA.- RAUL JOFRE- CARMEN\EXTRACTO CARMEN BRAVO CASTILLO (AGRO RAISINS). CORREGIDO.doc</t>
  </si>
  <si>
    <t>C:\Users\franc\OneDrive\Documentos\MALENTIN KARIME\BANCO CREDITO\FER LORCA en ROSITA (Rosita)\BANCOS\SCOTIABANK\FLOR MARIA.- RAUL JOFRE- CARMEN\CARMEN BRAVO CASTILLO (AMP. Y MODIFIC) EXTRACTO.doc</t>
  </si>
  <si>
    <t>C:\Users\franc\OneDrive\Documentos\MALENTIN KARIME\BANCO CREDITO\FER LORCA en ROSITA (Rosita)\BANCOS\SCOTIABANK\EXTRACTOS\SCOTT WILLIAM\extracto SCOTT WILLIAM HEIDMILLER.2 LOTE_34A Y 35.doc</t>
  </si>
  <si>
    <t>C:\Users\franc\OneDrive\Documentos\MALENTIN KARIME\BANCO CREDITO\FER LORCA en ROSITA (Rosita)\BANCOS\SCOTIABANK\EXTRACTOS\SCOTT WILLIAM\extracto SCOTT WILLIAM HEIDMILLER.-3.-lote 35.doc</t>
  </si>
  <si>
    <t>C:\Users\franc\OneDrive\Documentos\MALENTIN KARIME\BANCO CREDITO\FER LORCA en ROSITA (Rosita)\BANCOS\SCOTIABANK\EXTRACTOS\SCOTT WILLIAM\extracto SCOTT WILLIAM HEIDMILLER.-1 lt 4-3.doc</t>
  </si>
  <si>
    <t>C:\Users\franc\OneDrive\Documentos\MALENTIN KARIME\BANCO CREDITO\FER LORCA en ROSITA (Rosita)\BANCOS\SCOTIABANK\EXTRACTOS\TOMAS CORTES FUENTES.doc</t>
  </si>
  <si>
    <t>C:\Users\franc\OneDrive\Documentos\MALENTIN KARIME\BANCO CREDITO\FER LORCA en ROSITA (Rosita)\BANCOS\SCOTIABANK\EXTRACTOS\SOC. ALFALFARES LTDA.-.doc</t>
  </si>
  <si>
    <t>C:\Users\franc\OneDrive\Documentos\MALENTIN KARIME\BANCO CREDITO\FER LORCA en ROSITA (Rosita)\BANCOS\SCOTIABANK\EXTRACTOS\SOC. AGRO RAISINS LTDA (AMP. Y MODIFIC) EXTRACTO.doc</t>
  </si>
  <si>
    <t>C:\Users\franc\OneDrive\Documentos\MALENTIN KARIME\BANCO CREDITO\FER LORCA en ROSITA (Rosita)\BANCOS\SCOTIABANK\EXTRACTOS\SOC. AGRIC. LOS ALAMOS LTDA.- FEB.-.doc</t>
  </si>
  <si>
    <t>C:\Users\franc\OneDrive\Documentos\MALENTIN KARIME\BANCO CREDITO\FER LORCA en ROSITA (Rosita)\BANCOS\SCOTIABANK\EXTRACTOS\SCOTT WILLIAM HEIDMILLER.- 3.- lote 35.-.doc</t>
  </si>
  <si>
    <t>C:\Users\franc\OneDrive\Documentos\MALENTIN KARIME\BANCO CREDITO\FER LORCA en ROSITA (Rosita)\BANCOS\SCOTIABANK\EXTRACTOS\SCOTT WILLIAM HEIDMILLER.- 2.- LOTE 34.doc</t>
  </si>
  <si>
    <t>C:\Users\franc\OneDrive\Documentos\MALENTIN KARIME\BANCO CREDITO\FER LORCA en ROSITA (Rosita)\BANCOS\SCOTIABANK\EXTRACTOS\SCOTT WILLIAM HEIDMILLER.- 1.doc</t>
  </si>
  <si>
    <t>C:\Users\franc\OneDrive\Documentos\MALENTIN KARIME\BANCO CREDITO\FER LORCA en ROSITA (Rosita)\BANCOS\SCOTIABANK\EXTRACTOS\ROSA OLIVIA PASTEN(AMP. Y MODIFIC) EXTRACTO.doc</t>
  </si>
  <si>
    <t>C:\Users\franc\OneDrive\Documentos\MALENTIN KARIME\BANCO CREDITO\FER LORCA en ROSITA (Rosita)\BANCOS\SCOTIABANK\EXTRACTOS\RAMON LUNA CORTES.doc</t>
  </si>
  <si>
    <t>C:\Users\franc\OneDrive\Documentos\MALENTIN KARIME\BANCO CREDITO\FER LORCA en ROSITA (Rosita)\BANCOS\SCOTIABANK\EXTRACTOS\LUIS GUERRA COLLADO.doc</t>
  </si>
  <si>
    <t>C:\Users\franc\OneDrive\Documentos\MALENTIN KARIME\BANCO CREDITO\FER LORCA en ROSITA (Rosita)\BANCOS\SCOTIABANK\EXTRACTOS\JOSE OSSA HUENOLAF.doc</t>
  </si>
  <si>
    <t>C:\Users\franc\OneDrive\Documentos\MALENTIN KARIME\BANCO CREDITO\FER LORCA en ROSITA (Rosita)\BANCOS\SCOTIABANK\EXTRACTOS\JOSE OSSA HUENOLAF.- HYUNDAI.-.doc</t>
  </si>
  <si>
    <t>C:\Users\franc\OneDrive\Documentos\MALENTIN KARIME\BANCO CREDITO\FER LORCA en ROSITA (Rosita)\BANCOS\SCOTIABANK\EXTRACTOS\INCOVEG 2.-.doc</t>
  </si>
  <si>
    <t>C:\Users\franc\OneDrive\Documentos\MALENTIN KARIME\BANCO CREDITO\FER LORCA en ROSITA (Rosita)\BANCOS\SCOTIABANK\EXTRACTOS\INCOVEG 1.-.doc</t>
  </si>
  <si>
    <t>C:\Users\franc\OneDrive\Documentos\MALENTIN KARIME\BANCO CREDITO\FER LORCA en ROSITA (Rosita)\BANCOS\SCOTIABANK\EXTRACTOS\EXTRACTO.OSCIEL BUGUEÑO CARVAJAL.doc</t>
  </si>
  <si>
    <t>C:\Users\franc\OneDrive\Documentos\MALENTIN KARIME\BANCO CREDITO\FER LORCA en ROSITA (Rosita)\BANCOS\SCOTIABANK\EXTRACTOS\EXTRACTO. SALVADOR CASTILLO HONORES.doc</t>
  </si>
  <si>
    <t>C:\Users\franc\OneDrive\Documentos\MALENTIN KARIME\BANCO CREDITO\FER LORCA en ROSITA (Rosita)\BANCOS\SCOTIABANK\EXTRACTOS\EXTRACTO. NESTOR GOMEZ ARAYA.doc</t>
  </si>
  <si>
    <t>C:\Users\franc\OneDrive\Documentos\MALENTIN KARIME\BANCO CREDITO\FER LORCA en ROSITA (Rosita)\BANCOS\SCOTIABANK\EXTRACTOS\EXTRACTO. MANUEL CASTAÑEDA.-2.-.doc</t>
  </si>
  <si>
    <t>C:\Users\franc\OneDrive\Documentos\MALENTIN KARIME\BANCO CREDITO\FER LORCA en ROSITA (Rosita)\BANCOS\SCOTIABANK\EXTRACTOS\EXTRACTO. MANUEL CASTAÑEDA.-.doc</t>
  </si>
  <si>
    <t>C:\Users\franc\OneDrive\Documentos\MALENTIN KARIME\BANCO CREDITO\FER LORCA en ROSITA (Rosita)\BANCOS\SCOTIABANK\EXTRACTOS\EXTRACTO. LUIS MARMADUQUE.- 3.doc</t>
  </si>
  <si>
    <t>C:\Users\franc\OneDrive\Documentos\MALENTIN KARIME\BANCO CREDITO\FER LORCA en ROSITA (Rosita)\BANCOS\SCOTIABANK\EXTRACTOS\EXTRACTO. LUIS MARMADUQUE.- 2.doc</t>
  </si>
  <si>
    <t>C:\Users\franc\OneDrive\Documentos\MALENTIN KARIME\BANCO CREDITO\FER LORCA en ROSITA (Rosita)\BANCOS\SCOTIABANK\EXTRACTOS\EXTRACTO. LUIS MARMADUQUE.- 1.doc</t>
  </si>
  <si>
    <t>C:\Users\franc\OneDrive\Documentos\MALENTIN KARIME\BANCO CREDITO\FER LORCA en ROSITA (Rosita)\BANCOS\SCOTIABANK\EXTRACTOS\EXTRACTO. HERNAN CASTRO PIZARRO.doc</t>
  </si>
  <si>
    <t>C:\Users\franc\OneDrive\Documentos\MALENTIN KARIME\BANCO CREDITO\FER LORCA en ROSITA (Rosita)\BANCOS\SCOTIABANK\EXTRACTOS\EXTRACTO SALVADOR CASTILLO HONORES.doc</t>
  </si>
  <si>
    <t>C:\Users\franc\OneDrive\Documentos\MALENTIN KARIME\BANCO CREDITO\FER LORCA en ROSITA (Rosita)\BANCOS\SCOTIABANK\EXTRACTOS\EXTRACTO ROSA OLIVIA PASTEN.- CORREGIDO.doc</t>
  </si>
  <si>
    <t>C:\Users\franc\OneDrive\Documentos\MALENTIN KARIME\BANCO CREDITO\FER LORCA en ROSITA (Rosita)\BANCOS\SCOTIABANK\EXTRACTOS\extracto RAMON LUNA CORTES.doc</t>
  </si>
  <si>
    <t>C:\Users\franc\OneDrive\Documentos\MALENTIN KARIME\BANCO CREDITO\FER LORCA en ROSITA (Rosita)\BANCOS\SCOTIABANK\EXTRACTOS\EXTRACTO NESTOR GOMEZ ARAYA.doc</t>
  </si>
  <si>
    <t>C:\Users\franc\OneDrive\Documentos\MALENTIN KARIME\BANCO CREDITO\FER LORCA en ROSITA (Rosita)\BANCOS\SCOTIABANK\EXTRACTOS\extracto MANUEL CASTAÑEDA GOMEZ.-AGOSTO 2010.doc</t>
  </si>
  <si>
    <t>C:\Users\franc\OneDrive\Documentos\MALENTIN KARIME\BANCO CREDITO\FER LORCA en ROSITA (Rosita)\BANCOS\SCOTIABANK\EXTRACTOS\EXTRACTO HERNAN CASTRO PIZARRO[1].doc</t>
  </si>
  <si>
    <t>C:\Users\franc\OneDrive\Documentos\MALENTIN KARIME\BANCO CREDITO\FER LORCA en ROSITA (Rosita)\BANCOS\SCOTIABANK\EXTRACTOS\EXTRACTO CARLOS ASTETE.doc</t>
  </si>
  <si>
    <t>C:\Users\franc\OneDrive\Documentos\MALENTIN KARIME\BANCO CREDITO\FER LORCA en ROSITA (Rosita)\BANCOS\SCOTIABANK\EXTRACTOS\EXTRACTO ABEL CASTANEDA.doc</t>
  </si>
  <si>
    <t>C:\Users\franc\OneDrive\Documentos\MALENTIN KARIME\BANCO CREDITO\FER LORCA en ROSITA (Rosita)\BANCOS\SCOTIABANK\EXTRACTOS\EXTRACTO ABEL CASTANE.doc</t>
  </si>
  <si>
    <t>C:\Users\franc\OneDrive\Documentos\MALENTIN KARIME\BANCO CREDITO\FER LORCA en ROSITA (Rosita)\BANCOS\SCOTIABANK\EXTRACTOS\DIGNA CASTILLO.- PRENDA OCTUBRE.doc</t>
  </si>
  <si>
    <t>C:\Users\franc\OneDrive\Documentos\MALENTIN KARIME\BANCO CREDITO\FER LORCA en ROSITA (Rosita)\BANCOS\SCOTIABANK\EXTRACTOS\DAVID CARVAJAL nº 3.doc</t>
  </si>
  <si>
    <t>C:\Users\franc\OneDrive\Documentos\MALENTIN KARIME\BANCO CREDITO\FER LORCA en ROSITA (Rosita)\BANCOS\SCOTIABANK\EXTRACTOS\DAVID CARVAJAL nº 2.doc</t>
  </si>
  <si>
    <t>C:\Users\franc\OneDrive\Documentos\MALENTIN KARIME\BANCO CREDITO\FER LORCA en ROSITA (Rosita)\BANCOS\SCOTIABANK\EXTRACTOS\DAVID CARVAJAL nº 1.doc</t>
  </si>
  <si>
    <t>C:\Users\franc\OneDrive\Documentos\MALENTIN KARIME\BANCO CREDITO\FER LORCA en ROSITA (Rosita)\BANCOS\SCOTIABANK\CVTA. Y MUTUO HIPOT.-\Escritura Zeidler Malebran. seguro.doc</t>
  </si>
  <si>
    <t>C:\Users\franc\OneDrive\Documentos\MALENTIN KARIME\BANCO CREDITO\FER LORCA en ROSITA (Rosita)\BANCOS\SCOTIABANK\ALZAMIENTOS\SEPTIEMBRE 2010.-\Manuel Briceño Iturieta- sept.doc</t>
  </si>
  <si>
    <t>C:\Users\franc\OneDrive\Documentos\MALENTIN KARIME\BANCO CREDITO\FER LORCA en ROSITA (Rosita)\BANCOS\SCOTIABANK\ALZAMIENTOS\SEPTIEMBRE 2010.-\Manuel Avalos Castillo . sept 2010.doc</t>
  </si>
  <si>
    <t>C:\Users\franc\OneDrive\Documentos\MALENTIN KARIME\BANCO CREDITO\FER LORCA en ROSITA (Rosita)\BANCOS\SCOTIABANK\ALZAMIENTOS\SEPTIEMBRE 2010.-\Cruz Gomez Formas- sept.doc</t>
  </si>
  <si>
    <t>C:\Users\franc\OneDrive\Documentos\MALENTIN KARIME\BANCO CREDITO\FER LORCA en ROSITA (Rosita)\BANCOS\SCOTIABANK\ALZAMIENTOS\OCTUBRE\Samuel Bozo Lorca . sept. Lt San Luis.doc</t>
  </si>
  <si>
    <t>C:\Users\franc\OneDrive\Documentos\MALENTIN KARIME\BANCO CREDITO\FER LORCA en ROSITA (Rosita)\BANCOS\SCOTIABANK\ALZAMIENTOS\OCTUBRE\Samuel Bozo Lorca . sept. Av Remeral.doc</t>
  </si>
  <si>
    <t>C:\Users\franc\OneDrive\Documentos\MALENTIN KARIME\BANCO CREDITO\FER LORCA en ROSITA (Rosita)\BANCOS\SCOTIABANK\ALZAMIENTOS\OCTUBRE\Luis Zepeda Pastén . octubre 2010.doc</t>
  </si>
  <si>
    <t>C:\Users\franc\OneDrive\Documentos\MALENTIN KARIME\BANCO CREDITO\FER LORCA en ROSITA (Rosita)\BANCOS\SCOTIABANK\ALZAMIENTOS\OCTUBRE\LUIS MARMADUQUE ZEPEDA.- OCT. CORREGIDA.doc</t>
  </si>
  <si>
    <t>C:\Users\franc\OneDrive\Documentos\MALENTIN KARIME\BANCO CREDITO\FER LORCA en ROSITA (Rosita)\BANCOS\SCOTIABANK\ALZAMIENTOS\OCTUBRE\Humberto Pizarro Castro - oct.doc</t>
  </si>
  <si>
    <t>C:\Users\franc\OneDrive\Documentos\MALENTIN KARIME\BANCO CREDITO\FER LORCA en ROSITA (Rosita)\BANCOS\SCOTIABANK\ALZAMIENTOS\NOVIEMBRE 2010.-\Juan Antilef Huenchuman. nov.doc</t>
  </si>
  <si>
    <t>C:\Users\franc\OneDrive\Documentos\MALENTIN KARIME\BANCO CREDITO\FER LORCA en ROSITA (Rosita)\BANCOS\SCOTIABANK\ALZAMIENTOS\NOVIEMBRE 2010.-\Francisco Zepeda Parra  t y a - nov..doc</t>
  </si>
  <si>
    <t>C:\Users\franc\OneDrive\Documentos\MALENTIN KARIME\BANCO CREDITO\FER LORCA en ROSITA (Rosita)\BANCOS\SCOTIABANK\ALZAMIENTOS\NOVIEMBRE 2010.-\Francisco Niño de Zepeda Parra. nov.- cuartel.doc</t>
  </si>
  <si>
    <t>C:\Users\franc\OneDrive\Documentos\MALENTIN KARIME\BANCO CREDITO\FER LORCA en ROSITA (Rosita)\BANCOS\SCOTIABANK\ALZAMIENTOS\MARZO 2011\Ricardo Morgado Rivera. marzo.doc</t>
  </si>
  <si>
    <t>C:\Users\franc\OneDrive\Documentos\MALENTIN KARIME\BANCO CREDITO\FER LORCA en ROSITA (Rosita)\BANCOS\SCOTIABANK\ALZAMIENTOS\MARZO 2011\Jorge Cortes Alfaro. marzo.doc</t>
  </si>
  <si>
    <t>C:\Users\franc\OneDrive\Documentos\MALENTIN KARIME\BANCO CREDITO\FER LORCA en ROSITA (Rosita)\BANCOS\SCOTIABANK\ALZAMIENTOS\JULIO\RAUL PIZARRO MUNDACA.-.doc</t>
  </si>
  <si>
    <t>C:\Users\franc\OneDrive\Documentos\MALENTIN KARIME\BANCO CREDITO\FER LORCA en ROSITA (Rosita)\BANCOS\SCOTIABANK\ALZAMIENTOS\JULIO\PEDRO JAIME CODOCEO.- JULIO 2010.doc</t>
  </si>
  <si>
    <t>C:\Users\franc\OneDrive\Documentos\MALENTIN KARIME\BANCO CREDITO\FER LORCA en ROSITA (Rosita)\BANCOS\SCOTIABANK\ALZAMIENTOS\JULIO\JULIO ZEPEDA RAMIREZ.- JULIO 2010.doc</t>
  </si>
  <si>
    <t>C:\Users\franc\OneDrive\Documentos\MALENTIN KARIME\BANCO CREDITO\FER LORCA en ROSITA (Rosita)\BANCOS\SCOTIABANK\ALZAMIENTOS\JULIO\Patricia Espinoza González - julio 2010.doc</t>
  </si>
  <si>
    <t>C:\Users\franc\OneDrive\Documentos\MALENTIN KARIME\BANCO CREDITO\FER LORCA en ROSITA (Rosita)\BANCOS\SCOTIABANK\ALZAMIENTOS\JULIO\JULIO ZEPEDA RAMIREZ. JULIO 2010. 2.-.doc</t>
  </si>
  <si>
    <t>C:\Users\franc\OneDrive\Documentos\MALENTIN KARIME\BANCO CREDITO\FER LORCA en ROSITA (Rosita)\BANCOS\SCOTIABANK\ALZAMIENTOS\JULIO\JUAN RAMOS LEDEZMA.- JULIO 2010.doc</t>
  </si>
  <si>
    <t>C:\Users\franc\OneDrive\Documentos\MALENTIN KARIME\BANCO CREDITO\FER LORCA en ROSITA (Rosita)\BANCOS\SCOTIABANK\ALZAMIENTOS\JULIO\CARLOS ROJAS ARAYA.- JULIO 2010..doc</t>
  </si>
  <si>
    <t>C:\Users\franc\OneDrive\Documentos\MALENTIN KARIME\BANCO CREDITO\FER LORCA en ROSITA (Rosita)\BANCOS\SCOTIABANK\ALZAMIENTOS\ENERO 2011\Omar Arenas Ganas . enero.doc</t>
  </si>
  <si>
    <t>C:\Users\franc\OneDrive\Documentos\MALENTIN KARIME\BANCO CREDITO\FER LORCA en ROSITA (Rosita)\BANCOS\SCOTIABANK\ALZAMIENTOS\ENERO 2011\Omar Arenas Ganas . enero con Catalina Mulet.doc</t>
  </si>
  <si>
    <t>C:\Users\franc\OneDrive\Documentos\MALENTIN KARIME\BANCO CREDITO\FER LORCA en ROSITA (Rosita)\BANCOS\SCOTIABANK\ALZAMIENTOS\ENERO 2011\Constitucion cumpa L &amp; L Ltda.doc</t>
  </si>
  <si>
    <t>C:\Users\franc\OneDrive\Documentos\MALENTIN KARIME\BANCO CREDITO\FER LORCA en ROSITA (Rosita)\BANCOS\SCOTIABANK\ALZAMIENTOS\ENERO 2011\Ana Montenegro Rios. enero.doc</t>
  </si>
  <si>
    <t>C:\Users\franc\OneDrive\Documentos\MALENTIN KARIME\BANCO CREDITO\FER LORCA en ROSITA (Rosita)\BANCOS\SCOTIABANK\ALZAMIENTOS\DICIEMBRE\Susana Oyanadel Velasquez. dic.-H.doc</t>
  </si>
  <si>
    <t>C:\Users\franc\OneDrive\Documentos\MALENTIN KARIME\BANCO CREDITO\FER LORCA en ROSITA (Rosita)\BANCOS\SCOTIABANK\ALZAMIENTOS\DICIEMBRE\Juan Barraza Urqueta. dic.- H.doc</t>
  </si>
  <si>
    <t>C:\Users\franc\OneDrive\Documentos\MALENTIN KARIME\BANCO CREDITO\FER LORCA en ROSITA (Rosita)\BANCOS\SCOTIABANK\ALZAMIENTOS\DICIEMBRE\Jorge Oro Cortes - dic 2010.doc</t>
  </si>
  <si>
    <t>C:\Users\franc\OneDrive\Documentos\MALENTIN KARIME\BANCO CREDITO\FER LORCA en ROSITA (Rosita)\BANCOS\SCOTIABANK\ALZAMIENTOS\DICIEMBRE\Jessica Lorena Díaz Cuello. dic.doc</t>
  </si>
  <si>
    <t>C:\Users\franc\OneDrive\Documentos\MALENTIN KARIME\BANCO CREDITO\FER LORCA en ROSITA (Rosita)\BANCOS\SCOTIABANK\ALZAMIENTOS\DICIEMBRE\Jaime Ardiles Aceituno. dic.doc</t>
  </si>
  <si>
    <t>C:\Users\franc\OneDrive\Documentos\MALENTIN KARIME\BANCO CREDITO\FER LORCA en ROSITA (Rosita)\BANCOS\SCOTIABANK\ALZAMIENTOS\DICIEMBRE\CTO ARRIENDO.doc</t>
  </si>
  <si>
    <t>C:\Users\franc\OneDrive\Documentos\MALENTIN KARIME\BANCO CREDITO\FER LORCA en ROSITA (Rosita)\BANCOS\SCOTIABANK\ALZAMIENTOS\DICIEMBRE\Carlos Rojas Salinas. dic.doc</t>
  </si>
  <si>
    <t>C:\Users\franc\OneDrive\Documentos\MALENTIN KARIME\BANCO CREDITO\FER LORCA en ROSITA (Rosita)\BANCOS\SCOTIABANK\ALZAMIENTOS\DICIEMBRE\Ana Montenegro Rios. dic.doc</t>
  </si>
  <si>
    <t>C:\Users\franc\OneDrive\Documentos\MALENTIN KARIME\BANCO CREDITO\FER LORCA en ROSITA (Rosita)\BANCOS\SCOTIABANK\ALZAMIENTOS\AGOSTO\Rene Urzua Gomez pren prod Lt 3 - agosto 2010.doc</t>
  </si>
  <si>
    <t>C:\Users\franc\OneDrive\Documentos\MALENTIN KARIME\BANCO CREDITO\FER LORCA en ROSITA (Rosita)\BANCOS\SCOTIABANK\ALZAMIENTOS\AGOSTO\Rene Urzua Gomez . Lt 3. agosto.doc</t>
  </si>
  <si>
    <t>C:\Users\franc\OneDrive\Documentos\MALENTIN KARIME\BANCO CREDITO\FER LORCA en ROSITA (Rosita)\BANCOS\SCOTIABANK\ALZAMIENTOS\AGOSTO\Magdalena Saavedra González- agosto 2010.doc</t>
  </si>
  <si>
    <t>C:\Users\franc\OneDrive\Documentos\MALENTIN KARIME\BANCO CREDITO\FER LORCA en ROSITA (Rosita)\BANCOS\SCOTIABANK\ALZAMIENTOS\AGOSTO\Hugo Rojas Muñoz - agosto.- 2010.doc</t>
  </si>
  <si>
    <t>C:\Users\franc\OneDrive\Documentos\MALENTIN KARIME\BANCO CREDITO\FER LORCA en ROSITA (Rosita)\BANCOS\SCOTIABANK\ALZAMIENTOS\AGOSTO\Herminda Cortes Ortiz - agosto.doc</t>
  </si>
  <si>
    <t>C:\Users\franc\OneDrive\Documentos\MALENTIN KARIME\BANCO CREDITO\FER LORCA en ROSITA (Rosita)\BANCOS\SCOTIABANK\ALZAMIENTOS\AGOSTO\Ernesto Gutierrez Pizarro- agosto 2010.doc</t>
  </si>
  <si>
    <t>C:\Users\franc\OneDrive\Documentos\MALENTIN KARIME\BANCO CREDITO\FER LORCA en ROSITA (Rosita)\BANCOS\SCOTIABANK\ALZAMIENTOS\AGOSTO\Aniceto Gutierrez Aravire - agosto (1).doc</t>
  </si>
  <si>
    <t>C:\Users\franc\OneDrive\Documentos\MALENTIN KARIME\BANCO CREDITO\FER LORCA en ROSITA (Rosita)\BANCOS\SCOTIABANK\ALZAMIENTOS\YAMIL ROJO GALLEGUILLOS.- MARZO 2010.doc</t>
  </si>
  <si>
    <t>C:\Users\franc\OneDrive\Documentos\MALENTIN KARIME\BANCO CREDITO\FER LORCA en ROSITA (Rosita)\BANCOS\SCOTIABANK\ALZAMIENTOS\SOC. INV. DEL VILLAR.doc</t>
  </si>
  <si>
    <t>C:\Users\franc\OneDrive\Documentos\MALENTIN KARIME\BANCO CREDITO\FER LORCA en ROSITA (Rosita)\BANCOS\SCOTIABANK\ALZAMIENTOS\ROLANDO CASTRO VILLANUEVA.doc</t>
  </si>
  <si>
    <t>C:\Users\franc\OneDrive\Documentos\MALENTIN KARIME\BANCO CREDITO\FER LORCA en ROSITA (Rosita)\BANCOS\SCOTIABANK\ALZAMIENTOS\MARCO POLO CORTES - VICENTE POLO.doc</t>
  </si>
  <si>
    <t>C:\Users\franc\OneDrive\Documentos\MALENTIN KARIME\BANCO CREDITO\FER LORCA en ROSITA (Rosita)\BANCOS\SCOTIABANK\ALZAMIENTOS\LUIS OLIVARES JAIME.doc</t>
  </si>
  <si>
    <t>C:\Users\franc\OneDrive\Documentos\MALENTIN KARIME\BANCO CREDITO\FER LORCA en ROSITA (Rosita)\BANCOS\SCOTIABANK\ALZAMIENTOS\Jose Contreras Pinilla - agosto 2010.- HACER.doc</t>
  </si>
  <si>
    <t>C:\Users\franc\OneDrive\Documentos\MALENTIN KARIME\BANCO CREDITO\FER LORCA en ROSITA (Rosita)\BANCOS\SCOTIABANK\ALZAMIENTOS\HUGO PERINES ALVAREZ.doc</t>
  </si>
  <si>
    <t>C:\Users\franc\OneDrive\Documentos\MALENTIN KARIME\BANCO CREDITO\FER LORCA en ROSITA (Rosita)\BANCOS\SCOTIABANK\ALZAMIENTOS\EUGENIO ALVARADO GODOY.doc</t>
  </si>
  <si>
    <t>C:\Users\franc\OneDrive\Documentos\MALENTIN KARIME\BANCO CREDITO\FER LORCA en ROSITA (Rosita)\BANCOS\SCOTIABANK\ALZAMIENTOS\EDMUNDO CORTES ASTUDILLO.- JUNIO 2010.doc</t>
  </si>
  <si>
    <t>C:\Users\franc\OneDrive\Documentos\MALENTIN KARIME\BANCO CREDITO\FER LORCA en ROSITA (Rosita)\BANCOS\SCOTIABANK\ALZAMIENTOS\danica bravo rendic.doc</t>
  </si>
  <si>
    <t>C:\Users\franc\OneDrive\Documentos\MALENTIN KARIME\BANCO CREDITO\FER LORCA en ROSITA (Rosita)\BANCOS\SCOTIABANK\ALZAMIENTOS\CIRO BERRIOS.doc</t>
  </si>
  <si>
    <t>C:\Users\franc\OneDrive\Documentos\MALENTIN KARIME\BANCO CREDITO\FER LORCA en ROSITA (Rosita)\BANCOS\SCOTIABANK\ALZAMIENTOS\ARIEL GARCAI GARCIA. MAYO 2010.doc</t>
  </si>
  <si>
    <t>C:\Users\franc\OneDrive\Documentos\MALENTIN KARIME\BANCO CREDITO\FER LORCA en ROSITA (Rosita)\BANCOS\SCOTIABANK\ALZAMIENTOS\ALZ.HIP. AGROINDUSTRIAL VALLE TULAHUEN LTDA.doc</t>
  </si>
  <si>
    <t>C:\Users\franc\OneDrive\Documentos\MALENTIN KARIME\BANCO CREDITO\FER LORCA en ROSITA (Rosita)\BANCOS\SCOTIABANK\ALZAMIENTOS\ABELARDO SANTANDER.doc</t>
  </si>
  <si>
    <t>C:\Users\franc\OneDrive\Documentos\MALENTIN KARIME\BANCO CREDITO\FER LORCA en ROSITA (Rosita)\BANCOS\SCOTIABANK\AGRO RAINSINS LTDA\HIPOTECAY AGRO RAINSINS LTDA. LOTE 65.doc</t>
  </si>
  <si>
    <t>C:\Users\franc\OneDrive\Documentos\MALENTIN KARIME\BANCO CREDITO\FER LORCA en ROSITA (Rosita)\BANCOS\SCOTIABANK\AGRO RAINSINS LTDA\HIPOTECA COMERCIAL AGRO RAINSINS LTDA.doc</t>
  </si>
  <si>
    <t>C:\Users\franc\OneDrive\Documentos\MALENTIN KARIME\BANCO CREDITO\FER LORCA en ROSITA (Rosita)\BANCOS\SCOTIABANK\AGRO RAINSINS LTDA\HIPOT. COM. AGRO RAINSINS LTDA. AGUS.doc</t>
  </si>
  <si>
    <t>C:\Users\franc\OneDrive\Documentos\MALENTIN KARIME\BANCO CREDITO\FER LORCA en ROSITA (Rosita)\BANCOS\SCOTIABANK\AGRO RAINSINS LTDA\extracto AGRO RAISINS LTDA[1].doc</t>
  </si>
  <si>
    <t>C:\Users\franc\OneDrive\Documentos\MALENTIN KARIME\BANCO CREDITO\FER LORCA en ROSITA (Rosita)\BANCOS\SCOTIABANK\AGRO RAINSINS LTDA\AMPLIACION AGRO RAINSINS LTDA.doc</t>
  </si>
  <si>
    <t>C:\Users\franc\OneDrive\Documentos\MALENTIN KARIME\BANCO CREDITO\FER LORCA en ROSITA (Rosita)\BANCOS\SCOTIABANK\VICENTE POLO E HIJOS LTDA.doc</t>
  </si>
  <si>
    <t>C:\Users\franc\OneDrive\Documentos\MALENTIN KARIME\BANCO CREDITO\FER LORCA en ROSITA (Rosita)\BANCOS\SCOTIABANK\SOC. DE SERVIC. SANTIAGO LTDA.doc</t>
  </si>
  <si>
    <t>C:\Users\franc\OneDrive\Documentos\MALENTIN KARIME\BANCO CREDITO\FER LORCA en ROSITA (Rosita)\BANCOS\SCOTIABANK\SOC,. AGRICO. LOS ALAMOS LTDA.doc</t>
  </si>
  <si>
    <t>C:\Users\franc\OneDrive\Documentos\MALENTIN KARIME\BANCO CREDITO\FER LORCA en ROSITA (Rosita)\BANCOS\SCOTIABANK\PRENDA.- Salvador Castillo Honores. marzo.- HACER.doc</t>
  </si>
  <si>
    <t>C:\Users\franc\OneDrive\Documentos\MALENTIN KARIME\BANCO CREDITO\FER LORCA en ROSITA (Rosita)\BANCOS\SCOTIABANK\MODELO NOTARIO.doc</t>
  </si>
  <si>
    <t>C:\Users\franc\OneDrive\Documentos\MALENTIN KARIME\BANCO CREDITO\FER LORCA en ROSITA (Rosita)\BANCOS\SCOTIABANK\MARCO POLO CORTES.doc</t>
  </si>
  <si>
    <t>C:\Users\franc\OneDrive\Documentos\MALENTIN KARIME\BANCO CREDITO\FER LORCA en ROSITA (Rosita)\BANCOS\SCOTIABANK\CLAUSULA SEPTIMA.- NO ES DEC. BIEN FAMILIAR.doc</t>
  </si>
  <si>
    <t>C:\Users\franc\OneDrive\Documentos\MALENTIN KARIME\BANCO CREDITO\FER LORCA en ROSITA (Rosita)\BANCOS\SCOTIABANK\CARTA GASTOS1.3.doc</t>
  </si>
  <si>
    <t>C:\Users\franc\OneDrive\Documentos\MALENTIN KARIME\BANCO CREDITO\FER LORCA en ROSITA (Rosita)\BANCOS\SCOTIABANK\CARTA GASTOS.doc</t>
  </si>
  <si>
    <t>C:\Users\franc\OneDrive\Documentos\MALENTIN KARIME\BANCO CREDITO\FER LORCA en ROSITA (Rosita)\BANCOS\SCOTIABANK\CARTA GASTOS..doc</t>
  </si>
  <si>
    <t>C:\Users\franc\OneDrive\Documentos\MALENTIN KARIME\BANCO CREDITO\FER LORCA en ROSITA (Rosita)\BANCOS\SCOTIABANK\CARTA GASTOS 2..doc</t>
  </si>
  <si>
    <t>C:\Users\franc\OneDrive\Documentos\MALENTIN KARIME\BANCO CREDITO\FER LORCA en ROSITA (Rosita)\BANCOS\SCOTIABANK\AMPLIACION Y MOD. PRENDA ROSA OLIVIA PASTEN.doc</t>
  </si>
  <si>
    <t>C:\Users\franc\OneDrive\Documentos\MALENTIN KARIME\BANCO CREDITO\FER LORCA en ROSITA (Rosita)\BANCOS\SCOTIABANK\AMPLIACION SOC. AGRIC. LOS ALAMOS LTDA.-.doc</t>
  </si>
  <si>
    <t>C:\Users\franc\OneDrive\Documentos\MALENTIN KARIME\BANCO CREDITO\FER LORCA en ROSITA (Rosita)\BANCOS\SCOTIABANK\AMPL. PRENDA. MANUEL CASTAÑEDA.- BUS MERCEDES BENZ.-.doc</t>
  </si>
  <si>
    <t>C:\Users\franc\OneDrive\Documentos\MALENTIN KARIME\BANCO CREDITO\FER LORCA en ROSITA (Rosita)\BANCOS\SCOTIABANK\AMP.PRENDA LAUTARO GONZALEZ CAMPOS.doc</t>
  </si>
  <si>
    <t>C:\Users\franc\OneDrive\Documentos\MALENTIN KARIME\BANCO CREDITO\FER LORCA en ROSITA (Rosita)\BANCOS\SCOTIABANK\AMP. PRENDA. RAMON LUNA CORTES.-.doc</t>
  </si>
  <si>
    <t>C:\Users\franc\OneDrive\Documentos\MALENTIN KARIME\BANCO CREDITO\FER LORCA en ROSITA (Rosita)\BANCOS\SCOTIABANK\AMP. PRENDA. NESTOR GOMEZ ARAYA.doc</t>
  </si>
  <si>
    <t>C:\Users\franc\OneDrive\Documentos\MALENTIN KARIME\BANCO CREDITO\FER LORCA en ROSITA (Rosita)\BANCOS\SCOTIABANK\AMP. PRENDA. MANUEL CASTAÑEDA.- 2º.doc</t>
  </si>
  <si>
    <t>C:\Users\franc\OneDrive\Documentos\MALENTIN KARIME\BANCO CREDITO\FER LORCA en ROSITA (Rosita)\BANCOS\SCOTIABANK\AMP. PRENDA. JOSE OSSA.- CAM. HYUNDAI.doc</t>
  </si>
  <si>
    <t>C:\Users\franc\OneDrive\Documentos\MALENTIN KARIME\BANCO CREDITO\FER LORCA en ROSITA (Rosita)\BANCOS\SCOTIABANK\AMP. PRENDA. FRANCISCO NIÑO DE ZEPEDA P..doc</t>
  </si>
  <si>
    <t>C:\Users\franc\OneDrive\Documentos\MALENTIN KARIME\BANCO CREDITO\FER LORCA en ROSITA (Rosita)\BANCOS\SCOTIABANK\AMP. PRENDA. DAVID CARVAJAL DUBO.-.doc</t>
  </si>
  <si>
    <t>C:\Users\franc\OneDrive\Documentos\MALENTIN KARIME\BANCO CREDITO\FER LORCA en ROSITA (Rosita)\BANCOS\SCOTIABANK\AMP. PRENDA. DAVID CARVAJAL DUBO.- 3.doc</t>
  </si>
  <si>
    <t>C:\Users\franc\OneDrive\Documentos\MALENTIN KARIME\BANCO CREDITO\FER LORCA en ROSITA (Rosita)\BANCOS\SCOTIABANK\AMP. PRENDA. DAVID CARVAJAL DUBO.- 2.doc</t>
  </si>
  <si>
    <t>C:\Users\franc\OneDrive\Documentos\MALENTIN KARIME\BANCO CREDITO\FER LORCA en ROSITA (Rosita)\BANCOS\SCOTIABANK\AMP. PRENDA. CARLOS ASTETE S. MAYO 2010.-.doc</t>
  </si>
  <si>
    <t>C:\Users\franc\OneDrive\Documentos\MALENTIN KARIME\BANCO CREDITO\FER LORCA en ROSITA (Rosita)\BANCOS\SCOTIABANK\AMP. PRENDA. ABEL CASTAÑEDA GOMEZ.- marzo.doc</t>
  </si>
  <si>
    <t>C:\Users\franc\OneDrive\Documentos\MALENTIN KARIME\BANCO CREDITO\FER LORCA en ROSITA (Rosita)\BANCOS\SCOTIABANK\AMP. PRENDA OSCIEL BUGUEÑO.doc</t>
  </si>
  <si>
    <t>C:\Users\franc\OneDrive\Documentos\MALENTIN KARIME\BANCO CREDITO\FER LORCA en ROSITA (Rosita)\BANCOS\SCOTIABANK\AMP. PRENDA JOSE OSSA.- CAM. MAZDA.doc</t>
  </si>
  <si>
    <t>C:\Users\franc\OneDrive\Documentos\MALENTIN KARIME\BANCO CREDITO\FER LORCA en ROSITA (Rosita)\BANCOS\SCOTIABANK\AMP. PRENDA HERNAN CASTRO PIZARRO.doc</t>
  </si>
  <si>
    <t>C:\Users\franc\OneDrive\Documentos\MALENTIN KARIME\BANCO CREDITO\FER LORCA en ROSITA (Rosita)\BANCOS\SCOTIABANK\AMP. PRENDA DIST. COMB...   CONDE   Y   DIAZ   LTDA.- JUNIO 2010.doc</t>
  </si>
  <si>
    <t>C:\Users\franc\OneDrive\Documentos\MALENTIN KARIME\BANCO CREDITO\FER LORCA en ROSITA (Rosita)\BANCOS\SCOTIABANK\AMP. PRENDA CARLOS ROJAS ARAYA.- NOVIEMBRE.doc</t>
  </si>
  <si>
    <t>C:\Users\franc\OneDrive\Documentos\MALENTIN KARIME\BANCO CREDITO\FER LORCA en ROSITA (Rosita)\BANCOS\SCOTIABANK\AMP PRENDA.- LUIS GUERRA COLLADO FEBRERO.doc</t>
  </si>
  <si>
    <t>C:\Users\franc\OneDrive\Documentos\MALENTIN KARIME\BANCO CREDITO\FER LORCA en ROSITA (Rosita)\BANCOS\CORPBANCA\PRENDAS\Sociedad Agricola Angostura Ltda . Lotes Morales.doc</t>
  </si>
  <si>
    <t>C:\Users\franc\OneDrive\Documentos\MALENTIN KARIME\BANCO CREDITO\FER LORCA en ROSITA (Rosita)\BANCOS\CORPBANCA\PRENDAS\SOC. LOS ALAMOS.- FEBRERO.doc</t>
  </si>
  <si>
    <t>C:\Users\franc\OneDrive\Documentos\MALENTIN KARIME\BANCO CREDITO\FER LORCA en ROSITA (Rosita)\BANCOS\CORPBANCA\PRENDAS\Soc Agr Los Primos Ltda. Fdo Lolol.- AGOSTO 2010.doc</t>
  </si>
  <si>
    <t>C:\Users\franc\OneDrive\Documentos\MALENTIN KARIME\BANCO CREDITO\FER LORCA en ROSITA (Rosita)\BANCOS\CORPBANCA\MUTUO HIPOTECARIO.-\SEPTIEMBRE 2010\Mut Tasa Fija Viv Banca Preferencial (Ley 20.130) Victor Barrios. sol.doc</t>
  </si>
  <si>
    <t>C:\Users\franc\OneDrive\Documentos\MALENTIN KARIME\BANCO CREDITO\FER LORCA en ROSITA (Rosita)\BANCOS\CORPBANCA\MUTUO HIPOTECARIO.-\SEPTIEMBRE 2010\Mut Tasa Fija Viv Banca Preferencial (Ley 20.130) Victor Barrios. sol.- MODIFICADA.doc</t>
  </si>
  <si>
    <t>C:\Users\franc\OneDrive\Documentos\MALENTIN KARIME\BANCO CREDITO\FER LORCA en ROSITA (Rosita)\BANCOS\CORPBANCA\MUTUO HIPOTECARIO.-\SEPTIEMBRE 2010\32RPBA~1.DOC</t>
  </si>
  <si>
    <t>C:\Users\franc\OneDrive\Documentos\MALENTIN KARIME\BANCO CREDITO\FER LORCA en ROSITA (Rosita)\BANCOS\CORPBANCA\MUTUO HIPOTECARIO.-\NOVIEMBRE\15 RP  mut tasa fija UF viv  ley 20130 Cesar Honores Tello - sol.doc</t>
  </si>
  <si>
    <t>C:\Users\franc\OneDrive\Documentos\MALENTIN KARIME\BANCO CREDITO\FER LORCA en ROSITA (Rosita)\BANCOS\CORPBANCA\MUTUO HIPOTECARIO.-\NOVIEMBRE\13RP cv tasa fija viv Marta Peñafiel y otra a Maria Carmona Pizarro csb - sol y sol.doc</t>
  </si>
  <si>
    <t>C:\Users\franc\OneDrive\Documentos\MALENTIN KARIME\BANCO CREDITO\FER LORCA en ROSITA (Rosita)\BANCOS\CORPBANCA\MUTUO HIPOTECARIO.-\NOVIEMBRE\13RP cv tasa fija viv Fantina Olivares a Fernando Yañez sol y cscy.doc</t>
  </si>
  <si>
    <t>C:\Users\franc\OneDrive\Documentos\MALENTIN KARIME\BANCO CREDITO\FER LORCA en ROSITA (Rosita)\BANCOS\CORPBANCA\MUTUO HIPOTECARIO.-\MUTUO TASA FIJA FG Alejandra Rodriguez Lara[1].doc</t>
  </si>
  <si>
    <t>C:\Users\franc\OneDrive\Documentos\MALENTIN KARIME\BANCO CREDITO\FER LORCA en ROSITA (Rosita)\BANCOS\CORPBANCA\MUTUO HIPOTECARIO.-\cv Inm Rio Limari a Jorge Sauterel . csb. AGOSTO 2010.doc</t>
  </si>
  <si>
    <t>C:\Users\franc\OneDrive\Documentos\MALENTIN KARIME\BANCO CREDITO\FER LORCA en ROSITA (Rosita)\BANCOS\CORPBANCA\MUTUO HIPOTECARIO.-\15 RP mut tas fija UF viv  ley 20130 Maria Gonzalez Luengo. sb y codu.doc</t>
  </si>
  <si>
    <t>C:\Users\franc\OneDrive\Documentos\MALENTIN KARIME\BANCO CREDITO\FER LORCA en ROSITA (Rosita)\BANCOS\CORPBANCA\MUTUO HIPOTECARIO.-\13RP cv tasa fija vivienda uf Isabel Rojas a Hector Guzman, rep scy y cscy.- AGOSTO 2010.-.doc</t>
  </si>
  <si>
    <t>C:\Users\franc\OneDrive\Documentos\MALENTIN KARIME\BANCO CREDITO\FER LORCA en ROSITA (Rosita)\BANCOS\CORPBANCA\MUTUO HIPOTECARIO.-\13a) Tasa Fija con cvta FG -Manuel Carvajal y otros a Emilio Aguirre.JULIO 2010.doc</t>
  </si>
  <si>
    <t>C:\Users\franc\OneDrive\Documentos\MALENTIN KARIME\BANCO CREDITO\FER LORCA en ROSITA (Rosita)\BANCOS\CORPBANCA\MUTUO HIPOTECARIO.-\13a) Tasa Fija con cvta FG -Manuel Carvajal y otros a Emilio Aguirre.JULIO 2010.- POR MI....doc</t>
  </si>
  <si>
    <t>C:\Users\franc\OneDrive\Documentos\MALENTIN KARIME\BANCO CREDITO\FER LORCA en ROSITA (Rosita)\BANCOS\CORPBANCA\MUTUO HIPOTECARIO.-\13a) Tasa Fija con cvta FG -Manuel Carvajal y otros a Emilio Aguirre. (2).- MODIFIC..doc</t>
  </si>
  <si>
    <t>C:\Users\franc\OneDrive\Documentos\MALENTIN KARIME\BANCO CREDITO\FER LORCA en ROSITA (Rosita)\BANCOS\CORPBANCA\LEASING\MARZO 2011\MAT_AF_11693818_8153969.pdf</t>
  </si>
  <si>
    <t>C:\Users\franc\OneDrive\Documentos\MALENTIN KARIME\BANCO CREDITO\FER LORCA en ROSITA (Rosita)\BANCOS\CORPBANCA\LEASING\MARZO 2011\DCTO. AGRONOBLE.pdf</t>
  </si>
  <si>
    <t>C:\Users\franc\OneDrive\Documentos\MALENTIN KARIME\BANCO CREDITO\FER LORCA en ROSITA (Rosita)\BANCOS\CORPBANCA\LEASING\MARZO 2011\anexo[1] AGRONOBLE.doc</t>
  </si>
  <si>
    <t>C:\Users\franc\OneDrive\Documentos\MALENTIN KARIME\BANCO CREDITO\FER LORCA en ROSITA (Rosita)\BANCOS\CORPBANCA\LEASING\MARZO 2011\2006487 Guayacan Limitada.- MARZO 2.doc</t>
  </si>
  <si>
    <t>C:\Users\franc\OneDrive\Documentos\MALENTIN KARIME\BANCO CREDITO\FER LORCA en ROSITA (Rosita)\BANCOS\CORPBANCA\LEASING\MARZO 2011\2006189 AGRONOBLE S.A.-.doc</t>
  </si>
  <si>
    <t>C:\Users\franc\OneDrive\Documentos\MALENTIN KARIME\BANCO CREDITO\FER LORCA en ROSITA (Rosita)\BANCOS\CORPBANCA\LEASING\ENERO 2011\2006487 Guayacan Limitada.- MARZO 2.doc</t>
  </si>
  <si>
    <t>C:\Users\franc\OneDrive\Documentos\MALENTIN KARIME\BANCO CREDITO\FER LORCA en ROSITA (Rosita)\BANCOS\CORPBANCA\LEASING\ENERO 2011\2005851 Transportes Guayacan Limitada.doc</t>
  </si>
  <si>
    <t>C:\Users\franc\OneDrive\Documentos\MALENTIN KARIME\BANCO CREDITO\FER LORCA en ROSITA (Rosita)\BANCOS\CORPBANCA\LEASING\DICIEMBRE\2005720 Sociedad Eric Contreras y Cia Limitada.doc</t>
  </si>
  <si>
    <t>C:\Users\franc\OneDrive\Documentos\MALENTIN KARIME\BANCO CREDITO\FER LORCA en ROSITA (Rosita)\BANCOS\CORPBANCA\LEASING\DICIEMBRE\2005694 Contreras Flores.doc</t>
  </si>
  <si>
    <t>C:\Users\franc\OneDrive\Documentos\MALENTIN KARIME\BANCO CREDITO\FER LORCA en ROSITA (Rosita)\BANCOS\CORPBANCA\LEASING\MOV. TIERRAS LUIS CARVAJAL E.I.R.L..doc</t>
  </si>
  <si>
    <t>C:\Users\franc\OneDrive\Documentos\MALENTIN KARIME\BANCO CREDITO\FER LORCA en ROSITA (Rosita)\BANCOS\CORPBANCA\LEASING\LUIS CLAUDIO MARINÇ.doc</t>
  </si>
  <si>
    <t>C:\Users\franc\OneDrive\Documentos\MALENTIN KARIME\BANCO CREDITO\FER LORCA en ROSITA (Rosita)\BANCOS\CORPBANCA\LEASING\JULIO GUTIERREZ FLORES.doc</t>
  </si>
  <si>
    <t>C:\Users\franc\OneDrive\Documentos\MALENTIN KARIME\BANCO CREDITO\FER LORCA en ROSITA (Rosita)\BANCOS\CORPBANCA\LEASING\INVERSIONES SEPEDA HERMANOS.doc</t>
  </si>
  <si>
    <t>C:\Users\franc\OneDrive\Documentos\MALENTIN KARIME\BANCO CREDITO\FER LORCA en ROSITA (Rosita)\BANCOS\CORPBANCA\LEASING\HERNAN CONTRERAS FLORES.doc</t>
  </si>
  <si>
    <t>C:\Users\franc\OneDrive\Documentos\MALENTIN KARIME\BANCO CREDITO\FER LORCA en ROSITA (Rosita)\BANCOS\CORPBANCA\LEASING\CLAUDIO MARIN E I R L ii .- SEPT. 2010.-.doc</t>
  </si>
  <si>
    <t>C:\Users\franc\OneDrive\Documentos\MALENTIN KARIME\BANCO CREDITO\FER LORCA en ROSITA (Rosita)\BANCOS\CORPBANCA\LEASING\2005552 CANTA RANA. NOVIEMBRE.-.doc</t>
  </si>
  <si>
    <t>C:\Users\franc\OneDrive\Documentos\MALENTIN KARIME\BANCO CREDITO\FER LORCA en ROSITA (Rosita)\BANCOS\CORPBANCA\LEASING\2005446.-AGRICOLA CANTA RANA LTDA.-.doc</t>
  </si>
  <si>
    <t>C:\Users\franc\OneDrive\Documentos\MALENTIN KARIME\BANCO CREDITO\FER LORCA en ROSITA (Rosita)\BANCOS\CORPBANCA\HIPOTECAS\SOC. AGRIC. LOS PRIMOS.- AGOSTO 2010..doc</t>
  </si>
  <si>
    <t>C:\Users\franc\OneDrive\Documentos\MALENTIN KARIME\BANCO CREDITO\FER LORCA en ROSITA (Rosita)\BANCOS\CORPBANCA\HIPOTECAS\SOC. AGRIC. LOS PRIMOS.- AGOSTO 2010.-.doc</t>
  </si>
  <si>
    <t>C:\Users\franc\OneDrive\Documentos\MALENTIN KARIME\BANCO CREDITO\FER LORCA en ROSITA (Rosita)\BANCOS\CORPBANCA\HIPOTECAS\Soc Agricola Los Alamos Ltda[1]. LT 2B.- FEBRERO.doc</t>
  </si>
  <si>
    <t>C:\Users\franc\OneDrive\Documentos\MALENTIN KARIME\BANCO CREDITO\FER LORCA en ROSITA (Rosita)\BANCOS\CORPBANCA\HIPOTECAS\Soc Agricola Los Alamos Ltda.- HIPOTECA.doc</t>
  </si>
  <si>
    <t>C:\Users\franc\OneDrive\Documentos\MALENTIN KARIME\BANCO CREDITO\FER LORCA en ROSITA (Rosita)\BANCOS\CORPBANCA\HIPOTECAS\Samuel Bozo Lorca hipoteca.doc</t>
  </si>
  <si>
    <t>C:\Users\franc\OneDrive\Documentos\MALENTIN KARIME\BANCO CREDITO\FER LORCA en ROSITA (Rosita)\BANCOS\CORPBANCA\HIPOTECAS\Samuel Bozo Lorca - Inmboliaria Bozo.- OCTUBRE.doc</t>
  </si>
  <si>
    <t>C:\Users\franc\OneDrive\Documentos\MALENTIN KARIME\BANCO CREDITO\FER LORCA en ROSITA (Rosita)\BANCOS\CORPBANCA\HIPOTECAS\JULIO GUTIERREZ FLORES.doc</t>
  </si>
  <si>
    <t>C:\Users\franc\OneDrive\Documentos\MALENTIN KARIME\BANCO CREDITO\FER LORCA en ROSITA (Rosita)\BANCOS\CORPBANCA\HIPOTECAS\Ing y Construc Camarico Ltda. guanaqueros.- NUEVA.doc</t>
  </si>
  <si>
    <t>C:\Users\franc\OneDrive\Documentos\MALENTIN KARIME\BANCO CREDITO\FER LORCA en ROSITA (Rosita)\BANCOS\CORPBANCA\HIPOTECAS\Ing y Construc Camarico Ltda. St 6 y Lt 19.- NOVIEMBRE.doc</t>
  </si>
  <si>
    <t>C:\Users\franc\OneDrive\Documentos\MALENTIN KARIME\BANCO CREDITO\FER LORCA en ROSITA (Rosita)\BANCOS\CORPBANCA\HIPOTECAS\HIPOTECA.- ANGOSTURA MODIFICADA 07-12-2009.-.doc</t>
  </si>
  <si>
    <t>C:\Users\franc\OneDrive\Documentos\MALENTIN KARIME\BANCO CREDITO\FER LORCA en ROSITA (Rosita)\BANCOS\CORPBANCA\HIPOTECAS\HIPOTECA.- Soc Agric Angostura Ltda. Los Morales y aguas.doc</t>
  </si>
  <si>
    <t>C:\Users\franc\OneDrive\Documentos\MALENTIN KARIME\BANCO CREDITO\FER LORCA en ROSITA (Rosita)\BANCOS\CORPBANCA\HIPOTECAS\HIPOT. SOC. AGRIC. ANGOSTURA.doc</t>
  </si>
  <si>
    <t>C:\Users\franc\OneDrive\Documentos\MALENTIN KARIME\BANCO CREDITO\FER LORCA en ROSITA (Rosita)\BANCOS\CORPBANCA\HIPOTECAS\Cta E cv e hipoteca Samuel Bozo y otra a Inmobiliaria Bozo Sandoval.- OCTUBRE.doc</t>
  </si>
  <si>
    <t>C:\Users\franc\OneDrive\Documentos\MALENTIN KARIME\BANCO CREDITO\FER LORCA en ROSITA (Rosita)\BANCOS\CORPBANCA\HIPOTECAS\CLUB SOCIAL.- MAYO.doc</t>
  </si>
  <si>
    <t>C:\Users\franc\OneDrive\Documentos\MALENTIN KARIME\BANCO CREDITO\FER LORCA en ROSITA (Rosita)\BANCOS\CORPBANCA\HIPOTECAS\ANA MARIA MUNDACA.- HIPOTECA.doc</t>
  </si>
  <si>
    <t>C:\Users\franc\OneDrive\Documentos\MALENTIN KARIME\BANCO CREDITO\FER LORCA en ROSITA (Rosita)\BANCOS\CORPBANCA\HIPOTECAS\ANA MARIA MUNDACA.- HIPOTECA.- MARZO.-.doc</t>
  </si>
  <si>
    <t>C:\Users\franc\OneDrive\Documentos\MALENTIN KARIME\BANCO CREDITO\FER LORCA en ROSITA (Rosita)\BANCOS\CORPBANCA\FIANZA SOLIDARIA\fianza solidaria .- artigues.doc</t>
  </si>
  <si>
    <t>C:\Users\franc\OneDrive\Documentos\MALENTIN KARIME\BANCO CREDITO\FER LORCA en ROSITA (Rosita)\BANCOS\CORPBANCA\FIANZA SOLIDARIA\ALFONSO ARTIGUES POR SOC. ANGOSTURA.- FIANZA SOLIDARIA.doc</t>
  </si>
  <si>
    <t>C:\Users\franc\OneDrive\Documentos\MALENTIN KARIME\BANCO CREDITO\FER LORCA en ROSITA (Rosita)\BANCOS\CORPBANCA\EXTRACTOS\SOC. AGRIC. LOS ALAMOS LTDA.- FEB.-.doc</t>
  </si>
  <si>
    <t>C:\Users\franc\OneDrive\Documentos\MALENTIN KARIME\BANCO CREDITO\FER LORCA en ROSITA (Rosita)\BANCOS\CORPBANCA\EXTRACTOS\SOC. AGRIC. ANGOSTURA.- LOTE LOS MORALES.doc</t>
  </si>
  <si>
    <t>C:\Users\franc\OneDrive\Documentos\MALENTIN KARIME\BANCO CREDITO\FER LORCA en ROSITA (Rosita)\BANCOS\CORPBANCA\EXTRACTOS\EXTRACTO SOC. AGRIC LOS PRIMOS LTDA.- AGOSTO 2010.doc</t>
  </si>
  <si>
    <t>C:\Users\franc\OneDrive\Documentos\MALENTIN KARIME\BANCO CREDITO\FER LORCA en ROSITA (Rosita)\BANCOS\CORPBANCA\EXTRACTOS\EXTRACTO SOC. AGRIC LOS ALAMOS LTDA.doc</t>
  </si>
  <si>
    <t>C:\Users\franc\OneDrive\Documentos\MALENTIN KARIME\BANCO CREDITO\FER LORCA en ROSITA (Rosita)\BANCOS\CORPBANCA\EXTRACTOS\extracto SOC AGRIC ANGOSTURA.- MARZO.-.doc</t>
  </si>
  <si>
    <t>C:\Users\franc\OneDrive\Documentos\MALENTIN KARIME\BANCO CREDITO\FER LORCA en ROSITA (Rosita)\BANCOS\CORPBANCA\CVTA. Y ALZAMIENTO\ERNESTO CONTRERAS A ERIC CONTRERAS.- AGOSTO 2010.doc</t>
  </si>
  <si>
    <t>C:\Users\franc\OneDrive\Documentos\MALENTIN KARIME\BANCO CREDITO\FER LORCA en ROSITA (Rosita)\BANCOS\CORPBANCA\CVTA. Y ALZAMIENTO\compraventa y alzamiento bci Hernan Zanforlin y otros a Soc Agri Valdivia Ltda.doc</t>
  </si>
  <si>
    <t>C:\Users\franc\OneDrive\Documentos\MALENTIN KARIME\BANCO CREDITO\FER LORCA en ROSITA (Rosita)\BANCOS\CORPBANCA\COMPRAVENTA\OSVALDO CARMEN PASTEN CORTES Y OTROS. SOC. AGRIC. ENTRE RIOS LTDA.doc</t>
  </si>
  <si>
    <t>C:\Users\franc\OneDrive\Documentos\MALENTIN KARIME\BANCO CREDITO\FER LORCA en ROSITA (Rosita)\BANCOS\CORPBANCA\COMPRAVENTA\cv e hipoteca Hernan Zanforlin y otros a Soc Agri Valdivia Ltda (2).- NUEVO MARZO.doc</t>
  </si>
  <si>
    <t>C:\Users\franc\OneDrive\Documentos\MALENTIN KARIME\BANCO CREDITO\FER LORCA en ROSITA (Rosita)\BANCOS\CORPBANCA\COMPRAVENTA\COMPRAVENTA VICTOR NAZER A SOC. INM. RIO LIMARI.doc</t>
  </si>
  <si>
    <t>C:\Users\franc\OneDrive\Documentos\MALENTIN KARIME\BANCO CREDITO\FER LORCA en ROSITA (Rosita)\BANCOS\CORPBANCA\COMPRAVENTA\CARTA INSTRUCCIONES.- Zanforlín y Soc Agri Valdivia Ltda.doc</t>
  </si>
  <si>
    <t>C:\Users\franc\OneDrive\Documentos\MALENTIN KARIME\BANCO CREDITO\FER LORCA en ROSITA (Rosita)\BANCOS\CORPBANCA\COMPRAVENTA\13RP cv tasa fija viv Carolina Jofre a Rodrigo Muñoz div y sol.-OCTUBRE.doc</t>
  </si>
  <si>
    <t>C:\Users\franc\OneDrive\Documentos\MALENTIN KARIME\BANCO CREDITO\FER LORCA en ROSITA (Rosita)\BANCOS\CORPBANCA\COMPLEMENTACION\COMPLEMENTACION Y ACLARACION.-  ARTIGUES S.A. y COVALSA[1].doc</t>
  </si>
  <si>
    <t>C:\Users\franc\OneDrive\Documentos\MALENTIN KARIME\BANCO CREDITO\FER LORCA en ROSITA (Rosita)\BANCOS\CORPBANCA\COMPLEMENTACION\COMPLEMENTACION ARTIGUES .- RECTIFICADA CLAUS. QUINTA.doc</t>
  </si>
  <si>
    <t>C:\Users\franc\OneDrive\Documentos\MALENTIN KARIME\BANCO CREDITO\FER LORCA en ROSITA (Rosita)\BANCOS\CORPBANCA\CARTAS INSTRUCCIONES\Victor Nazer y Felipe Nazer[1].doc</t>
  </si>
  <si>
    <t>C:\Users\franc\OneDrive\Documentos\MALENTIN KARIME\BANCO CREDITO\FER LORCA en ROSITA (Rosita)\BANCOS\CORPBANCA\CARTAS INSTRUCCIONES\Soc Agricola Los Alamos Ltda.- COMPLEMENTACION.doc</t>
  </si>
  <si>
    <t>C:\Users\franc\OneDrive\Documentos\MALENTIN KARIME\BANCO CREDITO\FER LORCA en ROSITA (Rosita)\BANCOS\CORPBANCA\CARTAS INSTRUCCIONES\Soc Agri Los Primos Ltda. agosto 2010.- CON SANTANDER HIPOTECA.doc</t>
  </si>
  <si>
    <t>C:\Users\franc\OneDrive\Documentos\MALENTIN KARIME\BANCO CREDITO\FER LORCA en ROSITA (Rosita)\BANCOS\CORPBANCA\CARTAS INSTRUCCIONES\MODIF. ENTRE_RIOS[1].doc</t>
  </si>
  <si>
    <t>C:\Users\franc\OneDrive\Documentos\MALENTIN KARIME\BANCO CREDITO\FER LORCA en ROSITA (Rosita)\BANCOS\CORPBANCA\CARTAS INSTRUCCIONES\ENTRE RIOS.doc</t>
  </si>
  <si>
    <t>C:\Users\franc\OneDrive\Documentos\MALENTIN KARIME\BANCO CREDITO\FER LORCA en ROSITA (Rosita)\BANCOS\CORPBANCA\CARTAS INSTRUCCIONES\CARTA RESGUARDOCesar Honores Tello.doc</t>
  </si>
  <si>
    <t>C:\Users\franc\OneDrive\Documentos\MALENTIN KARIME\BANCO CREDITO\FER LORCA en ROSITA (Rosita)\BANCOS\CORPBANCA\CARTAS INSTRUCCIONES\CARTA RESGUARDO María González Luengo.doc</t>
  </si>
  <si>
    <t>C:\Users\franc\OneDrive\Documentos\MALENTIN KARIME\BANCO CREDITO\FER LORCA en ROSITA (Rosita)\BANCOS\CORPBANCA\CARTAS INSTRUCCIONES\CARTA INSTRUCCIONES Emilio Aguirre Tarifeño.-.doc</t>
  </si>
  <si>
    <t>C:\Users\franc\OneDrive\Documentos\MALENTIN KARIME\BANCO CREDITO\FER LORCA en ROSITA (Rosita)\BANCOS\CORPBANCA\CARTAS INSTRUCCIONES\CARTA DE RESGUARDO Soc Agricola Los Alamos Ltda[1].doc</t>
  </si>
  <si>
    <t>C:\Users\franc\OneDrive\Documentos\MALENTIN KARIME\BANCO CREDITO\FER LORCA en ROSITA (Rosita)\BANCOS\CORPBANCA\CARTAS INSTRUCCIONES\AGREGA.doc</t>
  </si>
  <si>
    <t>C:\Users\franc\OneDrive\Documentos\MALENTIN KARIME\BANCO CREDITO\FER LORCA en ROSITA (Rosita)\BANCOS\CORPBANCA\ALZAMIENTO\2011\Comb Serv de Transp y Cargo S.A. (Cotracar).doc</t>
  </si>
  <si>
    <t>C:\Users\franc\OneDrive\Documentos\MALENTIN KARIME\BANCO CREDITO\FER LORCA en ROSITA (Rosita)\BANCOS\CORPBANCA\ALZAMIENTO\SOC. AGRIC. ANGOSTURA.- OCTUBRE.-.doc</t>
  </si>
  <si>
    <t>C:\Users\franc\OneDrive\Documentos\MALENTIN KARIME\BANCO CREDITO\FER LORCA en ROSITA (Rosita)\BANCOS\CORPBANCA\ALZAMIENTO\SOC. AGRIC. ALGARROBO LTDA.-.doc</t>
  </si>
  <si>
    <t>C:\Users\franc\OneDrive\Documentos\MALENTIN KARIME\BANCO CREDITO\FER LORCA en ROSITA (Rosita)\BANCOS\CORPBANCA\ALZAMIENTO\Soc Inmob e Inv Villar y Cia Ltda[1].doc</t>
  </si>
  <si>
    <t>C:\Users\franc\OneDrive\Documentos\MALENTIN KARIME\BANCO CREDITO\FER LORCA en ROSITA (Rosita)\BANCOS\CORPBANCA\ALZAMIENTO\Soc Inmob e Inv Villar y Cia Ltda[1].- MIGUEL BORDONES.doc</t>
  </si>
  <si>
    <t>C:\Users\franc\OneDrive\Documentos\MALENTIN KARIME\BANCO CREDITO\FER LORCA en ROSITA (Rosita)\BANCOS\CORPBANCA\ALZAMIENTO\Soc Agricola Angostura Ltda.LTt 93-A y 30 acc EC.doc</t>
  </si>
  <si>
    <t>C:\Users\franc\OneDrive\Documentos\MALENTIN KARIME\BANCO CREDITO\FER LORCA en ROSITA (Rosita)\BANCOS\CORPBANCA\ALZAMIENTO\SOC AGRIC. ANGOSTURA.- NOVIEMBRE.-.doc</t>
  </si>
  <si>
    <t>C:\Users\franc\OneDrive\Documentos\MALENTIN KARIME\BANCO CREDITO\FER LORCA en ROSITA (Rosita)\BANCOS\CORPBANCA\ALZAMIENTO\Soc Agric e Inv Juan Pablo. LT 2 y 1 y 25 acc EC.-HACER.doc</t>
  </si>
  <si>
    <t>C:\Users\franc\OneDrive\Documentos\MALENTIN KARIME\BANCO CREDITO\FER LORCA en ROSITA (Rosita)\BANCOS\CORPBANCA\ALZAMIENTO\Soc Agr e Inv Juan Pablo Ltda.Lt 2 San Julian.- HACER.doc</t>
  </si>
  <si>
    <t>C:\Users\franc\OneDrive\Documentos\MALENTIN KARIME\BANCO CREDITO\FER LORCA en ROSITA (Rosita)\BANCOS\CORPBANCA\ALZAMIENTO\SAMUEL BAEZA AVELLO.- SEPT. 2010.-.doc</t>
  </si>
  <si>
    <t>C:\Users\franc\OneDrive\Documentos\MALENTIN KARIME\BANCO CREDITO\FER LORCA en ROSITA (Rosita)\BANCOS\CORPBANCA\ALZAMIENTO\Rene Urquieta Barrios.- ABRIL 2010.doc</t>
  </si>
  <si>
    <t>C:\Users\franc\OneDrive\Documentos\MALENTIN KARIME\BANCO CREDITO\FER LORCA en ROSITA (Rosita)\BANCOS\CORPBANCA\ALZAMIENTO\REINALDO TAPIA ARAVENA.- MIGUEL BORDONES.doc</t>
  </si>
  <si>
    <t>C:\Users\franc\OneDrive\Documentos\MALENTIN KARIME\BANCO CREDITO\FER LORCA en ROSITA (Rosita)\BANCOS\CORPBANCA\ALZAMIENTO\Luis Ramirez Rojas.- ABRIL 2010.doc</t>
  </si>
  <si>
    <t>C:\Users\franc\OneDrive\Documentos\MALENTIN KARIME\BANCO CREDITO\FER LORCA en ROSITA (Rosita)\BANCOS\CORPBANCA\ALZAMIENTO\JUAN VEGA CORTES.- JULIO 2010.- JULIO MONTERO..doc</t>
  </si>
  <si>
    <t>C:\Users\franc\OneDrive\Documentos\MALENTIN KARIME\BANCO CREDITO\FER LORCA en ROSITA (Rosita)\BANCOS\CORPBANCA\ALZAMIENTO\IRLANDA GONZALEZ ANDRADE.doc</t>
  </si>
  <si>
    <t>C:\Users\franc\OneDrive\Documentos\MALENTIN KARIME\BANCO CREDITO\FER LORCA en ROSITA (Rosita)\BANCOS\CORPBANCA\ALZAMIENTO\IRLANDA GONZALEZ ANDRADE.- MIGUEL BORDONES.doc</t>
  </si>
  <si>
    <t>C:\Users\franc\OneDrive\Documentos\MALENTIN KARIME\BANCO CREDITO\FER LORCA en ROSITA (Rosita)\BANCOS\CORPBANCA\ALZAMIENTO\ERNESTO FELIPE HANG.doc</t>
  </si>
  <si>
    <t>C:\Users\franc\OneDrive\Documentos\MALENTIN KARIME\BANCO CREDITO\FER LORCA en ROSITA (Rosita)\BANCOS\CORPBANCA\ALZAMIENTO\ERNESTO FELIPE HANG.- MIGUEL BORDONES.doc</t>
  </si>
  <si>
    <t>C:\Users\franc\OneDrive\Documentos\MALENTIN KARIME\BANCO CREDITO\FER LORCA en ROSITA (Rosita)\BANCOS\CORPBANCA\ALZAMIENTO\ELVIRA SALFATE VASQUEZ.- MAYO.doc</t>
  </si>
  <si>
    <t>C:\Users\franc\OneDrive\Documentos\MALENTIN KARIME\BANCO CREDITO\FER LORCA en ROSITA (Rosita)\BANCOS\CORPBANCA\ALZAMIENTO\Domitila Andrade Rojas.- ABRIL.- HACER.doc</t>
  </si>
  <si>
    <t>C:\Users\franc\OneDrive\Documentos\MALENTIN KARIME\BANCO CREDITO\FER LORCA en ROSITA (Rosita)\BANCOS\CORPBANCA\personeria MICHAEL ALBERT RIFFO CESPEDES (1).doc</t>
  </si>
  <si>
    <t>C:\Users\franc\OneDrive\Documentos\MALENTIN KARIME\BANCO CREDITO\FER LORCA en ROSITA (Rosita)\BANCOS\CORPBANCA\MODELO NOTARIO.doc</t>
  </si>
  <si>
    <t>C:\Users\franc\OneDrive\Documentos\MALENTIN KARIME\BANCO CREDITO\FER LORCA en ROSITA (Rosita)\BANCOS\CORPBANCA\MANDATO RICARDO VIORKLUMDS.doc</t>
  </si>
  <si>
    <t>C:\Users\franc\OneDrive\Documentos\MALENTIN KARIME\BANCO CREDITO\FER LORCA en ROSITA (Rosita)\BANCOS\CORPBANCA\CLAUSULA QUINTA ARTIGUES.doc</t>
  </si>
  <si>
    <t>C:\Users\franc\OneDrive\Documentos\MALENTIN KARIME\BANCO CREDITO\FER LORCA en ROSITA (Rosita)\BANCOS\CORPBANCA\CARTA STGO- CORPBANCA..doc</t>
  </si>
  <si>
    <t>C:\Users\franc\OneDrive\Documentos\MALENTIN KARIME\BANCO CREDITO\FER LORCA en ROSITA (Rosita)\BANCOS\CORPBANCA\CARTA STGO- CORPBANCA.-2.doc</t>
  </si>
  <si>
    <t>C:\Users\franc\OneDrive\Documentos\MALENTIN KARIME\BANCO CREDITO\FER LORCA en ROSITA (Rosita)\BANCOS\CORPBANCA\CARTA STGO- CORPBANCA.-.doc</t>
  </si>
  <si>
    <t>C:\Users\franc\OneDrive\Documentos\MALENTIN KARIME\BANCO CREDITO\FER LORCA en ROSITA (Rosita)\BANCOS\CORPBANCA\CARTA RESGUARDO.doc</t>
  </si>
  <si>
    <t>C:\Users\franc\OneDrive\Documentos\MALENTIN KARIME\BANCO CREDITO\FER LORCA en ROSITA (Rosita)\BANCOS\BDD\SOC. AGRICOLA CORRAL LTDA.doc</t>
  </si>
  <si>
    <t>C:\Users\franc\OneDrive\Documentos\MALENTIN KARIME\BANCO CREDITO\FER LORCA en ROSITA (Rosita)\BANCOS\BDD\SALVADOR CASTILLO.doc</t>
  </si>
  <si>
    <t>C:\Users\franc\OneDrive\Documentos\MALENTIN KARIME\BANCO CREDITO\FER LORCA en ROSITA (Rosita)\BANCOS\BDD\Hipoteca Soc Agroindustrial Agricor Ltda[1]..doc</t>
  </si>
  <si>
    <t>C:\Users\franc\OneDrive\Documentos\MALENTIN KARIME\BANCO CREDITO\FER LORCA en ROSITA (Rosita)\BANCOS\BDD\OLGA CORRAL.doc</t>
  </si>
  <si>
    <t>C:\Users\franc\OneDrive\Documentos\MALENTIN KARIME\BANCO CREDITO\FER LORCA en ROSITA (Rosita)\BANCOS\BDD\Hipoteca Luis Cortes a Soc Agroindustrial Agricor Ltda[1]..doc</t>
  </si>
  <si>
    <t>C:\Users\franc\OneDrive\Documentos\MALENTIN KARIME\BANCO CREDITO\FER LORCA en ROSITA (Rosita)\BANCOS\BDD\ALZAMIENTO MARIA ANABALON.doc</t>
  </si>
  <si>
    <t>C:\Users\franc\OneDrive\Documentos\MALENTIN KARIME\BANCO CREDITO\FER LORCA en ROSITA (Rosita)\BANCOS\BANCO ESTADO\PERSONERIAS\JUAN PLAZA.doc</t>
  </si>
  <si>
    <t>C:\Users\franc\OneDrive\Documentos\MALENTIN KARIME\BANCO CREDITO\FER LORCA en ROSITA (Rosita)\BANCOS\BANCO ESTADO\ENERO 2011\WILSON GOMEZ..doc</t>
  </si>
  <si>
    <t>C:\Users\franc\OneDrive\Documentos\MALENTIN KARIME\BANCO CREDITO\FER LORCA en ROSITA (Rosita)\BANCOS\BANCO ESTADO\ENERO 2011\LUIS AGUSTIN RIVERA.doc</t>
  </si>
  <si>
    <t>C:\Users\franc\OneDrive\Documentos\MALENTIN KARIME\BANCO CREDITO\FER LORCA en ROSITA (Rosita)\BANCOS\BANCO ESTADO\ENERO 2011\ARNOLDO PASTEN HERNANDEZ.doc</t>
  </si>
  <si>
    <t>C:\Users\franc\OneDrive\Documentos\MALENTIN KARIME\BANCO CREDITO\FER LORCA en ROSITA (Rosita)\BANCOS\BANCO ESTADO\ENERO 2011\ALAMIRO ALFARO A.-.doc</t>
  </si>
  <si>
    <t>C:\Users\franc\OneDrive\Documentos\MALENTIN KARIME\BANCO CREDITO\FER LORCA en ROSITA (Rosita)\BANCOS\BANCO ESTADO\2010\SEPTIEMBRE - OCTUBRE\VINKA ROJAS ESQUIVEL.doc</t>
  </si>
  <si>
    <t>C:\Users\franc\OneDrive\Documentos\MALENTIN KARIME\BANCO CREDITO\FER LORCA en ROSITA (Rosita)\BANCOS\BANCO ESTADO\2010\SEPTIEMBRE - OCTUBRE\SONIA LAYANA CASTILLO.doc</t>
  </si>
  <si>
    <t>C:\Users\franc\OneDrive\Documentos\MALENTIN KARIME\BANCO CREDITO\FER LORCA en ROSITA (Rosita)\BANCOS\BANCO ESTADO\2010\SEPTIEMBRE - OCTUBRE\SERGIO PIZARRO ROJAS.doc</t>
  </si>
  <si>
    <t>C:\Users\franc\OneDrive\Documentos\MALENTIN KARIME\BANCO CREDITO\FER LORCA en ROSITA (Rosita)\BANCOS\BANCO ESTADO\2010\SEPTIEMBRE - OCTUBRE\PEDRO LAGUNAS CABEZAS.doc</t>
  </si>
  <si>
    <t>C:\Users\franc\OneDrive\Documentos\MALENTIN KARIME\BANCO CREDITO\FER LORCA en ROSITA (Rosita)\BANCOS\BANCO ESTADO\2010\SEPTIEMBRE - OCTUBRE\RAUL CORTES IBACACHE.doc</t>
  </si>
  <si>
    <t>C:\Users\franc\OneDrive\Documentos\MALENTIN KARIME\BANCO CREDITO\FER LORCA en ROSITA (Rosita)\BANCOS\BANCO ESTADO\2010\SEPTIEMBRE - OCTUBRE\MIGUEL BORDONES.doc</t>
  </si>
  <si>
    <t>C:\Users\franc\OneDrive\Documentos\MALENTIN KARIME\BANCO CREDITO\FER LORCA en ROSITA (Rosita)\BANCOS\BANCO ESTADO\2010\SEPTIEMBRE - OCTUBRE\MARIA MATURANA CORTES.doc</t>
  </si>
  <si>
    <t>C:\Users\franc\OneDrive\Documentos\MALENTIN KARIME\BANCO CREDITO\FER LORCA en ROSITA (Rosita)\BANCOS\BANCO ESTADO\2010\SEPTIEMBRE - OCTUBRE\MARCO ZAMORA. PERS. JUAN PLAZA.doc</t>
  </si>
  <si>
    <t>C:\Users\franc\OneDrive\Documentos\MALENTIN KARIME\BANCO CREDITO\FER LORCA en ROSITA (Rosita)\BANCOS\BANCO ESTADO\2010\SEPTIEMBRE - OCTUBRE\LUZ CUEVAS BLANCO.- PERS. JUAN PLAZA.doc</t>
  </si>
  <si>
    <t>C:\Users\franc\OneDrive\Documentos\MALENTIN KARIME\BANCO CREDITO\FER LORCA en ROSITA (Rosita)\BANCOS\BANCO ESTADO\2010\SEPTIEMBRE - OCTUBRE\JUAN ZAPATA GARCIA.doc</t>
  </si>
  <si>
    <t>C:\Users\franc\OneDrive\Documentos\MALENTIN KARIME\BANCO CREDITO\FER LORCA en ROSITA (Rosita)\BANCOS\BANCO ESTADO\2010\SEPTIEMBRE - OCTUBRE\JUAN CARVAJAL.doc</t>
  </si>
  <si>
    <t>C:\Users\franc\OneDrive\Documentos\MALENTIN KARIME\BANCO CREDITO\FER LORCA en ROSITA (Rosita)\BANCOS\BANCO ESTADO\2010\SEPTIEMBRE - OCTUBRE\JOHANNA ZEBALLOS.doc</t>
  </si>
  <si>
    <t>C:\Users\franc\OneDrive\Documentos\MALENTIN KARIME\BANCO CREDITO\FER LORCA en ROSITA (Rosita)\BANCOS\BANCO ESTADO\2010\SEPTIEMBRE - OCTUBRE\FS. Y FECHA.doc</t>
  </si>
  <si>
    <t>C:\Users\franc\OneDrive\Documentos\MALENTIN KARIME\BANCO CREDITO\FER LORCA en ROSITA (Rosita)\BANCOS\BANCO ESTADO\2010\SEPTIEMBRE - OCTUBRE\FABIAN ALVAREZ GUZMAN.doc</t>
  </si>
  <si>
    <t>C:\Users\franc\OneDrive\Documentos\MALENTIN KARIME\BANCO CREDITO\FER LORCA en ROSITA (Rosita)\BANCOS\BANCO ESTADO\2010\SEPTIEMBRE - OCTUBRE\EVA DIAZ SIERRA.- JUAN PLAZA.doc</t>
  </si>
  <si>
    <t>C:\Users\franc\OneDrive\Documentos\MALENTIN KARIME\BANCO CREDITO\FER LORCA en ROSITA (Rosita)\BANCOS\BANCO ESTADO\2010\SEPTIEMBRE - OCTUBRE\DAVID JIMENEZ.doc</t>
  </si>
  <si>
    <t>C:\Users\franc\OneDrive\Documentos\MALENTIN KARIME\BANCO CREDITO\FER LORCA en ROSITA (Rosita)\BANCOS\BANCO ESTADO\2010\SEPTIEMBRE - OCTUBRE\CARLOS OSSANDON.doc</t>
  </si>
  <si>
    <t>C:\Users\franc\OneDrive\Documentos\MALENTIN KARIME\BANCO CREDITO\FER LORCA en ROSITA (Rosita)\BANCOS\BANCO ESTADO\2010\SEPTIEMBRE - OCTUBRE\CARLOS ACUÑA.doc</t>
  </si>
  <si>
    <t>C:\Users\franc\OneDrive\Documentos\MALENTIN KARIME\BANCO CREDITO\FER LORCA en ROSITA (Rosita)\BANCOS\BANCO ESTADO\2010\SEPTIEMBRE - OCTUBRE\ALIRO VEGA TORREJON.doc</t>
  </si>
  <si>
    <t>C:\Users\franc\OneDrive\Documentos\MALENTIN KARIME\BANCO CREDITO\FER LORCA en ROSITA (Rosita)\BANCOS\BANCO ESTADO\2010\NOVIEMBRE - DICIEMBRE\PATRICIA ALBANEZ TAPIA.doc</t>
  </si>
  <si>
    <t>C:\Users\franc\OneDrive\Documentos\MALENTIN KARIME\BANCO CREDITO\FER LORCA en ROSITA (Rosita)\BANCOS\BANCO ESTADO\2010\NOVIEMBRE - DICIEMBRE\VICTOR GARAY VELASQUEZ.doc</t>
  </si>
  <si>
    <t>C:\Users\franc\OneDrive\Documentos\MALENTIN KARIME\BANCO CREDITO\FER LORCA en ROSITA (Rosita)\BANCOS\BANCO ESTADO\2010\NOVIEMBRE - DICIEMBRE\JUAN PLAZA CASTILLO.doc</t>
  </si>
  <si>
    <t>C:\Users\franc\OneDrive\Documentos\MALENTIN KARIME\BANCO CREDITO\FER LORCA en ROSITA (Rosita)\BANCOS\BANCO ESTADO\2010\NOVIEMBRE - DICIEMBRE\FS. Y FECHA.doc</t>
  </si>
  <si>
    <t>C:\Users\franc\OneDrive\Documentos\MALENTIN KARIME\BANCO CREDITO\FER LORCA en ROSITA (Rosita)\BANCOS\BANCO ESTADO\2010\NOVIEMBRE - DICIEMBRE\DOMINGA SILVA MANCILLA.doc</t>
  </si>
  <si>
    <t>C:\Users\franc\OneDrive\Documentos\MALENTIN KARIME\BANCO CREDITO\FER LORCA en ROSITA (Rosita)\BANCOS\BANCO ESTADO\2010\NOVIEMBRE - DICIEMBRE\DIEGO GARCIA GAHONA.doc</t>
  </si>
  <si>
    <t>C:\Users\franc\OneDrive\Documentos\MALENTIN KARIME\BANCO CREDITO\FER LORCA en ROSITA (Rosita)\BANCOS\BANCO ESTADO\2010\NOVIEMBRE - DICIEMBRE\DIEGO GARCIA GAHONA.- 2dos.doc</t>
  </si>
  <si>
    <t>C:\Users\franc\OneDrive\Documentos\MALENTIN KARIME\BANCO CREDITO\FER LORCA en ROSITA (Rosita)\BANCOS\BANCO ESTADO\2010\NOVIEMBRE - DICIEMBRE\AZUCENA LAGUNAS.doc</t>
  </si>
  <si>
    <t>C:\Users\franc\OneDrive\Documentos\MALENTIN KARIME\BANCO CREDITO\FER LORCA en ROSITA (Rosita)\BANCOS\BANCO ESTADO\2010\NOVIEMBRE - DICIEMBRE\ALEJANDRO PIZARRO BUGUEÑO.doc</t>
  </si>
  <si>
    <t>C:\Users\franc\OneDrive\Documentos\MALENTIN KARIME\BANCO CREDITO\FER LORCA en ROSITA (Rosita)\BANCOS\BANCO ESTADO\2010\JULIO - AGOSTO\SYLVIO JERALDO JERALDO.doc</t>
  </si>
  <si>
    <t>C:\Users\franc\OneDrive\Documentos\MALENTIN KARIME\BANCO CREDITO\FER LORCA en ROSITA (Rosita)\BANCOS\BANCO ESTADO\2010\JULIO - AGOSTO\STEFAN CYPERDIUK VARGAS.doc</t>
  </si>
  <si>
    <t>C:\Users\franc\OneDrive\Documentos\MALENTIN KARIME\BANCO CREDITO\FER LORCA en ROSITA (Rosita)\BANCOS\BANCO ESTADO\2010\JULIO - AGOSTO\RAFAEL NUÑEZ NUÑEZ.doc</t>
  </si>
  <si>
    <t>C:\Users\franc\OneDrive\Documentos\MALENTIN KARIME\BANCO CREDITO\FER LORCA en ROSITA (Rosita)\BANCOS\BANCO ESTADO\2010\JULIO - AGOSTO\OFELIA CISTERNAS ANDRADES.doc</t>
  </si>
  <si>
    <t>C:\Users\franc\OneDrive\Documentos\MALENTIN KARIME\BANCO CREDITO\FER LORCA en ROSITA (Rosita)\BANCOS\BANCO ESTADO\2010\JULIO - AGOSTO\NEFTALI TAPIA BARRIA.doc</t>
  </si>
  <si>
    <t>C:\Users\franc\OneDrive\Documentos\MALENTIN KARIME\BANCO CREDITO\FER LORCA en ROSITA (Rosita)\BANCOS\BANCO ESTADO\2010\JULIO - AGOSTO\MARIA URQUETA AGUIRRE.doc</t>
  </si>
  <si>
    <t>C:\Users\franc\OneDrive\Documentos\MALENTIN KARIME\BANCO CREDITO\FER LORCA en ROSITA (Rosita)\BANCOS\BANCO ESTADO\2010\JULIO - AGOSTO\MARIA FUENTES MUÑOZ.doc</t>
  </si>
  <si>
    <t>C:\Users\franc\OneDrive\Documentos\MALENTIN KARIME\BANCO CREDITO\FER LORCA en ROSITA (Rosita)\BANCOS\BANCO ESTADO\2010\JULIO - AGOSTO\MANUEL RODRIGUEZ CARVAJAL.doc</t>
  </si>
  <si>
    <t>C:\Users\franc\OneDrive\Documentos\MALENTIN KARIME\BANCO CREDITO\FER LORCA en ROSITA (Rosita)\BANCOS\BANCO ESTADO\2010\JULIO - AGOSTO\MANUEL CARVAJAL ROJAS.doc</t>
  </si>
  <si>
    <t>C:\Users\franc\OneDrive\Documentos\MALENTIN KARIME\BANCO CREDITO\FER LORCA en ROSITA (Rosita)\BANCOS\BANCO ESTADO\2010\JULIO - AGOSTO\LUIS AROS NUÑEZ.doc</t>
  </si>
  <si>
    <t>C:\Users\franc\OneDrive\Documentos\MALENTIN KARIME\BANCO CREDITO\FER LORCA en ROSITA (Rosita)\BANCOS\BANCO ESTADO\2010\JULIO - AGOSTO\LUCY CORDOVA ARAYA.doc</t>
  </si>
  <si>
    <t>C:\Users\franc\OneDrive\Documentos\MALENTIN KARIME\BANCO CREDITO\FER LORCA en ROSITA (Rosita)\BANCOS\BANCO ESTADO\2010\JULIO - AGOSTO\IVER ARAYA ARAYA.doc</t>
  </si>
  <si>
    <t>C:\Users\franc\OneDrive\Documentos\MALENTIN KARIME\BANCO CREDITO\FER LORCA en ROSITA (Rosita)\BANCOS\BANCO ESTADO\2010\JULIO - AGOSTO\JUAN CARLOS MONARDES JOFRE.doc</t>
  </si>
  <si>
    <t>C:\Users\franc\OneDrive\Documentos\MALENTIN KARIME\BANCO CREDITO\FER LORCA en ROSITA (Rosita)\BANCOS\BANCO ESTADO\2010\JULIO - AGOSTO\INES SEPULVEDA RODRIGUEZ.doc</t>
  </si>
  <si>
    <t>C:\Users\franc\OneDrive\Documentos\MALENTIN KARIME\BANCO CREDITO\FER LORCA en ROSITA (Rosita)\BANCOS\BANCO ESTADO\2010\JULIO - AGOSTO\HECTOR GONZALEZ BRAVO.doc</t>
  </si>
  <si>
    <t>C:\Users\franc\OneDrive\Documentos\MALENTIN KARIME\BANCO CREDITO\FER LORCA en ROSITA (Rosita)\BANCOS\BANCO ESTADO\2010\JULIO - AGOSTO\GLADYS NAVARRO CASTILLO.doc</t>
  </si>
  <si>
    <t>C:\Users\franc\OneDrive\Documentos\MALENTIN KARIME\BANCO CREDITO\FER LORCA en ROSITA (Rosita)\BANCOS\BANCO ESTADO\2010\JULIO - AGOSTO\GLADYS GUERRA VILLALOBOS.doc</t>
  </si>
  <si>
    <t>C:\Users\franc\OneDrive\Documentos\MALENTIN KARIME\BANCO CREDITO\FER LORCA en ROSITA (Rosita)\BANCOS\BANCO ESTADO\2010\JULIO - AGOSTO\FS. Y FECHA.doc</t>
  </si>
  <si>
    <t>C:\Users\franc\OneDrive\Documentos\MALENTIN KARIME\BANCO CREDITO\FER LORCA en ROSITA (Rosita)\BANCOS\BANCO ESTADO\2010\JULIO - AGOSTO\EDUARDO ABEL IRIARTE ARAYA.doc</t>
  </si>
  <si>
    <t>C:\Users\franc\OneDrive\Documentos\MALENTIN KARIME\BANCO CREDITO\FER LORCA en ROSITA (Rosita)\BANCOS\BANCO ESTADO\2010\JULIO - AGOSTO\CRISTINA AGUIRRE GOMEZ.doc</t>
  </si>
  <si>
    <t>C:\Users\franc\OneDrive\Documentos\MALENTIN KARIME\BANCO CREDITO\FER LORCA en ROSITA (Rosita)\BANCOS\BANCO ESTADO\2010\JULIO - AGOSTO\CAMILA ROJAS BONILLA.doc</t>
  </si>
  <si>
    <t>C:\Users\franc\OneDrive\Documentos\MALENTIN KARIME\BANCO CREDITO\FER LORCA en ROSITA (Rosita)\BANCOS\BANCO ESTADO\2010\JULIO - AGOSTO\ANGEL CASTRO VEGA.doc</t>
  </si>
  <si>
    <t>C:\Users\franc\OneDrive\Documentos\MALENTIN KARIME\BANCO CREDITO\FER LORCA en ROSITA (Rosita)\BANCOS\BANCO ESTADO\2010\JULIO - AGOSTO\ANA MARIA VILLEGAS ACUÑA.doc</t>
  </si>
  <si>
    <t>C:\Users\franc\OneDrive\Documentos\MALENTIN KARIME\BANCO CREDITO\FER LORCA en ROSITA (Rosita)\BANCOS\BANCO ESTADO\2010\JULIO - AGOSTO\ALFONSO MUÑOZ LOYOLA.doc</t>
  </si>
  <si>
    <t>C:\Users\franc\OneDrive\Documentos\MALENTIN KARIME\BANCO CREDITO\FER LORCA en ROSITA (Rosita)\BANCOS\BANCO ESTADO\2010\JULIO - AGOSTO\ALEJANDRO URBINA CORTES.doc</t>
  </si>
  <si>
    <t>C:\Users\franc\OneDrive\Documentos\MALENTIN KARIME\BANCO CREDITO\FER LORCA en ROSITA (Rosita)\BANCOS\BANCO ESTADO\2010\JULIO - AGOSTO\ALEJANDRO ALFARO ROJAS.doc</t>
  </si>
  <si>
    <t>C:\Users\franc\OneDrive\Documentos\MALENTIN KARIME\BANCO CREDITO\FER LORCA en ROSITA (Rosita)\BANCOS\BANCO ESTADO\2010\ENERO 2010\CVTA AGUAS NUEVA ESPERANZA DABED (V13)[1].doc</t>
  </si>
  <si>
    <t>C:\Users\franc\OneDrive\Documentos\MALENTIN KARIME\BANCO CREDITO\FER LORCA en ROSITA (Rosita)\BANCOS\BANCO ESTADO\2010\DICIEMBRE 2010\PATRICIA MARAMBIO VALDIVIA.doc</t>
  </si>
  <si>
    <t>C:\Users\franc\OneDrive\Documentos\MALENTIN KARIME\BANCO CREDITO\FER LORCA en ROSITA (Rosita)\BANCOS\BANCO ESTADO\DICIEMBRE 2010.doc</t>
  </si>
  <si>
    <t>C:\Users\franc\OneDrive\Documentos\MALENTIN KARIME\BANCO CREDITO\FER LORCA en ROSITA (Rosita)\BANCOS\BANCHILE\Marco VILLARROEL LOPEZ, JUAN GUILLERMO  (La Serena).doc</t>
  </si>
  <si>
    <t>C:\Users\franc\OneDrive\Documentos\MALENTIN KARIME\BANCO CREDITO\FER LORCA en ROSITA (Rosita)\BANCOS\BANCHILE\Marco TAPIA HERRERA, GLORIA ALEJANDRA - LA SERENA(mpn)[1].doc</t>
  </si>
  <si>
    <t>C:\Users\franc\OneDrive\Documentos\MALENTIN KARIME\BANCO CREDITO\FER LORCA en ROSITA (Rosita)\BANCOS\BANCHILE\Marco COMERCIAL LAS TINAJAS LIMITADA La Serena MPN.doc</t>
  </si>
  <si>
    <t>C:\Users\franc\OneDrive\Documentos\MALENTIN KARIME\BANCO CREDITO\FER LORCA en ROSITA (Rosita)\BANCOS\BANCHILE\FACTORING COMERCIAL AROS PIZARRO LIMITADA -La Serena MPN.doc</t>
  </si>
  <si>
    <t>C:\Users\franc\OneDrive\Documentos\MALENTIN KARIME\BANCO CREDITO\FER LORCA en ROSITA (Rosita)\BANCOS\BANCHILE\FACT. ALEX BRICEÑO LORCA.doc</t>
  </si>
  <si>
    <t>C:\Users\franc\OneDrive\Documentos\MALENTIN KARIME\BANCO CREDITO\FER LORCA en ROSITA (Rosita)\BANCOS\BANCHILE\COMERCIAL LAS TINAJAS LIMITADA La Serena MPN (1).- ABRIL.doc</t>
  </si>
  <si>
    <t>C:\Users\franc\OneDrive\Documentos\MALENTIN KARIME\BANCO CREDITO\FER LORCA en ROSITA (Rosita)\BANCOS\MODELO   FORMULARIO  24.doc</t>
  </si>
  <si>
    <t>C:\Users\franc\OneDrive\Documentos\MALENTIN KARIME\BANCO CREDITO\FER LORCA en ROSITA (Rosita)\BANCOS\MODELO   FORMULARIO  24..doc</t>
  </si>
  <si>
    <t>C:\Users\franc\OneDrive\Documentos\MALENTIN KARIME\BANCO CREDITO\FER LORCA en ROSITA (Rosita)\BANCOS\MODELO   FORMULARIO  24. MUTUO CORPBANCA.doc</t>
  </si>
  <si>
    <t>C:\Users\franc\OneDrive\Documentos\MALENTIN KARIME\BANCO CREDITO\FER LORCA en ROSITA (Rosita)\BANCOS\MODELO   FORMULARIO  24. MUTUO CORPBANCA.- SALDO.doc</t>
  </si>
  <si>
    <t>C:\Users\franc\OneDrive\Documentos\MALENTIN KARIME\BANCO CREDITO\FER LORCA en ROSITA (Rosita)\AUTORIZACION VENTA\VERONICA MORALES A JORGE CASTELLON.doc</t>
  </si>
  <si>
    <t>C:\Users\franc\OneDrive\Documentos\MALENTIN KARIME\BANCO CREDITO\FER LORCA en ROSITA (Rosita)\AUTORIZACION VENTA\PEDRO HUERTA A IRMA TABILO.doc</t>
  </si>
  <si>
    <t>C:\Users\franc\OneDrive\Documentos\MALENTIN KARIME\BANCO CREDITO\FER LORCA en ROSITA (Rosita)\AUTORIZACION VENTA\MODELO.doc</t>
  </si>
  <si>
    <t>C:\Users\franc\OneDrive\Documentos\MALENTIN KARIME\BANCO CREDITO\FER LORCA en ROSITA (Rosita)\AUTORIZACION VENTA\MODELO.-.doc</t>
  </si>
  <si>
    <t>C:\Users\franc\OneDrive\Documentos\MALENTIN KARIME\BANCO CREDITO\FER LORCA en ROSITA (Rosita)\AUTORIZACION VENTA\modelo 2.doc</t>
  </si>
  <si>
    <t>C:\Users\franc\OneDrive\Documentos\MALENTIN KARIME\BANCO CREDITO\FER LORCA en ROSITA (Rosita)\AUTORIZACION VENTA\MARIO DUBO A YARELLA ROJAS.- OCTUBRE.doc</t>
  </si>
  <si>
    <t>C:\Users\franc\OneDrive\Documentos\MALENTIN KARIME\BANCO CREDITO\FER LORCA en ROSITA (Rosita)\AUTORIZACION VENTA\MARIA ARAYA A ISRAEL CEURA (VENTA CONYUGE).doc</t>
  </si>
  <si>
    <t>C:\Users\franc\OneDrive\Documentos\MALENTIN KARIME\BANCO CREDITO\FER LORCA en ROSITA (Rosita)\AUTORIZACION VENTA\mail.google.- ORLANDO DALBOSCO.doc</t>
  </si>
  <si>
    <t>C:\Users\franc\OneDrive\Documentos\MALENTIN KARIME\BANCO CREDITO\FER LORCA en ROSITA (Rosita)\AUTORIZACION VENTA\IGNACIO VILCHEZ A SILVIA CHANDIA.doc</t>
  </si>
  <si>
    <t>C:\Users\franc\OneDrive\Documentos\MALENTIN KARIME\BANCO CREDITO\FER LORCA en ROSITA (Rosita)\AUTORIZACION VENTA\HECTOR RIZ GARRIDO.-.doc</t>
  </si>
  <si>
    <t>C:\Users\franc\OneDrive\Documentos\MALENTIN KARIME\BANCO CREDITO\FER LORCA en ROSITA (Rosita)\AUTORIZACION VENTA\AUTO. VIAJE MENOR.-  EDUARDO CARVAJAL.doc</t>
  </si>
  <si>
    <t>C:\Users\franc\OneDrive\Documentos\MALENTIN KARIME\BANCO CREDITO\FER LORCA en ROSITA (Rosita)\ASICOM\RECTIFICATORIAS\rectificatoria%20Transacci%C3%B3n%20poblete%20rojas%2C%20juan[1].doc</t>
  </si>
  <si>
    <t>C:\Users\franc\OneDrive\Documentos\MALENTIN KARIME\BANCO CREDITO\FER LORCA en ROSITA (Rosita)\ASICOM\RECTIFICATORIAS\AGUAYO SARAVIA GLADYS DEL CARMEN[1].doc</t>
  </si>
  <si>
    <t>C:\Users\franc\OneDrive\Documentos\MALENTIN KARIME\BANCO CREDITO\FER LORCA en ROSITA (Rosita)\ASICOM\RECTIFICACION 2010\AGUAYO SARAVIA GLADYS DEL CARMEN.doc</t>
  </si>
  <si>
    <t>C:\Users\franc\OneDrive\Documentos\MALENTIN KARIME\BANCO CREDITO\FER LORCA en ROSITA (Rosita)\ASICOM\RECTIFICACION 2010\POBLETE ROJAS JUAN RAMON.doc</t>
  </si>
  <si>
    <t>C:\Users\franc\OneDrive\Documentos\MALENTIN KARIME\BANCO CREDITO\FER LORCA en ROSITA (Rosita)\ASICOM\RECTIFICACION 2010\RODRIGUEZ RODRIGUEZ SARITA.doc</t>
  </si>
  <si>
    <t>C:\Users\franc\OneDrive\Documentos\MALENTIN KARIME\BANCO CREDITO\FER LORCA en ROSITA (Rosita)\ASICOM\2009\SEPTIEMBRE\CERTIFICADOS\VICTORIA ALFARO FERREIRA.doc</t>
  </si>
  <si>
    <t>C:\Users\franc\OneDrive\Documentos\MALENTIN KARIME\BANCO CREDITO\FER LORCA en ROSITA (Rosita)\ASICOM\2009\SEPTIEMBRE\CERTIFICADOS\GABRIELA ASTORGA.doc</t>
  </si>
  <si>
    <t>C:\Users\franc\OneDrive\Documentos\MALENTIN KARIME\BANCO CREDITO\FER LORCA en ROSITA (Rosita)\ASICOM\2009\SEPTIEMBRE\CERTIFICADOS\ERCIRA ALFARO VILLALOBOS.doc</t>
  </si>
  <si>
    <t>C:\Users\franc\OneDrive\Documentos\MALENTIN KARIME\BANCO CREDITO\FER LORCA en ROSITA (Rosita)\ASICOM\2009\SEPTIEMBRE\CERTIFICADOS\ANDREA BOYD ROSENDE.doc</t>
  </si>
  <si>
    <t>C:\Users\franc\OneDrive\Documentos\MALENTIN KARIME\BANCO CREDITO\FER LORCA en ROSITA (Rosita)\ASICOM\2009\SEPTIEMBRE\CERTIFICADOS\ALEX RODRIGUEZ JOFRE.doc</t>
  </si>
  <si>
    <t>C:\Users\franc\OneDrive\Documentos\MALENTIN KARIME\BANCO CREDITO\FER LORCA en ROSITA (Rosita)\ASICOM\2009\OCTUBRE\CERTIFICADOS\PATRICIO ARAYA ARAYA.doc</t>
  </si>
  <si>
    <t>C:\Users\franc\OneDrive\Documentos\MALENTIN KARIME\BANCO CREDITO\FER LORCA en ROSITA (Rosita)\ASICOM\2009\OCTUBRE\CERTIFICADOS\PABLO LANAS VEGA.doc</t>
  </si>
  <si>
    <t>C:\Users\franc\OneDrive\Documentos\MALENTIN KARIME\BANCO CREDITO\FER LORCA en ROSITA (Rosita)\ASICOM\2009\OCTUBRE\CERTIFICADOS\MARIZA MOLINA.doc</t>
  </si>
  <si>
    <t>C:\Users\franc\OneDrive\Documentos\MALENTIN KARIME\BANCO CREDITO\FER LORCA en ROSITA (Rosita)\ASICOM\2009\OCTUBRE\CERTIFICADOS\LUIS MUÑOZ DIAZ.doc</t>
  </si>
  <si>
    <t>C:\Users\franc\OneDrive\Documentos\MALENTIN KARIME\BANCO CREDITO\FER LORCA en ROSITA (Rosita)\ASICOM\2009\OCTUBRE\CERTIFICADOS\JUAN CARLOS FARIA.doc</t>
  </si>
  <si>
    <t>C:\Users\franc\OneDrive\Documentos\MALENTIN KARIME\BANCO CREDITO\FER LORCA en ROSITA (Rosita)\ASICOM\2009\OCTUBRE\CERTIFICADOS\ISABEL ARAYA PEREIRA.doc</t>
  </si>
  <si>
    <t>C:\Users\franc\OneDrive\Documentos\MALENTIN KARIME\BANCO CREDITO\FER LORCA en ROSITA (Rosita)\ASICOM\2009\OCTUBRE\CERTIFICADOS\FRANCO PEREZ ZAMORA.doc</t>
  </si>
  <si>
    <t>C:\Users\franc\OneDrive\Documentos\MALENTIN KARIME\BANCO CREDITO\FER LORCA en ROSITA (Rosita)\ASICOM\2009\OCTUBRE\CERTIFICADOS\FELICIANO ENCINA ENCINAÇÇ.doc</t>
  </si>
  <si>
    <t>C:\Users\franc\OneDrive\Documentos\MALENTIN KARIME\BANCO CREDITO\FER LORCA en ROSITA (Rosita)\ASICOM\2009\OCTUBRE\CERTIFICADOS\ANA TAPIA ROJAS.doc</t>
  </si>
  <si>
    <t>C:\Users\franc\OneDrive\Documentos\MALENTIN KARIME\BANCO CREDITO\FER LORCA en ROSITA (Rosita)\ASICOM\2009\OCTUBRE\CERTIFICADOS\ADRIANA GALALRDO.doc</t>
  </si>
  <si>
    <t>C:\Users\franc\OneDrive\Documentos\MALENTIN KARIME\BANCO CREDITO\FER LORCA en ROSITA (Rosita)\ASICOM\2009\NOVIEMBRE\CERTIFICADOS\SONIA RAMIREZ CASTRO.doc</t>
  </si>
  <si>
    <t>C:\Users\franc\OneDrive\Documentos\MALENTIN KARIME\BANCO CREDITO\FER LORCA en ROSITA (Rosita)\ASICOM\2009\NOVIEMBRE\CERTIFICADOS\PATRICIA CORTES CORTES.doc</t>
  </si>
  <si>
    <t>C:\Users\franc\OneDrive\Documentos\MALENTIN KARIME\BANCO CREDITO\FER LORCA en ROSITA (Rosita)\ASICOM\2009\NOVIEMBRE\CERTIFICADOS\NAYARETT SALINAS ZEPEDA.doc</t>
  </si>
  <si>
    <t>C:\Users\franc\OneDrive\Documentos\MALENTIN KARIME\BANCO CREDITO\FER LORCA en ROSITA (Rosita)\ASICOM\2009\NOVIEMBRE\CERTIFICADOS\LEONEL TORO MADRID.doc</t>
  </si>
  <si>
    <t>C:\Users\franc\OneDrive\Documentos\MALENTIN KARIME\BANCO CREDITO\FER LORCA en ROSITA (Rosita)\ASICOM\2009\NOVIEMBRE\CERTIFICADOS\JUDITH LAYANA PIZARRO.doc</t>
  </si>
  <si>
    <t>C:\Users\franc\OneDrive\Documentos\MALENTIN KARIME\BANCO CREDITO\FER LORCA en ROSITA (Rosita)\ASICOM\2009\NOVIEMBRE\CERTIFICADOS\jacob ortiz rojas.doc</t>
  </si>
  <si>
    <t>C:\Users\franc\OneDrive\Documentos\MALENTIN KARIME\BANCO CREDITO\FER LORCA en ROSITA (Rosita)\ASICOM\2009\NOVIEMBRE\CERTIFICADOS\GLADYS AGUAYO.doc</t>
  </si>
  <si>
    <t>C:\Users\franc\OneDrive\Documentos\MALENTIN KARIME\BANCO CREDITO\FER LORCA en ROSITA (Rosita)\ASICOM\2009\NOVIEMBRE\CERTIFICADOS\EDUARDO JARA DIAZ.doc</t>
  </si>
  <si>
    <t>C:\Users\franc\OneDrive\Documentos\MALENTIN KARIME\BANCO CREDITO\FER LORCA en ROSITA (Rosita)\ASICOM\2009\NOVIEMBRE\CERTIFICADOS\CESAR PEDREROS.doc</t>
  </si>
  <si>
    <t>C:\Users\franc\OneDrive\Documentos\MALENTIN KARIME\BANCO CREDITO\FER LORCA en ROSITA (Rosita)\ASICOM\2009\JULIO\CERTIF. JULIO\WILSON MONTALBAN ALVARADO.doc</t>
  </si>
  <si>
    <t>C:\Users\franc\OneDrive\Documentos\MALENTIN KARIME\BANCO CREDITO\FER LORCA en ROSITA (Rosita)\ASICOM\2009\JULIO\CERTIF. JULIO\TERESA VILLALOBOS CORTES.doc</t>
  </si>
  <si>
    <t>C:\Users\franc\OneDrive\Documentos\MALENTIN KARIME\BANCO CREDITO\FER LORCA en ROSITA (Rosita)\ASICOM\2009\JULIO\CERTIF. JULIO\RICARDO RAMIREZ ROJO.doc</t>
  </si>
  <si>
    <t>C:\Users\franc\OneDrive\Documentos\MALENTIN KARIME\BANCO CREDITO\FER LORCA en ROSITA (Rosita)\ASICOM\2009\JULIO\CERTIF. JULIO\PERCY ORTIZ  HERRERA.doc</t>
  </si>
  <si>
    <t>C:\Users\franc\OneDrive\Documentos\MALENTIN KARIME\BANCO CREDITO\FER LORCA en ROSITA (Rosita)\ASICOM\2009\JULIO\CERTIF. JULIO\MARIO MORGADO CASTILLO.doc</t>
  </si>
  <si>
    <t>C:\Users\franc\OneDrive\Documentos\MALENTIN KARIME\BANCO CREDITO\FER LORCA en ROSITA (Rosita)\ASICOM\2009\JULIO\CERTIF. JULIO\MARIA ARAYA ARAYA.doc</t>
  </si>
  <si>
    <t>C:\Users\franc\OneDrive\Documentos\MALENTIN KARIME\BANCO CREDITO\FER LORCA en ROSITA (Rosita)\ASICOM\2009\JULIO\CERTIF. JULIO\JUAN POBLETE ROJAS.doc</t>
  </si>
  <si>
    <t>C:\Users\franc\OneDrive\Documentos\MALENTIN KARIME\BANCO CREDITO\FER LORCA en ROSITA (Rosita)\ASICOM\2009\JULIO\CERTIF. JULIO\JORGE ROJAS MALEBRAN.doc</t>
  </si>
  <si>
    <t>C:\Users\franc\OneDrive\Documentos\MALENTIN KARIME\BANCO CREDITO\FER LORCA en ROSITA (Rosita)\ASICOM\2009\JULIO\CERTIF. JULIO\JOHANA DIAZ VARAS.doc</t>
  </si>
  <si>
    <t>C:\Users\franc\OneDrive\Documentos\MALENTIN KARIME\BANCO CREDITO\FER LORCA en ROSITA (Rosita)\ASICOM\2009\JULIO\CERTIF. JULIO\JESSICA ROJAS CASTILLO.doc</t>
  </si>
  <si>
    <t>C:\Users\franc\OneDrive\Documentos\MALENTIN KARIME\BANCO CREDITO\FER LORCA en ROSITA (Rosita)\ASICOM\2009\JULIO\CERTIF. JULIO\GABRIEL TAPIA JOFRE.doc</t>
  </si>
  <si>
    <t>C:\Users\franc\OneDrive\Documentos\MALENTIN KARIME\BANCO CREDITO\FER LORCA en ROSITA (Rosita)\ASICOM\2009\JULIO\CERTIF. JULIO\GUSTAVO GONZALEZ GONZALEZ.- 29 JUL. SERGIO CORTES.doc</t>
  </si>
  <si>
    <t>C:\Users\franc\OneDrive\Documentos\MALENTIN KARIME\BANCO CREDITO\FER LORCA en ROSITA (Rosita)\ASICOM\2009\JULIO\CERTIF. JULIO\DENILDA ROJAS ABALOS.doc</t>
  </si>
  <si>
    <t>C:\Users\franc\OneDrive\Documentos\MALENTIN KARIME\BANCO CREDITO\FER LORCA en ROSITA (Rosita)\ASICOM\2009\JULIO\CERTIF. JULIO\CARMEN PASTENE PASTENE.doc</t>
  </si>
  <si>
    <t>C:\Users\franc\OneDrive\Documentos\MALENTIN KARIME\BANCO CREDITO\FER LORCA en ROSITA (Rosita)\ASICOM\2009\JULIO\CERTIF. JULIO\ANA SANTANDER ROJAS.doc</t>
  </si>
  <si>
    <t>C:\Users\franc\OneDrive\Documentos\MALENTIN KARIME\BANCO CREDITO\FER LORCA en ROSITA (Rosita)\ASICOM\2009\AGOSTO\CERTIFICADOS\RUBEN CARVAJAL.doc</t>
  </si>
  <si>
    <t>C:\Users\franc\OneDrive\Documentos\MALENTIN KARIME\BANCO CREDITO\FER LORCA en ROSITA (Rosita)\ASICOM\2009\AGOSTO\CERTIFICADOS\DOMINGO VILLALOBOS VILLALOBOS.doc</t>
  </si>
  <si>
    <t>C:\Users\franc\OneDrive\Documentos\MALENTIN KARIME\BANCO CREDITO\FER LORCA en ROSITA (Rosita)\ASICOM\2009\AGOSTO\CERTIFICADOS\CECILIA MARGARITA.doc</t>
  </si>
  <si>
    <t>C:\Users\franc\OneDrive\Documentos\MALENTIN KARIME\BANCO CREDITO\FER LORCA en ROSITA (Rosita)\ASICOM\2009\AGOSTO\CERTIFICADOS\CARLOS FLORES MOLINA.doc</t>
  </si>
  <si>
    <t>C:\Users\franc\OneDrive\Documentos\MALENTIN KARIME\BANCO CREDITO\FER LORCA en ROSITA (Rosita)\ASICOM\RODRIGUEZ RODRIGUEZ SARITA.doc</t>
  </si>
  <si>
    <t>C:\Users\franc\OneDrive\Documentos\MALENTIN KARIME\BANCO CREDITO\FER LORCA en ROSITA (Rosita)\ASICOM\FS.doc</t>
  </si>
  <si>
    <t>C:\Users\franc\OneDrive\Documentos\MALENTIN KARIME\BANCO CREDITO\FER LORCA en ROSITA (Rosita)\ASICOM\CERTIFICACION.doc</t>
  </si>
  <si>
    <t>C:\Users\franc\OneDrive\Documentos\MALENTIN KARIME\BANCO CREDITO\FER LORCA en ROSITA (Rosita)\ASICOM\CERTIFICACION.- 2010.doc</t>
  </si>
  <si>
    <t>C:\Users\franc\OneDrive\Documentos\MALENTIN KARIME\BANCO CREDITO\FER LORCA en ROSITA (Rosita)\ASICOM\CERTIFICACION ANVERSO.doc</t>
  </si>
  <si>
    <t>C:\Users\franc\OneDrive\Documentos\MALENTIN KARIME\BANCO CREDITO\FER LORCA en ROSITA (Rosita)\ASICOM\CERTIFICACION 1 otra fecha.doc</t>
  </si>
  <si>
    <t>C:\Users\franc\OneDrive\Documentos\MALENTIN KARIME\BANCO CREDITO\FER LORCA en ROSITA (Rosita)\ARRIENDOS\AGRICOLAS\ENRIQUE VALDIVIA A SOC. VALDIVIA.- SEPT. 2010.-.doc</t>
  </si>
  <si>
    <t>C:\Users\franc\OneDrive\Documentos\MALENTIN KARIME\BANCO CREDITO\FER LORCA en ROSITA (Rosita)\ARRIENDOS\AGROTRANS a CANTA RANA.doc</t>
  </si>
  <si>
    <t>C:\Users\franc\OneDrive\Documentos\MALENTIN KARIME\BANCO CREDITO\FER LORCA en ROSITA (Rosita)\ARRIENDO MINEROS\TERMINO ARRIENDO MINA PUNITAQUI.- ROMELIO HONORES. CONST. LIRCAY.doc</t>
  </si>
  <si>
    <t>C:\Users\franc\OneDrive\Documentos\MALENTIN KARIME\BANCO CREDITO\FER LORCA en ROSITA (Rosita)\ARRIENDO MINEROS\ROMELIO HONORES (LA FARELLON) a EMPRESA CONST. LIRCAY Y CIA. LTDA.-.doc</t>
  </si>
  <si>
    <t>C:\Users\franc\OneDrive\Documentos\MALENTIN KARIME\BANCO CREDITO\FER LORCA en ROSITA (Rosita)\ANA LUISA TODO\YO\cmhtf hfpc.doc</t>
  </si>
  <si>
    <t>C:\Users\franc\OneDrive\Documentos\MALENTIN KARIME\BANCO CREDITO\FER LORCA en ROSITA (Rosita)\ANA LUISA TODO\VTR\RICARDO RISI  TERMINO ARRIENDO.doc</t>
  </si>
  <si>
    <t>C:\Users\franc\OneDrive\Documentos\MALENTIN KARIME\BANCO CREDITO\FER LORCA en ROSITA (Rosita)\ANA LUISA TODO\VTR\DECLARACION.DOC</t>
  </si>
  <si>
    <t>C:\Users\franc\OneDrive\Documentos\MALENTIN KARIME\BANCO CREDITO\FER LORCA en ROSITA (Rosita)\ANA LUISA TODO\VTR\PODER ESPECIAL.doc</t>
  </si>
  <si>
    <t>C:\Users\franc\OneDrive\Documentos\MALENTIN KARIME\BANCO CREDITO\FER LORCA en ROSITA (Rosita)\ANA LUISA TODO\VIVACOP\SERGIO CANIHUANTE  PET.doc</t>
  </si>
  <si>
    <t>C:\Users\franc\OneDrive\Documentos\MALENTIN KARIME\BANCO CREDITO\FER LORCA en ROSITA (Rosita)\ANA LUISA TODO\VTR\ARRENDAMIENTO - COM. EL POTRERO.doc</t>
  </si>
  <si>
    <t>C:\Users\franc\OneDrive\Documentos\MALENTIN KARIME\BANCO CREDITO\FER LORCA en ROSITA (Rosita)\ANA LUISA TODO\VIVACOP\OSCAR CORTES CORTES.doc</t>
  </si>
  <si>
    <t>C:\Users\franc\OneDrive\Documentos\MALENTIN KARIME\BANCO CREDITO\FER LORCA en ROSITA (Rosita)\ANA LUISA TODO\VIVACOP\MARIA CONTRERAS VEGA.doc</t>
  </si>
  <si>
    <t>C:\Users\franc\OneDrive\Documentos\MALENTIN KARIME\BANCO CREDITO\FER LORCA en ROSITA (Rosita)\ANA LUISA TODO\VERONICA FALCONE - TRINIDAD EXPORT\Yolanda -Parc1.doc</t>
  </si>
  <si>
    <t>C:\Users\franc\OneDrive\Documentos\MALENTIN KARIME\BANCO CREDITO\FER LORCA en ROSITA (Rosita)\ANA LUISA TODO\VERONICA FALCONE - TRINIDAD EXPORT\Yolanda - Parc.doc</t>
  </si>
  <si>
    <t>C:\Users\franc\OneDrive\Documentos\MALENTIN KARIME\BANCO CREDITO\FER LORCA en ROSITA (Rosita)\ANA LUISA TODO\VERONICA FALCONE - TRINIDAD EXPORT\Victoria - Parc.dos.doc</t>
  </si>
  <si>
    <t>C:\Users\franc\OneDrive\Documentos\MALENTIN KARIME\BANCO CREDITO\FER LORCA en ROSITA (Rosita)\ANA LUISA TODO\VERONICA FALCONE - TRINIDAD EXPORT\Yolanda - Aguas Camarico.doc</t>
  </si>
  <si>
    <t>C:\Users\franc\OneDrive\Documentos\MALENTIN KARIME\BANCO CREDITO\FER LORCA en ROSITA (Rosita)\ANA LUISA TODO\VERONICA FALCONE - TRINIDAD EXPORT\SOC. RALIN LIMITADA.doc</t>
  </si>
  <si>
    <t>C:\Users\franc\OneDrive\Documentos\MALENTIN KARIME\BANCO CREDITO\FER LORCA en ROSITA (Rosita)\ANA LUISA TODO\VERONICA FALCONE - TRINIDAD EXPORT\San Jorge - Parc.doc</t>
  </si>
  <si>
    <t>C:\Users\franc\OneDrive\Documentos\MALENTIN KARIME\BANCO CREDITO\FER LORCA en ROSITA (Rosita)\ANA LUISA TODO\VERONICA FALCONE - TRINIDAD EXPORT\San Jorge - Reserva.doc</t>
  </si>
  <si>
    <t>C:\Users\franc\OneDrive\Documentos\MALENTIN KARIME\BANCO CREDITO\FER LORCA en ROSITA (Rosita)\ANA LUISA TODO\VERONICA FALCONE - TRINIDAD EXPORT\San Jorge - Aguas Cogot.doc</t>
  </si>
  <si>
    <t>C:\Users\franc\OneDrive\Documentos\MALENTIN KARIME\BANCO CREDITO\FER LORCA en ROSITA (Rosita)\ANA LUISA TODO\VERONICA FALCONE - TRINIDAD EXPORT\Ralín  extracto psd.doc</t>
  </si>
  <si>
    <t>C:\Users\franc\OneDrive\Documentos\MALENTIN KARIME\BANCO CREDITO\FER LORCA en ROSITA (Rosita)\ANA LUISA TODO\VERONICA FALCONE - TRINIDAD EXPORT\La Mireya - Parc.doc</t>
  </si>
  <si>
    <t>C:\Users\franc\OneDrive\Documentos\MALENTIN KARIME\BANCO CREDITO\FER LORCA en ROSITA (Rosita)\ANA LUISA TODO\VERONICA CERDA\RECTIFICACION.doc</t>
  </si>
  <si>
    <t>C:\Users\franc\OneDrive\Documentos\MALENTIN KARIME\BANCO CREDITO\FER LORCA en ROSITA (Rosita)\ANA LUISA TODO\VEHICULOS PRIVADOS\EDUARDO HERNANDEZ.doc</t>
  </si>
  <si>
    <t>C:\Users\franc\OneDrive\Documentos\MALENTIN KARIME\BANCO CREDITO\FER LORCA en ROSITA (Rosita)\ANA LUISA TODO\VERONICA CERDA\BERNARDO LEON PARTICION}.doc</t>
  </si>
  <si>
    <t>C:\Users\franc\OneDrive\Documentos\MALENTIN KARIME\BANCO CREDITO\FER LORCA en ROSITA (Rosita)\ANA LUISA TODO\VARIOS\VISITA OCULAR.doc</t>
  </si>
  <si>
    <t>C:\Users\franc\OneDrive\Documentos\MALENTIN KARIME\BANCO CREDITO\FER LORCA en ROSITA (Rosita)\ANA LUISA TODO\VARIOS\WILSON GONZALEZ A JUAN CODOCEO.- JULIO 2010.doc</t>
  </si>
  <si>
    <t>C:\Users\franc\OneDrive\Documentos\MALENTIN KARIME\BANCO CREDITO\FER LORCA en ROSITA (Rosita)\ANA LUISA TODO\VARIOS\venta nicho.doc</t>
  </si>
  <si>
    <t>C:\Users\franc\OneDrive\Documentos\MALENTIN KARIME\BANCO CREDITO\FER LORCA en ROSITA (Rosita)\ANA LUISA TODO\VARIOS\VEHICULO FUERA PAIS.doc</t>
  </si>
  <si>
    <t>C:\Users\franc\OneDrive\Documentos\MALENTIN KARIME\BANCO CREDITO\FER LORCA en ROSITA (Rosita)\ANA LUISA TODO\VARIOS\TIO LINO.doc</t>
  </si>
  <si>
    <t>C:\Users\franc\OneDrive\Documentos\MALENTIN KARIME\BANCO CREDITO\FER LORCA en ROSITA (Rosita)\ANA LUISA TODO\VARIOS\TERMINO ARRIENDOP.doc</t>
  </si>
  <si>
    <t>C:\Users\franc\OneDrive\Documentos\MALENTIN KARIME\BANCO CREDITO\FER LORCA en ROSITA (Rosita)\ANA LUISA TODO\VARIOS\testigo (firma).doc</t>
  </si>
  <si>
    <t>C:\Users\franc\OneDrive\Documentos\MALENTIN KARIME\BANCO CREDITO\FER LORCA en ROSITA (Rosita)\ANA LUISA TODO\VARIOS\TASACION SOBRE ALIMENTOS.doc</t>
  </si>
  <si>
    <t>C:\Users\franc\OneDrive\Documentos\MALENTIN KARIME\BANCO CREDITO\FER LORCA en ROSITA (Rosita)\ANA LUISA TODO\VARIOS\SUC. JUAN BAUTISTA (CONTROL PISQUERO).doc</t>
  </si>
  <si>
    <t>C:\Users\franc\OneDrive\Documentos\MALENTIN KARIME\BANCO CREDITO\FER LORCA en ROSITA (Rosita)\ANA LUISA TODO\VARIOS\SUBARRIENDO MIGUEL TAPIA.doc</t>
  </si>
  <si>
    <t>C:\Users\franc\OneDrive\Documentos\MALENTIN KARIME\BANCO CREDITO\FER LORCA en ROSITA (Rosita)\ANA LUISA TODO\VARIOS\SOLICITUD ALZAMIENTO PROH. SERVIU.doc</t>
  </si>
  <si>
    <t>C:\Users\franc\OneDrive\Documentos\MALENTIN KARIME\BANCO CREDITO\FER LORCA en ROSITA (Rosita)\ANA LUISA TODO\VARIOS\SOCIEDAD DE HECHO.doc</t>
  </si>
  <si>
    <t>C:\Users\franc\OneDrive\Documentos\MALENTIN KARIME\BANCO CREDITO\FER LORCA en ROSITA (Rosita)\ANA LUISA TODO\VARIOS\SOCIEDAD DE HECHO Cyntia.doc</t>
  </si>
  <si>
    <t>C:\Users\franc\OneDrive\Documentos\MALENTIN KARIME\BANCO CREDITO\FER LORCA en ROSITA (Rosita)\ANA LUISA TODO\VARIOS\SOC. LA GREDA A INVERS. BOSMAN.doc</t>
  </si>
  <si>
    <t>C:\Users\franc\OneDrive\Documentos\MALENTIN KARIME\BANCO CREDITO\FER LORCA en ROSITA (Rosita)\ANA LUISA TODO\VARIOS\SOBRE.doc</t>
  </si>
  <si>
    <t>C:\Users\franc\OneDrive\Documentos\MALENTIN KARIME\BANCO CREDITO\FER LORCA en ROSITA (Rosita)\ANA LUISA TODO\VARIOS\SLM GRICELL A VICTOR VERGARA.doc</t>
  </si>
  <si>
    <t>C:\Users\franc\OneDrive\Documentos\MALENTIN KARIME\BANCO CREDITO\FER LORCA en ROSITA (Rosita)\ANA LUISA TODO\VARIOS\SEPARACION BIENES.doc</t>
  </si>
  <si>
    <t>C:\Users\franc\OneDrive\Documentos\MALENTIN KARIME\BANCO CREDITO\FER LORCA en ROSITA (Rosita)\ANA LUISA TODO\VARIOS\RESUMEN LIBRO.doc</t>
  </si>
  <si>
    <t>C:\Users\franc\OneDrive\Documentos\MALENTIN KARIME\BANCO CREDITO\FER LORCA en ROSITA (Rosita)\ANA LUISA TODO\VARIOS\RESCILIACION CONTRATO DE ARRENDQMIENOT.doc</t>
  </si>
  <si>
    <t>C:\Users\franc\OneDrive\Documentos\MALENTIN KARIME\BANCO CREDITO\FER LORCA en ROSITA (Rosita)\ANA LUISA TODO\VARIOS\RECIBO JANI.doc</t>
  </si>
  <si>
    <t>C:\Users\franc\OneDrive\Documentos\MALENTIN KARIME\BANCO CREDITO\FER LORCA en ROSITA (Rosita)\ANA LUISA TODO\VARIOS\RECIBO INSTRUCCIONES.doc</t>
  </si>
  <si>
    <t>C:\Users\franc\OneDrive\Documentos\MALENTIN KARIME\BANCO CREDITO\FER LORCA en ROSITA (Rosita)\ANA LUISA TODO\VARIOS\RECIBO DE DINERO.doc</t>
  </si>
  <si>
    <t>C:\Users\franc\OneDrive\Documentos\MALENTIN KARIME\BANCO CREDITO\FER LORCA en ROSITA (Rosita)\ANA LUISA TODO\VARIOS\RECIBO DE DINERO ANDRES SUAREZ.doc</t>
  </si>
  <si>
    <t>C:\Users\franc\OneDrive\Documentos\MALENTIN KARIME\BANCO CREDITO\FER LORCA en ROSITA (Rosita)\ANA LUISA TODO\VARIOS\RECIBO DE ARRIENDO.doc</t>
  </si>
  <si>
    <t>C:\Users\franc\OneDrive\Documentos\MALENTIN KARIME\BANCO CREDITO\FER LORCA en ROSITA (Rosita)\ANA LUISA TODO\VARIOS\RALIN.doc</t>
  </si>
  <si>
    <t>C:\Users\franc\OneDrive\Documentos\MALENTIN KARIME\BANCO CREDITO\FER LORCA en ROSITA (Rosita)\ANA LUISA TODO\VARIOS\PROTOCOLIZADO AUTORIZACION.doc</t>
  </si>
  <si>
    <t>C:\Users\franc\OneDrive\Documentos\MALENTIN KARIME\BANCO CREDITO\FER LORCA en ROSITA (Rosita)\ANA LUISA TODO\VARIOS\PROTOCOLIZADO AUTORIZACION (LEGAJO.doc</t>
  </si>
  <si>
    <t>C:\Users\franc\OneDrive\Documentos\MALENTIN KARIME\BANCO CREDITO\FER LORCA en ROSITA (Rosita)\ANA LUISA TODO\VARIOS\PODER SIMPLE.doc</t>
  </si>
  <si>
    <t>C:\Users\franc\OneDrive\Documentos\MALENTIN KARIME\BANCO CREDITO\FER LORCA en ROSITA (Rosita)\ANA LUISA TODO\VARIOS\PODER SII PATRICIO PINTO Y OTROS.doc</t>
  </si>
  <si>
    <t>C:\Users\franc\OneDrive\Documentos\MALENTIN KARIME\BANCO CREDITO\FER LORCA en ROSITA (Rosita)\ANA LUISA TODO\VARIOS\PODER SIMPLE Y AUTORIZACION.doc</t>
  </si>
  <si>
    <t>C:\Users\franc\OneDrive\Documentos\MALENTIN KARIME\BANCO CREDITO\FER LORCA en ROSITA (Rosita)\ANA LUISA TODO\VARIOS\PODER SII carmen gloria pinto.doc</t>
  </si>
  <si>
    <t>C:\Users\franc\OneDrive\Documentos\MALENTIN KARIME\BANCO CREDITO\FER LORCA en ROSITA (Rosita)\ANA LUISA TODO\VARIOS\PODER MARIO ARACENA.doc</t>
  </si>
  <si>
    <t>C:\Users\franc\OneDrive\Documentos\MALENTIN KARIME\BANCO CREDITO\FER LORCA en ROSITA (Rosita)\ANA LUISA TODO\VARIOS\PODER MINAS.doc</t>
  </si>
  <si>
    <t>C:\Users\franc\OneDrive\Documentos\MALENTIN KARIME\BANCO CREDITO\FER LORCA en ROSITA (Rosita)\ANA LUISA TODO\VARIOS\PODER  VENTA DE VEHICULO Cyntia.doc</t>
  </si>
  <si>
    <t>C:\Users\franc\OneDrive\Documentos\MALENTIN KARIME\BANCO CREDITO\FER LORCA en ROSITA (Rosita)\ANA LUISA TODO\VARIOS\PERSONERIA BANCO SANTANDER.doc</t>
  </si>
  <si>
    <t>C:\Users\franc\OneDrive\Documentos\MALENTIN KARIME\BANCO CREDITO\FER LORCA en ROSITA (Rosita)\ANA LUISA TODO\VARIOS\PERSONERIA BANCO CHILE.doc</t>
  </si>
  <si>
    <t>C:\Users\franc\OneDrive\Documentos\MALENTIN KARIME\BANCO CREDITO\FER LORCA en ROSITA (Rosita)\ANA LUISA TODO\VARIOS\PATRICIO PINTO SOLO.doc</t>
  </si>
  <si>
    <t>C:\Users\franc\OneDrive\Documentos\MALENTIN KARIME\BANCO CREDITO\FER LORCA en ROSITA (Rosita)\ANA LUISA TODO\VARIOS\PATRICIO PINTO AUTORIZACION.doc</t>
  </si>
  <si>
    <t>C:\Users\franc\OneDrive\Documentos\MALENTIN KARIME\BANCO CREDITO\FER LORCA en ROSITA (Rosita)\ANA LUISA TODO\VARIOS\PAGARE TIO LINO.doc</t>
  </si>
  <si>
    <t>C:\Users\franc\OneDrive\Documentos\MALENTIN KARIME\BANCO CREDITO\FER LORCA en ROSITA (Rosita)\ANA LUISA TODO\VARIOS\PAGO IMPUESTO MARUBENI.doc</t>
  </si>
  <si>
    <t>C:\Users\franc\OneDrive\Documentos\MALENTIN KARIME\BANCO CREDITO\FER LORCA en ROSITA (Rosita)\ANA LUISA TODO\VARIOS\PAGARE ROXANA LARRONDO.doc</t>
  </si>
  <si>
    <t>C:\Users\franc\OneDrive\Documentos\MALENTIN KARIME\BANCO CREDITO\FER LORCA en ROSITA (Rosita)\ANA LUISA TODO\VARIOS\PAGare modelo.doc</t>
  </si>
  <si>
    <t>C:\Users\franc\OneDrive\Documentos\MALENTIN KARIME\BANCO CREDITO\FER LORCA en ROSITA (Rosita)\ANA LUISA TODO\VARIOS\PAGARE A PLAZO.doc</t>
  </si>
  <si>
    <t>C:\Users\franc\OneDrive\Documentos\MALENTIN KARIME\BANCO CREDITO\FER LORCA en ROSITA (Rosita)\ANA LUISA TODO\VARIOS\PAGARE A LA VISTA.doc</t>
  </si>
  <si>
    <t>C:\Users\franc\OneDrive\Documentos\MALENTIN KARIME\BANCO CREDITO\FER LORCA en ROSITA (Rosita)\ANA LUISA TODO\VARIOS\notificacion.doc</t>
  </si>
  <si>
    <t>C:\Users\franc\OneDrive\Documentos\MALENTIN KARIME\BANCO CREDITO\FER LORCA en ROSITA (Rosita)\ANA LUISA TODO\VARIOS\notificacion LOGROS.doc</t>
  </si>
  <si>
    <t>C:\Users\franc\OneDrive\Documentos\MALENTIN KARIME\BANCO CREDITO\FER LORCA en ROSITA (Rosita)\ANA LUISA TODO\VARIOS\notificacion 2.doc</t>
  </si>
  <si>
    <t>C:\Users\franc\OneDrive\Documentos\MALENTIN KARIME\BANCO CREDITO\FER LORCA en ROSITA (Rosita)\ANA LUISA TODO\VARIOS\nota al margen.doc</t>
  </si>
  <si>
    <t>C:\Users\franc\OneDrive\Documentos\MALENTIN KARIME\BANCO CREDITO\FER LORCA en ROSITA (Rosita)\ANA LUISA TODO\VARIOS\nota al margen RATIFICACION.doc</t>
  </si>
  <si>
    <t>C:\Users\franc\OneDrive\Documentos\MALENTIN KARIME\BANCO CREDITO\FER LORCA en ROSITA (Rosita)\ANA LUISA TODO\VARIOS\nota al margen 1.doc</t>
  </si>
  <si>
    <t>C:\Users\franc\OneDrive\Documentos\MALENTIN KARIME\BANCO CREDITO\FER LORCA en ROSITA (Rosita)\ANA LUISA TODO\VARIOS\nota al margen impuesto vehiculo.doc</t>
  </si>
  <si>
    <t>C:\Users\franc\OneDrive\Documentos\MALENTIN KARIME\BANCO CREDITO\FER LORCA en ROSITA (Rosita)\ANA LUISA TODO\VARIOS\MODELO  FORMULARIO 24 MUTUO A LA VISTA.doc</t>
  </si>
  <si>
    <t>C:\Users\franc\OneDrive\Documentos\MALENTIN KARIME\BANCO CREDITO\FER LORCA en ROSITA (Rosita)\ANA LUISA TODO\VARIOS\MODELO   FORMULARIO  24.doc</t>
  </si>
  <si>
    <t>C:\Users\franc\OneDrive\Documentos\MALENTIN KARIME\BANCO CREDITO\FER LORCA en ROSITA (Rosita)\ANA LUISA TODO\VARIOS\MODELO   FORMULARIO  24 NORA.doc</t>
  </si>
  <si>
    <t>C:\Users\franc\OneDrive\Documentos\MALENTIN KARIME\BANCO CREDITO\FER LORCA en ROSITA (Rosita)\ANA LUISA TODO\VARIOS\MODELO   FORMULARIO  24 MAURICIO.doc</t>
  </si>
  <si>
    <t>C:\Users\franc\OneDrive\Documentos\MALENTIN KARIME\BANCO CREDITO\FER LORCA en ROSITA (Rosita)\ANA LUISA TODO\VARIOS\MODELO   FORMULARIO  24  TRES.doc</t>
  </si>
  <si>
    <t>C:\Users\franc\OneDrive\Documentos\MALENTIN KARIME\BANCO CREDITO\FER LORCA en ROSITA (Rosita)\ANA LUISA TODO\VARIOS\MODELO   FORMULARIO  24  DOS.doc</t>
  </si>
  <si>
    <t>C:\Users\franc\OneDrive\Documentos\MALENTIN KARIME\BANCO CREDITO\FER LORCA en ROSITA (Rosita)\ANA LUISA TODO\VARIOS\MIRIAM VILLALOBOS (DEC).doc</t>
  </si>
  <si>
    <t>C:\Users\franc\OneDrive\Documentos\MALENTIN KARIME\BANCO CREDITO\FER LORCA en ROSITA (Rosita)\ANA LUISA TODO\VARIOS\Minuta Eliana Gomez Conservador Bienes Raíces.doc</t>
  </si>
  <si>
    <t>C:\Users\franc\OneDrive\Documentos\MALENTIN KARIME\BANCO CREDITO\FER LORCA en ROSITA (Rosita)\ANA LUISA TODO\VARIOS\minuta al conservador.doc</t>
  </si>
  <si>
    <t>C:\Users\franc\OneDrive\Documentos\MALENTIN KARIME\BANCO CREDITO\FER LORCA en ROSITA (Rosita)\ANA LUISA TODO\VARIOS\minuta al conservador PEDRO BARRIOS.doc</t>
  </si>
  <si>
    <t>C:\Users\franc\OneDrive\Documentos\MALENTIN KARIME\BANCO CREDITO\FER LORCA en ROSITA (Rosita)\ANA LUISA TODO\VARIOS\minuta al conservador VERANEO PACIFICO.doc</t>
  </si>
  <si>
    <t>C:\Users\franc\OneDrive\Documentos\MALENTIN KARIME\BANCO CREDITO\FER LORCA en ROSITA (Rosita)\ANA LUISA TODO\VARIOS\minuta al conservador ELDA ORTIZ PARDIÑA.doc</t>
  </si>
  <si>
    <t>C:\Users\franc\OneDrive\Documentos\MALENTIN KARIME\BANCO CREDITO\FER LORCA en ROSITA (Rosita)\ANA LUISA TODO\VARIOS\minuta al conservador AGRICOLA ALIRO PINTO.doc</t>
  </si>
  <si>
    <t>C:\Users\franc\OneDrive\Documentos\MALENTIN KARIME\BANCO CREDITO\FER LORCA en ROSITA (Rosita)\ANA LUISA TODO\VARIOS\MIGUEL TAPIA Y OTROS A JOSE M TELLO (RESCILIACION.doc</t>
  </si>
  <si>
    <t>C:\Users\franc\OneDrive\Documentos\MALENTIN KARIME\BANCO CREDITO\FER LORCA en ROSITA (Rosita)\ANA LUISA TODO\VARIOS\MIGUEL SALINAS A WILSON SALINAS (ARRIENDO MINAS).doc</t>
  </si>
  <si>
    <t>C:\Users\franc\OneDrive\Documentos\MALENTIN KARIME\BANCO CREDITO\FER LORCA en ROSITA (Rosita)\ANA LUISA TODO\VARIOS\MERCEDES PIZARRO A LUIS MUNDACA (CONTROL).doc</t>
  </si>
  <si>
    <t>C:\Users\franc\OneDrive\Documentos\MALENTIN KARIME\BANCO CREDITO\FER LORCA en ROSITA (Rosita)\ANA LUISA TODO\VARIOS\MARLENE PIZARRO A AMIGO.doc</t>
  </si>
  <si>
    <t>C:\Users\franc\OneDrive\Documentos\MALENTIN KARIME\BANCO CREDITO\FER LORCA en ROSITA (Rosita)\ANA LUISA TODO\VARIOS\MARIO RAMIREZ A JUAN CONTRATO OBRA.doc</t>
  </si>
  <si>
    <t>C:\Users\franc\OneDrive\Documentos\MALENTIN KARIME\BANCO CREDITO\FER LORCA en ROSITA (Rosita)\ANA LUISA TODO\VARIOS\MARIO RAMIREZ A JUAN BARRAZA.doc</t>
  </si>
  <si>
    <t>C:\Users\franc\OneDrive\Documentos\MALENTIN KARIME\BANCO CREDITO\FER LORCA en ROSITA (Rosita)\ANA LUISA TODO\VARIOS\maria barraza.doc</t>
  </si>
  <si>
    <t>C:\Users\franc\OneDrive\Documentos\MALENTIN KARIME\BANCO CREDITO\FER LORCA en ROSITA (Rosita)\ANA LUISA TODO\VARIOS\MANUEL POZO.doc</t>
  </si>
  <si>
    <t>C:\Users\franc\OneDrive\Documentos\MALENTIN KARIME\BANCO CREDITO\FER LORCA en ROSITA (Rosita)\ANA LUISA TODO\VARIOS\LUIS ARAYA A JUAN BARRAZA.- NOVIEMBRE 2010.doc</t>
  </si>
  <si>
    <t>C:\Users\franc\OneDrive\Documentos\MALENTIN KARIME\BANCO CREDITO\FER LORCA en ROSITA (Rosita)\ANA LUISA TODO\VARIOS\LEY 19840 BCO ESTADO.doc</t>
  </si>
  <si>
    <t>C:\Users\franc\OneDrive\Documentos\MALENTIN KARIME\BANCO CREDITO\FER LORCA en ROSITA (Rosita)\ANA LUISA TODO\VARIOS\LIMARI TRADING S.A. SII.doc</t>
  </si>
  <si>
    <t>C:\Users\franc\OneDrive\Documentos\MALENTIN KARIME\BANCO CREDITO\FER LORCA en ROSITA (Rosita)\ANA LUISA TODO\VARIOS\JORGE QUIROZ AUT. SII.doc</t>
  </si>
  <si>
    <t>C:\Users\franc\OneDrive\Documentos\MALENTIN KARIME\BANCO CREDITO\FER LORCA en ROSITA (Rosita)\ANA LUISA TODO\VARIOS\JORGE ARACENA.doc</t>
  </si>
  <si>
    <t>C:\Users\franc\OneDrive\Documentos\MALENTIN KARIME\BANCO CREDITO\FER LORCA en ROSITA (Rosita)\ANA LUISA TODO\VARIOS\JORGE ARACENA  A LUIS CORTES (COPPELIA UNO).doc</t>
  </si>
  <si>
    <t>C:\Users\franc\OneDrive\Documentos\MALENTIN KARIME\BANCO CREDITO\FER LORCA en ROSITA (Rosita)\ANA LUISA TODO\VARIOS\ISABEL ALDUNATE.doc</t>
  </si>
  <si>
    <t>C:\Users\franc\OneDrive\Documentos\MALENTIN KARIME\BANCO CREDITO\FER LORCA en ROSITA (Rosita)\ANA LUISA TODO\VARIOS\IMPUESTO VEHICULO FINAL.doc</t>
  </si>
  <si>
    <t>C:\Users\franc\OneDrive\Documentos\MALENTIN KARIME\BANCO CREDITO\FER LORCA en ROSITA (Rosita)\ANA LUISA TODO\VARIOS\HUGO VALDIVIA.doc</t>
  </si>
  <si>
    <t>C:\Users\franc\OneDrive\Documentos\MALENTIN KARIME\BANCO CREDITO\FER LORCA en ROSITA (Rosita)\ANA LUISA TODO\VARIOS\impuesto margen izq.doc</t>
  </si>
  <si>
    <t>C:\Users\franc\OneDrive\Documentos\MALENTIN KARIME\BANCO CREDITO\FER LORCA en ROSITA (Rosita)\ANA LUISA TODO\VARIOS\HOTELERA PLAZA TURISMO -  SII.doc</t>
  </si>
  <si>
    <t>C:\Users\franc\OneDrive\Documentos\MALENTIN KARIME\BANCO CREDITO\FER LORCA en ROSITA (Rosita)\ANA LUISA TODO\VARIOS\HOTELERA AMERICAN  -  SII.doc</t>
  </si>
  <si>
    <t>C:\Users\franc\OneDrive\Documentos\MALENTIN KARIME\BANCO CREDITO\FER LORCA en ROSITA (Rosita)\ANA LUISA TODO\VARIOS\HOJA BANCO CORPBANCA.doc</t>
  </si>
  <si>
    <t>C:\Users\franc\OneDrive\Documentos\MALENTIN KARIME\BANCO CREDITO\FER LORCA en ROSITA (Rosita)\ANA LUISA TODO\VARIOS\HOJA INSCRIPCIONES.doc</t>
  </si>
  <si>
    <t>C:\Users\franc\OneDrive\Documentos\MALENTIN KARIME\BANCO CREDITO\FER LORCA en ROSITA (Rosita)\ANA LUISA TODO\VARIOS\HIPOLITO JOPIA.doc</t>
  </si>
  <si>
    <t>C:\Users\franc\OneDrive\Documentos\MALENTIN KARIME\BANCO CREDITO\FER LORCA en ROSITA (Rosita)\ANA LUISA TODO\VARIOS\GASTOS HERNAN.doc</t>
  </si>
  <si>
    <t>C:\Users\franc\OneDrive\Documentos\MALENTIN KARIME\BANCO CREDITO\FER LORCA en ROSITA (Rosita)\ANA LUISA TODO\VARIOS\GABRIEL MORENO.doc</t>
  </si>
  <si>
    <t>C:\Users\franc\OneDrive\Documentos\MALENTIN KARIME\BANCO CREDITO\FER LORCA en ROSITA (Rosita)\ANA LUISA TODO\VARIOS\fotos.doc</t>
  </si>
  <si>
    <t>C:\Users\franc\OneDrive\Documentos\MALENTIN KARIME\BANCO CREDITO\FER LORCA en ROSITA (Rosita)\ANA LUISA TODO\VARIOS\GABRIEL MORENO DOS.doc</t>
  </si>
  <si>
    <t>C:\Users\franc\OneDrive\Documentos\MALENTIN KARIME\BANCO CREDITO\FER LORCA en ROSITA (Rosita)\ANA LUISA TODO\VARIOS\FIRMAS RENE MARIN.doc</t>
  </si>
  <si>
    <t>C:\Users\franc\OneDrive\Documentos\MALENTIN KARIME\BANCO CREDITO\FER LORCA en ROSITA (Rosita)\ANA LUISA TODO\VARIOS\Formulario para Testamentos[1].doc</t>
  </si>
  <si>
    <t>C:\Users\franc\OneDrive\Documentos\MALENTIN KARIME\BANCO CREDITO\FER LORCA en ROSITA (Rosita)\ANA LUISA TODO\VARIOS\FIRMAS MARIA GODOY (MUNI) Y CONTRATISTA.doc</t>
  </si>
  <si>
    <t>C:\Users\franc\OneDrive\Documentos\MALENTIN KARIME\BANCO CREDITO\FER LORCA en ROSITA (Rosita)\ANA LUISA TODO\VARIOS\FIRMAS E IMPUESTO.doc</t>
  </si>
  <si>
    <t>C:\Users\franc\OneDrive\Documentos\MALENTIN KARIME\BANCO CREDITO\FER LORCA en ROSITA (Rosita)\ANA LUISA TODO\VARIOS\FINIQUITO COMPLETO.doc</t>
  </si>
  <si>
    <t>C:\Users\franc\OneDrive\Documentos\MALENTIN KARIME\BANCO CREDITO\FER LORCA en ROSITA (Rosita)\ANA LUISA TODO\VARIOS\FCO. SAAVEDRA CARTA.doc</t>
  </si>
  <si>
    <t>C:\Users\franc\OneDrive\Documentos\MALENTIN KARIME\BANCO CREDITO\FER LORCA en ROSITA (Rosita)\ANA LUISA TODO\VARIOS\ESCORIA.doc</t>
  </si>
  <si>
    <t>C:\Users\franc\OneDrive\Documentos\MALENTIN KARIME\BANCO CREDITO\FER LORCA en ROSITA (Rosita)\ANA LUISA TODO\VARIOS\ENTREGA CHEQUES INSTRUCCIONES.doc</t>
  </si>
  <si>
    <t>C:\Users\franc\OneDrive\Documentos\MALENTIN KARIME\BANCO CREDITO\FER LORCA en ROSITA (Rosita)\ANA LUISA TODO\VARIOS\ENAMI.doc</t>
  </si>
  <si>
    <t>C:\Users\franc\OneDrive\Documentos\MALENTIN KARIME\BANCO CREDITO\FER LORCA en ROSITA (Rosita)\ANA LUISA TODO\VARIOS\El Notario que suscribe.doc</t>
  </si>
  <si>
    <t>C:\Users\franc\OneDrive\Documentos\MALENTIN KARIME\BANCO CREDITO\FER LORCA en ROSITA (Rosita)\ANA LUISA TODO\VARIOS\EDGARDO SAUD SII.doc</t>
  </si>
  <si>
    <t>C:\Users\franc\OneDrive\Documentos\MALENTIN KARIME\BANCO CREDITO\FER LORCA en ROSITA (Rosita)\ANA LUISA TODO\VARIOS\DORA VILLAR A SOC. XENIT NOV. 2007.doc</t>
  </si>
  <si>
    <t>C:\Users\franc\OneDrive\Documentos\MALENTIN KARIME\BANCO CREDITO\FER LORCA en ROSITA (Rosita)\ANA LUISA TODO\VARIOS\DORA VILLAR.doc</t>
  </si>
  <si>
    <t>C:\Users\franc\OneDrive\Documentos\MALENTIN KARIME\BANCO CREDITO\FER LORCA en ROSITA (Rosita)\ANA LUISA TODO\VARIOS\DORA VILLAR A PEDRO FIGUEROA.doc</t>
  </si>
  <si>
    <t>C:\Users\franc\OneDrive\Documentos\MALENTIN KARIME\BANCO CREDITO\FER LORCA en ROSITA (Rosita)\ANA LUISA TODO\VARIOS\DORA VILLAR A ARNOLDO GONZALEZ.doc</t>
  </si>
  <si>
    <t>C:\Users\franc\OneDrive\Documentos\MALENTIN KARIME\BANCO CREDITO\FER LORCA en ROSITA (Rosita)\ANA LUISA TODO\VARIOS\DORA VILLA A XENIT.doc</t>
  </si>
  <si>
    <t>C:\Users\franc\OneDrive\Documentos\MALENTIN KARIME\BANCO CREDITO\FER LORCA en ROSITA (Rosita)\ANA LUISA TODO\VARIOS\Doc1.doc</t>
  </si>
  <si>
    <t>C:\Users\franc\OneDrive\Documentos\MALENTIN KARIME\BANCO CREDITO\FER LORCA en ROSITA (Rosita)\ANA LUISA TODO\VARIOS\DECLARACION NO PARENTESCO.doc</t>
  </si>
  <si>
    <t>C:\Users\franc\OneDrive\Documentos\MALENTIN KARIME\BANCO CREDITO\FER LORCA en ROSITA (Rosita)\ANA LUISA TODO\VARIOS\DECLARACION DE REPUDIO.doc</t>
  </si>
  <si>
    <t>C:\Users\franc\OneDrive\Documentos\MALENTIN KARIME\BANCO CREDITO\FER LORCA en ROSITA (Rosita)\ANA LUISA TODO\VARIOS\DECLARACION art. 260.doc</t>
  </si>
  <si>
    <t>C:\Users\franc\OneDrive\Documentos\MALENTIN KARIME\BANCO CREDITO\FER LORCA en ROSITA (Rosita)\ANA LUISA TODO\VARIOS\DECLARA SERVIU.doc</t>
  </si>
  <si>
    <t>C:\Users\franc\OneDrive\Documentos\MALENTIN KARIME\BANCO CREDITO\FER LORCA en ROSITA (Rosita)\ANA LUISA TODO\VARIOS\DECLARA PRIVADA.doc</t>
  </si>
  <si>
    <t>C:\Users\franc\OneDrive\Documentos\MALENTIN KARIME\BANCO CREDITO\FER LORCA en ROSITA (Rosita)\ANA LUISA TODO\VARIOS\DECLARA JUAN CARLOS COMUNIDAD ALCONES.doc</t>
  </si>
  <si>
    <t>C:\Users\franc\OneDrive\Documentos\MALENTIN KARIME\BANCO CREDITO\FER LORCA en ROSITA (Rosita)\ANA LUISA TODO\VARIOS\DECLARA IVAN (MARIA).doc</t>
  </si>
  <si>
    <t>C:\Users\franc\OneDrive\Documentos\MALENTIN KARIME\BANCO CREDITO\FER LORCA en ROSITA (Rosita)\ANA LUISA TODO\VARIOS\DECLARA JUAN  (JAVIERA).doc</t>
  </si>
  <si>
    <t>C:\Users\franc\OneDrive\Documentos\MALENTIN KARIME\BANCO CREDITO\FER LORCA en ROSITA (Rosita)\ANA LUISA TODO\VARIOS\DECLARA 4.doc</t>
  </si>
  <si>
    <t>C:\Users\franc\OneDrive\Documentos\MALENTIN KARIME\BANCO CREDITO\FER LORCA en ROSITA (Rosita)\ANA LUISA TODO\VARIOS\DEC SERVIU.doc</t>
  </si>
  <si>
    <t>C:\Users\franc\OneDrive\Documentos\MALENTIN KARIME\BANCO CREDITO\FER LORCA en ROSITA (Rosita)\ANA LUISA TODO\VARIOS\DEC SERVIU  MAURICIO MARIN.doc</t>
  </si>
  <si>
    <t>C:\Users\franc\OneDrive\Documentos\MALENTIN KARIME\BANCO CREDITO\FER LORCA en ROSITA (Rosita)\ANA LUISA TODO\VARIOS\CURRI.doc</t>
  </si>
  <si>
    <t>C:\Users\franc\OneDrive\Documentos\MALENTIN KARIME\BANCO CREDITO\FER LORCA en ROSITA (Rosita)\ANA LUISA TODO\VARIOS\CURRI mio.doc</t>
  </si>
  <si>
    <t>C:\Users\franc\OneDrive\Documentos\MALENTIN KARIME\BANCO CREDITO\FER LORCA en ROSITA (Rosita)\ANA LUISA TODO\VARIOS\CURRI mario.doc</t>
  </si>
  <si>
    <t>C:\Users\franc\OneDrive\Documentos\MALENTIN KARIME\BANCO CREDITO\FER LORCA en ROSITA (Rosita)\ANA LUISA TODO\VARIOS\CURRI JUAN.doc</t>
  </si>
  <si>
    <t>C:\Users\franc\OneDrive\Documentos\MALENTIN KARIME\BANCO CREDITO\FER LORCA en ROSITA (Rosita)\ANA LUISA TODO\VARIOS\CURRI ELLY.doc</t>
  </si>
  <si>
    <t>C:\Users\franc\OneDrive\Documentos\MALENTIN KARIME\BANCO CREDITO\FER LORCA en ROSITA (Rosita)\ANA LUISA TODO\VARIOS\CURRI CAROLA.doc</t>
  </si>
  <si>
    <t>C:\Users\franc\OneDrive\Documentos\MALENTIN KARIME\BANCO CREDITO\FER LORCA en ROSITA (Rosita)\ANA LUISA TODO\VARIOS\CURRI ALEJANDRO.doc</t>
  </si>
  <si>
    <t>C:\Users\franc\OneDrive\Documentos\MALENTIN KARIME\BANCO CREDITO\FER LORCA en ROSITA (Rosita)\ANA LUISA TODO\VARIOS\CUENTA CONSTRUCTORA ARKON LTDA.doc</t>
  </si>
  <si>
    <t>C:\Users\franc\OneDrive\Documentos\MALENTIN KARIME\BANCO CREDITO\FER LORCA en ROSITA (Rosita)\ANA LUISA TODO\VARIOS\COMPRAVENTA SOMBRA.doc</t>
  </si>
  <si>
    <t>C:\Users\franc\OneDrive\Documentos\MALENTIN KARIME\BANCO CREDITO\FER LORCA en ROSITA (Rosita)\ANA LUISA TODO\VARIOS\COMODATO SOTAQUI.doc</t>
  </si>
  <si>
    <t>C:\Users\franc\OneDrive\Documentos\MALENTIN KARIME\BANCO CREDITO\FER LORCA en ROSITA (Rosita)\ANA LUISA TODO\VARIOS\COMODATO FUNDINA.doc</t>
  </si>
  <si>
    <t>C:\Users\franc\OneDrive\Documentos\MALENTIN KARIME\BANCO CREDITO\FER LORCA en ROSITA (Rosita)\ANA LUISA TODO\VARIOS\COMITE CAMPO LINDO.doc</t>
  </si>
  <si>
    <t>C:\Users\franc\OneDrive\Documentos\MALENTIN KARIME\BANCO CREDITO\FER LORCA en ROSITA (Rosita)\ANA LUISA TODO\VARIOS\Colocó ante mí su impresión.doc</t>
  </si>
  <si>
    <t>C:\Users\franc\OneDrive\Documentos\MALENTIN KARIME\BANCO CREDITO\FER LORCA en ROSITA (Rosita)\ANA LUISA TODO\VARIOS\CITACION.doc</t>
  </si>
  <si>
    <t>C:\Users\franc\OneDrive\Documentos\MALENTIN KARIME\BANCO CREDITO\FER LORCA en ROSITA (Rosita)\ANA LUISA TODO\VARIOS\CERTIFICADO PRE ROLES.doc</t>
  </si>
  <si>
    <t>C:\Users\franc\OneDrive\Documentos\MALENTIN KARIME\BANCO CREDITO\FER LORCA en ROSITA (Rosita)\ANA LUISA TODO\VARIOS\CERTIFICADO JUAN CARLOS COMUNIDAD ALCONES.doc</t>
  </si>
  <si>
    <t>C:\Users\franc\OneDrive\Documentos\MALENTIN KARIME\BANCO CREDITO\FER LORCA en ROSITA (Rosita)\ANA LUISA TODO\VARIOS\CERTIFICADO MATRIMONIO.doc</t>
  </si>
  <si>
    <t>C:\Users\franc\OneDrive\Documentos\MALENTIN KARIME\BANCO CREDITO\FER LORCA en ROSITA (Rosita)\ANA LUISA TODO\VARIOS\CERTIFICADO COMUNERO (COM. ALCONES.doc</t>
  </si>
  <si>
    <t>C:\Users\franc\OneDrive\Documentos\MALENTIN KARIME\BANCO CREDITO\FER LORCA en ROSITA (Rosita)\ANA LUISA TODO\VARIOS\CERTIFICADO INDAP.doc</t>
  </si>
  <si>
    <t>C:\Users\franc\OneDrive\Documentos\MALENTIN KARIME\BANCO CREDITO\FER LORCA en ROSITA (Rosita)\ANA LUISA TODO\VARIOS\CERTIFICA ACTAS COVALSA.doc</t>
  </si>
  <si>
    <t>C:\Users\franc\OneDrive\Documentos\MALENTIN KARIME\BANCO CREDITO\FER LORCA en ROSITA (Rosita)\ANA LUISA TODO\VARIOS\CERTIFI. PROVISORIO.doc</t>
  </si>
  <si>
    <t>C:\Users\franc\OneDrive\Documentos\MALENTIN KARIME\BANCO CREDITO\FER LORCA en ROSITA (Rosita)\ANA LUISA TODO\VARIOS\CERTIFI NO REGISTRA DEUDA.doc</t>
  </si>
  <si>
    <t>C:\Users\franc\OneDrive\Documentos\MALENTIN KARIME\BANCO CREDITO\FER LORCA en ROSITA (Rosita)\ANA LUISA TODO\VARIOS\CERTIFI. AVALUO (INTERNET).doc</t>
  </si>
  <si>
    <t>C:\Users\franc\OneDrive\Documentos\MALENTIN KARIME\BANCO CREDITO\FER LORCA en ROSITA (Rosita)\ANA LUISA TODO\VARIOS\CERTIFI DEUDA.doc</t>
  </si>
  <si>
    <t>C:\Users\franc\OneDrive\Documentos\MALENTIN KARIME\BANCO CREDITO\FER LORCA en ROSITA (Rosita)\ANA LUISA TODO\VARIOS\certifc. ACTAS COVALSA.doc</t>
  </si>
  <si>
    <t>C:\Users\franc\OneDrive\Documentos\MALENTIN KARIME\BANCO CREDITO\FER LORCA en ROSITA (Rosita)\ANA LUISA TODO\VARIOS\CARTA VERONICA VELIZ.doc</t>
  </si>
  <si>
    <t>C:\Users\franc\OneDrive\Documentos\MALENTIN KARIME\BANCO CREDITO\FER LORCA en ROSITA (Rosita)\ANA LUISA TODO\VARIOS\CARTA TRIBUNAL.doc</t>
  </si>
  <si>
    <t>C:\Users\franc\OneDrive\Documentos\MALENTIN KARIME\BANCO CREDITO\FER LORCA en ROSITA (Rosita)\ANA LUISA TODO\VARIOS\CARTA SOLOMON.doc</t>
  </si>
  <si>
    <t>C:\Users\franc\OneDrive\Documentos\MALENTIN KARIME\BANCO CREDITO\FER LORCA en ROSITA (Rosita)\ANA LUISA TODO\VARIOS\CARTA TESTAMENTOS.doc</t>
  </si>
  <si>
    <t>C:\Users\franc\OneDrive\Documentos\MALENTIN KARIME\BANCO CREDITO\FER LORCA en ROSITA (Rosita)\ANA LUISA TODO\VARIOS\CARTA PODER.doc</t>
  </si>
  <si>
    <t>C:\Users\franc\OneDrive\Documentos\MALENTIN KARIME\BANCO CREDITO\FER LORCA en ROSITA (Rosita)\ANA LUISA TODO\VARIOS\CARTA SIMPLE.doc</t>
  </si>
  <si>
    <t>C:\Users\franc\OneDrive\Documentos\MALENTIN KARIME\BANCO CREDITO\FER LORCA en ROSITA (Rosita)\ANA LUISA TODO\VARIOS\CARTA MARUBENI.doc</t>
  </si>
  <si>
    <t>C:\Users\franc\OneDrive\Documentos\MALENTIN KARIME\BANCO CREDITO\FER LORCA en ROSITA (Rosita)\ANA LUISA TODO\VARIOS\CARTA JORGE ARACENA.doc</t>
  </si>
  <si>
    <t>C:\Users\franc\OneDrive\Documentos\MALENTIN KARIME\BANCO CREDITO\FER LORCA en ROSITA (Rosita)\ANA LUISA TODO\VARIOS\CARTA JUZGADO.doc</t>
  </si>
  <si>
    <t>C:\Users\franc\OneDrive\Documentos\MALENTIN KARIME\BANCO CREDITO\FER LORCA en ROSITA (Rosita)\ANA LUISA TODO\VARIOS\CARTA HERNAN.doc</t>
  </si>
  <si>
    <t>C:\Users\franc\OneDrive\Documentos\MALENTIN KARIME\BANCO CREDITO\FER LORCA en ROSITA (Rosita)\ANA LUISA TODO\VARIOS\CARTA FRANCISCO SAAVEDRA.doc</t>
  </si>
  <si>
    <t>C:\Users\franc\OneDrive\Documentos\MALENTIN KARIME\BANCO CREDITO\FER LORCA en ROSITA (Rosita)\ANA LUISA TODO\VARIOS\CARTA DE PRENDA SIN DESPLAZAMINETO 1.doc</t>
  </si>
  <si>
    <t>C:\Users\franc\OneDrive\Documentos\MALENTIN KARIME\BANCO CREDITO\FER LORCA en ROSITA (Rosita)\ANA LUISA TODO\VARIOS\CARTA DIARIO.doc</t>
  </si>
  <si>
    <t>C:\Users\franc\OneDrive\Documentos\MALENTIN KARIME\BANCO CREDITO\FER LORCA en ROSITA (Rosita)\ANA LUISA TODO\VARIOS\CARTA CORTE APELACIONES.doc</t>
  </si>
  <si>
    <t>C:\Users\franc\OneDrive\Documentos\MALENTIN KARIME\BANCO CREDITO\FER LORCA en ROSITA (Rosita)\ANA LUISA TODO\VARIOS\CARTA ARCHIVERO JUDICIAL.doc</t>
  </si>
  <si>
    <t>C:\Users\franc\OneDrive\Documentos\MALENTIN KARIME\BANCO CREDITO\FER LORCA en ROSITA (Rosita)\ANA LUISA TODO\VARIOS\CARTA 2.doc</t>
  </si>
  <si>
    <t>C:\Users\franc\OneDrive\Documentos\MALENTIN KARIME\BANCO CREDITO\FER LORCA en ROSITA (Rosita)\ANA LUISA TODO\VARIOS\CARMEN PINTO AUTORIZACION SII.doc</t>
  </si>
  <si>
    <t>C:\Users\franc\OneDrive\Documentos\MALENTIN KARIME\BANCO CREDITO\FER LORCA en ROSITA (Rosita)\ANA LUISA TODO\VARIOS\CARMENCITA BUGUEÑO.doc</t>
  </si>
  <si>
    <t>C:\Users\franc\OneDrive\Documentos\MALENTIN KARIME\BANCO CREDITO\FER LORCA en ROSITA (Rosita)\ANA LUISA TODO\VARIOS\CALENDARIO DE VACACIONES 2008.doc</t>
  </si>
  <si>
    <t>C:\Users\franc\OneDrive\Documentos\MALENTIN KARIME\BANCO CREDITO\FER LORCA en ROSITA (Rosita)\ANA LUISA TODO\VARIOS\CARMEN PINTO A PATRICIO PINTO ARRIENDO.doc</t>
  </si>
  <si>
    <t>C:\Users\franc\OneDrive\Documentos\MALENTIN KARIME\BANCO CREDITO\FER LORCA en ROSITA (Rosita)\ANA LUISA TODO\VARIOS\BOLETAS PENDIENTES PAGO.doc</t>
  </si>
  <si>
    <t>C:\Users\franc\OneDrive\Documentos\MALENTIN KARIME\BANCO CREDITO\FER LORCA en ROSITA (Rosita)\ANA LUISA TODO\VARIOS\AVISO PROMESA.doc</t>
  </si>
  <si>
    <t>C:\Users\franc\OneDrive\Documentos\MALENTIN KARIME\BANCO CREDITO\FER LORCA en ROSITA (Rosita)\ANA LUISA TODO\VARIOS\AVISO PROMESA II.doc</t>
  </si>
  <si>
    <t>C:\Users\franc\OneDrive\Documentos\MALENTIN KARIME\BANCO CREDITO\FER LORCA en ROSITA (Rosita)\ANA LUISA TODO\VARIOS\Autorizo la firma de don JOSE IVAN JUAREZ ECHEVERRIA.doc</t>
  </si>
  <si>
    <t>C:\Users\franc\OneDrive\Documentos\MALENTIN KARIME\BANCO CREDITO\FER LORCA en ROSITA (Rosita)\ANA LUISA TODO\VARIOS\AUTORIZACION.doc</t>
  </si>
  <si>
    <t>C:\Users\franc\OneDrive\Documentos\MALENTIN KARIME\BANCO CREDITO\FER LORCA en ROSITA (Rosita)\ANA LUISA TODO\VARIOS\AUTORIZO FIRMA BCI.doc</t>
  </si>
  <si>
    <t>C:\Users\franc\OneDrive\Documentos\MALENTIN KARIME\BANCO CREDITO\FER LORCA en ROSITA (Rosita)\ANA LUISA TODO\VARIOS\AUTORIZACION propiedad minera.doc</t>
  </si>
  <si>
    <t>C:\Users\franc\OneDrive\Documentos\MALENTIN KARIME\BANCO CREDITO\FER LORCA en ROSITA (Rosita)\ANA LUISA TODO\VARIOS\AUTORIZACION HANALI BARRANTES.doc</t>
  </si>
  <si>
    <t>C:\Users\franc\OneDrive\Documentos\MALENTIN KARIME\BANCO CREDITO\FER LORCA en ROSITA (Rosita)\ANA LUISA TODO\VARIOS\AUTORIZACION FIRMA MARIA GODOY.doc</t>
  </si>
  <si>
    <t>C:\Users\franc\OneDrive\Documentos\MALENTIN KARIME\BANCO CREDITO\FER LORCA en ROSITA (Rosita)\ANA LUISA TODO\VARIOS\AUTORIZACION firmas.doc</t>
  </si>
  <si>
    <t>C:\Users\franc\OneDrive\Documentos\MALENTIN KARIME\BANCO CREDITO\FER LORCA en ROSITA (Rosita)\ANA LUISA TODO\VARIOS\AUTORIZACION FIRMA LIDIA ZAPATA MUNI.doc</t>
  </si>
  <si>
    <t>C:\Users\franc\OneDrive\Documentos\MALENTIN KARIME\BANCO CREDITO\FER LORCA en ROSITA (Rosita)\ANA LUISA TODO\VARIOS\AUTORIZACION FIRMA ELIAS ALAMO SOC..doc</t>
  </si>
  <si>
    <t>C:\Users\franc\OneDrive\Documentos\MALENTIN KARIME\BANCO CREDITO\FER LORCA en ROSITA (Rosita)\ANA LUISA TODO\VARIOS\AUTORIZACION firma  PATRICIO PINTO - AGRICOLA ALIRO PINTO.doc</t>
  </si>
  <si>
    <t>C:\Users\franc\OneDrive\Documentos\MALENTIN KARIME\BANCO CREDITO\FER LORCA en ROSITA (Rosita)\ANA LUISA TODO\VARIOS\AUTORIZACION FINIQUITOS.doc</t>
  </si>
  <si>
    <t>C:\Users\franc\OneDrive\Documentos\MALENTIN KARIME\BANCO CREDITO\FER LORCA en ROSITA (Rosita)\ANA LUISA TODO\VARIOS\AUTORIZACION ESCRITRUAS CON VIGENCIA.doc</t>
  </si>
  <si>
    <t>C:\Users\franc\OneDrive\Documentos\MALENTIN KARIME\BANCO CREDITO\FER LORCA en ROSITA (Rosita)\ANA LUISA TODO\VARIOS\AUTORIZACION ESCRITRUAS.doc</t>
  </si>
  <si>
    <t>C:\Users\franc\OneDrive\Documentos\MALENTIN KARIME\BANCO CREDITO\FER LORCA en ROSITA (Rosita)\ANA LUISA TODO\VARIOS\AUTORIZACION DIARIO.doc</t>
  </si>
  <si>
    <t>C:\Users\franc\OneDrive\Documentos\MALENTIN KARIME\BANCO CREDITO\FER LORCA en ROSITA (Rosita)\ANA LUISA TODO\VARIOS\AUTORIZACION DIARIO digital.doc</t>
  </si>
  <si>
    <t>C:\Users\franc\OneDrive\Documentos\MALENTIN KARIME\BANCO CREDITO\FER LORCA en ROSITA (Rosita)\ANA LUISA TODO\VARIOS\AUTORIZACION DESCUBRIMIENTO.doc</t>
  </si>
  <si>
    <t>C:\Users\franc\OneDrive\Documentos\MALENTIN KARIME\BANCO CREDITO\FER LORCA en ROSITA (Rosita)\ANA LUISA TODO\VARIOS\AUTORIZACION DERECHO REAL DE USO (BS. NAC).doc</t>
  </si>
  <si>
    <t>C:\Users\franc\OneDrive\Documentos\MALENTIN KARIME\BANCO CREDITO\FER LORCA en ROSITA (Rosita)\ANA LUISA TODO\VARIOS\AUTORIZACION  - DECLARACION.doc</t>
  </si>
  <si>
    <t>C:\Users\franc\OneDrive\Documentos\MALENTIN KARIME\BANCO CREDITO\FER LORCA en ROSITA (Rosita)\ANA LUISA TODO\VARIOS\AUTORIZACION COMUNERO (COM. ALCONES.doc</t>
  </si>
  <si>
    <t>C:\Users\franc\OneDrive\Documentos\MALENTIN KARIME\BANCO CREDITO\FER LORCA en ROSITA (Rosita)\ANA LUISA TODO\VARIOS\AUTORIZ. FIRMAS BDD.doc</t>
  </si>
  <si>
    <t>C:\Users\franc\OneDrive\Documentos\MALENTIN KARIME\BANCO CREDITO\FER LORCA en ROSITA (Rosita)\ANA LUISA TODO\VARIOS\AUTORIZ. FIRMA PABLO MUÑOZ.doc</t>
  </si>
  <si>
    <t>C:\Users\franc\OneDrive\Documentos\MALENTIN KARIME\BANCO CREDITO\FER LORCA en ROSITA (Rosita)\ANA LUISA TODO\VARIOS\AUTORIZ. FIRMA BASILIO AGUIRRE.doc</t>
  </si>
  <si>
    <t>C:\Users\franc\OneDrive\Documentos\MALENTIN KARIME\BANCO CREDITO\FER LORCA en ROSITA (Rosita)\ANA LUISA TODO\VARIOS\AUTORIZ JULIO MONTERO.doc</t>
  </si>
  <si>
    <t>C:\Users\franc\OneDrive\Documentos\MALENTIN KARIME\BANCO CREDITO\FER LORCA en ROSITA (Rosita)\ANA LUISA TODO\VARIOS\AUTORIZ FIRMA PROHENS.doc</t>
  </si>
  <si>
    <t>C:\Users\franc\OneDrive\Documentos\MALENTIN KARIME\BANCO CREDITO\FER LORCA en ROSITA (Rosita)\ANA LUISA TODO\VARIOS\AUTORIZ FIRMA ALEXIS.doc</t>
  </si>
  <si>
    <t>C:\Users\franc\OneDrive\Documentos\MALENTIN KARIME\BANCO CREDITO\FER LORCA en ROSITA (Rosita)\ANA LUISA TODO\VARIOS\AUTORIZ 2.doc</t>
  </si>
  <si>
    <t>C:\Users\franc\OneDrive\Documentos\MALENTIN KARIME\BANCO CREDITO\FER LORCA en ROSITA (Rosita)\ANA LUISA TODO\VARIOS\AUTORIZ DESCUB MARGEN.doc</t>
  </si>
  <si>
    <t>C:\Users\franc\OneDrive\Documentos\MALENTIN KARIME\BANCO CREDITO\FER LORCA en ROSITA (Rosita)\ANA LUISA TODO\VARIOS\AUDALO SOTO A ELIAS IBACACHE.doc</t>
  </si>
  <si>
    <t>C:\Users\franc\OneDrive\Documentos\MALENTIN KARIME\BANCO CREDITO\FER LORCA en ROSITA (Rosita)\ANA LUISA TODO\VARIOS\ARRIENDO PATRICIO PINTO.doc</t>
  </si>
  <si>
    <t>C:\Users\franc\OneDrive\Documentos\MALENTIN KARIME\BANCO CREDITO\FER LORCA en ROSITA (Rosita)\ANA LUISA TODO\VARIOS\ARRIENDO MINERO MIGUEL TAPIA.doc</t>
  </si>
  <si>
    <t>C:\Users\franc\OneDrive\Documentos\MALENTIN KARIME\BANCO CREDITO\FER LORCA en ROSITA (Rosita)\ANA LUISA TODO\VARIOS\ARRIENDO MINERO MIGUEL TAPIA SAN MIGUEL 1-20.doc</t>
  </si>
  <si>
    <t>C:\Users\franc\OneDrive\Documentos\MALENTIN KARIME\BANCO CREDITO\FER LORCA en ROSITA (Rosita)\ANA LUISA TODO\VARIOS\ARRIENDO MINERO BACHITO 1 AL 10.doc</t>
  </si>
  <si>
    <t>C:\Users\franc\OneDrive\Documentos\MALENTIN KARIME\BANCO CREDITO\FER LORCA en ROSITA (Rosita)\ANA LUISA TODO\VARIOS\ARRIENDO MINERO BACHITO 1 AL 10 a PABLO DA COSTA MORALES.doc</t>
  </si>
  <si>
    <t>C:\Users\franc\OneDrive\Documentos\MALENTIN KARIME\BANCO CREDITO\FER LORCA en ROSITA (Rosita)\ANA LUISA TODO\VARIOS\ARR. CASA COMPLETO NORITA.doc</t>
  </si>
  <si>
    <t>C:\Users\franc\OneDrive\Documentos\MALENTIN KARIME\BANCO CREDITO\FER LORCA en ROSITA (Rosita)\ANA LUISA TODO\VARIOS\ARR. CASA COMPLETO JANI.doc</t>
  </si>
  <si>
    <t>C:\Users\franc\OneDrive\Documentos\MALENTIN KARIME\BANCO CREDITO\FER LORCA en ROSITA (Rosita)\ANA LUISA TODO\VARIOS\ARR. CASA COMPLETO ANDRES.doc</t>
  </si>
  <si>
    <t>C:\Users\franc\OneDrive\Documentos\MALENTIN KARIME\BANCO CREDITO\FER LORCA en ROSITA (Rosita)\ANA LUISA TODO\VARIOS\ALEXIS DIAZ (SII).doc</t>
  </si>
  <si>
    <t>C:\Users\franc\OneDrive\Documentos\MALENTIN KARIME\BANCO CREDITO\FER LORCA en ROSITA (Rosita)\ANA LUISA TODO\VARIOS\ANEXO  JUAN.doc</t>
  </si>
  <si>
    <t>C:\Users\franc\OneDrive\Documentos\MALENTIN KARIME\BANCO CREDITO\FER LORCA en ROSITA (Rosita)\ANA LUISA TODO\VARIOS\AGRICOLA LOS LEONES SII.doc</t>
  </si>
  <si>
    <t>C:\Users\franc\OneDrive\Documentos\MALENTIN KARIME\BANCO CREDITO\FER LORCA en ROSITA (Rosita)\ANA LUISA TODO\VARIOS\AGREGA YASNA.doc</t>
  </si>
  <si>
    <t>C:\Users\franc\OneDrive\Documentos\MALENTIN KARIME\BANCO CREDITO\FER LORCA en ROSITA (Rosita)\ANA LUISA TODO\VARIOS\AGREGA PATENTE MITSUI.doc</t>
  </si>
  <si>
    <t>C:\Users\franc\OneDrive\Documentos\MALENTIN KARIME\BANCO CREDITO\FER LORCA en ROSITA (Rosita)\ANA LUISA TODO\VARIOS\AGREGA IMPUESTO.doc</t>
  </si>
  <si>
    <t>C:\Users\franc\OneDrive\Documentos\MALENTIN KARIME\BANCO CREDITO\FER LORCA en ROSITA (Rosita)\ANA LUISA TODO\VARIOS\AGREGA IMPUESTO VEHICULO.doc</t>
  </si>
  <si>
    <t>C:\Users\franc\OneDrive\Documentos\MALENTIN KARIME\BANCO CREDITO\FER LORCA en ROSITA (Rosita)\ANA LUISA TODO\VARIOS\AGREGA IMPUESTO MUTUO.doc</t>
  </si>
  <si>
    <t>C:\Users\franc\OneDrive\Documentos\MALENTIN KARIME\BANCO CREDITO\FER LORCA en ROSITA (Rosita)\ANA LUISA TODO\VARIOS\AGREGA IMPUESTO PAGARE.doc</t>
  </si>
  <si>
    <t>C:\Users\franc\OneDrive\Documentos\MALENTIN KARIME\BANCO CREDITO\FER LORCA en ROSITA (Rosita)\ANA LUISA TODO\VARIOS\AGREGA IMPUESTO MARUBENI.doc</t>
  </si>
  <si>
    <t>C:\Users\franc\OneDrive\Documentos\MALENTIN KARIME\BANCO CREDITO\FER LORCA en ROSITA (Rosita)\ANA LUISA TODO\VARIOS\AGREGA IMPUESTO MARUBENI FINAL.doc</t>
  </si>
  <si>
    <t>C:\Users\franc\OneDrive\Documentos\MALENTIN KARIME\BANCO CREDITO\FER LORCA en ROSITA (Rosita)\ANA LUISA TODO\VARIOS\AGREGA IMPUESTO enmendado.doc</t>
  </si>
  <si>
    <t>C:\Users\franc\OneDrive\Documentos\MALENTIN KARIME\BANCO CREDITO\FER LORCA en ROSITA (Rosita)\ANA LUISA TODO\VARIOS\agrega dos.doc</t>
  </si>
  <si>
    <t>C:\Users\franc\OneDrive\Documentos\MALENTIN KARIME\BANCO CREDITO\FER LORCA en ROSITA (Rosita)\ANA LUISA TODO\VARIOS\AGREGA IMPUESTO AL MARGEN.doc</t>
  </si>
  <si>
    <t>C:\Users\franc\OneDrive\Documentos\MALENTIN KARIME\BANCO CREDITO\FER LORCA en ROSITA (Rosita)\ANA LUISA TODO\VARIOS\AGREGA CERTIFICADOS ULTIMOS.doc</t>
  </si>
  <si>
    <t>C:\Users\franc\OneDrive\Documentos\MALENTIN KARIME\BANCO CREDITO\FER LORCA en ROSITA (Rosita)\ANA LUISA TODO\VARIOS\AGREGA CERTIFICADO.doc</t>
  </si>
  <si>
    <t>C:\Users\franc\OneDrive\Documentos\MALENTIN KARIME\BANCO CREDITO\FER LORCA en ROSITA (Rosita)\ANA LUISA TODO\VARIOS\AGREGA CERTIFICADO matrimonio normal.doc</t>
  </si>
  <si>
    <t>C:\Users\franc\OneDrive\Documentos\MALENTIN KARIME\BANCO CREDITO\FER LORCA en ROSITA (Rosita)\ANA LUISA TODO\VARIOS\AGREGA CERTIFICADO PAGO CONTRIB..doc</t>
  </si>
  <si>
    <t>C:\Users\franc\OneDrive\Documentos\MALENTIN KARIME\BANCO CREDITO\FER LORCA en ROSITA (Rosita)\ANA LUISA TODO\VARIOS\AGREGA CERTIFICADO matrimonio internet.doc</t>
  </si>
  <si>
    <t>C:\Users\franc\OneDrive\Documentos\MALENTIN KARIME\BANCO CREDITO\FER LORCA en ROSITA (Rosita)\ANA LUISA TODO\VARIOS\AGREGA CERTIFICADO 20130 BCO. SANTANDER.doc</t>
  </si>
  <si>
    <t>C:\Users\franc\OneDrive\Documentos\MALENTIN KARIME\BANCO CREDITO\FER LORCA en ROSITA (Rosita)\ANA LUISA TODO\VARIOS\AGREGA CERTIFICADO  aguas ASOC. CANALISTAD.doc</t>
  </si>
  <si>
    <t>C:\Users\franc\OneDrive\Documentos\MALENTIN KARIME\BANCO CREDITO\FER LORCA en ROSITA (Rosita)\ANA LUISA TODO\VARIOS\AGREGA certific.doc</t>
  </si>
  <si>
    <t>C:\Users\franc\OneDrive\Documentos\MALENTIN KARIME\BANCO CREDITO\FER LORCA en ROSITA (Rosita)\ANA LUISA TODO\VARIOS\AGREGA CERTI. VEHICULO.doc</t>
  </si>
  <si>
    <t>C:\Users\franc\OneDrive\Documentos\MALENTIN KARIME\BANCO CREDITO\FER LORCA en ROSITA (Rosita)\ANA LUISA TODO\VARIOS\AGREGA CERT. FORMULAIRO 30.doc</t>
  </si>
  <si>
    <t>C:\Users\franc\OneDrive\Documentos\MALENTIN KARIME\BANCO CREDITO\FER LORCA en ROSITA (Rosita)\ANA LUISA TODO\VARIOS\ACUERDO REPARATORIO.doc</t>
  </si>
  <si>
    <t>C:\Users\franc\OneDrive\Documentos\MALENTIN KARIME\BANCO CREDITO\FER LORCA en ROSITA (Rosita)\ANA LUISA TODO\VARIOS\ACTA VISITA.doc</t>
  </si>
  <si>
    <t>C:\Users\franc\OneDrive\Documentos\MALENTIN KARIME\BANCO CREDITO\FER LORCA en ROSITA (Rosita)\ANA LUISA TODO\VARIOS\ACTA VISITA ANUAL.doc</t>
  </si>
  <si>
    <t>C:\Users\franc\OneDrive\Documentos\MALENTIN KARIME\BANCO CREDITO\FER LORCA en ROSITA (Rosita)\ANA LUISA TODO\VALLECITO\MARIA ALUCEMA Y OTROS A ANDRES MORALES.doc</t>
  </si>
  <si>
    <t>C:\Users\franc\OneDrive\Documentos\MALENTIN KARIME\BANCO CREDITO\FER LORCA en ROSITA (Rosita)\ANA LUISA TODO\VALLECITO\Instruc notario Fundo Vallecito.doc</t>
  </si>
  <si>
    <t>C:\Users\franc\OneDrive\Documentos\MALENTIN KARIME\BANCO CREDITO\FER LORCA en ROSITA (Rosita)\ANA LUISA TODO\USUFRUCTO\HUGO VALDIVIA A SUS PADRES.doc</t>
  </si>
  <si>
    <t>C:\Users\franc\OneDrive\Documentos\MALENTIN KARIME\BANCO CREDITO\FER LORCA en ROSITA (Rosita)\ANA LUISA TODO\USUFRUCTO\LUIS PIZARRO ROJAS A VALENTINO.doc</t>
  </si>
  <si>
    <t>C:\Users\franc\OneDrive\Documentos\MALENTIN KARIME\BANCO CREDITO\FER LORCA en ROSITA (Rosita)\ANA LUISA TODO\USUFRUCTO\CRISTIAN ESQUIVEL.doc</t>
  </si>
  <si>
    <t>C:\Users\franc\OneDrive\Documentos\MALENTIN KARIME\BANCO CREDITO\FER LORCA en ROSITA (Rosita)\ANA LUISA TODO\UNIFRUTTI\UNI AGRI SANTA ROSA JULIO 2009.doc</t>
  </si>
  <si>
    <t>C:\Users\franc\OneDrive\Documentos\MALENTIN KARIME\BANCO CREDITO\FER LORCA en ROSITA (Rosita)\ANA LUISA TODO\UNIFRUTTI\UNI AGRI SANTA ROSA JULIO 2008.doc</t>
  </si>
  <si>
    <t>C:\Users\franc\OneDrive\Documentos\MALENTIN KARIME\BANCO CREDITO\FER LORCA en ROSITA (Rosita)\ANA LUISA TODO\UNIFRUTTI\UNI AGRI NUEVA AURORA.doc</t>
  </si>
  <si>
    <t>C:\Users\franc\OneDrive\Documentos\MALENTIN KARIME\BANCO CREDITO\FER LORCA en ROSITA (Rosita)\ANA LUISA TODO\UNIFRUTTI\UNI AGRI LAS REPRESAS.doc</t>
  </si>
  <si>
    <t>C:\Users\franc\OneDrive\Documentos\MALENTIN KARIME\BANCO CREDITO\FER LORCA en ROSITA (Rosita)\ANA LUISA TODO\UNIFRUTTI\UNI AGRI EL TREBOL.doc</t>
  </si>
  <si>
    <t>C:\Users\franc\OneDrive\Documentos\MALENTIN KARIME\BANCO CREDITO\FER LORCA en ROSITA (Rosita)\ANA LUISA TODO\UNIFRUTTI\SIBERIA  ABRIL 2009.doc</t>
  </si>
  <si>
    <t>C:\Users\franc\OneDrive\Documentos\MALENTIN KARIME\BANCO CREDITO\FER LORCA en ROSITA (Rosita)\ANA LUISA TODO\UNIFRUTTI\SUC. ORDENES A UNIFRUTTI.doc</t>
  </si>
  <si>
    <t>C:\Users\franc\OneDrive\Documentos\MALENTIN KARIME\BANCO CREDITO\FER LORCA en ROSITA (Rosita)\ANA LUISA TODO\UNIFRUTTI\NUEVA AURORA ABRIL 2009.doc</t>
  </si>
  <si>
    <t>C:\Users\franc\OneDrive\Documentos\MALENTIN KARIME\BANCO CREDITO\FER LORCA en ROSITA (Rosita)\ANA LUISA TODO\UNIFRUTTI\LISTADO PAGO SUC. ORDENES.doc</t>
  </si>
  <si>
    <t>C:\Users\franc\OneDrive\Documentos\MALENTIN KARIME\BANCO CREDITO\FER LORCA en ROSITA (Rosita)\ANA LUISA TODO\UNIFRUTTI\LAS REPRESAS  ABRIL 2009.doc</t>
  </si>
  <si>
    <t>C:\Users\franc\OneDrive\Documentos\MALENTIN KARIME\BANCO CREDITO\FER LORCA en ROSITA (Rosita)\ANA LUISA TODO\UNIFRUTTI\LA COIPA  ABRIL 2009.doc</t>
  </si>
  <si>
    <t>C:\Users\franc\OneDrive\Documentos\MALENTIN KARIME\BANCO CREDITO\FER LORCA en ROSITA (Rosita)\ANA LUISA TODO\UNIFRUTTI\JOSE ARACENA A UNIAGRI (AGUAS).doc</t>
  </si>
  <si>
    <t>C:\Users\franc\OneDrive\Documentos\MALENTIN KARIME\BANCO CREDITO\FER LORCA en ROSITA (Rosita)\ANA LUISA TODO\UNIFRUTTI\INSTRUC. GLORIA CORTES.doc</t>
  </si>
  <si>
    <t>C:\Users\franc\OneDrive\Documentos\MALENTIN KARIME\BANCO CREDITO\FER LORCA en ROSITA (Rosita)\ANA LUISA TODO\UNIFRUTTI\GLORIA CORTES A UNIAGRI (AGUAS).doc</t>
  </si>
  <si>
    <t>C:\Users\franc\OneDrive\Documentos\MALENTIN KARIME\BANCO CREDITO\FER LORCA en ROSITA (Rosita)\ANA LUISA TODO\UNIFRUTTI\FUNDO SANTA ROSA ABRIL 2009.doc</t>
  </si>
  <si>
    <t>C:\Users\franc\OneDrive\Documentos\MALENTIN KARIME\BANCO CREDITO\FER LORCA en ROSITA (Rosita)\ANA LUISA TODO\UNIFRUTTI\FUNDO CHACARILLAS ABRIL 2009 (2).doc</t>
  </si>
  <si>
    <t>C:\Users\franc\OneDrive\Documentos\MALENTIN KARIME\BANCO CREDITO\FER LORCA en ROSITA (Rosita)\ANA LUISA TODO\UNIFRUTTI\fotos.doc</t>
  </si>
  <si>
    <t>C:\Users\franc\OneDrive\Documentos\MALENTIN KARIME\BANCO CREDITO\FER LORCA en ROSITA (Rosita)\ANA LUISA TODO\UNIFRUTTI\foto (1).doc</t>
  </si>
  <si>
    <t>C:\Users\franc\OneDrive\Documentos\MALENTIN KARIME\BANCO CREDITO\FER LORCA en ROSITA (Rosita)\ANA LUISA TODO\UNIFRUTTI\CHAÑARAL ALTO ABRIL 2009.doc</t>
  </si>
  <si>
    <t>C:\Users\franc\OneDrive\Documentos\MALENTIN KARIME\BANCO CREDITO\FER LORCA en ROSITA (Rosita)\ANA LUISA TODO\UNIFRUTTI\CHACARILLAS JULIO 2009.doc</t>
  </si>
  <si>
    <t>C:\Users\franc\OneDrive\Documentos\MALENTIN KARIME\BANCO CREDITO\FER LORCA en ROSITA (Rosita)\ANA LUISA TODO\UNIFRUTTI\CHACARILLAS ABRIL 2009.doc</t>
  </si>
  <si>
    <t>C:\Users\franc\OneDrive\Documentos\MALENTIN KARIME\BANCO CREDITO\FER LORCA en ROSITA (Rosita)\ANA LUISA TODO\UNIFRUTTI\Carta-Instrucción-Compra-Aguas-OrdenesOK.doc</t>
  </si>
  <si>
    <t>C:\Users\franc\OneDrive\Documentos\MALENTIN KARIME\BANCO CREDITO\FER LORCA en ROSITA (Rosita)\ANA LUISA TODO\UNIFRUTTI\Carta-Instrucción-Compra-Aguas-Corral.doc</t>
  </si>
  <si>
    <t>C:\Users\franc\OneDrive\Documentos\MALENTIN KARIME\BANCO CREDITO\FER LORCA en ROSITA (Rosita)\ANA LUISA TODO\UNIFRUTTI\Carta-Instrucción-Compra-Aguas-Aracena.doc</t>
  </si>
  <si>
    <t>C:\Users\franc\OneDrive\Documentos\MALENTIN KARIME\BANCO CREDITO\FER LORCA en ROSITA (Rosita)\ANA LUISA TODO\UNIFRUTTI\ANTONIO CORRAL MOREY (AGUAS).doc</t>
  </si>
  <si>
    <t>C:\Users\franc\OneDrive\Documentos\MALENTIN KARIME\BANCO CREDITO\FER LORCA en ROSITA (Rosita)\ANA LUISA TODO\UNIFRUTTI\ACTAS UNIAGRI- CAMARICO.doc</t>
  </si>
  <si>
    <t>C:\Users\franc\OneDrive\Documentos\MALENTIN KARIME\BANCO CREDITO\FER LORCA en ROSITA (Rosita)\ANA LUISA TODO\UNIFRUTTI\ACTAS UNI-AGRI NUEVA AURORA (2 CUARTELES).doc</t>
  </si>
  <si>
    <t>C:\Users\franc\OneDrive\Documentos\MALENTIN KARIME\BANCO CREDITO\FER LORCA en ROSITA (Rosita)\ANA LUISA TODO\UNIFRUTTI\ACTAS UNI-AGRI.doc</t>
  </si>
  <si>
    <t>C:\Users\franc\OneDrive\Documentos\MALENTIN KARIME\BANCO CREDITO\FER LORCA en ROSITA (Rosita)\ANA LUISA TODO\UNIFRUTTI\ACTAS UNI-AGRI LA ISLA.doc</t>
  </si>
  <si>
    <t>C:\Users\franc\OneDrive\Documentos\MALENTIN KARIME\BANCO CREDITO\FER LORCA en ROSITA (Rosita)\ANA LUISA TODO\UNIFRUTTI\ACTAS UNI-AGRI LA CHACARILLA.doc</t>
  </si>
  <si>
    <t>C:\Users\franc\OneDrive\Documentos\MALENTIN KARIME\BANCO CREDITO\FER LORCA en ROSITA (Rosita)\ANA LUISA TODO\UNIFRUTTI\ACTAS UNI-AGRI HUANILLA  MAYO 2008.doc</t>
  </si>
  <si>
    <t>C:\Users\franc\OneDrive\Documentos\MALENTIN KARIME\BANCO CREDITO\FER LORCA en ROSITA (Rosita)\ANA LUISA TODO\UNIFRUTTI\ACTAS UNI-AGRI CHACARILLAS  MAYO 2008.doc</t>
  </si>
  <si>
    <t>C:\Users\franc\OneDrive\Documentos\MALENTIN KARIME\BANCO CREDITO\FER LORCA en ROSITA (Rosita)\ANA LUISA TODO\UNIFRUTTI\ACTAS UNI-AGRI 3.doc</t>
  </si>
  <si>
    <t>C:\Users\franc\OneDrive\Documentos\MALENTIN KARIME\BANCO CREDITO\FER LORCA en ROSITA (Rosita)\ANA LUISA TODO\UNIFRUTTI\ACTAS UNI-AGRI 09 05 2008.doc</t>
  </si>
  <si>
    <t>C:\Users\franc\OneDrive\Documentos\MALENTIN KARIME\BANCO CREDITO\FER LORCA en ROSITA (Rosita)\ANA LUISA TODO\UNIFRUTTI\ACTAS UNI-AGRI 2.doc</t>
  </si>
  <si>
    <t>C:\Users\franc\OneDrive\Documentos\MALENTIN KARIME\BANCO CREDITO\FER LORCA en ROSITA (Rosita)\ANA LUISA TODO\UNIFRUTTI\ACTAS UNI-AGRI  LA COIPA.doc</t>
  </si>
  <si>
    <t>C:\Users\franc\OneDrive\Documentos\MALENTIN KARIME\BANCO CREDITO\FER LORCA en ROSITA (Rosita)\ANA LUISA TODO\UNIFRUTTI\ACTAS UNI-AGRI  6.doc</t>
  </si>
  <si>
    <t>C:\Users\franc\OneDrive\Documentos\MALENTIN KARIME\BANCO CREDITO\FER LORCA en ROSITA (Rosita)\ANA LUISA TODO\UNIFRUTTI\ACTAS UNI-AGRI  5.doc</t>
  </si>
  <si>
    <t>C:\Users\franc\OneDrive\Documentos\MALENTIN KARIME\BANCO CREDITO\FER LORCA en ROSITA (Rosita)\ANA LUISA TODO\UNIFRUTTI\ACTA PREDIO SANTA ROAS.doc</t>
  </si>
  <si>
    <t>C:\Users\franc\OneDrive\Documentos\MALENTIN KARIME\BANCO CREDITO\FER LORCA en ROSITA (Rosita)\ANA LUISA TODO\UNIFRUTTI\ACTAS UNI-AGRI  4.doc</t>
  </si>
  <si>
    <t>C:\Users\franc\OneDrive\Documentos\MALENTIN KARIME\BANCO CREDITO\FER LORCA en ROSITA (Rosita)\ANA LUISA TODO\UNIFRUTTI\ACTA PREDIO LAS REPRESAS.doc</t>
  </si>
  <si>
    <t>C:\Users\franc\OneDrive\Documentos\MALENTIN KARIME\BANCO CREDITO\FER LORCA en ROSITA (Rosita)\ANA LUISA TODO\UNIFRUTTI\ACTA PREDIO LAS REPRESAS JULIO 2009.doc</t>
  </si>
  <si>
    <t>C:\Users\franc\OneDrive\Documentos\MALENTIN KARIME\BANCO CREDITO\FER LORCA en ROSITA (Rosita)\ANA LUISA TODO\UNIFRUTTI\ACTA PREDIO CHACARILLAS.doc</t>
  </si>
  <si>
    <t>C:\Users\franc\OneDrive\Documentos\MALENTIN KARIME\BANCO CREDITO\FER LORCA en ROSITA (Rosita)\ANA LUISA TODO\UNIFRUTTI\ACTA LA COIPA SECTORES 11, 12 Y 13.doc</t>
  </si>
  <si>
    <t>C:\Users\franc\OneDrive\Documentos\MALENTIN KARIME\BANCO CREDITO\FER LORCA en ROSITA (Rosita)\ANA LUISA TODO\UNIFRUTTI\ACTA HUANILLA CUARTELES 21,23, 24 Y 25.doc</t>
  </si>
  <si>
    <t>C:\Users\franc\OneDrive\Documentos\MALENTIN KARIME\BANCO CREDITO\FER LORCA en ROSITA (Rosita)\ANA LUISA TODO\UNIFRUTTI\ACTA FUNDO PREDIO TUQUI  NOVIEMBRE 2008.doc</t>
  </si>
  <si>
    <t>C:\Users\franc\OneDrive\Documentos\MALENTIN KARIME\BANCO CREDITO\FER LORCA en ROSITA (Rosita)\ANA LUISA TODO\UNIFRUTTI\ACTA FUNDO NUEVA AURORA (AGOSTO 2008).doc</t>
  </si>
  <si>
    <t>C:\Users\franc\OneDrive\Documentos\MALENTIN KARIME\BANCO CREDITO\FER LORCA en ROSITA (Rosita)\ANA LUISA TODO\UNIFRUTTI\ACTA EL TREBOL.doc</t>
  </si>
  <si>
    <t>C:\Users\franc\OneDrive\Documentos\MALENTIN KARIME\BANCO CREDITO\FER LORCA en ROSITA (Rosita)\ANA LUISA TODO\UNIFRUTTI\ACTA CITRICOS  CLEMENTINAS.doc</t>
  </si>
  <si>
    <t>C:\Users\franc\OneDrive\Documentos\MALENTIN KARIME\BANCO CREDITO\FER LORCA en ROSITA (Rosita)\ANA LUISA TODO\UNIFRUTTI\ACTA CITRICOS  CLEMENTINAS (7,8,9,10.doc</t>
  </si>
  <si>
    <t>C:\Users\franc\OneDrive\Documentos\MALENTIN KARIME\BANCO CREDITO\FER LORCA en ROSITA (Rosita)\ANA LUISA TODO\UNIFRUTTI\ACTA CAMARICO.doc</t>
  </si>
  <si>
    <t>C:\Users\franc\OneDrive\Documentos\MALENTIN KARIME\BANCO CREDITO\FER LORCA en ROSITA (Rosita)\ANA LUISA TODO\UNIFRUTTI\ACTA 2.doc</t>
  </si>
  <si>
    <t>C:\Users\franc\OneDrive\Documentos\MALENTIN KARIME\BANCO CREDITO\FER LORCA en ROSITA (Rosita)\ANA LUISA TODO\TRANSACCION\TOMAS CERDA A MARNIE DINAMARCA.doc</t>
  </si>
  <si>
    <t>C:\Users\franc\OneDrive\Documentos\MALENTIN KARIME\BANCO CREDITO\FER LORCA en ROSITA (Rosita)\ANA LUISA TODO\TRANSACCION\MODELO TRANSACCION.doc</t>
  </si>
  <si>
    <t>C:\Users\franc\OneDrive\Documentos\MALENTIN KARIME\BANCO CREDITO\FER LORCA en ROSITA (Rosita)\ANA LUISA TODO\TRANSACCION\PEDRO OLIVARES BCO.doc</t>
  </si>
  <si>
    <t>C:\Users\franc\OneDrive\Documentos\MALENTIN KARIME\BANCO CREDITO\FER LORCA en ROSITA (Rosita)\ANA LUISA TODO\TRANSACCION\CONSUELO CALDERON A PABLO DANKE.doc</t>
  </si>
  <si>
    <t>C:\Users\franc\OneDrive\Documentos\MALENTIN KARIME\BANCO CREDITO\FER LORCA en ROSITA (Rosita)\ANA LUISA TODO\TESTAMENTOS\SATURNINO CAQUEO TRONCOSO.doc</t>
  </si>
  <si>
    <t>C:\Users\franc\OneDrive\Documentos\MALENTIN KARIME\BANCO CREDITO\FER LORCA en ROSITA (Rosita)\ANA LUISA TODO\TESTAMENTOS\MODELO.doc</t>
  </si>
  <si>
    <t>C:\Users\franc\OneDrive\Documentos\MALENTIN KARIME\BANCO CREDITO\FER LORCA en ROSITA (Rosita)\ANA LUISA TODO\TESTAMENTOS\MODELO TESTAMENTO.doc</t>
  </si>
  <si>
    <t>C:\Users\franc\OneDrive\Documentos\MALENTIN KARIME\BANCO CREDITO\FER LORCA en ROSITA (Rosita)\ANA LUISA TODO\TESTAMENTOS\LUISA SEGURA.doc</t>
  </si>
  <si>
    <t>C:\Users\franc\OneDrive\Documentos\MALENTIN KARIME\BANCO CREDITO\FER LORCA en ROSITA (Rosita)\ANA LUISA TODO\TESTAMENTOS\ELENA OGALDE ARAYA.doc</t>
  </si>
  <si>
    <t>C:\Users\franc\OneDrive\Documentos\MALENTIN KARIME\BANCO CREDITO\FER LORCA en ROSITA (Rosita)\ANA LUISA TODO\TESTAMENTOS\BELLA GARCIA.doc</t>
  </si>
  <si>
    <t>C:\Users\franc\OneDrive\Documentos\MALENTIN KARIME\BANCO CREDITO\FER LORCA en ROSITA (Rosita)\ANA LUISA TODO\TESTAMENTOS\ANA RUTH ROJAS  JIMENEZ.doc</t>
  </si>
  <si>
    <t>C:\Users\franc\OneDrive\Documentos\MALENTIN KARIME\BANCO CREDITO\FER LORCA en ROSITA (Rosita)\ANA LUISA TODO\SUMINISTRO AGUA\INMOBILIAIRA RENACER A JOSE MIGUEL ZEPEDA.doc</t>
  </si>
  <si>
    <t>C:\Users\franc\OneDrive\Documentos\MALENTIN KARIME\BANCO CREDITO\FER LORCA en ROSITA (Rosita)\ANA LUISA TODO\SOCIEDAD DE HECHO\FUAD ALAMO.doc</t>
  </si>
  <si>
    <t>C:\Users\franc\OneDrive\Documentos\MALENTIN KARIME\BANCO CREDITO\FER LORCA en ROSITA (Rosita)\ANA LUISA TODO\SOCIEDAD\SOCIEDAD OVALLE.doc</t>
  </si>
  <si>
    <t>C:\Users\franc\OneDrive\Documentos\MALENTIN KARIME\BANCO CREDITO\FER LORCA en ROSITA (Rosita)\ANA LUISA TODO\SOCIEDAD\SOLEDAD FARR TAPIA Y OTRA.doc</t>
  </si>
  <si>
    <t>C:\Users\franc\OneDrive\Documentos\MALENTIN KARIME\BANCO CREDITO\FER LORCA en ROSITA (Rosita)\ANA LUISA TODO\SOCIEDAD\SOCIEDAD ORTIZ Y DIAZ LTDA. EXTRACTO.doc</t>
  </si>
  <si>
    <t>C:\Users\franc\OneDrive\Documentos\MALENTIN KARIME\BANCO CREDITO\FER LORCA en ROSITA (Rosita)\ANA LUISA TODO\SOCIEDAD\SOC. VILLA AMANECER.doc</t>
  </si>
  <si>
    <t>C:\Users\franc\OneDrive\Documentos\MALENTIN KARIME\BANCO CREDITO\FER LORCA en ROSITA (Rosita)\ANA LUISA TODO\SOCIEDAD\SOC. OVASER (NIÑOS BANCO).doc</t>
  </si>
  <si>
    <t>C:\Users\franc\OneDrive\Documentos\MALENTIN KARIME\BANCO CREDITO\FER LORCA en ROSITA (Rosita)\ANA LUISA TODO\SOCIEDAD\SOC. DESARROLLO Y CAPAC. LABORAL (JOSE HERNANDEZ).doc</t>
  </si>
  <si>
    <t>C:\Users\franc\OneDrive\Documentos\MALENTIN KARIME\BANCO CREDITO\FER LORCA en ROSITA (Rosita)\ANA LUISA TODO\SOCIEDAD\SOC. HNOS MILLAHUALA.doc</t>
  </si>
  <si>
    <t>C:\Users\franc\OneDrive\Documentos\MALENTIN KARIME\BANCO CREDITO\FER LORCA en ROSITA (Rosita)\ANA LUISA TODO\SOCIEDAD\SOC. DESARROLLO Y CAP. LABORAL EXTRACTO.doc</t>
  </si>
  <si>
    <t>C:\Users\franc\OneDrive\Documentos\MALENTIN KARIME\BANCO CREDITO\FER LORCA en ROSITA (Rosita)\ANA LUISA TODO\SOCIEDAD\RODRIGO BRAVO Y CIA. LTDA..doc</t>
  </si>
  <si>
    <t>C:\Users\franc\OneDrive\Documentos\MALENTIN KARIME\BANCO CREDITO\FER LORCA en ROSITA (Rosita)\ANA LUISA TODO\SOCIEDAD\RODRIGO BRAVO EXTRACTO.doc</t>
  </si>
  <si>
    <t>C:\Users\franc\OneDrive\Documentos\MALENTIN KARIME\BANCO CREDITO\FER LORCA en ROSITA (Rosita)\ANA LUISA TODO\SOCIEDAD\PICHASCA EXTRACTO.doc</t>
  </si>
  <si>
    <t>C:\Users\franc\OneDrive\Documentos\MALENTIN KARIME\BANCO CREDITO\FER LORCA en ROSITA (Rosita)\ANA LUISA TODO\SOCIEDAD\OVATRUZ COMERCIAL.doc</t>
  </si>
  <si>
    <t>C:\Users\franc\OneDrive\Documentos\MALENTIN KARIME\BANCO CREDITO\FER LORCA en ROSITA (Rosita)\ANA LUISA TODO\SOCIEDAD\MONICA GALLARDO E HIJOS (ROMELIO GAJARDO).doc</t>
  </si>
  <si>
    <t>C:\Users\franc\OneDrive\Documentos\MALENTIN KARIME\BANCO CREDITO\FER LORCA en ROSITA (Rosita)\ANA LUISA TODO\SOCIEDAD\MODELO SOCIEDAD.doc</t>
  </si>
  <si>
    <t>C:\Users\franc\OneDrive\Documentos\MALENTIN KARIME\BANCO CREDITO\FER LORCA en ROSITA (Rosita)\ANA LUISA TODO\SOCIEDAD\MODELO SOC. CONTRACTUAL MINERA.doc</t>
  </si>
  <si>
    <t>C:\Users\franc\OneDrive\Documentos\MALENTIN KARIME\BANCO CREDITO\FER LORCA en ROSITA (Rosita)\ANA LUISA TODO\SOCIEDAD\MODELO SOC-.doc</t>
  </si>
  <si>
    <t>C:\Users\franc\OneDrive\Documentos\MALENTIN KARIME\BANCO CREDITO\FER LORCA en ROSITA (Rosita)\ANA LUISA TODO\SOCIEDAD\MODELO EXTRACTO E.I.R.L.doc</t>
  </si>
  <si>
    <t>C:\Users\franc\OneDrive\Documentos\MALENTIN KARIME\BANCO CREDITO\FER LORCA en ROSITA (Rosita)\ANA LUISA TODO\SOCIEDAD\LUIS CASTRO FRANCO E.I.R.L. (AB. AGUSTO CABRERA.doc</t>
  </si>
  <si>
    <t>C:\Users\franc\OneDrive\Documentos\MALENTIN KARIME\BANCO CREDITO\FER LORCA en ROSITA (Rosita)\ANA LUISA TODO\SOCIEDAD\LUIS CASTRO FRANCO (RESCILIACION).doc</t>
  </si>
  <si>
    <t>C:\Users\franc\OneDrive\Documentos\MALENTIN KARIME\BANCO CREDITO\FER LORCA en ROSITA (Rosita)\ANA LUISA TODO\SOCIEDAD\LIS CASTRO FRANCO - EXTRACTO.doc</t>
  </si>
  <si>
    <t>C:\Users\franc\OneDrive\Documentos\MALENTIN KARIME\BANCO CREDITO\FER LORCA en ROSITA (Rosita)\ANA LUISA TODO\SOCIEDAD\JULIA CORTES.doc</t>
  </si>
  <si>
    <t>C:\Users\franc\OneDrive\Documentos\MALENTIN KARIME\BANCO CREDITO\FER LORCA en ROSITA (Rosita)\ANA LUISA TODO\SOCIEDAD\JULIA CORTES EXTRACTO.doc</t>
  </si>
  <si>
    <t>C:\Users\franc\OneDrive\Documentos\MALENTIN KARIME\BANCO CREDITO\FER LORCA en ROSITA (Rosita)\ANA LUISA TODO\SOCIEDAD\JULIA CORTES 2.doc</t>
  </si>
  <si>
    <t>C:\Users\franc\OneDrive\Documentos\MALENTIN KARIME\BANCO CREDITO\FER LORCA en ROSITA (Rosita)\ANA LUISA TODO\SOCIEDAD\GERMAN GUZMAN.doc</t>
  </si>
  <si>
    <t>C:\Users\franc\OneDrive\Documentos\MALENTIN KARIME\BANCO CREDITO\FER LORCA en ROSITA (Rosita)\ANA LUISA TODO\SOCIEDAD\GERMAN GUZMAN  EXTRACTO.doc</t>
  </si>
  <si>
    <t>C:\Users\franc\OneDrive\Documentos\MALENTIN KARIME\BANCO CREDITO\FER LORCA en ROSITA (Rosita)\ANA LUISA TODO\SOCIEDAD\FORMA INVERSIONES.doc</t>
  </si>
  <si>
    <t>C:\Users\franc\OneDrive\Documentos\MALENTIN KARIME\BANCO CREDITO\FER LORCA en ROSITA (Rosita)\ANA LUISA TODO\SOCIEDAD\EXTRACTOsociedad VILLA AMANECERok.doc</t>
  </si>
  <si>
    <t>C:\Users\franc\OneDrive\Documentos\MALENTIN KARIME\BANCO CREDITO\FER LORCA en ROSITA (Rosita)\ANA LUISA TODO\SOCIEDAD\EXTRACTO SOCIEDAD ANCESTRAL DISEÑO LIMITADA.doc</t>
  </si>
  <si>
    <t>C:\Users\franc\OneDrive\Documentos\MALENTIN KARIME\BANCO CREDITO\FER LORCA en ROSITA (Rosita)\ANA LUISA TODO\SOCIEDAD\EXTRACTO ROMELIO GAJARDO[1].doc</t>
  </si>
  <si>
    <t>C:\Users\franc\OneDrive\Documentos\MALENTIN KARIME\BANCO CREDITO\FER LORCA en ROSITA (Rosita)\ANA LUISA TODO\SOCIEDAD\EXTRACTO niños banco.doc</t>
  </si>
  <si>
    <t>C:\Users\franc\OneDrive\Documentos\MALENTIN KARIME\BANCO CREDITO\FER LORCA en ROSITA (Rosita)\ANA LUISA TODO\SOCIEDAD\EXTRACTO FORMA2.doc</t>
  </si>
  <si>
    <t>C:\Users\franc\OneDrive\Documentos\MALENTIN KARIME\BANCO CREDITO\FER LORCA en ROSITA (Rosita)\ANA LUISA TODO\SOCIEDAD\extracto de espaciotrans limitada.doc</t>
  </si>
  <si>
    <t>C:\Users\franc\OneDrive\Documentos\MALENTIN KARIME\BANCO CREDITO\FER LORCA en ROSITA (Rosita)\ANA LUISA TODO\SOCIEDAD\EXTRACTO CORNELIO PORTILLA.doc</t>
  </si>
  <si>
    <t>C:\Users\franc\OneDrive\Documentos\MALENTIN KARIME\BANCO CREDITO\FER LORCA en ROSITA (Rosita)\ANA LUISA TODO\SOCIEDAD\ESPACIO TRANS  (BORIS MONARDEZ).doc</t>
  </si>
  <si>
    <t>C:\Users\franc\OneDrive\Documentos\MALENTIN KARIME\BANCO CREDITO\FER LORCA en ROSITA (Rosita)\ANA LUISA TODO\SOCIEDAD\CORNELIO PORTILLA E.I.R.L..doc</t>
  </si>
  <si>
    <t>C:\Users\franc\OneDrive\Documentos\MALENTIN KARIME\BANCO CREDITO\FER LORCA en ROSITA (Rosita)\ANA LUISA TODO\SOCIEDAD\COMERCIAL LAS TINAJAS EXTRACTO (MODIFICAC).doc</t>
  </si>
  <si>
    <t>C:\Users\franc\OneDrive\Documentos\MALENTIN KARIME\BANCO CREDITO\FER LORCA en ROSITA (Rosita)\ANA LUISA TODO\SOCIEDAD\COMERCIAL LAS TINAJAS (MODIF. SOC).doc</t>
  </si>
  <si>
    <t>C:\Users\franc\OneDrive\Documentos\MALENTIN KARIME\BANCO CREDITO\FER LORCA en ROSITA (Rosita)\ANA LUISA TODO\SOCIEDAD\BOSS CONSULTORES CIA LTDA  (BCO. PARIS.doc</t>
  </si>
  <si>
    <t>C:\Users\franc\OneDrive\Documentos\MALENTIN KARIME\BANCO CREDITO\FER LORCA en ROSITA (Rosita)\ANA LUISA TODO\SOCIEDAD\ASESORIAS GEOMINERAS.doc</t>
  </si>
  <si>
    <t>C:\Users\franc\OneDrive\Documentos\MALENTIN KARIME\BANCO CREDITO\FER LORCA en ROSITA (Rosita)\ANA LUISA TODO\SOCIEDAD\ANCESTRAL LTDA.doc</t>
  </si>
  <si>
    <t>C:\Users\franc\OneDrive\Documentos\MALENTIN KARIME\BANCO CREDITO\FER LORCA en ROSITA (Rosita)\ANA LUISA TODO\SOCIEDAD\AGRICOLA SANTA MARTA EXTRACTO.doc</t>
  </si>
  <si>
    <t>C:\Users\franc\OneDrive\Documentos\MALENTIN KARIME\BANCO CREDITO\FER LORCA en ROSITA (Rosita)\ANA LUISA TODO\SOC. VERANEO PACIFICO\RODRIGO CORTES OYANADEL.doc</t>
  </si>
  <si>
    <t>C:\Users\franc\OneDrive\Documentos\MALENTIN KARIME\BANCO CREDITO\FER LORCA en ROSITA (Rosita)\ANA LUISA TODO\SOC. VERANEO PACIFICO\INES PIERATTINI A LUIS DONOSO.doc</t>
  </si>
  <si>
    <t>C:\Users\franc\OneDrive\Documentos\MALENTIN KARIME\BANCO CREDITO\FER LORCA en ROSITA (Rosita)\ANA LUISA TODO\SOC. VERANEO PACIFICO\HUMBERTO DONOSO A JUAN TORRES E IRIS VEGA.doc</t>
  </si>
  <si>
    <t>C:\Users\franc\OneDrive\Documentos\MALENTIN KARIME\BANCO CREDITO\FER LORCA en ROSITA (Rosita)\ANA LUISA TODO\SOC. VERANEO PACIFICO\HERMANOS ALVARADO PROMESA.doc</t>
  </si>
  <si>
    <t>C:\Users\franc\OneDrive\Documentos\MALENTIN KARIME\BANCO CREDITO\FER LORCA en ROSITA (Rosita)\ANA LUISA TODO\SOC. VERANEO PACIFICO\HERMANOS ALVARADO COMPRAVENTA.doc</t>
  </si>
  <si>
    <t>C:\Users\franc\OneDrive\Documentos\MALENTIN KARIME\BANCO CREDITO\FER LORCA en ROSITA (Rosita)\ANA LUISA TODO\SOC. VERANEO PACIFICO\HANALI BARRANTES (AGUAS) 2.doc</t>
  </si>
  <si>
    <t>C:\Users\franc\OneDrive\Documentos\MALENTIN KARIME\BANCO CREDITO\FER LORCA en ROSITA (Rosita)\ANA LUISA TODO\SOC. VERANEO PACIFICO\HANALI BARRANTES (AGUAS) 1.doc</t>
  </si>
  <si>
    <t>C:\Users\franc\OneDrive\Documentos\MALENTIN KARIME\BANCO CREDITO\FER LORCA en ROSITA (Rosita)\ANA LUISA TODO\SOC. VERANEO PACIFICO\FELIX SANTANDER.doc</t>
  </si>
  <si>
    <t>C:\Users\franc\OneDrive\Documentos\MALENTIN KARIME\BANCO CREDITO\FER LORCA en ROSITA (Rosita)\ANA LUISA TODO\SOC. VERANEO PACIFICO\CARMEN DONOSO TELLO.doc</t>
  </si>
  <si>
    <t>C:\Users\franc\OneDrive\Documentos\MALENTIN KARIME\BANCO CREDITO\FER LORCA en ROSITA (Rosita)\ANA LUISA TODO\SOC. VERANEO PACIFICO\CARLOS BARRA SOTO.doc</t>
  </si>
  <si>
    <t>C:\Users\franc\OneDrive\Documentos\MALENTIN KARIME\BANCO CREDITO\FER LORCA en ROSITA (Rosita)\ANA LUISA TODO\SERGIO PERALTA\VISION ESTRATEGICA LTDA. (SOCIEDAD JULIO MONTERO).doc</t>
  </si>
  <si>
    <t>C:\Users\franc\OneDrive\Documentos\MALENTIN KARIME\BANCO CREDITO\FER LORCA en ROSITA (Rosita)\ANA LUISA TODO\SERGIO PERALTA\RATIFICACION CLAUDIO FERNANDEZ}.doc</t>
  </si>
  <si>
    <t>C:\Users\franc\OneDrive\Documentos\MALENTIN KARIME\BANCO CREDITO\FER LORCA en ROSITA (Rosita)\ANA LUISA TODO\SERGIO PERALTA\extractoMONTERO 2 ORGANISMO TEC 26-08-09[mejorado][1]UV-2[1].doc</t>
  </si>
  <si>
    <t>C:\Users\franc\OneDrive\Documentos\MALENTIN KARIME\BANCO CREDITO\FER LORCA en ROSITA (Rosita)\ANA LUISA TODO\SERGIO PERALTA\extracto MONTERO UNO 28-08-09[mejorado][1]uv-2[1].doc</t>
  </si>
  <si>
    <t>C:\Users\franc\OneDrive\Documentos\MALENTIN KARIME\BANCO CREDITO\FER LORCA en ROSITA (Rosita)\ANA LUISA TODO\SERGIO PERALTA\EMPRENDIMIENTO LIMITADA (SOCIEDAD JULIO MONTERO).doc</t>
  </si>
  <si>
    <t>C:\Users\franc\OneDrive\Documentos\MALENTIN KARIME\BANCO CREDITO\FER LORCA en ROSITA (Rosita)\ANA LUISA TODO\SERGIO PERALTA\CLAUDIA HENRIQUEZ A ARKON (CTTO. CONSTRUC).doc</t>
  </si>
  <si>
    <t>C:\Users\franc\OneDrive\Documentos\MALENTIN KARIME\BANCO CREDITO\FER LORCA en ROSITA (Rosita)\ANA LUISA TODO\SERGIO PERALTA\EGLANTINA MUNDACA (CESION DERECHOS).doc</t>
  </si>
  <si>
    <t>C:\Users\franc\OneDrive\Documentos\MALENTIN KARIME\BANCO CREDITO\FER LORCA en ROSITA (Rosita)\ANA LUISA TODO\SERGIO PERALTA\CAROLINA CARVAJAL A SERGIO PERALTA (MANDATO JUDICIAL).doc</t>
  </si>
  <si>
    <t>C:\Users\franc\OneDrive\Documentos\MALENTIN KARIME\BANCO CREDITO\FER LORCA en ROSITA (Rosita)\ANA LUISA TODO\SERGIO PERALTA\AMIGO DE DON RODRIGO.doc</t>
  </si>
  <si>
    <t>C:\Users\franc\OneDrive\Documentos\MALENTIN KARIME\BANCO CREDITO\FER LORCA en ROSITA (Rosita)\ANA LUISA TODO\SERGIO GALLEGUILLOS\USUFRUCTO CARMENCITA BLANCO.doc</t>
  </si>
  <si>
    <t>C:\Users\franc\OneDrive\Documentos\MALENTIN KARIME\BANCO CREDITO\FER LORCA en ROSITA (Rosita)\ANA LUISA TODO\SERGIO GALLEGUILLOS\BENERANDA MONARDEZ A ANA PINILLA (LULU).doc</t>
  </si>
  <si>
    <t>C:\Users\franc\OneDrive\Documentos\MALENTIN KARIME\BANCO CREDITO\FER LORCA en ROSITA (Rosita)\ANA LUISA TODO\SEPARACION DE BIENES\RODOLFO ARAYA Y ELLY CORTES.doc</t>
  </si>
  <si>
    <t>C:\Users\franc\OneDrive\Documentos\MALENTIN KARIME\BANCO CREDITO\FER LORCA en ROSITA (Rosita)\ANA LUISA TODO\SEPARACION DE BIENES\MIGUEL FARIAS Y JANET ARAYA.doc</t>
  </si>
  <si>
    <t>C:\Users\franc\OneDrive\Documentos\MALENTIN KARIME\BANCO CREDITO\FER LORCA en ROSITA (Rosita)\ANA LUISA TODO\SEPARACION DE BIENES\EDGARDO SAUD Y ROSA CORTES.doc</t>
  </si>
  <si>
    <t>C:\Users\franc\OneDrive\Documentos\MALENTIN KARIME\BANCO CREDITO\FER LORCA en ROSITA (Rosita)\ANA LUISA TODO\SAMUEL ROJO\HIPOTECA SAMUEL ROJO A ESSO.doc</t>
  </si>
  <si>
    <t>C:\Users\franc\OneDrive\Documentos\MALENTIN KARIME\BANCO CREDITO\FER LORCA en ROSITA (Rosita)\ANA LUISA TODO\ROSITA DIAZ\WILMA BARRAZA  (JULIO).doc</t>
  </si>
  <si>
    <t>C:\Users\franc\OneDrive\Documentos\MALENTIN KARIME\BANCO CREDITO\FER LORCA en ROSITA (Rosita)\ANA LUISA TODO\ROSITA DIAZ\VIOLETA MENA (JULIO).doc</t>
  </si>
  <si>
    <t>C:\Users\franc\OneDrive\Documentos\MALENTIN KARIME\BANCO CREDITO\FER LORCA en ROSITA (Rosita)\ANA LUISA TODO\ROSITA DIAZ\ULISES ROJAS  (JULIO).doc</t>
  </si>
  <si>
    <t>C:\Users\franc\OneDrive\Documentos\MALENTIN KARIME\BANCO CREDITO\FER LORCA en ROSITA (Rosita)\ANA LUISA TODO\ROSITA DIAZ\VICTOR CORTES  (JULIO).doc</t>
  </si>
  <si>
    <t>C:\Users\franc\OneDrive\Documentos\MALENTIN KARIME\BANCO CREDITO\FER LORCA en ROSITA (Rosita)\ANA LUISA TODO\ROSITA DIAZ\SUSANA LEMUS.doc</t>
  </si>
  <si>
    <t>C:\Users\franc\OneDrive\Documentos\MALENTIN KARIME\BANCO CREDITO\FER LORCA en ROSITA (Rosita)\ANA LUISA TODO\ROSITA DIAZ\SILVERIO CONTRERAS (JULIO).doc</t>
  </si>
  <si>
    <t>C:\Users\franc\OneDrive\Documentos\MALENTIN KARIME\BANCO CREDITO\FER LORCA en ROSITA (Rosita)\ANA LUISA TODO\ROSITA DIAZ\SERGIO CARVAJAL PONCE  (JULIO).doc</t>
  </si>
  <si>
    <t>C:\Users\franc\OneDrive\Documentos\MALENTIN KARIME\BANCO CREDITO\FER LORCA en ROSITA (Rosita)\ANA LUISA TODO\ROSITA DIAZ\SERGIO CORREA.doc</t>
  </si>
  <si>
    <t>C:\Users\franc\OneDrive\Documentos\MALENTIN KARIME\BANCO CREDITO\FER LORCA en ROSITA (Rosita)\ANA LUISA TODO\ROSITA DIAZ\SANDRA TAPIA.doc</t>
  </si>
  <si>
    <t>C:\Users\franc\OneDrive\Documentos\MALENTIN KARIME\BANCO CREDITO\FER LORCA en ROSITA (Rosita)\ANA LUISA TODO\ROSITA DIAZ\ROBERTO ALEGRE.doc</t>
  </si>
  <si>
    <t>C:\Users\franc\OneDrive\Documentos\MALENTIN KARIME\BANCO CREDITO\FER LORCA en ROSITA (Rosita)\ANA LUISA TODO\ROSITA DIAZ\RICARDO COLLAO (JULIO).doc</t>
  </si>
  <si>
    <t>C:\Users\franc\OneDrive\Documentos\MALENTIN KARIME\BANCO CREDITO\FER LORCA en ROSITA (Rosita)\ANA LUISA TODO\ROSITA DIAZ\RICARDO CORTES.doc</t>
  </si>
  <si>
    <t>C:\Users\franc\OneDrive\Documentos\MALENTIN KARIME\BANCO CREDITO\FER LORCA en ROSITA (Rosita)\ANA LUISA TODO\ROSITA DIAZ\RICARDO ALFARO (JULIO).doc</t>
  </si>
  <si>
    <t>C:\Users\franc\OneDrive\Documentos\MALENTIN KARIME\BANCO CREDITO\FER LORCA en ROSITA (Rosita)\ANA LUISA TODO\ROSITA DIAZ\RAUL PIZARRO ARAYA.doc</t>
  </si>
  <si>
    <t>C:\Users\franc\OneDrive\Documentos\MALENTIN KARIME\BANCO CREDITO\FER LORCA en ROSITA (Rosita)\ANA LUISA TODO\ROSITA DIAZ\RAUL CORTES (JULIO).doc</t>
  </si>
  <si>
    <t>C:\Users\franc\OneDrive\Documentos\MALENTIN KARIME\BANCO CREDITO\FER LORCA en ROSITA (Rosita)\ANA LUISA TODO\ROSITA DIAZ\RAIMUNDO ROJAS  (JULIO).doc</t>
  </si>
  <si>
    <t>C:\Users\franc\OneDrive\Documentos\MALENTIN KARIME\BANCO CREDITO\FER LORCA en ROSITA (Rosita)\ANA LUISA TODO\ROSITA DIAZ\PEDRO ADONIS SIERRA.doc</t>
  </si>
  <si>
    <t>C:\Users\franc\OneDrive\Documentos\MALENTIN KARIME\BANCO CREDITO\FER LORCA en ROSITA (Rosita)\ANA LUISA TODO\ROSITA DIAZ\PAULINA CASANOVA (JULIO).doc</t>
  </si>
  <si>
    <t>C:\Users\franc\OneDrive\Documentos\MALENTIN KARIME\BANCO CREDITO\FER LORCA en ROSITA (Rosita)\ANA LUISA TODO\ROSITA DIAZ\PATRICIO VELIZ (JULIO).doc</t>
  </si>
  <si>
    <t>C:\Users\franc\OneDrive\Documentos\MALENTIN KARIME\BANCO CREDITO\FER LORCA en ROSITA (Rosita)\ANA LUISA TODO\ROSITA DIAZ\PATRICIO CARVAJAL (JULIO).doc</t>
  </si>
  <si>
    <t>C:\Users\franc\OneDrive\Documentos\MALENTIN KARIME\BANCO CREDITO\FER LORCA en ROSITA (Rosita)\ANA LUISA TODO\ROSITA DIAZ\PAOLA PEREZ (JULIO).doc</t>
  </si>
  <si>
    <t>C:\Users\franc\OneDrive\Documentos\MALENTIN KARIME\BANCO CREDITO\FER LORCA en ROSITA (Rosita)\ANA LUISA TODO\ROSITA DIAZ\PATRICIA PONCE.doc</t>
  </si>
  <si>
    <t>C:\Users\franc\OneDrive\Documentos\MALENTIN KARIME\BANCO CREDITO\FER LORCA en ROSITA (Rosita)\ANA LUISA TODO\ROSITA DIAZ\OSCAR ROJAS.doc</t>
  </si>
  <si>
    <t>C:\Users\franc\OneDrive\Documentos\MALENTIN KARIME\BANCO CREDITO\FER LORCA en ROSITA (Rosita)\ANA LUISA TODO\ROSITA DIAZ\OSCAR PIÑONES.doc</t>
  </si>
  <si>
    <t>C:\Users\franc\OneDrive\Documentos\MALENTIN KARIME\BANCO CREDITO\FER LORCA en ROSITA (Rosita)\ANA LUISA TODO\ROSITA DIAZ\OSCAR ROJAS (JULIO).doc</t>
  </si>
  <si>
    <t>C:\Users\franc\OneDrive\Documentos\MALENTIN KARIME\BANCO CREDITO\FER LORCA en ROSITA (Rosita)\ANA LUISA TODO\ROSITA DIAZ\OSCAR CORTES CORTES.doc</t>
  </si>
  <si>
    <t>C:\Users\franc\OneDrive\Documentos\MALENTIN KARIME\BANCO CREDITO\FER LORCA en ROSITA (Rosita)\ANA LUISA TODO\ROSITA DIAZ\ORIETA CHACANA  (JULIO).doc</t>
  </si>
  <si>
    <t>C:\Users\franc\OneDrive\Documentos\MALENTIN KARIME\BANCO CREDITO\FER LORCA en ROSITA (Rosita)\ANA LUISA TODO\ROSITA DIAZ\OSCAR CORTES (JULIO).doc</t>
  </si>
  <si>
    <t>C:\Users\franc\OneDrive\Documentos\MALENTIN KARIME\BANCO CREDITO\FER LORCA en ROSITA (Rosita)\ANA LUISA TODO\ROSITA DIAZ\OMAR CAMPOS (JULIO).doc</t>
  </si>
  <si>
    <t>C:\Users\franc\OneDrive\Documentos\MALENTIN KARIME\BANCO CREDITO\FER LORCA en ROSITA (Rosita)\ANA LUISA TODO\ROSITA DIAZ\NELSON SANDOVAL ROJAS.doc</t>
  </si>
  <si>
    <t>C:\Users\franc\OneDrive\Documentos\MALENTIN KARIME\BANCO CREDITO\FER LORCA en ROSITA (Rosita)\ANA LUISA TODO\ROSITA DIAZ\NILO SANTIBAÑEZ ZAPATA.doc</t>
  </si>
  <si>
    <t>C:\Users\franc\OneDrive\Documentos\MALENTIN KARIME\BANCO CREDITO\FER LORCA en ROSITA (Rosita)\ANA LUISA TODO\ROSITA DIAZ\MISAEL TAPIA.doc</t>
  </si>
  <si>
    <t>C:\Users\franc\OneDrive\Documentos\MALENTIN KARIME\BANCO CREDITO\FER LORCA en ROSITA (Rosita)\ANA LUISA TODO\ROSITA DIAZ\MIGUEL ARAYA  (JULIO).doc</t>
  </si>
  <si>
    <t>C:\Users\franc\OneDrive\Documentos\MALENTIN KARIME\BANCO CREDITO\FER LORCA en ROSITA (Rosita)\ANA LUISA TODO\ROSITA DIAZ\MISAEL TAPIA  (JULIO).doc</t>
  </si>
  <si>
    <t>C:\Users\franc\OneDrive\Documentos\MALENTIN KARIME\BANCO CREDITO\FER LORCA en ROSITA (Rosita)\ANA LUISA TODO\ROSITA DIAZ\MERCEDES ZEPEDA (JULIO).doc</t>
  </si>
  <si>
    <t>C:\Users\franc\OneDrive\Documentos\MALENTIN KARIME\BANCO CREDITO\FER LORCA en ROSITA (Rosita)\ANA LUISA TODO\ROSITA DIAZ\MAURICIO ZEPEDA  (JULIO).doc</t>
  </si>
  <si>
    <t>C:\Users\franc\OneDrive\Documentos\MALENTIN KARIME\BANCO CREDITO\FER LORCA en ROSITA (Rosita)\ANA LUISA TODO\ROSITA DIAZ\MELISA RODRIGUEZ   (JULIO).doc</t>
  </si>
  <si>
    <t>C:\Users\franc\OneDrive\Documentos\MALENTIN KARIME\BANCO CREDITO\FER LORCA en ROSITA (Rosita)\ANA LUISA TODO\ROSITA DIAZ\MARTIN ORDENES (JULIO).doc</t>
  </si>
  <si>
    <t>C:\Users\franc\OneDrive\Documentos\MALENTIN KARIME\BANCO CREDITO\FER LORCA en ROSITA (Rosita)\ANA LUISA TODO\ROSITA DIAZ\MARIO MUTARELLO (JULIO).doc</t>
  </si>
  <si>
    <t>C:\Users\franc\OneDrive\Documentos\MALENTIN KARIME\BANCO CREDITO\FER LORCA en ROSITA (Rosita)\ANA LUISA TODO\ROSITA DIAZ\MARIO ECHEVERRIA TAPIA.doc</t>
  </si>
  <si>
    <t>C:\Users\franc\OneDrive\Documentos\MALENTIN KARIME\BANCO CREDITO\FER LORCA en ROSITA (Rosita)\ANA LUISA TODO\ROSITA DIAZ\MARIA VELIZ ROJAS.doc</t>
  </si>
  <si>
    <t>C:\Users\franc\OneDrive\Documentos\MALENTIN KARIME\BANCO CREDITO\FER LORCA en ROSITA (Rosita)\ANA LUISA TODO\ROSITA DIAZ\MARIA CONTRERAS VEAS  (JULIO).doc</t>
  </si>
  <si>
    <t>C:\Users\franc\OneDrive\Documentos\MALENTIN KARIME\BANCO CREDITO\FER LORCA en ROSITA (Rosita)\ANA LUISA TODO\ROSITA DIAZ\MARIA AVILA AVILA.doc</t>
  </si>
  <si>
    <t>C:\Users\franc\OneDrive\Documentos\MALENTIN KARIME\BANCO CREDITO\FER LORCA en ROSITA (Rosita)\ANA LUISA TODO\ROSITA DIAZ\MARGARITA SILVA (JULIO).doc</t>
  </si>
  <si>
    <t>C:\Users\franc\OneDrive\Documentos\MALENTIN KARIME\BANCO CREDITO\FER LORCA en ROSITA (Rosita)\ANA LUISA TODO\ROSITA DIAZ\MARCELO JIMENEZ (JULIO).doc</t>
  </si>
  <si>
    <t>C:\Users\franc\OneDrive\Documentos\MALENTIN KARIME\BANCO CREDITO\FER LORCA en ROSITA (Rosita)\ANA LUISA TODO\ROSITA DIAZ\MARCELA MUÑOZ MOLINA.doc</t>
  </si>
  <si>
    <t>C:\Users\franc\OneDrive\Documentos\MALENTIN KARIME\BANCO CREDITO\FER LORCA en ROSITA (Rosita)\ANA LUISA TODO\ROSITA DIAZ\LUIS PEREZ.doc</t>
  </si>
  <si>
    <t>C:\Users\franc\OneDrive\Documentos\MALENTIN KARIME\BANCO CREDITO\FER LORCA en ROSITA (Rosita)\ANA LUISA TODO\ROSITA DIAZ\LUIS PEREZ CONTRERS.doc</t>
  </si>
  <si>
    <t>C:\Users\franc\OneDrive\Documentos\MALENTIN KARIME\BANCO CREDITO\FER LORCA en ROSITA (Rosita)\ANA LUISA TODO\ROSITA DIAZ\LORENA CORTES  (JULIO).doc</t>
  </si>
  <si>
    <t>C:\Users\franc\OneDrive\Documentos\MALENTIN KARIME\BANCO CREDITO\FER LORCA en ROSITA (Rosita)\ANA LUISA TODO\ROSITA DIAZ\LEONEL ALFARO.doc</t>
  </si>
  <si>
    <t>C:\Users\franc\OneDrive\Documentos\MALENTIN KARIME\BANCO CREDITO\FER LORCA en ROSITA (Rosita)\ANA LUISA TODO\ROSITA DIAZ\JULIO RAMOS.doc</t>
  </si>
  <si>
    <t>C:\Users\franc\OneDrive\Documentos\MALENTIN KARIME\BANCO CREDITO\FER LORCA en ROSITA (Rosita)\ANA LUISA TODO\ROSITA DIAZ\JUAN VEGA MONDACA.doc</t>
  </si>
  <si>
    <t>C:\Users\franc\OneDrive\Documentos\MALENTIN KARIME\BANCO CREDITO\FER LORCA en ROSITA (Rosita)\ANA LUISA TODO\ROSITA DIAZ\JUAN TAPIA BARRERA (JULIO).doc</t>
  </si>
  <si>
    <t>C:\Users\franc\OneDrive\Documentos\MALENTIN KARIME\BANCO CREDITO\FER LORCA en ROSITA (Rosita)\ANA LUISA TODO\ROSITA DIAZ\JOSE TAPIA (JULIO).doc</t>
  </si>
  <si>
    <t>C:\Users\franc\OneDrive\Documentos\MALENTIN KARIME\BANCO CREDITO\FER LORCA en ROSITA (Rosita)\ANA LUISA TODO\ROSITA DIAZ\JOSE BARRAZA ARAYA.doc</t>
  </si>
  <si>
    <t>C:\Users\franc\OneDrive\Documentos\MALENTIN KARIME\BANCO CREDITO\FER LORCA en ROSITA (Rosita)\ANA LUISA TODO\ROSITA DIAZ\JOSE AGUILERA (JULIO).doc</t>
  </si>
  <si>
    <t>C:\Users\franc\OneDrive\Documentos\MALENTIN KARIME\BANCO CREDITO\FER LORCA en ROSITA (Rosita)\ANA LUISA TODO\ROSITA DIAZ\JIMENA ARAYA (JULIO).doc</t>
  </si>
  <si>
    <t>C:\Users\franc\OneDrive\Documentos\MALENTIN KARIME\BANCO CREDITO\FER LORCA en ROSITA (Rosita)\ANA LUISA TODO\ROSITA DIAZ\JIMENA ARAYA  (JULIO).doc</t>
  </si>
  <si>
    <t>C:\Users\franc\OneDrive\Documentos\MALENTIN KARIME\BANCO CREDITO\FER LORCA en ROSITA (Rosita)\ANA LUISA TODO\ROSITA DIAZ\JESSICA ARAYA (JULIO).doc</t>
  </si>
  <si>
    <t>C:\Users\franc\OneDrive\Documentos\MALENTIN KARIME\BANCO CREDITO\FER LORCA en ROSITA (Rosita)\ANA LUISA TODO\ROSITA DIAZ\JEISY GALLARDO OSSANDON.doc</t>
  </si>
  <si>
    <t>C:\Users\franc\OneDrive\Documentos\MALENTIN KARIME\BANCO CREDITO\FER LORCA en ROSITA (Rosita)\ANA LUISA TODO\ROSITA DIAZ\IRENE ARACENA.doc</t>
  </si>
  <si>
    <t>C:\Users\franc\OneDrive\Documentos\MALENTIN KARIME\BANCO CREDITO\FER LORCA en ROSITA (Rosita)\ANA LUISA TODO\ROSITA DIAZ\IVAN VEGA (JULIO).doc</t>
  </si>
  <si>
    <t>C:\Users\franc\OneDrive\Documentos\MALENTIN KARIME\BANCO CREDITO\FER LORCA en ROSITA (Rosita)\ANA LUISA TODO\ROSITA DIAZ\INGRID CASTILLO (JULIO).doc</t>
  </si>
  <si>
    <t>C:\Users\franc\OneDrive\Documentos\MALENTIN KARIME\BANCO CREDITO\FER LORCA en ROSITA (Rosita)\ANA LUISA TODO\ROSITA DIAZ\HUMBERTO RODRIGUEZ (JULIO).doc</t>
  </si>
  <si>
    <t>C:\Users\franc\OneDrive\Documentos\MALENTIN KARIME\BANCO CREDITO\FER LORCA en ROSITA (Rosita)\ANA LUISA TODO\ROSITA DIAZ\HUGO CORDOVA GALLARDO.doc</t>
  </si>
  <si>
    <t>C:\Users\franc\OneDrive\Documentos\MALENTIN KARIME\BANCO CREDITO\FER LORCA en ROSITA (Rosita)\ANA LUISA TODO\ROSITA DIAZ\GUILLERMO VIDAURRE (JULIO).doc</t>
  </si>
  <si>
    <t>C:\Users\franc\OneDrive\Documentos\MALENTIN KARIME\BANCO CREDITO\FER LORCA en ROSITA (Rosita)\ANA LUISA TODO\ROSITA DIAZ\GREGORIO PEREZ.doc</t>
  </si>
  <si>
    <t>C:\Users\franc\OneDrive\Documentos\MALENTIN KARIME\BANCO CREDITO\FER LORCA en ROSITA (Rosita)\ANA LUISA TODO\ROSITA DIAZ\GREGORIO PEREZ (JULIO).doc</t>
  </si>
  <si>
    <t>C:\Users\franc\OneDrive\Documentos\MALENTIN KARIME\BANCO CREDITO\FER LORCA en ROSITA (Rosita)\ANA LUISA TODO\ROSITA DIAZ\GARY CARVAJAL   (JULIO).doc</t>
  </si>
  <si>
    <t>C:\Users\franc\OneDrive\Documentos\MALENTIN KARIME\BANCO CREDITO\FER LORCA en ROSITA (Rosita)\ANA LUISA TODO\ROSITA DIAZ\GABRIEL SARMIENTO.doc</t>
  </si>
  <si>
    <t>C:\Users\franc\OneDrive\Documentos\MALENTIN KARIME\BANCO CREDITO\FER LORCA en ROSITA (Rosita)\ANA LUISA TODO\ROSITA DIAZ\FRESIA BECERRA.doc</t>
  </si>
  <si>
    <t>C:\Users\franc\OneDrive\Documentos\MALENTIN KARIME\BANCO CREDITO\FER LORCA en ROSITA (Rosita)\ANA LUISA TODO\ROSITA DIAZ\FIDEL LEYTON (JULIO).doc</t>
  </si>
  <si>
    <t>C:\Users\franc\OneDrive\Documentos\MALENTIN KARIME\BANCO CREDITO\FER LORCA en ROSITA (Rosita)\ANA LUISA TODO\ROSITA DIAZ\FABIOLA CISTERNAS.doc</t>
  </si>
  <si>
    <t>C:\Users\franc\OneDrive\Documentos\MALENTIN KARIME\BANCO CREDITO\FER LORCA en ROSITA (Rosita)\ANA LUISA TODO\ROSITA DIAZ\ETHEL BRAVO.doc</t>
  </si>
  <si>
    <t>C:\Users\franc\OneDrive\Documentos\MALENTIN KARIME\BANCO CREDITO\FER LORCA en ROSITA (Rosita)\ANA LUISA TODO\ROSITA DIAZ\ESCRITURA REFINANCIAMIENTO PET.doc</t>
  </si>
  <si>
    <t>C:\Users\franc\OneDrive\Documentos\MALENTIN KARIME\BANCO CREDITO\FER LORCA en ROSITA (Rosita)\ANA LUISA TODO\ROSITA DIAZ\ELIZABETH CONTRERAS  (JULIO).doc</t>
  </si>
  <si>
    <t>C:\Users\franc\OneDrive\Documentos\MALENTIN KARIME\BANCO CREDITO\FER LORCA en ROSITA (Rosita)\ANA LUISA TODO\ROSITA DIAZ\EDUARDO OLIVARES (JULIO).doc</t>
  </si>
  <si>
    <t>C:\Users\franc\OneDrive\Documentos\MALENTIN KARIME\BANCO CREDITO\FER LORCA en ROSITA (Rosita)\ANA LUISA TODO\ROSITA DIAZ\EDUARDO CORTES (JULIO).doc</t>
  </si>
  <si>
    <t>C:\Users\franc\OneDrive\Documentos\MALENTIN KARIME\BANCO CREDITO\FER LORCA en ROSITA (Rosita)\ANA LUISA TODO\ROSITA DIAZ\EDITH BONILLA (JULIO).doc</t>
  </si>
  <si>
    <t>C:\Users\franc\OneDrive\Documentos\MALENTIN KARIME\BANCO CREDITO\FER LORCA en ROSITA (Rosita)\ANA LUISA TODO\ROSITA DIAZ\DOMITILA DIAZ.doc</t>
  </si>
  <si>
    <t>C:\Users\franc\OneDrive\Documentos\MALENTIN KARIME\BANCO CREDITO\FER LORCA en ROSITA (Rosita)\ANA LUISA TODO\ROSITA DIAZ\DOMITILA DIAZ  (JULIO).doc</t>
  </si>
  <si>
    <t>C:\Users\franc\OneDrive\Documentos\MALENTIN KARIME\BANCO CREDITO\FER LORCA en ROSITA (Rosita)\ANA LUISA TODO\ROSITA DIAZ\DIGNA JIMENEZ EGAÑA.doc</t>
  </si>
  <si>
    <t>C:\Users\franc\OneDrive\Documentos\MALENTIN KARIME\BANCO CREDITO\FER LORCA en ROSITA (Rosita)\ANA LUISA TODO\ROSITA DIAZ\DEYCE CASTILLO  (JULIO).doc</t>
  </si>
  <si>
    <t>C:\Users\franc\OneDrive\Documentos\MALENTIN KARIME\BANCO CREDITO\FER LORCA en ROSITA (Rosita)\ANA LUISA TODO\ROSITA DIAZ\DAVID MARIN (JULIO)+.doc</t>
  </si>
  <si>
    <t>C:\Users\franc\OneDrive\Documentos\MALENTIN KARIME\BANCO CREDITO\FER LORCA en ROSITA (Rosita)\ANA LUISA TODO\ROSITA DIAZ\DAVID JIMENEZ  (JULIO).doc</t>
  </si>
  <si>
    <t>C:\Users\franc\OneDrive\Documentos\MALENTIN KARIME\BANCO CREDITO\FER LORCA en ROSITA (Rosita)\ANA LUISA TODO\ROSITA DIAZ\DARWIN RIVERA.doc</t>
  </si>
  <si>
    <t>C:\Users\franc\OneDrive\Documentos\MALENTIN KARIME\BANCO CREDITO\FER LORCA en ROSITA (Rosita)\ANA LUISA TODO\ROSITA DIAZ\DARWIN MALEBRAN.doc</t>
  </si>
  <si>
    <t>C:\Users\franc\OneDrive\Documentos\MALENTIN KARIME\BANCO CREDITO\FER LORCA en ROSITA (Rosita)\ANA LUISA TODO\ROSITA DIAZ\DANIEL TORRES (JULIO).doc</t>
  </si>
  <si>
    <t>C:\Users\franc\OneDrive\Documentos\MALENTIN KARIME\BANCO CREDITO\FER LORCA en ROSITA (Rosita)\ANA LUISA TODO\ROSITA DIAZ\CRISTIAN JARA.doc</t>
  </si>
  <si>
    <t>C:\Users\franc\OneDrive\Documentos\MALENTIN KARIME\BANCO CREDITO\FER LORCA en ROSITA (Rosita)\ANA LUISA TODO\ROSITA DIAZ\CLAUDIA NUÑEZ  (JULIO).doc</t>
  </si>
  <si>
    <t>C:\Users\franc\OneDrive\Documentos\MALENTIN KARIME\BANCO CREDITO\FER LORCA en ROSITA (Rosita)\ANA LUISA TODO\ROSITA DIAZ\CESAR DIAZ  (JULIO).doc</t>
  </si>
  <si>
    <t>C:\Users\franc\OneDrive\Documentos\MALENTIN KARIME\BANCO CREDITO\FER LORCA en ROSITA (Rosita)\ANA LUISA TODO\ROSITA DIAZ\CLAUDIA IBAÑEZ (JULIO).doc</t>
  </si>
  <si>
    <t>C:\Users\franc\OneDrive\Documentos\MALENTIN KARIME\BANCO CREDITO\FER LORCA en ROSITA (Rosita)\ANA LUISA TODO\ROSITA DIAZ\CAROLINA MALDONADOL (JULIO).doc</t>
  </si>
  <si>
    <t>C:\Users\franc\OneDrive\Documentos\MALENTIN KARIME\BANCO CREDITO\FER LORCA en ROSITA (Rosita)\ANA LUISA TODO\ROSITA DIAZ\CARMEN FAJARDO  (JULIO).doc</t>
  </si>
  <si>
    <t>C:\Users\franc\OneDrive\Documentos\MALENTIN KARIME\BANCO CREDITO\FER LORCA en ROSITA (Rosita)\ANA LUISA TODO\ROSITA DIAZ\CARMEN CASTILLO  (JULIO).doc</t>
  </si>
  <si>
    <t>C:\Users\franc\OneDrive\Documentos\MALENTIN KARIME\BANCO CREDITO\FER LORCA en ROSITA (Rosita)\ANA LUISA TODO\ROSITA DIAZ\CARLOS LEON (JULIO ).doc</t>
  </si>
  <si>
    <t>C:\Users\franc\OneDrive\Documentos\MALENTIN KARIME\BANCO CREDITO\FER LORCA en ROSITA (Rosita)\ANA LUISA TODO\ROSITA DIAZ\CARLOS TELLO  (JULIO).doc</t>
  </si>
  <si>
    <t>C:\Users\franc\OneDrive\Documentos\MALENTIN KARIME\BANCO CREDITO\FER LORCA en ROSITA (Rosita)\ANA LUISA TODO\ROSITA DIAZ\BERNARDA GALLEGUILLOS (JULIO).doc</t>
  </si>
  <si>
    <t>C:\Users\franc\OneDrive\Documentos\MALENTIN KARIME\BANCO CREDITO\FER LORCA en ROSITA (Rosita)\ANA LUISA TODO\ROSITA DIAZ\AURELIA CARVAJAL  (JULIO).doc</t>
  </si>
  <si>
    <t>C:\Users\franc\OneDrive\Documentos\MALENTIN KARIME\BANCO CREDITO\FER LORCA en ROSITA (Rosita)\ANA LUISA TODO\ROSITA DIAZ\BENITO ALFARO  (JULIO).doc</t>
  </si>
  <si>
    <t>C:\Users\franc\OneDrive\Documentos\MALENTIN KARIME\BANCO CREDITO\FER LORCA en ROSITA (Rosita)\ANA LUISA TODO\ROSITA DIAZ\ARNOLDO CORTES  (JULIO).doc</t>
  </si>
  <si>
    <t>C:\Users\franc\OneDrive\Documentos\MALENTIN KARIME\BANCO CREDITO\FER LORCA en ROSITA (Rosita)\ANA LUISA TODO\ROSITA DIAZ\ANA TELLO (JULIO).doc</t>
  </si>
  <si>
    <t>C:\Users\franc\OneDrive\Documentos\MALENTIN KARIME\BANCO CREDITO\FER LORCA en ROSITA (Rosita)\ANA LUISA TODO\ROSITA DIAZ\ANA ARAYA PERINES.doc</t>
  </si>
  <si>
    <t>C:\Users\franc\OneDrive\Documentos\MALENTIN KARIME\BANCO CREDITO\FER LORCA en ROSITA (Rosita)\ANA LUISA TODO\ROSITA DIAZ\ALEXANDRA ARAYA (JULIO).doc</t>
  </si>
  <si>
    <t>C:\Users\franc\OneDrive\Documentos\MALENTIN KARIME\BANCO CREDITO\FER LORCA en ROSITA (Rosita)\ANA LUISA TODO\ROSITA DIAZ\ALEX ROJAS MIRANDA.doc</t>
  </si>
  <si>
    <t>C:\Users\franc\OneDrive\Documentos\MALENTIN KARIME\BANCO CREDITO\FER LORCA en ROSITA (Rosita)\ANA LUISA TODO\ROSITA DIAZ\ALEX LOPEZ (JULIO).doc</t>
  </si>
  <si>
    <t>C:\Users\franc\OneDrive\Documentos\MALENTIN KARIME\BANCO CREDITO\FER LORCA en ROSITA (Rosita)\ANA LUISA TODO\ROSITA DIAZ\ADELINA SALAZAR  (JULIO).doc</t>
  </si>
  <si>
    <t>C:\Users\franc\OneDrive\Documentos\MALENTIN KARIME\BANCO CREDITO\FER LORCA en ROSITA (Rosita)\ANA LUISA TODO\ROSITA DIAZ\ABRAHAM MALEBRAN  (JULIO).doc</t>
  </si>
  <si>
    <t>C:\Users\franc\OneDrive\Documentos\MALENTIN KARIME\BANCO CREDITO\FER LORCA en ROSITA (Rosita)\ANA LUISA TODO\ROSITA DIAZ\ABELARDO LOPEZ   (JULIO).doc</t>
  </si>
  <si>
    <t>C:\Users\franc\OneDrive\Documentos\MALENTIN KARIME\BANCO CREDITO\FER LORCA en ROSITA (Rosita)\ANA LUISA TODO\ROMUALDO HERNANDEZ ABOGADO\GABRIELA JOPIA A SUS HIJOS CV CON USUFRUCTO.doc</t>
  </si>
  <si>
    <t>C:\Users\franc\OneDrive\Documentos\MALENTIN KARIME\BANCO CREDITO\FER LORCA en ROSITA (Rosita)\ANA LUISA TODO\ROMUALDO HERNANDEZ ABOGADO\GABRIELA JOPIA  - CESION.doc</t>
  </si>
  <si>
    <t>C:\Users\franc\OneDrive\Documentos\MALENTIN KARIME\BANCO CREDITO\FER LORCA en ROSITA (Rosita)\ANA LUISA TODO\RODRIGO ORTIZ\MARISOL CASTRO ACUERDO.doc</t>
  </si>
  <si>
    <t>C:\Users\franc\OneDrive\Documentos\MALENTIN KARIME\BANCO CREDITO\FER LORCA en ROSITA (Rosita)\ANA LUISA TODO\RODRIGO ORTIZ\MARISOL CASTRO (MANDATO).doc</t>
  </si>
  <si>
    <t>C:\Users\franc\OneDrive\Documentos\MALENTIN KARIME\BANCO CREDITO\FER LORCA en ROSITA (Rosita)\ANA LUISA TODO\ROBERTO VEGA\TRANSPORTES OVALLE A ROBERTO VEGA C..doc</t>
  </si>
  <si>
    <t>C:\Users\franc\OneDrive\Documentos\MALENTIN KARIME\BANCO CREDITO\FER LORCA en ROSITA (Rosita)\ANA LUISA TODO\ROBERTO VEGA\SOCIEDAD VALLE NORTE (LUIS SORUCO).doc</t>
  </si>
  <si>
    <t>C:\Users\franc\OneDrive\Documentos\MALENTIN KARIME\BANCO CREDITO\FER LORCA en ROSITA (Rosita)\ANA LUISA TODO\ROBERTO VEGA\SOC. VALLE DEL NORTE  EXTRACTO.doc</t>
  </si>
  <si>
    <t>C:\Users\franc\OneDrive\Documentos\MALENTIN KARIME\BANCO CREDITO\FER LORCA en ROSITA (Rosita)\ANA LUISA TODO\ROBERTO VEGA\SOC. SANTA JULIA A ROBERTO CORTES.doc</t>
  </si>
  <si>
    <t>C:\Users\franc\OneDrive\Documentos\MALENTIN KARIME\BANCO CREDITO\FER LORCA en ROSITA (Rosita)\ANA LUISA TODO\ROBERTO VEGA\SOC. MITIMAE A SOC. ALFALFARES.doc</t>
  </si>
  <si>
    <t>C:\Users\franc\OneDrive\Documentos\MALENTIN KARIME\BANCO CREDITO\FER LORCA en ROSITA (Rosita)\ANA LUISA TODO\ROBERTO VEGA\SOC. MITIMAE A SOC. ALFALAFARES (INSTRUCCIONES) nuevas.doc</t>
  </si>
  <si>
    <t>C:\Users\franc\OneDrive\Documentos\MALENTIN KARIME\BANCO CREDITO\FER LORCA en ROSITA (Rosita)\ANA LUISA TODO\ROBERTO VEGA\SOC. MITIMAE A SOC. ALFALAFARES (INSTRUCCIONES).doc</t>
  </si>
  <si>
    <t>C:\Users\franc\OneDrive\Documentos\MALENTIN KARIME\BANCO CREDITO\FER LORCA en ROSITA (Rosita)\ANA LUISA TODO\ROBERTO VEGA\SOC. INCOVEG  A ROBERTO VEGA  (MANDATO JUDICIAL).doc</t>
  </si>
  <si>
    <t>C:\Users\franc\OneDrive\Documentos\MALENTIN KARIME\BANCO CREDITO\FER LORCA en ROSITA (Rosita)\ANA LUISA TODO\ROBERTO VEGA\SOC. ALFALFARES A ROBERTO VEGA  (MANDATO JUDICIAL).doc</t>
  </si>
  <si>
    <t>C:\Users\franc\OneDrive\Documentos\MALENTIN KARIME\BANCO CREDITO\FER LORCA en ROSITA (Rosita)\ANA LUISA TODO\ROBERTO VEGA\SOC. AGRIVET LTDA (FELIPE CORTES DIAZ Y HNO).doc</t>
  </si>
  <si>
    <t>C:\Users\franc\OneDrive\Documentos\MALENTIN KARIME\BANCO CREDITO\FER LORCA en ROSITA (Rosita)\ANA LUISA TODO\ROBERTO VEGA\ROBERTO VEGA ALCAYAGA A ROBERTO VEGA C. (MANDATO JUDICIAL).doc</t>
  </si>
  <si>
    <t>C:\Users\franc\OneDrive\Documentos\MALENTIN KARIME\BANCO CREDITO\FER LORCA en ROSITA (Rosita)\ANA LUISA TODO\ROBERTO VEGA\ROBERTO VEGA A SELEM DAIRE (ACLARACION).doc</t>
  </si>
  <si>
    <t>C:\Users\franc\OneDrive\Documentos\MALENTIN KARIME\BANCO CREDITO\FER LORCA en ROSITA (Rosita)\ANA LUISA TODO\ROBERTO VEGA\ROBERTO VEGA A ALFALFARES A ROBERTO VEGA.doc</t>
  </si>
  <si>
    <t>C:\Users\franc\OneDrive\Documentos\MALENTIN KARIME\BANCO CREDITO\FER LORCA en ROSITA (Rosita)\ANA LUISA TODO\ROBERTO VEGA\RICARDO TELLO TAPIA A RICARDO TELLO VEGA (CV).doc</t>
  </si>
  <si>
    <t>C:\Users\franc\OneDrive\Documentos\MALENTIN KARIME\BANCO CREDITO\FER LORCA en ROSITA (Rosita)\ANA LUISA TODO\ROBERTO VEGA\RENA MIRANDA Y OTR. A ROBERTO VEGA.doc</t>
  </si>
  <si>
    <t>C:\Users\franc\OneDrive\Documentos\MALENTIN KARIME\BANCO CREDITO\FER LORCA en ROSITA (Rosita)\ANA LUISA TODO\ROBERTO VEGA\RAUL SAUVAGEOT Y SYLVIA DIAZ (LIQ. SOC. CONYUGALdefinitiva junio 2009.doc</t>
  </si>
  <si>
    <t>C:\Users\franc\OneDrive\Documentos\MALENTIN KARIME\BANCO CREDITO\FER LORCA en ROSITA (Rosita)\ANA LUISA TODO\ROBERTO VEGA\RAUL SAUVAGEOT Y SYLVIA DIAZ (LIQ. SOC. CONYUGAL).doc</t>
  </si>
  <si>
    <t>C:\Users\franc\OneDrive\Documentos\MALENTIN KARIME\BANCO CREDITO\FER LORCA en ROSITA (Rosita)\ANA LUISA TODO\ROBERTO VEGA\RAUL SAUVAGEOT Y SYLVIA DIAZ (LIQ. SOC. CONYUGAL finasl.doc</t>
  </si>
  <si>
    <t>C:\Users\franc\OneDrive\Documentos\MALENTIN KARIME\BANCO CREDITO\FER LORCA en ROSITA (Rosita)\ANA LUISA TODO\ROBERTO VEGA\RAUL SAUVAGEOT DIAZ (LIQUIDACION SOC. CONYUGAL).doc</t>
  </si>
  <si>
    <t>C:\Users\franc\OneDrive\Documentos\MALENTIN KARIME\BANCO CREDITO\FER LORCA en ROSITA (Rosita)\ANA LUISA TODO\ROBERTO VEGA\PODER SII.doc</t>
  </si>
  <si>
    <t>C:\Users\franc\OneDrive\Documentos\MALENTIN KARIME\BANCO CREDITO\FER LORCA en ROSITA (Rosita)\ANA LUISA TODO\ROBERTO VEGA\PRUDELIA PIZARRO (RENUNCIA HERENCIA).doc</t>
  </si>
  <si>
    <t>C:\Users\franc\OneDrive\Documentos\MALENTIN KARIME\BANCO CREDITO\FER LORCA en ROSITA (Rosita)\ANA LUISA TODO\ROBERTO VEGA\PAULINA GALVEZ ACLARATORIA.doc</t>
  </si>
  <si>
    <t>C:\Users\franc\OneDrive\Documentos\MALENTIN KARIME\BANCO CREDITO\FER LORCA en ROSITA (Rosita)\ANA LUISA TODO\ROBERTO VEGA\MARIO RAMIREZ Y OTROS A ROBERTO VEGA ALCAYAGA.doc</t>
  </si>
  <si>
    <t>C:\Users\franc\OneDrive\Documentos\MALENTIN KARIME\BANCO CREDITO\FER LORCA en ROSITA (Rosita)\ANA LUISA TODO\ROBERTO VEGA\PAULINA GALVEZ - HUGO GALVEZ.doc</t>
  </si>
  <si>
    <t>C:\Users\franc\OneDrive\Documentos\MALENTIN KARIME\BANCO CREDITO\FER LORCA en ROSITA (Rosita)\ANA LUISA TODO\ROBERTO VEGA\MANDATO JUDICIAL CORTES JILES.doc</t>
  </si>
  <si>
    <t>C:\Users\franc\OneDrive\Documentos\MALENTIN KARIME\BANCO CREDITO\FER LORCA en ROSITA (Rosita)\ANA LUISA TODO\ROBERTO VEGA\MANDATO ALFALFARES.doc</t>
  </si>
  <si>
    <t>C:\Users\franc\OneDrive\Documentos\MALENTIN KARIME\BANCO CREDITO\FER LORCA en ROSITA (Rosita)\ANA LUISA TODO\ROBERTO VEGA\JOSE SORUCO (RECTIFICACION).doc</t>
  </si>
  <si>
    <t>C:\Users\franc\OneDrive\Documentos\MALENTIN KARIME\BANCO CREDITO\FER LORCA en ROSITA (Rosita)\ANA LUISA TODO\ROBERTO VEGA\INMOBILIARIA CHACON A ROBERTO VEGA (AGUAS).doc</t>
  </si>
  <si>
    <t>C:\Users\franc\OneDrive\Documentos\MALENTIN KARIME\BANCO CREDITO\FER LORCA en ROSITA (Rosita)\ANA LUISA TODO\ROBERTO VEGA\HUGO GALVEZ ( RECTIFICATORIA).doc</t>
  </si>
  <si>
    <t>C:\Users\franc\OneDrive\Documentos\MALENTIN KARIME\BANCO CREDITO\FER LORCA en ROSITA (Rosita)\ANA LUISA TODO\ROBERTO VEGA\HUGO GALVEZ A CRISTIAN GALVEZ.doc</t>
  </si>
  <si>
    <t>C:\Users\franc\OneDrive\Documentos\MALENTIN KARIME\BANCO CREDITO\FER LORCA en ROSITA (Rosita)\ANA LUISA TODO\ROBERTO VEGA\FRANCISCO JIMENEZ (MANDATO JUDICIAL).doc</t>
  </si>
  <si>
    <t>C:\Users\franc\OneDrive\Documentos\MALENTIN KARIME\BANCO CREDITO\FER LORCA en ROSITA (Rosita)\ANA LUISA TODO\ROBERTO VEGA\HECTOR GUZMAN A ROBERTO VEGA.doc</t>
  </si>
  <si>
    <t>C:\Users\franc\OneDrive\Documentos\MALENTIN KARIME\BANCO CREDITO\FER LORCA en ROSITA (Rosita)\ANA LUISA TODO\ROBERTO VEGA\EXTRACTO.doc</t>
  </si>
  <si>
    <t>C:\Users\franc\OneDrive\Documentos\MALENTIN KARIME\BANCO CREDITO\FER LORCA en ROSITA (Rosita)\ANA LUISA TODO\ROBERTO VEGA\ELSA BUGUEÑO TESTAMENTO.doc</t>
  </si>
  <si>
    <t>C:\Users\franc\OneDrive\Documentos\MALENTIN KARIME\BANCO CREDITO\FER LORCA en ROSITA (Rosita)\ANA LUISA TODO\ROBERTO VEGA\COMPRAVENTA mod.doc</t>
  </si>
  <si>
    <t>C:\Users\franc\OneDrive\Documentos\MALENTIN KARIME\BANCO CREDITO\FER LORCA en ROSITA (Rosita)\ANA LUISA TODO\ROBERTO VEGA\CESION DERECHOS GONZALEZ CALLEJAS.doc</t>
  </si>
  <si>
    <t>C:\Users\franc\OneDrive\Documentos\MALENTIN KARIME\BANCO CREDITO\FER LORCA en ROSITA (Rosita)\ANA LUISA TODO\ROBERTO VEGA\CECILIA VERGARA - MANDATO JUDICIAL.doc</t>
  </si>
  <si>
    <t>C:\Users\franc\OneDrive\Documentos\MALENTIN KARIME\BANCO CREDITO\FER LORCA en ROSITA (Rosita)\ANA LUISA TODO\ROBERTO VEGA\CARMEN VILLALON A SOC. ALFALFARES.doc</t>
  </si>
  <si>
    <t>C:\Users\franc\OneDrive\Documentos\MALENTIN KARIME\BANCO CREDITO\FER LORCA en ROSITA (Rosita)\ANA LUISA TODO\ROBERTO VEGA\ASOC. DUEÑOS DE CAMIONES A SOC. TRANSP. OVALLE (ACLARA).doc</t>
  </si>
  <si>
    <t>C:\Users\franc\OneDrive\Documentos\MALENTIN KARIME\BANCO CREDITO\FER LORCA en ROSITA (Rosita)\ANA LUISA TODO\ROBERTO VEGA\ARRIENDO AGUAS ROBERTO VEGA A ALFALFARES.doc</t>
  </si>
  <si>
    <t>C:\Users\franc\OneDrive\Documentos\MALENTIN KARIME\BANCO CREDITO\FER LORCA en ROSITA (Rosita)\ANA LUISA TODO\ROBERTO VEGA\ACTA TRANSP. OVALLE.doc</t>
  </si>
  <si>
    <t>C:\Users\franc\OneDrive\Documentos\MALENTIN KARIME\BANCO CREDITO\FER LORCA en ROSITA (Rosita)\ANA LUISA TODO\ROBERTO VEGA\ACLARATORIA ADRIANA ALUCEMA A CESAR MUÑOZ.doc</t>
  </si>
  <si>
    <t>C:\Users\franc\OneDrive\Documentos\MALENTIN KARIME\BANCO CREDITO\FER LORCA en ROSITA (Rosita)\ANA LUISA TODO\ROBERTO VEGA\(DACION EN PAGO).doc</t>
  </si>
  <si>
    <t>C:\Users\franc\OneDrive\Documentos\MALENTIN KARIME\BANCO CREDITO\FER LORCA en ROSITA (Rosita)\ANA LUISA TODO\RIO BLANCO\OSCAR ANDRADES.doc</t>
  </si>
  <si>
    <t>C:\Users\franc\OneDrive\Documentos\MALENTIN KARIME\BANCO CREDITO\FER LORCA en ROSITA (Rosita)\ANA LUISA TODO\RIO BLANCO\OSCAR ANDRADE.doc</t>
  </si>
  <si>
    <t>C:\Users\franc\OneDrive\Documentos\MALENTIN KARIME\BANCO CREDITO\FER LORCA en ROSITA (Rosita)\ANA LUISA TODO\REVOCACION\PATRICIA VALDERRAMA (TESTAMENTO).doc</t>
  </si>
  <si>
    <t>C:\Users\franc\OneDrive\Documentos\MALENTIN KARIME\BANCO CREDITO\FER LORCA en ROSITA (Rosita)\ANA LUISA TODO\REVOCACION\LILIANA ALFARO A CLAUDIO ARDILES.doc</t>
  </si>
  <si>
    <t>C:\Users\franc\OneDrive\Documentos\MALENTIN KARIME\BANCO CREDITO\FER LORCA en ROSITA (Rosita)\ANA LUISA TODO\REVOCACION\MARIA RODRIGUEZ A JULIO POLANCO.doc</t>
  </si>
  <si>
    <t>C:\Users\franc\OneDrive\Documentos\MALENTIN KARIME\BANCO CREDITO\FER LORCA en ROSITA (Rosita)\ANA LUISA TODO\REVOCACION\LEONARDO VELIZ A INGRID MARIN.doc</t>
  </si>
  <si>
    <t>C:\Users\franc\OneDrive\Documentos\MALENTIN KARIME\BANCO CREDITO\FER LORCA en ROSITA (Rosita)\ANA LUISA TODO\REVOCACION\FLORIDA RAMOS BARRAZA.doc</t>
  </si>
  <si>
    <t>C:\Users\franc\OneDrive\Documentos\MALENTIN KARIME\BANCO CREDITO\FER LORCA en ROSITA (Rosita)\ANA LUISA TODO\REVOCACION\EDOMILIA ALFARO (TESTAMENTO).doc</t>
  </si>
  <si>
    <t>C:\Users\franc\OneDrive\Documentos\MALENTIN KARIME\BANCO CREDITO\FER LORCA en ROSITA (Rosita)\ANA LUISA TODO\RESCILIACION\SOC. AGRICOLA MITIMAE A ALFALFARES.doc</t>
  </si>
  <si>
    <t>C:\Users\franc\OneDrive\Documentos\MALENTIN KARIME\BANCO CREDITO\FER LORCA en ROSITA (Rosita)\ANA LUISA TODO\REVOCACION\AGRICOLA AGUSTIN ARAYA A CLAUDIO ARDILES.doc</t>
  </si>
  <si>
    <t>C:\Users\franc\OneDrive\Documentos\MALENTIN KARIME\BANCO CREDITO\FER LORCA en ROSITA (Rosita)\ANA LUISA TODO\RESCILIACION\OSVALDO PARRA A FCO. GONZALEZ (HALCON 1-10).doc</t>
  </si>
  <si>
    <t>C:\Users\franc\OneDrive\Documentos\MALENTIN KARIME\BANCO CREDITO\FER LORCA en ROSITA (Rosita)\ANA LUISA TODO\RESCILIACION\MIGUEL TAPIA Y OTRO A JORGE CUELLO (ARRIENDO).doc</t>
  </si>
  <si>
    <t>C:\Users\franc\OneDrive\Documentos\MALENTIN KARIME\BANCO CREDITO\FER LORCA en ROSITA (Rosita)\ANA LUISA TODO\RESCILIACION\MATILDE CORTES A JESSICA LOPEZ (DERECHO EN COMUNIDAD).doc</t>
  </si>
  <si>
    <t>C:\Users\franc\OneDrive\Documentos\MALENTIN KARIME\BANCO CREDITO\FER LORCA en ROSITA (Rosita)\ANA LUISA TODO\RESCILIACION\MARIA TELLO A RODRIGO GUZMAN (PROMESA).doc</t>
  </si>
  <si>
    <t>C:\Users\franc\OneDrive\Documentos\MALENTIN KARIME\BANCO CREDITO\FER LORCA en ROSITA (Rosita)\ANA LUISA TODO\RESCILIACION\JUAN ADAOS Y OTROS A  WILLIAM (COMPRAVENTA SIN INSCIRP).doc</t>
  </si>
  <si>
    <t>C:\Users\franc\OneDrive\Documentos\MALENTIN KARIME\BANCO CREDITO\FER LORCA en ROSITA (Rosita)\ANA LUISA TODO\RESCILIACION\MANUEL BRAVO A SOC. DON CARLOS (SALEM).doc</t>
  </si>
  <si>
    <t>C:\Users\franc\OneDrive\Documentos\MALENTIN KARIME\BANCO CREDITO\FER LORCA en ROSITA (Rosita)\ANA LUISA TODO\RESCILIACION\JORGE ARACENA A JORGE CUELLO (ARRIENDO) PRIVADO.doc</t>
  </si>
  <si>
    <t>C:\Users\franc\OneDrive\Documentos\MALENTIN KARIME\BANCO CREDITO\FER LORCA en ROSITA (Rosita)\ANA LUISA TODO\RESCILIACION\GABRIEL A GALINDO VELIZ (COMPRAVENTA SIN INSCIRP).doc</t>
  </si>
  <si>
    <t>C:\Users\franc\OneDrive\Documentos\MALENTIN KARIME\BANCO CREDITO\FER LORCA en ROSITA (Rosita)\ANA LUISA TODO\RESCILIACION\INVERSIONES MORALES.doc</t>
  </si>
  <si>
    <t>C:\Users\franc\OneDrive\Documentos\MALENTIN KARIME\BANCO CREDITO\FER LORCA en ROSITA (Rosita)\ANA LUISA TODO\RESCILIACION\EUGENIO DARRIGRANDE A JUAN GUTIERREZ.doc</t>
  </si>
  <si>
    <t>C:\Users\franc\OneDrive\Documentos\MALENTIN KARIME\BANCO CREDITO\FER LORCA en ROSITA (Rosita)\ANA LUISA TODO\RESCILIACION\ALICIDES LISBOA A SOC. MINERA DON CARLOS (ARRIENDO).doc</t>
  </si>
  <si>
    <t>C:\Users\franc\OneDrive\Documentos\MALENTIN KARIME\BANCO CREDITO\FER LORCA en ROSITA (Rosita)\ANA LUISA TODO\REPUDIO\PABLO MELO.doc</t>
  </si>
  <si>
    <t>C:\Users\franc\OneDrive\Documentos\MALENTIN KARIME\BANCO CREDITO\FER LORCA en ROSITA (Rosita)\ANA LUISA TODO\REPUDIO\ANGEL SEGOVIA.doc</t>
  </si>
  <si>
    <t>C:\Users\franc\OneDrive\Documentos\MALENTIN KARIME\BANCO CREDITO\FER LORCA en ROSITA (Rosita)\ANA LUISA TODO\RENUNCIA GANANCIALES\CLAUDIO CASTILLO.doc</t>
  </si>
  <si>
    <t>C:\Users\franc\OneDrive\Documentos\MALENTIN KARIME\BANCO CREDITO\FER LORCA en ROSITA (Rosita)\ANA LUISA TODO\RENUNCIA GANANCIALES\MA LORETO CAMPOS.doc</t>
  </si>
  <si>
    <t>C:\Users\franc\OneDrive\Documentos\MALENTIN KARIME\BANCO CREDITO\FER LORCA en ROSITA (Rosita)\ANA LUISA TODO\RENDICION\LUIS ROJAS A MINERA MARUJA.doc</t>
  </si>
  <si>
    <t>C:\Users\franc\OneDrive\Documentos\MALENTIN KARIME\BANCO CREDITO\FER LORCA en ROSITA (Rosita)\ANA LUISA TODO\REMATES\MINAS.doc</t>
  </si>
  <si>
    <t>C:\Users\franc\OneDrive\Documentos\MALENTIN KARIME\BANCO CREDITO\FER LORCA en ROSITA (Rosita)\ANA LUISA TODO\REMATES\REMATE EL CHAVO UNA.doc</t>
  </si>
  <si>
    <t>C:\Users\franc\OneDrive\Documentos\MALENTIN KARIME\BANCO CREDITO\FER LORCA en ROSITA (Rosita)\ANA LUISA TODO\REMATES\CUEVAS.doc</t>
  </si>
  <si>
    <t>C:\Users\franc\OneDrive\Documentos\MALENTIN KARIME\BANCO CREDITO\FER LORCA en ROSITA (Rosita)\ANA LUISA TODO\REGLAMENTO CO-PROPIEDAD\REGLAMENTO Loteo Alto La Chimba.doc</t>
  </si>
  <si>
    <t>C:\Users\franc\OneDrive\Documentos\MALENTIN KARIME\BANCO CREDITO\FER LORCA en ROSITA (Rosita)\ANA LUISA TODO\REDUCCION\VALLE_LIMARI_AUMENTO_K[1].doc</t>
  </si>
  <si>
    <t>C:\Users\franc\OneDrive\Documentos\MALENTIN KARIME\BANCO CREDITO\FER LORCA en ROSITA (Rosita)\ANA LUISA TODO\REDUCCION\ROSITA DE PUNITAQUI.doc</t>
  </si>
  <si>
    <t>C:\Users\franc\OneDrive\Documentos\MALENTIN KARIME\BANCO CREDITO\FER LORCA en ROSITA (Rosita)\ANA LUISA TODO\REDUCCION\PICKERT ARQUITECTOS S.A..doc</t>
  </si>
  <si>
    <t>C:\Users\franc\OneDrive\Documentos\MALENTIN KARIME\BANCO CREDITO\FER LORCA en ROSITA (Rosita)\ANA LUISA TODO\REDUCCION\RESOLUCION MODIFICACION (COLOMBRES).doc</t>
  </si>
  <si>
    <t>C:\Users\franc\OneDrive\Documentos\MALENTIN KARIME\BANCO CREDITO\FER LORCA en ROSITA (Rosita)\ANA LUISA TODO\REDUCCION\PICKERT ARQUITECTOS S.A. FINAL.doc</t>
  </si>
  <si>
    <t>C:\Users\franc\OneDrive\Documentos\MALENTIN KARIME\BANCO CREDITO\FER LORCA en ROSITA (Rosita)\ANA LUISA TODO\REDUCCION\PERMISO EDIFICACION  PROY. INMOBILIARIOS.doc</t>
  </si>
  <si>
    <t>C:\Users\franc\OneDrive\Documentos\MALENTIN KARIME\BANCO CREDITO\FER LORCA en ROSITA (Rosita)\ANA LUISA TODO\REDUCCION\PERMISO EDIFICACION.doc</t>
  </si>
  <si>
    <t>C:\Users\franc\OneDrive\Documentos\MALENTIN KARIME\BANCO CREDITO\FER LORCA en ROSITA (Rosita)\ANA LUISA TODO\REDUCCION\OCHOTIERRAS (RONALD CUELLAR).doc</t>
  </si>
  <si>
    <t>C:\Users\franc\OneDrive\Documentos\MALENTIN KARIME\BANCO CREDITO\FER LORCA en ROSITA (Rosita)\ANA LUISA TODO\REDUCCION\DECRETO 239 FUNDO CHAÑARAL BAJO SUR.doc</t>
  </si>
  <si>
    <t>C:\Users\franc\OneDrive\Documentos\MALENTIN KARIME\BANCO CREDITO\FER LORCA en ROSITA (Rosita)\ANA LUISA TODO\REDUCCION\JUNTA VIGILANCIA RIO HUATULAME.doc</t>
  </si>
  <si>
    <t>C:\Users\franc\OneDrive\Documentos\MALENTIN KARIME\BANCO CREDITO\FER LORCA en ROSITA (Rosita)\ANA LUISA TODO\REDUCCION\CLUB DEPORTIVO MAGALLANES (SOTAQUI) - CHILE DEPORTES.doc</t>
  </si>
  <si>
    <t>C:\Users\franc\OneDrive\Documentos\MALENTIN KARIME\BANCO CREDITO\FER LORCA en ROSITA (Rosita)\ANA LUISA TODO\REDUCCION\CERTIFICADO AUTORIZ MUNICI (EUGENIO CORTES CAROCA).doc</t>
  </si>
  <si>
    <t>C:\Users\franc\OneDrive\Documentos\MALENTIN KARIME\BANCO CREDITO\FER LORCA en ROSITA (Rosita)\ANA LUISA TODO\REDUCCION\ACTA MATRIZ TALQUILLA.doc</t>
  </si>
  <si>
    <t>C:\Users\franc\OneDrive\Documentos\MALENTIN KARIME\BANCO CREDITO\FER LORCA en ROSITA (Rosita)\ANA LUISA TODO\REDUCCION\BOMBEROS OVALLE.doc</t>
  </si>
  <si>
    <t>C:\Users\franc\OneDrive\Documentos\MALENTIN KARIME\BANCO CREDITO\FER LORCA en ROSITA (Rosita)\ANA LUISA TODO\REDUCCION\ACTA JUNTA ASOC. CANAL EMBALSE COGOTI.doc</t>
  </si>
  <si>
    <t>C:\Users\franc\OneDrive\Documentos\MALENTIN KARIME\BANCO CREDITO\FER LORCA en ROSITA (Rosita)\ANA LUISA TODO\REDUCCION\ACTA INVERSIONES TALQUILLA.doc</t>
  </si>
  <si>
    <t>C:\Users\franc\OneDrive\Documentos\MALENTIN KARIME\BANCO CREDITO\FER LORCA en ROSITA (Rosita)\ANA LUISA TODO\REDUCCION\ACTA JUNTA ASOC. CANAL EMBALSE COGOTI  LIBRO.doc</t>
  </si>
  <si>
    <t>C:\Users\franc\OneDrive\Documentos\MALENTIN KARIME\BANCO CREDITO\FER LORCA en ROSITA (Rosita)\ANA LUISA TODO\REDUCCION\ACTA EXPORTADORA VALLE LIMARI.doc</t>
  </si>
  <si>
    <t>C:\Users\franc\OneDrive\Documentos\MALENTIN KARIME\BANCO CREDITO\FER LORCA en ROSITA (Rosita)\ANA LUISA TODO\RECTIFICACION\VERONICA MELLA.doc</t>
  </si>
  <si>
    <t>C:\Users\franc\OneDrive\Documentos\MALENTIN KARIME\BANCO CREDITO\FER LORCA en ROSITA (Rosita)\ANA LUISA TODO\REDUCCION\ACTA DOÑA ADRIANA (ARTIGUES)Ç.doc</t>
  </si>
  <si>
    <t>C:\Users\franc\OneDrive\Documentos\MALENTIN KARIME\BANCO CREDITO\FER LORCA en ROSITA (Rosita)\ANA LUISA TODO\RECTIFICACION\SERGIO CORTES.doc</t>
  </si>
  <si>
    <t>C:\Users\franc\OneDrive\Documentos\MALENTIN KARIME\BANCO CREDITO\FER LORCA en ROSITA (Rosita)\ANA LUISA TODO\RECTIFICACION\SOCIEDAD VERANEO PACIVICO.doc</t>
  </si>
  <si>
    <t>C:\Users\franc\OneDrive\Documentos\MALENTIN KARIME\BANCO CREDITO\FER LORCA en ROSITA (Rosita)\ANA LUISA TODO\RECTIFICACION\Rodrigo Mundaca Munda.doc</t>
  </si>
  <si>
    <t>C:\Users\franc\OneDrive\Documentos\MALENTIN KARIME\BANCO CREDITO\FER LORCA en ROSITA (Rosita)\ANA LUISA TODO\RECTIFICACION\RIGOBERTO GUTIERREZ (OSSANDON).doc</t>
  </si>
  <si>
    <t>C:\Users\franc\OneDrive\Documentos\MALENTIN KARIME\BANCO CREDITO\FER LORCA en ROSITA (Rosita)\ANA LUISA TODO\RECTIFICACION\RECTIFICACION COMPRAVENTA TIA SUSANA.doc</t>
  </si>
  <si>
    <t>C:\Users\franc\OneDrive\Documentos\MALENTIN KARIME\BANCO CREDITO\FER LORCA en ROSITA (Rosita)\ANA LUISA TODO\RECTIFICACION\RICARDO JARA A ELIZABETH PIZARRO.doc</t>
  </si>
  <si>
    <t>C:\Users\franc\OneDrive\Documentos\MALENTIN KARIME\BANCO CREDITO\FER LORCA en ROSITA (Rosita)\ANA LUISA TODO\RECTIFICACION\PEDRO MANZANO JAIME.doc</t>
  </si>
  <si>
    <t>C:\Users\franc\OneDrive\Documentos\MALENTIN KARIME\BANCO CREDITO\FER LORCA en ROSITA (Rosita)\ANA LUISA TODO\RECTIFICACION\RECT. ESCRITURA CONSULTORA.doc</t>
  </si>
  <si>
    <t>C:\Users\franc\OneDrive\Documentos\MALENTIN KARIME\BANCO CREDITO\FER LORCA en ROSITA (Rosita)\ANA LUISA TODO\RECTIFICACION\MISAEL RODRIGUEZ.doc</t>
  </si>
  <si>
    <t>C:\Users\franc\OneDrive\Documentos\MALENTIN KARIME\BANCO CREDITO\FER LORCA en ROSITA (Rosita)\ANA LUISA TODO\RECTIFICACION\PATRICIA ALFARO.doc</t>
  </si>
  <si>
    <t>C:\Users\franc\OneDrive\Documentos\MALENTIN KARIME\BANCO CREDITO\FER LORCA en ROSITA (Rosita)\ANA LUISA TODO\RECTIFICACION\MIGUEL GODOY (ESTADO CIVIL).doc</t>
  </si>
  <si>
    <t>C:\Users\franc\OneDrive\Documentos\MALENTIN KARIME\BANCO CREDITO\FER LORCA en ROSITA (Rosita)\ANA LUISA TODO\RECTIFICACION\I N F O R M E   DE   T I T U L O S.doc</t>
  </si>
  <si>
    <t>C:\Users\franc\OneDrive\Documentos\MALENTIN KARIME\BANCO CREDITO\FER LORCA en ROSITA (Rosita)\ANA LUISA TODO\RECTIFICACION\JORGE VERGARA (DERECHO REAL).doc</t>
  </si>
  <si>
    <t>C:\Users\franc\OneDrive\Documentos\MALENTIN KARIME\BANCO CREDITO\FER LORCA en ROSITA (Rosita)\ANA LUISA TODO\RECTIFICACION\FORTUNATO GONZALEZ A JOSE VEGA (DOMINIO).doc</t>
  </si>
  <si>
    <t>C:\Users\franc\OneDrive\Documentos\MALENTIN KARIME\BANCO CREDITO\FER LORCA en ROSITA (Rosita)\ANA LUISA TODO\RECTIFICACION\EMA JARAMILLO A CLAUDIA ALVAREZ Y OTRA.doc</t>
  </si>
  <si>
    <t>C:\Users\franc\OneDrive\Documentos\MALENTIN KARIME\BANCO CREDITO\FER LORCA en ROSITA (Rosita)\ANA LUISA TODO\RECTIFICACION\Ema Jaramillo y Claudia ALvarez.DOC</t>
  </si>
  <si>
    <t>C:\Users\franc\OneDrive\Documentos\MALENTIN KARIME\BANCO CREDITO\FER LORCA en ROSITA (Rosita)\ANA LUISA TODO\RECTIFICACION\ANA LEMUS (REC DESLIDNES).doc</t>
  </si>
  <si>
    <t>C:\Users\franc\OneDrive\Documentos\MALENTIN KARIME\BANCO CREDITO\FER LORCA en ROSITA (Rosita)\ANA LUISA TODO\RECTIFICACION\ANA MARIA MONDACA BOU A INMOB, LOS LAGOS.doc</t>
  </si>
  <si>
    <t>C:\Users\franc\OneDrive\Documentos\MALENTIN KARIME\BANCO CREDITO\FER LORCA en ROSITA (Rosita)\ANA LUISA TODO\RECTIFICACION\ALDO CARVAJAL.doc</t>
  </si>
  <si>
    <t>C:\Users\franc\OneDrive\Documentos\MALENTIN KARIME\BANCO CREDITO\FER LORCA en ROSITA (Rosita)\ANA LUISA TODO\RECTIFICACION\ADELINA PIZARRO Y OTR. NELSON PIZARRO ARAYA.doc</t>
  </si>
  <si>
    <t>C:\Users\franc\OneDrive\Documentos\MALENTIN KARIME\BANCO CREDITO\FER LORCA en ROSITA (Rosita)\ANA LUISA TODO\RECTIFICACION\ADELINA PIZARRO Y OTR. JORGE PIZARRO.doc</t>
  </si>
  <si>
    <t>C:\Users\franc\OneDrive\Documentos\MALENTIN KARIME\BANCO CREDITO\FER LORCA en ROSITA (Rosita)\ANA LUISA TODO\RECTIFICACION\ADELINA PIZARRO Y OTR. ADELINA PIZARRO.doc</t>
  </si>
  <si>
    <t>C:\Users\franc\OneDrive\Documentos\MALENTIN KARIME\BANCO CREDITO\FER LORCA en ROSITA (Rosita)\ANA LUISA TODO\RECONOCIMIENTO DEUDA\LUIS ULLOA.doc</t>
  </si>
  <si>
    <t>C:\Users\franc\OneDrive\Documentos\MALENTIN KARIME\BANCO CREDITO\FER LORCA en ROSITA (Rosita)\ANA LUISA TODO\RECONOCIMIENTO DEUDA\MARIO ARACENA CARVAJAL.doc</t>
  </si>
  <si>
    <t>C:\Users\franc\OneDrive\Documentos\MALENTIN KARIME\BANCO CREDITO\FER LORCA en ROSITA (Rosita)\ANA LUISA TODO\RAUL SALAMANCA\SOC. LAS MERCEDEES A ENAMI.doc</t>
  </si>
  <si>
    <t>C:\Users\franc\OneDrive\Documentos\MALENTIN KARIME\BANCO CREDITO\FER LORCA en ROSITA (Rosita)\ANA LUISA TODO\RAUL SALAMANCA\SOC. FELIXAN LTDA..doc</t>
  </si>
  <si>
    <t>C:\Users\franc\OneDrive\Documentos\MALENTIN KARIME\BANCO CREDITO\FER LORCA en ROSITA (Rosita)\ANA LUISA TODO\RAUL SALAMANCA\SOC. GLOCESA LTDA..doc</t>
  </si>
  <si>
    <t>C:\Users\franc\OneDrive\Documentos\MALENTIN KARIME\BANCO CREDITO\FER LORCA en ROSITA (Rosita)\ANA LUISA TODO\RAUL SALAMANCA\SOC. CERRILLOS A RODRIGO HERRERA (SERVIDUM).doc</t>
  </si>
  <si>
    <t>C:\Users\franc\OneDrive\Documentos\MALENTIN KARIME\BANCO CREDITO\FER LORCA en ROSITA (Rosita)\ANA LUISA TODO\RAUL SALAMANCA\soc fELIXAN LTDa. FINAL.doc</t>
  </si>
  <si>
    <t>C:\Users\franc\OneDrive\Documentos\MALENTIN KARIME\BANCO CREDITO\FER LORCA en ROSITA (Rosita)\ANA LUISA TODO\RAUL SALAMANCA\SOC. CANTA RANA S.A. A MARCELA DIEZ (TRANSCCION EXTRAJDICIAL.doc</t>
  </si>
  <si>
    <t>C:\Users\franc\OneDrive\Documentos\MALENTIN KARIME\BANCO CREDITO\FER LORCA en ROSITA (Rosita)\ANA LUISA TODO\RAUL SALAMANCA\ORIEL CISTERNAS A SOC. RENOV. DE INVERS. (ROCIO).doc</t>
  </si>
  <si>
    <t>C:\Users\franc\OneDrive\Documentos\MALENTIN KARIME\BANCO CREDITO\FER LORCA en ROSITA (Rosita)\ANA LUISA TODO\RAUL SALAMANCA\ORIEL CISTERNAS A SOC. RENOVADA DE INVERS (HERRADURA).doc</t>
  </si>
  <si>
    <t>C:\Users\franc\OneDrive\Documentos\MALENTIN KARIME\BANCO CREDITO\FER LORCA en ROSITA (Rosita)\ANA LUISA TODO\RAUL SALAMANCA\ORIEL CISTERNAS A SOC. RENOV. DE INVERS. (ESPERANZA).doc</t>
  </si>
  <si>
    <t>C:\Users\franc\OneDrive\Documentos\MALENTIN KARIME\BANCO CREDITO\FER LORCA en ROSITA (Rosita)\ANA LUISA TODO\RAUL SALAMANCA\ORIEL CISTERNAS A SOC. RENOV. DE INVERS. (DANY).doc</t>
  </si>
  <si>
    <t>C:\Users\franc\OneDrive\Documentos\MALENTIN KARIME\BANCO CREDITO\FER LORCA en ROSITA (Rosita)\ANA LUISA TODO\RAUL SALAMANCA\MINERA RUMAY LTDA.Ç.doc</t>
  </si>
  <si>
    <t>C:\Users\franc\OneDrive\Documentos\MALENTIN KARIME\BANCO CREDITO\FER LORCA en ROSITA (Rosita)\ANA LUISA TODO\RAUL SALAMANCA\ORIEL CISTERNAS A SOC. RENOV. DE INVERS. (ARRIENDO MINERO).doc</t>
  </si>
  <si>
    <t>C:\Users\franc\OneDrive\Documentos\MALENTIN KARIME\BANCO CREDITO\FER LORCA en ROSITA (Rosita)\ANA LUISA TODO\RAUL SALAMANCA\MINERA RUMAY EXTRACTO.doc</t>
  </si>
  <si>
    <t>C:\Users\franc\OneDrive\Documentos\MALENTIN KARIME\BANCO CREDITO\FER LORCA en ROSITA (Rosita)\ANA LUISA TODO\RAUL SALAMANCA\MARIA INES FIGARI A ALCIDES NIN DE CARDONA.doc</t>
  </si>
  <si>
    <t>C:\Users\franc\OneDrive\Documentos\MALENTIN KARIME\BANCO CREDITO\FER LORCA en ROSITA (Rosita)\ANA LUISA TODO\RAUL SALAMANCA\MANDATO poder quiebra dos.doc</t>
  </si>
  <si>
    <t>C:\Users\franc\OneDrive\Documentos\MALENTIN KARIME\BANCO CREDITO\FER LORCA en ROSITA (Rosita)\ANA LUISA TODO\RAUL SALAMANCA\FELIX CORTES Y AUTOM. Y MINERA REM.doc</t>
  </si>
  <si>
    <t>C:\Users\franc\OneDrive\Documentos\MALENTIN KARIME\BANCO CREDITO\FER LORCA en ROSITA (Rosita)\ANA LUISA TODO\RAUL SALAMANCA\AUGUSTO MUÑOZ A RAMON MUÑOZ (SIN INSCRIP).doc</t>
  </si>
  <si>
    <t>C:\Users\franc\OneDrive\Documentos\MALENTIN KARIME\BANCO CREDITO\FER LORCA en ROSITA (Rosita)\ANA LUISA TODO\RAUL SALAMANCA\EXTRACTO hermanos cisternas.doc</t>
  </si>
  <si>
    <t>C:\Users\franc\OneDrive\Documentos\MALENTIN KARIME\BANCO CREDITO\FER LORCA en ROSITA (Rosita)\ANA LUISA TODO\RATIFICACION\SOC. CERRO CAMPANARIO (MANUEL CORTES).doc</t>
  </si>
  <si>
    <t>C:\Users\franc\OneDrive\Documentos\MALENTIN KARIME\BANCO CREDITO\FER LORCA en ROSITA (Rosita)\ANA LUISA TODO\RAUL CORTES OSSANDON\SOCIEDAD ECORED.doc</t>
  </si>
  <si>
    <t>C:\Users\franc\OneDrive\Documentos\MALENTIN KARIME\BANCO CREDITO\FER LORCA en ROSITA (Rosita)\ANA LUISA TODO\RATIFICACION\MIGUEL VELIZ Y OTRO A SUS CONYUGES.doc</t>
  </si>
  <si>
    <t>C:\Users\franc\OneDrive\Documentos\MALENTIN KARIME\BANCO CREDITO\FER LORCA en ROSITA (Rosita)\ANA LUISA TODO\RATIFICACION\NEFTALI GONZALEZ.doc</t>
  </si>
  <si>
    <t>C:\Users\franc\OneDrive\Documentos\MALENTIN KARIME\BANCO CREDITO\FER LORCA en ROSITA (Rosita)\ANA LUISA TODO\RATIFICACION\ELIANA ARAYA.doc</t>
  </si>
  <si>
    <t>C:\Users\franc\OneDrive\Documentos\MALENTIN KARIME\BANCO CREDITO\FER LORCA en ROSITA (Rosita)\ANA LUISA TODO\RATIFICACION\ADELINA HUENCHUÑIR (CONYUGE) RATIFICACION.doc</t>
  </si>
  <si>
    <t>C:\Users\franc\OneDrive\Documentos\MALENTIN KARIME\BANCO CREDITO\FER LORCA en ROSITA (Rosita)\ANA LUISA TODO\RATIFICACION\DARWING ROJAS A SANDRA MILLA.doc</t>
  </si>
  <si>
    <t>C:\Users\franc\OneDrive\Documentos\MALENTIN KARIME\BANCO CREDITO\FER LORCA en ROSITA (Rosita)\ANA LUISA TODO\RAMON LUIS\instr cvta casa libertad.doc</t>
  </si>
  <si>
    <t>C:\Users\franc\OneDrive\Documentos\MALENTIN KARIME\BANCO CREDITO\FER LORCA en ROSITA (Rosita)\ANA LUISA TODO\RAMON LUIS\EDUARDO CORTES A PEDRO SEGUNDO MUÑOZ.doc</t>
  </si>
  <si>
    <t>C:\Users\franc\OneDrive\Documentos\MALENTIN KARIME\BANCO CREDITO\FER LORCA en ROSITA (Rosita)\ANA LUISA TODO\RAMON LUIS\COMITE TAMAYA.doc</t>
  </si>
  <si>
    <t>C:\Users\franc\OneDrive\Documentos\MALENTIN KARIME\BANCO CREDITO\FER LORCA en ROSITA (Rosita)\ANA LUISA TODO\PROTOCOLIZA\INDAP\EDMUNDO ARAYA (INDAP).doc</t>
  </si>
  <si>
    <t>C:\Users\franc\OneDrive\Documentos\MALENTIN KARIME\BANCO CREDITO\FER LORCA en ROSITA (Rosita)\ANA LUISA TODO\PROTOCOLIZA\INDAP\LILI CALDERON.doc</t>
  </si>
  <si>
    <t>C:\Users\franc\OneDrive\Documentos\MALENTIN KARIME\BANCO CREDITO\FER LORCA en ROSITA (Rosita)\ANA LUISA TODO\PROTOCOLIZA\declaracion droga\PAULINA PLAZA SANTIBAÑEZ.doc</t>
  </si>
  <si>
    <t>C:\Users\franc\OneDrive\Documentos\MALENTIN KARIME\BANCO CREDITO\FER LORCA en ROSITA (Rosita)\ANA LUISA TODO\PROTOCOLIZA\BOMBEROS\Tercera Compañia FS 67.doc</t>
  </si>
  <si>
    <t>C:\Users\franc\OneDrive\Documentos\MALENTIN KARIME\BANCO CREDITO\FER LORCA en ROSITA (Rosita)\ANA LUISA TODO\PROTOCOLIZA\declaracion droga\Paola Carvajal Valenzuela.doc</t>
  </si>
  <si>
    <t>C:\Users\franc\OneDrive\Documentos\MALENTIN KARIME\BANCO CREDITO\FER LORCA en ROSITA (Rosita)\ANA LUISA TODO\PROTOCOLIZA\BOMBEROS\Cuerpo de Bomberos Ovalle SUPERINTENDENCIA.doc</t>
  </si>
  <si>
    <t>C:\Users\franc\OneDrive\Documentos\MALENTIN KARIME\BANCO CREDITO\FER LORCA en ROSITA (Rosita)\ANA LUISA TODO\PROTOCOLIZA\BOMBEROS\CUERPO DE BOMBEROS DE OVALLE.doc</t>
  </si>
  <si>
    <t>C:\Users\franc\OneDrive\Documentos\MALENTIN KARIME\BANCO CREDITO\FER LORCA en ROSITA (Rosita)\ANA LUISA TODO\PROTOCOLIZA\BOMBEROS\Cuerpo de Bomberos Ovalle SUPERINTENDENCIA FS 56.doc</t>
  </si>
  <si>
    <t>C:\Users\franc\OneDrive\Documentos\MALENTIN KARIME\BANCO CREDITO\FER LORCA en ROSITA (Rosita)\ANA LUISA TODO\PROTOCOLIZA\BOMBEROS\CUERPO DE BOMBEROS DE OVA........doc</t>
  </si>
  <si>
    <t>C:\Users\franc\OneDrive\Documentos\MALENTIN KARIME\BANCO CREDITO\FER LORCA en ROSITA (Rosita)\ANA LUISA TODO\PROTOCOLIZA\BOMBEROS\CUERPO DE BOMBEROS DE OVA.doc</t>
  </si>
  <si>
    <t>C:\Users\franc\OneDrive\Documentos\MALENTIN KARIME\BANCO CREDITO\FER LORCA en ROSITA (Rosita)\ANA LUISA TODO\PROTOCOLIZA\BOMBEROS\CERT.COPIAS.doc</t>
  </si>
  <si>
    <t>C:\Users\franc\OneDrive\Documentos\MALENTIN KARIME\BANCO CREDITO\FER LORCA en ROSITA (Rosita)\ANA LUISA TODO\PROTOCOLIZA\BOMBEROS\CERT.COPIAS BOM 8 CIA.doc</t>
  </si>
  <si>
    <t>C:\Users\franc\OneDrive\Documentos\MALENTIN KARIME\BANCO CREDITO\FER LORCA en ROSITA (Rosita)\ANA LUISA TODO\PROTOCOLIZA\BOMBEROS\CERT COPIA SUPERINTENDENCIA.doc</t>
  </si>
  <si>
    <t>C:\Users\franc\OneDrive\Documentos\MALENTIN KARIME\BANCO CREDITO\FER LORCA en ROSITA (Rosita)\ANA LUISA TODO\PROTOCOLIZA\BOMBEROS\CERT COPIA BOMBEROS agrega.doc</t>
  </si>
  <si>
    <t>C:\Users\franc\OneDrive\Documentos\MALENTIN KARIME\BANCO CREDITO\FER LORCA en ROSITA (Rosita)\ANA LUISA TODO\PROTOCOLIZA\BOMBEROS\BOMBEROS FS 63 5 cia.doc</t>
  </si>
  <si>
    <t>C:\Users\franc\OneDrive\Documentos\MALENTIN KARIME\BANCO CREDITO\FER LORCA en ROSITA (Rosita)\ANA LUISA TODO\PROTOCOLIZA\BOMBEROS\BOMBEROS FS 44.doc</t>
  </si>
  <si>
    <t>C:\Users\franc\OneDrive\Documentos\MALENTIN KARIME\BANCO CREDITO\FER LORCA en ROSITA (Rosita)\ANA LUISA TODO\PROTOCOLIZA\BOMBEROS\BOMBEROS FS 29 8 cia.doc</t>
  </si>
  <si>
    <t>C:\Users\franc\OneDrive\Documentos\MALENTIN KARIME\BANCO CREDITO\FER LORCA en ROSITA (Rosita)\ANA LUISA TODO\PROTOCOLIZA\BOMBEROS\BOMBEROS FS 09 8 cia.doc</t>
  </si>
  <si>
    <t>C:\Users\franc\OneDrive\Documentos\MALENTIN KARIME\BANCO CREDITO\FER LORCA en ROSITA (Rosita)\ANA LUISA TODO\PROTOCOLIZA\2009\SINDICATO TRABAJADORES FERIA LIBRE.doc</t>
  </si>
  <si>
    <t>C:\Users\franc\OneDrive\Documentos\MALENTIN KARIME\BANCO CREDITO\FER LORCA en ROSITA (Rosita)\ANA LUISA TODO\PROTOCOLIZA\2009\SORTEO AGRO SERVICIOS.doc</t>
  </si>
  <si>
    <t>C:\Users\franc\OneDrive\Documentos\MALENTIN KARIME\BANCO CREDITO\FER LORCA en ROSITA (Rosita)\ANA LUISA TODO\PROTOCOLIZA\2009\REUNION EXTRAORDINARIA (COMODATO) (JUAN CARLOS).doc</t>
  </si>
  <si>
    <t>C:\Users\franc\OneDrive\Documentos\MALENTIN KARIME\BANCO CREDITO\FER LORCA en ROSITA (Rosita)\ANA LUISA TODO\PROTOCOLIZA\2009\PROT. ALZAMIENTO CAPEL ELBA.doc</t>
  </si>
  <si>
    <t>C:\Users\franc\OneDrive\Documentos\MALENTIN KARIME\BANCO CREDITO\FER LORCA en ROSITA (Rosita)\ANA LUISA TODO\PROTOCOLIZA\2009\PROT. ALZAMIENTO Y CANCELACION elba.doc</t>
  </si>
  <si>
    <t>C:\Users\franc\OneDrive\Documentos\MALENTIN KARIME\BANCO CREDITO\FER LORCA en ROSITA (Rosita)\ANA LUISA TODO\PROTOCOLIZA\2009\PROT. ACTA SOC. LA RECOLETA (ELBA).doc</t>
  </si>
  <si>
    <t>C:\Users\franc\OneDrive\Documentos\MALENTIN KARIME\BANCO CREDITO\FER LORCA en ROSITA (Rosita)\ANA LUISA TODO\PROTOCOLIZA\2009\INV. DAVID RIVERA (DON GONZALO).doc</t>
  </si>
  <si>
    <t>C:\Users\franc\OneDrive\Documentos\MALENTIN KARIME\BANCO CREDITO\FER LORCA en ROSITA (Rosita)\ANA LUISA TODO\PROTOCOLIZA\2009\COMITE PRO CASA VILLA FLOR DEL NORTE.doc</t>
  </si>
  <si>
    <t>C:\Users\franc\OneDrive\Documentos\MALENTIN KARIME\BANCO CREDITO\FER LORCA en ROSITA (Rosita)\ANA LUISA TODO\PROTOCOLIZA\2009\COMITE PRO CASA VILLA FLOR DEL NORTE 2.doc</t>
  </si>
  <si>
    <t>C:\Users\franc\OneDrive\Documentos\MALENTIN KARIME\BANCO CREDITO\FER LORCA en ROSITA (Rosita)\ANA LUISA TODO\PROTOCOLIZA\2009\BASILIO AGUIRRE (MEJORAMIENTOS SISTEMA AGUAS.doc</t>
  </si>
  <si>
    <t>C:\Users\franc\OneDrive\Documentos\MALENTIN KARIME\BANCO CREDITO\FER LORCA en ROSITA (Rosita)\ANA LUISA TODO\PROTOCOLIZA\2009\CARLOS BUGUEÑO (INDAP).doc</t>
  </si>
  <si>
    <t>C:\Users\franc\OneDrive\Documentos\MALENTIN KARIME\BANCO CREDITO\FER LORCA en ROSITA (Rosita)\ANA LUISA TODO\PROTOCOLIZA\2009\BASILIO AGUIRRE (MEJORAMIENTOS SISTEMA AGUAS EL SAUCE NOV, 2009.doc</t>
  </si>
  <si>
    <t>C:\Users\franc\OneDrive\Documentos\MALENTIN KARIME\BANCO CREDITO\FER LORCA en ROSITA (Rosita)\ANA LUISA TODO\PROTOCOLIZA\2009\BASILIO AGUIRRE (MEJORAMIENTOS SISTEMA AGUAS andacollo).doc</t>
  </si>
  <si>
    <t>C:\Users\franc\OneDrive\Documentos\MALENTIN KARIME\BANCO CREDITO\FER LORCA en ROSITA (Rosita)\ANA LUISA TODO\PROTOCOLIZA\2009\BASILIO AGUIRRE (MEJORAMIENTOS SISTEMA AGUAS COLLIGUAY.- 18 NOV, 2009.doc</t>
  </si>
  <si>
    <t>C:\Users\franc\OneDrive\Documentos\MALENTIN KARIME\BANCO CREDITO\FER LORCA en ROSITA (Rosita)\ANA LUISA TODO\PROTOCOLIZA\2009\BASILIO AGUIRRE (MEJORAMIENTOS SISTEMA AGUAS  RURAL DE PICHASCA, HORCON, DIC.- 2009.doc</t>
  </si>
  <si>
    <t>C:\Users\franc\OneDrive\Documentos\MALENTIN KARIME\BANCO CREDITO\FER LORCA en ROSITA (Rosita)\ANA LUISA TODO\PROTOCOLIZA\2009\BASILIO AGUIRRE (LIQUIDACION FINAL).doc</t>
  </si>
  <si>
    <t>C:\Users\franc\OneDrive\Documentos\MALENTIN KARIME\BANCO CREDITO\FER LORCA en ROSITA (Rosita)\ANA LUISA TODO\PROTOCOLIZA\2009\BASILIO AGUIRRE (LIQUIDACION FINAL)  2.doc</t>
  </si>
  <si>
    <t>C:\Users\franc\OneDrive\Documentos\MALENTIN KARIME\BANCO CREDITO\FER LORCA en ROSITA (Rosita)\ANA LUISA TODO\PROTOCOLIZA\2009\BASILIO AGUIRRE (LIQUIDACION FINAL) 3.doc</t>
  </si>
  <si>
    <t>C:\Users\franc\OneDrive\Documentos\MALENTIN KARIME\BANCO CREDITO\FER LORCA en ROSITA (Rosita)\ANA LUISA TODO\PROTOCOLIZA\2009\BASILIO AGUIRRE (construccion noria viñita alta.doc</t>
  </si>
  <si>
    <t>C:\Users\franc\OneDrive\Documentos\MALENTIN KARIME\BANCO CREDITO\FER LORCA en ROSITA (Rosita)\ANA LUISA TODO\PROTOCOLIZA\2009\ACTA ENTREGA GOCE SINGULAR SRA. MARGARITA (JUAN CARLOS).doc</t>
  </si>
  <si>
    <t>C:\Users\franc\OneDrive\Documentos\MALENTIN KARIME\BANCO CREDITO\FER LORCA en ROSITA (Rosita)\ANA LUISA TODO\PROTOCOLIZA\2009\ACTA CENTRO PADRES JARDIN LOS CHICHARRITAS.doc</t>
  </si>
  <si>
    <t>C:\Users\franc\OneDrive\Documentos\MALENTIN KARIME\BANCO CREDITO\FER LORCA en ROSITA (Rosita)\ANA LUISA TODO\PROTOCOLIZA\2008\FONDO SOLIDARIO\MARIA VALLEJOS A CLAUDIO OLIVARES.doc</t>
  </si>
  <si>
    <t>C:\Users\franc\OneDrive\Documentos\MALENTIN KARIME\BANCO CREDITO\FER LORCA en ROSITA (Rosita)\ANA LUISA TODO\PROTOCOLIZA\2008\FONDO SOLIDARIO\LUIS JAIME A SANDRA ANDRADE.doc</t>
  </si>
  <si>
    <t>C:\Users\franc\OneDrive\Documentos\MALENTIN KARIME\BANCO CREDITO\FER LORCA en ROSITA (Rosita)\ANA LUISA TODO\PROTOCOLIZA\2008\FONDO SOLIDARIO\JULIA CASTRO A LUCY CONTRERAS.doc</t>
  </si>
  <si>
    <t>C:\Users\franc\OneDrive\Documentos\MALENTIN KARIME\BANCO CREDITO\FER LORCA en ROSITA (Rosita)\ANA LUISA TODO\PROTOCOLIZA\2008\FONDO SOLIDARIO\firma 2.doc</t>
  </si>
  <si>
    <t>C:\Users\franc\OneDrive\Documentos\MALENTIN KARIME\BANCO CREDITO\FER LORCA en ROSITA (Rosita)\ANA LUISA TODO\PROTOCOLIZA\2008\SOLANGE MALDONADO.doc</t>
  </si>
  <si>
    <t>C:\Users\franc\OneDrive\Documentos\MALENTIN KARIME\BANCO CREDITO\FER LORCA en ROSITA (Rosita)\ANA LUISA TODO\PROTOCOLIZA\2008\SOC. VERANEO PACIFICO.doc</t>
  </si>
  <si>
    <t>C:\Users\franc\OneDrive\Documentos\MALENTIN KARIME\BANCO CREDITO\FER LORCA en ROSITA (Rosita)\ANA LUISA TODO\PROTOCOLIZA\2008\SOC. TECNOCITRUS (CARLOS BUGUEÑO).doc</t>
  </si>
  <si>
    <t>C:\Users\franc\OneDrive\Documentos\MALENTIN KARIME\BANCO CREDITO\FER LORCA en ROSITA (Rosita)\ANA LUISA TODO\PROTOCOLIZA\2008\SOC. CARRIZAL (LINO HERNANDEZ).doc</t>
  </si>
  <si>
    <t>C:\Users\franc\OneDrive\Documentos\MALENTIN KARIME\BANCO CREDITO\FER LORCA en ROSITA (Rosita)\ANA LUISA TODO\PROTOCOLIZA\2008\SOC. CARACHILLA.doc</t>
  </si>
  <si>
    <t>C:\Users\franc\OneDrive\Documentos\MALENTIN KARIME\BANCO CREDITO\FER LORCA en ROSITA (Rosita)\ANA LUISA TODO\PROTOCOLIZA\2008\MAURICIO MARIN (RESOLUCION).doc</t>
  </si>
  <si>
    <t>C:\Users\franc\OneDrive\Documentos\MALENTIN KARIME\BANCO CREDITO\FER LORCA en ROSITA (Rosita)\ANA LUISA TODO\PROTOCOLIZA\2008\INVERSIONES LAS PALOMAS LIMTADA.doc</t>
  </si>
  <si>
    <t>C:\Users\franc\OneDrive\Documentos\MALENTIN KARIME\BANCO CREDITO\FER LORCA en ROSITA (Rosita)\ANA LUISA TODO\PROTOCOLIZA\2008\INPROCOL - I MUNICIPALIDAD OVALLE.doc</t>
  </si>
  <si>
    <t>C:\Users\franc\OneDrive\Documentos\MALENTIN KARIME\BANCO CREDITO\FER LORCA en ROSITA (Rosita)\ANA LUISA TODO\PROTOCOLIZA\2008\INMOBILIARIA JOFRE S.A..doc</t>
  </si>
  <si>
    <t>C:\Users\franc\OneDrive\Documentos\MALENTIN KARIME\BANCO CREDITO\FER LORCA en ROSITA (Rosita)\ANA LUISA TODO\PROTOCOLIZA\2008\CLUB DIABETICOS DON PANCHITO.doc</t>
  </si>
  <si>
    <t>C:\Users\franc\OneDrive\Documentos\MALENTIN KARIME\BANCO CREDITO\FER LORCA en ROSITA (Rosita)\ANA LUISA TODO\PROTOCOLIZA\2008\AUTORIZ. FIRMAS CVI 174 (PATRICIA).doc</t>
  </si>
  <si>
    <t>C:\Users\franc\OneDrive\Documentos\MALENTIN KARIME\BANCO CREDITO\FER LORCA en ROSITA (Rosita)\ANA LUISA TODO\PROTOCOLIZA\2008\AUTORIZ. FIRMAS CVI 174 (PATRICIA) 2.doc</t>
  </si>
  <si>
    <t>C:\Users\franc\OneDrive\Documentos\MALENTIN KARIME\BANCO CREDITO\FER LORCA en ROSITA (Rosita)\ANA LUISA TODO\PROTOCOLIZA\2008\ARRENDAMIENTO ERASMO CORTES A MARIO RIVERA.doc</t>
  </si>
  <si>
    <t>C:\Users\franc\OneDrive\Documentos\MALENTIN KARIME\BANCO CREDITO\FER LORCA en ROSITA (Rosita)\ANA LUISA TODO\PROTOCOLIZA\2008\ALCONES JUNTA GENERAL COMUNEROS.doc</t>
  </si>
  <si>
    <t>C:\Users\franc\OneDrive\Documentos\MALENTIN KARIME\BANCO CREDITO\FER LORCA en ROSITA (Rosita)\ANA LUISA TODO\PROTOCOLIZA\2008\ALCONES ELECCION DIRECTIVA.doc</t>
  </si>
  <si>
    <t>C:\Users\franc\OneDrive\Documentos\MALENTIN KARIME\BANCO CREDITO\FER LORCA en ROSITA (Rosita)\ANA LUISA TODO\PROTOCOLIZA\2007\TOMAS ROMAN ARAYA A COSME MORALES (Vehiculo).doc</t>
  </si>
  <si>
    <t>C:\Users\franc\OneDrive\Documentos\MALENTIN KARIME\BANCO CREDITO\FER LORCA en ROSITA (Rosita)\ANA LUISA TODO\PROTOCOLIZA\2007\ROSA GONZALEZ INVENTARIO.doc</t>
  </si>
  <si>
    <t>C:\Users\franc\OneDrive\Documentos\MALENTIN KARIME\BANCO CREDITO\FER LORCA en ROSITA (Rosita)\ANA LUISA TODO\PROTOCOLIZA\2007\E.I.R.L SERVICIOS AGRICOLA MARCOS ARANDA.doc</t>
  </si>
  <si>
    <t>C:\Users\franc\OneDrive\Documentos\MALENTIN KARIME\BANCO CREDITO\FER LORCA en ROSITA (Rosita)\ANA LUISA TODO\PROTOCOLIZA\2007\COMITE MI FUTURA CASITA.doc</t>
  </si>
  <si>
    <t>C:\Users\franc\OneDrive\Documentos\MALENTIN KARIME\BANCO CREDITO\FER LORCA en ROSITA (Rosita)\ANA LUISA TODO\PROTOCOLIZA\2007\Club DE SUBOFICIALES.doc</t>
  </si>
  <si>
    <t>C:\Users\franc\OneDrive\Documentos\MALENTIN KARIME\BANCO CREDITO\FER LORCA en ROSITA (Rosita)\ANA LUISA TODO\PROTOCOLIZA\2007\CIRCULO DE SUBOFICIALES.doc</t>
  </si>
  <si>
    <t>C:\Users\franc\OneDrive\Documentos\MALENTIN KARIME\BANCO CREDITO\FER LORCA en ROSITA (Rosita)\ANA LUISA TODO\PROTOCOLIZA\2007\AGRICOLA CHAÑARAL BAJO NORTE.doc</t>
  </si>
  <si>
    <t>C:\Users\franc\OneDrive\Documentos\MALENTIN KARIME\BANCO CREDITO\FER LORCA en ROSITA (Rosita)\ANA LUISA TODO\PROTOCOLIZA\2007\ANTONIO SABIONCELLO (PODER ESPECIAL).doc</t>
  </si>
  <si>
    <t>C:\Users\franc\OneDrive\Documentos\MALENTIN KARIME\BANCO CREDITO\FER LORCA en ROSITA (Rosita)\ANA LUISA TODO\PROTOCOLIZA\YACONI ACTA.doc</t>
  </si>
  <si>
    <t>C:\Users\franc\OneDrive\Documentos\MALENTIN KARIME\BANCO CREDITO\FER LORCA en ROSITA (Rosita)\ANA LUISA TODO\PROTOCOLIZA\WILLIGIS STEGMEIER  (MARCELO).doc</t>
  </si>
  <si>
    <t>C:\Users\franc\OneDrive\Documentos\MALENTIN KARIME\BANCO CREDITO\FER LORCA en ROSITA (Rosita)\ANA LUISA TODO\PROTOCOLIZA\SOCIEDAD VERANEO PACIFICO.doc</t>
  </si>
  <si>
    <t>C:\Users\franc\OneDrive\Documentos\MALENTIN KARIME\BANCO CREDITO\FER LORCA en ROSITA (Rosita)\ANA LUISA TODO\PROTOCOLIZA\SOC. SIGLO XXI (Juan Robles 20-07-2007.doc</t>
  </si>
  <si>
    <t>C:\Users\franc\OneDrive\Documentos\MALENTIN KARIME\BANCO CREDITO\FER LORCA en ROSITA (Rosita)\ANA LUISA TODO\PROTOCOLIZA\SATURNINO OSSANDON (INV. ).doc</t>
  </si>
  <si>
    <t>C:\Users\franc\OneDrive\Documentos\MALENTIN KARIME\BANCO CREDITO\FER LORCA en ROSITA (Rosita)\ANA LUISA TODO\PROTOCOLIZA\PROTOCO. CLAUDIO ARDILES NOTARIO SUPLENTE.doc</t>
  </si>
  <si>
    <t>C:\Users\franc\OneDrive\Documentos\MALENTIN KARIME\BANCO CREDITO\FER LORCA en ROSITA (Rosita)\ANA LUISA TODO\PROTOCOLIZA\PROTOC. NOMBRAMIENTO ADOLFO LAY.doc</t>
  </si>
  <si>
    <t>C:\Users\franc\OneDrive\Documentos\MALENTIN KARIME\BANCO CREDITO\FER LORCA en ROSITA (Rosita)\ANA LUISA TODO\PROTOCOLIZA\PROTO. NOMB. NOTARIO MARIA MEDINA 1.doc</t>
  </si>
  <si>
    <t>C:\Users\franc\OneDrive\Documentos\MALENTIN KARIME\BANCO CREDITO\FER LORCA en ROSITA (Rosita)\ANA LUISA TODO\PROTOCOLIZA\PROTO. NOMB. NOTARIO MALIO METTIFOGO.doc</t>
  </si>
  <si>
    <t>C:\Users\franc\OneDrive\Documentos\MALENTIN KARIME\BANCO CREDITO\FER LORCA en ROSITA (Rosita)\ANA LUISA TODO\PROTOCOLIZA\PROTO. NOMB. NOTARIO GIOVANNA DOSSI.doc</t>
  </si>
  <si>
    <t>C:\Users\franc\OneDrive\Documentos\MALENTIN KARIME\BANCO CREDITO\FER LORCA en ROSITA (Rosita)\ANA LUISA TODO\PROTOCOLIZA\PROTO. NOMB. NOTARIO GIOVANNA DOSSI 3.doc</t>
  </si>
  <si>
    <t>C:\Users\franc\OneDrive\Documentos\MALENTIN KARIME\BANCO CREDITO\FER LORCA en ROSITA (Rosita)\ANA LUISA TODO\PROTOCOLIZA\PROTO. NOMB. NOTARIO GIOVANNA DOSSI 2.doc</t>
  </si>
  <si>
    <t>C:\Users\franc\OneDrive\Documentos\MALENTIN KARIME\BANCO CREDITO\FER LORCA en ROSITA (Rosita)\ANA LUISA TODO\PROTOCOLIZA\prohibicion serviu formulario.doc</t>
  </si>
  <si>
    <t>C:\Users\franc\OneDrive\Documentos\MALENTIN KARIME\BANCO CREDITO\FER LORCA en ROSITA (Rosita)\ANA LUISA TODO\PROTOCOLIZA\PATRICIO JORQUERA.doc</t>
  </si>
  <si>
    <t>C:\Users\franc\OneDrive\Documentos\MALENTIN KARIME\BANCO CREDITO\FER LORCA en ROSITA (Rosita)\ANA LUISA TODO\PROTOCOLIZA\PATRICIA ROJAS (INVENTARIO).doc</t>
  </si>
  <si>
    <t>C:\Users\franc\OneDrive\Documentos\MALENTIN KARIME\BANCO CREDITO\FER LORCA en ROSITA (Rosita)\ANA LUISA TODO\PROTOCOLIZA\PASCUALA ARANCIBIA (RECTIFICACION INVENT).doc</t>
  </si>
  <si>
    <t>C:\Users\franc\OneDrive\Documentos\MALENTIN KARIME\BANCO CREDITO\FER LORCA en ROSITA (Rosita)\ANA LUISA TODO\PROTOCOLIZA\MIGUEL TAPIA.doc</t>
  </si>
  <si>
    <t>C:\Users\franc\OneDrive\Documentos\MALENTIN KARIME\BANCO CREDITO\FER LORCA en ROSITA (Rosita)\ANA LUISA TODO\PROTOCOLIZA\LIMARI TRADING S..A.doc</t>
  </si>
  <si>
    <t>C:\Users\franc\OneDrive\Documentos\MALENTIN KARIME\BANCO CREDITO\FER LORCA en ROSITA (Rosita)\ANA LUISA TODO\PROTOCOLIZA\JUVENAL GALINDO     2 (INDAP).doc</t>
  </si>
  <si>
    <t>C:\Users\franc\OneDrive\Documentos\MALENTIN KARIME\BANCO CREDITO\FER LORCA en ROSITA (Rosita)\ANA LUISA TODO\PROTOCOLIZA\JUVENAL GALINDO (INDAP).doc</t>
  </si>
  <si>
    <t>C:\Users\franc\OneDrive\Documentos\MALENTIN KARIME\BANCO CREDITO\FER LORCA en ROSITA (Rosita)\ANA LUISA TODO\PROTOCOLIZA\JOSE JIMENEZ (INVENTARIO).doc</t>
  </si>
  <si>
    <t>C:\Users\franc\OneDrive\Documentos\MALENTIN KARIME\BANCO CREDITO\FER LORCA en ROSITA (Rosita)\ANA LUISA TODO\PROTOCOLIZA\JUAN CARLOS.doc</t>
  </si>
  <si>
    <t>C:\Users\franc\OneDrive\Documentos\MALENTIN KARIME\BANCO CREDITO\FER LORCA en ROSITA (Rosita)\ANA LUISA TODO\PROTOCOLIZA\JOSE JIMENEZ ( SEGUNDO INVENTARIO).doc</t>
  </si>
  <si>
    <t>C:\Users\franc\OneDrive\Documentos\MALENTIN KARIME\BANCO CREDITO\FER LORCA en ROSITA (Rosita)\ANA LUISA TODO\PROTOCOLIZA\inventario Miguel Toledo Diaz.doc</t>
  </si>
  <si>
    <t>C:\Users\franc\OneDrive\Documentos\MALENTIN KARIME\BANCO CREDITO\FER LORCA en ROSITA (Rosita)\ANA LUISA TODO\PROTOCOLIZA\INVENTARIO PIZARRO ZEBALLOS.doc</t>
  </si>
  <si>
    <t>C:\Users\franc\OneDrive\Documentos\MALENTIN KARIME\BANCO CREDITO\FER LORCA en ROSITA (Rosita)\ANA LUISA TODO\PROTOCOLIZA\INVENT. MARIA PIZARRO (CORPORACION).doc</t>
  </si>
  <si>
    <t>C:\Users\franc\OneDrive\Documentos\MALENTIN KARIME\BANCO CREDITO\FER LORCA en ROSITA (Rosita)\ANA LUISA TODO\PROTOCOLIZA\Inventario Marcia Pizarro.doc</t>
  </si>
  <si>
    <t>C:\Users\franc\OneDrive\Documentos\MALENTIN KARIME\BANCO CREDITO\FER LORCA en ROSITA (Rosita)\ANA LUISA TODO\PROTOCOLIZA\INVENT. CONCEPCION MARTINEZ (DON GONZALO).doc</t>
  </si>
  <si>
    <t>C:\Users\franc\OneDrive\Documentos\MALENTIN KARIME\BANCO CREDITO\FER LORCA en ROSITA (Rosita)\ANA LUISA TODO\PROTOCOLIZA\INVEGON PROT. SOC.doc</t>
  </si>
  <si>
    <t>C:\Users\franc\OneDrive\Documentos\MALENTIN KARIME\BANCO CREDITO\FER LORCA en ROSITA (Rosita)\ANA LUISA TODO\PROTOCOLIZA\IMARI.doc</t>
  </si>
  <si>
    <t>C:\Users\franc\OneDrive\Documentos\MALENTIN KARIME\BANCO CREDITO\FER LORCA en ROSITA (Rosita)\ANA LUISA TODO\PROTOCOLIZA\HOJA ANEXA.doc</t>
  </si>
  <si>
    <t>C:\Users\franc\OneDrive\Documentos\MALENTIN KARIME\BANCO CREDITO\FER LORCA en ROSITA (Rosita)\ANA LUISA TODO\PROTOCOLIZA\HUGO DE LA RIVERA.doc</t>
  </si>
  <si>
    <t>C:\Users\franc\OneDrive\Documentos\MALENTIN KARIME\BANCO CREDITO\FER LORCA en ROSITA (Rosita)\ANA LUISA TODO\PROTOCOLIZA\GOTA DE LECHE.doc</t>
  </si>
  <si>
    <t>C:\Users\franc\OneDrive\Documentos\MALENTIN KARIME\BANCO CREDITO\FER LORCA en ROSITA (Rosita)\ANA LUISA TODO\PROTOCOLIZA\GONART LIMITADA.doc</t>
  </si>
  <si>
    <t>C:\Users\franc\OneDrive\Documentos\MALENTIN KARIME\BANCO CREDITO\FER LORCA en ROSITA (Rosita)\ANA LUISA TODO\PROTOCOLIZA\FIN PROTOCOLIZADO.doc</t>
  </si>
  <si>
    <t>C:\Users\franc\OneDrive\Documentos\MALENTIN KARIME\BANCO CREDITO\FER LORCA en ROSITA (Rosita)\ANA LUISA TODO\PROTOCOLIZA\GONAGRO PROT SOC.doc</t>
  </si>
  <si>
    <t>C:\Users\franc\OneDrive\Documentos\MALENTIN KARIME\BANCO CREDITO\FER LORCA en ROSITA (Rosita)\ANA LUISA TODO\PROTOCOLIZA\FERNANDO PEÑAFIEL  DECLARACION PATRIMONIO.doc</t>
  </si>
  <si>
    <t>C:\Users\franc\OneDrive\Documentos\MALENTIN KARIME\BANCO CREDITO\FER LORCA en ROSITA (Rosita)\ANA LUISA TODO\PROTOCOLIZA\EDMUNDO ARAYA (INDAP).doc</t>
  </si>
  <si>
    <t>C:\Users\franc\OneDrive\Documentos\MALENTIN KARIME\BANCO CREDITO\FER LORCA en ROSITA (Rosita)\ANA LUISA TODO\PROTOCOLIZA\FALLECIMIENTO JOSE JIMENEZ HEREDIA.doc</t>
  </si>
  <si>
    <t>C:\Users\franc\OneDrive\Documentos\MALENTIN KARIME\BANCO CREDITO\FER LORCA en ROSITA (Rosita)\ANA LUISA TODO\PROTOCOLIZA\DECLARACION MARCELO BUSTOS.doc</t>
  </si>
  <si>
    <t>C:\Users\franc\OneDrive\Documentos\MALENTIN KARIME\BANCO CREDITO\FER LORCA en ROSITA (Rosita)\ANA LUISA TODO\PROTOCOLIZA\CUARTEL GENERAL BOMBEROS.doc</t>
  </si>
  <si>
    <t>C:\Users\franc\OneDrive\Documentos\MALENTIN KARIME\BANCO CREDITO\FER LORCA en ROSITA (Rosita)\ANA LUISA TODO\PROTOCOLIZA\DAVID AMABLE NAVEA (AMPLIACION INVENT).doc</t>
  </si>
  <si>
    <t>C:\Users\franc\OneDrive\Documentos\MALENTIN KARIME\BANCO CREDITO\FER LORCA en ROSITA (Rosita)\ANA LUISA TODO\PROTOCOLIZA\CRUZ COLORADA.doc</t>
  </si>
  <si>
    <t>C:\Users\franc\OneDrive\Documentos\MALENTIN KARIME\BANCO CREDITO\FER LORCA en ROSITA (Rosita)\ANA LUISA TODO\PROTOCOLIZA\copia prot.doc</t>
  </si>
  <si>
    <t>C:\Users\franc\OneDrive\Documentos\MALENTIN KARIME\BANCO CREDITO\FER LORCA en ROSITA (Rosita)\ANA LUISA TODO\PROTOCOLIZA\COMUNIDAD LOS TRIGOS (ELECCION DIRECTIVA).doc</t>
  </si>
  <si>
    <t>C:\Users\franc\OneDrive\Documentos\MALENTIN KARIME\BANCO CREDITO\FER LORCA en ROSITA (Rosita)\ANA LUISA TODO\PROTOCOLIZA\COMUNIDAD LOS MAITENES.doc</t>
  </si>
  <si>
    <t>C:\Users\franc\OneDrive\Documentos\MALENTIN KARIME\BANCO CREDITO\FER LORCA en ROSITA (Rosita)\ANA LUISA TODO\PROTOCOLIZA\COMUNIDAD INGA PICHASCA.doc</t>
  </si>
  <si>
    <t>C:\Users\franc\OneDrive\Documentos\MALENTIN KARIME\BANCO CREDITO\FER LORCA en ROSITA (Rosita)\ANA LUISA TODO\PROTOCOLIZA\COMUNIDAD INCA PICHASCA FINAL.doc</t>
  </si>
  <si>
    <t>C:\Users\franc\OneDrive\Documentos\MALENTIN KARIME\BANCO CREDITO\FER LORCA en ROSITA (Rosita)\ANA LUISA TODO\PROTOCOLIZA\COMUNIDAD CERRO BLANCO (DIRECTIVA).doc</t>
  </si>
  <si>
    <t>C:\Users\franc\OneDrive\Documentos\MALENTIN KARIME\BANCO CREDITO\FER LORCA en ROSITA (Rosita)\ANA LUISA TODO\PROTOCOLIZA\COMUNIDAD AGUAS CANAL ROMERAL.doc</t>
  </si>
  <si>
    <t>C:\Users\franc\OneDrive\Documentos\MALENTIN KARIME\BANCO CREDITO\FER LORCA en ROSITA (Rosita)\ANA LUISA TODO\PROTOCOLIZA\COMUNIDAD AGUAS CANAL MANZANO.doc</t>
  </si>
  <si>
    <t>C:\Users\franc\OneDrive\Documentos\MALENTIN KARIME\BANCO CREDITO\FER LORCA en ROSITA (Rosita)\ANA LUISA TODO\PROTOCOLIZA\COMUNIDAD AGUAS CANAL MANZANO 2.doc</t>
  </si>
  <si>
    <t>C:\Users\franc\OneDrive\Documentos\MALENTIN KARIME\BANCO CREDITO\FER LORCA en ROSITA (Rosita)\ANA LUISA TODO\PROTOCOLIZA\COMUN. AGUAS CANAL POBLACION MIALQUI (C. BUGUEÑO).doc</t>
  </si>
  <si>
    <t>C:\Users\franc\OneDrive\Documentos\MALENTIN KARIME\BANCO CREDITO\FER LORCA en ROSITA (Rosita)\ANA LUISA TODO\PROTOCOLIZA\CMTE DE ADELANTO San Antonio.doc</t>
  </si>
  <si>
    <t>C:\Users\franc\OneDrive\Documentos\MALENTIN KARIME\BANCO CREDITO\FER LORCA en ROSITA (Rosita)\ANA LUISA TODO\PROTOCOLIZA\BOMBEROS.doc</t>
  </si>
  <si>
    <t>C:\Users\franc\OneDrive\Documentos\MALENTIN KARIME\BANCO CREDITO\FER LORCA en ROSITA (Rosita)\ANA LUISA TODO\PROTOCOLIZA\AUTORIZA PROTOCOLO.doc</t>
  </si>
  <si>
    <t>C:\Users\franc\OneDrive\Documentos\MALENTIN KARIME\BANCO CREDITO\FER LORCA en ROSITA (Rosita)\ANA LUISA TODO\PROTOCOLIZA\AUTORIZA LIBRO.doc</t>
  </si>
  <si>
    <t>C:\Users\franc\OneDrive\Documentos\MALENTIN KARIME\BANCO CREDITO\FER LORCA en ROSITA (Rosita)\ANA LUISA TODO\PROTOCOLIZA\AMPLIACION INVENTARIO.doc</t>
  </si>
  <si>
    <t>C:\Users\franc\OneDrive\Documentos\MALENTIN KARIME\BANCO CREDITO\FER LORCA en ROSITA (Rosita)\ANA LUISA TODO\PROTOCOLIZA\ALZAMIENTO INDAP.doc</t>
  </si>
  <si>
    <t>C:\Users\franc\OneDrive\Documentos\MALENTIN KARIME\BANCO CREDITO\FER LORCA en ROSITA (Rosita)\ANA LUISA TODO\PROTOCOLIZA\ALCONES REUNION EXTRAOR (COMODATO).doc</t>
  </si>
  <si>
    <t>C:\Users\franc\OneDrive\Documentos\MALENTIN KARIME\BANCO CREDITO\FER LORCA en ROSITA (Rosita)\ANA LUISA TODO\PROTOCOLIZA\ALCONES REUNION DIRECTORIO.doc</t>
  </si>
  <si>
    <t>C:\Users\franc\OneDrive\Documentos\MALENTIN KARIME\BANCO CREDITO\FER LORCA en ROSITA (Rosita)\ANA LUISA TODO\PROTOCOLIZA\ALCONES JUNTA GENERAL (JULIO 2006).doc</t>
  </si>
  <si>
    <t>C:\Users\franc\OneDrive\Documentos\MALENTIN KARIME\BANCO CREDITO\FER LORCA en ROSITA (Rosita)\ANA LUISA TODO\PROTOCOLIZA\ALCONES AUTORIZA.doc</t>
  </si>
  <si>
    <t>C:\Users\franc\OneDrive\Documentos\MALENTIN KARIME\BANCO CREDITO\FER LORCA en ROSITA (Rosita)\ANA LUISA TODO\PROTOCOLIZA\ALCONES ACTA ACUERDO.doc</t>
  </si>
  <si>
    <t>C:\Users\franc\OneDrive\Documentos\MALENTIN KARIME\BANCO CREDITO\FER LORCA en ROSITA (Rosita)\ANA LUISA TODO\PROTOCOLIZA\ALCONES ACTA 28 nov..doc</t>
  </si>
  <si>
    <t>C:\Users\franc\OneDrive\Documentos\MALENTIN KARIME\BANCO CREDITO\FER LORCA en ROSITA (Rosita)\ANA LUISA TODO\PROTOCOLIZA\ALCONES ACTA 22 DE NOV. 2006.doc</t>
  </si>
  <si>
    <t>C:\Users\franc\OneDrive\Documentos\MALENTIN KARIME\BANCO CREDITO\FER LORCA en ROSITA (Rosita)\ANA LUISA TODO\PROTOCOLIZA\ALCONES 24 ABRIL 2006 AUT. BANCO.doc</t>
  </si>
  <si>
    <t>C:\Users\franc\OneDrive\Documentos\MALENTIN KARIME\BANCO CREDITO\FER LORCA en ROSITA (Rosita)\ANA LUISA TODO\PROTOCOLIZA\ALCONES 21 abril 2006.doc</t>
  </si>
  <si>
    <t>C:\Users\franc\OneDrive\Documentos\MALENTIN KARIME\BANCO CREDITO\FER LORCA en ROSITA (Rosita)\ANA LUISA TODO\PROTOCOLIZA\ALCONES 20 MARZO 2006.doc</t>
  </si>
  <si>
    <t>C:\Users\franc\OneDrive\Documentos\MALENTIN KARIME\BANCO CREDITO\FER LORCA en ROSITA (Rosita)\ANA LUISA TODO\PROTOCOLIZA\ALCONES (JUAN CARLOS).doc</t>
  </si>
  <si>
    <t>C:\Users\franc\OneDrive\Documentos\MALENTIN KARIME\BANCO CREDITO\FER LORCA en ROSITA (Rosita)\ANA LUISA TODO\PROTOCOLIZA\ALCONES  poder energia.doc</t>
  </si>
  <si>
    <t>C:\Users\franc\OneDrive\Documentos\MALENTIN KARIME\BANCO CREDITO\FER LORCA en ROSITA (Rosita)\ANA LUISA TODO\PROTOCOLIZA\ACTA AUTORIZ. 31.07.2006.doc</t>
  </si>
  <si>
    <t>C:\Users\franc\OneDrive\Documentos\MALENTIN KARIME\BANCO CREDITO\FER LORCA en ROSITA (Rosita)\ANA LUISA TODO\PROTOCOLIZA\ACTA ACUERDO ARRIENDO ASAMBLEA.doc</t>
  </si>
  <si>
    <t>C:\Users\franc\OneDrive\Documentos\MALENTIN KARIME\BANCO CREDITO\FER LORCA en ROSITA (Rosita)\ANA LUISA TODO\PROTOCOLIZA\ACTA AUTORIZ.  dos   31.07.2006.doc</t>
  </si>
  <si>
    <t>C:\Users\franc\OneDrive\Documentos\MALENTIN KARIME\BANCO CREDITO\FER LORCA en ROSITA (Rosita)\ANA LUISA TODO\PROTOCOLIZA\ACTA ....... BERNARDO ESCALANTE.doc</t>
  </si>
  <si>
    <t>C:\Users\franc\OneDrive\Documentos\MALENTIN KARIME\BANCO CREDITO\FER LORCA en ROSITA (Rosita)\ANA LUISA TODO\PROMESAS\WILSON SALINAS A SU HIJO (VEHICULO).doc</t>
  </si>
  <si>
    <t>C:\Users\franc\OneDrive\Documentos\MALENTIN KARIME\BANCO CREDITO\FER LORCA en ROSITA (Rosita)\ANA LUISA TODO\PROMESAS\VICTOR RAVANAL Y OTR. A OSCAR ANGEL.doc</t>
  </si>
  <si>
    <t>C:\Users\franc\OneDrive\Documentos\MALENTIN KARIME\BANCO CREDITO\FER LORCA en ROSITA (Rosita)\ANA LUISA TODO\PROMESAS\VICTOR PIZARRO A WALDO CARMONA (VEHICULO).doc</t>
  </si>
  <si>
    <t>C:\Users\franc\OneDrive\Documentos\MALENTIN KARIME\BANCO CREDITO\FER LORCA en ROSITA (Rosita)\ANA LUISA TODO\PROMESAS\VICTOR MONARDES A ANYELA CISTERNAS  (VEHICULO).doc</t>
  </si>
  <si>
    <t>C:\Users\franc\OneDrive\Documentos\MALENTIN KARIME\BANCO CREDITO\FER LORCA en ROSITA (Rosita)\ANA LUISA TODO\PROMESAS\VERONICA CORTES A MARIA BARRAZA (ABO. ANGELICA MARIN).doc</t>
  </si>
  <si>
    <t>C:\Users\franc\OneDrive\Documentos\MALENTIN KARIME\BANCO CREDITO\FER LORCA en ROSITA (Rosita)\ANA LUISA TODO\PROMESAS\TULIO ALFARO A JAIME TAPIA (CASA).doc</t>
  </si>
  <si>
    <t>C:\Users\franc\OneDrive\Documentos\MALENTIN KARIME\BANCO CREDITO\FER LORCA en ROSITA (Rosita)\ANA LUISA TODO\PROMESAS\SUC. ARDILES VALLEJOS A ANA DIAZ.doc</t>
  </si>
  <si>
    <t>C:\Users\franc\OneDrive\Documentos\MALENTIN KARIME\BANCO CREDITO\FER LORCA en ROSITA (Rosita)\ANA LUISA TODO\PROMESAS\SUC. SANTANDER A JORGE GOMILA Y OTROS.doc</t>
  </si>
  <si>
    <t>C:\Users\franc\OneDrive\Documentos\MALENTIN KARIME\BANCO CREDITO\FER LORCA en ROSITA (Rosita)\ANA LUISA TODO\PROMESAS\SOC. MOV. DE TIERRAS A MARIO ARAYA B..doc</t>
  </si>
  <si>
    <t>C:\Users\franc\OneDrive\Documentos\MALENTIN KARIME\BANCO CREDITO\FER LORCA en ROSITA (Rosita)\ANA LUISA TODO\PROMESAS\SILVIO JERALDO A RAUL VEGA (CASA CON PAGARE).doc</t>
  </si>
  <si>
    <t>C:\Users\franc\OneDrive\Documentos\MALENTIN KARIME\BANCO CREDITO\FER LORCA en ROSITA (Rosita)\ANA LUISA TODO\PROMESAS\PROMESA PRIVADO Edgardo Pizarro Burrows a  MERCEDES GUERRERO OLIVARES.doc</t>
  </si>
  <si>
    <t>C:\Users\franc\OneDrive\Documentos\MALENTIN KARIME\BANCO CREDITO\FER LORCA en ROSITA (Rosita)\ANA LUISA TODO\PROMESAS\PROMESA CV MARIO DIAZ SANDRA DIAZ.doc</t>
  </si>
  <si>
    <t>C:\Users\franc\OneDrive\Documentos\MALENTIN KARIME\BANCO CREDITO\FER LORCA en ROSITA (Rosita)\ANA LUISA TODO\PROMESAS\PROMESA COMPRAVENTA RUTH 19-03-06.doc</t>
  </si>
  <si>
    <t>C:\Users\franc\OneDrive\Documentos\MALENTIN KARIME\BANCO CREDITO\FER LORCA en ROSITA (Rosita)\ANA LUISA TODO\PROMESAS\PEDRO BARRERA A ORIEL PERINES EIRL.doc</t>
  </si>
  <si>
    <t>C:\Users\franc\OneDrive\Documentos\MALENTIN KARIME\BANCO CREDITO\FER LORCA en ROSITA (Rosita)\ANA LUISA TODO\PROMESAS\PATRICIO GONZALEZ A GUILLERMO ROJAS.doc</t>
  </si>
  <si>
    <t>C:\Users\franc\OneDrive\Documentos\MALENTIN KARIME\BANCO CREDITO\FER LORCA en ROSITA (Rosita)\ANA LUISA TODO\PROMESAS\PATRICIA GIMENEZ A ELDA OLIVARES.doc</t>
  </si>
  <si>
    <t>C:\Users\franc\OneDrive\Documentos\MALENTIN KARIME\BANCO CREDITO\FER LORCA en ROSITA (Rosita)\ANA LUISA TODO\PROMESAS\OSCAR ORTIZ A NELLY GALLARDO.doc</t>
  </si>
  <si>
    <t>C:\Users\franc\OneDrive\Documentos\MALENTIN KARIME\BANCO CREDITO\FER LORCA en ROSITA (Rosita)\ANA LUISA TODO\PROMESAS\OMAR VELIZ A JUAN CARVAJAL (VEHICULO).doc</t>
  </si>
  <si>
    <t>C:\Users\franc\OneDrive\Documentos\MALENTIN KARIME\BANCO CREDITO\FER LORCA en ROSITA (Rosita)\ANA LUISA TODO\PROMESAS\ORFELINA RODRIGUEZ Y OTROS A CARLOS DIAZ.doc</t>
  </si>
  <si>
    <t>C:\Users\franc\OneDrive\Documentos\MALENTIN KARIME\BANCO CREDITO\FER LORCA en ROSITA (Rosita)\ANA LUISA TODO\PROMESAS\OLIMPIA CORTES A RAUL TORRES.doc</t>
  </si>
  <si>
    <t>C:\Users\franc\OneDrive\Documentos\MALENTIN KARIME\BANCO CREDITO\FER LORCA en ROSITA (Rosita)\ANA LUISA TODO\PROMESAS\MONICA TELLO A JOSE LOPEZ  (VEHICULO).doc</t>
  </si>
  <si>
    <t>C:\Users\franc\OneDrive\Documentos\MALENTIN KARIME\BANCO CREDITO\FER LORCA en ROSITA (Rosita)\ANA LUISA TODO\PROMESAS\MODELO MAURICIO.doc</t>
  </si>
  <si>
    <t>C:\Users\franc\OneDrive\Documentos\MALENTIN KARIME\BANCO CREDITO\FER LORCA en ROSITA (Rosita)\ANA LUISA TODO\PROMESAS\MIRTHA ADAROS A CARLOS SCHNETTLER.doc</t>
  </si>
  <si>
    <t>C:\Users\franc\OneDrive\Documentos\MALENTIN KARIME\BANCO CREDITO\FER LORCA en ROSITA (Rosita)\ANA LUISA TODO\PROMESAS\MARINA MONTERO A JAIME PROHENS  (AGUAS).doc</t>
  </si>
  <si>
    <t>C:\Users\franc\OneDrive\Documentos\MALENTIN KARIME\BANCO CREDITO\FER LORCA en ROSITA (Rosita)\ANA LUISA TODO\PROMESAS\Maria Tello Acuña a RODRIGO GUZMAN.doc</t>
  </si>
  <si>
    <t>C:\Users\franc\OneDrive\Documentos\MALENTIN KARIME\BANCO CREDITO\FER LORCA en ROSITA (Rosita)\ANA LUISA TODO\PROMESAS\MARIA HENRIQUEZ Y OTRAS A AGRICOLA LA FLORIDA.doc</t>
  </si>
  <si>
    <t>C:\Users\franc\OneDrive\Documentos\MALENTIN KARIME\BANCO CREDITO\FER LORCA en ROSITA (Rosita)\ANA LUISA TODO\PROMESAS\MARIA FARFAN A ...........doc</t>
  </si>
  <si>
    <t>C:\Users\franc\OneDrive\Documentos\MALENTIN KARIME\BANCO CREDITO\FER LORCA en ROSITA (Rosita)\ANA LUISA TODO\PROMESAS\MARIA EGAÑA A JAIME ARDILES.doc</t>
  </si>
  <si>
    <t>C:\Users\franc\OneDrive\Documentos\MALENTIN KARIME\BANCO CREDITO\FER LORCA en ROSITA (Rosita)\ANA LUISA TODO\PROMESAS\MARIA CASTRO A SERGIO RIVERA.doc</t>
  </si>
  <si>
    <t>C:\Users\franc\OneDrive\Documentos\MALENTIN KARIME\BANCO CREDITO\FER LORCA en ROSITA (Rosita)\ANA LUISA TODO\PROMESAS\MARIA ARAYA A VIVIANA ORTIZ.doc</t>
  </si>
  <si>
    <t>C:\Users\franc\OneDrive\Documentos\MALENTIN KARIME\BANCO CREDITO\FER LORCA en ROSITA (Rosita)\ANA LUISA TODO\PROMESAS\MANUEL CISTERNAS A ROSA PASTEN (CASA) ART 150.doc</t>
  </si>
  <si>
    <t>C:\Users\franc\OneDrive\Documentos\MALENTIN KARIME\BANCO CREDITO\FER LORCA en ROSITA (Rosita)\ANA LUISA TODO\PROMESAS\LUIS ARAYA A RAMIRO TELLO.doc</t>
  </si>
  <si>
    <t>C:\Users\franc\OneDrive\Documentos\MALENTIN KARIME\BANCO CREDITO\FER LORCA en ROSITA (Rosita)\ANA LUISA TODO\PROMESAS\LEONOR MUÑOZ A MAGALI GALLARDO.doc</t>
  </si>
  <si>
    <t>C:\Users\franc\OneDrive\Documentos\MALENTIN KARIME\BANCO CREDITO\FER LORCA en ROSITA (Rosita)\ANA LUISA TODO\PROMESAS\JUAN SELEME A CESAR JUAREZ  (VEHICULO).doc</t>
  </si>
  <si>
    <t>C:\Users\franc\OneDrive\Documentos\MALENTIN KARIME\BANCO CREDITO\FER LORCA en ROSITA (Rosita)\ANA LUISA TODO\PROMESAS\JUAN GARCIA A JULIO VELASQUEZ.doc</t>
  </si>
  <si>
    <t>C:\Users\franc\OneDrive\Documentos\MALENTIN KARIME\BANCO CREDITO\FER LORCA en ROSITA (Rosita)\ANA LUISA TODO\PROMESAS\JUAN DIAZ A RENE PALAVECINOS.doc</t>
  </si>
  <si>
    <t>C:\Users\franc\OneDrive\Documentos\MALENTIN KARIME\BANCO CREDITO\FER LORCA en ROSITA (Rosita)\ANA LUISA TODO\PROMESAS\JUAN DIAZ A DAVID ROJAS.doc</t>
  </si>
  <si>
    <t>C:\Users\franc\OneDrive\Documentos\MALENTIN KARIME\BANCO CREDITO\FER LORCA en ROSITA (Rosita)\ANA LUISA TODO\PROMESAS\JOSE JOPIA A SERV. TELEMARKETING LTDA.doc</t>
  </si>
  <si>
    <t>C:\Users\franc\OneDrive\Documentos\MALENTIN KARIME\BANCO CREDITO\FER LORCA en ROSITA (Rosita)\ANA LUISA TODO\PROMESAS\JUAN CORTES A ANA CASTILLO  (VEHICULO).doc</t>
  </si>
  <si>
    <t>C:\Users\franc\OneDrive\Documentos\MALENTIN KARIME\BANCO CREDITO\FER LORCA en ROSITA (Rosita)\ANA LUISA TODO\PROMESAS\JAIME VILLALOBOS A EMELINA PALAVECINOS.doc</t>
  </si>
  <si>
    <t>C:\Users\franc\OneDrive\Documentos\MALENTIN KARIME\BANCO CREDITO\FER LORCA en ROSITA (Rosita)\ANA LUISA TODO\PROMESAS\HERNAN ARRIAZA A GMO. ARRIAZA  (VEHICULO).doc</t>
  </si>
  <si>
    <t>C:\Users\franc\OneDrive\Documentos\MALENTIN KARIME\BANCO CREDITO\FER LORCA en ROSITA (Rosita)\ANA LUISA TODO\PROMESAS\GONZALO GUERRERO (MINAS).doc</t>
  </si>
  <si>
    <t>C:\Users\franc\OneDrive\Documentos\MALENTIN KARIME\BANCO CREDITO\FER LORCA en ROSITA (Rosita)\ANA LUISA TODO\PROMESAS\FRANCISCO NIÑO A TRANS. YCY CIA. LTADA..doc</t>
  </si>
  <si>
    <t>C:\Users\franc\OneDrive\Documentos\MALENTIN KARIME\BANCO CREDITO\FER LORCA en ROSITA (Rosita)\ANA LUISA TODO\PROMESAS\FANNY MOROSO A ELEAZAR CARVAJAL (VEHICULO).doc</t>
  </si>
  <si>
    <t>C:\Users\franc\OneDrive\Documentos\MALENTIN KARIME\BANCO CREDITO\FER LORCA en ROSITA (Rosita)\ANA LUISA TODO\PROMESAS\ESTEBAN ESPEJO A SILVIA PIZARRO  (VEHICULO) PRIVADO.doc</t>
  </si>
  <si>
    <t>C:\Users\franc\OneDrive\Documentos\MALENTIN KARIME\BANCO CREDITO\FER LORCA en ROSITA (Rosita)\ANA LUISA TODO\PROMESAS\ERNESTO MUÑOZ A NORA TABILO  (VEHICULO) ABRIL 2009.doc</t>
  </si>
  <si>
    <t>C:\Users\franc\OneDrive\Documentos\MALENTIN KARIME\BANCO CREDITO\FER LORCA en ROSITA (Rosita)\ANA LUISA TODO\PROMESAS\ENRIQUE BEZMALINOVIC A LUIS LOYOLA (VEHICULO).doc</t>
  </si>
  <si>
    <t>C:\Users\franc\OneDrive\Documentos\MALENTIN KARIME\BANCO CREDITO\FER LORCA en ROSITA (Rosita)\ANA LUISA TODO\PROMESAS\ELIZABETH DURAN A GRACIELA ESPINOSA  (VEHICULO).doc</t>
  </si>
  <si>
    <t>C:\Users\franc\OneDrive\Documentos\MALENTIN KARIME\BANCO CREDITO\FER LORCA en ROSITA (Rosita)\ANA LUISA TODO\PROMESAS\ELENA GALLEGUILLOS A FILOMENA CASTILLO.doc</t>
  </si>
  <si>
    <t>C:\Users\franc\OneDrive\Documentos\MALENTIN KARIME\BANCO CREDITO\FER LORCA en ROSITA (Rosita)\ANA LUISA TODO\PROMESAS\ELIANA ARAYA VIDELA A ALCIDES GONZALEZ.doc</t>
  </si>
  <si>
    <t>C:\Users\franc\OneDrive\Documentos\MALENTIN KARIME\BANCO CREDITO\FER LORCA en ROSITA (Rosita)\ANA LUISA TODO\PROMESAS\ELENA GALLEGUILLOS - FILOMENA CASTILLO (P. ALFARO.doc</t>
  </si>
  <si>
    <t>C:\Users\franc\OneDrive\Documentos\MALENTIN KARIME\BANCO CREDITO\FER LORCA en ROSITA (Rosita)\ANA LUISA TODO\PROMESAS\ELDA ORTIZ A JUAN RAMOS (SUBDIVISION).doc</t>
  </si>
  <si>
    <t>C:\Users\franc\OneDrive\Documentos\MALENTIN KARIME\BANCO CREDITO\FER LORCA en ROSITA (Rosita)\ANA LUISA TODO\PROMESAS\EDUARDO CASTILLO A KARINA OLIVARES.doc</t>
  </si>
  <si>
    <t>C:\Users\franc\OneDrive\Documentos\MALENTIN KARIME\BANCO CREDITO\FER LORCA en ROSITA (Rosita)\ANA LUISA TODO\PROMESAS\DANIEL TAPIA A RAUL DORIA.doc</t>
  </si>
  <si>
    <t>C:\Users\franc\OneDrive\Documentos\MALENTIN KARIME\BANCO CREDITO\FER LORCA en ROSITA (Rosita)\ANA LUISA TODO\PROMESAS\DANIEL TAPIA A RAUL DORI.doc</t>
  </si>
  <si>
    <t>C:\Users\franc\OneDrive\Documentos\MALENTIN KARIME\BANCO CREDITO\FER LORCA en ROSITA (Rosita)\ANA LUISA TODO\PROMESAS\CRISTIAN RAMIREZ A RENE ESPINOZA (VEHICULO).doc</t>
  </si>
  <si>
    <t>C:\Users\franc\OneDrive\Documentos\MALENTIN KARIME\BANCO CREDITO\FER LORCA en ROSITA (Rosita)\ANA LUISA TODO\PROMESAS\CRISTIAN GUERRERO A BENEDICTO MUNDACA (VEHICULO).doc</t>
  </si>
  <si>
    <t>C:\Users\franc\OneDrive\Documentos\MALENTIN KARIME\BANCO CREDITO\FER LORCA en ROSITA (Rosita)\ANA LUISA TODO\PROMESAS\CARMEN MONARDES A GULLERMINA VILLALOBOS.doc</t>
  </si>
  <si>
    <t>C:\Users\franc\OneDrive\Documentos\MALENTIN KARIME\BANCO CREDITO\FER LORCA en ROSITA (Rosita)\ANA LUISA TODO\PROMESAS\CARLOS TELLO A JULIO CALDERON (VEHICULO).doc</t>
  </si>
  <si>
    <t>C:\Users\franc\OneDrive\Documentos\MALENTIN KARIME\BANCO CREDITO\FER LORCA en ROSITA (Rosita)\ANA LUISA TODO\PROMESAS\CARLOS HIDALGO A ANA DIAZ  (VEHICULO).doc</t>
  </si>
  <si>
    <t>C:\Users\franc\OneDrive\Documentos\MALENTIN KARIME\BANCO CREDITO\FER LORCA en ROSITA (Rosita)\ANA LUISA TODO\PROMESAS\BERNARDO IBACACHE A PABLO ROBLES.doc</t>
  </si>
  <si>
    <t>C:\Users\franc\OneDrive\Documentos\MALENTIN KARIME\BANCO CREDITO\FER LORCA en ROSITA (Rosita)\ANA LUISA TODO\PROMESAS\BERNARDO IBACACHE A PABLO ROBLES (VEHICULO).doc</t>
  </si>
  <si>
    <t>C:\Users\franc\OneDrive\Documentos\MALENTIN KARIME\BANCO CREDITO\FER LORCA en ROSITA (Rosita)\ANA LUISA TODO\PROMESAS\ARRIENDO ALCONES.doc</t>
  </si>
  <si>
    <t>C:\Users\franc\OneDrive\Documentos\MALENTIN KARIME\BANCO CREDITO\FER LORCA en ROSITA (Rosita)\ANA LUISA TODO\PROMESAS\ARMANDO ZAMBRA A RAUL MARTINEZ.doc</t>
  </si>
  <si>
    <t>C:\Users\franc\OneDrive\Documentos\MALENTIN KARIME\BANCO CREDITO\FER LORCA en ROSITA (Rosita)\ANA LUISA TODO\PROMESAS\ANITA CORTES Y OTROS A ENRIQUE BRAVO Y OTRO.doc</t>
  </si>
  <si>
    <t>C:\Users\franc\OneDrive\Documentos\MALENTIN KARIME\BANCO CREDITO\FER LORCA en ROSITA (Rosita)\ANA LUISA TODO\PROMESAS\ANICETO GUTIERREZ A MOISES VARAS  (VEHICULO).doc</t>
  </si>
  <si>
    <t>C:\Users\franc\OneDrive\Documentos\MALENTIN KARIME\BANCO CREDITO\FER LORCA en ROSITA (Rosita)\ANA LUISA TODO\PROMESAS\ANDRES OLIVARES A BERTA GUERRERO.doc</t>
  </si>
  <si>
    <t>C:\Users\franc\OneDrive\Documentos\MALENTIN KARIME\BANCO CREDITO\FER LORCA en ROSITA (Rosita)\ANA LUISA TODO\PROMESAS\AGRICOLA LAS TINAJAS A GILBERTO CARMONA (VEHICULO).doc</t>
  </si>
  <si>
    <t>C:\Users\franc\OneDrive\Documentos\MALENTIN KARIME\BANCO CREDITO\FER LORCA en ROSITA (Rosita)\ANA LUISA TODO\PROHIBICION\VIVIANA JIMENEZ A SERVIU.doc</t>
  </si>
  <si>
    <t>C:\Users\franc\OneDrive\Documentos\MALENTIN KARIME\BANCO CREDITO\FER LORCA en ROSITA (Rosita)\ANA LUISA TODO\PROHIBICION\TERESA ADONES (SOLA).doc</t>
  </si>
  <si>
    <t>C:\Users\franc\OneDrive\Documentos\MALENTIN KARIME\BANCO CREDITO\FER LORCA en ROSITA (Rosita)\ANA LUISA TODO\PROHIBICION\ROSARIO ANTIQUERA.doc</t>
  </si>
  <si>
    <t>C:\Users\franc\OneDrive\Documentos\MALENTIN KARIME\BANCO CREDITO\FER LORCA en ROSITA (Rosita)\ANA LUISA TODO\PROHIBICION\RITA GOMEZ A SERVIU.doc</t>
  </si>
  <si>
    <t>C:\Users\franc\OneDrive\Documentos\MALENTIN KARIME\BANCO CREDITO\FER LORCA en ROSITA (Rosita)\ANA LUISA TODO\PROHIBICION\PEDRO ARAYA A SERVIU.doc</t>
  </si>
  <si>
    <t>C:\Users\franc\OneDrive\Documentos\MALENTIN KARIME\BANCO CREDITO\FER LORCA en ROSITA (Rosita)\ANA LUISA TODO\PROHIBICION\PROHIBICION.doc</t>
  </si>
  <si>
    <t>C:\Users\franc\OneDrive\Documentos\MALENTIN KARIME\BANCO CREDITO\FER LORCA en ROSITA (Rosita)\ANA LUISA TODO\PROHIBICION\PATRICIA ESCOBAR.doc</t>
  </si>
  <si>
    <t>C:\Users\franc\OneDrive\Documentos\MALENTIN KARIME\BANCO CREDITO\FER LORCA en ROSITA (Rosita)\ANA LUISA TODO\PROHIBICION\MODELO NOTARIO.doc</t>
  </si>
  <si>
    <t>C:\Users\franc\OneDrive\Documentos\MALENTIN KARIME\BANCO CREDITO\FER LORCA en ROSITA (Rosita)\ANA LUISA TODO\PROHIBICION\MERCEDES ALVAREZ.doc</t>
  </si>
  <si>
    <t>C:\Users\franc\OneDrive\Documentos\MALENTIN KARIME\BANCO CREDITO\FER LORCA en ROSITA (Rosita)\ANA LUISA TODO\PROHIBICION\MARCELINO LEON CORTES.doc</t>
  </si>
  <si>
    <t>C:\Users\franc\OneDrive\Documentos\MALENTIN KARIME\BANCO CREDITO\FER LORCA en ROSITA (Rosita)\ANA LUISA TODO\PROHIBICION\LORETO AHUMADA  (SOLA).doc</t>
  </si>
  <si>
    <t>C:\Users\franc\OneDrive\Documentos\MALENTIN KARIME\BANCO CREDITO\FER LORCA en ROSITA (Rosita)\ANA LUISA TODO\PROHIBICION\LUIS PLAZA CUELLO.doc</t>
  </si>
  <si>
    <t>C:\Users\franc\OneDrive\Documentos\MALENTIN KARIME\BANCO CREDITO\FER LORCA en ROSITA (Rosita)\ANA LUISA TODO\PROHIBICION\LEONOR ROBLES.doc</t>
  </si>
  <si>
    <t>C:\Users\franc\OneDrive\Documentos\MALENTIN KARIME\BANCO CREDITO\FER LORCA en ROSITA (Rosita)\ANA LUISA TODO\PROHIBICION\LAURA ROJAS Y CONYUGE JRALDO.doc</t>
  </si>
  <si>
    <t>C:\Users\franc\OneDrive\Documentos\MALENTIN KARIME\BANCO CREDITO\FER LORCA en ROSITA (Rosita)\ANA LUISA TODO\PROHIBICION\JULIO OLIVARES A SERVIU 25-04-2007.doc</t>
  </si>
  <si>
    <t>C:\Users\franc\OneDrive\Documentos\MALENTIN KARIME\BANCO CREDITO\FER LORCA en ROSITA (Rosita)\ANA LUISA TODO\PROHIBICION\JUANA TOLEDO[1].doc</t>
  </si>
  <si>
    <t>C:\Users\franc\OneDrive\Documentos\MALENTIN KARIME\BANCO CREDITO\FER LORCA en ROSITA (Rosita)\ANA LUISA TODO\PROHIBICION\JUAN GAHONA A SERVIU.doc</t>
  </si>
  <si>
    <t>C:\Users\franc\OneDrive\Documentos\MALENTIN KARIME\BANCO CREDITO\FER LORCA en ROSITA (Rosita)\ANA LUISA TODO\PROHIBICION\JORGE ZARATE A SERVIU.doc</t>
  </si>
  <si>
    <t>C:\Users\franc\OneDrive\Documentos\MALENTIN KARIME\BANCO CREDITO\FER LORCA en ROSITA (Rosita)\ANA LUISA TODO\PROHIBICION\JACINTO TORO A SERVIU.doc</t>
  </si>
  <si>
    <t>C:\Users\franc\OneDrive\Documentos\MALENTIN KARIME\BANCO CREDITO\FER LORCA en ROSITA (Rosita)\ANA LUISA TODO\PROHIBICION\IVAN HIDALGO Y CONYUGE.doc</t>
  </si>
  <si>
    <t>C:\Users\franc\OneDrive\Documentos\MALENTIN KARIME\BANCO CREDITO\FER LORCA en ROSITA (Rosita)\ANA LUISA TODO\PROHIBICION\HILDERGARD CUBILLOS.doc</t>
  </si>
  <si>
    <t>C:\Users\franc\OneDrive\Documentos\MALENTIN KARIME\BANCO CREDITO\FER LORCA en ROSITA (Rosita)\ANA LUISA TODO\PROHIBICION\HERNAN GODOY.doc</t>
  </si>
  <si>
    <t>C:\Users\franc\OneDrive\Documentos\MALENTIN KARIME\BANCO CREDITO\FER LORCA en ROSITA (Rosita)\ANA LUISA TODO\PROHIBICION\GUILLERMINA URQUETA (SOLA).doc</t>
  </si>
  <si>
    <t>C:\Users\franc\OneDrive\Documentos\MALENTIN KARIME\BANCO CREDITO\FER LORCA en ROSITA (Rosita)\ANA LUISA TODO\PROHIBICION\FERNANDO LEIVA.doc</t>
  </si>
  <si>
    <t>C:\Users\franc\OneDrive\Documentos\MALENTIN KARIME\BANCO CREDITO\FER LORCA en ROSITA (Rosita)\ANA LUISA TODO\PROHIBICION\GLADYS GALLARDO.doc</t>
  </si>
  <si>
    <t>C:\Users\franc\OneDrive\Documentos\MALENTIN KARIME\BANCO CREDITO\FER LORCA en ROSITA (Rosita)\ANA LUISA TODO\PROHIBICION\DAVID ROJAS.doc</t>
  </si>
  <si>
    <t>C:\Users\franc\OneDrive\Documentos\MALENTIN KARIME\BANCO CREDITO\FER LORCA en ROSITA (Rosita)\ANA LUISA TODO\PROHIBICION\COMITE PRO CASA VILLA ESPERANZA A SERVIU.doc</t>
  </si>
  <si>
    <t>C:\Users\franc\OneDrive\Documentos\MALENTIN KARIME\BANCO CREDITO\FER LORCA en ROSITA (Rosita)\ANA LUISA TODO\PROHIBICION\CLODOMIRO URQUIETA Y CONYUGE.doc</t>
  </si>
  <si>
    <t>C:\Users\franc\OneDrive\Documentos\MALENTIN KARIME\BANCO CREDITO\FER LORCA en ROSITA (Rosita)\ANA LUISA TODO\PROHIBICION\carlos larrondo y graciela julio.doc</t>
  </si>
  <si>
    <t>C:\Users\franc\OneDrive\Documentos\MALENTIN KARIME\BANCO CREDITO\FER LORCA en ROSITA (Rosita)\ANA LUISA TODO\PROHIBICION\ANA ARENAS A SERVIU.doc</t>
  </si>
  <si>
    <t>C:\Users\franc\OneDrive\Documentos\MALENTIN KARIME\BANCO CREDITO\FER LORCA en ROSITA (Rosita)\ANA LUISA TODO\PROHIBICION\ALEJANDRO IBAÑEZ A SERVIU.doc</t>
  </si>
  <si>
    <t>C:\Users\franc\OneDrive\Documentos\MALENTIN KARIME\BANCO CREDITO\FER LORCA en ROSITA (Rosita)\ANA LUISA TODO\PROHENS\RAFAEL PROHENS Y CIA. LTDA. MANDATO ESPECIAL.doc</t>
  </si>
  <si>
    <t>C:\Users\franc\OneDrive\Documentos\MALENTIN KARIME\BANCO CREDITO\FER LORCA en ROSITA (Rosita)\ANA LUISA TODO\PROHENS\MODIFIC. EST. RAFAEL PROHENS Y CIA..doc</t>
  </si>
  <si>
    <t>C:\Users\franc\OneDrive\Documentos\MALENTIN KARIME\BANCO CREDITO\FER LORCA en ROSITA (Rosita)\ANA LUISA TODO\PROHENS\MARIA FIGARI A AGRICOLA PROFI LTDA..doc</t>
  </si>
  <si>
    <t>C:\Users\franc\OneDrive\Documentos\MALENTIN KARIME\BANCO CREDITO\FER LORCA en ROSITA (Rosita)\ANA LUISA TODO\PROHENS\extracto Rafael Prohens.doc</t>
  </si>
  <si>
    <t>C:\Users\franc\OneDrive\Documentos\MALENTIN KARIME\BANCO CREDITO\FER LORCA en ROSITA (Rosita)\ANA LUISA TODO\PRENDAS SIN DESPLAZAMIENTO\LOS LLANOS DE LIMARI A SOC. AGRIC. COM. LTDA..doc</t>
  </si>
  <si>
    <t>C:\Users\franc\OneDrive\Documentos\MALENTIN KARIME\BANCO CREDITO\FER LORCA en ROSITA (Rosita)\ANA LUISA TODO\PRENDA SIN DESPLAZAMIENTO\TOMAS ARDILES A EPYSA LTDA. (PRENDA INDUSTRIAL).doc</t>
  </si>
  <si>
    <t>C:\Users\franc\OneDrive\Documentos\MALENTIN KARIME\BANCO CREDITO\FER LORCA en ROSITA (Rosita)\ANA LUISA TODO\PRENDA SIN DESPLAZAMIENTO\SOC. MINERA BOYENS LTDA..doc</t>
  </si>
  <si>
    <t>C:\Users\franc\OneDrive\Documentos\MALENTIN KARIME\BANCO CREDITO\FER LORCA en ROSITA (Rosita)\ANA LUISA TODO\PRENDA SIN DESPLAZAMIENTO\SOC. MINERA BOYENS LTDA. FINAS.doc</t>
  </si>
  <si>
    <t>C:\Users\franc\OneDrive\Documentos\MALENTIN KARIME\BANCO CREDITO\FER LORCA en ROSITA (Rosita)\ANA LUISA TODO\PRENDA SIN DESPLAZAMIENTO\SOC. BOYENS CON ORIEL PERINES (PARTICULAR).doc</t>
  </si>
  <si>
    <t>C:\Users\franc\OneDrive\Documentos\MALENTIN KARIME\BANCO CREDITO\FER LORCA en ROSITA (Rosita)\ANA LUISA TODO\PRENDA SIN DESPLAZAMIENTO\MARCO ADAOS A AGRICOLA EL TREBOL.doc</t>
  </si>
  <si>
    <t>C:\Users\franc\OneDrive\Documentos\MALENTIN KARIME\BANCO CREDITO\FER LORCA en ROSITA (Rosita)\ANA LUISA TODO\PRENDA SIN DESPLAZAMIENTO\JUAN MARAMBIO A COPEVAL.doc</t>
  </si>
  <si>
    <t>C:\Users\franc\OneDrive\Documentos\MALENTIN KARIME\BANCO CREDITO\FER LORCA en ROSITA (Rosita)\ANA LUISA TODO\PRENDA SIN DESPLAZAMIENTO\MARCO ADAOS A AGRICOLA EL TREBOL (PARTICULAR).doc</t>
  </si>
  <si>
    <t>C:\Users\franc\OneDrive\Documentos\MALENTIN KARIME\BANCO CREDITO\FER LORCA en ROSITA (Rosita)\ANA LUISA TODO\PRENDA SIN DESPLAZAMIENTO\HUGO HENRIQUEZ A AGRICOLA EL TREBOL.doc</t>
  </si>
  <si>
    <t>C:\Users\franc\OneDrive\Documentos\MALENTIN KARIME\BANCO CREDITO\FER LORCA en ROSITA (Rosita)\ANA LUISA TODO\PRENDA SIN DESPLAZAMIENTO\HUGO HENRIQUEZ A AGRICOLA EL TREBOL (PARTICULAR).doc</t>
  </si>
  <si>
    <t>C:\Users\franc\OneDrive\Documentos\MALENTIN KARIME\BANCO CREDITO\FER LORCA en ROSITA (Rosita)\ANA LUISA TODO\PRENDA SIN DESPLAZAMIENTO\EXTRACTO JUAN MARAMBIO A COPEVAL.doc</t>
  </si>
  <si>
    <t>C:\Users\franc\OneDrive\Documentos\MALENTIN KARIME\BANCO CREDITO\FER LORCA en ROSITA (Rosita)\ANA LUISA TODO\PERMUTA\Samuel Rojo a Ricardo ALlende 2.doc</t>
  </si>
  <si>
    <t>C:\Users\franc\OneDrive\Documentos\MALENTIN KARIME\BANCO CREDITO\FER LORCA en ROSITA (Rosita)\ANA LUISA TODO\PERMUTA\Samuel Rojo a Ricardo ALlende.doc</t>
  </si>
  <si>
    <t>C:\Users\franc\OneDrive\Documentos\MALENTIN KARIME\BANCO CREDITO\FER LORCA en ROSITA (Rosita)\ANA LUISA TODO\PATRICIA ALFARO\NICOLASA IRIBARREN Y OT. A HOWAR MUÑOZ.doc</t>
  </si>
  <si>
    <t>C:\Users\franc\OneDrive\Documentos\MALENTIN KARIME\BANCO CREDITO\FER LORCA en ROSITA (Rosita)\ANA LUISA TODO\PATRICIA ALFARO\COMPLEMENTACION MIRNA.doc</t>
  </si>
  <si>
    <t>C:\Users\franc\OneDrive\Documentos\MALENTIN KARIME\BANCO CREDITO\FER LORCA en ROSITA (Rosita)\ANA LUISA TODO\PATRICIA ALFARO\HUGO CORTES Y OTRO (SUBDIVISION).doc</t>
  </si>
  <si>
    <t>C:\Users\franc\OneDrive\Documentos\MALENTIN KARIME\BANCO CREDITO\FER LORCA en ROSITA (Rosita)\ANA LUISA TODO\PATRICIA ALFARO\COMPLEMENTACION HUGO CORTES.doc</t>
  </si>
  <si>
    <t>C:\Users\franc\OneDrive\Documentos\MALENTIN KARIME\BANCO CREDITO\FER LORCA en ROSITA (Rosita)\ANA LUISA TODO\PATRICIA ALFARO\COMODATO COM AGRICOLA POTRERILLO A CLUB DEP. UNION JUVENTUD.doc</t>
  </si>
  <si>
    <t>C:\Users\franc\OneDrive\Documentos\MALENTIN KARIME\BANCO CREDITO\FER LORCA en ROSITA (Rosita)\ANA LUISA TODO\PATRICIA ALFARO\comodato club de rodeo.doc</t>
  </si>
  <si>
    <t>C:\Users\franc\OneDrive\Documentos\MALENTIN KARIME\BANCO CREDITO\FER LORCA en ROSITA (Rosita)\ANA LUISA TODO\MUNICIPALIDAD RIO HURTADO\MODIFICA COMPLEJO HUAMPULLA.doc</t>
  </si>
  <si>
    <t>C:\Users\franc\OneDrive\Documentos\MALENTIN KARIME\BANCO CREDITO\FER LORCA en ROSITA (Rosita)\ANA LUISA TODO\MUNICIPALIDAD RIO HURTADO\COMPLEJO HUAMPULLA (MODIFICA.doc</t>
  </si>
  <si>
    <t>C:\Users\franc\OneDrive\Documentos\MALENTIN KARIME\BANCO CREDITO\FER LORCA en ROSITA (Rosita)\ANA LUISA TODO\MUNICIPALIDAD RIO HURTADO\AUTORIZ FIRMA.doc</t>
  </si>
  <si>
    <t>C:\Users\franc\OneDrive\Documentos\MALENTIN KARIME\BANCO CREDITO\FER LORCA en ROSITA (Rosita)\ANA LUISA TODO\MUNICIPALIDAD DE OVALLE\PROTOCOLIZACION CONTRATO BERNARDO CORTES.doc</t>
  </si>
  <si>
    <t>C:\Users\franc\OneDrive\Documentos\MALENTIN KARIME\BANCO CREDITO\FER LORCA en ROSITA (Rosita)\ANA LUISA TODO\MUNICIPALIDAD DE OVALLE\MUNICIP.  A FABRICIO ROJAS  (MANDATO JUDICIAL).doc</t>
  </si>
  <si>
    <t>C:\Users\franc\OneDrive\Documentos\MALENTIN KARIME\BANCO CREDITO\FER LORCA en ROSITA (Rosita)\ANA LUISA TODO\MUNICIPALIDAD DE OVALLE\MODIF. CONST. SEDE COM. VILLA LA PAZ - SAMUEL VILLARROEL.doc</t>
  </si>
  <si>
    <t>C:\Users\franc\OneDrive\Documentos\MALENTIN KARIME\BANCO CREDITO\FER LORCA en ROSITA (Rosita)\ANA LUISA TODO\MUNICIPALIDAD DE OVALLE\MODIF. CONST. CHARLESBURG - SAMUEL VILLARROEL.doc</t>
  </si>
  <si>
    <t>C:\Users\franc\OneDrive\Documentos\MALENTIN KARIME\BANCO CREDITO\FER LORCA en ROSITA (Rosita)\ANA LUISA TODO\MUNICIPALIDAD DE OVALLE\BERNARDO CORTES (AGOSTO 2007).doc</t>
  </si>
  <si>
    <t>C:\Users\franc\OneDrive\Documentos\MALENTIN KARIME\BANCO CREDITO\FER LORCA en ROSITA (Rosita)\ANA LUISA TODO\MITSUI\VICTOR FUENTES.doc</t>
  </si>
  <si>
    <t>C:\Users\franc\OneDrive\Documentos\MALENTIN KARIME\BANCO CREDITO\FER LORCA en ROSITA (Rosita)\ANA LUISA TODO\MITSUI\ULISES ROJAS ORTIZ.doc</t>
  </si>
  <si>
    <t>C:\Users\franc\OneDrive\Documentos\MALENTIN KARIME\BANCO CREDITO\FER LORCA en ROSITA (Rosita)\ANA LUISA TODO\MITSUI\SEBASTIAN SUAZO LOPZ.doc</t>
  </si>
  <si>
    <t>C:\Users\franc\OneDrive\Documentos\MALENTIN KARIME\BANCO CREDITO\FER LORCA en ROSITA (Rosita)\ANA LUISA TODO\MITSUI\RODOLFO HENRIQUEZ.doc</t>
  </si>
  <si>
    <t>C:\Users\franc\OneDrive\Documentos\MALENTIN KARIME\BANCO CREDITO\FER LORCA en ROSITA (Rosita)\ANA LUISA TODO\MITSUI\RAFAEL CASTELLANOS ARCE.doc</t>
  </si>
  <si>
    <t>C:\Users\franc\OneDrive\Documentos\MALENTIN KARIME\BANCO CREDITO\FER LORCA en ROSITA (Rosita)\ANA LUISA TODO\MITSUI\PEDRO VEGA Y OTRO.doc</t>
  </si>
  <si>
    <t>C:\Users\franc\OneDrive\Documentos\MALENTIN KARIME\BANCO CREDITO\FER LORCA en ROSITA (Rosita)\ANA LUISA TODO\MITSUI\PEDRO ROJAS   (M. METTIFOGO).doc</t>
  </si>
  <si>
    <t>C:\Users\franc\OneDrive\Documentos\MALENTIN KARIME\BANCO CREDITO\FER LORCA en ROSITA (Rosita)\ANA LUISA TODO\MITSUI\PATRICIA ZUMARAN.doc</t>
  </si>
  <si>
    <t>C:\Users\franc\OneDrive\Documentos\MALENTIN KARIME\BANCO CREDITO\FER LORCA en ROSITA (Rosita)\ANA LUISA TODO\MITSUI\PATRICIA ACOSTA.doc</t>
  </si>
  <si>
    <t>C:\Users\franc\OneDrive\Documentos\MALENTIN KARIME\BANCO CREDITO\FER LORCA en ROSITA (Rosita)\ANA LUISA TODO\MITSUI\PAMELA ROJAS CORTES.doc</t>
  </si>
  <si>
    <t>C:\Users\franc\OneDrive\Documentos\MALENTIN KARIME\BANCO CREDITO\FER LORCA en ROSITA (Rosita)\ANA LUISA TODO\MITSUI\NOLVIA JOFRE TAPIA.doc</t>
  </si>
  <si>
    <t>C:\Users\franc\OneDrive\Documentos\MALENTIN KARIME\BANCO CREDITO\FER LORCA en ROSITA (Rosita)\ANA LUISA TODO\MITSUI\MODELO PODER.doc</t>
  </si>
  <si>
    <t>C:\Users\franc\OneDrive\Documentos\MALENTIN KARIME\BANCO CREDITO\FER LORCA en ROSITA (Rosita)\ANA LUISA TODO\MITSUI\MODELO MANDATO PRIVADO.doc</t>
  </si>
  <si>
    <t>C:\Users\franc\OneDrive\Documentos\MALENTIN KARIME\BANCO CREDITO\FER LORCA en ROSITA (Rosita)\ANA LUISA TODO\MITSUI\MARIA MARIN PONCE.doc</t>
  </si>
  <si>
    <t>C:\Users\franc\OneDrive\Documentos\MALENTIN KARIME\BANCO CREDITO\FER LORCA en ROSITA (Rosita)\ANA LUISA TODO\MITSUI\MARGARITA LOPEZ FERREIRA.doc</t>
  </si>
  <si>
    <t>C:\Users\franc\OneDrive\Documentos\MALENTIN KARIME\BANCO CREDITO\FER LORCA en ROSITA (Rosita)\ANA LUISA TODO\MITSUI\JUAN MARAMBIO Y OTRA.doc</t>
  </si>
  <si>
    <t>C:\Users\franc\OneDrive\Documentos\MALENTIN KARIME\BANCO CREDITO\FER LORCA en ROSITA (Rosita)\ANA LUISA TODO\MITSUI\JAVIER VERGARA (SEP. 2008).doc</t>
  </si>
  <si>
    <t>C:\Users\franc\OneDrive\Documentos\MALENTIN KARIME\BANCO CREDITO\FER LORCA en ROSITA (Rosita)\ANA LUISA TODO\MITSUI\GUILLERMO VALDES.doc</t>
  </si>
  <si>
    <t>C:\Users\franc\OneDrive\Documentos\MALENTIN KARIME\BANCO CREDITO\FER LORCA en ROSITA (Rosita)\ANA LUISA TODO\MITSUI\CAROLINA CONTRERAS.doc</t>
  </si>
  <si>
    <t>C:\Users\franc\OneDrive\Documentos\MALENTIN KARIME\BANCO CREDITO\FER LORCA en ROSITA (Rosita)\ANA LUISA TODO\MITSUI\CARLOS RAMOS ALIAGA (M. METTIFOGO).doc</t>
  </si>
  <si>
    <t>C:\Users\franc\OneDrive\Documentos\MALENTIN KARIME\BANCO CREDITO\FER LORCA en ROSITA (Rosita)\ANA LUISA TODO\MITSUI\BENJAMIN ZEPEDA.doc</t>
  </si>
  <si>
    <t>C:\Users\franc\OneDrive\Documentos\MALENTIN KARIME\BANCO CREDITO\FER LORCA en ROSITA (Rosita)\ANA LUISA TODO\MITSUI\BENILDA MUNDACA.doc</t>
  </si>
  <si>
    <t>C:\Users\franc\OneDrive\Documentos\MALENTIN KARIME\BANCO CREDITO\FER LORCA en ROSITA (Rosita)\ANA LUISA TODO\MITSUI\Autorizo la firma.doc</t>
  </si>
  <si>
    <t>C:\Users\franc\OneDrive\Documentos\MALENTIN KARIME\BANCO CREDITO\FER LORCA en ROSITA (Rosita)\ANA LUISA TODO\MITSUI\Autorizo la firma  2.doc</t>
  </si>
  <si>
    <t>C:\Users\franc\OneDrive\Documentos\MALENTIN KARIME\BANCO CREDITO\FER LORCA en ROSITA (Rosita)\ANA LUISA TODO\MITSUI\ALICIA ZEBALLOS ORTIZ.doc</t>
  </si>
  <si>
    <t>C:\Users\franc\OneDrive\Documentos\MALENTIN KARIME\BANCO CREDITO\FER LORCA en ROSITA (Rosita)\ANA LUISA TODO\MITSUI\ALEJANDRO LOPEZ  (SIN INSCRIP).doc</t>
  </si>
  <si>
    <t>C:\Users\franc\OneDrive\Documentos\MALENTIN KARIME\BANCO CREDITO\FER LORCA en ROSITA (Rosita)\ANA LUISA TODO\MITSUI\ALEJANDRO BOU.doc</t>
  </si>
  <si>
    <t>C:\Users\franc\OneDrive\Documentos\MALENTIN KARIME\BANCO CREDITO\FER LORCA en ROSITA (Rosita)\ANA LUISA TODO\MINAS 2007\CERTIFICADOS\VICTORIA  VIII      1-200.doc</t>
  </si>
  <si>
    <t>C:\Users\franc\OneDrive\Documentos\MALENTIN KARIME\BANCO CREDITO\FER LORCA en ROSITA (Rosita)\ANA LUISA TODO\MINAS 2007\CERTIFICADOS\VICTORIA  VII      1-200.doc</t>
  </si>
  <si>
    <t>C:\Users\franc\OneDrive\Documentos\MALENTIN KARIME\BANCO CREDITO\FER LORCA en ROSITA (Rosita)\ANA LUISA TODO\MINAS 2007\CERTIFICADOS\VICTORIA  VI      1-200.doc</t>
  </si>
  <si>
    <t>C:\Users\franc\OneDrive\Documentos\MALENTIN KARIME\BANCO CREDITO\FER LORCA en ROSITA (Rosita)\ANA LUISA TODO\MINAS 2007\CERTIFICADOS\VICTORIA  V      1-300.doc</t>
  </si>
  <si>
    <t>C:\Users\franc\OneDrive\Documentos\MALENTIN KARIME\BANCO CREDITO\FER LORCA en ROSITA (Rosita)\ANA LUISA TODO\MINAS 2007\CERTIFICADOS\VICTORIA  IX      1-100.doc</t>
  </si>
  <si>
    <t>C:\Users\franc\OneDrive\Documentos\MALENTIN KARIME\BANCO CREDITO\FER LORCA en ROSITA (Rosita)\ANA LUISA TODO\MINAS 2007\CERTIFICADOS\NUEVA DALMACIA (MANIFESTCION).doc</t>
  </si>
  <si>
    <t>C:\Users\franc\OneDrive\Documentos\MALENTIN KARIME\BANCO CREDITO\FER LORCA en ROSITA (Rosita)\ANA LUISA TODO\MINAS 2007\CERTIFICADOS\GABRIEL VIII  1-16.doc</t>
  </si>
  <si>
    <t>C:\Users\franc\OneDrive\Documentos\MALENTIN KARIME\BANCO CREDITO\FER LORCA en ROSITA (Rosita)\ANA LUISA TODO\MINAS 2007\CERTIFICADOS\GABRIEL VII 1-32.doc</t>
  </si>
  <si>
    <t>C:\Users\franc\OneDrive\Documentos\MALENTIN KARIME\BANCO CREDITO\FER LORCA en ROSITA (Rosita)\ANA LUISA TODO\MINAS 2007\CERTIFICADOS\GABRIEL III  1-300.doc</t>
  </si>
  <si>
    <t>C:\Users\franc\OneDrive\Documentos\MALENTIN KARIME\BANCO CREDITO\FER LORCA en ROSITA (Rosita)\ANA LUISA TODO\MINAS 2007\CERTIFICADOS\GABRIEL II  1-200.doc</t>
  </si>
  <si>
    <t>C:\Users\franc\OneDrive\Documentos\MALENTIN KARIME\BANCO CREDITO\FER LORCA en ROSITA (Rosita)\ANA LUISA TODO\MINAS 2007\CERTIFICADOS\GABRIEL I 1-200.doc</t>
  </si>
  <si>
    <t>C:\Users\franc\OneDrive\Documentos\MALENTIN KARIME\BANCO CREDITO\FER LORCA en ROSITA (Rosita)\ANA LUISA TODO\MINAS 2007\CERTIFICADOS\DALMACIA III C   1-60.doc</t>
  </si>
  <si>
    <t>C:\Users\franc\OneDrive\Documentos\MALENTIN KARIME\BANCO CREDITO\FER LORCA en ROSITA (Rosita)\ANA LUISA TODO\MINAS 2007\CERTIFICADOS\DALMACIA III B   1-80.doc</t>
  </si>
  <si>
    <t>C:\Users\franc\OneDrive\Documentos\MALENTIN KARIME\BANCO CREDITO\FER LORCA en ROSITA (Rosita)\ANA LUISA TODO\MINAS 2007\CERTIFICADOS\DALMACIA III A   1-60.doc</t>
  </si>
  <si>
    <t>C:\Users\franc\OneDrive\Documentos\MALENTIN KARIME\BANCO CREDITO\FER LORCA en ROSITA (Rosita)\ANA LUISA TODO\MINAS 2007\CERTIFICADOS\DALMACIA II     1-100.doc</t>
  </si>
  <si>
    <t>C:\Users\franc\OneDrive\Documentos\MALENTIN KARIME\BANCO CREDITO\FER LORCA en ROSITA (Rosita)\ANA LUISA TODO\MINAS 2007\CERTIFICADOS\ANA LUISA II  1-300.doc</t>
  </si>
  <si>
    <t>C:\Users\franc\OneDrive\Documentos\MALENTIN KARIME\BANCO CREDITO\FER LORCA en ROSITA (Rosita)\ANA LUISA TODO\MINAS 2007\CERTIFICADOS\ANA LUISA I  1-200.doc</t>
  </si>
  <si>
    <t>C:\Users\franc\OneDrive\Documentos\MALENTIN KARIME\BANCO CREDITO\FER LORCA en ROSITA (Rosita)\ANA LUISA TODO\MINAS 2007\DELTA 9 2DO. JUZGADO - PERITO HUGO GARRIDO.doc</t>
  </si>
  <si>
    <t>C:\Users\franc\OneDrive\Documentos\MALENTIN KARIME\BANCO CREDITO\FER LORCA en ROSITA (Rosita)\ANA LUISA TODO\MINAS 2007\AUTORIZACION COPIAS MINERAS.doc</t>
  </si>
  <si>
    <t>C:\Users\franc\OneDrive\Documentos\MALENTIN KARIME\BANCO CREDITO\FER LORCA en ROSITA (Rosita)\ANA LUISA TODO\MATRICES INSTRUMENTOS PRIVADOS\varios\timbraje.cabrera..doc</t>
  </si>
  <si>
    <t>C:\Users\franc\OneDrive\Documentos\MALENTIN KARIME\BANCO CREDITO\FER LORCA en ROSITA (Rosita)\ANA LUISA TODO\MATRICES INSTRUMENTOS PRIVADOS\varios\REP AUTOS.xls</t>
  </si>
  <si>
    <t>C:\Users\franc\OneDrive\Documentos\MALENTIN KARIME\BANCO CREDITO\FER LORCA en ROSITA (Rosita)\ANA LUISA TODO\MATRICES INSTRUMENTOS PRIVADOS\varios\REGISTRO DE INSTRUMENTOS PUBLICOS.doc</t>
  </si>
  <si>
    <t>C:\Users\franc\OneDrive\Documentos\MALENTIN KARIME\BANCO CREDITO\FER LORCA en ROSITA (Rosita)\ANA LUISA TODO\MATRICES INSTRUMENTOS PRIVADOS\varios\protesto..doc</t>
  </si>
  <si>
    <t>C:\Users\franc\OneDrive\Documentos\MALENTIN KARIME\BANCO CREDITO\FER LORCA en ROSITA (Rosita)\ANA LUISA TODO\MATRICES INSTRUMENTOS PRIVADOS\varios\Postulación.doc</t>
  </si>
  <si>
    <t>C:\Users\franc\OneDrive\Documentos\MALENTIN KARIME\BANCO CREDITO\FER LORCA en ROSITA (Rosita)\ANA LUISA TODO\MATRICES INSTRUMENTOS PRIVADOS\varios\Plantilla.doc</t>
  </si>
  <si>
    <t>C:\Users\franc\OneDrive\Documentos\MALENTIN KARIME\BANCO CREDITO\FER LORCA en ROSITA (Rosita)\ANA LUISA TODO\MATRICES INSTRUMENTOS PRIVADOS\varios\permiso Notario.doc</t>
  </si>
  <si>
    <t>C:\Users\franc\OneDrive\Documentos\MALENTIN KARIME\BANCO CREDITO\FER LORCA en ROSITA (Rosita)\ANA LUISA TODO\MATRICES INSTRUMENTOS PRIVADOS\varios\PERMISO IIL.doc</t>
  </si>
  <si>
    <t>C:\Users\franc\OneDrive\Documentos\MALENTIN KARIME\BANCO CREDITO\FER LORCA en ROSITA (Rosita)\ANA LUISA TODO\MATRICES INSTRUMENTOS PRIVADOS\varios\Notario.AD HOC..doc</t>
  </si>
  <si>
    <t>C:\Users\franc\OneDrive\Documentos\MALENTIN KARIME\BANCO CREDITO\FER LORCA en ROSITA (Rosita)\ANA LUISA TODO\MATRICES INSTRUMENTOS PRIVADOS\varios\Notario Adhoc.doc</t>
  </si>
  <si>
    <t>C:\Users\franc\OneDrive\Documentos\MALENTIN KARIME\BANCO CREDITO\FER LORCA en ROSITA (Rosita)\ANA LUISA TODO\MATRICES INSTRUMENTOS PRIVADOS\varios\lomos..doc</t>
  </si>
  <si>
    <t>C:\Users\franc\OneDrive\Documentos\MALENTIN KARIME\BANCO CREDITO\FER LORCA en ROSITA (Rosita)\ANA LUISA TODO\MATRICES INSTRUMENTOS PRIVADOS\varios\LOMO.doc</t>
  </si>
  <si>
    <t>C:\Users\franc\OneDrive\Documentos\MALENTIN KARIME\BANCO CREDITO\FER LORCA en ROSITA (Rosita)\ANA LUISA TODO\MATRICES INSTRUMENTOS PRIVADOS\varios\lista.notar..doc</t>
  </si>
  <si>
    <t>C:\Users\franc\OneDrive\Documentos\MALENTIN KARIME\BANCO CREDITO\FER LORCA en ROSITA (Rosita)\ANA LUISA TODO\MATRICES INSTRUMENTOS PRIVADOS\varios\LIQUIDACION..xls</t>
  </si>
  <si>
    <t>C:\Users\franc\OneDrive\Documentos\MALENTIN KARIME\BANCO CREDITO\FER LORCA en ROSITA (Rosita)\ANA LUISA TODO\MATRICES INSTRUMENTOS PRIVADOS\varios\LIQUIDA.ROSS..xls</t>
  </si>
  <si>
    <t>C:\Users\franc\OneDrive\Documentos\MALENTIN KARIME\BANCO CREDITO\FER LORCA en ROSITA (Rosita)\ANA LUISA TODO\MATRICES INSTRUMENTOS PRIVADOS\varios\LIBROS.xls</t>
  </si>
  <si>
    <t>C:\Users\franc\OneDrive\Documentos\MALENTIN KARIME\BANCO CREDITO\FER LORCA en ROSITA (Rosita)\ANA LUISA TODO\MATRICES INSTRUMENTOS PRIVADOS\varios\INVENTARIO.xls</t>
  </si>
  <si>
    <t>C:\Users\franc\OneDrive\Documentos\MALENTIN KARIME\BANCO CREDITO\FER LORCA en ROSITA (Rosita)\ANA LUISA TODO\MATRICES INSTRUMENTOS PRIVADOS\varios\INVEN. LIBROS.xls</t>
  </si>
  <si>
    <t>C:\Users\franc\OneDrive\Documentos\MALENTIN KARIME\BANCO CREDITO\FER LORCA en ROSITA (Rosita)\ANA LUISA TODO\MATRICES INSTRUMENTOS PRIVADOS\varios\INDICE.sept.octu.03..xls</t>
  </si>
  <si>
    <t>C:\Users\franc\OneDrive\Documentos\MALENTIN KARIME\BANCO CREDITO\FER LORCA en ROSITA (Rosita)\ANA LUISA TODO\MATRICES INSTRUMENTOS PRIVADOS\varios\INDICE.2004.2..xls</t>
  </si>
  <si>
    <t>C:\Users\franc\OneDrive\Documentos\MALENTIN KARIME\BANCO CREDITO\FER LORCA en ROSITA (Rosita)\ANA LUISA TODO\MATRICES INSTRUMENTOS PRIVADOS\varios\INDICE.2004..xls</t>
  </si>
  <si>
    <t>C:\Users\franc\OneDrive\Documentos\MALENTIN KARIME\BANCO CREDITO\FER LORCA en ROSITA (Rosita)\ANA LUISA TODO\MATRICES INSTRUMENTOS PRIVADOS\varios\FALTA DE FIRMA.doc</t>
  </si>
  <si>
    <t>C:\Users\franc\OneDrive\Documentos\MALENTIN KARIME\BANCO CREDITO\FER LORCA en ROSITA (Rosita)\ANA LUISA TODO\MATRICES INSTRUMENTOS PRIVADOS\varios\FALTA CONTRIBUCION.doc</t>
  </si>
  <si>
    <t>C:\Users\franc\OneDrive\Documentos\MALENTIN KARIME\BANCO CREDITO\FER LORCA en ROSITA (Rosita)\ANA LUISA TODO\MATRICES INSTRUMENTOS PRIVADOS\varios\ELECCION DE CONCEJALES DECL. JURADA.doc</t>
  </si>
  <si>
    <t>C:\Users\franc\OneDrive\Documentos\MALENTIN KARIME\BANCO CREDITO\FER LORCA en ROSITA (Rosita)\ANA LUISA TODO\MATRICES INSTRUMENTOS PRIVADOS\varios\ELECCION DE ALCALDE DECLARACION JURADA.doc</t>
  </si>
  <si>
    <t>C:\Users\franc\OneDrive\Documentos\MALENTIN KARIME\BANCO CREDITO\FER LORCA en ROSITA (Rosita)\ANA LUISA TODO\MATRICES INSTRUMENTOS PRIVADOS\varios\COMPROBANTES.doc</t>
  </si>
  <si>
    <t>C:\Users\franc\OneDrive\Documentos\MALENTIN KARIME\BANCO CREDITO\FER LORCA en ROSITA (Rosita)\ANA LUISA TODO\MATRICES INSTRUMENTOS PRIVADOS\varios\Certificado.9..doc</t>
  </si>
  <si>
    <t>C:\Users\franc\OneDrive\Documentos\MALENTIN KARIME\BANCO CREDITO\FER LORCA en ROSITA (Rosita)\ANA LUISA TODO\MATRICES INSTRUMENTOS PRIVADOS\varios\CERTIFICADO CHOQUE.doc</t>
  </si>
  <si>
    <t>C:\Users\franc\OneDrive\Documentos\MALENTIN KARIME\BANCO CREDITO\FER LORCA en ROSITA (Rosita)\ANA LUISA TODO\MATRICES INSTRUMENTOS PRIVADOS\varios\Certificado 5.doc</t>
  </si>
  <si>
    <t>C:\Users\franc\OneDrive\Documentos\MALENTIN KARIME\BANCO CREDITO\FER LORCA en ROSITA (Rosita)\ANA LUISA TODO\MATRICES INSTRUMENTOS PRIVADOS\varios\CERTIFICACION DE CIERRE.doc</t>
  </si>
  <si>
    <t>C:\Users\franc\OneDrive\Documentos\MALENTIN KARIME\BANCO CREDITO\FER LORCA en ROSITA (Rosita)\ANA LUISA TODO\MATRICES INSTRUMENTOS PRIVADOS\varios\CERTIFICACION DE APERTURA DE REPERTORIO.doc</t>
  </si>
  <si>
    <t>C:\Users\franc\OneDrive\Documentos\MALENTIN KARIME\BANCO CREDITO\FER LORCA en ROSITA (Rosita)\ANA LUISA TODO\MATRICES INSTRUMENTOS PRIVADOS\varios\arancel.xls</t>
  </si>
  <si>
    <t>C:\Users\franc\OneDrive\Documentos\MALENTIN KARIME\BANCO CREDITO\FER LORCA en ROSITA (Rosita)\ANA LUISA TODO\MATRICES INSTRUMENTOS PRIVADOS\varios\abogado.doc</t>
  </si>
  <si>
    <t>C:\Users\franc\OneDrive\Documentos\MALENTIN KARIME\BANCO CREDITO\FER LORCA en ROSITA (Rosita)\ANA LUISA TODO\MATRICES INSTRUMENTOS PRIVADOS\publicas\EXTRACTO DE PRENDA SIN DESPLAZAMIENTO.doc</t>
  </si>
  <si>
    <t>C:\Users\franc\OneDrive\Documentos\MALENTIN KARIME\BANCO CREDITO\FER LORCA en ROSITA (Rosita)\ANA LUISA TODO\MATRICES INSTRUMENTOS PRIVADOS\poderes\Universidad.doc</t>
  </si>
  <si>
    <t>C:\Users\franc\OneDrive\Documentos\MALENTIN KARIME\BANCO CREDITO\FER LORCA en ROSITA (Rosita)\ANA LUISA TODO\MATRICES INSTRUMENTOS PRIVADOS\poderes\TERESA.doc</t>
  </si>
  <si>
    <t>C:\Users\franc\OneDrive\Documentos\MALENTIN KARIME\BANCO CREDITO\FER LORCA en ROSITA (Rosita)\ANA LUISA TODO\MATRICES INSTRUMENTOS PRIVADOS\poderes\TERESA DOS.doc</t>
  </si>
  <si>
    <t>C:\Users\franc\OneDrive\Documentos\MALENTIN KARIME\BANCO CREDITO\FER LORCA en ROSITA (Rosita)\ANA LUISA TODO\MATRICES INSTRUMENTOS PRIVADOS\poderes\poder.domicilio..doc</t>
  </si>
  <si>
    <t>C:\Users\franc\OneDrive\Documentos\MALENTIN KARIME\BANCO CREDITO\FER LORCA en ROSITA (Rosita)\ANA LUISA TODO\MATRICES INSTRUMENTOS PRIVADOS\poderes\poder.cementerio.doc</t>
  </si>
  <si>
    <t>C:\Users\franc\OneDrive\Documentos\MALENTIN KARIME\BANCO CREDITO\FER LORCA en ROSITA (Rosita)\ANA LUISA TODO\MATRICES INSTRUMENTOS PRIVADOS\poderes\Poder Vender auto.doc</t>
  </si>
  <si>
    <t>C:\Users\franc\OneDrive\Documentos\MALENTIN KARIME\BANCO CREDITO\FER LORCA en ROSITA (Rosita)\ANA LUISA TODO\MATRICES INSTRUMENTOS PRIVADOS\poderes\poder universidad.doc</t>
  </si>
  <si>
    <t>C:\Users\franc\OneDrive\Documentos\MALENTIN KARIME\BANCO CREDITO\FER LORCA en ROSITA (Rosita)\ANA LUISA TODO\MATRICES INSTRUMENTOS PRIVADOS\poderes\poder simple.doc</t>
  </si>
  <si>
    <t>C:\Users\franc\OneDrive\Documentos\MALENTIN KARIME\BANCO CREDITO\FER LORCA en ROSITA (Rosita)\ANA LUISA TODO\MATRICES INSTRUMENTOS PRIVADOS\poderes\poder serviu.doc</t>
  </si>
  <si>
    <t>C:\Users\franc\OneDrive\Documentos\MALENTIN KARIME\BANCO CREDITO\FER LORCA en ROSITA (Rosita)\ANA LUISA TODO\MATRICES INSTRUMENTOS PRIVADOS\poderes\poder MARIO RAMIREZ.doc</t>
  </si>
  <si>
    <t>C:\Users\franc\OneDrive\Documentos\MALENTIN KARIME\BANCO CREDITO\FER LORCA en ROSITA (Rosita)\ANA LUISA TODO\MATRICES INSTRUMENTOS PRIVADOS\poderes\Poder instalar negocio.doc</t>
  </si>
  <si>
    <t>C:\Users\franc\OneDrive\Documentos\MALENTIN KARIME\BANCO CREDITO\FER LORCA en ROSITA (Rosita)\ANA LUISA TODO\MATRICES INSTRUMENTOS PRIVADOS\poderes\poder freddy cortes.doc</t>
  </si>
  <si>
    <t>C:\Users\franc\OneDrive\Documentos\MALENTIN KARIME\BANCO CREDITO\FER LORCA en ROSITA (Rosita)\ANA LUISA TODO\MATRICES INSTRUMENTOS PRIVADOS\poderes\Poder Entel.doc</t>
  </si>
  <si>
    <t>C:\Users\franc\OneDrive\Documentos\MALENTIN KARIME\BANCO CREDITO\FER LORCA en ROSITA (Rosita)\ANA LUISA TODO\MATRICES INSTRUMENTOS PRIVADOS\poderes\Poder Cambiar cheques.doc</t>
  </si>
  <si>
    <t>C:\Users\franc\OneDrive\Documentos\MALENTIN KARIME\BANCO CREDITO\FER LORCA en ROSITA (Rosita)\ANA LUISA TODO\MATRICES INSTRUMENTOS PRIVADOS\poderes\Poder Bienes Nac.doc</t>
  </si>
  <si>
    <t>C:\Users\franc\OneDrive\Documentos\MALENTIN KARIME\BANCO CREDITO\FER LORCA en ROSITA (Rosita)\ANA LUISA TODO\MATRICES INSTRUMENTOS PRIVADOS\poderes\Poder Bancario simple.doc</t>
  </si>
  <si>
    <t>C:\Users\franc\OneDrive\Documentos\MALENTIN KARIME\BANCO CREDITO\FER LORCA en ROSITA (Rosita)\ANA LUISA TODO\MATRICES INSTRUMENTOS PRIVADOS\poderes\Poder aumento cupo.doc</t>
  </si>
  <si>
    <t>C:\Users\franc\OneDrive\Documentos\MALENTIN KARIME\BANCO CREDITO\FER LORCA en ROSITA (Rosita)\ANA LUISA TODO\MATRICES INSTRUMENTOS PRIVADOS\poderes\para arrendar.doc</t>
  </si>
  <si>
    <t>C:\Users\franc\OneDrive\Documentos\MALENTIN KARIME\BANCO CREDITO\FER LORCA en ROSITA (Rosita)\ANA LUISA TODO\MATRICES INSTRUMENTOS PRIVADOS\poderes\operar cta cte.doc</t>
  </si>
  <si>
    <t>C:\Users\franc\OneDrive\Documentos\MALENTIN KARIME\BANCO CREDITO\FER LORCA en ROSITA (Rosita)\ANA LUISA TODO\MATRICES INSTRUMENTOS PRIVADOS\poderes\cobro cheques.doc</t>
  </si>
  <si>
    <t>C:\Users\franc\OneDrive\Documentos\MALENTIN KARIME\BANCO CREDITO\FER LORCA en ROSITA (Rosita)\ANA LUISA TODO\MATRICES INSTRUMENTOS PRIVADOS\poderes\cobro cheque girador determinado.doc</t>
  </si>
  <si>
    <t>C:\Users\franc\OneDrive\Documentos\MALENTIN KARIME\BANCO CREDITO\FER LORCA en ROSITA (Rosita)\ANA LUISA TODO\MATRICES INSTRUMENTOS PRIVADOS\poderes\CARTA.barraza..doc</t>
  </si>
  <si>
    <t>C:\Users\franc\OneDrive\Documentos\MALENTIN KARIME\BANCO CREDITO\FER LORCA en ROSITA (Rosita)\ANA LUISA TODO\MATRICES INSTRUMENTOS PRIVADOS\laboral\renuncia voluntaria.doc</t>
  </si>
  <si>
    <t>C:\Users\franc\OneDrive\Documentos\MALENTIN KARIME\BANCO CREDITO\FER LORCA en ROSITA (Rosita)\ANA LUISA TODO\MATRICES INSTRUMENTOS PRIVADOS\INFORMES\TESTAMENTOS.doc</t>
  </si>
  <si>
    <t>C:\Users\franc\OneDrive\Documentos\MALENTIN KARIME\BANCO CREDITO\FER LORCA en ROSITA (Rosita)\ANA LUISA TODO\MATRICES INSTRUMENTOS PRIVADOS\INFORMES\TESTAMENTOS REGISTRO CIVIL.doc</t>
  </si>
  <si>
    <t>C:\Users\franc\OneDrive\Documentos\MALENTIN KARIME\BANCO CREDITO\FER LORCA en ROSITA (Rosita)\ANA LUISA TODO\MATRICES INSTRUMENTOS PRIVADOS\INFORMES\REPÉRTORIO.doc</t>
  </si>
  <si>
    <t>C:\Users\franc\OneDrive\Documentos\MALENTIN KARIME\BANCO CREDITO\FER LORCA en ROSITA (Rosita)\ANA LUISA TODO\MATRICES INSTRUMENTOS PRIVADOS\INFORMES\REGISTRO FIRMA.doc</t>
  </si>
  <si>
    <t>C:\Users\franc\OneDrive\Documentos\MALENTIN KARIME\BANCO CREDITO\FER LORCA en ROSITA (Rosita)\ANA LUISA TODO\MATRICES INSTRUMENTOS PRIVADOS\INFORMES\FINIQUITOS.doc</t>
  </si>
  <si>
    <t>C:\Users\franc\OneDrive\Documentos\MALENTIN KARIME\BANCO CREDITO\FER LORCA en ROSITA (Rosita)\ANA LUISA TODO\MATRICES INSTRUMENTOS PRIVADOS\INFORMES\CORRECCION BOLETIN.doc</t>
  </si>
  <si>
    <t>C:\Users\franc\OneDrive\Documentos\MALENTIN KARIME\BANCO CREDITO\FER LORCA en ROSITA (Rosita)\ANA LUISA TODO\MATRICES INSTRUMENTOS PRIVADOS\INFORMES\BOLETIN.doc</t>
  </si>
  <si>
    <t>C:\Users\franc\OneDrive\Documentos\MALENTIN KARIME\BANCO CREDITO\FER LORCA en ROSITA (Rosita)\ANA LUISA TODO\MATRICES INSTRUMENTOS PRIVADOS\declaracion jurada\SOLTERIA MAURICIO.doc</t>
  </si>
  <si>
    <t>C:\Users\franc\OneDrive\Documentos\MALENTIN KARIME\BANCO CREDITO\FER LORCA en ROSITA (Rosita)\ANA LUISA TODO\MATRICES INSTRUMENTOS PRIVADOS\declaracion jurada\perdida todos documentos.doc</t>
  </si>
  <si>
    <t>C:\Users\franc\OneDrive\Documentos\MALENTIN KARIME\BANCO CREDITO\FER LORCA en ROSITA (Rosita)\ANA LUISA TODO\MATRICES INSTRUMENTOS PRIVADOS\declaracion jurada\perdida permiso circulacion 13-3.doc</t>
  </si>
  <si>
    <t>C:\Users\franc\OneDrive\Documentos\MALENTIN KARIME\BANCO CREDITO\FER LORCA en ROSITA (Rosita)\ANA LUISA TODO\MATRICES INSTRUMENTOS PRIVADOS\declaracion jurada\perdida licencia conducir.doc</t>
  </si>
  <si>
    <t>C:\Users\franc\OneDrive\Documentos\MALENTIN KARIME\BANCO CREDITO\FER LORCA en ROSITA (Rosita)\ANA LUISA TODO\MATRICES INSTRUMENTOS PRIVADOS\declaracion jurada\perdida certif analisis de gases.doc</t>
  </si>
  <si>
    <t>C:\Users\franc\OneDrive\Documentos\MALENTIN KARIME\BANCO CREDITO\FER LORCA en ROSITA (Rosita)\ANA LUISA TODO\MATRICES INSTRUMENTOS PRIVADOS\declaracion jurada\perdida cedula.doc</t>
  </si>
  <si>
    <t>C:\Users\franc\OneDrive\Documentos\MALENTIN KARIME\BANCO CREDITO\FER LORCA en ROSITA (Rosita)\ANA LUISA TODO\MATRICES INSTRUMENTOS PRIVADOS\declaracion jurada\obtencion patente alcoholes.doc</t>
  </si>
  <si>
    <t>C:\Users\franc\OneDrive\Documentos\MALENTIN KARIME\BANCO CREDITO\FER LORCA en ROSITA (Rosita)\ANA LUISA TODO\MATRICES INSTRUMENTOS PRIVADOS\declaracion jurada\no circulacion vehiculo.doc</t>
  </si>
  <si>
    <t>C:\Users\franc\OneDrive\Documentos\MALENTIN KARIME\BANCO CREDITO\FER LORCA en ROSITA (Rosita)\ANA LUISA TODO\MATRICES INSTRUMENTOS PRIVADOS\declaracion jurada\no circulacion vehiculo 11-3.doc</t>
  </si>
  <si>
    <t>C:\Users\franc\OneDrive\Documentos\MALENTIN KARIME\BANCO CREDITO\FER LORCA en ROSITA (Rosita)\ANA LUISA TODO\MATRICES INSTRUMENTOS PRIVADOS\declaracion jurada\Declaración 220km.doc</t>
  </si>
  <si>
    <t>C:\Users\franc\OneDrive\Documentos\MALENTIN KARIME\BANCO CREDITO\FER LORCA en ROSITA (Rosita)\ANA LUISA TODO\MATRICES INSTRUMENTOS PRIVADOS\declaracion jurada\DECLARACION revision tecnica.doc</t>
  </si>
  <si>
    <t>C:\Users\franc\OneDrive\Documentos\MALENTIN KARIME\BANCO CREDITO\FER LORCA en ROSITA (Rosita)\ANA LUISA TODO\MATRICES INSTRUMENTOS PRIVADOS\declaracion jurada\Declaracion renta.doc</t>
  </si>
  <si>
    <t>C:\Users\franc\OneDrive\Documentos\MALENTIN KARIME\BANCO CREDITO\FER LORCA en ROSITA (Rosita)\ANA LUISA TODO\MATRICES INSTRUMENTOS PRIVADOS\declaracion jurada\DECLARACION JURADA SOLTERIA.doc</t>
  </si>
  <si>
    <t>C:\Users\franc\OneDrive\Documentos\MALENTIN KARIME\BANCO CREDITO\FER LORCA en ROSITA (Rosita)\ANA LUISA TODO\MATRICES INSTRUMENTOS PRIVADOS\declaracion jurada\DECLARACION JURADA FIRMO ANTE MI.doc</t>
  </si>
  <si>
    <t>C:\Users\franc\OneDrive\Documentos\MALENTIN KARIME\BANCO CREDITO\FER LORCA en ROSITA (Rosita)\ANA LUISA TODO\MATRICES INSTRUMENTOS PRIVADOS\declaracion jurada\DECLARACION JURADA FIRMA AUTORIZADA.doc</t>
  </si>
  <si>
    <t>C:\Users\franc\OneDrive\Documentos\MALENTIN KARIME\BANCO CREDITO\FER LORCA en ROSITA (Rosita)\ANA LUISA TODO\MATRICES INSTRUMENTOS PRIVADOS\declaracion jurada\DECLARACION JURADA DE TESTIGOS.doc</t>
  </si>
  <si>
    <t>C:\Users\franc\OneDrive\Documentos\MALENTIN KARIME\BANCO CREDITO\FER LORCA en ROSITA (Rosita)\ANA LUISA TODO\MATRICES INSTRUMENTOS PRIVADOS\declaracion jurada\DECLARA. formato.doc</t>
  </si>
  <si>
    <t>C:\Users\franc\OneDrive\Documentos\MALENTIN KARIME\BANCO CREDITO\FER LORCA en ROSITA (Rosita)\ANA LUISA TODO\MATRICES INSTRUMENTOS PRIVADOS\declaracion jurada\DECLAR.Permiso Circ..doc</t>
  </si>
  <si>
    <t>C:\Users\franc\OneDrive\Documentos\MALENTIN KARIME\BANCO CREDITO\FER LORCA en ROSITA (Rosita)\ANA LUISA TODO\MATRICES INSTRUMENTOS PRIVADOS\declaracion jurada\DECLAR.motor..doc</t>
  </si>
  <si>
    <t>C:\Users\franc\OneDrive\Documentos\MALENTIN KARIME\BANCO CREDITO\FER LORCA en ROSITA (Rosita)\ANA LUISA TODO\MATRICES INSTRUMENTOS PRIVADOS\declaracion jurada\DECLAR.cheque..doc</t>
  </si>
  <si>
    <t>C:\Users\franc\OneDrive\Documentos\MALENTIN KARIME\BANCO CREDITO\FER LORCA en ROSITA (Rosita)\ANA LUISA TODO\MATRICES INSTRUMENTOS PRIVADOS\declaracion jurada\DECLAR.carro de arrastre.doc</t>
  </si>
  <si>
    <t>C:\Users\franc\OneDrive\Documentos\MALENTIN KARIME\BANCO CREDITO\FER LORCA en ROSITA (Rosita)\ANA LUISA TODO\MATRICES INSTRUMENTOS PRIVADOS\declaracion jurada\DECLAR. gastos estudios..doc</t>
  </si>
  <si>
    <t>C:\Users\franc\OneDrive\Documentos\MALENTIN KARIME\BANCO CREDITO\FER LORCA en ROSITA (Rosita)\ANA LUISA TODO\MATRICES INSTRUMENTOS PRIVADOS\declaracion jurada\DECLAR. domicilio..doc</t>
  </si>
  <si>
    <t>C:\Users\franc\OneDrive\Documentos\MALENTIN KARIME\BANCO CREDITO\FER LORCA en ROSITA (Rosita)\ANA LUISA TODO\MATRICES INSTRUMENTOS PRIVADOS\declaracion jurada\DECLA.Revisión..doc</t>
  </si>
  <si>
    <t>C:\Users\franc\OneDrive\Documentos\MALENTIN KARIME\BANCO CREDITO\FER LORCA en ROSITA (Rosita)\ANA LUISA TODO\MATRICES INSTRUMENTOS PRIVADOS\declaracion jurada\DECLA.contruccion bote.doc</t>
  </si>
  <si>
    <t>C:\Users\franc\OneDrive\Documentos\MALENTIN KARIME\BANCO CREDITO\FER LORCA en ROSITA (Rosita)\ANA LUISA TODO\MATRICES INSTRUMENTOS PRIVADOS\declaracion jurada\Decla sobre estado familiar.doc</t>
  </si>
  <si>
    <t>C:\Users\franc\OneDrive\Documentos\MALENTIN KARIME\BANCO CREDITO\FER LORCA en ROSITA (Rosita)\ANA LUISA TODO\MATRICES INSTRUMENTOS PRIVADOS\declaracion jurada\Decl. solteria.doc</t>
  </si>
  <si>
    <t>C:\Users\franc\OneDrive\Documentos\MALENTIN KARIME\BANCO CREDITO\FER LORCA en ROSITA (Rosita)\ANA LUISA TODO\MATRICES INSTRUMENTOS PRIVADOS\declaracion jurada\Decl. remuneración traslado.doc</t>
  </si>
  <si>
    <t>C:\Users\franc\OneDrive\Documentos\MALENTIN KARIME\BANCO CREDITO\FER LORCA en ROSITA (Rosita)\ANA LUISA TODO\MATRICES INSTRUMENTOS PRIVADOS\declaracion jurada\Decl. allegada.doc</t>
  </si>
  <si>
    <t>C:\Users\franc\OneDrive\Documentos\MALENTIN KARIME\BANCO CREDITO\FER LORCA en ROSITA (Rosita)\ANA LUISA TODO\MATRICES INSTRUMENTOS PRIVADOS\declaracion jurada\cesantia.doc</t>
  </si>
  <si>
    <t>C:\Users\franc\OneDrive\Documentos\MALENTIN KARIME\BANCO CREDITO\FER LORCA en ROSITA (Rosita)\ANA LUISA TODO\MATRICES INSTRUMENTOS PRIVADOS\declaracion jurada\cede sin coste vivienda.doc</t>
  </si>
  <si>
    <t>C:\Users\franc\OneDrive\Documentos\MALENTIN KARIME\BANCO CREDITO\FER LORCA en ROSITA (Rosita)\ANA LUISA TODO\MATRICES INSTRUMENTOS PRIVADOS\declaracion jurada\carro hechizo.doc</t>
  </si>
  <si>
    <t>C:\Users\franc\OneDrive\Documentos\MALENTIN KARIME\BANCO CREDITO\FER LORCA en ROSITA (Rosita)\ANA LUISA TODO\MATRICES INSTRUMENTOS PRIVADOS\declaracion jurada\asignacion familiar.doc</t>
  </si>
  <si>
    <t>C:\Users\franc\OneDrive\Documentos\MALENTIN KARIME\BANCO CREDITO\FER LORCA en ROSITA (Rosita)\ANA LUISA TODO\MATRICES INSTRUMENTOS PRIVADOS\certificados\ESTADO CIVIL.doc</t>
  </si>
  <si>
    <t>C:\Users\franc\OneDrive\Documentos\MALENTIN KARIME\BANCO CREDITO\FER LORCA en ROSITA (Rosita)\ANA LUISA TODO\MATRICES INSTRUMENTOS PRIVADOS\certificados\CERTIFICADO DE ESTADO CIVIL Y SUPERVIVENCIA.doc</t>
  </si>
  <si>
    <t>C:\Users\franc\OneDrive\Documentos\MALENTIN KARIME\BANCO CREDITO\FER LORCA en ROSITA (Rosita)\ANA LUISA TODO\MATRICES INSTRUMENTOS PRIVADOS\autorizaciones\trabajo menor.doc</t>
  </si>
  <si>
    <t>C:\Users\franc\OneDrive\Documentos\MALENTIN KARIME\BANCO CREDITO\FER LORCA en ROSITA (Rosita)\ANA LUISA TODO\MATRICES INSTRUMENTOS PRIVADOS\autorizaciones\trabajo menor 13-3.doc</t>
  </si>
  <si>
    <t>C:\Users\franc\OneDrive\Documentos\MALENTIN KARIME\BANCO CREDITO\FER LORCA en ROSITA (Rosita)\ANA LUISA TODO\MATRICES INSTRUMENTOS PRIVADOS\autorizaciones\trabajo menor 13-3 02.doc</t>
  </si>
  <si>
    <t>C:\Users\franc\OneDrive\Documentos\MALENTIN KARIME\BANCO CREDITO\FER LORCA en ROSITA (Rosita)\ANA LUISA TODO\MATRICES INSTRUMENTOS PRIVADOS\autorizaciones\salida país.doc</t>
  </si>
  <si>
    <t>C:\Users\franc\OneDrive\Documentos\MALENTIN KARIME\BANCO CREDITO\FER LORCA en ROSITA (Rosita)\ANA LUISA TODO\MATRICES INSTRUMENTOS PRIVADOS\autorizaciones\salida país aut juzgado.doc</t>
  </si>
  <si>
    <t>C:\Users\franc\OneDrive\Documentos\MALENTIN KARIME\BANCO CREDITO\FER LORCA en ROSITA (Rosita)\ANA LUISA TODO\MATRICES INSTRUMENTOS PRIVADOS\autorizaciones\salida país 14-03.doc</t>
  </si>
  <si>
    <t>C:\Users\franc\OneDrive\Documentos\MALENTIN KARIME\BANCO CREDITO\FER LORCA en ROSITA (Rosita)\ANA LUISA TODO\MATRICES INSTRUMENTOS PRIVADOS\autorizaciones\exhumación.doc</t>
  </si>
  <si>
    <t>C:\Users\franc\OneDrive\Documentos\MALENTIN KARIME\BANCO CREDITO\FER LORCA en ROSITA (Rosita)\ANA LUISA TODO\MATRICES INSTRUMENTOS PRIVADOS\autorizaciones\AUTORIZACION TRABAJO MENOR.doc</t>
  </si>
  <si>
    <t>C:\Users\franc\OneDrive\Documentos\MALENTIN KARIME\BANCO CREDITO\FER LORCA en ROSITA (Rosita)\ANA LUISA TODO\MATRICES INSTRUMENTOS PRIVADOS\autorizaciones\autorizacion GALVARINO VIORKLUMDS.doc</t>
  </si>
  <si>
    <t>C:\Users\franc\OneDrive\Documentos\MALENTIN KARIME\BANCO CREDITO\FER LORCA en ROSITA (Rosita)\ANA LUISA TODO\MATRICES INSTRUMENTOS PRIVADOS\autorizaciones\AUTORIZA ESCRITURAS.doc</t>
  </si>
  <si>
    <t>C:\Users\franc\OneDrive\Documentos\MALENTIN KARIME\BANCO CREDITO\FER LORCA en ROSITA (Rosita)\ANA LUISA TODO\MATRICES INSTRUMENTOS PRIVADOS\autorizaciones\AUTOR. automov..doc</t>
  </si>
  <si>
    <t>C:\Users\franc\OneDrive\Documentos\MALENTIN KARIME\BANCO CREDITO\FER LORCA en ROSITA (Rosita)\ANA LUISA TODO\MATRICES INSTRUMENTOS PRIVADOS\autorizaciones\Autor menor.doc</t>
  </si>
  <si>
    <t>C:\Users\franc\OneDrive\Documentos\MALENTIN KARIME\BANCO CREDITO\FER LORCA en ROSITA (Rosita)\ANA LUISA TODO\MATRICES INSTRUMENTOS PRIVADOS\autorizaciones\Autor futbol.doc</t>
  </si>
  <si>
    <t>C:\Users\franc\OneDrive\Documentos\MALENTIN KARIME\BANCO CREDITO\FER LORCA en ROSITA (Rosita)\ANA LUISA TODO\MATRICES INSTRUMENTOS PRIVADOS\autorizaciones\Autor bodega.doc</t>
  </si>
  <si>
    <t>C:\Users\franc\OneDrive\Documentos\MALENTIN KARIME\BANCO CREDITO\FER LORCA en ROSITA (Rosita)\ANA LUISA TODO\MATRICES INSTRUMENTOS PRIVADOS\autorizaciones\Adosarse.doc</t>
  </si>
  <si>
    <t>C:\Users\franc\OneDrive\Documentos\MALENTIN KARIME\BANCO CREDITO\FER LORCA en ROSITA (Rosita)\ANA LUISA TODO\MATRICES INSTRUMENTOS PRIVADOS\autorizaciones\ADOSAMIENTO.doc</t>
  </si>
  <si>
    <t>C:\Users\franc\OneDrive\Documentos\MALENTIN KARIME\BANCO CREDITO\FER LORCA en ROSITA (Rosita)\ANA LUISA TODO\MARUBENI\nota marginal.doc</t>
  </si>
  <si>
    <t>C:\Users\franc\OneDrive\Documentos\MALENTIN KARIME\BANCO CREDITO\FER LORCA en ROSITA (Rosita)\ANA LUISA TODO\MARIA INES NUÑEZ\ROSA ESPINOSA A EUGENIA ARRIAGADA.doc</t>
  </si>
  <si>
    <t>C:\Users\franc\OneDrive\Documentos\MALENTIN KARIME\BANCO CREDITO\FER LORCA en ROSITA (Rosita)\ANA LUISA TODO\MANLIO METTIFOGO\SEBASTIAN LARA Judicial.doc</t>
  </si>
  <si>
    <t>C:\Users\franc\OneDrive\Documentos\MALENTIN KARIME\BANCO CREDITO\FER LORCA en ROSITA (Rosita)\ANA LUISA TODO\MANLIO METTIFOGO\JORGE CORTES GONZALEZ.doc</t>
  </si>
  <si>
    <t>C:\Users\franc\OneDrive\Documentos\MALENTIN KARIME\BANCO CREDITO\FER LORCA en ROSITA (Rosita)\ANA LUISA TODO\MANLIO METTIFOGO\EXTRACTO_E.I.R.L_areyuna[1].doc</t>
  </si>
  <si>
    <t>C:\Users\franc\OneDrive\Documentos\MALENTIN KARIME\BANCO CREDITO\FER LORCA en ROSITA (Rosita)\ANA LUISA TODO\MANDATOS JUDICIALES 2006\2008\2009\ROLANDO SANTANDER A RICARDO SEPULVEDA.doc</t>
  </si>
  <si>
    <t>C:\Users\franc\OneDrive\Documentos\MALENTIN KARIME\BANCO CREDITO\FER LORCA en ROSITA (Rosita)\ANA LUISA TODO\MANDATOS JUDICIALES 2006\2008\2009\LUIS GALLEGUILLOSA CLAUDIO ARDILES.doc</t>
  </si>
  <si>
    <t>C:\Users\franc\OneDrive\Documentos\MALENTIN KARIME\BANCO CREDITO\FER LORCA en ROSITA (Rosita)\ANA LUISA TODO\MANDATOS JUDICIALES 2006\2008\2009\JUAN PORTILLA A IRACEMA RETAMAL.doc</t>
  </si>
  <si>
    <t>C:\Users\franc\OneDrive\Documentos\MALENTIN KARIME\BANCO CREDITO\FER LORCA en ROSITA (Rosita)\ANA LUISA TODO\MANDATOS JUDICIALES 2006\2008\2009\JUAN MUÑOZ A CARLOS FLORES.doc</t>
  </si>
  <si>
    <t>C:\Users\franc\OneDrive\Documentos\MALENTIN KARIME\BANCO CREDITO\FER LORCA en ROSITA (Rosita)\ANA LUISA TODO\MANDATOS JUDICIALES 2006\2008\2009\JUAN MARTINEZ A CLAUDIO ARDILES.doc</t>
  </si>
  <si>
    <t>C:\Users\franc\OneDrive\Documentos\MALENTIN KARIME\BANCO CREDITO\FER LORCA en ROSITA (Rosita)\ANA LUISA TODO\MANDATOS JUDICIALES 2006\2008\2009\HUGO MORALES A RICARDO SEPULVEDA.doc</t>
  </si>
  <si>
    <t>C:\Users\franc\OneDrive\Documentos\MALENTIN KARIME\BANCO CREDITO\FER LORCA en ROSITA (Rosita)\ANA LUISA TODO\MANDATOS JUDICIALES 2006\2008\2009\GUIDO CAMPILLAI A ANA SEGOVIA.doc</t>
  </si>
  <si>
    <t>C:\Users\franc\OneDrive\Documentos\MALENTIN KARIME\BANCO CREDITO\FER LORCA en ROSITA (Rosita)\ANA LUISA TODO\MANDATOS JUDICIALES 2006\2008\2009\CYNTHIA VEGA  A JORGE ALVARADO.doc</t>
  </si>
  <si>
    <t>C:\Users\franc\OneDrive\Documentos\MALENTIN KARIME\BANCO CREDITO\FER LORCA en ROSITA (Rosita)\ANA LUISA TODO\MANDATOS JUDICIALES 2006\2008\2009\CLAUDIO ARAYA Y OTRO  A CLAUDIO ARDILES.doc</t>
  </si>
  <si>
    <t>C:\Users\franc\OneDrive\Documentos\MALENTIN KARIME\BANCO CREDITO\FER LORCA en ROSITA (Rosita)\ANA LUISA TODO\MANDATOS JUDICIALES 2006\2008\2009\BERTA IRISCH Y OTRO A DANIEL SALFATE.doc</t>
  </si>
  <si>
    <t>C:\Users\franc\OneDrive\Documentos\MALENTIN KARIME\BANCO CREDITO\FER LORCA en ROSITA (Rosita)\ANA LUISA TODO\MANDATOS JUDICIALES 2006\2008\2009\ALICIA JIMENEZ  A MARCO JURIN.doc</t>
  </si>
  <si>
    <t>C:\Users\franc\OneDrive\Documentos\MALENTIN KARIME\BANCO CREDITO\FER LORCA en ROSITA (Rosita)\ANA LUISA TODO\MANDATOS JUDICIALES 2006\2008\2009\ALBERTO VELASQUEZ  A JORGE ALVARADO.doc</t>
  </si>
  <si>
    <t>C:\Users\franc\OneDrive\Documentos\MALENTIN KARIME\BANCO CREDITO\FER LORCA en ROSITA (Rosita)\ANA LUISA TODO\MANDATOS JUDICIALES 2006\2008\WLADIMIR VALDIVIA A  IVAN OLAVARRIA.doc</t>
  </si>
  <si>
    <t>C:\Users\franc\OneDrive\Documentos\MALENTIN KARIME\BANCO CREDITO\FER LORCA en ROSITA (Rosita)\ANA LUISA TODO\MANDATOS JUDICIALES 2006\2008\WANDA HEREDIA SALINAS A ROSA PIZARRO DUBO.doc</t>
  </si>
  <si>
    <t>C:\Users\franc\OneDrive\Documentos\MALENTIN KARIME\BANCO CREDITO\FER LORCA en ROSITA (Rosita)\ANA LUISA TODO\MANDATOS JUDICIALES 2006\2008\VIRTUDES ROJAS Y OTRAS A M. METTIFOGO.doc</t>
  </si>
  <si>
    <t>C:\Users\franc\OneDrive\Documentos\MALENTIN KARIME\BANCO CREDITO\FER LORCA en ROSITA (Rosita)\ANA LUISA TODO\MANDATOS JUDICIALES 2006\2008\SAUL ACOSTA A M. METTIFOGO.doc</t>
  </si>
  <si>
    <t>C:\Users\franc\OneDrive\Documentos\MALENTIN KARIME\BANCO CREDITO\FER LORCA en ROSITA (Rosita)\ANA LUISA TODO\MANDATOS JUDICIALES 2006\2008\SALVADOR LEDEZMA A CYNTHIA ESTAY (SUPLENTE).doc</t>
  </si>
  <si>
    <t>C:\Users\franc\OneDrive\Documentos\MALENTIN KARIME\BANCO CREDITO\FER LORCA en ROSITA (Rosita)\ANA LUISA TODO\MANDATOS JUDICIALES 2006\2008\RODRIGO BOLVARAN A CAROLINA ADAOS.doc</t>
  </si>
  <si>
    <t>C:\Users\franc\OneDrive\Documentos\MALENTIN KARIME\BANCO CREDITO\FER LORCA en ROSITA (Rosita)\ANA LUISA TODO\MANDATOS JUDICIALES 2006\2008\RAMON RUBILAR A DIEGO MUJICA  (REVOC).doc</t>
  </si>
  <si>
    <t>C:\Users\franc\OneDrive\Documentos\MALENTIN KARIME\BANCO CREDITO\FER LORCA en ROSITA (Rosita)\ANA LUISA TODO\MANDATOS JUDICIALES 2006\2008\PRISCILLA FLORES  A  IVAN OLAVARRIA.doc</t>
  </si>
  <si>
    <t>C:\Users\franc\OneDrive\Documentos\MALENTIN KARIME\BANCO CREDITO\FER LORCA en ROSITA (Rosita)\ANA LUISA TODO\MANDATOS JUDICIALES 2006\2008\OSMAN CORTES A FCO. OSORIO.doc</t>
  </si>
  <si>
    <t>C:\Users\franc\OneDrive\Documentos\MALENTIN KARIME\BANCO CREDITO\FER LORCA en ROSITA (Rosita)\ANA LUISA TODO\MANDATOS JUDICIALES 2006\2008\OSCAR ROA A MANLIO METTIFOGO.doc</t>
  </si>
  <si>
    <t>C:\Users\franc\OneDrive\Documentos\MALENTIN KARIME\BANCO CREDITO\FER LORCA en ROSITA (Rosita)\ANA LUISA TODO\MANDATOS JUDICIALES 2006\2008\OSCAR ARAYA A ALEJANDRO ROJAS.doc</t>
  </si>
  <si>
    <t>C:\Users\franc\OneDrive\Documentos\MALENTIN KARIME\BANCO CREDITO\FER LORCA en ROSITA (Rosita)\ANA LUISA TODO\MANDATOS JUDICIALES 2006\2008\OMAR MUÑOZ  A CLAUDIO ARDILES.doc</t>
  </si>
  <si>
    <t>C:\Users\franc\OneDrive\Documentos\MALENTIN KARIME\BANCO CREDITO\FER LORCA en ROSITA (Rosita)\ANA LUISA TODO\MANDATOS JUDICIALES 2006\2008\NOLBERTA GOMEZ A ALEX TAPIA.doc</t>
  </si>
  <si>
    <t>C:\Users\franc\OneDrive\Documentos\MALENTIN KARIME\BANCO CREDITO\FER LORCA en ROSITA (Rosita)\ANA LUISA TODO\MANDATOS JUDICIALES 2006\2008\MUNICIPALIDAD DE OVALLE A DANIEL RAPIMAN.doc</t>
  </si>
  <si>
    <t>C:\Users\franc\OneDrive\Documentos\MALENTIN KARIME\BANCO CREDITO\FER LORCA en ROSITA (Rosita)\ANA LUISA TODO\MANDATOS JUDICIALES 2006\2008\MIGUEL CASTILLO  A CLAUDIO ARDILES.doc</t>
  </si>
  <si>
    <t>C:\Users\franc\OneDrive\Documentos\MALENTIN KARIME\BANCO CREDITO\FER LORCA en ROSITA (Rosita)\ANA LUISA TODO\MANDATOS JUDICIALES 2006\2008\MARIA SOLEDAD VICUÑA BAEZA A RAUL SALAMANCA CARVAJAL.doc</t>
  </si>
  <si>
    <t>C:\Users\franc\OneDrive\Documentos\MALENTIN KARIME\BANCO CREDITO\FER LORCA en ROSITA (Rosita)\ANA LUISA TODO\MANDATOS JUDICIALES 2006\2008\MARIA HENRIQUEZ Y OTRAS A RENE ALLENDE SENTIS.doc</t>
  </si>
  <si>
    <t>C:\Users\franc\OneDrive\Documentos\MALENTIN KARIME\BANCO CREDITO\FER LORCA en ROSITA (Rosita)\ANA LUISA TODO\MANDATOS JUDICIALES 2006\2008\MARIA DE LOS ANGELES A SR. HURTADO.doc</t>
  </si>
  <si>
    <t>C:\Users\franc\OneDrive\Documentos\MALENTIN KARIME\BANCO CREDITO\FER LORCA en ROSITA (Rosita)\ANA LUISA TODO\MANDATOS JUDICIALES 2006\2008\MARIA CORDOVA A ALEJANDRO ALVARADO.doc</t>
  </si>
  <si>
    <t>C:\Users\franc\OneDrive\Documentos\MALENTIN KARIME\BANCO CREDITO\FER LORCA en ROSITA (Rosita)\ANA LUISA TODO\MANDATOS JUDICIALES 2006\2008\MARCIAL VEGA NUÑEZ A ROSENDO YAÑEZ.doc</t>
  </si>
  <si>
    <t>C:\Users\franc\OneDrive\Documentos\MALENTIN KARIME\BANCO CREDITO\FER LORCA en ROSITA (Rosita)\ANA LUISA TODO\MANDATOS JUDICIALES 2006\2008\LUIS ROJAS A JUAN PABLO CORRAL.doc</t>
  </si>
  <si>
    <t>C:\Users\franc\OneDrive\Documentos\MALENTIN KARIME\BANCO CREDITO\FER LORCA en ROSITA (Rosita)\ANA LUISA TODO\MANDATOS JUDICIALES 2006\2008\LUIS NORTES A M. METTIFOGO.doc</t>
  </si>
  <si>
    <t>C:\Users\franc\OneDrive\Documentos\MALENTIN KARIME\BANCO CREDITO\FER LORCA en ROSITA (Rosita)\ANA LUISA TODO\MANDATOS JUDICIALES 2006\2008\LUIS CABRERA A CRISTIAN ZEPEDA.doc</t>
  </si>
  <si>
    <t>C:\Users\franc\OneDrive\Documentos\MALENTIN KARIME\BANCO CREDITO\FER LORCA en ROSITA (Rosita)\ANA LUISA TODO\MANDATOS JUDICIALES 2006\2008\JUAN JIMENEZ ARAYA  A CLAUDIO ARDILES.doc</t>
  </si>
  <si>
    <t>C:\Users\franc\OneDrive\Documentos\MALENTIN KARIME\BANCO CREDITO\FER LORCA en ROSITA (Rosita)\ANA LUISA TODO\MANDATOS JUDICIALES 2006\2008\JUAN CASTRO A SR. MERIÑO.doc</t>
  </si>
  <si>
    <t>C:\Users\franc\OneDrive\Documentos\MALENTIN KARIME\BANCO CREDITO\FER LORCA en ROSITA (Rosita)\ANA LUISA TODO\MANDATOS JUDICIALES 2006\2008\JAVIER COLLAO A MARCO YURIN.doc</t>
  </si>
  <si>
    <t>C:\Users\franc\OneDrive\Documentos\MALENTIN KARIME\BANCO CREDITO\FER LORCA en ROSITA (Rosita)\ANA LUISA TODO\MANDATOS JUDICIALES 2006\2008\JAVIER COLLAO A MARCO JURIN.doc</t>
  </si>
  <si>
    <t>C:\Users\franc\OneDrive\Documentos\MALENTIN KARIME\BANCO CREDITO\FER LORCA en ROSITA (Rosita)\ANA LUISA TODO\MANDATOS JUDICIALES 2006\2008\JAIME MONDACA A J. POLANCO.doc</t>
  </si>
  <si>
    <t>C:\Users\franc\OneDrive\Documentos\MALENTIN KARIME\BANCO CREDITO\FER LORCA en ROSITA (Rosita)\ANA LUISA TODO\MANDATOS JUDICIALES 2006\2008\HUGO CORTEZ A MIGUEL SANHUEZA.doc</t>
  </si>
  <si>
    <t>C:\Users\franc\OneDrive\Documentos\MALENTIN KARIME\BANCO CREDITO\FER LORCA en ROSITA (Rosita)\ANA LUISA TODO\MANDATOS JUDICIALES 2006\2008\HERMAN ANDRADES A CARLOS MARIN (ESPECIAL).doc</t>
  </si>
  <si>
    <t>C:\Users\franc\OneDrive\Documentos\MALENTIN KARIME\BANCO CREDITO\FER LORCA en ROSITA (Rosita)\ANA LUISA TODO\MANDATOS JUDICIALES 2006\2008\GABRIEL RAMIREZ A JORGE ALVARADO.doc</t>
  </si>
  <si>
    <t>C:\Users\franc\OneDrive\Documentos\MALENTIN KARIME\BANCO CREDITO\FER LORCA en ROSITA (Rosita)\ANA LUISA TODO\MANDATOS JUDICIALES 2006\2008\FERNANDO SANCHEZ A  IVAN OLAVARRIA.doc</t>
  </si>
  <si>
    <t>C:\Users\franc\OneDrive\Documentos\MALENTIN KARIME\BANCO CREDITO\FER LORCA en ROSITA (Rosita)\ANA LUISA TODO\MANDATOS JUDICIALES 2006\2008\FERNANDO CUEVAS A CLAUDIO ARDILES.doc</t>
  </si>
  <si>
    <t>C:\Users\franc\OneDrive\Documentos\MALENTIN KARIME\BANCO CREDITO\FER LORCA en ROSITA (Rosita)\ANA LUISA TODO\MANDATOS JUDICIALES 2006\2008\EBRIDIQUE JARAMILLO A JORGE ALVARADO.doc</t>
  </si>
  <si>
    <t>C:\Users\franc\OneDrive\Documentos\MALENTIN KARIME\BANCO CREDITO\FER LORCA en ROSITA (Rosita)\ANA LUISA TODO\MANDATOS JUDICIALES 2006\2008\CLAUDIA HENRIQUEZ A JORGE ALVARADO.doc</t>
  </si>
  <si>
    <t>C:\Users\franc\OneDrive\Documentos\MALENTIN KARIME\BANCO CREDITO\FER LORCA en ROSITA (Rosita)\ANA LUISA TODO\MANDATOS JUDICIALES 2006\2008\CIA. MRA. PUNITAQUI A JAIME MUÑOZ.doc</t>
  </si>
  <si>
    <t>C:\Users\franc\OneDrive\Documentos\MALENTIN KARIME\BANCO CREDITO\FER LORCA en ROSITA (Rosita)\ANA LUISA TODO\MANDATOS JUDICIALES 2006\2008\CESAR FLORES A PATRICIA CASTRO (2).doc</t>
  </si>
  <si>
    <t>C:\Users\franc\OneDrive\Documentos\MALENTIN KARIME\BANCO CREDITO\FER LORCA en ROSITA (Rosita)\ANA LUISA TODO\MANDATOS JUDICIALES 2006\2008\CAROLINA CARVAJAL.doc</t>
  </si>
  <si>
    <t>C:\Users\franc\OneDrive\Documentos\MALENTIN KARIME\BANCO CREDITO\FER LORCA en ROSITA (Rosita)\ANA LUISA TODO\MANDATOS JUDICIALES 2006\2008\ANTOLIN ARACENA A S. GALLEGUILLOS.doc</t>
  </si>
  <si>
    <t>C:\Users\franc\OneDrive\Documentos\MALENTIN KARIME\BANCO CREDITO\FER LORCA en ROSITA (Rosita)\ANA LUISA TODO\MANDATOS JUDICIALES 2006\2008\ALFONSO PASTEN.doc</t>
  </si>
  <si>
    <t>C:\Users\franc\OneDrive\Documentos\MALENTIN KARIME\BANCO CREDITO\FER LORCA en ROSITA (Rosita)\ANA LUISA TODO\MANDATOS JUDICIALES 2006\2008\ALFONSO PASTEN A DANIELA CABRERA.doc</t>
  </si>
  <si>
    <t>C:\Users\franc\OneDrive\Documentos\MALENTIN KARIME\BANCO CREDITO\FER LORCA en ROSITA (Rosita)\ANA LUISA TODO\MANDATOS JUDICIALES 2006\2008\ALEJANDRO VEGA A ENRIQUE GARCIA.doc</t>
  </si>
  <si>
    <t>C:\Users\franc\OneDrive\Documentos\MALENTIN KARIME\BANCO CREDITO\FER LORCA en ROSITA (Rosita)\ANA LUISA TODO\MANDATOS JUDICIALES 2006\WLADIMIR VALDIVIA ROJAS A IVAN OLAVARRIA.doc</t>
  </si>
  <si>
    <t>C:\Users\franc\OneDrive\Documentos\MALENTIN KARIME\BANCO CREDITO\FER LORCA en ROSITA (Rosita)\ANA LUISA TODO\MANDATOS JUDICIALES 2006\WILSON GUERRERO A C. ARDILES Y OTRO.doc</t>
  </si>
  <si>
    <t>C:\Users\franc\OneDrive\Documentos\MALENTIN KARIME\BANCO CREDITO\FER LORCA en ROSITA (Rosita)\ANA LUISA TODO\MANDATOS JUDICIALES 2006\WALDO HEREDIA A JULIO POLANCO.doc</t>
  </si>
  <si>
    <t>C:\Users\franc\OneDrive\Documentos\MALENTIN KARIME\BANCO CREDITO\FER LORCA en ROSITA (Rosita)\ANA LUISA TODO\MANDATOS JUDICIALES 2006\VALENTIN CONTRERAS A C. CASTILLO Y OTRO.doc</t>
  </si>
  <si>
    <t>C:\Users\franc\OneDrive\Documentos\MALENTIN KARIME\BANCO CREDITO\FER LORCA en ROSITA (Rosita)\ANA LUISA TODO\MANDATOS JUDICIALES 2006\SILVIA ROMERO A CECILIA TIRADO.doc</t>
  </si>
  <si>
    <t>C:\Users\franc\OneDrive\Documentos\MALENTIN KARIME\BANCO CREDITO\FER LORCA en ROSITA (Rosita)\ANA LUISA TODO\MANDATOS JUDICIALES 2006\ROSA PALACIOS A C. ARDILES Y M. METTIFOGO.doc</t>
  </si>
  <si>
    <t>C:\Users\franc\OneDrive\Documentos\MALENTIN KARIME\BANCO CREDITO\FER LORCA en ROSITA (Rosita)\ANA LUISA TODO\MANDATOS JUDICIALES 2006\RODOLFO FERNANDEZ A MA. INES NUÑEZ.doc</t>
  </si>
  <si>
    <t>C:\Users\franc\OneDrive\Documentos\MALENTIN KARIME\BANCO CREDITO\FER LORCA en ROSITA (Rosita)\ANA LUISA TODO\MANDATOS JUDICIALES 2006\PEDRO ROJAS A MERCEDES RUBINA.doc</t>
  </si>
  <si>
    <t>C:\Users\franc\OneDrive\Documentos\MALENTIN KARIME\BANCO CREDITO\FER LORCA en ROSITA (Rosita)\ANA LUISA TODO\MANDATOS JUDICIALES 2006\PEDRO CANIHUANTE.doc</t>
  </si>
  <si>
    <t>C:\Users\franc\OneDrive\Documentos\MALENTIN KARIME\BANCO CREDITO\FER LORCA en ROSITA (Rosita)\ANA LUISA TODO\MANDATOS JUDICIALES 2006\NANCY CASTRO A CLAUDIO ARDILES.doc</t>
  </si>
  <si>
    <t>C:\Users\franc\OneDrive\Documentos\MALENTIN KARIME\BANCO CREDITO\FER LORCA en ROSITA (Rosita)\ANA LUISA TODO\MANDATOS JUDICIALES 2006\MODELO NOTARIO.doc</t>
  </si>
  <si>
    <t>C:\Users\franc\OneDrive\Documentos\MALENTIN KARIME\BANCO CREDITO\FER LORCA en ROSITA (Rosita)\ANA LUISA TODO\MANDATOS JUDICIALES 2006\MARTA PONCE A C. ARDILES.doc</t>
  </si>
  <si>
    <t>C:\Users\franc\OneDrive\Documentos\MALENTIN KARIME\BANCO CREDITO\FER LORCA en ROSITA (Rosita)\ANA LUISA TODO\MANDATOS JUDICIALES 2006\MARIA FLORES A JUAN GARCIA Y OTRO.doc</t>
  </si>
  <si>
    <t>C:\Users\franc\OneDrive\Documentos\MALENTIN KARIME\BANCO CREDITO\FER LORCA en ROSITA (Rosita)\ANA LUISA TODO\MANDATOS JUDICIALES 2006\MARIA CARVAJAL A CLAUDIO ARDILES.doc</t>
  </si>
  <si>
    <t>C:\Users\franc\OneDrive\Documentos\MALENTIN KARIME\BANCO CREDITO\FER LORCA en ROSITA (Rosita)\ANA LUISA TODO\MANDATOS JUDICIALES 2006\MARCELO CORRAL Y OT. A CLAUDIO ARDILES.doc</t>
  </si>
  <si>
    <t>C:\Users\franc\OneDrive\Documentos\MALENTIN KARIME\BANCO CREDITO\FER LORCA en ROSITA (Rosita)\ANA LUISA TODO\MANDATOS JUDICIALES 2006\manuel alfaro.doc</t>
  </si>
  <si>
    <t>C:\Users\franc\OneDrive\Documentos\MALENTIN KARIME\BANCO CREDITO\FER LORCA en ROSITA (Rosita)\ANA LUISA TODO\MANDATOS JUDICIALES 2006\LUMINALDA ORELLANA A MA. NUÑEZ HERRERZ.doc</t>
  </si>
  <si>
    <t>C:\Users\franc\OneDrive\Documentos\MALENTIN KARIME\BANCO CREDITO\FER LORCA en ROSITA (Rosita)\ANA LUISA TODO\MANDATOS JUDICIALES 2006\LUIS TORREJON  A JUAN P. CORRAL (REVOC).doc</t>
  </si>
  <si>
    <t>C:\Users\franc\OneDrive\Documentos\MALENTIN KARIME\BANCO CREDITO\FER LORCA en ROSITA (Rosita)\ANA LUISA TODO\MANDATOS JUDICIALES 2006\LORENZO VELIZ A FLORENCIO MONTENE Y OTRO.doc</t>
  </si>
  <si>
    <t>C:\Users\franc\OneDrive\Documentos\MALENTIN KARIME\BANCO CREDITO\FER LORCA en ROSITA (Rosita)\ANA LUISA TODO\MANDATOS JUDICIALES 2006\JUAN PIZARRO A C. ARDILES Y OTRO.doc</t>
  </si>
  <si>
    <t>C:\Users\franc\OneDrive\Documentos\MALENTIN KARIME\BANCO CREDITO\FER LORCA en ROSITA (Rosita)\ANA LUISA TODO\MANDATOS JUDICIALES 2006\JOSE GONZALEZ JERIA A M CORTES YCLAUDIO.doc</t>
  </si>
  <si>
    <t>C:\Users\franc\OneDrive\Documentos\MALENTIN KARIME\BANCO CREDITO\FER LORCA en ROSITA (Rosita)\ANA LUISA TODO\MANDATOS JUDICIALES 2006\JORGE CASTILLO A CARLOS TELLO ....doc</t>
  </si>
  <si>
    <t>C:\Users\franc\OneDrive\Documentos\MALENTIN KARIME\BANCO CREDITO\FER LORCA en ROSITA (Rosita)\ANA LUISA TODO\MANDATOS JUDICIALES 2006\JACINTO CARVAJAL A MARCO JURIN.doc</t>
  </si>
  <si>
    <t>C:\Users\franc\OneDrive\Documentos\MALENTIN KARIME\BANCO CREDITO\FER LORCA en ROSITA (Rosita)\ANA LUISA TODO\MANDATOS JUDICIALES 2006\IVAN MARTINAC A CLAUDIO ARDILES.doc</t>
  </si>
  <si>
    <t>C:\Users\franc\OneDrive\Documentos\MALENTIN KARIME\BANCO CREDITO\FER LORCA en ROSITA (Rosita)\ANA LUISA TODO\MANDATOS JUDICIALES 2006\GEORGINA ROSARIO A PATRICIO SEGOVIA.doc</t>
  </si>
  <si>
    <t>C:\Users\franc\OneDrive\Documentos\MALENTIN KARIME\BANCO CREDITO\FER LORCA en ROSITA (Rosita)\ANA LUISA TODO\MANDATOS JUDICIALES 2006\DELFIA VERGARA A JAIME MUÑOZ (REVOCACION.doc</t>
  </si>
  <si>
    <t>C:\Users\franc\OneDrive\Documentos\MALENTIN KARIME\BANCO CREDITO\FER LORCA en ROSITA (Rosita)\ANA LUISA TODO\MANDATOS BANCOS 2009\BERNARDO ARAYA A NOLVIA VILLAR (CTA. CTE.).doc</t>
  </si>
  <si>
    <t>C:\Users\franc\OneDrive\Documentos\MALENTIN KARIME\BANCO CREDITO\FER LORCA en ROSITA (Rosita)\ANA LUISA TODO\MANDATOS BANCO\GUILLERMO ORMEÑO A LORENZO ORMEÑÑO.doc</t>
  </si>
  <si>
    <t>C:\Users\franc\OneDrive\Documentos\MALENTIN KARIME\BANCO CREDITO\FER LORCA en ROSITA (Rosita)\ANA LUISA TODO\MANDATOS BANCO\DORALIZA AGULERA (cta. cte).doc</t>
  </si>
  <si>
    <t>C:\Users\franc\OneDrive\Documentos\MALENTIN KARIME\BANCO CREDITO\FER LORCA en ROSITA (Rosita)\ANA LUISA TODO\MANDATOS 2008\mandatos 2009\SLM DE JUAN SALINAS A SU HNO Panulcillo.doc</t>
  </si>
  <si>
    <t>C:\Users\franc\OneDrive\Documentos\MALENTIN KARIME\BANCO CREDITO\FER LORCA en ROSITA (Rosita)\ANA LUISA TODO\MANDATOS 2008\SONIA CAMPOSANO (ELECCION MUNICIPAL).doc</t>
  </si>
  <si>
    <t>C:\Users\franc\OneDrive\Documentos\MALENTIN KARIME\BANCO CREDITO\FER LORCA en ROSITA (Rosita)\ANA LUISA TODO\MANDATOS 2008\FERNANDO PIZARRO  (ELECCION MUNICIPAL).doc</t>
  </si>
  <si>
    <t>C:\Users\franc\OneDrive\Documentos\MALENTIN KARIME\BANCO CREDITO\FER LORCA en ROSITA (Rosita)\ANA LUISA TODO\MANDATOS 2007\MARTA GARCIA (JUAN ALBURQUENQUE).doc</t>
  </si>
  <si>
    <t>C:\Users\franc\OneDrive\Documentos\MALENTIN KARIME\BANCO CREDITO\FER LORCA en ROSITA (Rosita)\ANA LUISA TODO\MANDATOS 2007\ERIKA GONZALEZ A FRANK GONZALEZ.doc</t>
  </si>
  <si>
    <t>C:\Users\franc\OneDrive\Documentos\MALENTIN KARIME\BANCO CREDITO\FER LORCA en ROSITA (Rosita)\ANA LUISA TODO\MANDATOS 2006\XIMENA POZO A VICTOR JACOB    BCO.doc</t>
  </si>
  <si>
    <t>C:\Users\franc\OneDrive\Documentos\MALENTIN KARIME\BANCO CREDITO\FER LORCA en ROSITA (Rosita)\ANA LUISA TODO\MANDATOS 2006\SAN ISIDRO.doc</t>
  </si>
  <si>
    <t>C:\Users\franc\OneDrive\Documentos\MALENTIN KARIME\BANCO CREDITO\FER LORCA en ROSITA (Rosita)\ANA LUISA TODO\MANDATOS 2006\PATRICIO PINTO A CARMEN GLORIA (CTA. CTE.).doc</t>
  </si>
  <si>
    <t>C:\Users\franc\OneDrive\Documentos\MALENTIN KARIME\BANCO CREDITO\FER LORCA en ROSITA (Rosita)\ANA LUISA TODO\MANDATOS 2006\MARCO LIBANO A JAIME TORRES (CORPORACION).doc</t>
  </si>
  <si>
    <t>C:\Users\franc\OneDrive\Documentos\MALENTIN KARIME\BANCO CREDITO\FER LORCA en ROSITA (Rosita)\ANA LUISA TODO\MANDATOS 2006\jorge segovia cta. cte..doc</t>
  </si>
  <si>
    <t>C:\Users\franc\OneDrive\Documentos\MALENTIN KARIME\BANCO CREDITO\FER LORCA en ROSITA (Rosita)\ANA LUISA TODO\MANDATOS 2006\CRISPULO LOPEZ A ROSA CASTRO (CTA. CTE.).doc</t>
  </si>
  <si>
    <t>C:\Users\franc\OneDrive\Documentos\MALENTIN KARIME\BANCO CREDITO\FER LORCA en ROSITA (Rosita)\ANA LUISA TODO\LUZ TORREJON\OMAR ARRENAS EXTRACTO.doc</t>
  </si>
  <si>
    <t>C:\Users\franc\OneDrive\Documentos\MALENTIN KARIME\BANCO CREDITO\FER LORCA en ROSITA (Rosita)\ANA LUISA TODO\LUIS GALLARDO OSORIO\SERGIO CANIHUANTE EXTRACTO.doc</t>
  </si>
  <si>
    <t>C:\Users\franc\OneDrive\Documentos\MALENTIN KARIME\BANCO CREDITO\FER LORCA en ROSITA (Rosita)\ANA LUISA TODO\LUIS GALLARDO OSORIO\El Notario que suscribe certifica que.doc</t>
  </si>
  <si>
    <t>C:\Users\franc\OneDrive\Documentos\MALENTIN KARIME\BANCO CREDITO\FER LORCA en ROSITA (Rosita)\ANA LUISA TODO\LOGROS\ALZAMIENTOS\Doc1.doc</t>
  </si>
  <si>
    <t>C:\Users\franc\OneDrive\Documentos\MALENTIN KARIME\BANCO CREDITO\FER LORCA en ROSITA (Rosita)\ANA LUISA TODO\LOGROS\MODELO NOTARIO.doc</t>
  </si>
  <si>
    <t>C:\Users\franc\OneDrive\Documentos\MALENTIN KARIME\BANCO CREDITO\FER LORCA en ROSITA (Rosita)\ANA LUISA TODO\LOGROS\Modelo Contrato Factoring Herga Pinto Jure.doc</t>
  </si>
  <si>
    <t>C:\Users\franc\OneDrive\Documentos\MALENTIN KARIME\BANCO CREDITO\FER LORCA en ROSITA (Rosita)\ANA LUISA TODO\LIQUIDACION SOC. Y SEP. BIENES\modelo ii.doc</t>
  </si>
  <si>
    <t>C:\Users\franc\OneDrive\Documentos\MALENTIN KARIME\BANCO CREDITO\FER LORCA en ROSITA (Rosita)\ANA LUISA TODO\HUGO DEL CAMPO\IRELDA CARVAJAL Y OT. A HUGO DEL CAMPO.doc</t>
  </si>
  <si>
    <t>C:\Users\franc\OneDrive\Documentos\MALENTIN KARIME\BANCO CREDITO\FER LORCA en ROSITA (Rosita)\ANA LUISA TODO\FRANCISCO SAAVEDRA\SOBRE.doc</t>
  </si>
  <si>
    <t>C:\Users\franc\OneDrive\Documentos\MALENTIN KARIME\BANCO CREDITO\FER LORCA en ROSITA (Rosita)\ANA LUISA TODO\FACTORONE\Extracto_-_Amilcar_N%C3%BA%C3%B1ez[1].doc</t>
  </si>
  <si>
    <t>C:\Users\franc\OneDrive\Documentos\MALENTIN KARIME\BANCO CREDITO\FER LORCA en ROSITA (Rosita)\ANA LUISA TODO\EVALUACION\Evaluacion desempeño modelo.xls</t>
  </si>
  <si>
    <t>C:\Users\franc\OneDrive\Documentos\MALENTIN KARIME\BANCO CREDITO\FER LORCA en ROSITA (Rosita)\ANA LUISA TODO\ENTEL - SOLOMON\instrucciones_Ovalle[1].doc</t>
  </si>
  <si>
    <t>C:\Users\franc\OneDrive\Documentos\MALENTIN KARIME\BANCO CREDITO\FER LORCA en ROSITA (Rosita)\ANA LUISA TODO\ENTEL - SOLOMON\CARTA INSTRUC COMUNIDAD ORURO.doc</t>
  </si>
  <si>
    <t>C:\Users\franc\OneDrive\Documentos\MALENTIN KARIME\BANCO CREDITO\FER LORCA en ROSITA (Rosita)\ANA LUISA TODO\ENTEL - SOLOMON\Autorizo la firma de don GUIDELFREDO DEL TRANSITO TABILO.doc</t>
  </si>
  <si>
    <t>C:\Users\franc\OneDrive\Documentos\MALENTIN KARIME\BANCO CREDITO\FER LORCA en ROSITA (Rosita)\ANA LUISA TODO\DERECHO REAL DE USO\DECLARA DOS.doc</t>
  </si>
  <si>
    <t>C:\Users\franc\OneDrive\Documentos\MALENTIN KARIME\BANCO CREDITO\FER LORCA en ROSITA (Rosita)\ANA LUISA TODO\DERECHO REAL DE USO\DECLARA 3.doc</t>
  </si>
  <si>
    <t>C:\Users\franc\OneDrive\Documentos\MALENTIN KARIME\BANCO CREDITO\FER LORCA en ROSITA (Rosita)\ANA LUISA TODO\DERECHO REAL DE USO\dec.jurada derecho real de uso.doc</t>
  </si>
  <si>
    <t>C:\Users\franc\OneDrive\Documentos\MALENTIN KARIME\BANCO CREDITO\FER LORCA en ROSITA (Rosita)\ANA LUISA TODO\DERECHO REAL DE USO\COMUNIDAD ALCONES WILLIAM ARIAS.doc</t>
  </si>
  <si>
    <t>C:\Users\franc\OneDrive\Documentos\MALENTIN KARIME\BANCO CREDITO\FER LORCA en ROSITA (Rosita)\ANA LUISA TODO\DERECHO REAL DE USO\CERTIFICADO.doc</t>
  </si>
  <si>
    <t>C:\Users\franc\OneDrive\Documentos\MALENTIN KARIME\BANCO CREDITO\FER LORCA en ROSITA (Rosita)\ANA LUISA TODO\DERECHO REAL DE USO\ANA PEREZ A JUAN LEMUS.doc</t>
  </si>
  <si>
    <t>C:\Users\franc\OneDrive\Documentos\MALENTIN KARIME\BANCO CREDITO\FER LORCA en ROSITA (Rosita)\ANA LUISA TODO\DERECHO REAL DE USO\ANA PEREZ A DORTY PEREZ.doc</t>
  </si>
  <si>
    <t>C:\Users\franc\OneDrive\Documentos\MALENTIN KARIME\BANCO CREDITO\FER LORCA en ROSITA (Rosita)\ANA LUISA TODO\DABED\Doc1.doc</t>
  </si>
  <si>
    <t>C:\Users\franc\OneDrive\Documentos\MALENTIN KARIME\BANCO CREDITO\FER LORCA en ROSITA (Rosita)\ANA LUISA TODO\CRISTIAN VEGA\Doc1.doc</t>
  </si>
  <si>
    <t>C:\Users\franc\OneDrive\Documentos\MALENTIN KARIME\BANCO CREDITO\FER LORCA en ROSITA (Rosita)\ANA LUISA TODO\CORPORACION\TRANCITO ROJAS.doc</t>
  </si>
  <si>
    <t>C:\Users\franc\OneDrive\Documentos\MALENTIN KARIME\BANCO CREDITO\FER LORCA en ROSITA (Rosita)\ANA LUISA TODO\CORPBANCA 2006  M CORTES\PRENDAS\SAN JULIAN EXT.doc</t>
  </si>
  <si>
    <t>C:\Users\franc\OneDrive\Documentos\MALENTIN KARIME\BANCO CREDITO\FER LORCA en ROSITA (Rosita)\ANA LUISA TODO\CORPBANCA 2006  M CORTES\PRENDAS\RENE ALLENDE EXTRACTO.doc</t>
  </si>
  <si>
    <t>C:\Users\franc\OneDrive\Documentos\MALENTIN KARIME\BANCO CREDITO\FER LORCA en ROSITA (Rosita)\ANA LUISA TODO\CORPBANCA 2006  M CORTES\PRENDAS\RENA MUÑOZ EXT.doc</t>
  </si>
  <si>
    <t>C:\Users\franc\OneDrive\Documentos\MALENTIN KARIME\BANCO CREDITO\FER LORCA en ROSITA (Rosita)\ANA LUISA TODO\CORPBANCA 2006  M CORTES\PRENDAS\PROVIDENCIA EXT.doc</t>
  </si>
  <si>
    <t>C:\Users\franc\OneDrive\Documentos\MALENTIN KARIME\BANCO CREDITO\FER LORCA en ROSITA (Rosita)\ANA LUISA TODO\CORPBANCA 2006  M CORTES\PRENDAS\MARIANO DIAZ Y CIA. LTDA. EXTRACTO.doc</t>
  </si>
  <si>
    <t>C:\Users\franc\OneDrive\Documentos\MALENTIN KARIME\BANCO CREDITO\FER LORCA en ROSITA (Rosita)\ANA LUISA TODO\CORPBANCA 2006  M CORTES\PRENDAS\MAITEN EXT.doc</t>
  </si>
  <si>
    <t>C:\Users\franc\OneDrive\Documentos\MALENTIN KARIME\BANCO CREDITO\FER LORCA en ROSITA (Rosita)\ANA LUISA TODO\CORPBANCA 2006  M CORTES\PRENDAS\JORGE CUELLAR ROJAS EXTRACTO.doc</t>
  </si>
  <si>
    <t>C:\Users\franc\OneDrive\Documentos\MALENTIN KARIME\BANCO CREDITO\FER LORCA en ROSITA (Rosita)\ANA LUISA TODO\CORPBANCA 2006  M CORTES\PRENDAS\JORGE CARVAJAL EXTRACTO.doc</t>
  </si>
  <si>
    <t>C:\Users\franc\OneDrive\Documentos\MALENTIN KARIME\BANCO CREDITO\FER LORCA en ROSITA (Rosita)\ANA LUISA TODO\CORPBANCA 2006  M CORTES\PRENDAS\INVERSIONES TALQUILLA EXTRACTO.doc</t>
  </si>
  <si>
    <t>C:\Users\franc\OneDrive\Documentos\MALENTIN KARIME\BANCO CREDITO\FER LORCA en ROSITA (Rosita)\ANA LUISA TODO\CORPBANCA 2006  M CORTES\PRENDAS\GANADERA LOMA LARGA EXTRACTO.doc</t>
  </si>
  <si>
    <t>C:\Users\franc\OneDrive\Documentos\MALENTIN KARIME\BANCO CREDITO\FER LORCA en ROSITA (Rosita)\ANA LUISA TODO\CORPBANCA 2006  M CORTES\PRENDAS\Doc1.doc</t>
  </si>
  <si>
    <t>C:\Users\franc\OneDrive\Documentos\MALENTIN KARIME\BANCO CREDITO\FER LORCA en ROSITA (Rosita)\ANA LUISA TODO\CORPBANCA 2006  M CORTES\PRENDAS\CARTA GASTOS.doc</t>
  </si>
  <si>
    <t>C:\Users\franc\OneDrive\Documentos\MALENTIN KARIME\BANCO CREDITO\FER LORCA en ROSITA (Rosita)\ANA LUISA TODO\CORPBANCA 2006  M CORTES\PRENDAS\AGRICOLA CORDILLERA EXTRACTO.doc</t>
  </si>
  <si>
    <t>C:\Users\franc\OneDrive\Documentos\MALENTIN KARIME\BANCO CREDITO\FER LORCA en ROSITA (Rosita)\ANA LUISA TODO\CORPBANCA 2006  M CORTES\MUTUO E HIPOTECA\JOCELYN RAMIREZ - ENDOSABLE.doc</t>
  </si>
  <si>
    <t>C:\Users\franc\OneDrive\Documentos\MALENTIN KARIME\BANCO CREDITO\FER LORCA en ROSITA (Rosita)\ANA LUISA TODO\CORPBANCA 2006  M CORTES\MANDATOS\Doc3.doc</t>
  </si>
  <si>
    <t>C:\Users\franc\OneDrive\Documentos\MALENTIN KARIME\BANCO CREDITO\FER LORCA en ROSITA (Rosita)\ANA LUISA TODO\CORPBANCA 2006  M CORTES\CV E HIPOTECA\Doc1.doc</t>
  </si>
  <si>
    <t>C:\Users\franc\OneDrive\Documentos\MALENTIN KARIME\BANCO CREDITO\FER LORCA en ROSITA (Rosita)\ANA LUISA TODO\CORPBANCA 2006  M CORTES\SOBRE.doc</t>
  </si>
  <si>
    <t>C:\Users\franc\OneDrive\Documentos\MALENTIN KARIME\BANCO CREDITO\FER LORCA en ROSITA (Rosita)\ANA LUISA TODO\CORPBANCA 2006  M CORTES\MODELO NOTARIO.doc</t>
  </si>
  <si>
    <t>C:\Users\franc\OneDrive\Documentos\MALENTIN KARIME\BANCO CREDITO\FER LORCA en ROSITA (Rosita)\ANA LUISA TODO\CORPBANCA 2006  M CORTES\CARTA STGO.doc</t>
  </si>
  <si>
    <t>C:\Users\franc\OneDrive\Documentos\MALENTIN KARIME\BANCO CREDITO\FER LORCA en ROSITA (Rosita)\ANA LUISA TODO\COMUNIDAD PUNITAQUI\Carta Comunidad Punitaqui.doc</t>
  </si>
  <si>
    <t>C:\Users\franc\OneDrive\Documentos\MALENTIN KARIME\BANCO CREDITO\FER LORCA en ROSITA (Rosita)\ANA LUISA TODO\COMPRAVENTAS INMUEBLES\SUBDIVISION Y COMPRAVENTA\12\2.doc</t>
  </si>
  <si>
    <t>C:\Users\franc\OneDrive\Documentos\MALENTIN KARIME\BANCO CREDITO\FER LORCA en ROSITA (Rosita)\ANA LUISA TODO\COMPRAVENTAS INMUEBLES\SUBDIVISION Y COMPRAVENTA\12\13.doc</t>
  </si>
  <si>
    <t>C:\Users\franc\OneDrive\Documentos\MALENTIN KARIME\BANCO CREDITO\FER LORCA en ROSITA (Rosita)\ANA LUISA TODO\COMPRAVENTAS INMUEBLES\SUBDIVISION Y COMPRAVENTA\12\12.doc</t>
  </si>
  <si>
    <t>C:\Users\franc\OneDrive\Documentos\MALENTIN KARIME\BANCO CREDITO\FER LORCA en ROSITA (Rosita)\ANA LUISA TODO\COMPRAVENTAS INMUEBLES\SUBDIVISION Y COMPRAVENTA\12\10.doc</t>
  </si>
  <si>
    <t>C:\Users\franc\OneDrive\Documentos\MALENTIN KARIME\BANCO CREDITO\FER LORCA en ROSITA (Rosita)\ANA LUISA TODO\COMPRAVENTAS INMUEBLES\SUBDIVISION Y COMPRAVENTA\ELDA ORTIZ A WILSON GONZALEZ AVILA.doc</t>
  </si>
  <si>
    <t>C:\Users\franc\OneDrive\Documentos\MALENTIN KARIME\BANCO CREDITO\FER LORCA en ROSITA (Rosita)\ANA LUISA TODO\COMPRAVENTAS INMUEBLES\SUBDIVISION Y COMPRAVENTA\ELDA ORTIZ A WILSON GONZALEZ (PROMESA).doc</t>
  </si>
  <si>
    <t>C:\Users\franc\OneDrive\Documentos\MALENTIN KARIME\BANCO CREDITO\FER LORCA en ROSITA (Rosita)\ANA LUISA TODO\COMPRAVENTAS INMUEBLES\SUBDIVISION Y COMPRAVENTA\ELDA ORTIZ A WENDY ARAYA GUERRERO.- DIC. 2009.doc</t>
  </si>
  <si>
    <t>C:\Users\franc\OneDrive\Documentos\MALENTIN KARIME\BANCO CREDITO\FER LORCA en ROSITA (Rosita)\ANA LUISA TODO\COMPRAVENTAS INMUEBLES\SUBDIVISION Y COMPRAVENTA\ELDA ORTIZ A SILVIA CORTES.- NOV. 2009.doc</t>
  </si>
  <si>
    <t>C:\Users\franc\OneDrive\Documentos\MALENTIN KARIME\BANCO CREDITO\FER LORCA en ROSITA (Rosita)\ANA LUISA TODO\COMPRAVENTAS INMUEBLES\SUBDIVISION Y COMPRAVENTA\ELDA ORTIZ A ROSA ARAYA VELASQUEZ Y SUS HIJAS.doc</t>
  </si>
  <si>
    <t>C:\Users\franc\OneDrive\Documentos\MALENTIN KARIME\BANCO CREDITO\FER LORCA en ROSITA (Rosita)\ANA LUISA TODO\COMPRAVENTAS INMUEBLES\SUBDIVISION Y COMPRAVENTA\ELDA ORTIZ A RAMON AVILES OCT 2009.doc</t>
  </si>
  <si>
    <t>C:\Users\franc\OneDrive\Documentos\MALENTIN KARIME\BANCO CREDITO\FER LORCA en ROSITA (Rosita)\ANA LUISA TODO\COMPRAVENTAS INMUEBLES\SUBDIVISION Y COMPRAVENTA\ELDA ORTIZ A INVERSIONES TRANSMAQUI LTDA.-.doc</t>
  </si>
  <si>
    <t>C:\Users\franc\OneDrive\Documentos\MALENTIN KARIME\BANCO CREDITO\FER LORCA en ROSITA (Rosita)\ANA LUISA TODO\COMPRAVENTAS INMUEBLES\SUBDIVISION Y COMPRAVENTA\ELDA ORTIZ A INGRID PASTEN OCT 2009.doc</t>
  </si>
  <si>
    <t>C:\Users\franc\OneDrive\Documentos\MALENTIN KARIME\BANCO CREDITO\FER LORCA en ROSITA (Rosita)\ANA LUISA TODO\COMPRAVENTAS INMUEBLES\SUBDIVISION Y COMPRAVENTA\ELDA ORTIZ A CONSTRUCCION RENOVACION.doc</t>
  </si>
  <si>
    <t>C:\Users\franc\OneDrive\Documentos\MALENTIN KARIME\BANCO CREDITO\FER LORCA en ROSITA (Rosita)\ANA LUISA TODO\COMPRAVENTAS INMUEBLES\SUBDIVISION Y COMPRAVENTA\ELDA ORTIZ A CONSTRUCCION RENOVACION.- DIC. 2009.doc</t>
  </si>
  <si>
    <t>C:\Users\franc\OneDrive\Documentos\MALENTIN KARIME\BANCO CREDITO\FER LORCA en ROSITA (Rosita)\ANA LUISA TODO\COMPRAVENTAS INMUEBLES\SUBDIVISION Y COMPRAVENTA\ELDA ORTIZ A CONST. VIVIENDA Y RENOVAC (PROMESA).doc</t>
  </si>
  <si>
    <t>C:\Users\franc\OneDrive\Documentos\MALENTIN KARIME\BANCO CREDITO\FER LORCA en ROSITA (Rosita)\ANA LUISA TODO\COMPRAVENTAS INMUEBLES\SUBDIVISION Y COMPRAVENTA\ELDA ORTIZ A CHRISTIAN ORTIZ.doc</t>
  </si>
  <si>
    <t>C:\Users\franc\OneDrive\Documentos\MALENTIN KARIME\BANCO CREDITO\FER LORCA en ROSITA (Rosita)\ANA LUISA TODO\COMPRAVENTAS INMUEBLES\SUBDIVISION Y COMPRAVENTA\ELDA ORTIZ A ALBERTO OGALDE.doc</t>
  </si>
  <si>
    <t>C:\Users\franc\OneDrive\Documentos\MALENTIN KARIME\BANCO CREDITO\FER LORCA en ROSITA (Rosita)\ANA LUISA TODO\COMPRAVENTAS INMUEBLES\2009\vigia a serravalle.doc</t>
  </si>
  <si>
    <t>C:\Users\franc\OneDrive\Documentos\MALENTIN KARIME\BANCO CREDITO\FER LORCA en ROSITA (Rosita)\ANA LUISA TODO\COMPRAVENTAS INMUEBLES\2009\Doc1.doc</t>
  </si>
  <si>
    <t>C:\Users\franc\OneDrive\Documentos\MALENTIN KARIME\BANCO CREDITO\FER LORCA en ROSITA (Rosita)\ANA LUISA TODO\COMPRAVENTAS INMUEBLES\2009\CV SAMUEL VILLARROEL[1].doc</t>
  </si>
  <si>
    <t>C:\Users\franc\OneDrive\Documentos\MALENTIN KARIME\BANCO CREDITO\FER LORCA en ROSITA (Rosita)\ANA LUISA TODO\COMPRAVENTAS INMUEBLES\2008\ç.doc</t>
  </si>
  <si>
    <t>C:\Users\franc\OneDrive\Documentos\MALENTIN KARIME\BANCO CREDITO\FER LORCA en ROSITA (Rosita)\ANA LUISA TODO\COMPRAVENTAS INMUEBLES\2007\MAXIMILIANO ROJAS A CINTYA ROJAS.doc</t>
  </si>
  <si>
    <t>C:\Users\franc\OneDrive\Documentos\MALENTIN KARIME\BANCO CREDITO\FER LORCA en ROSITA (Rosita)\ANA LUISA TODO\COMPRAVENTAS INMUEBLES\2007\MARITZA ONELL IV-2 Fundina.doc</t>
  </si>
  <si>
    <t>C:\Users\franc\OneDrive\Documentos\MALENTIN KARIME\BANCO CREDITO\FER LORCA en ROSITA (Rosita)\ANA LUISA TODO\COMPRAVENTAS INMUEBLES\2007\MARINO VERGARA Y OTROS.doc</t>
  </si>
  <si>
    <t>C:\Users\franc\OneDrive\Documentos\MALENTIN KARIME\BANCO CREDITO\FER LORCA en ROSITA (Rosita)\ANA LUISA TODO\COMPRAVENTAS INMUEBLES\2007\MARIA COUDRAY Y HNO. JACQUELINE (DERECHOS).doc</t>
  </si>
  <si>
    <t>C:\Users\franc\OneDrive\Documentos\MALENTIN KARIME\BANCO CREDITO\FER LORCA en ROSITA (Rosita)\ANA LUISA TODO\COMPRAVENTAS INMUEBLES\2007\MARIA CASTRO A DILIA CAMPOS.doc</t>
  </si>
  <si>
    <t>C:\Users\franc\OneDrive\Documentos\MALENTIN KARIME\BANCO CREDITO\FER LORCA en ROSITA (Rosita)\ANA LUISA TODO\COMPRAVENTAS INMUEBLES\2007\Doc7.doc</t>
  </si>
  <si>
    <t>C:\Users\franc\OneDrive\Documentos\MALENTIN KARIME\BANCO CREDITO\FER LORCA en ROSITA (Rosita)\ANA LUISA TODO\COMPRAVENTAS INMUEBLES\Doc1.doc</t>
  </si>
  <si>
    <t>C:\Users\franc\OneDrive\Documentos\MALENTIN KARIME\BANCO CREDITO\FER LORCA en ROSITA (Rosita)\ANA LUISA TODO\COMPRAVENTA CON SUBSIDIO DS 174\Firmaron ante  mí.doc</t>
  </si>
  <si>
    <t>C:\Users\franc\OneDrive\Documentos\MALENTIN KARIME\BANCO CREDITO\FER LORCA en ROSITA (Rosita)\ANA LUISA TODO\COMPAÑIA MINERA TAMAYA\RECTIFICACION POTRERILLOS.doc</t>
  </si>
  <si>
    <t>C:\Users\franc\OneDrive\Documentos\MALENTIN KARIME\BANCO CREDITO\FER LORCA en ROSITA (Rosita)\ANA LUISA TODO\COMPAÑIA MINERA PUNITAQUI\SERVIDUMBRE COMUNIDAD POTRERILLO ALTO.doc</t>
  </si>
  <si>
    <t>C:\Users\franc\OneDrive\Documentos\MALENTIN KARIME\BANCO CREDITO\FER LORCA en ROSITA (Rosita)\ANA LUISA TODO\COMPAÑIA MINERA PUNITAQUI\Doc1.doc</t>
  </si>
  <si>
    <t>C:\Users\franc\OneDrive\Documentos\MALENTIN KARIME\BANCO CREDITO\FER LORCA en ROSITA (Rosita)\ANA LUISA TODO\COMPAÑIA MINERA PUNITAQUI\COMUNIDAD POTRERILLOS DIC. 2007.doc</t>
  </si>
  <si>
    <t>C:\Users\franc\OneDrive\Documentos\MALENTIN KARIME\BANCO CREDITO\FER LORCA en ROSITA (Rosita)\ANA LUISA TODO\COMPAÑIA MINERA PUNITAQUI\COMUNIDAD POTRERILLO ALTO (2).doc</t>
  </si>
  <si>
    <t>C:\Users\franc\OneDrive\Documentos\MALENTIN KARIME\BANCO CREDITO\FER LORCA en ROSITA (Rosita)\ANA LUISA TODO\CLAUDIO ARDILES\SERGIO VALDERRAMA A CLAUDIO ARDILES  (Man.  jud).doc</t>
  </si>
  <si>
    <t>C:\Users\franc\OneDrive\Documentos\MALENTIN KARIME\BANCO CREDITO\FER LORCA en ROSITA (Rosita)\ANA LUISA TODO\CLAUDIO ARDILES\RICARDO CORRAL A CLAUDIO ARDILES Y OTRO (MANDATO JUD).doc</t>
  </si>
  <si>
    <t>C:\Users\franc\OneDrive\Documentos\MALENTIN KARIME\BANCO CREDITO\FER LORCA en ROSITA (Rosita)\ANA LUISA TODO\CLAUDIO ARDILES\PROTOCOLIZACION PERMISO NOTARIO.doc</t>
  </si>
  <si>
    <t>C:\Users\franc\OneDrive\Documentos\MALENTIN KARIME\BANCO CREDITO\FER LORCA en ROSITA (Rosita)\ANA LUISA TODO\CLAUDIO ARDILES\MAVIS ALVAREZ (MANDATO JUDICIAL A LUCIANO SARMIENTO).doc</t>
  </si>
  <si>
    <t>C:\Users\franc\OneDrive\Documentos\MALENTIN KARIME\BANCO CREDITO\FER LORCA en ROSITA (Rosita)\ANA LUISA TODO\CLAUDIO ARDILES\MARIO LUNA  (MANDATO JUDICIAL A LUCIANO SARMIENTO).doc</t>
  </si>
  <si>
    <t>C:\Users\franc\OneDrive\Documentos\MALENTIN KARIME\BANCO CREDITO\FER LORCA en ROSITA (Rosita)\ANA LUISA TODO\CLAUDIO ARDILES\MARCELO CORRAL A CLAUDIO ARDILES Y OTR.doc</t>
  </si>
  <si>
    <t>C:\Users\franc\OneDrive\Documentos\MALENTIN KARIME\BANCO CREDITO\FER LORCA en ROSITA (Rosita)\ANA LUISA TODO\CLAUDIO ARDILES\JORGE CUEVAS EXTRACTO.doc</t>
  </si>
  <si>
    <t>C:\Users\franc\OneDrive\Documentos\MALENTIN KARIME\BANCO CREDITO\FER LORCA en ROSITA (Rosita)\ANA LUISA TODO\CLAUDIO ARDILES\GLADYS ALCAINO A CLAUDIO ARDILES (MANDATO JUDICIAL).doc</t>
  </si>
  <si>
    <t>C:\Users\franc\OneDrive\Documentos\MALENTIN KARIME\BANCO CREDITO\FER LORCA en ROSITA (Rosita)\ANA LUISA TODO\CLAUDIO ARDILES\ARNOLDO VALDIVIA A CLAUDIO ARDILES (Man.  jud).doc</t>
  </si>
  <si>
    <t>C:\Users\franc\OneDrive\Documentos\MALENTIN KARIME\BANCO CREDITO\FER LORCA en ROSITA (Rosita)\ANA LUISA TODO\CESION DE DERECHOS HEREDITARIOS\HAYDEE MOLINA Y OTRO A ELBA OGALDE.doc</t>
  </si>
  <si>
    <t>C:\Users\franc\OneDrive\Documentos\MALENTIN KARIME\BANCO CREDITO\FER LORCA en ROSITA (Rosita)\ANA LUISA TODO\CARLOS BUGUEÑÑ\2009\COMPRAVENTA\LAURA CAMPUSANO Y OTROS A GONZALO CAMPUSANO.doc</t>
  </si>
  <si>
    <t>C:\Users\franc\OneDrive\Documentos\MALENTIN KARIME\BANCO CREDITO\FER LORCA en ROSITA (Rosita)\ANA LUISA TODO\CARLOS BUGUEÑÑ\2009\COMPRAVENTA\HECTOR BARRAZA A MARCO ARAYA.doc</t>
  </si>
  <si>
    <t>C:\Users\franc\OneDrive\Documentos\MALENTIN KARIME\BANCO CREDITO\FER LORCA en ROSITA (Rosita)\ANA LUISA TODO\CARLOS BUGUEÑÑ\2007\ACLARACION\Doc1.doc</t>
  </si>
  <si>
    <t>C:\Users\franc\OneDrive\Documentos\MALENTIN KARIME\BANCO CREDITO\FER LORCA en ROSITA (Rosita)\ANA LUISA TODO\CARLOS BUGUEÑÑ\2007\PARTICION FEISSE.doc</t>
  </si>
  <si>
    <t>C:\Users\franc\OneDrive\Documentos\MALENTIN KARIME\BANCO CREDITO\FER LORCA en ROSITA (Rosita)\ANA LUISA TODO\CARLOS BUGUEÑÑ\2007\LUCIA DONOSO A VERONICA JULIA (CESION).doc</t>
  </si>
  <si>
    <t>C:\Users\franc\OneDrive\Documentos\MALENTIN KARIME\BANCO CREDITO\FER LORCA en ROSITA (Rosita)\ANA LUISA TODO\CARLOS BUGUEÑÑ\2007\JUAN FRANCISCO INOSTROZA.doc</t>
  </si>
  <si>
    <t>C:\Users\franc\OneDrive\Documentos\MALENTIN KARIME\BANCO CREDITO\FER LORCA en ROSITA (Rosita)\ANA LUISA TODO\CARLOS BUGUEÑÑ\2007\INV. STA BARBARA Certif. 153.doc</t>
  </si>
  <si>
    <t>C:\Users\franc\OneDrive\Documentos\MALENTIN KARIME\BANCO CREDITO\FER LORCA en ROSITA (Rosita)\ANA LUISA TODO\CARLOS BUGUEÑÑ\INMOBILIARIA CRUZ COLORADA a Verónica Fernandez Arancibia.doc</t>
  </si>
  <si>
    <t>C:\Users\franc\OneDrive\Documentos\MALENTIN KARIME\BANCO CREDITO\FER LORCA en ROSITA (Rosita)\ANA LUISA TODO\CARLOS BUGUEÑÑ\Inmobiliaria Cruz Colorada a ESTEBAN ARAYA.doc</t>
  </si>
  <si>
    <t>C:\Users\franc\OneDrive\Documentos\MALENTIN KARIME\BANCO CREDITO\FER LORCA en ROSITA (Rosita)\ANA LUISA TODO\CANTA RANA\Doc6.doc</t>
  </si>
  <si>
    <t>C:\Users\franc\OneDrive\Documentos\MALENTIN KARIME\BANCO CREDITO\FER LORCA en ROSITA (Rosita)\ANA LUISA TODO\CANTA RANA\Doc5.doc</t>
  </si>
  <si>
    <t>C:\Users\franc\OneDrive\Documentos\MALENTIN KARIME\BANCO CREDITO\FER LORCA en ROSITA (Rosita)\ANA LUISA TODO\CANTA RANA\Doc4.doc</t>
  </si>
  <si>
    <t>C:\Users\franc\OneDrive\Documentos\MALENTIN KARIME\BANCO CREDITO\FER LORCA en ROSITA (Rosita)\ANA LUISA TODO\CANCELACION\ULISES ROBLES A INMB. COLOMBRES (CANCELACION PARCIAL).doc</t>
  </si>
  <si>
    <t>C:\Users\franc\OneDrive\Documentos\MALENTIN KARIME\BANCO CREDITO\FER LORCA en ROSITA (Rosita)\ANA LUISA TODO\BANCO SANTANDER\BANCO ESTADO (CIBERGESTION)\Doc1.doc</t>
  </si>
  <si>
    <t>C:\Users\franc\OneDrive\Documentos\MALENTIN KARIME\BANCO CREDITO\FER LORCA en ROSITA (Rosita)\ANA LUISA TODO\BANCO SANTANDER\Doc1.doc</t>
  </si>
  <si>
    <t>C:\Users\franc\OneDrive\Documentos\MALENTIN KARIME\BANCO CREDITO\FER LORCA en ROSITA (Rosita)\ANA LUISA TODO\BANCO SANTANDER\BOLETAS.xls</t>
  </si>
  <si>
    <t>C:\Users\franc\OneDrive\Documentos\MALENTIN KARIME\BANCO CREDITO\FER LORCA en ROSITA (Rosita)\ANA LUISA TODO\BANCO SANTANDER\BOLETAS BCO BANEFE.xls</t>
  </si>
  <si>
    <t>C:\Users\franc\OneDrive\Documentos\MALENTIN KARIME\BANCO CREDITO\FER LORCA en ROSITA (Rosita)\ANA LUISA TODO\BANCO DEL DESARROLLO\PROTOCOLIZACION ESCRITURAS\LUIS HENRIQUEZ.doc</t>
  </si>
  <si>
    <t>C:\Users\franc\OneDrive\Documentos\MALENTIN KARIME\BANCO CREDITO\FER LORCA en ROSITA (Rosita)\ANA LUISA TODO\BANCO DEL DESARROLLO\prendas\MITSUI\Doc1.doc</t>
  </si>
  <si>
    <t>C:\Users\franc\OneDrive\Documentos\MALENTIN KARIME\BANCO CREDITO\FER LORCA en ROSITA (Rosita)\ANA LUISA TODO\BANCO DEL DESARROLLO\prendas\ISMAEL SEGOVIA - JULIO MEDALLA.doc</t>
  </si>
  <si>
    <t>C:\Users\franc\OneDrive\Documentos\MALENTIN KARIME\BANCO CREDITO\FER LORCA en ROSITA (Rosita)\ANA LUISA TODO\BANCO DEL DESARROLLO\MUTUO E HIPOTECA\PAULA Y CONSUELO LIMITADA.doc</t>
  </si>
  <si>
    <t>C:\Users\franc\OneDrive\Documentos\MALENTIN KARIME\BANCO CREDITO\FER LORCA en ROSITA (Rosita)\ANA LUISA TODO\BANCO DEL DESARROLLO\ALZAMIENTOS\2008\RICARDO GUIÑEZ.doc</t>
  </si>
  <si>
    <t>C:\Users\franc\OneDrive\Documentos\MALENTIN KARIME\BANCO CREDITO\FER LORCA en ROSITA (Rosita)\ANA LUISA TODO\BANCO DEL DESARROLLO\carta banco.doc</t>
  </si>
  <si>
    <t>C:\Users\franc\OneDrive\Documentos\MALENTIN KARIME\BANCO CREDITO\FER LORCA en ROSITA (Rosita)\ANA LUISA TODO\001 MATRICES DE ESCRITURAS PUBLICAS\TIMBRE PRIVILEGIO POBREZA.doc</t>
  </si>
  <si>
    <t>C:\Users\franc\OneDrive\Documentos\MALENTIN KARIME\BANCO CREDITO\FER LORCA en ROSITA (Rosita)\ANA LUISA TODO\001 MATRICES DE ESCRITURAS PUBLICAS\MEMBRETE FACSIMIL.doc</t>
  </si>
  <si>
    <t>C:\Users\franc\OneDrive\Documentos\MALENTIN KARIME\BANCO CREDITO\FER LORCA en ROSITA (Rosita)\ANA LUISA TODO\001 MATRICES DE ESCRITURAS PUBLICAS\AUT HOJA SIGUIENTE.doc</t>
  </si>
  <si>
    <t>C:\Users\franc\OneDrive\Documentos\MALENTIN KARIME\BANCO CREDITO\FER LORCA en ROSITA (Rosita)\fojas.doc</t>
  </si>
  <si>
    <t>C:\Users\franc\OneDrive\Documentos\MALENTIN KARIME\BANCO CREDITO\FER LORCA en ROSITA (Rosita)\fojas.-.doc</t>
  </si>
  <si>
    <t>C:\Users\franc\OneDrive\Documentos\MALENTIN KARIME\BANCO CREDITO\carta resguardo MANUEL RUBINA Y DOBLE M.doc</t>
  </si>
  <si>
    <t>C:\Users\franc\OneDrive\Documentos\MALENTIN KARIME\BANCO CORPBANCA\LEASING\Tabla_de_factores_Los_primos(1).xls</t>
  </si>
  <si>
    <t>C:\Users\franc\OneDrive\Documentos\MALENTIN KARIME\BANCO CORPBANCA\LEASING\Scaner inv. talquilla.doc</t>
  </si>
  <si>
    <t>C:\Users\franc\OneDrive\Documentos\MALENTIN KARIME\2021\UAF 2021.xls</t>
  </si>
  <si>
    <t>C:\Users\franc\OneDrive\Documentos\MALENTIN KARIME\FOJAS.doc</t>
  </si>
  <si>
    <t>SKIPPED_STRICT_FILTER</t>
  </si>
  <si>
    <t>EMPTY_TEXT</t>
  </si>
  <si>
    <t>SKIPPED_NO_KEYWORDS</t>
  </si>
  <si>
    <t>2026-09-04T23:10:14.907125</t>
  </si>
  <si>
    <t>2026-09-04T23:10:13.658515</t>
  </si>
  <si>
    <t>2026-09-04T23:10:12.368538</t>
  </si>
  <si>
    <t>2026-09-04T23:10:11.079176</t>
  </si>
  <si>
    <t>2026-09-04T23:10:09.789827</t>
  </si>
  <si>
    <t>2026-09-04T23:10:08.608284</t>
  </si>
  <si>
    <t>2026-09-04T23:10:07.505287</t>
  </si>
  <si>
    <t>2026-09-04T23:10:06.407602</t>
  </si>
  <si>
    <t>2026-09-04T23:10:05.068931</t>
  </si>
  <si>
    <t>2026-09-04T23:10:03.852828</t>
  </si>
  <si>
    <t>2026-09-04T23:10:02.665907</t>
  </si>
  <si>
    <t>2026-09-04T23:10:01.484599</t>
  </si>
  <si>
    <t>2026-09-04T23:10:00.175525</t>
  </si>
  <si>
    <t>2026-09-04T23:09:58.930076</t>
  </si>
  <si>
    <t>2026-09-04T23:09:57.830800</t>
  </si>
  <si>
    <t>2026-09-04T23:09:56.677934</t>
  </si>
  <si>
    <t>2026-09-04T23:09:55.619037</t>
  </si>
  <si>
    <t>2026-09-04T23:09:54.379114</t>
  </si>
  <si>
    <t>2026-09-04T23:09:53.344806</t>
  </si>
  <si>
    <t>2026-09-04T23:09:52.211152</t>
  </si>
  <si>
    <t>2026-09-04T23:09:50.536096</t>
  </si>
  <si>
    <t>2026-09-04T23:09:49.256024</t>
  </si>
  <si>
    <t>2026-09-04T23:09:48.082898</t>
  </si>
  <si>
    <t>2026-09-04T23:09:46.629350</t>
  </si>
  <si>
    <t>2026-09-04T23:09:45.550728</t>
  </si>
  <si>
    <t>2026-09-04T23:09:44.263420</t>
  </si>
  <si>
    <t>2026-09-04T23:09:43.091648</t>
  </si>
  <si>
    <t>2026-09-04T23:09:41.929438</t>
  </si>
  <si>
    <t>2026-09-04T23:09:40.726547</t>
  </si>
  <si>
    <t>2026-09-04T23:09:39.302306</t>
  </si>
  <si>
    <t>2026-09-04T23:09:38.204027</t>
  </si>
  <si>
    <t>2026-09-04T23:09:37.174304</t>
  </si>
  <si>
    <t>2026-09-04T23:09:35.814134</t>
  </si>
  <si>
    <t>2026-09-04T23:09:34.700829</t>
  </si>
  <si>
    <t>2026-09-04T23:09:33.603937</t>
  </si>
  <si>
    <t>2026-09-04T23:09:32.254991</t>
  </si>
  <si>
    <t>2026-09-04T23:09:31.048540</t>
  </si>
  <si>
    <t>2026-09-04T23:09:29.826328</t>
  </si>
  <si>
    <t>2026-09-04T23:09:28.505044</t>
  </si>
  <si>
    <t>2026-09-04T23:09:27.285921</t>
  </si>
  <si>
    <t>2026-09-04T23:09:26.215359</t>
  </si>
  <si>
    <t>2026-09-04T23:09:25.041945</t>
  </si>
  <si>
    <t>2026-09-04T23:09:23.983804</t>
  </si>
  <si>
    <t>2026-09-04T23:09:22.883652</t>
  </si>
  <si>
    <t>2026-09-04T23:09:21.843787</t>
  </si>
  <si>
    <t>2026-09-04T23:09:20.682534</t>
  </si>
  <si>
    <t>2026-09-04T23:09:19.656909</t>
  </si>
  <si>
    <t>2026-09-04T23:09:18.612229</t>
  </si>
  <si>
    <t>2026-09-04T23:09:17.465503</t>
  </si>
  <si>
    <t>2026-09-04T23:09:16.456457</t>
  </si>
  <si>
    <t>2026-09-04T23:09:15.293278</t>
  </si>
  <si>
    <t>2026-09-04T23:09:14.133821</t>
  </si>
  <si>
    <t>2026-09-04T23:09:13.034043</t>
  </si>
  <si>
    <t>2026-09-04T23:09:11.752329</t>
  </si>
  <si>
    <t>2026-09-04T23:09:10.430456</t>
  </si>
  <si>
    <t>2026-09-04T23:09:09.178409</t>
  </si>
  <si>
    <t>2026-09-04T23:09:07.964601</t>
  </si>
  <si>
    <t>2026-09-04T23:09:06.493895</t>
  </si>
  <si>
    <t>2026-09-04T23:09:04.944236</t>
  </si>
  <si>
    <t>2026-09-04T23:09:03.708889</t>
  </si>
  <si>
    <t>2026-09-04T23:09:02.315218</t>
  </si>
  <si>
    <t>2026-09-04T23:09:01.092238</t>
  </si>
  <si>
    <t>2026-09-04T23:08:59.909496</t>
  </si>
  <si>
    <t>2026-09-04T23:08:58.533997</t>
  </si>
  <si>
    <t>2026-09-04T23:08:57.250940</t>
  </si>
  <si>
    <t>2026-09-04T23:08:56.216359</t>
  </si>
  <si>
    <t>2026-09-04T23:08:55.184691</t>
  </si>
  <si>
    <t>2026-09-04T23:08:54.051899</t>
  </si>
  <si>
    <t>2026-09-04T23:08:52.945435</t>
  </si>
  <si>
    <t>2026-09-04T23:08:51.713560</t>
  </si>
  <si>
    <t>2026-09-04T23:08:50.608445</t>
  </si>
  <si>
    <t>2026-09-04T23:08:49.264658</t>
  </si>
  <si>
    <t>2026-09-04T23:08:48.069971</t>
  </si>
  <si>
    <t>2026-09-04T23:08:46.930131</t>
  </si>
  <si>
    <t>2026-09-04T23:08:45.783965</t>
  </si>
  <si>
    <t>2026-09-04T23:08:44.524008</t>
  </si>
  <si>
    <t>2026-09-04T23:08:43.251615</t>
  </si>
  <si>
    <t>2026-09-04T23:08:41.780516</t>
  </si>
  <si>
    <t>2026-09-04T23:08:40.705556</t>
  </si>
  <si>
    <t>2026-09-04T23:08:39.495215</t>
  </si>
  <si>
    <t>2026-09-04T23:08:38.326297</t>
  </si>
  <si>
    <t>2026-09-04T23:08:37.105629</t>
  </si>
  <si>
    <t>2026-09-04T23:08:35.762142</t>
  </si>
  <si>
    <t>2026-09-04T23:08:34.600260</t>
  </si>
  <si>
    <t>2026-09-04T23:08:33.525567</t>
  </si>
  <si>
    <t>2026-09-04T23:08:32.298427</t>
  </si>
  <si>
    <t>2026-09-04T23:08:31.191149</t>
  </si>
  <si>
    <t>2026-09-04T23:08:30.126330</t>
  </si>
  <si>
    <t>2026-09-04T23:08:28.657188</t>
  </si>
  <si>
    <t>2026-09-04T23:08:27.477759</t>
  </si>
  <si>
    <t>2026-09-04T23:08:26.254581</t>
  </si>
  <si>
    <t>2026-09-04T23:08:25.008837</t>
  </si>
  <si>
    <t>2026-09-04T23:08:23.835155</t>
  </si>
  <si>
    <t>2026-09-04T23:08:22.678594</t>
  </si>
  <si>
    <t>2026-09-04T23:08:21.528170</t>
  </si>
  <si>
    <t>2026-09-04T23:08:20.082660</t>
  </si>
  <si>
    <t>2026-09-04T23:08:18.807787</t>
  </si>
  <si>
    <t>2026-09-04T23:08:17.336128</t>
  </si>
  <si>
    <t>2026-09-04T23:08:16.085640</t>
  </si>
  <si>
    <t>2026-09-04T23:08:14.685029</t>
  </si>
  <si>
    <t>2026-09-04T23:08:13.325761</t>
  </si>
  <si>
    <t>2026-09-04T23:08:12.048547</t>
  </si>
  <si>
    <t>2026-09-04T23:08:10.956078</t>
  </si>
  <si>
    <t>2026-09-04T23:08:09.514884</t>
  </si>
  <si>
    <t>2026-09-04T23:08:07.949008</t>
  </si>
  <si>
    <t>2026-09-04T23:08:06.807893</t>
  </si>
  <si>
    <t>2026-09-04T23:08:05.694174</t>
  </si>
  <si>
    <t>2026-09-04T23:08:04.444862</t>
  </si>
  <si>
    <t>2026-09-04T23:08:03.142261</t>
  </si>
  <si>
    <t>2026-09-04T23:08:01.982635</t>
  </si>
  <si>
    <t>2026-09-04T23:08:00.617358</t>
  </si>
  <si>
    <t>2026-09-04T23:07:59.451250</t>
  </si>
  <si>
    <t>2026-09-04T23:07:58.374489</t>
  </si>
  <si>
    <t>2026-09-04T23:07:57.309580</t>
  </si>
  <si>
    <t>2026-09-04T23:07:56.016309</t>
  </si>
  <si>
    <t>2026-09-04T23:07:54.967128</t>
  </si>
  <si>
    <t>2026-09-04T23:07:53.622142</t>
  </si>
  <si>
    <t>2026-09-04T23:07:52.454780</t>
  </si>
  <si>
    <t>2026-09-04T23:07:51.058325</t>
  </si>
  <si>
    <t>2026-09-04T23:07:49.865338</t>
  </si>
  <si>
    <t>2026-09-04T23:07:48.625365</t>
  </si>
  <si>
    <t>2026-09-04T23:07:47.520855</t>
  </si>
  <si>
    <t>2026-09-04T23:07:46.322846</t>
  </si>
  <si>
    <t>2026-09-04T23:07:45.246167</t>
  </si>
  <si>
    <t>2026-09-04T23:07:44.157065</t>
  </si>
  <si>
    <t>2026-09-04T23:07:43.109551</t>
  </si>
  <si>
    <t>2026-09-04T23:07:42.064386</t>
  </si>
  <si>
    <t>2026-09-04T23:07:40.925942</t>
  </si>
  <si>
    <t>2026-09-04T23:07:39.791445</t>
  </si>
  <si>
    <t>2026-09-04T23:07:38.638439</t>
  </si>
  <si>
    <t>2026-09-04T23:07:37.502741</t>
  </si>
  <si>
    <t>2026-09-04T23:07:36.093674</t>
  </si>
  <si>
    <t>2026-09-04T23:07:34.877885</t>
  </si>
  <si>
    <t>2026-09-04T23:07:33.735371</t>
  </si>
  <si>
    <t>2026-09-04T23:07:32.376726</t>
  </si>
  <si>
    <t>2026-09-04T23:07:31.199674</t>
  </si>
  <si>
    <t>2026-09-04T23:07:29.833458</t>
  </si>
  <si>
    <t>2026-09-04T23:07:28.507644</t>
  </si>
  <si>
    <t>2026-09-04T23:07:27.167712</t>
  </si>
  <si>
    <t>2026-09-04T23:07:25.906165</t>
  </si>
  <si>
    <t>2026-09-04T23:07:24.654256</t>
  </si>
  <si>
    <t>2026-09-04T23:07:23.436115</t>
  </si>
  <si>
    <t>2026-09-04T23:07:22.256420</t>
  </si>
  <si>
    <t>2026-09-04T23:07:21.042651</t>
  </si>
  <si>
    <t>2026-09-04T23:07:19.808746</t>
  </si>
  <si>
    <t>2026-09-04T23:07:18.556770</t>
  </si>
  <si>
    <t>2026-09-04T23:07:17.389844</t>
  </si>
  <si>
    <t>2026-09-04T23:07:15.191593</t>
  </si>
  <si>
    <t>2026-09-04T23:07:15.189572</t>
  </si>
  <si>
    <t>2026-09-04T23:07:15.185940</t>
  </si>
  <si>
    <t>2026-09-04T23:07:15.182838</t>
  </si>
  <si>
    <t>2026-09-04T23:07:15.179553</t>
  </si>
  <si>
    <t>2026-09-04T23:07:15.175751</t>
  </si>
  <si>
    <t>2026-09-04T23:07:15.172949</t>
  </si>
  <si>
    <t>2026-09-04T23:07:15.170172</t>
  </si>
  <si>
    <t>2026-09-04T23:07:15.167418</t>
  </si>
  <si>
    <t>2026-09-04T23:07:15.162710</t>
  </si>
  <si>
    <t>2026-09-04T23:07:15.159292</t>
  </si>
  <si>
    <t>2026-09-04T23:07:15.156025</t>
  </si>
  <si>
    <t>2026-09-04T23:07:15.152656</t>
  </si>
  <si>
    <t>2026-09-04T23:07:15.149974</t>
  </si>
  <si>
    <t>2026-09-04T23:07:15.146462</t>
  </si>
  <si>
    <t>2026-09-04T23:07:15.142404</t>
  </si>
  <si>
    <t>2026-09-04T23:07:15.138359</t>
  </si>
  <si>
    <t>2026-09-04T23:07:15.136656</t>
  </si>
  <si>
    <t>2026-09-04T23:07:15.133592</t>
  </si>
  <si>
    <t>2026-09-04T23:07:15.128219</t>
  </si>
  <si>
    <t>2026-09-04T23:07:15.126653</t>
  </si>
  <si>
    <t>2026-09-04T23:07:15.121770</t>
  </si>
  <si>
    <t>2026-09-04T23:07:15.114416</t>
  </si>
  <si>
    <t>2026-09-04T23:07:15.111052</t>
  </si>
  <si>
    <t>2026-09-04T23:07:15.107712</t>
  </si>
  <si>
    <t>2026-09-04T23:07:15.104910</t>
  </si>
  <si>
    <t>2026-09-04T23:07:15.100812</t>
  </si>
  <si>
    <t>2026-09-04T23:07:15.097513</t>
  </si>
  <si>
    <t>2026-09-04T23:07:15.092775</t>
  </si>
  <si>
    <t>2026-09-04T23:07:15.089965</t>
  </si>
  <si>
    <t>2026-09-04T23:07:15.087828</t>
  </si>
  <si>
    <t>2026-09-04T23:07:15.084718</t>
  </si>
  <si>
    <t>2026-09-04T23:07:15.081888</t>
  </si>
  <si>
    <t>2026-09-04T23:07:15.079055</t>
  </si>
  <si>
    <t>2026-09-04T23:07:15.075722</t>
  </si>
  <si>
    <t>2026-09-04T23:07:15.072377</t>
  </si>
  <si>
    <t>2026-09-04T23:07:15.069532</t>
  </si>
  <si>
    <t>2026-09-04T23:07:15.065237</t>
  </si>
  <si>
    <t>2026-09-04T23:07:15.062162</t>
  </si>
  <si>
    <t>2026-09-04T23:07:15.057547</t>
  </si>
  <si>
    <t>2026-09-04T23:07:15.054967</t>
  </si>
  <si>
    <t>2026-09-04T23:07:15.051903</t>
  </si>
  <si>
    <t>2026-09-04T23:07:15.046912</t>
  </si>
  <si>
    <t>2026-09-04T23:07:15.042396</t>
  </si>
  <si>
    <t>2026-09-04T23:07:15.039465</t>
  </si>
  <si>
    <t>2026-09-04T23:07:15.035558</t>
  </si>
  <si>
    <t>2026-09-04T23:07:15.031610</t>
  </si>
  <si>
    <t>2026-09-04T23:07:15.028262</t>
  </si>
  <si>
    <t>2026-09-04T23:07:15.023525</t>
  </si>
  <si>
    <t>2026-09-04T23:07:15.020320</t>
  </si>
  <si>
    <t>2026-09-04T23:07:15.016278</t>
  </si>
  <si>
    <t>2026-09-04T23:07:15.013221</t>
  </si>
  <si>
    <t>2026-09-04T23:07:15.008008</t>
  </si>
  <si>
    <t>2026-09-04T23:07:15.005939</t>
  </si>
  <si>
    <t>2026-09-04T23:07:15.002816</t>
  </si>
  <si>
    <t>2026-09-04T23:07:15.001251</t>
  </si>
  <si>
    <t>2026-09-04T23:07:14.998516</t>
  </si>
  <si>
    <t>2026-09-04T23:07:14.995333</t>
  </si>
  <si>
    <t>2026-09-04T23:07:14.992284</t>
  </si>
  <si>
    <t>2026-09-04T23:07:14.988928</t>
  </si>
  <si>
    <t>2026-09-04T23:07:14.986130</t>
  </si>
  <si>
    <t>2026-09-04T23:07:14.982197</t>
  </si>
  <si>
    <t>2026-09-04T23:07:14.979185</t>
  </si>
  <si>
    <t>2026-09-04T23:07:14.975763</t>
  </si>
  <si>
    <t>2026-09-04T23:07:14.972829</t>
  </si>
  <si>
    <t>2026-09-04T23:07:14.969572</t>
  </si>
  <si>
    <t>2026-09-04T23:07:14.964684</t>
  </si>
  <si>
    <t>2026-09-04T23:07:14.958410</t>
  </si>
  <si>
    <t>2026-09-04T23:07:14.947184</t>
  </si>
  <si>
    <t>2026-09-04T23:07:14.943485</t>
  </si>
  <si>
    <t>2026-09-04T23:07:14.940824</t>
  </si>
  <si>
    <t>2026-09-04T23:07:14.937461</t>
  </si>
  <si>
    <t>2026-09-04T23:07:14.933113</t>
  </si>
  <si>
    <t>2026-09-04T23:07:14.929428</t>
  </si>
  <si>
    <t>2026-09-04T23:07:14.925516</t>
  </si>
  <si>
    <t>2026-09-04T23:07:14.922124</t>
  </si>
  <si>
    <t>2026-09-04T23:07:14.918771</t>
  </si>
  <si>
    <t>2026-09-04T23:07:14.915249</t>
  </si>
  <si>
    <t>2026-09-04T23:07:14.911392</t>
  </si>
  <si>
    <t>2026-09-04T23:07:14.906566</t>
  </si>
  <si>
    <t>2026-09-04T23:07:14.904500</t>
  </si>
  <si>
    <t>2026-09-04T23:07:14.900200</t>
  </si>
  <si>
    <t>2026-09-04T23:07:14.897143</t>
  </si>
  <si>
    <t>2026-09-04T23:07:14.895123</t>
  </si>
  <si>
    <t>2026-09-04T23:07:14.892045</t>
  </si>
  <si>
    <t>2026-09-04T23:07:14.888647</t>
  </si>
  <si>
    <t>2026-09-04T23:07:14.886410</t>
  </si>
  <si>
    <t>2026-09-04T23:07:14.882318</t>
  </si>
  <si>
    <t>2026-09-04T23:07:14.879502</t>
  </si>
  <si>
    <t>2026-09-04T23:07:14.876850</t>
  </si>
  <si>
    <t>2026-09-04T23:07:14.874201</t>
  </si>
  <si>
    <t>2026-09-04T23:07:14.871677</t>
  </si>
  <si>
    <t>2026-09-04T23:07:14.869358</t>
  </si>
  <si>
    <t>2026-09-04T23:07:14.866311</t>
  </si>
  <si>
    <t>2026-09-04T23:07:14.861152</t>
  </si>
  <si>
    <t>2026-09-04T23:07:14.859005</t>
  </si>
  <si>
    <t>2026-09-04T23:07:14.856286</t>
  </si>
  <si>
    <t>2026-09-04T23:07:14.852800</t>
  </si>
  <si>
    <t>2026-09-04T23:07:14.849996</t>
  </si>
  <si>
    <t>2026-09-04T23:07:14.846460</t>
  </si>
  <si>
    <t>2026-09-04T23:07:14.842590</t>
  </si>
  <si>
    <t>2026-09-04T23:07:14.839629</t>
  </si>
  <si>
    <t>2026-09-04T23:07:14.836022</t>
  </si>
  <si>
    <t>2026-09-04T23:07:14.833251</t>
  </si>
  <si>
    <t>2026-09-04T23:07:14.830266</t>
  </si>
  <si>
    <t>2026-09-04T23:07:14.826323</t>
  </si>
  <si>
    <t>2026-09-04T23:07:14.822069</t>
  </si>
  <si>
    <t>2026-09-04T23:07:14.818710</t>
  </si>
  <si>
    <t>2026-09-04T23:07:14.815162</t>
  </si>
  <si>
    <t>2026-09-04T23:07:14.812391</t>
  </si>
  <si>
    <t>2026-09-04T23:07:14.808205</t>
  </si>
  <si>
    <t>2026-09-04T23:07:14.805685</t>
  </si>
  <si>
    <t>2026-09-04T23:07:14.802629</t>
  </si>
  <si>
    <t>2026-09-04T23:07:14.800013</t>
  </si>
  <si>
    <t>2026-09-04T23:07:14.795521</t>
  </si>
  <si>
    <t>2026-09-04T23:07:14.791477</t>
  </si>
  <si>
    <t>2026-09-04T23:07:14.788149</t>
  </si>
  <si>
    <t>2026-09-04T23:07:14.784015</t>
  </si>
  <si>
    <t>2026-09-04T23:07:14.780114</t>
  </si>
  <si>
    <t>2026-09-04T23:07:14.776286</t>
  </si>
  <si>
    <t>2026-09-04T23:07:14.772899</t>
  </si>
  <si>
    <t>2026-09-04T23:07:14.769464</t>
  </si>
  <si>
    <t>2026-09-04T23:07:14.766073</t>
  </si>
  <si>
    <t>2026-09-04T23:07:14.761461</t>
  </si>
  <si>
    <t>2026-09-04T23:07:14.759861</t>
  </si>
  <si>
    <t>2026-09-04T23:07:14.756034</t>
  </si>
  <si>
    <t>2026-09-04T23:07:14.751684</t>
  </si>
  <si>
    <t>2026-09-04T23:07:14.748328</t>
  </si>
  <si>
    <t>2026-09-04T23:07:14.745314</t>
  </si>
  <si>
    <t>2026-09-04T23:07:14.741969</t>
  </si>
  <si>
    <t>2026-09-04T23:07:14.737449</t>
  </si>
  <si>
    <t>2026-09-04T23:07:14.734531</t>
  </si>
  <si>
    <t>2026-09-04T23:07:14.731180</t>
  </si>
  <si>
    <t>2026-09-04T23:07:14.727528</t>
  </si>
  <si>
    <t>2026-09-04T23:07:14.722633</t>
  </si>
  <si>
    <t>2026-09-04T23:07:14.719025</t>
  </si>
  <si>
    <t>2026-09-04T23:07:14.715674</t>
  </si>
  <si>
    <t>2026-09-04T23:07:14.711996</t>
  </si>
  <si>
    <t>2026-09-04T23:07:14.709973</t>
  </si>
  <si>
    <t>2026-09-04T23:07:14.706643</t>
  </si>
  <si>
    <t>2026-09-04T23:07:14.701941</t>
  </si>
  <si>
    <t>2026-09-04T23:07:14.698747</t>
  </si>
  <si>
    <t>2026-09-04T23:07:14.696270</t>
  </si>
  <si>
    <t>2026-09-04T23:07:14.692322</t>
  </si>
  <si>
    <t>2026-09-04T23:07:14.689124</t>
  </si>
  <si>
    <t>2026-09-04T23:07:14.685802</t>
  </si>
  <si>
    <t>2026-09-04T23:07:14.682385</t>
  </si>
  <si>
    <t>2026-09-04T23:07:14.677944</t>
  </si>
  <si>
    <t>2026-09-04T23:07:14.674682</t>
  </si>
  <si>
    <t>2026-09-04T23:07:14.670709</t>
  </si>
  <si>
    <t>2026-09-04T23:07:14.667594</t>
  </si>
  <si>
    <t>2026-09-04T23:07:14.659797</t>
  </si>
  <si>
    <t>2026-09-04T23:07:14.654409</t>
  </si>
  <si>
    <t>2026-09-04T23:07:14.651081</t>
  </si>
  <si>
    <t>2026-09-04T23:07:14.649326</t>
  </si>
  <si>
    <t>2026-09-04T23:07:14.644261</t>
  </si>
  <si>
    <t>2026-09-04T23:07:14.641719</t>
  </si>
  <si>
    <t>2026-09-04T23:07:14.638450</t>
  </si>
  <si>
    <t>2026-09-04T23:07:14.634718</t>
  </si>
  <si>
    <t>2026-09-04T23:07:14.631390</t>
  </si>
  <si>
    <t>2026-09-04T23:07:14.627537</t>
  </si>
  <si>
    <t>2026-09-04T23:07:14.624268</t>
  </si>
  <si>
    <t>2026-09-04T23:07:14.621014</t>
  </si>
  <si>
    <t>2026-09-04T23:07:14.617552</t>
  </si>
  <si>
    <t>2026-09-04T23:07:14.613659</t>
  </si>
  <si>
    <t>2026-09-04T23:07:14.610874</t>
  </si>
  <si>
    <t>2026-09-04T23:07:14.607533</t>
  </si>
  <si>
    <t>2026-09-04T23:07:14.604353</t>
  </si>
  <si>
    <t>2026-09-04T23:07:14.601009</t>
  </si>
  <si>
    <t>2026-09-04T23:07:14.596965</t>
  </si>
  <si>
    <t>2026-09-04T23:07:14.594263</t>
  </si>
  <si>
    <t>2026-09-04T23:07:14.590206</t>
  </si>
  <si>
    <t>2026-09-04T23:07:14.586298</t>
  </si>
  <si>
    <t>2026-09-04T23:07:14.581925</t>
  </si>
  <si>
    <t>2026-09-04T23:07:14.577978</t>
  </si>
  <si>
    <t>2026-09-04T23:07:14.574544</t>
  </si>
  <si>
    <t>2026-09-04T23:07:14.571559</t>
  </si>
  <si>
    <t>2026-09-04T23:07:14.568226</t>
  </si>
  <si>
    <t>2026-09-04T23:07:14.564368</t>
  </si>
  <si>
    <t>2026-09-04T23:07:14.560542</t>
  </si>
  <si>
    <t>2026-09-04T23:07:14.557078</t>
  </si>
  <si>
    <t>2026-09-04T23:07:14.553217</t>
  </si>
  <si>
    <t>2026-09-04T23:07:14.548059</t>
  </si>
  <si>
    <t>2026-09-04T23:07:14.544510</t>
  </si>
  <si>
    <t>2026-09-04T23:07:14.541428</t>
  </si>
  <si>
    <t>2026-09-04T23:07:14.537885</t>
  </si>
  <si>
    <t>2026-09-04T23:07:14.534323</t>
  </si>
  <si>
    <t>2026-09-04T23:07:14.531466</t>
  </si>
  <si>
    <t>2026-09-04T23:07:14.528669</t>
  </si>
  <si>
    <t>2026-09-04T23:07:14.524727</t>
  </si>
  <si>
    <t>2026-09-04T23:07:14.521931</t>
  </si>
  <si>
    <t>2026-09-04T23:07:14.518766</t>
  </si>
  <si>
    <t>2026-09-04T23:07:14.515373</t>
  </si>
  <si>
    <t>2026-09-04T23:07:14.511771</t>
  </si>
  <si>
    <t>2026-09-04T23:07:14.508620</t>
  </si>
  <si>
    <t>2026-09-04T23:07:14.504697</t>
  </si>
  <si>
    <t>2026-09-04T23:07:14.501327</t>
  </si>
  <si>
    <t>2026-09-04T23:07:14.497390</t>
  </si>
  <si>
    <t>2026-09-04T23:07:14.492376</t>
  </si>
  <si>
    <t>2026-09-04T23:07:14.490348</t>
  </si>
  <si>
    <t>2026-09-04T23:07:14.486261</t>
  </si>
  <si>
    <t>2026-09-04T23:07:14.482114</t>
  </si>
  <si>
    <t>2026-09-04T23:07:14.480094</t>
  </si>
  <si>
    <t>2026-09-04T23:07:14.476709</t>
  </si>
  <si>
    <t>2026-09-04T23:07:14.472946</t>
  </si>
  <si>
    <t>2026-09-04T23:07:14.468981</t>
  </si>
  <si>
    <t>2026-09-04T23:07:14.466187</t>
  </si>
  <si>
    <t>2026-09-04T23:07:14.462195</t>
  </si>
  <si>
    <t>2026-09-04T23:07:14.459375</t>
  </si>
  <si>
    <t>2026-09-04T23:07:14.456322</t>
  </si>
  <si>
    <t>2026-09-04T23:07:14.453475</t>
  </si>
  <si>
    <t>2026-09-04T23:07:14.450671</t>
  </si>
  <si>
    <t>2026-09-04T23:07:14.446738</t>
  </si>
  <si>
    <t>2026-09-04T23:07:14.443383</t>
  </si>
  <si>
    <t>2026-09-04T23:07:14.439791</t>
  </si>
  <si>
    <t>2026-09-04T23:07:14.435346</t>
  </si>
  <si>
    <t>2026-09-04T23:07:14.431919</t>
  </si>
  <si>
    <t>2026-09-04T23:07:14.427410</t>
  </si>
  <si>
    <t>2026-09-04T23:07:14.423513</t>
  </si>
  <si>
    <t>2026-09-04T23:07:14.419729</t>
  </si>
  <si>
    <t>2026-09-04T23:07:14.414118</t>
  </si>
  <si>
    <t>2026-09-04T23:07:14.411075</t>
  </si>
  <si>
    <t>2026-09-04T23:07:14.406689</t>
  </si>
  <si>
    <t>2026-09-04T23:07:14.402218</t>
  </si>
  <si>
    <t>2026-09-04T23:07:14.398420</t>
  </si>
  <si>
    <t>2026-09-04T23:07:14.396887</t>
  </si>
  <si>
    <t>2026-09-04T23:07:14.393632</t>
  </si>
  <si>
    <t>2026-09-04T23:07:14.390888</t>
  </si>
  <si>
    <t>2026-09-04T23:07:14.386814</t>
  </si>
  <si>
    <t>2026-09-04T23:07:14.384013</t>
  </si>
  <si>
    <t>2026-09-04T23:07:14.379938</t>
  </si>
  <si>
    <t>2026-09-04T23:07:14.376633</t>
  </si>
  <si>
    <t>2026-09-04T23:07:14.372268</t>
  </si>
  <si>
    <t>2026-09-04T23:07:14.368892</t>
  </si>
  <si>
    <t>2026-09-04T23:07:14.365034</t>
  </si>
  <si>
    <t>2026-09-04T23:07:14.359472</t>
  </si>
  <si>
    <t>2026-09-04T23:07:14.355971</t>
  </si>
  <si>
    <t>2026-09-04T23:07:14.351064</t>
  </si>
  <si>
    <t>2026-09-04T23:07:14.350055</t>
  </si>
  <si>
    <t>2026-09-04T23:07:14.345431</t>
  </si>
  <si>
    <t>2026-09-04T23:07:14.341004</t>
  </si>
  <si>
    <t>2026-09-04T23:07:14.338032</t>
  </si>
  <si>
    <t>2026-09-04T23:07:14.335357</t>
  </si>
  <si>
    <t>2026-09-04T23:07:14.331049</t>
  </si>
  <si>
    <t>2026-09-04T23:07:14.327844</t>
  </si>
  <si>
    <t>2026-09-04T23:07:14.323242</t>
  </si>
  <si>
    <t>2026-09-04T23:07:14.319828</t>
  </si>
  <si>
    <t>2026-09-04T23:07:14.315923</t>
  </si>
  <si>
    <t>2026-09-04T23:07:14.312550</t>
  </si>
  <si>
    <t>2026-09-04T23:07:14.308257</t>
  </si>
  <si>
    <t>2026-09-04T23:07:14.304078</t>
  </si>
  <si>
    <t>2026-09-04T23:07:14.300041</t>
  </si>
  <si>
    <t>2026-09-04T23:07:14.295963</t>
  </si>
  <si>
    <t>2026-09-04T23:07:14.292915</t>
  </si>
  <si>
    <t>2026-09-04T23:07:14.289914</t>
  </si>
  <si>
    <t>2026-09-04T23:07:14.285820</t>
  </si>
  <si>
    <t>2026-09-04T23:07:14.281213</t>
  </si>
  <si>
    <t>2026-09-04T23:07:14.278671</t>
  </si>
  <si>
    <t>2026-09-04T23:07:14.275576</t>
  </si>
  <si>
    <t>2026-09-04T23:07:14.270968</t>
  </si>
  <si>
    <t>2026-09-04T23:07:14.269143</t>
  </si>
  <si>
    <t>2026-09-04T23:07:14.265470</t>
  </si>
  <si>
    <t>2026-09-04T23:07:14.261560</t>
  </si>
  <si>
    <t>2026-09-04T23:07:14.258460</t>
  </si>
  <si>
    <t>2026-09-04T23:07:14.254803</t>
  </si>
  <si>
    <t>2026-09-04T23:07:14.251468</t>
  </si>
  <si>
    <t>2026-09-04T23:07:14.246997</t>
  </si>
  <si>
    <t>2026-09-04T23:07:14.244035</t>
  </si>
  <si>
    <t>2026-09-04T23:07:14.240670</t>
  </si>
  <si>
    <t>2026-09-04T23:07:14.237285</t>
  </si>
  <si>
    <t>2026-09-04T23:07:14.233408</t>
  </si>
  <si>
    <t>2026-09-04T23:07:14.219871</t>
  </si>
  <si>
    <t>2026-09-04T23:07:14.214049</t>
  </si>
  <si>
    <t>2026-09-04T23:07:14.209972</t>
  </si>
  <si>
    <t>2026-09-04T23:07:14.206500</t>
  </si>
  <si>
    <t>2026-09-04T23:07:14.201323</t>
  </si>
  <si>
    <t>2026-09-04T23:07:14.198142</t>
  </si>
  <si>
    <t>2026-09-04T23:07:14.195114</t>
  </si>
  <si>
    <t>2026-09-04T23:07:14.189985</t>
  </si>
  <si>
    <t>2026-09-04T23:07:14.185151</t>
  </si>
  <si>
    <t>2026-09-04T23:07:14.178938</t>
  </si>
  <si>
    <t>2026-09-04T23:07:14.175847</t>
  </si>
  <si>
    <t>2026-09-04T23:07:14.171515</t>
  </si>
  <si>
    <t>2026-09-04T23:07:14.166715</t>
  </si>
  <si>
    <t>2026-09-04T23:07:14.163240</t>
  </si>
  <si>
    <t>2026-09-04T23:07:14.157349</t>
  </si>
  <si>
    <t>2026-09-04T23:07:14.153459</t>
  </si>
  <si>
    <t>2026-09-04T23:07:14.149436</t>
  </si>
  <si>
    <t>2026-09-04T23:07:14.144523</t>
  </si>
  <si>
    <t>2026-09-04T23:07:14.140185</t>
  </si>
  <si>
    <t>2026-09-04T23:07:14.136157</t>
  </si>
  <si>
    <t>2026-09-04T23:07:14.129090</t>
  </si>
  <si>
    <t>2026-09-04T23:07:14.126648</t>
  </si>
  <si>
    <t>2026-09-04T23:07:14.122352</t>
  </si>
  <si>
    <t>2026-09-04T23:07:14.116366</t>
  </si>
  <si>
    <t>2026-09-04T23:07:14.112508</t>
  </si>
  <si>
    <t>2026-09-04T23:07:14.108558</t>
  </si>
  <si>
    <t>2026-09-04T23:07:14.102350</t>
  </si>
  <si>
    <t>2026-09-04T23:07:14.097902</t>
  </si>
  <si>
    <t>2026-09-04T23:07:14.092740</t>
  </si>
  <si>
    <t>2026-09-04T23:07:14.087837</t>
  </si>
  <si>
    <t>2026-09-04T23:07:14.084489</t>
  </si>
  <si>
    <t>2026-09-04T23:07:14.079589</t>
  </si>
  <si>
    <t>2026-09-04T23:07:14.075329</t>
  </si>
  <si>
    <t>2026-09-04T23:07:14.066568</t>
  </si>
  <si>
    <t>2026-09-04T23:07:14.063232</t>
  </si>
  <si>
    <t>2026-09-04T23:07:14.058736</t>
  </si>
  <si>
    <t>2026-09-04T23:07:14.054187</t>
  </si>
  <si>
    <t>2026-09-04T23:07:14.049557</t>
  </si>
  <si>
    <t>2026-09-04T23:07:14.043949</t>
  </si>
  <si>
    <t>2026-09-04T23:07:14.040030</t>
  </si>
  <si>
    <t>2026-09-04T23:07:14.036616</t>
  </si>
  <si>
    <t>2026-09-04T23:07:14.031392</t>
  </si>
  <si>
    <t>2026-09-04T23:07:14.026763</t>
  </si>
  <si>
    <t>2026-09-04T23:07:14.021667</t>
  </si>
  <si>
    <t>2026-09-04T23:07:14.017193</t>
  </si>
  <si>
    <t>2026-09-04T23:07:14.012310</t>
  </si>
  <si>
    <t>2026-09-04T23:07:14.006654</t>
  </si>
  <si>
    <t>2026-09-04T23:07:14.001223</t>
  </si>
  <si>
    <t>2026-09-04T23:07:13.995487</t>
  </si>
  <si>
    <t>2026-09-04T23:07:13.989400</t>
  </si>
  <si>
    <t>2026-09-04T23:07:13.982065</t>
  </si>
  <si>
    <t>2026-09-04T23:07:13.977078</t>
  </si>
  <si>
    <t>2026-09-04T23:07:13.971985</t>
  </si>
  <si>
    <t>2026-09-04T23:07:13.967102</t>
  </si>
  <si>
    <t>2026-09-04T23:07:13.960995</t>
  </si>
  <si>
    <t>2026-09-04T23:07:13.957779</t>
  </si>
  <si>
    <t>2026-09-04T23:07:13.953821</t>
  </si>
  <si>
    <t>2026-09-04T23:07:13.948443</t>
  </si>
  <si>
    <t>2026-09-04T23:07:13.944555</t>
  </si>
  <si>
    <t>2026-09-04T23:07:13.940687</t>
  </si>
  <si>
    <t>2026-09-04T23:07:13.935624</t>
  </si>
  <si>
    <t>2026-09-04T23:07:13.931330</t>
  </si>
  <si>
    <t>2026-09-04T23:07:13.926317</t>
  </si>
  <si>
    <t>2026-09-04T23:07:13.921502</t>
  </si>
  <si>
    <t>2026-09-04T23:07:13.839800</t>
  </si>
  <si>
    <t>2026-09-04T23:07:13.767185</t>
  </si>
  <si>
    <t>2026-09-04T23:07:13.762101</t>
  </si>
  <si>
    <t>2026-09-04T23:07:13.710727</t>
  </si>
  <si>
    <t>2026-09-04T23:07:13.707110</t>
  </si>
  <si>
    <t>2026-09-04T23:07:13.702743</t>
  </si>
  <si>
    <t>2026-09-04T23:07:13.698362</t>
  </si>
  <si>
    <t>2026-09-04T23:07:13.695142</t>
  </si>
  <si>
    <t>2026-09-04T23:07:13.691011</t>
  </si>
  <si>
    <t>2026-09-04T23:07:13.687811</t>
  </si>
  <si>
    <t>2026-09-04T23:07:13.684503</t>
  </si>
  <si>
    <t>2026-09-04T23:07:13.681785</t>
  </si>
  <si>
    <t>2026-09-04T23:07:13.677983</t>
  </si>
  <si>
    <t>2026-09-04T23:07:13.674491</t>
  </si>
  <si>
    <t>2026-09-04T23:07:13.670209</t>
  </si>
  <si>
    <t>2026-09-04T23:07:13.665942</t>
  </si>
  <si>
    <t>2026-09-04T23:07:13.662086</t>
  </si>
  <si>
    <t>2026-09-04T23:07:13.658377</t>
  </si>
  <si>
    <t>2026-09-04T23:07:13.654313</t>
  </si>
  <si>
    <t>2026-09-04T23:07:13.650580</t>
  </si>
  <si>
    <t>2026-09-04T23:07:13.646637</t>
  </si>
  <si>
    <t>2026-09-04T23:07:13.642365</t>
  </si>
  <si>
    <t>2026-09-04T23:07:13.638506</t>
  </si>
  <si>
    <t>2026-09-04T23:07:13.635319</t>
  </si>
  <si>
    <t>2026-09-04T23:07:13.630705</t>
  </si>
  <si>
    <t>2026-09-04T23:07:13.626987</t>
  </si>
  <si>
    <t>2026-09-04T23:07:13.623272</t>
  </si>
  <si>
    <t>2026-09-04T23:07:13.619485</t>
  </si>
  <si>
    <t>2026-09-04T23:07:13.615495</t>
  </si>
  <si>
    <t>2026-09-04T23:07:13.612851</t>
  </si>
  <si>
    <t>2026-09-04T23:07:13.608558</t>
  </si>
  <si>
    <t>2026-09-04T23:07:13.604415</t>
  </si>
  <si>
    <t>2026-09-04T23:07:13.598081</t>
  </si>
  <si>
    <t>2026-09-04T23:07:13.595343</t>
  </si>
  <si>
    <t>2026-09-04T23:07:13.590993</t>
  </si>
  <si>
    <t>2026-09-04T23:07:13.584813</t>
  </si>
  <si>
    <t>2026-09-04T23:07:13.580504</t>
  </si>
  <si>
    <t>2026-09-04T23:07:13.576681</t>
  </si>
  <si>
    <t>2026-09-04T23:07:13.571794</t>
  </si>
  <si>
    <t>2026-09-04T23:07:13.567952</t>
  </si>
  <si>
    <t>2026-09-04T23:07:13.564167</t>
  </si>
  <si>
    <t>2026-09-04T23:07:13.558869</t>
  </si>
  <si>
    <t>2026-09-04T23:07:13.554499</t>
  </si>
  <si>
    <t>2026-09-04T23:07:13.550995</t>
  </si>
  <si>
    <t>2026-09-04T23:07:13.546856</t>
  </si>
  <si>
    <t>2026-09-04T23:07:13.543298</t>
  </si>
  <si>
    <t>2026-09-04T23:07:13.538230</t>
  </si>
  <si>
    <t>2026-09-04T23:07:13.535267</t>
  </si>
  <si>
    <t>2026-09-04T23:07:13.530091</t>
  </si>
  <si>
    <t>2026-09-04T23:07:13.527437</t>
  </si>
  <si>
    <t>2026-09-04T23:07:13.522685</t>
  </si>
  <si>
    <t>2026-09-04T23:07:13.514345</t>
  </si>
  <si>
    <t>2026-09-04T23:07:13.508612</t>
  </si>
  <si>
    <t>2026-09-04T23:07:13.503338</t>
  </si>
  <si>
    <t>2026-09-04T23:07:13.499111</t>
  </si>
  <si>
    <t>2026-09-04T23:07:13.495905</t>
  </si>
  <si>
    <t>2026-09-04T23:07:13.491473</t>
  </si>
  <si>
    <t>2026-09-04T23:07:13.488295</t>
  </si>
  <si>
    <t>2026-09-04T23:07:13.483393</t>
  </si>
  <si>
    <t>2026-09-04T23:07:13.480198</t>
  </si>
  <si>
    <t>2026-09-04T23:07:13.476278</t>
  </si>
  <si>
    <t>2026-09-04T23:07:13.473079</t>
  </si>
  <si>
    <t>2026-09-04T23:07:13.469291</t>
  </si>
  <si>
    <t>2026-09-04T23:07:13.465585</t>
  </si>
  <si>
    <t>2026-09-04T23:07:13.461860</t>
  </si>
  <si>
    <t>2026-09-04T23:07:13.458112</t>
  </si>
  <si>
    <t>2026-09-04T23:07:13.453318</t>
  </si>
  <si>
    <t>2026-09-04T23:07:13.447724</t>
  </si>
  <si>
    <t>2026-09-04T23:07:13.444690</t>
  </si>
  <si>
    <t>2026-09-04T23:07:13.441342</t>
  </si>
  <si>
    <t>2026-09-04T23:07:13.435079</t>
  </si>
  <si>
    <t>2026-09-04T23:07:13.432406</t>
  </si>
  <si>
    <t>2026-09-04T23:07:13.428804</t>
  </si>
  <si>
    <t>2026-09-04T23:07:13.424403</t>
  </si>
  <si>
    <t>2026-09-04T23:07:13.420292</t>
  </si>
  <si>
    <t>2026-09-04T23:07:13.417937</t>
  </si>
  <si>
    <t>2026-09-04T23:07:13.415002</t>
  </si>
  <si>
    <t>2026-09-04T23:07:13.411746</t>
  </si>
  <si>
    <t>2026-09-04T23:07:13.408477</t>
  </si>
  <si>
    <t>2026-09-04T23:07:13.405158</t>
  </si>
  <si>
    <t>2026-09-04T23:07:13.401410</t>
  </si>
  <si>
    <t>2026-09-04T23:07:13.398550</t>
  </si>
  <si>
    <t>2026-09-04T23:07:13.395378</t>
  </si>
  <si>
    <t>2026-09-04T23:07:13.392220</t>
  </si>
  <si>
    <t>2026-09-04T23:07:13.388488</t>
  </si>
  <si>
    <t>2026-09-04T23:07:13.369224</t>
  </si>
  <si>
    <t>2026-09-04T23:07:13.365487</t>
  </si>
  <si>
    <t>2026-09-04T23:07:13.362688</t>
  </si>
  <si>
    <t>2026-09-04T23:07:13.359321</t>
  </si>
  <si>
    <t>2026-09-04T23:07:13.355445</t>
  </si>
  <si>
    <t>2026-09-04T23:07:13.351496</t>
  </si>
  <si>
    <t>2026-09-04T23:07:13.348177</t>
  </si>
  <si>
    <t>2026-09-04T23:07:13.344757</t>
  </si>
  <si>
    <t>2026-09-04T23:07:13.340339</t>
  </si>
  <si>
    <t>2026-09-04T23:07:13.336737</t>
  </si>
  <si>
    <t>2026-09-04T23:07:13.332980</t>
  </si>
  <si>
    <t>2026-09-04T23:07:13.329064</t>
  </si>
  <si>
    <t>2026-09-04T23:07:13.324802</t>
  </si>
  <si>
    <t>2026-09-04T23:07:13.284688</t>
  </si>
  <si>
    <t>2026-09-04T23:07:13.280874</t>
  </si>
  <si>
    <t>2026-09-04T23:07:13.276979</t>
  </si>
  <si>
    <t>2026-09-04T23:07:13.273003</t>
  </si>
  <si>
    <t>2026-09-04T23:07:13.268788</t>
  </si>
  <si>
    <t>2026-09-04T23:07:13.265001</t>
  </si>
  <si>
    <t>2026-09-04T23:07:13.261401</t>
  </si>
  <si>
    <t>2026-09-04T23:07:13.258667</t>
  </si>
  <si>
    <t>2026-09-04T23:07:13.238567</t>
  </si>
  <si>
    <t>2026-09-04T23:07:13.234216</t>
  </si>
  <si>
    <t>2026-09-04T23:07:13.230897</t>
  </si>
  <si>
    <t>2026-09-04T23:07:13.227136</t>
  </si>
  <si>
    <t>2026-09-04T23:07:13.207132</t>
  </si>
  <si>
    <t>2026-09-04T23:07:13.203823</t>
  </si>
  <si>
    <t>2026-09-04T23:07:13.199766</t>
  </si>
  <si>
    <t>2026-09-04T23:07:13.195887</t>
  </si>
  <si>
    <t>2026-09-04T23:07:13.191589</t>
  </si>
  <si>
    <t>2026-09-04T23:07:13.188180</t>
  </si>
  <si>
    <t>2026-09-04T23:07:13.184291</t>
  </si>
  <si>
    <t>2026-09-04T23:07:13.180354</t>
  </si>
  <si>
    <t>2026-09-04T23:07:13.176620</t>
  </si>
  <si>
    <t>2026-09-04T23:07:13.172404</t>
  </si>
  <si>
    <t>2026-09-04T23:07:13.167856</t>
  </si>
  <si>
    <t>2026-09-04T23:07:13.162683</t>
  </si>
  <si>
    <t>2026-09-04T23:07:13.158593</t>
  </si>
  <si>
    <t>2026-09-04T23:07:13.154609</t>
  </si>
  <si>
    <t>2026-09-04T23:07:13.148908</t>
  </si>
  <si>
    <t>2026-09-04T23:07:13.144488</t>
  </si>
  <si>
    <t>2026-09-04T23:07:13.140540</t>
  </si>
  <si>
    <t>2026-09-04T23:07:13.136877</t>
  </si>
  <si>
    <t>2026-09-04T23:07:13.132916</t>
  </si>
  <si>
    <t>2026-09-04T23:07:13.128426</t>
  </si>
  <si>
    <t>2026-09-04T23:07:13.123916</t>
  </si>
  <si>
    <t>2026-09-04T23:07:13.119559</t>
  </si>
  <si>
    <t>2026-09-04T23:07:13.115168</t>
  </si>
  <si>
    <t>2026-09-04T23:07:13.078680</t>
  </si>
  <si>
    <t>2026-09-04T23:07:13.073325</t>
  </si>
  <si>
    <t>2026-09-04T23:07:13.070147</t>
  </si>
  <si>
    <t>2026-09-04T23:07:13.067906</t>
  </si>
  <si>
    <t>2026-09-04T23:07:13.063031</t>
  </si>
  <si>
    <t>2026-09-04T23:07:13.057671</t>
  </si>
  <si>
    <t>2026-09-04T23:07:13.050183</t>
  </si>
  <si>
    <t>2026-09-04T23:07:13.045099</t>
  </si>
  <si>
    <t>2026-09-04T23:07:13.040054</t>
  </si>
  <si>
    <t>2026-09-04T23:07:13.035665</t>
  </si>
  <si>
    <t>2026-09-04T23:07:13.030862</t>
  </si>
  <si>
    <t>2026-09-04T23:07:13.026711</t>
  </si>
  <si>
    <t>2026-09-04T23:07:13.021643</t>
  </si>
  <si>
    <t>2026-09-04T23:07:13.016706</t>
  </si>
  <si>
    <t>2026-09-04T23:07:13.012081</t>
  </si>
  <si>
    <t>2026-09-04T23:07:13.006487</t>
  </si>
  <si>
    <t>2026-09-04T23:07:13.001787</t>
  </si>
  <si>
    <t>2026-09-04T23:07:12.997398</t>
  </si>
  <si>
    <t>2026-09-04T23:07:12.992449</t>
  </si>
  <si>
    <t>2026-09-04T23:07:12.986714</t>
  </si>
  <si>
    <t>2026-09-04T23:07:12.983414</t>
  </si>
  <si>
    <t>2026-09-04T23:07:12.978571</t>
  </si>
  <si>
    <t>2026-09-04T23:07:12.972145</t>
  </si>
  <si>
    <t>2026-09-04T23:07:12.966113</t>
  </si>
  <si>
    <t>2026-09-04T23:07:12.958179</t>
  </si>
  <si>
    <t>2026-09-04T23:07:12.949749</t>
  </si>
  <si>
    <t>2026-09-04T23:07:12.926437</t>
  </si>
  <si>
    <t>2026-09-04T23:07:12.908710</t>
  </si>
  <si>
    <t>2026-09-04T23:07:12.899661</t>
  </si>
  <si>
    <t>2026-09-04T23:07:12.894354</t>
  </si>
  <si>
    <t>2026-09-04T23:07:12.886960</t>
  </si>
  <si>
    <t>2026-09-04T18:29:26.861896</t>
  </si>
  <si>
    <t>2026-09-04T18:29:07.584676</t>
  </si>
  <si>
    <t>2026-09-04T18:25:52.171299</t>
  </si>
  <si>
    <t>2026-09-04T18:25:49.513931</t>
  </si>
  <si>
    <t>2026-09-04T18:25:13.307674</t>
  </si>
  <si>
    <t>2026-09-04T18:25:10.249026</t>
  </si>
  <si>
    <t>2026-09-04T18:24:42.466141</t>
  </si>
  <si>
    <t>2026-09-04T18:23:09.295838</t>
  </si>
  <si>
    <t>2026-09-04T18:23:06.145419</t>
  </si>
  <si>
    <t>2026-09-04T18:22:13.645251</t>
  </si>
  <si>
    <t>2026-09-04T18:17:35.771154</t>
  </si>
  <si>
    <t>2026-09-04T18:12:55.279922</t>
  </si>
  <si>
    <t>2026-09-04T18:11:56.042538</t>
  </si>
  <si>
    <t>2026-09-04T17:00:56.418356</t>
  </si>
  <si>
    <t>2026-09-04T16:49:07.802593</t>
  </si>
  <si>
    <t>2026-09-04T16:47:40.124054</t>
  </si>
  <si>
    <t>2026-09-04T16:46:30.399363</t>
  </si>
  <si>
    <t>2026-09-04T16:45:52.171215</t>
  </si>
  <si>
    <t>2026-09-04T16:44:31.186202</t>
  </si>
  <si>
    <t>2026-09-04T16:38:09.190359</t>
  </si>
  <si>
    <t>2026-09-04T16:36:00.144723</t>
  </si>
  <si>
    <t>2026-09-04T16:29:47.734699</t>
  </si>
  <si>
    <t>2026-09-04T16:29:45.593745</t>
  </si>
  <si>
    <t>2026-09-04T16:29:44.311287</t>
  </si>
  <si>
    <t>2026-09-04T16:29:43.059099</t>
  </si>
  <si>
    <t>2026-09-04T16:29:41.557993</t>
  </si>
  <si>
    <t>2026-09-04T16:29:39.434879</t>
  </si>
  <si>
    <t>2026-09-04T16:29:36.774550</t>
  </si>
  <si>
    <t>2026-09-04T12:52:27.765877</t>
  </si>
  <si>
    <t>2026-09-04T12:52:25.715206</t>
  </si>
  <si>
    <t>2026-09-04T12:35:04.616911</t>
  </si>
  <si>
    <t>2026-09-04T12:33:48.425800</t>
  </si>
  <si>
    <t>2026-09-04T12:32:38.251928</t>
  </si>
  <si>
    <t>2026-09-04T12:32:01.353012</t>
  </si>
  <si>
    <t>2026-09-04T12:31:04.432386</t>
  </si>
  <si>
    <t>2026-09-04T12:23:15.140135</t>
  </si>
  <si>
    <t>2026-09-04T12:21:42.082296</t>
  </si>
  <si>
    <t>2026-09-04T12:09:59.354025</t>
  </si>
  <si>
    <t>2026-09-04T12:07:45.513077</t>
  </si>
  <si>
    <t>2026-09-04T12:07:13.507529</t>
  </si>
  <si>
    <t>2026-09-04T12:06:07.524937</t>
  </si>
  <si>
    <t>2026-09-04T12:05:30.591776</t>
  </si>
  <si>
    <t>2026-09-04T12:05:16.710147</t>
  </si>
  <si>
    <t>2026-09-04T12:05:15.533807</t>
  </si>
  <si>
    <t>2026-09-04T12:05:14.215767</t>
  </si>
  <si>
    <t>2026-09-04T12:05:12.974009</t>
  </si>
  <si>
    <t>2026-09-04T12:05:09.986328</t>
  </si>
  <si>
    <t>2026-09-04T12:05:08.680876</t>
  </si>
  <si>
    <t>2026-09-04T12:05:07.404214</t>
  </si>
  <si>
    <t>2026-09-04T12:05:06.040281</t>
  </si>
  <si>
    <t>2026-09-04T12:05:02.350527</t>
  </si>
  <si>
    <t>2026-09-04T12:04:59.712017</t>
  </si>
  <si>
    <t>2026-09-04T12:04:58.090231</t>
  </si>
  <si>
    <t>2026-09-04T12:04:56.802162</t>
  </si>
  <si>
    <t>2026-09-04T12:04:55.462641</t>
  </si>
  <si>
    <t>2026-09-04T12:04:39.449838</t>
  </si>
  <si>
    <t>2026-09-04T12:04:38.164957</t>
  </si>
  <si>
    <t>2026-09-04T12:04:32.540337</t>
  </si>
  <si>
    <t>2026-09-04T12:04:31.158584</t>
  </si>
  <si>
    <t>2026-09-04T12:04:24.631948</t>
  </si>
  <si>
    <t>2026-09-04T12:04:21.028327</t>
  </si>
  <si>
    <t>2026-09-04T12:04:19.646721</t>
  </si>
  <si>
    <t>2026-09-04T12:04:18.299555</t>
  </si>
  <si>
    <t>2026-09-04T12:04:10.689115</t>
  </si>
  <si>
    <t>2026-09-04T12:04:09.154411</t>
  </si>
  <si>
    <t>2026-09-04T12:04:06.645944</t>
  </si>
  <si>
    <t>2026-09-04T12:03:58.503309</t>
  </si>
  <si>
    <t>2026-09-04T12:03:52.435747</t>
  </si>
  <si>
    <t>2026-09-04T12:03:51.189370</t>
  </si>
  <si>
    <t>2026-09-04T12:03:49.888539</t>
  </si>
  <si>
    <t>2026-09-04T12:03:44.484774</t>
  </si>
  <si>
    <t>2026-09-04T12:03:22.010430</t>
  </si>
  <si>
    <t>2026-09-04T12:03:08.309684</t>
  </si>
  <si>
    <t>2026-09-04T12:03:06.976134</t>
  </si>
  <si>
    <t>2026-09-04T12:03:05.512472</t>
  </si>
  <si>
    <t>2026-09-04T12:03:01.644864</t>
  </si>
  <si>
    <t>2026-09-04T12:02:59.945975</t>
  </si>
  <si>
    <t>2026-09-04T12:02:41.512029</t>
  </si>
  <si>
    <t>2026-09-04T12:02:37.602822</t>
  </si>
  <si>
    <t>2026-09-04T12:01:55.448773</t>
  </si>
  <si>
    <t>2026-09-04T12:01:52.675620</t>
  </si>
  <si>
    <t>2026-09-04T12:01:44.086359</t>
  </si>
  <si>
    <t>2026-09-04T12:01:42.813625</t>
  </si>
  <si>
    <t>2026-09-04T12:01:33.338027</t>
  </si>
  <si>
    <t>2026-09-04T12:01:10.690685</t>
  </si>
  <si>
    <t>2026-09-04T12:01:07.966574</t>
  </si>
  <si>
    <t>2026-09-04T12:00:41.083861</t>
  </si>
  <si>
    <t>2026-09-04T12:00:39.847638</t>
  </si>
  <si>
    <t>2026-09-04T12:00:38.612904</t>
  </si>
  <si>
    <t>2026-09-04T12:00:37.495671</t>
  </si>
  <si>
    <t>2026-09-04T12:00:36.378711</t>
  </si>
  <si>
    <t>2026-09-04T12:00:35.083785</t>
  </si>
  <si>
    <t>2026-09-04T12:00:33.714110</t>
  </si>
  <si>
    <t>2026-09-04T12:00:29.871435</t>
  </si>
  <si>
    <t>2026-09-04T12:00:27.160228</t>
  </si>
  <si>
    <t>2026-09-04T12:00:24.347281</t>
  </si>
  <si>
    <t>2026-09-04T12:00:20.569704</t>
  </si>
  <si>
    <t>2026-09-04T11:59:46.793207</t>
  </si>
  <si>
    <t>2026-09-04T11:59:44.057588</t>
  </si>
  <si>
    <t>2026-09-04T11:59:42.758157</t>
  </si>
  <si>
    <t>2026-09-04T11:59:20.383359</t>
  </si>
  <si>
    <t>2026-09-04T11:58:45.486560</t>
  </si>
  <si>
    <t>2026-09-04T11:58:38.217211</t>
  </si>
  <si>
    <t>2026-09-04T11:57:24.165120</t>
  </si>
  <si>
    <t>2026-09-04T11:57:15.762470</t>
  </si>
  <si>
    <t>2026-09-04T11:54:00.681676</t>
  </si>
  <si>
    <t>2026-09-04T11:53:59.429296</t>
  </si>
  <si>
    <t>2026-09-04T11:53:58.113294</t>
  </si>
  <si>
    <t>2026-09-04T11:53:49.446795</t>
  </si>
  <si>
    <t>2026-09-04T11:53:48.047337</t>
  </si>
  <si>
    <t>2026-09-04T11:53:46.728838</t>
  </si>
  <si>
    <t>2026-09-04T11:53:36.502470</t>
  </si>
  <si>
    <t>2026-09-04T11:53:34.393890</t>
  </si>
  <si>
    <t>2026-09-04T11:53:33.218640</t>
  </si>
  <si>
    <t>2026-09-04T11:53:29.871961</t>
  </si>
  <si>
    <t>2026-09-04T11:53:27.582836</t>
  </si>
  <si>
    <t>2026-09-04T11:53:26.343278</t>
  </si>
  <si>
    <t>2026-09-04T11:53:25.155774</t>
  </si>
  <si>
    <t>2026-09-04T11:53:23.942929</t>
  </si>
  <si>
    <t>2026-09-04T11:53:22.931080</t>
  </si>
  <si>
    <t>2026-09-04T11:53:21.839220</t>
  </si>
  <si>
    <t>2026-09-04T11:53:19.858726</t>
  </si>
  <si>
    <t>2026-09-04T11:53:18.553325</t>
  </si>
  <si>
    <t>2026-09-04T11:53:17.389684</t>
  </si>
  <si>
    <t>2026-09-04T11:53:16.130437</t>
  </si>
  <si>
    <t>2026-09-04T11:53:15.011211</t>
  </si>
  <si>
    <t>2026-09-04T11:53:13.827513</t>
  </si>
  <si>
    <t>2026-09-04T11:53:11.240799</t>
  </si>
  <si>
    <t>2026-09-04T11:53:07.935847</t>
  </si>
  <si>
    <t>2026-09-04T11:53:06.741072</t>
  </si>
  <si>
    <t>2026-09-04T11:53:05.748642</t>
  </si>
  <si>
    <t>2026-09-04T11:53:04.672482</t>
  </si>
  <si>
    <t>2026-09-04T11:53:03.416890</t>
  </si>
  <si>
    <t>2026-09-04T11:52:59.829697</t>
  </si>
  <si>
    <t>2026-09-04T11:52:58.764654</t>
  </si>
  <si>
    <t>2026-09-04T11:52:55.078905</t>
  </si>
  <si>
    <t>2026-09-04T11:52:53.564657</t>
  </si>
  <si>
    <t>2026-09-04T11:52:52.142200</t>
  </si>
  <si>
    <t>2026-09-04T11:52:44.135650</t>
  </si>
  <si>
    <t>2026-09-04T11:52:34.031710</t>
  </si>
  <si>
    <t>2026-09-04T11:52:30.969555</t>
  </si>
  <si>
    <t>2026-09-04T11:52:28.463216</t>
  </si>
  <si>
    <t>2026-09-04T11:52:27.519509</t>
  </si>
  <si>
    <t>2026-09-04T11:52:26.434943</t>
  </si>
  <si>
    <t>2026-09-04T11:52:25.172422</t>
  </si>
  <si>
    <t>2026-09-04T11:52:24.293858</t>
  </si>
  <si>
    <t>2026-09-04T11:52:23.042624</t>
  </si>
  <si>
    <t>2026-09-04T11:52:21.876864</t>
  </si>
  <si>
    <t>2026-09-04T11:52:20.757997</t>
  </si>
  <si>
    <t>2026-09-04T11:52:19.752158</t>
  </si>
  <si>
    <t>2026-09-04T11:52:18.784149</t>
  </si>
  <si>
    <t>2026-09-04T11:52:17.542819</t>
  </si>
  <si>
    <t>2026-09-04T11:51:47.405828</t>
  </si>
  <si>
    <t>2026-09-04T11:51:46.214417</t>
  </si>
  <si>
    <t>2026-09-04T11:51:45.205495</t>
  </si>
  <si>
    <t>2026-09-04T11:51:42.959605</t>
  </si>
  <si>
    <t>2026-09-04T11:51:41.620289</t>
  </si>
  <si>
    <t>2026-09-04T11:51:40.616190</t>
  </si>
  <si>
    <t>2026-09-04T11:51:39.354716</t>
  </si>
  <si>
    <t>2026-09-04T11:51:37.999463</t>
  </si>
  <si>
    <t>2026-09-04T11:51:28.674018</t>
  </si>
  <si>
    <t>2026-09-04T11:51:26.528500</t>
  </si>
  <si>
    <t>2026-09-04T11:51:25.499546</t>
  </si>
  <si>
    <t>2026-09-04T11:51:23.049714</t>
  </si>
  <si>
    <t>2026-09-04T11:51:18.662150</t>
  </si>
  <si>
    <t>2026-09-04T11:51:17.397064</t>
  </si>
  <si>
    <t>2026-09-04T11:51:16.241586</t>
  </si>
  <si>
    <t>2026-09-04T11:51:15.153659</t>
  </si>
  <si>
    <t>2026-09-04T11:51:13.896215</t>
  </si>
  <si>
    <t>2026-09-04T11:51:12.799008</t>
  </si>
  <si>
    <t>2026-09-04T11:51:11.644489</t>
  </si>
  <si>
    <t>2026-09-04T11:51:10.623925</t>
  </si>
  <si>
    <t>2026-09-04T11:51:09.574883</t>
  </si>
  <si>
    <t>2026-09-04T11:51:08.211461</t>
  </si>
  <si>
    <t>2026-09-04T11:51:06.905512</t>
  </si>
  <si>
    <t>2026-09-04T11:51:05.758676</t>
  </si>
  <si>
    <t>2026-09-04T11:51:04.437729</t>
  </si>
  <si>
    <t>2026-09-04T11:51:03.299968</t>
  </si>
  <si>
    <t>2026-09-04T11:51:02.101111</t>
  </si>
  <si>
    <t>2026-09-04T11:51:01.126985</t>
  </si>
  <si>
    <t>2026-09-04T11:50:59.678486</t>
  </si>
  <si>
    <t>2026-09-04T11:50:58.301547</t>
  </si>
  <si>
    <t>2026-09-04T11:50:57.094175</t>
  </si>
  <si>
    <t>2026-09-04T11:50:55.935998</t>
  </si>
  <si>
    <t>2026-09-04T11:50:54.977357</t>
  </si>
  <si>
    <t>2026-09-04T11:50:53.753628</t>
  </si>
  <si>
    <t>2026-09-04T11:50:51.053888</t>
  </si>
  <si>
    <t>2026-09-04T11:50:49.336914</t>
  </si>
  <si>
    <t>2026-09-04T11:50:48.052058</t>
  </si>
  <si>
    <t>2026-09-04T11:50:46.744977</t>
  </si>
  <si>
    <t>2026-09-04T11:50:45.499642</t>
  </si>
  <si>
    <t>2026-09-04T11:50:44.465531</t>
  </si>
  <si>
    <t>2026-09-04T11:50:43.325848</t>
  </si>
  <si>
    <t>2026-09-04T11:50:42.095125</t>
  </si>
  <si>
    <t>2026-09-04T11:50:40.946592</t>
  </si>
  <si>
    <t>2026-09-04T11:50:39.730580</t>
  </si>
  <si>
    <t>2026-09-04T11:50:38.600562</t>
  </si>
  <si>
    <t>2026-09-04T11:50:37.242536</t>
  </si>
  <si>
    <t>2026-09-04T11:50:35.986206</t>
  </si>
  <si>
    <t>2026-09-04T11:50:34.616443</t>
  </si>
  <si>
    <t>2026-09-04T11:50:31.405227</t>
  </si>
  <si>
    <t>2026-09-04T11:50:29.037855</t>
  </si>
  <si>
    <t>2026-09-04T11:50:27.848662</t>
  </si>
  <si>
    <t>2026-09-04T11:50:24.300959</t>
  </si>
  <si>
    <t>2026-09-04T11:50:23.244296</t>
  </si>
  <si>
    <t>2026-09-04T11:50:22.152984</t>
  </si>
  <si>
    <t>2026-09-04T11:50:20.826718</t>
  </si>
  <si>
    <t>2026-09-04T11:50:18.516385</t>
  </si>
  <si>
    <t>2026-09-04T11:50:17.159014</t>
  </si>
  <si>
    <t>2026-09-04T11:50:15.889989</t>
  </si>
  <si>
    <t>2026-09-04T11:50:14.725147</t>
  </si>
  <si>
    <t>2026-09-04T11:50:13.465397</t>
  </si>
  <si>
    <t>2026-09-04T11:50:12.323501</t>
  </si>
  <si>
    <t>2026-09-04T11:50:11.302131</t>
  </si>
  <si>
    <t>2026-09-04T11:50:10.246571</t>
  </si>
  <si>
    <t>2026-09-04T11:50:09.230163</t>
  </si>
  <si>
    <t>2026-09-04T11:50:08.062296</t>
  </si>
  <si>
    <t>2026-09-04T11:50:06.879776</t>
  </si>
  <si>
    <t>2026-09-04T11:50:05.631908</t>
  </si>
  <si>
    <t>2026-09-04T11:50:03.337795</t>
  </si>
  <si>
    <t>2026-09-04T11:49:58.126556</t>
  </si>
  <si>
    <t>2026-09-04T11:49:56.705086</t>
  </si>
  <si>
    <t>2026-09-04T11:49:54.415358</t>
  </si>
  <si>
    <t>2026-09-04T11:49:52.300650</t>
  </si>
  <si>
    <t>2026-09-04T11:49:51.296836</t>
  </si>
  <si>
    <t>2026-09-04T11:49:21.402904</t>
  </si>
  <si>
    <t>2026-09-04T11:49:17.963072</t>
  </si>
  <si>
    <t>2026-09-04T11:49:14.642812</t>
  </si>
  <si>
    <t>2026-09-04T11:49:13.469458</t>
  </si>
  <si>
    <t>2026-09-04T11:49:12.441820</t>
  </si>
  <si>
    <t>2026-09-04T11:49:11.142653</t>
  </si>
  <si>
    <t>2026-09-04T11:49:09.835355</t>
  </si>
  <si>
    <t>2026-09-04T11:49:08.790024</t>
  </si>
  <si>
    <t>2026-09-04T11:49:07.678278</t>
  </si>
  <si>
    <t>2026-09-04T11:49:06.535163</t>
  </si>
  <si>
    <t>2026-09-04T11:49:05.359319</t>
  </si>
  <si>
    <t>2026-09-04T11:49:00.509948</t>
  </si>
  <si>
    <t>2026-09-04T11:48:59.448068</t>
  </si>
  <si>
    <t>2026-09-04T11:48:56.103391</t>
  </si>
  <si>
    <t>2026-09-04T11:48:54.881569</t>
  </si>
  <si>
    <t>2026-09-04T11:48:53.414548</t>
  </si>
  <si>
    <t>2026-09-04T11:48:52.194925</t>
  </si>
  <si>
    <t>2026-09-04T11:48:51.070014</t>
  </si>
  <si>
    <t>2026-09-04T11:48:50.051334</t>
  </si>
  <si>
    <t>2026-09-04T11:48:48.641291</t>
  </si>
  <si>
    <t>2026-09-04T11:48:45.134250</t>
  </si>
  <si>
    <t>2026-09-04T11:48:43.825801</t>
  </si>
  <si>
    <t>2026-09-04T11:48:42.599682</t>
  </si>
  <si>
    <t>2026-09-04T11:48:38.668156</t>
  </si>
  <si>
    <t>2026-09-04T11:48:35.060060</t>
  </si>
  <si>
    <t>2026-09-04T11:48:32.743661</t>
  </si>
  <si>
    <t>2026-09-04T11:48:31.193284</t>
  </si>
  <si>
    <t>2026-09-04T11:48:26.617725</t>
  </si>
  <si>
    <t>2026-09-04T08:59:35.191879</t>
  </si>
  <si>
    <t>2026-09-04T08:59:32.956370</t>
  </si>
  <si>
    <t>2026-09-04T08:59:30.741562</t>
  </si>
  <si>
    <t>2026-09-04T08:59:23.118834</t>
  </si>
  <si>
    <t>2026-09-04T08:59:18.150731</t>
  </si>
  <si>
    <t>2026-09-04T08:59:15.689052</t>
  </si>
  <si>
    <t>2026-09-04T08:59:03.433520</t>
  </si>
  <si>
    <t>2026-09-04T08:59:01.075716</t>
  </si>
  <si>
    <t>2026-09-04T08:58:58.679916</t>
  </si>
  <si>
    <t>2026-09-04T08:58:56.157566</t>
  </si>
  <si>
    <t>2026-09-04T08:58:53.807594</t>
  </si>
  <si>
    <t>2026-09-04T08:58:40.045558</t>
  </si>
  <si>
    <t>2026-09-04T08:58:34.935897</t>
  </si>
  <si>
    <t>2026-09-04T08:58:12.534991</t>
  </si>
  <si>
    <t>2026-09-04T08:58:03.719965</t>
  </si>
  <si>
    <t>2026-09-04T08:57:58.808599</t>
  </si>
  <si>
    <t>2026-09-04T08:57:51.175286</t>
  </si>
  <si>
    <t>2026-09-04T08:57:46.101905</t>
  </si>
  <si>
    <t>2026-09-04T08:57:43.741390</t>
  </si>
  <si>
    <t>2026-09-04T08:57:41.049355</t>
  </si>
  <si>
    <t>2026-09-04T08:57:37.803813</t>
  </si>
  <si>
    <t>2026-09-04T08:57:36.338955</t>
  </si>
  <si>
    <t>2026-09-04T08:57:34.497057</t>
  </si>
  <si>
    <t>2026-09-04T08:57:30.208746</t>
  </si>
  <si>
    <t>2026-09-04T08:57:27.629280</t>
  </si>
  <si>
    <t>2026-09-04T08:57:25.329686</t>
  </si>
  <si>
    <t>2026-09-04T08:57:23.018435</t>
  </si>
  <si>
    <t>2026-09-04T08:57:13.584501</t>
  </si>
  <si>
    <t>2026-09-04T08:57:11.633768</t>
  </si>
  <si>
    <t>2026-09-04T08:57:09.585814</t>
  </si>
  <si>
    <t>2026-09-04T08:57:05.128172</t>
  </si>
  <si>
    <t>2026-09-04T08:57:02.690507</t>
  </si>
  <si>
    <t>2026-09-04T08:57:00.014386</t>
  </si>
  <si>
    <t>2026-09-04T08:56:57.256705</t>
  </si>
  <si>
    <t>2026-09-04T08:56:54.714165</t>
  </si>
  <si>
    <t>2026-09-04T08:56:52.273893</t>
  </si>
  <si>
    <t>2026-09-04T08:56:46.984445</t>
  </si>
  <si>
    <t>2026-09-04T08:56:44.349082</t>
  </si>
  <si>
    <t>2026-09-04T08:56:42.013082</t>
  </si>
  <si>
    <t>2026-09-04T08:56:39.862306</t>
  </si>
  <si>
    <t>2026-09-04T08:56:37.422310</t>
  </si>
  <si>
    <t>2026-09-04T08:56:34.908930</t>
  </si>
  <si>
    <t>2026-09-04T08:56:32.840141</t>
  </si>
  <si>
    <t>2026-09-04T08:56:30.576734</t>
  </si>
  <si>
    <t>2026-09-04T08:56:28.000406</t>
  </si>
  <si>
    <t>2026-09-04T08:56:25.820115</t>
  </si>
  <si>
    <t>2026-09-04T08:56:23.745114</t>
  </si>
  <si>
    <t>2026-09-04T08:56:18.631661</t>
  </si>
  <si>
    <t>2026-09-04T08:56:16.339292</t>
  </si>
  <si>
    <t>2026-09-04T08:56:13.639084</t>
  </si>
  <si>
    <t>2026-09-04T08:56:10.825587</t>
  </si>
  <si>
    <t>2026-09-04T08:55:59.359344</t>
  </si>
  <si>
    <t>2026-09-04T08:55:55.931989</t>
  </si>
  <si>
    <t>2026-09-04T08:55:45.196956</t>
  </si>
  <si>
    <t>2026-09-04T08:55:42.516492</t>
  </si>
  <si>
    <t>2026-09-04T08:55:39.727688</t>
  </si>
  <si>
    <t>2026-09-04T08:55:34.061315</t>
  </si>
  <si>
    <t>2026-09-04T08:55:31.471727</t>
  </si>
  <si>
    <t>2026-09-04T08:54:50.294428</t>
  </si>
  <si>
    <t>2026-09-04T08:54:42.611198</t>
  </si>
  <si>
    <t>2026-09-04T08:54:39.518002</t>
  </si>
  <si>
    <t>2026-09-04T08:54:16.034376</t>
  </si>
  <si>
    <t>2026-09-04T08:54:14.153284</t>
  </si>
  <si>
    <t>2026-09-04T08:54:12.275375</t>
  </si>
  <si>
    <t>2026-09-04T08:54:10.154473</t>
  </si>
  <si>
    <t>2026-09-04T08:54:07.661188</t>
  </si>
  <si>
    <t>2026-09-04T08:54:04.864548</t>
  </si>
  <si>
    <t>2026-09-04T08:54:02.159027</t>
  </si>
  <si>
    <t>2026-09-04T08:53:59.174267</t>
  </si>
  <si>
    <t>2026-09-04T08:53:56.041752</t>
  </si>
  <si>
    <t>2026-09-04T08:53:53.205025</t>
  </si>
  <si>
    <t>2026-09-04T08:53:40.950375</t>
  </si>
  <si>
    <t>2026-09-04T08:53:38.086545</t>
  </si>
  <si>
    <t>2026-09-04T08:53:35.389663</t>
  </si>
  <si>
    <t>2026-09-04T08:53:32.551103</t>
  </si>
  <si>
    <t>2026-09-04T08:53:22.713210</t>
  </si>
  <si>
    <t>2026-09-04T08:53:17.486613</t>
  </si>
  <si>
    <t>2026-09-04T08:53:14.087618</t>
  </si>
  <si>
    <t>2026-09-04T08:53:11.069866</t>
  </si>
  <si>
    <t>2026-09-04T08:52:31.534584</t>
  </si>
  <si>
    <t>2026-09-04T08:52:28.877208</t>
  </si>
  <si>
    <t>2026-09-04T08:52:10.079136</t>
  </si>
  <si>
    <t>2026-09-04T08:52:07.489189</t>
  </si>
  <si>
    <t>2026-09-04T08:51:51.668629</t>
  </si>
  <si>
    <t>2026-09-04T08:51:38.016852</t>
  </si>
  <si>
    <t>2026-09-04T08:51:35.351149</t>
  </si>
  <si>
    <t>2026-09-04T08:51:20.605273</t>
  </si>
  <si>
    <t>2026-09-04T08:51:15.667173</t>
  </si>
  <si>
    <t>2026-09-04T08:51:13.058799</t>
  </si>
  <si>
    <t>2026-09-04T08:51:11.084200</t>
  </si>
  <si>
    <t>2026-09-04T08:51:08.471920</t>
  </si>
  <si>
    <t>2026-09-04T08:51:05.852187</t>
  </si>
  <si>
    <t>2026-09-04T08:51:03.345614</t>
  </si>
  <si>
    <t>2026-09-04T08:51:00.748638</t>
  </si>
  <si>
    <t>2026-09-04T08:50:57.910025</t>
  </si>
  <si>
    <t>2026-09-04T08:50:55.215848</t>
  </si>
  <si>
    <t>2026-09-04T08:50:52.244645</t>
  </si>
  <si>
    <t>2026-09-04T08:50:49.415403</t>
  </si>
  <si>
    <t>2026-09-04T08:50:46.653602</t>
  </si>
  <si>
    <t>2026-09-04T08:50:43.991412</t>
  </si>
  <si>
    <t>2026-09-04T08:50:09.936469</t>
  </si>
  <si>
    <t>2026-09-04T08:50:07.116318</t>
  </si>
  <si>
    <t>2026-09-04T08:50:04.425038</t>
  </si>
  <si>
    <t>2026-09-04T08:50:01.923195</t>
  </si>
  <si>
    <t>2026-09-04T08:49:59.292425</t>
  </si>
  <si>
    <t>2026-09-04T08:49:56.598245</t>
  </si>
  <si>
    <t>2026-09-04T08:49:46.147546</t>
  </si>
  <si>
    <t>2026-09-04T08:49:43.810006</t>
  </si>
  <si>
    <t>2026-09-04T08:49:40.221373</t>
  </si>
  <si>
    <t>2026-09-04T08:49:37.414562</t>
  </si>
  <si>
    <t>2026-09-04T08:49:34.977393</t>
  </si>
  <si>
    <t>2026-09-04T08:49:31.725383</t>
  </si>
  <si>
    <t>2026-09-04T08:49:28.220152</t>
  </si>
  <si>
    <t>2026-09-04T08:49:21.335523</t>
  </si>
  <si>
    <t>2026-09-04T08:49:12.749626</t>
  </si>
  <si>
    <t>2026-09-04T08:49:09.283975</t>
  </si>
  <si>
    <t>2026-09-04T08:48:56.428769</t>
  </si>
  <si>
    <t>2026-09-04T08:48:52.771313</t>
  </si>
  <si>
    <t>2026-09-04T08:48:36.407957</t>
  </si>
  <si>
    <t>2026-09-04T08:48:02.464615</t>
  </si>
  <si>
    <t>2026-09-04T08:47:59.324989</t>
  </si>
  <si>
    <t>2026-09-04T08:47:56.547218</t>
  </si>
  <si>
    <t>2026-09-04T08:47:53.513000</t>
  </si>
  <si>
    <t>2026-09-04T08:47:39.069455</t>
  </si>
  <si>
    <t>2026-09-04T08:47:28.048273</t>
  </si>
  <si>
    <t>2026-09-04T08:47:21.745225</t>
  </si>
  <si>
    <t>2026-09-04T08:47:13.621020</t>
  </si>
  <si>
    <t>2026-09-04T08:47:07.417811</t>
  </si>
  <si>
    <t>2026-09-04T08:47:04.270708</t>
  </si>
  <si>
    <t>2026-09-04T08:47:00.733751</t>
  </si>
  <si>
    <t>2026-09-04T08:46:34.809280</t>
  </si>
  <si>
    <t>2026-09-04T08:46:22.414556</t>
  </si>
  <si>
    <t>2026-09-04T08:46:15.725494</t>
  </si>
  <si>
    <t>2026-09-04T08:45:33.656631</t>
  </si>
  <si>
    <t>2026-09-04T07:28:12.109036</t>
  </si>
  <si>
    <t>2026-09-04T07:28:07.630374</t>
  </si>
  <si>
    <t>2026-09-04T07:28:02.885570</t>
  </si>
  <si>
    <t>2026-09-04T07:27:55.122636</t>
  </si>
  <si>
    <t>2026-09-04T07:27:39.887821</t>
  </si>
  <si>
    <t>2026-09-04T07:27:38.758837</t>
  </si>
  <si>
    <t>2026-09-04T07:27:18.594662</t>
  </si>
  <si>
    <t>2026-09-04T07:27:10.633044</t>
  </si>
  <si>
    <t>2026-09-04T07:27:07.087498</t>
  </si>
  <si>
    <t>2026-09-04T07:27:05.897585</t>
  </si>
  <si>
    <t>2026-09-04T07:26:53.438508</t>
  </si>
  <si>
    <t>2026-09-04T07:26:50.993808</t>
  </si>
  <si>
    <t>2026-09-04T07:26:49.776687</t>
  </si>
  <si>
    <t>2026-09-04T07:26:48.584341</t>
  </si>
  <si>
    <t>2026-09-04T07:26:41.127657</t>
  </si>
  <si>
    <t>2026-09-04T07:26:27.725602</t>
  </si>
  <si>
    <t>2026-09-04T07:26:13.649310</t>
  </si>
  <si>
    <t>2026-09-04T07:26:12.388323</t>
  </si>
  <si>
    <t>2026-09-04T07:26:10.765434</t>
  </si>
  <si>
    <t>2026-09-04T07:26:09.671721</t>
  </si>
  <si>
    <t>2026-09-04T07:26:08.439028</t>
  </si>
  <si>
    <t>2026-09-04T07:26:07.117556</t>
  </si>
  <si>
    <t>2026-09-04T07:26:05.549816</t>
  </si>
  <si>
    <t>2026-09-04T07:26:04.207718</t>
  </si>
  <si>
    <t>2026-09-04T07:25:49.084724</t>
  </si>
  <si>
    <t>2026-09-04T07:25:44.417853</t>
  </si>
  <si>
    <t>2026-09-04T07:25:43.149697</t>
  </si>
  <si>
    <t>2026-09-04T07:25:36.099404</t>
  </si>
  <si>
    <t>2026-09-04T07:25:35.066994</t>
  </si>
  <si>
    <t>2026-09-04T07:25:33.888917</t>
  </si>
  <si>
    <t>2026-09-04T07:25:32.434289</t>
  </si>
  <si>
    <t>2026-09-04T07:25:29.845200</t>
  </si>
  <si>
    <t>2026-09-04T07:25:28.719533</t>
  </si>
  <si>
    <t>2026-09-04T07:25:27.714467</t>
  </si>
  <si>
    <t>2026-09-04T07:25:25.275105</t>
  </si>
  <si>
    <t>2026-09-04T07:25:23.488315</t>
  </si>
  <si>
    <t>2026-09-04T07:25:20.798702</t>
  </si>
  <si>
    <t>2026-09-04T07:25:19.695767</t>
  </si>
  <si>
    <t>2026-09-04T07:25:18.553576</t>
  </si>
  <si>
    <t>2026-09-04T07:25:17.416050</t>
  </si>
  <si>
    <t>2026-09-04T07:25:14.840207</t>
  </si>
  <si>
    <t>2026-09-04T07:25:13.765731</t>
  </si>
  <si>
    <t>2026-09-04T07:25:12.594662</t>
  </si>
  <si>
    <t>2026-09-04T07:25:11.422001</t>
  </si>
  <si>
    <t>2026-09-04T07:25:09.147048</t>
  </si>
  <si>
    <t>2026-09-04T07:24:59.276373</t>
  </si>
  <si>
    <t>2026-09-04T07:24:58.052808</t>
  </si>
  <si>
    <t>2026-09-04T07:24:56.762566</t>
  </si>
  <si>
    <t>2026-09-04T07:24:55.723701</t>
  </si>
  <si>
    <t>2026-09-04T07:24:54.476902</t>
  </si>
  <si>
    <t>2026-09-04T07:24:53.103199</t>
  </si>
  <si>
    <t>2026-09-04T07:24:52.071669</t>
  </si>
  <si>
    <t>2026-09-04T07:24:51.064588</t>
  </si>
  <si>
    <t>2026-09-04T07:24:50.024507</t>
  </si>
  <si>
    <t>2026-09-04T07:24:43.969854</t>
  </si>
  <si>
    <t>2026-09-04T07:24:40.385439</t>
  </si>
  <si>
    <t>2026-09-04T07:24:37.994978</t>
  </si>
  <si>
    <t>2026-09-04T07:24:30.988163</t>
  </si>
  <si>
    <t>2026-09-04T07:24:28.639220</t>
  </si>
  <si>
    <t>2026-09-04T07:24:27.345254</t>
  </si>
  <si>
    <t>2026-09-04T07:24:24.970831</t>
  </si>
  <si>
    <t>2026-09-04T07:24:22.551550</t>
  </si>
  <si>
    <t>2026-09-04T07:24:20.347073</t>
  </si>
  <si>
    <t>2026-09-04T07:24:17.778455</t>
  </si>
  <si>
    <t>2026-09-04T07:24:16.779533</t>
  </si>
  <si>
    <t>2026-09-04T07:24:14.515399</t>
  </si>
  <si>
    <t>2026-09-04T07:24:12.308582</t>
  </si>
  <si>
    <t>2026-09-04T07:24:09.403966</t>
  </si>
  <si>
    <t>2026-09-04T07:24:07.106424</t>
  </si>
  <si>
    <t>2026-09-04T07:24:04.696338</t>
  </si>
  <si>
    <t>2026-09-04T07:24:01.907591</t>
  </si>
  <si>
    <t>2026-09-04T07:24:00.792119</t>
  </si>
  <si>
    <t>2026-09-04T07:23:57.648879</t>
  </si>
  <si>
    <t>2026-09-04T07:23:54.972590</t>
  </si>
  <si>
    <t>2026-09-04T07:23:52.461166</t>
  </si>
  <si>
    <t>2026-09-04T07:23:49.811537</t>
  </si>
  <si>
    <t>2026-09-04T07:23:46.179240</t>
  </si>
  <si>
    <t>2026-09-04T07:23:43.680643</t>
  </si>
  <si>
    <t>2026-09-04T07:23:42.329021</t>
  </si>
  <si>
    <t>2026-09-04T07:23:40.024593</t>
  </si>
  <si>
    <t>2026-09-04T07:23:37.453647</t>
  </si>
  <si>
    <t>2026-09-04T07:23:34.041693</t>
  </si>
  <si>
    <t>2026-09-04T07:23:32.869988</t>
  </si>
  <si>
    <t>2026-09-04T07:23:31.680258</t>
  </si>
  <si>
    <t>2026-09-04T07:23:22.024946</t>
  </si>
  <si>
    <t>2026-09-04T07:23:20.605604</t>
  </si>
  <si>
    <t>2026-09-04T07:23:18.305179</t>
  </si>
  <si>
    <t>2026-09-04T07:23:15.786376</t>
  </si>
  <si>
    <t>2026-09-04T07:23:14.675385</t>
  </si>
  <si>
    <t>2026-09-04T07:23:11.975382</t>
  </si>
  <si>
    <t>2026-09-04T07:23:10.758272</t>
  </si>
  <si>
    <t>2026-09-04T07:23:09.419206</t>
  </si>
  <si>
    <t>2026-09-04T07:23:08.317453</t>
  </si>
  <si>
    <t>2026-09-04T07:23:06.046070</t>
  </si>
  <si>
    <t>2026-09-04T07:23:03.739989</t>
  </si>
  <si>
    <t>2026-09-04T07:23:02.476273</t>
  </si>
  <si>
    <t>2026-09-04T07:23:01.222421</t>
  </si>
  <si>
    <t>2026-09-04T07:22:53.868515</t>
  </si>
  <si>
    <t>2026-09-04T07:22:50.583386</t>
  </si>
  <si>
    <t>2026-09-04T07:22:49.514360</t>
  </si>
  <si>
    <t>2026-09-04T07:22:48.395775</t>
  </si>
  <si>
    <t>2026-09-04T07:22:47.310317</t>
  </si>
  <si>
    <t>2026-09-04T07:22:46.249903</t>
  </si>
  <si>
    <t>2026-09-04T07:22:43.377677</t>
  </si>
  <si>
    <t>2026-09-04T07:22:41.023673</t>
  </si>
  <si>
    <t>2026-09-04T07:22:39.906586</t>
  </si>
  <si>
    <t>2026-09-04T07:22:37.642557</t>
  </si>
  <si>
    <t>2026-09-04T07:22:28.348840</t>
  </si>
  <si>
    <t>2026-09-04T07:22:27.196671</t>
  </si>
  <si>
    <t>2026-09-04T07:22:24.451328</t>
  </si>
  <si>
    <t>2026-09-04T07:22:23.201150</t>
  </si>
  <si>
    <t>2026-09-04T07:22:21.920596</t>
  </si>
  <si>
    <t>2026-09-04T07:22:20.796817</t>
  </si>
  <si>
    <t>2026-09-04T07:22:19.642524</t>
  </si>
  <si>
    <t>2026-09-04T07:22:18.550030</t>
  </si>
  <si>
    <t>2026-09-04T07:22:17.465373</t>
  </si>
  <si>
    <t>2026-09-04T07:22:15.441818</t>
  </si>
  <si>
    <t>2026-09-04T07:22:14.271290</t>
  </si>
  <si>
    <t>2026-09-04T07:22:11.880265</t>
  </si>
  <si>
    <t>2026-09-04T07:22:10.803135</t>
  </si>
  <si>
    <t>2026-09-04T07:22:09.595664</t>
  </si>
  <si>
    <t>2026-09-04T07:21:59.782869</t>
  </si>
  <si>
    <t>2026-09-04T07:21:55.147603</t>
  </si>
  <si>
    <t>2026-09-04T07:21:53.785299</t>
  </si>
  <si>
    <t>2026-09-04T07:21:51.564409</t>
  </si>
  <si>
    <t>2026-09-04T07:21:50.509024</t>
  </si>
  <si>
    <t>2026-09-04T07:21:49.408510</t>
  </si>
  <si>
    <t>2026-09-04T07:21:48.396509</t>
  </si>
  <si>
    <t>2026-09-04T07:21:45.883696</t>
  </si>
  <si>
    <t>2026-09-04T07:21:42.495167</t>
  </si>
  <si>
    <t>2026-09-04T07:21:38.890229</t>
  </si>
  <si>
    <t>2026-09-04T07:21:37.572248</t>
  </si>
  <si>
    <t>2026-09-04T07:21:26.165679</t>
  </si>
  <si>
    <t>2026-09-04T07:21:23.389936</t>
  </si>
  <si>
    <t>2026-09-04T07:21:22.302960</t>
  </si>
  <si>
    <t>2026-09-04T07:21:21.264639</t>
  </si>
  <si>
    <t>2026-09-04T07:21:20.081025</t>
  </si>
  <si>
    <t>2026-09-04T07:21:18.872473</t>
  </si>
  <si>
    <t>2026-09-04T07:21:17.896086</t>
  </si>
  <si>
    <t>2026-09-04T07:21:15.598277</t>
  </si>
  <si>
    <t>2026-09-04T07:21:06.251281</t>
  </si>
  <si>
    <t>2026-09-04T07:21:05.599658</t>
  </si>
  <si>
    <t>2026-09-04T07:21:04.522977</t>
  </si>
  <si>
    <t>2026-09-04T07:21:02.093036</t>
  </si>
  <si>
    <t>2026-09-04T07:20:59.714995</t>
  </si>
  <si>
    <t>2026-09-04T07:20:58.563447</t>
  </si>
  <si>
    <t>2026-09-04T07:20:52.384673</t>
  </si>
  <si>
    <t>2026-09-04T07:20:51.188402</t>
  </si>
  <si>
    <t>2026-09-04T07:20:50.080995</t>
  </si>
  <si>
    <t>2026-09-04T07:20:48.974835</t>
  </si>
  <si>
    <t>2026-09-04T07:20:47.682559</t>
  </si>
  <si>
    <t>2026-09-04T07:20:46.477094</t>
  </si>
  <si>
    <t>2026-09-04T07:20:43.833735</t>
  </si>
  <si>
    <t>2026-09-04T07:20:42.834098</t>
  </si>
  <si>
    <t>2026-09-04T07:20:41.704900</t>
  </si>
  <si>
    <t>2026-09-04T07:20:40.641467</t>
  </si>
  <si>
    <t>2026-09-04T07:20:38.596106</t>
  </si>
  <si>
    <t>2026-09-04T07:20:37.463844</t>
  </si>
  <si>
    <t>2026-09-04T07:20:35.082564</t>
  </si>
  <si>
    <t>2026-09-04T07:20:33.955286</t>
  </si>
  <si>
    <t>2026-09-04T07:20:32.820629</t>
  </si>
  <si>
    <t>2026-09-04T07:20:29.248382</t>
  </si>
  <si>
    <t>2026-09-04T07:20:28.165989</t>
  </si>
  <si>
    <t>2026-09-04T07:20:27.048663</t>
  </si>
  <si>
    <t>2026-09-04T07:20:26.000441</t>
  </si>
  <si>
    <t>2026-09-04T07:20:24.846931</t>
  </si>
  <si>
    <t>2026-09-04T07:19:39.152168</t>
  </si>
  <si>
    <t>2026-09-04T07:19:37.912843</t>
  </si>
  <si>
    <t>2026-09-04T07:19:35.034120</t>
  </si>
  <si>
    <t>2026-09-04T07:19:32.850711</t>
  </si>
  <si>
    <t>2026-09-04T07:19:31.409969</t>
  </si>
  <si>
    <t>2026-09-04T07:19:25.336112</t>
  </si>
  <si>
    <t>2026-09-04T07:19:21.887345</t>
  </si>
  <si>
    <t>2026-09-04T07:19:20.832613</t>
  </si>
  <si>
    <t>2026-09-04T07:19:18.753363</t>
  </si>
  <si>
    <t>2026-09-04T07:19:17.683851</t>
  </si>
  <si>
    <t>2026-09-04T07:19:02.790619</t>
  </si>
  <si>
    <t>2026-09-04T07:18:57.231092</t>
  </si>
  <si>
    <t>2026-09-04T07:18:54.778639</t>
  </si>
  <si>
    <t>2026-09-04T07:18:53.808426</t>
  </si>
  <si>
    <t>2026-09-04T07:18:52.783460</t>
  </si>
  <si>
    <t>2026-09-04T07:18:50.587823</t>
  </si>
  <si>
    <t>2026-09-04T07:18:49.473096</t>
  </si>
  <si>
    <t>2026-09-04T07:18:48.015160</t>
  </si>
  <si>
    <t>2026-09-04T07:18:46.610289</t>
  </si>
  <si>
    <t>2026-09-04T07:18:43.929844</t>
  </si>
  <si>
    <t>2026-09-04T07:18:42.769004</t>
  </si>
  <si>
    <t>2026-09-04T07:18:26.029803</t>
  </si>
  <si>
    <t>2026-09-04T07:18:23.682300</t>
  </si>
  <si>
    <t>2026-09-04T07:18:22.501597</t>
  </si>
  <si>
    <t>2026-09-04T07:18:21.445616</t>
  </si>
  <si>
    <t>2026-09-04T07:18:20.245913</t>
  </si>
  <si>
    <t>2026-09-04T07:18:19.052590</t>
  </si>
  <si>
    <t>2026-09-04T07:18:17.787014</t>
  </si>
  <si>
    <t>2026-09-04T07:18:14.824283</t>
  </si>
  <si>
    <t>2026-09-04T07:18:11.392060</t>
  </si>
  <si>
    <t>2026-09-04T07:18:06.657434</t>
  </si>
  <si>
    <t>2026-09-04T07:17:55.535131</t>
  </si>
  <si>
    <t>2026-09-04T07:17:53.095558</t>
  </si>
  <si>
    <t>2026-09-04T07:17:38.700763</t>
  </si>
  <si>
    <t>2026-09-04T07:17:36.148274</t>
  </si>
  <si>
    <t>2026-09-04T07:17:33.973790</t>
  </si>
  <si>
    <t>2026-09-04T07:17:32.383281</t>
  </si>
  <si>
    <t>2026-09-04T07:17:28.916049</t>
  </si>
  <si>
    <t>2026-09-04T07:17:27.762944</t>
  </si>
  <si>
    <t>2026-09-04T07:17:26.512273</t>
  </si>
  <si>
    <t>2026-09-04T07:16:54.980137</t>
  </si>
  <si>
    <t>2026-09-04T07:16:52.639191</t>
  </si>
  <si>
    <t>2026-09-04T07:16:51.621964</t>
  </si>
  <si>
    <t>2026-09-04T07:16:50.662964</t>
  </si>
  <si>
    <t>2026-09-04T07:16:49.564403</t>
  </si>
  <si>
    <t>2026-09-04T07:16:47.428467</t>
  </si>
  <si>
    <t>2026-09-04T07:16:37.515310</t>
  </si>
  <si>
    <t>2026-09-04T07:16:36.509536</t>
  </si>
  <si>
    <t>2026-09-04T07:16:34.048897</t>
  </si>
  <si>
    <t>2026-09-04T07:16:28.842267</t>
  </si>
  <si>
    <t>2026-09-04T07:16:27.528639</t>
  </si>
  <si>
    <t>2026-09-04T07:16:26.364120</t>
  </si>
  <si>
    <t>2026-09-04T07:16:24.963751</t>
  </si>
  <si>
    <t>2026-09-04T07:16:15.384372</t>
  </si>
  <si>
    <t>2026-09-04T07:16:12.998897</t>
  </si>
  <si>
    <t>2026-09-04T07:16:11.732705</t>
  </si>
  <si>
    <t>2026-09-04T07:16:04.212011</t>
  </si>
  <si>
    <t>2026-09-04T07:16:00.856195</t>
  </si>
  <si>
    <t>2026-09-04T07:15:59.713597</t>
  </si>
  <si>
    <t>2026-09-04T07:15:31.463547</t>
  </si>
  <si>
    <t>2026-09-04T07:15:30.217884</t>
  </si>
  <si>
    <t>2026-09-04T07:15:18.874120</t>
  </si>
  <si>
    <t>2026-09-04T07:15:12.779134</t>
  </si>
  <si>
    <t>2026-09-04T07:15:11.344610</t>
  </si>
  <si>
    <t>2026-09-04T07:15:09.612725</t>
  </si>
  <si>
    <t>2026-09-04T07:15:08.646215</t>
  </si>
  <si>
    <t>2026-09-04T07:15:02.357084</t>
  </si>
  <si>
    <t>2026-09-04T07:14:59.183604</t>
  </si>
  <si>
    <t>2026-09-04T07:14:36.562682</t>
  </si>
  <si>
    <t>2026-09-04T07:14:35.526262</t>
  </si>
  <si>
    <t>2026-09-04T07:14:34.391299</t>
  </si>
  <si>
    <t>2026-09-04T07:14:32.140898</t>
  </si>
  <si>
    <t>2026-09-04T07:14:28.800209</t>
  </si>
  <si>
    <t>2026-09-04T07:14:27.778893</t>
  </si>
  <si>
    <t>2026-09-04T07:14:25.531269</t>
  </si>
  <si>
    <t>2026-09-04T07:14:24.530020</t>
  </si>
  <si>
    <t>2026-09-04T07:14:23.496048</t>
  </si>
  <si>
    <t>2026-09-04T07:14:19.842038</t>
  </si>
  <si>
    <t>2026-09-04T07:14:10.189665</t>
  </si>
  <si>
    <t>2026-09-04T07:14:05.997007</t>
  </si>
  <si>
    <t>2026-09-04T07:14:04.977092</t>
  </si>
  <si>
    <t>2026-09-04T07:14:01.707589</t>
  </si>
  <si>
    <t>2026-09-04T07:13:41.650928</t>
  </si>
  <si>
    <t>2026-09-04T07:13:39.039093</t>
  </si>
  <si>
    <t>2026-09-04T07:13:36.481887</t>
  </si>
  <si>
    <t>2026-09-04T07:13:31.275295</t>
  </si>
  <si>
    <t>2026-09-04T07:13:25.872093</t>
  </si>
  <si>
    <t>2026-09-04T07:13:18.054516</t>
  </si>
  <si>
    <t>2026-09-04T07:13:15.446235</t>
  </si>
  <si>
    <t>2026-09-04T07:13:13.230606</t>
  </si>
  <si>
    <t>2026-09-04T07:12:54.578794</t>
  </si>
  <si>
    <t>2026-09-04T07:12:52.149398</t>
  </si>
  <si>
    <t>2026-09-04T07:12:47.028292</t>
  </si>
  <si>
    <t>2026-09-04T07:12:41.794971</t>
  </si>
  <si>
    <t>2026-09-04T07:12:39.038174</t>
  </si>
  <si>
    <t>2026-09-04T07:12:34.143436</t>
  </si>
  <si>
    <t>2026-09-04T07:12:31.490680</t>
  </si>
  <si>
    <t>2026-09-04T07:12:29.019581</t>
  </si>
  <si>
    <t>2026-09-04T07:12:26.526685</t>
  </si>
  <si>
    <t>2026-09-04T07:12:07.281130</t>
  </si>
  <si>
    <t>2026-09-04T07:12:04.535853</t>
  </si>
  <si>
    <t>2026-09-04T07:11:59.321747</t>
  </si>
  <si>
    <t>2026-09-04T07:11:36.421580</t>
  </si>
  <si>
    <t>2026-09-04T07:11:33.978300</t>
  </si>
  <si>
    <t>2026-09-04T07:11:31.311770</t>
  </si>
  <si>
    <t>2026-09-04T07:11:20.391524</t>
  </si>
  <si>
    <t>2026-09-04T07:11:11.986885</t>
  </si>
  <si>
    <t>2026-09-04T07:11:02.692897</t>
  </si>
  <si>
    <t>2026-09-04T07:10:59.827630</t>
  </si>
  <si>
    <t>2026-09-04T07:10:57.052926</t>
  </si>
  <si>
    <t>2026-09-04T07:10:11.388427</t>
  </si>
  <si>
    <t>2026-09-04T07:09:57.081671</t>
  </si>
  <si>
    <t>2026-09-04T07:09:51.792676</t>
  </si>
  <si>
    <t>2026-09-04T07:09:49.488503</t>
  </si>
  <si>
    <t>2026-09-04T07:09:35.815237</t>
  </si>
  <si>
    <t>2026-09-04T07:09:32.810140</t>
  </si>
  <si>
    <t>2026-09-04T07:09:27.064663</t>
  </si>
  <si>
    <t>2026-09-04T07:08:51.151756</t>
  </si>
  <si>
    <t>2026-09-04T07:08:35.244717</t>
  </si>
  <si>
    <t>2026-09-04T07:06:16.734556</t>
  </si>
  <si>
    <t>2026-09-04T07:03:53.108360</t>
  </si>
  <si>
    <t>2026-09-04T07:03:50.877633</t>
  </si>
  <si>
    <t>2026-09-04T07:03:48.463685</t>
  </si>
  <si>
    <t>2026-09-04T07:00:11.712485</t>
  </si>
  <si>
    <t>2026-09-04T07:00:09.225447</t>
  </si>
  <si>
    <t>2026-09-04T07:00:09.156425</t>
  </si>
  <si>
    <t>2026-09-04T07:00:04.406603</t>
  </si>
  <si>
    <t>2026-09-04T07:00:01.851315</t>
  </si>
  <si>
    <t>2026-09-04T06:59:59.338741</t>
  </si>
  <si>
    <t>2026-09-04T06:59:54.099657</t>
  </si>
  <si>
    <t>2026-09-04T06:59:52.039326</t>
  </si>
  <si>
    <t>2026-09-04T06:59:44.497085</t>
  </si>
  <si>
    <t>2026-09-04T06:59:36.805521</t>
  </si>
  <si>
    <t>2026-09-04T06:59:32.305005</t>
  </si>
  <si>
    <t>2026-09-04T06:59:19.976182</t>
  </si>
  <si>
    <t>2026-09-04T06:59:12.185488</t>
  </si>
  <si>
    <t>2026-09-04T06:58:53.188450</t>
  </si>
  <si>
    <t>2026-09-04T06:58:43.274792</t>
  </si>
  <si>
    <t>2026-09-04T06:58:40.630892</t>
  </si>
  <si>
    <t>2026-09-04T06:58:38.016869</t>
  </si>
  <si>
    <t>2026-09-04T06:58:32.989829</t>
  </si>
  <si>
    <t>2026-09-04T06:58:22.577130</t>
  </si>
  <si>
    <t>2026-09-04T06:57:41.287463</t>
  </si>
  <si>
    <t>2026-09-04T06:57:38.847884</t>
  </si>
  <si>
    <t>2026-09-04T06:57:22.084998</t>
  </si>
  <si>
    <t>2026-09-04T06:56:50.042729</t>
  </si>
  <si>
    <t>2026-09-04T06:55:51.470484</t>
  </si>
  <si>
    <t>2026-09-04T06:55:21.997204</t>
  </si>
  <si>
    <t>2026-09-04T06:55:01.491525</t>
  </si>
  <si>
    <t>2026-09-04T06:54:56.099363</t>
  </si>
  <si>
    <t>2026-09-04T06:54:53.366764</t>
  </si>
  <si>
    <t>2026-09-04T06:54:50.514072</t>
  </si>
  <si>
    <t>2026-09-04T06:52:41.100326</t>
  </si>
  <si>
    <t>2026-09-04T06:52:21.858016</t>
  </si>
  <si>
    <t>2026-09-04T06:52:18.581318</t>
  </si>
  <si>
    <t>2026-09-04T06:52:16.095214</t>
  </si>
  <si>
    <t>2026-09-04T06:52:07.378762</t>
  </si>
  <si>
    <t>2026-09-04T06:52:07.262015</t>
  </si>
  <si>
    <t>2026-09-04T06:51:23.293351</t>
  </si>
  <si>
    <t>2026-09-04T06:51:20.287653</t>
  </si>
  <si>
    <t>2026-09-04T06:51:17.477517</t>
  </si>
  <si>
    <t>2026-09-04T06:51:14.872544</t>
  </si>
  <si>
    <t>2026-09-04T06:51:12.261833</t>
  </si>
  <si>
    <t>2026-09-04T06:51:09.627864</t>
  </si>
  <si>
    <t>2026-09-04T06:51:04.564336</t>
  </si>
  <si>
    <t>2026-09-04T06:50:50.046910</t>
  </si>
  <si>
    <t>2026-09-04T06:50:47.349184</t>
  </si>
  <si>
    <t>2026-09-04T06:50:44.862028</t>
  </si>
  <si>
    <t>2026-09-04T06:49:53.856462</t>
  </si>
  <si>
    <t>2026-09-04T06:49:51.419423</t>
  </si>
  <si>
    <t>2026-09-04T06:49:48.930736</t>
  </si>
  <si>
    <t>2026-09-04T05:53:31.316391</t>
  </si>
  <si>
    <t>2026-09-04T05:48:53.508801</t>
  </si>
  <si>
    <t>2026-09-04T05:19:33.550827</t>
  </si>
  <si>
    <t>2026-09-04T05:09:12.241416</t>
  </si>
  <si>
    <t>2026-09-04T05:09:12.128475</t>
  </si>
  <si>
    <t>2026-09-04T05:09:09.804922</t>
  </si>
  <si>
    <t>2026-09-04T05:09:07.353542</t>
  </si>
  <si>
    <t>2026-09-04T05:08:27.144634</t>
  </si>
  <si>
    <t>2026-09-04T05:08:07.309220</t>
  </si>
  <si>
    <t>2026-09-04T05:06:32.597765</t>
  </si>
  <si>
    <t>2026-09-04T04:54:06.479983</t>
  </si>
  <si>
    <t>2026-09-04T03:12:48.505531</t>
  </si>
  <si>
    <t>2026-09-04T01:52:19.101191</t>
  </si>
  <si>
    <t>2026-09-04T01:52:16.982964</t>
  </si>
  <si>
    <t>2026-09-04T01:52:14.938307</t>
  </si>
  <si>
    <t>2026-09-04T00:22:58.557558</t>
  </si>
  <si>
    <t>2026-09-04T00:22:56.006078</t>
  </si>
  <si>
    <t>2026-09-04T00:16:14.725745</t>
  </si>
  <si>
    <t>2026-09-04T00:16:12.664693</t>
  </si>
  <si>
    <t>2026-09-04T00:16:10.515406</t>
  </si>
  <si>
    <t>2026-09-04T00:16:08.395663</t>
  </si>
  <si>
    <t>2026-09-04T00:15:44.262564</t>
  </si>
  <si>
    <t>2026-09-04T00:15:42.058372</t>
  </si>
  <si>
    <t>2026-09-04T00:15:37.303938</t>
  </si>
  <si>
    <t>2026-09-04T00:15:30.507759</t>
  </si>
  <si>
    <t>2026-09-04T00:15:21.909903</t>
  </si>
  <si>
    <t>2026-09-04T00:15:19.547928</t>
  </si>
  <si>
    <t>2026-09-04T00:14:52.245257</t>
  </si>
  <si>
    <t>2026-09-04T00:14:49.987762</t>
  </si>
  <si>
    <t>2026-09-04T00:14:36.602329</t>
  </si>
  <si>
    <t>2026-09-04T00:14:12.273079</t>
  </si>
  <si>
    <t>2026-09-04T00:14:10.306520</t>
  </si>
  <si>
    <t>2026-09-04T00:14:02.061040</t>
  </si>
  <si>
    <t>2026-09-04T00:13:45.785293</t>
  </si>
  <si>
    <t>2026-09-04T00:13:43.485335</t>
  </si>
  <si>
    <t>2026-09-04T00:13:41.190891</t>
  </si>
  <si>
    <t>2026-09-04T00:13:38.749105</t>
  </si>
  <si>
    <t>2026-09-03T23:05:09.739901</t>
  </si>
  <si>
    <t>2026-09-03T23:05:07.614718</t>
  </si>
  <si>
    <t>2026-09-03T23:05:05.497598</t>
  </si>
  <si>
    <t>2026-09-03T21:49:40.125548</t>
  </si>
  <si>
    <t>2026-09-03T21:49:38.100671</t>
  </si>
  <si>
    <t>2026-09-03T21:49:35.889718</t>
  </si>
  <si>
    <t>2026-09-03T21:45:24.186050</t>
  </si>
  <si>
    <t>2026-09-03T21:45:22.244831</t>
  </si>
  <si>
    <t>2026-09-03T21:38:09.259957</t>
  </si>
  <si>
    <t>2026-09-03T21:37:40.784729</t>
  </si>
  <si>
    <t>2026-09-03T21:35:20.650309</t>
  </si>
  <si>
    <t>2026-09-03T21:34:34.341093</t>
  </si>
  <si>
    <t>2026-09-03T21:29:14.244100</t>
  </si>
  <si>
    <t>2026-09-03T21:29:11.765051</t>
  </si>
  <si>
    <t>2026-09-03T21:28:16.528692</t>
  </si>
  <si>
    <t>2026-09-03T21:28:14.697197</t>
  </si>
  <si>
    <t>2026-09-03T21:24:28.094330</t>
  </si>
  <si>
    <t>2026-09-03T21:06:26.097873</t>
  </si>
  <si>
    <t>2026-09-03T21:06:17.018285</t>
  </si>
  <si>
    <t>2026-09-03T21:06:14.551334</t>
  </si>
  <si>
    <t>2026-09-03T20:54:32.585712</t>
  </si>
  <si>
    <t>2026-09-03T20:49:43.841612</t>
  </si>
  <si>
    <t>2026-09-03T20:46:25.638665</t>
  </si>
  <si>
    <t>2026-09-03T20:45:44.595365</t>
  </si>
  <si>
    <t>2026-09-03T20:44:28.448883</t>
  </si>
  <si>
    <t>2026-09-03T20:44:27.526282</t>
  </si>
  <si>
    <t>2026-09-03T20:43:19.060466</t>
  </si>
  <si>
    <t>2026-09-03T20:43:18.124230</t>
  </si>
  <si>
    <t>2026-09-03T20:36:38.564636</t>
  </si>
  <si>
    <t>2026-09-03T20:32:45.268891</t>
  </si>
  <si>
    <t>2026-09-03T20:31:08.034936</t>
  </si>
  <si>
    <t>2026-09-03T20:30:56.272346</t>
  </si>
  <si>
    <t>2026-09-03T20:27:05.756954</t>
  </si>
  <si>
    <t>2026-09-03T20:26:17.612903</t>
  </si>
  <si>
    <t>2026-09-03T20:19:46.814499</t>
  </si>
  <si>
    <t>2026-09-03T20:19:46.150715</t>
  </si>
  <si>
    <t>2026-09-03T20:19:45.325298</t>
  </si>
  <si>
    <t>2026-09-03T20:07:36.979435</t>
  </si>
  <si>
    <t>2026-09-03T20:07:36.032055</t>
  </si>
  <si>
    <t>2026-09-03T20:07:35.056079</t>
  </si>
  <si>
    <t>2026-09-03T20:00:16.114649</t>
  </si>
  <si>
    <t>2026-09-03T20:00:14.259520</t>
  </si>
  <si>
    <t>2026-09-03T19:59:54.379064</t>
  </si>
  <si>
    <t>2026-09-03T19:39:22.619939</t>
  </si>
  <si>
    <t>2026-09-03T19:33:02.543058</t>
  </si>
  <si>
    <t>2026-09-03T19:32:47.771490</t>
  </si>
  <si>
    <t>2026-09-03T19:32:23.772502</t>
  </si>
  <si>
    <t>2026-09-03T19:30:47.051413</t>
  </si>
  <si>
    <t>2026-09-03T18:42:29.799947</t>
  </si>
  <si>
    <t>2026-09-03T18:33:26.537525</t>
  </si>
  <si>
    <t>2026-09-03T18:33:25.771541</t>
  </si>
  <si>
    <t>2026-09-03T18:33:25.040729</t>
  </si>
  <si>
    <t>2026-09-03T18:33:24.060830</t>
  </si>
  <si>
    <t>2026-09-03T18:33:23.029201</t>
  </si>
  <si>
    <t>2026-09-03T18:33:21.833413</t>
  </si>
  <si>
    <t>2026-09-03T18:33:20.501593</t>
  </si>
  <si>
    <t>2026-09-03T18:33:19.052199</t>
  </si>
  <si>
    <t>2026-09-03T17:45:57.849608</t>
  </si>
  <si>
    <t>2026-09-03T17:45:56.887851</t>
  </si>
  <si>
    <t>2026-09-03T17:45:52.405938</t>
  </si>
  <si>
    <t>2026-09-03T17:45:48.855270</t>
  </si>
  <si>
    <t>2026-09-03T17:45:45.250182</t>
  </si>
  <si>
    <t>2026-09-03T17:45:43.979154</t>
  </si>
  <si>
    <t>2026-09-03T17:45:42.814796</t>
  </si>
  <si>
    <t>2026-09-03T17:45:40.104597</t>
  </si>
  <si>
    <t>2026-09-03T17:45:37.910919</t>
  </si>
  <si>
    <t>2026-09-03T17:45:32.141044</t>
  </si>
  <si>
    <t>2026-09-03T17:45:23.898689</t>
  </si>
  <si>
    <t>2026-09-03T17:45:21.712748</t>
  </si>
  <si>
    <t>2026-09-03T17:45:20.584695</t>
  </si>
  <si>
    <t>2026-09-03T17:45:14.683332</t>
  </si>
  <si>
    <t>2026-09-03T17:45:10.938810</t>
  </si>
  <si>
    <t>2026-09-03T17:45:02.434795</t>
  </si>
  <si>
    <t>2026-09-03T17:45:00.068266</t>
  </si>
  <si>
    <t>2026-09-03T17:44:54.696060</t>
  </si>
  <si>
    <t>2026-09-03T17:42:59.160544</t>
  </si>
  <si>
    <t>2026-09-03T17:42:45.545777</t>
  </si>
  <si>
    <t>2026-09-03T17:42:44.304333</t>
  </si>
  <si>
    <t>2026-09-03T17:42:43.153093</t>
  </si>
  <si>
    <t>2026-09-03T17:42:41.983720</t>
  </si>
  <si>
    <t>2026-09-03T17:42:40.693898</t>
  </si>
  <si>
    <t>2026-09-03T17:42:39.520667</t>
  </si>
  <si>
    <t>2026-09-03T17:42:38.364570</t>
  </si>
  <si>
    <t>2026-09-03T17:42:38.332139</t>
  </si>
  <si>
    <t>2026-09-03T17:42:37.085518</t>
  </si>
  <si>
    <t>2026-09-03T17:42:35.837307</t>
  </si>
  <si>
    <t>2026-09-03T17:42:34.317719</t>
  </si>
  <si>
    <t>2026-09-03T17:42:31.896009</t>
  </si>
  <si>
    <t>2026-09-03T14:22:48.511473</t>
  </si>
  <si>
    <t>2026-09-03T14:22:48.495222</t>
  </si>
  <si>
    <t>2026-09-03T14:22:48.476858</t>
  </si>
  <si>
    <t>2026-09-03T14:22:48.462733</t>
  </si>
  <si>
    <t>2026-09-03T14:22:48.439716</t>
  </si>
  <si>
    <t>2026-09-03T14:22:48.429159</t>
  </si>
  <si>
    <t>2026-09-03T14:22:48.407292</t>
  </si>
  <si>
    <t>2026-09-03T14:22:48.391345</t>
  </si>
  <si>
    <t>2026-09-03T14:22:48.373227</t>
  </si>
  <si>
    <t>2026-09-03T14:22:48.355243</t>
  </si>
  <si>
    <t>2026-09-03T14:22:48.344622</t>
  </si>
  <si>
    <t>2026-09-03T14:22:48.317466</t>
  </si>
  <si>
    <t>2026-09-03T14:22:48.303036</t>
  </si>
  <si>
    <t>2026-09-03T14:22:48.281985</t>
  </si>
  <si>
    <t>2026-09-03T14:22:48.271077</t>
  </si>
  <si>
    <t>2026-09-03T14:22:48.257380</t>
  </si>
  <si>
    <t>2026-09-03T14:22:48.236279</t>
  </si>
  <si>
    <t>2026-09-03T14:22:48.221109</t>
  </si>
  <si>
    <t>2026-09-03T14:22:48.197709</t>
  </si>
  <si>
    <t>2026-09-03T14:22:48.185288</t>
  </si>
  <si>
    <t>2026-09-03T14:22:48.155184</t>
  </si>
  <si>
    <t>2026-09-03T14:22:48.144952</t>
  </si>
  <si>
    <t>2026-09-03T14:22:48.128302</t>
  </si>
  <si>
    <t>2026-09-03T14:22:48.113691</t>
  </si>
  <si>
    <t>2026-09-03T14:22:48.093448</t>
  </si>
  <si>
    <t>2026-09-03T14:22:48.060858</t>
  </si>
  <si>
    <t>2026-09-03T14:22:48.035639</t>
  </si>
  <si>
    <t>2026-09-03T14:22:48.020313</t>
  </si>
  <si>
    <t>2026-09-03T14:22:47.997694</t>
  </si>
  <si>
    <t>2026-09-03T14:22:47.984809</t>
  </si>
  <si>
    <t>2026-09-03T14:22:47.964750</t>
  </si>
  <si>
    <t>2026-09-03T14:22:47.956550</t>
  </si>
  <si>
    <t>2026-09-03T14:22:47.939937</t>
  </si>
  <si>
    <t>2026-09-03T14:22:47.929899</t>
  </si>
  <si>
    <t>2026-09-03T14:22:47.901971</t>
  </si>
  <si>
    <t>2026-09-03T14:22:47.880142</t>
  </si>
  <si>
    <t>2026-09-03T14:22:47.865095</t>
  </si>
  <si>
    <t>2026-09-03T14:22:47.853796</t>
  </si>
  <si>
    <t>2026-09-03T14:22:47.831335</t>
  </si>
  <si>
    <t>2026-09-03T14:22:47.815830</t>
  </si>
  <si>
    <t>2026-09-03T14:22:47.804976</t>
  </si>
  <si>
    <t>2026-09-03T14:22:47.781218</t>
  </si>
  <si>
    <t>2026-09-03T14:22:47.771665</t>
  </si>
  <si>
    <t>2026-09-03T14:22:47.755002</t>
  </si>
  <si>
    <t>2026-09-03T14:22:47.738918</t>
  </si>
  <si>
    <t>2026-09-03T14:22:47.713842</t>
  </si>
  <si>
    <t>2026-09-03T14:22:47.692918</t>
  </si>
  <si>
    <t>2026-09-03T14:22:47.655193</t>
  </si>
  <si>
    <t>2026-09-03T14:22:47.635525</t>
  </si>
  <si>
    <t>2026-09-03T14:22:47.611841</t>
  </si>
  <si>
    <t>2026-09-03T14:22:47.595375</t>
  </si>
  <si>
    <t>2026-09-03T14:22:47.580606</t>
  </si>
  <si>
    <t>2026-09-03T14:22:47.558173</t>
  </si>
  <si>
    <t>2026-09-03T14:22:47.512879</t>
  </si>
  <si>
    <t>2026-09-03T14:22:47.496899</t>
  </si>
  <si>
    <t>2026-09-03T14:22:10.627194</t>
  </si>
  <si>
    <t>2026-09-03T14:22:10.619759</t>
  </si>
  <si>
    <t>2026-09-03T14:22:10.606708</t>
  </si>
  <si>
    <t>2026-09-03T14:22:10.592633</t>
  </si>
  <si>
    <t>2026-09-03T14:22:10.585003</t>
  </si>
  <si>
    <t>2026-09-03T14:22:10.573027</t>
  </si>
  <si>
    <t>2026-09-03T14:22:10.553731</t>
  </si>
  <si>
    <t>2026-09-03T14:22:10.536713</t>
  </si>
  <si>
    <t>2026-09-03T14:22:10.515728</t>
  </si>
  <si>
    <t>2026-09-03T14:22:10.492247</t>
  </si>
  <si>
    <t>2026-09-03T14:21:51.894333</t>
  </si>
  <si>
    <t>2026-09-03T14:21:51.873772</t>
  </si>
  <si>
    <t>2026-09-03T14:21:51.859029</t>
  </si>
  <si>
    <t>2026-09-03T14:21:51.845406</t>
  </si>
  <si>
    <t>2026-09-03T14:21:51.836569</t>
  </si>
  <si>
    <t>2026-09-03T14:21:51.810464</t>
  </si>
  <si>
    <t>2026-09-03T14:21:51.790975</t>
  </si>
  <si>
    <t>2026-09-03T14:21:51.776533</t>
  </si>
  <si>
    <t>2026-09-03T14:21:51.755533</t>
  </si>
  <si>
    <t>2026-09-03T14:21:51.719649</t>
  </si>
  <si>
    <t>2026-09-03T14:21:51.699005</t>
  </si>
  <si>
    <t>2026-09-03T14:21:51.665904</t>
  </si>
  <si>
    <t>2026-09-03T14:21:44.840162</t>
  </si>
  <si>
    <t>2026-09-03T14:21:44.825148</t>
  </si>
  <si>
    <t>2026-09-03T14:21:44.811521</t>
  </si>
  <si>
    <t>2026-09-03T14:21:44.785783</t>
  </si>
  <si>
    <t>2026-09-03T14:21:44.763006</t>
  </si>
  <si>
    <t>2026-09-03T14:21:13.614631</t>
  </si>
  <si>
    <t>2026-09-03T14:21:07.583485</t>
  </si>
  <si>
    <t>2026-09-03T14:21:07.564643</t>
  </si>
  <si>
    <t>2026-09-03T14:21:07.534492</t>
  </si>
  <si>
    <t>2026-09-03T14:21:07.510014</t>
  </si>
  <si>
    <t>2026-09-03T14:21:07.497238</t>
  </si>
  <si>
    <t>2026-09-03T14:20:59.805434</t>
  </si>
  <si>
    <t>2026-09-03T14:20:51.755409</t>
  </si>
  <si>
    <t>2026-09-03T14:20:51.723017</t>
  </si>
  <si>
    <t>2026-09-03T14:20:46.315758</t>
  </si>
  <si>
    <t>2026-09-03T14:20:46.302453</t>
  </si>
  <si>
    <t>2026-09-03T14:20:39.200761</t>
  </si>
  <si>
    <t>2026-09-03T14:20:39.191730</t>
  </si>
  <si>
    <t>2026-09-03T14:20:39.156116</t>
  </si>
  <si>
    <t>2026-09-03T14:20:39.147706</t>
  </si>
  <si>
    <t>2026-09-03T14:20:33.918874</t>
  </si>
  <si>
    <t>2026-09-03T14:20:33.892006</t>
  </si>
  <si>
    <t>2026-09-03T14:20:12.984162</t>
  </si>
  <si>
    <t>2026-09-03T14:20:12.958900</t>
  </si>
  <si>
    <t>2026-09-03T14:20:12.938875</t>
  </si>
  <si>
    <t>2026-09-03T14:20:12.908759</t>
  </si>
  <si>
    <t>2026-09-03T14:20:12.886953</t>
  </si>
  <si>
    <t>2026-09-03T14:20:12.853752</t>
  </si>
  <si>
    <t>2026-09-03T14:20:06.513424</t>
  </si>
  <si>
    <t>2026-09-03T14:20:06.495101</t>
  </si>
  <si>
    <t>2026-09-03T14:20:06.462186</t>
  </si>
  <si>
    <t>2026-09-03T14:20:06.436953</t>
  </si>
  <si>
    <t>2026-09-03T14:20:06.423586</t>
  </si>
  <si>
    <t>2026-09-03T14:19:59.234651</t>
  </si>
  <si>
    <t>2026-09-03T14:19:59.194008</t>
  </si>
  <si>
    <t>2026-09-03T14:19:59.190374</t>
  </si>
  <si>
    <t>2026-09-03T14:19:59.158305</t>
  </si>
  <si>
    <t>2026-09-03T14:19:59.151066</t>
  </si>
  <si>
    <t>2026-09-03T14:19:59.123316</t>
  </si>
  <si>
    <t>2026-09-03T14:19:59.113050</t>
  </si>
  <si>
    <t>2026-09-03T14:19:59.078539</t>
  </si>
  <si>
    <t>2026-09-03T14:19:59.049931</t>
  </si>
  <si>
    <t>2026-09-03T14:19:59.032218</t>
  </si>
  <si>
    <t>2026-09-03T14:19:58.999566</t>
  </si>
  <si>
    <t>2026-09-03T14:19:58.987584</t>
  </si>
  <si>
    <t>2026-09-03T14:19:58.966106</t>
  </si>
  <si>
    <t>2026-09-03T14:19:58.944545</t>
  </si>
  <si>
    <t>2026-09-03T14:19:45.009310</t>
  </si>
  <si>
    <t>2026-09-03T14:19:44.993687</t>
  </si>
  <si>
    <t>2026-09-03T14:19:44.977468</t>
  </si>
  <si>
    <t>2026-09-03T14:19:44.961246</t>
  </si>
  <si>
    <t>2026-09-03T14:19:44.954932</t>
  </si>
  <si>
    <t>2026-09-03T14:19:44.941528</t>
  </si>
  <si>
    <t>2026-09-03T14:19:44.923354</t>
  </si>
  <si>
    <t>2026-09-03T14:19:44.907750</t>
  </si>
  <si>
    <t>2026-09-03T14:19:44.892157</t>
  </si>
  <si>
    <t>2026-09-03T14:19:44.876523</t>
  </si>
  <si>
    <t>2026-09-03T14:19:44.863816</t>
  </si>
  <si>
    <t>2026-09-03T14:19:44.849960</t>
  </si>
  <si>
    <t>2026-09-03T14:19:44.835603</t>
  </si>
  <si>
    <t>2026-09-03T14:19:44.825259</t>
  </si>
  <si>
    <t>2026-09-03T14:19:44.815916</t>
  </si>
  <si>
    <t>2026-09-03T14:19:44.800962</t>
  </si>
  <si>
    <t>2026-09-03T14:19:44.779232</t>
  </si>
  <si>
    <t>2026-09-03T14:19:44.765368</t>
  </si>
  <si>
    <t>2026-09-03T14:19:44.751767</t>
  </si>
  <si>
    <t>2026-09-03T14:19:44.746049</t>
  </si>
  <si>
    <t>2026-09-03T14:19:44.731311</t>
  </si>
  <si>
    <t>2026-09-03T14:19:44.718363</t>
  </si>
  <si>
    <t>2026-09-03T14:19:44.704247</t>
  </si>
  <si>
    <t>2026-09-03T14:19:44.689743</t>
  </si>
  <si>
    <t>2026-09-03T14:19:44.668398</t>
  </si>
  <si>
    <t>2026-09-03T14:19:44.658497</t>
  </si>
  <si>
    <t>2026-09-03T14:19:44.646381</t>
  </si>
  <si>
    <t>2026-09-03T14:19:44.627896</t>
  </si>
  <si>
    <t>2026-09-03T14:19:44.601970</t>
  </si>
  <si>
    <t>2026-09-03T14:19:44.582203</t>
  </si>
  <si>
    <t>2026-09-03T14:19:38.025353</t>
  </si>
  <si>
    <t>2026-09-03T14:19:38.006455</t>
  </si>
  <si>
    <t>2026-09-03T14:19:37.992318</t>
  </si>
  <si>
    <t>2026-09-03T14:19:37.951193</t>
  </si>
  <si>
    <t>2026-09-03T14:19:37.911447</t>
  </si>
  <si>
    <t>2026-09-03T14:19:37.863839</t>
  </si>
  <si>
    <t>2026-09-03T14:19:32.053935</t>
  </si>
  <si>
    <t>2026-09-03T14:19:25.710201</t>
  </si>
  <si>
    <t>2026-09-03T14:19:25.689029</t>
  </si>
  <si>
    <t>2026-09-03T14:19:25.674003</t>
  </si>
  <si>
    <t>2026-09-03T14:19:25.658802</t>
  </si>
  <si>
    <t>2026-09-03T14:19:25.643451</t>
  </si>
  <si>
    <t>2026-09-03T14:19:25.633507</t>
  </si>
  <si>
    <t>2026-09-03T14:19:25.617306</t>
  </si>
  <si>
    <t>2026-09-03T14:19:25.601973</t>
  </si>
  <si>
    <t>2026-09-03T14:19:25.580720</t>
  </si>
  <si>
    <t>2026-09-03T14:19:25.566769</t>
  </si>
  <si>
    <t>2026-09-03T14:19:25.553820</t>
  </si>
  <si>
    <t>2026-09-03T14:19:25.524912</t>
  </si>
  <si>
    <t>2026-09-03T14:19:25.497941</t>
  </si>
  <si>
    <t>2026-09-03T14:19:25.477781</t>
  </si>
  <si>
    <t>2026-09-03T14:19:17.203894</t>
  </si>
  <si>
    <t>2026-09-03T14:19:05.063103</t>
  </si>
  <si>
    <t>2026-09-03T14:19:05.038070</t>
  </si>
  <si>
    <t>2026-09-03T14:18:57.502459</t>
  </si>
  <si>
    <t>2026-09-03T14:18:57.477159</t>
  </si>
  <si>
    <t>2026-09-03T14:18:57.466376</t>
  </si>
  <si>
    <t>2026-09-03T14:18:57.447642</t>
  </si>
  <si>
    <t>2026-09-03T14:18:57.420938</t>
  </si>
  <si>
    <t>2026-09-03T14:18:57.407102</t>
  </si>
  <si>
    <t>2026-09-03T14:18:57.361369</t>
  </si>
  <si>
    <t>2026-09-03T14:18:57.359761</t>
  </si>
  <si>
    <t>2026-09-03T14:18:57.349305</t>
  </si>
  <si>
    <t>2026-09-03T14:18:57.323912</t>
  </si>
  <si>
    <t>2026-09-03T14:18:57.314668</t>
  </si>
  <si>
    <t>2026-09-03T14:18:57.301988</t>
  </si>
  <si>
    <t>2026-09-03T14:18:57.288480</t>
  </si>
  <si>
    <t>2026-09-03T14:18:57.277288</t>
  </si>
  <si>
    <t>2026-09-03T14:18:57.264985</t>
  </si>
  <si>
    <t>2026-09-03T14:18:57.258195</t>
  </si>
  <si>
    <t>2026-09-03T14:18:57.244823</t>
  </si>
  <si>
    <t>2026-09-03T14:18:57.239583</t>
  </si>
  <si>
    <t>2026-09-03T14:18:57.230821</t>
  </si>
  <si>
    <t>2026-09-03T14:18:57.216492</t>
  </si>
  <si>
    <t>2026-09-03T14:18:57.193025</t>
  </si>
  <si>
    <t>2026-09-03T14:18:57.182121</t>
  </si>
  <si>
    <t>2026-09-03T14:18:57.160912</t>
  </si>
  <si>
    <t>2026-09-03T14:18:57.147981</t>
  </si>
  <si>
    <t>2026-09-03T14:18:57.133449</t>
  </si>
  <si>
    <t>2026-09-03T14:18:57.106803</t>
  </si>
  <si>
    <t>2026-09-03T14:18:57.088597</t>
  </si>
  <si>
    <t>2026-09-03T14:18:57.078131</t>
  </si>
  <si>
    <t>2026-09-03T14:18:57.058814</t>
  </si>
  <si>
    <t>2026-09-03T14:18:57.040435</t>
  </si>
  <si>
    <t>2026-09-03T14:18:57.030926</t>
  </si>
  <si>
    <t>2026-09-03T14:18:57.018340</t>
  </si>
  <si>
    <t>2026-09-03T14:18:56.996177</t>
  </si>
  <si>
    <t>2026-09-03T14:18:56.964901</t>
  </si>
  <si>
    <t>2026-09-03T14:18:56.951547</t>
  </si>
  <si>
    <t>2026-09-03T14:18:56.943226</t>
  </si>
  <si>
    <t>2026-09-03T14:18:56.919916</t>
  </si>
  <si>
    <t>2026-09-03T14:18:56.908002</t>
  </si>
  <si>
    <t>2026-09-03T14:18:56.894083</t>
  </si>
  <si>
    <t>2026-09-03T14:18:56.878821</t>
  </si>
  <si>
    <t>2026-09-03T14:18:56.823057</t>
  </si>
  <si>
    <t>2026-09-03T14:18:56.809813</t>
  </si>
  <si>
    <t>2026-09-03T14:18:56.797865</t>
  </si>
  <si>
    <t>2026-09-03T14:18:56.781990</t>
  </si>
  <si>
    <t>2026-09-03T14:18:56.767500</t>
  </si>
  <si>
    <t>2026-09-03T14:18:44.211906</t>
  </si>
  <si>
    <t>2026-09-03T14:18:44.200212</t>
  </si>
  <si>
    <t>2026-09-03T14:18:44.175748</t>
  </si>
  <si>
    <t>2026-09-03T14:18:44.167243</t>
  </si>
  <si>
    <t>2026-09-03T14:18:44.153750</t>
  </si>
  <si>
    <t>2026-09-03T14:18:44.132453</t>
  </si>
  <si>
    <t>2026-09-03T14:18:30.158890</t>
  </si>
  <si>
    <t>2026-09-03T14:18:30.144678</t>
  </si>
  <si>
    <t>2026-09-03T14:18:30.137026</t>
  </si>
  <si>
    <t>2026-09-03T14:18:30.126374</t>
  </si>
  <si>
    <t>2026-09-03T14:18:30.118728</t>
  </si>
  <si>
    <t>2026-09-03T14:18:30.103652</t>
  </si>
  <si>
    <t>2026-09-03T14:18:30.069099</t>
  </si>
  <si>
    <t>2026-09-03T14:18:30.046161</t>
  </si>
  <si>
    <t>2026-09-03T14:18:30.024623</t>
  </si>
  <si>
    <t>2026-09-03T14:18:23.658450</t>
  </si>
  <si>
    <t>2026-09-03T14:18:10.716946</t>
  </si>
  <si>
    <t>2026-09-03T14:18:10.689747</t>
  </si>
  <si>
    <t>2026-09-03T14:18:10.669046</t>
  </si>
  <si>
    <t>2026-09-03T14:18:10.652404</t>
  </si>
  <si>
    <t>2026-09-03T14:18:10.604172</t>
  </si>
  <si>
    <t>2026-09-03T14:18:10.591758</t>
  </si>
  <si>
    <t>2026-09-03T14:18:10.555503</t>
  </si>
  <si>
    <t>2026-09-03T14:18:04.676913</t>
  </si>
  <si>
    <t>2026-09-03T14:18:04.657032</t>
  </si>
  <si>
    <t>2026-09-03T14:18:04.645812</t>
  </si>
  <si>
    <t>2026-09-03T14:18:04.634429</t>
  </si>
  <si>
    <t>2026-09-03T14:18:04.622222</t>
  </si>
  <si>
    <t>2026-09-03T14:18:04.595962</t>
  </si>
  <si>
    <t>2026-09-03T14:18:04.578604</t>
  </si>
  <si>
    <t>2026-09-03T14:18:04.556017</t>
  </si>
  <si>
    <t>2026-09-03T14:18:04.545040</t>
  </si>
  <si>
    <t>2026-09-03T14:18:04.527425</t>
  </si>
  <si>
    <t>2026-09-03T14:18:04.503364</t>
  </si>
  <si>
    <t>2026-09-03T14:18:04.483490</t>
  </si>
  <si>
    <t>2026-09-03T14:18:04.450177</t>
  </si>
  <si>
    <t>2026-09-03T14:18:04.407957</t>
  </si>
  <si>
    <t>2026-09-03T14:17:55.584691</t>
  </si>
  <si>
    <t>2026-09-03T14:17:55.560163</t>
  </si>
  <si>
    <t>2026-09-03T14:17:55.537045</t>
  </si>
  <si>
    <t>2026-09-03T14:17:55.499833</t>
  </si>
  <si>
    <t>2026-09-03T14:17:50.056833</t>
  </si>
  <si>
    <t>2026-09-03T14:17:50.027658</t>
  </si>
  <si>
    <t>2026-09-03T14:17:50.006515</t>
  </si>
  <si>
    <t>2026-09-03T14:17:49.978974</t>
  </si>
  <si>
    <t>2026-09-03T14:17:43.492459</t>
  </si>
  <si>
    <t>2026-09-03T14:17:43.471511</t>
  </si>
  <si>
    <t>2026-09-03T14:17:43.457573</t>
  </si>
  <si>
    <t>2026-09-03T14:17:43.444352</t>
  </si>
  <si>
    <t>2026-09-03T14:17:43.429337</t>
  </si>
  <si>
    <t>2026-09-03T14:17:43.414266</t>
  </si>
  <si>
    <t>2026-09-03T14:17:43.403023</t>
  </si>
  <si>
    <t>2026-09-03T14:17:43.373482</t>
  </si>
  <si>
    <t>2026-09-03T14:17:43.346591</t>
  </si>
  <si>
    <t>2026-09-03T14:17:43.322423</t>
  </si>
  <si>
    <t>2026-09-03T14:17:43.304020</t>
  </si>
  <si>
    <t>2026-09-03T14:17:43.272550</t>
  </si>
  <si>
    <t>2026-09-03T14:17:43.236207</t>
  </si>
  <si>
    <t>2026-09-03T14:17:37.245827</t>
  </si>
  <si>
    <t>2026-09-03T14:17:37.221809</t>
  </si>
  <si>
    <t>2026-09-03T14:17:37.207504</t>
  </si>
  <si>
    <t>2026-09-03T14:17:37.187495</t>
  </si>
  <si>
    <t>2026-09-03T14:17:37.161895</t>
  </si>
  <si>
    <t>2026-09-03T14:17:37.137774</t>
  </si>
  <si>
    <t>2026-09-03T14:17:37.113380</t>
  </si>
  <si>
    <t>2026-09-03T14:17:37.099536</t>
  </si>
  <si>
    <t>2026-09-03T14:17:37.079762</t>
  </si>
  <si>
    <t>2026-09-03T14:17:37.064428</t>
  </si>
  <si>
    <t>2026-09-03T14:17:37.041801</t>
  </si>
  <si>
    <t>2026-09-03T14:17:37.016550</t>
  </si>
  <si>
    <t>2026-09-03T14:17:37.006942</t>
  </si>
  <si>
    <t>2026-09-03T14:17:27.557429</t>
  </si>
  <si>
    <t>2026-09-03T14:17:27.542902</t>
  </si>
  <si>
    <t>2026-09-03T14:17:27.508078</t>
  </si>
  <si>
    <t>2026-09-03T14:17:27.485649</t>
  </si>
  <si>
    <t>2026-09-03T14:17:27.466022</t>
  </si>
  <si>
    <t>2026-09-03T14:17:27.442573</t>
  </si>
  <si>
    <t>2026-09-03T14:17:27.425368</t>
  </si>
  <si>
    <t>2026-09-03T14:17:27.410802</t>
  </si>
  <si>
    <t>2026-09-03T14:17:27.391052</t>
  </si>
  <si>
    <t>2026-09-03T14:17:27.373101</t>
  </si>
  <si>
    <t>2026-09-03T14:17:27.350195</t>
  </si>
  <si>
    <t>2026-09-03T14:17:27.327622</t>
  </si>
  <si>
    <t>2026-09-03T14:17:27.306582</t>
  </si>
  <si>
    <t>2026-09-03T14:17:27.280940</t>
  </si>
  <si>
    <t>2026-09-03T14:17:27.251814</t>
  </si>
  <si>
    <t>2026-09-03T14:17:27.228332</t>
  </si>
  <si>
    <t>2026-09-03T14:17:27.212169</t>
  </si>
  <si>
    <t>2026-09-03T14:17:27.189929</t>
  </si>
  <si>
    <t>2026-09-03T14:17:27.159239</t>
  </si>
  <si>
    <t>2026-09-03T14:17:27.148058</t>
  </si>
  <si>
    <t>2026-09-03T14:17:27.133250</t>
  </si>
  <si>
    <t>2026-09-03T14:17:27.109086</t>
  </si>
  <si>
    <t>2026-09-03T14:17:27.085119</t>
  </si>
  <si>
    <t>2026-09-03T14:17:27.063353</t>
  </si>
  <si>
    <t>2026-09-03T14:17:27.035473</t>
  </si>
  <si>
    <t>2026-09-03T14:17:27.003935</t>
  </si>
  <si>
    <t>2026-09-03T14:17:19.966818</t>
  </si>
  <si>
    <t>2026-09-03T14:17:19.952685</t>
  </si>
  <si>
    <t>2026-09-03T14:17:19.940637</t>
  </si>
  <si>
    <t>2026-09-03T14:17:19.920233</t>
  </si>
  <si>
    <t>2026-09-03T14:17:19.904390</t>
  </si>
  <si>
    <t>2026-09-03T14:17:19.890122</t>
  </si>
  <si>
    <t>2026-09-03T14:17:19.874106</t>
  </si>
  <si>
    <t>2026-09-03T14:17:19.858632</t>
  </si>
  <si>
    <t>2026-09-03T14:17:19.835823</t>
  </si>
  <si>
    <t>2026-09-03T14:17:19.801132</t>
  </si>
  <si>
    <t>2026-09-03T14:17:19.785150</t>
  </si>
  <si>
    <t>2026-09-03T14:17:19.729412</t>
  </si>
  <si>
    <t>2026-09-03T14:17:19.710403</t>
  </si>
  <si>
    <t>2026-09-03T14:17:19.599123</t>
  </si>
  <si>
    <t>2026-09-03T14:17:19.432007</t>
  </si>
  <si>
    <t>2026-09-03T14:17:19.404302</t>
  </si>
  <si>
    <t>2026-09-03T14:17:19.372526</t>
  </si>
  <si>
    <t>2026-09-03T14:17:19.348820</t>
  </si>
  <si>
    <t>2026-09-03T14:17:19.318582</t>
  </si>
  <si>
    <t>2026-09-03T14:17:19.286433</t>
  </si>
  <si>
    <t>2026-09-03T14:17:19.266460</t>
  </si>
  <si>
    <t>2026-09-03T14:17:19.239423</t>
  </si>
  <si>
    <t>2026-09-03T14:17:19.224336</t>
  </si>
  <si>
    <t>2026-09-03T14:17:19.202471</t>
  </si>
  <si>
    <t>2026-09-03T14:17:19.189055</t>
  </si>
  <si>
    <t>2026-09-03T14:17:19.178190</t>
  </si>
  <si>
    <t>2026-09-03T14:17:19.161280</t>
  </si>
  <si>
    <t>2026-09-03T14:17:19.147228</t>
  </si>
  <si>
    <t>2026-09-03T14:17:19.133933</t>
  </si>
  <si>
    <t>2026-09-03T14:17:19.112439</t>
  </si>
  <si>
    <t>2026-09-03T14:17:19.088974</t>
  </si>
  <si>
    <t>2026-09-03T14:17:19.058188</t>
  </si>
  <si>
    <t>2026-09-03T14:17:19.043930</t>
  </si>
  <si>
    <t>2026-09-03T14:17:19.014887</t>
  </si>
  <si>
    <t>2026-09-03T14:17:18.986520</t>
  </si>
  <si>
    <t>2026-09-03T14:17:18.971480</t>
  </si>
  <si>
    <t>2026-09-03T14:17:18.948042</t>
  </si>
  <si>
    <t>2026-09-03T14:17:18.930080</t>
  </si>
  <si>
    <t>2026-09-03T14:17:18.904340</t>
  </si>
  <si>
    <t>2026-09-03T14:17:18.885728</t>
  </si>
  <si>
    <t>2026-09-03T14:17:18.867010</t>
  </si>
  <si>
    <t>2026-09-03T14:17:18.843648</t>
  </si>
  <si>
    <t>2026-09-03T14:17:18.820052</t>
  </si>
  <si>
    <t>2026-09-03T14:17:18.776530</t>
  </si>
  <si>
    <t>2026-09-03T14:17:18.752139</t>
  </si>
  <si>
    <t>2026-09-03T14:17:00.624399</t>
  </si>
  <si>
    <t>2026-09-03T14:17:00.602801</t>
  </si>
  <si>
    <t>2026-09-03T14:17:00.578180</t>
  </si>
  <si>
    <t>2026-09-03T14:17:00.560763</t>
  </si>
  <si>
    <t>2026-09-03T14:17:00.540189</t>
  </si>
  <si>
    <t>2026-09-03T14:17:00.521817</t>
  </si>
  <si>
    <t>2026-09-03T14:17:00.505276</t>
  </si>
  <si>
    <t>2026-09-03T14:17:00.483820</t>
  </si>
  <si>
    <t>2026-09-03T14:17:00.463457</t>
  </si>
  <si>
    <t>2026-09-03T14:17:00.444639</t>
  </si>
  <si>
    <t>2026-09-03T14:17:00.426578</t>
  </si>
  <si>
    <t>2026-09-03T14:17:00.401132</t>
  </si>
  <si>
    <t>2026-09-03T14:17:00.385071</t>
  </si>
  <si>
    <t>2026-09-03T14:17:00.376510</t>
  </si>
  <si>
    <t>2026-09-03T14:17:00.344480</t>
  </si>
  <si>
    <t>2026-09-03T14:17:00.326598</t>
  </si>
  <si>
    <t>2026-09-03T14:17:00.295996</t>
  </si>
  <si>
    <t>2026-09-03T14:17:00.270448</t>
  </si>
  <si>
    <t>2026-09-03T14:17:00.255439</t>
  </si>
  <si>
    <t>2026-09-03T14:17:00.224817</t>
  </si>
  <si>
    <t>2026-09-03T14:17:00.205189</t>
  </si>
  <si>
    <t>2026-09-03T14:17:00.193266</t>
  </si>
  <si>
    <t>2026-09-03T14:17:00.173174</t>
  </si>
  <si>
    <t>2026-09-03T14:17:00.135503</t>
  </si>
  <si>
    <t>2026-09-03T14:17:00.124170</t>
  </si>
  <si>
    <t>2026-09-03T14:17:00.102180</t>
  </si>
  <si>
    <t>2026-09-03T14:17:00.073772</t>
  </si>
  <si>
    <t>2026-09-03T14:17:00.058570</t>
  </si>
  <si>
    <t>2026-09-03T14:17:00.039559</t>
  </si>
  <si>
    <t>2026-09-03T14:16:59.989223</t>
  </si>
  <si>
    <t>2026-09-03T14:16:59.981326</t>
  </si>
  <si>
    <t>2026-09-03T14:16:59.956739</t>
  </si>
  <si>
    <t>2026-09-03T14:16:59.945693</t>
  </si>
  <si>
    <t>2026-09-03T14:16:59.924614</t>
  </si>
  <si>
    <t>2026-09-03T14:16:59.893488</t>
  </si>
  <si>
    <t>2026-09-03T14:16:59.869209</t>
  </si>
  <si>
    <t>2026-09-03T14:16:59.823291</t>
  </si>
  <si>
    <t>2026-09-03T14:16:59.820548</t>
  </si>
  <si>
    <t>2026-09-03T14:16:59.786534</t>
  </si>
  <si>
    <t>2026-09-03T14:16:59.768807</t>
  </si>
  <si>
    <t>2026-09-03T14:16:59.748566</t>
  </si>
  <si>
    <t>2026-09-03T14:16:59.732807</t>
  </si>
  <si>
    <t>2026-09-03T14:16:59.706206</t>
  </si>
  <si>
    <t>2026-09-03T14:16:59.685308</t>
  </si>
  <si>
    <t>2026-09-03T14:16:59.651509</t>
  </si>
  <si>
    <t>2026-09-03T14:16:59.625852</t>
  </si>
  <si>
    <t>2026-09-03T14:16:59.600512</t>
  </si>
  <si>
    <t>2026-09-03T14:16:59.572685</t>
  </si>
  <si>
    <t>2026-09-03T14:16:52.291929</t>
  </si>
  <si>
    <t>2026-09-03T14:16:52.272527</t>
  </si>
  <si>
    <t>2026-09-03T14:16:52.250040</t>
  </si>
  <si>
    <t>2026-09-03T14:16:52.232944</t>
  </si>
  <si>
    <t>2026-09-03T14:16:52.195572</t>
  </si>
  <si>
    <t>2026-09-03T14:16:52.172767</t>
  </si>
  <si>
    <t>2026-09-03T14:16:52.154078</t>
  </si>
  <si>
    <t>2026-09-03T14:16:52.122735</t>
  </si>
  <si>
    <t>2026-09-03T14:16:52.116634</t>
  </si>
  <si>
    <t>2026-09-03T14:16:52.092116</t>
  </si>
  <si>
    <t>2026-09-03T14:16:52.076527</t>
  </si>
  <si>
    <t>2026-09-03T14:16:52.052966</t>
  </si>
  <si>
    <t>2026-09-03T14:16:52.039427</t>
  </si>
  <si>
    <t>2026-09-03T14:16:52.010901</t>
  </si>
  <si>
    <t>2026-09-03T14:16:51.991836</t>
  </si>
  <si>
    <t>2026-09-03T14:16:51.971361</t>
  </si>
  <si>
    <t>2026-09-03T14:16:51.951759</t>
  </si>
  <si>
    <t>2026-09-03T14:16:51.930023</t>
  </si>
  <si>
    <t>2026-09-03T14:16:51.914884</t>
  </si>
  <si>
    <t>2026-09-03T14:16:51.899720</t>
  </si>
  <si>
    <t>2026-09-03T14:16:51.888539</t>
  </si>
  <si>
    <t>2026-09-03T14:16:51.867941</t>
  </si>
  <si>
    <t>2026-09-03T14:16:51.852151</t>
  </si>
  <si>
    <t>2026-09-03T14:16:51.826689</t>
  </si>
  <si>
    <t>2026-09-03T14:16:51.757334</t>
  </si>
  <si>
    <t>2026-09-03T14:16:51.588756</t>
  </si>
  <si>
    <t>2026-09-03T14:16:51.489137</t>
  </si>
  <si>
    <t>2026-09-03T14:16:51.425318</t>
  </si>
  <si>
    <t>2026-09-03T14:16:51.398530</t>
  </si>
  <si>
    <t>2026-09-03T14:16:51.378059</t>
  </si>
  <si>
    <t>2026-09-03T14:16:51.354710</t>
  </si>
  <si>
    <t>2026-09-03T14:16:51.326389</t>
  </si>
  <si>
    <t>2026-09-03T14:16:51.303897</t>
  </si>
  <si>
    <t>2026-09-03T14:16:51.291382</t>
  </si>
  <si>
    <t>2026-09-03T14:16:51.270411</t>
  </si>
  <si>
    <t>2026-09-03T14:16:51.242337</t>
  </si>
  <si>
    <t>2026-09-03T14:16:51.228023</t>
  </si>
  <si>
    <t>2026-09-03T14:16:51.212573</t>
  </si>
  <si>
    <t>2026-09-03T14:16:51.202643</t>
  </si>
  <si>
    <t>2026-09-03T14:16:51.171518</t>
  </si>
  <si>
    <t>2026-09-03T14:16:51.137097</t>
  </si>
  <si>
    <t>2026-09-03T14:16:51.116432</t>
  </si>
  <si>
    <t>2026-09-03T14:16:51.103430</t>
  </si>
  <si>
    <t>2026-09-03T14:16:51.091580</t>
  </si>
  <si>
    <t>2026-09-03T14:16:51.054735</t>
  </si>
  <si>
    <t>2026-09-03T14:16:51.029530</t>
  </si>
  <si>
    <t>2026-09-03T14:16:51.014156</t>
  </si>
  <si>
    <t>2026-09-03T14:16:50.984601</t>
  </si>
  <si>
    <t>2026-09-03T14:16:50.972960</t>
  </si>
  <si>
    <t>2026-09-03T14:16:50.957133</t>
  </si>
  <si>
    <t>2026-09-03T14:16:50.937369</t>
  </si>
  <si>
    <t>2026-09-03T14:16:50.895758</t>
  </si>
  <si>
    <t>2026-09-03T14:16:50.855306</t>
  </si>
  <si>
    <t>2026-09-03T14:16:50.833865</t>
  </si>
  <si>
    <t>2026-09-03T14:16:50.809829</t>
  </si>
  <si>
    <t>2026-09-03T14:16:50.799449</t>
  </si>
  <si>
    <t>2026-09-03T14:16:50.780529</t>
  </si>
  <si>
    <t>2026-09-03T14:16:50.765832</t>
  </si>
  <si>
    <t>2026-09-03T14:16:50.750135</t>
  </si>
  <si>
    <t>2026-09-03T14:16:50.735594</t>
  </si>
  <si>
    <t>2026-09-03T14:16:50.711768</t>
  </si>
  <si>
    <t>2026-09-03T14:16:50.690556</t>
  </si>
  <si>
    <t>2026-09-03T14:16:50.657800</t>
  </si>
  <si>
    <t>2026-09-03T14:16:50.627299</t>
  </si>
  <si>
    <t>2026-09-03T14:16:50.596755</t>
  </si>
  <si>
    <t>2026-09-03T14:16:50.564581</t>
  </si>
  <si>
    <t>2026-09-03T14:16:50.555993</t>
  </si>
  <si>
    <t>2026-09-03T14:16:50.525105</t>
  </si>
  <si>
    <t>2026-09-03T14:16:50.515770</t>
  </si>
  <si>
    <t>2026-09-03T14:16:50.489623</t>
  </si>
  <si>
    <t>2026-09-03T14:16:50.467503</t>
  </si>
  <si>
    <t>2026-09-03T14:16:50.448972</t>
  </si>
  <si>
    <t>2026-09-03T14:16:50.428802</t>
  </si>
  <si>
    <t>2026-09-03T14:16:50.389530</t>
  </si>
  <si>
    <t>2026-09-03T14:16:50.366292</t>
  </si>
  <si>
    <t>2026-09-03T14:16:50.348191</t>
  </si>
  <si>
    <t>2026-09-03T14:16:43.125557</t>
  </si>
  <si>
    <t>2026-09-03T14:16:43.104481</t>
  </si>
  <si>
    <t>2026-09-03T14:16:43.085715</t>
  </si>
  <si>
    <t>2026-09-03T14:16:43.071264</t>
  </si>
  <si>
    <t>2026-09-03T14:16:43.058614</t>
  </si>
  <si>
    <t>2026-09-03T14:16:43.046153</t>
  </si>
  <si>
    <t>2026-09-03T14:16:43.021637</t>
  </si>
  <si>
    <t>2026-09-03T14:16:43.001625</t>
  </si>
  <si>
    <t>2026-09-03T14:16:42.981709</t>
  </si>
  <si>
    <t>2026-09-03T14:16:42.965417</t>
  </si>
  <si>
    <t>2026-09-03T14:16:42.938048</t>
  </si>
  <si>
    <t>2026-09-03T14:16:42.923946</t>
  </si>
  <si>
    <t>2026-09-03T14:16:42.902651</t>
  </si>
  <si>
    <t>2026-09-03T14:16:42.882713</t>
  </si>
  <si>
    <t>2026-09-03T14:16:42.861905</t>
  </si>
  <si>
    <t>2026-09-03T14:16:42.817796</t>
  </si>
  <si>
    <t>2026-09-03T14:16:42.802915</t>
  </si>
  <si>
    <t>2026-09-03T14:16:42.784249</t>
  </si>
  <si>
    <t>2026-09-03T14:16:42.767293</t>
  </si>
  <si>
    <t>2026-09-03T14:16:42.740046</t>
  </si>
  <si>
    <t>2026-09-03T14:16:42.713031</t>
  </si>
  <si>
    <t>2026-09-03T14:16:42.689971</t>
  </si>
  <si>
    <t>2026-09-03T14:16:42.645602</t>
  </si>
  <si>
    <t>2026-09-03T14:16:42.602361</t>
  </si>
  <si>
    <t>2026-09-03T14:16:42.541989</t>
  </si>
  <si>
    <t>2026-09-03T14:16:42.526032</t>
  </si>
  <si>
    <t>2026-09-03T14:16:42.501803</t>
  </si>
  <si>
    <t>2026-09-03T14:16:42.473425</t>
  </si>
  <si>
    <t>2026-09-03T14:16:42.444470</t>
  </si>
  <si>
    <t>2026-09-03T14:16:42.422110</t>
  </si>
  <si>
    <t>2026-09-03T14:16:42.409638</t>
  </si>
  <si>
    <t>2026-09-03T14:16:42.389259</t>
  </si>
  <si>
    <t>2026-09-03T14:16:42.367341</t>
  </si>
  <si>
    <t>2026-09-03T14:16:42.355253</t>
  </si>
  <si>
    <t>2026-09-03T14:16:42.328107</t>
  </si>
  <si>
    <t>2026-09-03T14:16:42.313906</t>
  </si>
  <si>
    <t>2026-09-03T14:16:42.293040</t>
  </si>
  <si>
    <t>2026-09-03T14:16:42.280192</t>
  </si>
  <si>
    <t>2026-09-03T14:16:42.264413</t>
  </si>
  <si>
    <t>2026-09-03T14:16:42.243209</t>
  </si>
  <si>
    <t>2026-09-03T14:16:42.229714</t>
  </si>
  <si>
    <t>2026-09-03T14:16:42.210328</t>
  </si>
  <si>
    <t>2026-09-03T14:16:42.196698</t>
  </si>
  <si>
    <t>2026-09-03T14:16:42.180541</t>
  </si>
  <si>
    <t>2026-09-03T14:16:42.167549</t>
  </si>
  <si>
    <t>2026-09-03T14:16:42.153819</t>
  </si>
  <si>
    <t>2026-09-03T14:16:42.140819</t>
  </si>
  <si>
    <t>2026-09-03T14:16:42.122029</t>
  </si>
  <si>
    <t>2026-09-03T14:16:42.101073</t>
  </si>
  <si>
    <t>2026-09-03T14:16:42.084512</t>
  </si>
  <si>
    <t>2026-09-03T14:16:42.047042</t>
  </si>
  <si>
    <t>2026-09-03T14:16:42.034796</t>
  </si>
  <si>
    <t>2026-09-03T14:16:42.014675</t>
  </si>
  <si>
    <t>2026-09-03T14:16:41.984635</t>
  </si>
  <si>
    <t>2026-09-03T14:16:41.966151</t>
  </si>
  <si>
    <t>2026-09-03T14:16:41.944082</t>
  </si>
  <si>
    <t>2026-09-03T14:16:41.927116</t>
  </si>
  <si>
    <t>2026-09-03T14:16:41.902739</t>
  </si>
  <si>
    <t>2026-09-03T14:16:41.897722</t>
  </si>
  <si>
    <t>2026-09-03T14:16:41.878860</t>
  </si>
  <si>
    <t>2026-09-03T14:16:41.864085</t>
  </si>
  <si>
    <t>2026-09-03T14:16:41.834792</t>
  </si>
  <si>
    <t>2026-09-03T14:16:41.814003</t>
  </si>
  <si>
    <t>2026-09-03T14:16:41.800108</t>
  </si>
  <si>
    <t>2026-09-03T14:16:41.778724</t>
  </si>
  <si>
    <t>2026-09-03T14:16:41.769830</t>
  </si>
  <si>
    <t>2026-09-03T14:16:41.757461</t>
  </si>
  <si>
    <t>2026-09-03T14:16:41.736843</t>
  </si>
  <si>
    <t>2026-09-03T14:16:41.717942</t>
  </si>
  <si>
    <t>2026-09-03T14:16:41.702645</t>
  </si>
  <si>
    <t>2026-09-03T14:16:41.686979</t>
  </si>
  <si>
    <t>2026-09-03T14:16:41.673758</t>
  </si>
  <si>
    <t>2026-09-03T14:16:41.660939</t>
  </si>
  <si>
    <t>2026-09-03T14:16:41.645741</t>
  </si>
  <si>
    <t>2026-09-03T14:16:41.626559</t>
  </si>
  <si>
    <t>2026-09-03T14:16:41.600749</t>
  </si>
  <si>
    <t>2026-09-03T14:16:41.562201</t>
  </si>
  <si>
    <t>2026-09-03T14:16:41.491766</t>
  </si>
  <si>
    <t>2026-09-03T14:16:41.395744</t>
  </si>
  <si>
    <t>2026-09-03T14:16:41.290016</t>
  </si>
  <si>
    <t>2026-09-03T14:16:41.196326</t>
  </si>
  <si>
    <t>2026-09-03T14:16:41.178168</t>
  </si>
  <si>
    <t>2026-09-03T14:16:41.160123</t>
  </si>
  <si>
    <t>2026-09-03T14:16:41.144530</t>
  </si>
  <si>
    <t>2026-09-03T14:16:41.133889</t>
  </si>
  <si>
    <t>2026-09-03T14:16:41.111555</t>
  </si>
  <si>
    <t>2026-09-03T14:16:41.092346</t>
  </si>
  <si>
    <t>2026-09-03T14:16:41.072969</t>
  </si>
  <si>
    <t>2026-09-03T14:16:41.057119</t>
  </si>
  <si>
    <t>2026-09-03T14:16:41.037616</t>
  </si>
  <si>
    <t>2026-09-03T14:16:41.012623</t>
  </si>
  <si>
    <t>2026-09-03T14:16:40.975120</t>
  </si>
  <si>
    <t>2026-09-03T14:16:40.944393</t>
  </si>
  <si>
    <t>2026-09-03T14:16:40.906971</t>
  </si>
  <si>
    <t>2026-09-03T14:16:40.878067</t>
  </si>
  <si>
    <t>2026-09-03T14:16:40.833481</t>
  </si>
  <si>
    <t>2026-09-03T14:16:40.791102</t>
  </si>
  <si>
    <t>2026-09-03T14:16:40.761930</t>
  </si>
  <si>
    <t>2026-09-03T14:16:40.721989</t>
  </si>
  <si>
    <t>2026-09-03T14:16:40.712378</t>
  </si>
  <si>
    <t>2026-09-03T14:16:40.693998</t>
  </si>
  <si>
    <t>2026-09-03T14:16:40.687595</t>
  </si>
  <si>
    <t>2026-09-03T14:16:40.675691</t>
  </si>
  <si>
    <t>2026-09-03T14:16:40.659984</t>
  </si>
  <si>
    <t>2026-09-03T14:16:40.649140</t>
  </si>
  <si>
    <t>2026-09-03T14:16:40.633446</t>
  </si>
  <si>
    <t>2026-09-03T14:16:40.620264</t>
  </si>
  <si>
    <t>2026-09-03T14:16:40.603479</t>
  </si>
  <si>
    <t>2026-09-03T14:16:40.595146</t>
  </si>
  <si>
    <t>2026-09-03T14:16:40.575803</t>
  </si>
  <si>
    <t>2026-09-03T14:16:40.559926</t>
  </si>
  <si>
    <t>2026-09-03T14:16:40.532715</t>
  </si>
  <si>
    <t>2026-09-03T14:16:40.503244</t>
  </si>
  <si>
    <t>2026-09-03T14:16:40.466562</t>
  </si>
  <si>
    <t>2026-09-03T14:16:40.447371</t>
  </si>
  <si>
    <t>2026-09-03T14:16:40.428341</t>
  </si>
  <si>
    <t>2026-09-03T14:16:40.410867</t>
  </si>
  <si>
    <t>2026-09-03T14:16:40.393137</t>
  </si>
  <si>
    <t>2026-09-03T14:16:40.375417</t>
  </si>
  <si>
    <t>2026-09-03T14:16:40.355555</t>
  </si>
  <si>
    <t>2026-09-03T14:16:40.325857</t>
  </si>
  <si>
    <t>2026-09-03T14:16:40.316672</t>
  </si>
  <si>
    <t>2026-09-03T14:16:40.293631</t>
  </si>
  <si>
    <t>2026-09-03T14:16:40.263528</t>
  </si>
  <si>
    <t>2026-09-03T14:16:40.252970</t>
  </si>
  <si>
    <t>2026-09-03T14:16:40.225761</t>
  </si>
  <si>
    <t>2026-09-03T14:16:40.202603</t>
  </si>
  <si>
    <t>2026-09-03T14:16:40.175175</t>
  </si>
  <si>
    <t>2026-09-03T14:16:40.155290</t>
  </si>
  <si>
    <t>2026-09-03T14:16:40.133328</t>
  </si>
  <si>
    <t>2026-09-03T14:16:40.119954</t>
  </si>
  <si>
    <t>2026-09-03T14:16:40.104135</t>
  </si>
  <si>
    <t>2026-09-03T14:16:40.083198</t>
  </si>
  <si>
    <t>2026-09-03T14:16:40.070146</t>
  </si>
  <si>
    <t>2026-09-03T14:16:40.059400</t>
  </si>
  <si>
    <t>2026-09-03T14:16:40.042412</t>
  </si>
  <si>
    <t>2026-09-03T14:16:40.021081</t>
  </si>
  <si>
    <t>2026-09-03T14:16:40.004358</t>
  </si>
  <si>
    <t>2026-09-03T14:16:39.986665</t>
  </si>
  <si>
    <t>2026-09-03T14:16:39.951633</t>
  </si>
  <si>
    <t>2026-09-03T14:16:39.933218</t>
  </si>
  <si>
    <t>2026-09-03T14:16:39.914881</t>
  </si>
  <si>
    <t>2026-09-03T14:16:39.889445</t>
  </si>
  <si>
    <t>2026-09-03T14:16:39.882182</t>
  </si>
  <si>
    <t>2026-09-03T14:16:39.856049</t>
  </si>
  <si>
    <t>2026-09-03T14:16:39.828769</t>
  </si>
  <si>
    <t>2026-09-03T14:16:39.808272</t>
  </si>
  <si>
    <t>2026-09-03T14:16:39.785698</t>
  </si>
  <si>
    <t>2026-09-03T14:16:39.760024</t>
  </si>
  <si>
    <t>2026-09-03T14:16:39.728031</t>
  </si>
  <si>
    <t>2026-09-03T14:16:39.688895</t>
  </si>
  <si>
    <t>2026-09-03T14:16:39.684093</t>
  </si>
  <si>
    <t>2026-09-03T14:16:39.661822</t>
  </si>
  <si>
    <t>2026-09-03T14:16:39.649003</t>
  </si>
  <si>
    <t>2026-09-03T14:16:39.614218</t>
  </si>
  <si>
    <t>2026-09-03T14:16:39.587247</t>
  </si>
  <si>
    <t>2026-09-03T14:16:39.566721</t>
  </si>
  <si>
    <t>2026-09-03T14:16:39.539794</t>
  </si>
  <si>
    <t>2026-09-03T14:16:39.518307</t>
  </si>
  <si>
    <t>2026-09-03T14:16:39.479875</t>
  </si>
  <si>
    <t>2026-09-03T14:16:39.448911</t>
  </si>
  <si>
    <t>2026-09-03T14:16:39.418496</t>
  </si>
  <si>
    <t>2026-09-03T14:16:39.403050</t>
  </si>
  <si>
    <t>2026-09-03T14:16:39.385948</t>
  </si>
  <si>
    <t>2026-09-03T14:16:39.356919</t>
  </si>
  <si>
    <t>2026-09-03T14:16:39.324114</t>
  </si>
  <si>
    <t>2026-09-03T14:16:39.301385</t>
  </si>
  <si>
    <t>2026-09-03T14:16:39.261990</t>
  </si>
  <si>
    <t>2026-09-03T14:16:39.251990</t>
  </si>
  <si>
    <t>2026-09-03T14:16:39.236694</t>
  </si>
  <si>
    <t>2026-09-03T14:16:39.201719</t>
  </si>
  <si>
    <t>2026-09-03T14:16:39.165788</t>
  </si>
  <si>
    <t>2026-09-03T14:16:39.131778</t>
  </si>
  <si>
    <t>2026-09-03T14:16:39.111513</t>
  </si>
  <si>
    <t>2026-09-03T14:16:39.087896</t>
  </si>
  <si>
    <t>2026-09-03T14:16:39.070256</t>
  </si>
  <si>
    <t>2026-09-03T14:16:39.046182</t>
  </si>
  <si>
    <t>2026-09-03T14:16:39.034595</t>
  </si>
  <si>
    <t>2026-09-03T14:16:39.017074</t>
  </si>
  <si>
    <t>2026-09-03T14:16:39.002836</t>
  </si>
  <si>
    <t>2026-09-03T14:16:38.984522</t>
  </si>
  <si>
    <t>2026-09-03T14:16:38.955229</t>
  </si>
  <si>
    <t>2026-09-03T14:16:38.926013</t>
  </si>
  <si>
    <t>2026-09-03T14:16:38.903584</t>
  </si>
  <si>
    <t>2026-09-03T14:16:38.885310</t>
  </si>
  <si>
    <t>2026-09-03T14:16:38.869473</t>
  </si>
  <si>
    <t>2026-09-03T14:16:38.850797</t>
  </si>
  <si>
    <t>2026-09-03T14:16:38.836516</t>
  </si>
  <si>
    <t>2026-09-03T14:16:38.822353</t>
  </si>
  <si>
    <t>2026-09-03T14:16:38.812347</t>
  </si>
  <si>
    <t>2026-09-03T14:16:38.800052</t>
  </si>
  <si>
    <t>2026-09-03T14:16:38.785892</t>
  </si>
  <si>
    <t>2026-09-03T14:16:38.772752</t>
  </si>
  <si>
    <t>2026-09-03T14:16:38.759439</t>
  </si>
  <si>
    <t>2026-09-03T14:16:38.743177</t>
  </si>
  <si>
    <t>2026-09-03T14:16:38.723014</t>
  </si>
  <si>
    <t>2026-09-03T14:16:38.705439</t>
  </si>
  <si>
    <t>2026-09-03T14:16:38.689757</t>
  </si>
  <si>
    <t>2026-09-03T14:16:38.675007</t>
  </si>
  <si>
    <t>2026-09-03T14:16:38.661481</t>
  </si>
  <si>
    <t>2026-09-03T14:16:38.650633</t>
  </si>
  <si>
    <t>2026-09-03T14:16:38.640754</t>
  </si>
  <si>
    <t>2026-09-03T14:16:38.625770</t>
  </si>
  <si>
    <t>2026-09-03T14:16:38.616672</t>
  </si>
  <si>
    <t>2026-09-03T14:16:31.362587</t>
  </si>
  <si>
    <t>2026-09-03T14:16:31.337527</t>
  </si>
  <si>
    <t>2026-09-03T14:16:31.314644</t>
  </si>
  <si>
    <t>2026-09-03T14:16:31.300675</t>
  </si>
  <si>
    <t>2026-09-03T14:16:31.284926</t>
  </si>
  <si>
    <t>2026-09-03T14:16:31.273370</t>
  </si>
  <si>
    <t>2026-09-03T14:16:31.246155</t>
  </si>
  <si>
    <t>2026-09-03T14:16:31.244636</t>
  </si>
  <si>
    <t>2026-09-03T14:16:31.229194</t>
  </si>
  <si>
    <t>2026-09-03T14:16:31.167038</t>
  </si>
  <si>
    <t>2026-09-03T14:16:31.101956</t>
  </si>
  <si>
    <t>2026-09-03T14:16:31.078004</t>
  </si>
  <si>
    <t>2026-09-03T14:16:22.691541</t>
  </si>
  <si>
    <t>2026-09-03T14:16:22.675505</t>
  </si>
  <si>
    <t>2026-09-03T14:16:22.656321</t>
  </si>
  <si>
    <t>2026-09-03T14:16:22.636632</t>
  </si>
  <si>
    <t>2026-09-03T14:16:22.616522</t>
  </si>
  <si>
    <t>2026-09-03T14:16:22.599778</t>
  </si>
  <si>
    <t>2026-09-03T14:16:22.579185</t>
  </si>
  <si>
    <t>2026-09-03T14:16:22.559709</t>
  </si>
  <si>
    <t>2026-09-03T14:16:22.532880</t>
  </si>
  <si>
    <t>2026-09-03T14:16:22.515624</t>
  </si>
  <si>
    <t>2026-09-03T14:16:22.485681</t>
  </si>
  <si>
    <t>2026-09-03T14:16:22.419830</t>
  </si>
  <si>
    <t>2026-09-03T14:16:22.397165</t>
  </si>
  <si>
    <t>2026-09-03T14:16:22.384559</t>
  </si>
  <si>
    <t>2026-09-03T14:16:22.368089</t>
  </si>
  <si>
    <t>2026-09-03T14:16:22.360103</t>
  </si>
  <si>
    <t>2026-09-03T14:16:22.325685</t>
  </si>
  <si>
    <t>2026-09-03T14:16:22.304095</t>
  </si>
  <si>
    <t>2026-09-03T14:16:22.280369</t>
  </si>
  <si>
    <t>2026-09-03T14:16:22.260596</t>
  </si>
  <si>
    <t>2026-09-03T14:16:22.234031</t>
  </si>
  <si>
    <t>2026-09-03T14:16:22.207932</t>
  </si>
  <si>
    <t>2026-09-03T14:16:22.176560</t>
  </si>
  <si>
    <t>2026-09-03T14:16:22.153240</t>
  </si>
  <si>
    <t>2026-09-03T14:16:22.133864</t>
  </si>
  <si>
    <t>2026-09-03T14:16:22.115096</t>
  </si>
  <si>
    <t>2026-09-03T14:16:22.098714</t>
  </si>
  <si>
    <t>2026-09-03T14:16:22.074131</t>
  </si>
  <si>
    <t>2026-09-03T14:16:22.058221</t>
  </si>
  <si>
    <t>2026-09-03T14:16:22.036297</t>
  </si>
  <si>
    <t>2026-09-03T14:16:22.011015</t>
  </si>
  <si>
    <t>2026-09-03T14:16:21.993195</t>
  </si>
  <si>
    <t>2026-09-03T14:16:21.970411</t>
  </si>
  <si>
    <t>2026-09-03T14:16:21.948821</t>
  </si>
  <si>
    <t>2026-09-03T14:16:21.911043</t>
  </si>
  <si>
    <t>2026-09-03T14:16:21.898864</t>
  </si>
  <si>
    <t>2026-09-03T14:16:21.869780</t>
  </si>
  <si>
    <t>2026-09-03T14:16:21.840687</t>
  </si>
  <si>
    <t>2026-09-03T14:16:21.829418</t>
  </si>
  <si>
    <t>2026-09-03T14:16:21.803384</t>
  </si>
  <si>
    <t>2026-09-03T14:16:21.781303</t>
  </si>
  <si>
    <t>2026-09-03T14:16:21.762363</t>
  </si>
  <si>
    <t>2026-09-03T14:16:21.740828</t>
  </si>
  <si>
    <t>2026-09-03T14:16:21.711780</t>
  </si>
  <si>
    <t>2026-09-03T14:16:21.674931</t>
  </si>
  <si>
    <t>2026-09-03T14:16:21.666558</t>
  </si>
  <si>
    <t>2026-09-03T14:16:21.641853</t>
  </si>
  <si>
    <t>2026-09-03T14:16:21.628680</t>
  </si>
  <si>
    <t>2026-09-03T14:16:21.600452</t>
  </si>
  <si>
    <t>2026-09-03T14:16:21.582602</t>
  </si>
  <si>
    <t>2026-09-03T14:16:21.561024</t>
  </si>
  <si>
    <t>2026-09-03T14:16:21.540696</t>
  </si>
  <si>
    <t>2026-09-03T14:16:21.509544</t>
  </si>
  <si>
    <t>2026-09-03T14:16:21.498662</t>
  </si>
  <si>
    <t>2026-09-03T14:16:21.475004</t>
  </si>
  <si>
    <t>2026-09-03T14:16:21.445785</t>
  </si>
  <si>
    <t>2026-09-03T14:16:07.763290</t>
  </si>
  <si>
    <t>2026-09-03T14:16:07.751107</t>
  </si>
  <si>
    <t>2026-09-03T14:16:07.736850</t>
  </si>
  <si>
    <t>2026-09-03T14:16:07.724056</t>
  </si>
  <si>
    <t>2026-09-03T14:16:07.702732</t>
  </si>
  <si>
    <t>2026-09-03T14:16:07.687955</t>
  </si>
  <si>
    <t>2026-09-03T14:16:07.660628</t>
  </si>
  <si>
    <t>2026-09-03T14:16:07.644723</t>
  </si>
  <si>
    <t>2026-09-03T14:16:07.623147</t>
  </si>
  <si>
    <t>2026-09-03T14:16:07.591646</t>
  </si>
  <si>
    <t>2026-09-03T14:16:07.568475</t>
  </si>
  <si>
    <t>2026-09-03T14:16:07.548036</t>
  </si>
  <si>
    <t>2026-09-03T14:16:07.527586</t>
  </si>
  <si>
    <t>2026-09-03T14:16:07.515136</t>
  </si>
  <si>
    <t>2026-09-03T14:16:07.495686</t>
  </si>
  <si>
    <t>2026-09-03T14:16:07.479796</t>
  </si>
  <si>
    <t>2026-09-03T14:16:07.470119</t>
  </si>
  <si>
    <t>2026-09-03T14:16:07.446167</t>
  </si>
  <si>
    <t>2026-09-03T14:16:07.432069</t>
  </si>
  <si>
    <t>2026-09-03T14:16:07.419811</t>
  </si>
  <si>
    <t>2026-09-03T14:16:07.411436</t>
  </si>
  <si>
    <t>2026-09-03T14:16:07.382660</t>
  </si>
  <si>
    <t>2026-09-03T14:16:07.367142</t>
  </si>
  <si>
    <t>2026-09-03T14:16:07.348438</t>
  </si>
  <si>
    <t>2026-09-03T14:16:07.319608</t>
  </si>
  <si>
    <t>2026-09-03T14:16:07.299238</t>
  </si>
  <si>
    <t>2026-09-03T14:16:07.287781</t>
  </si>
  <si>
    <t>2026-09-03T14:16:07.242379</t>
  </si>
  <si>
    <t>2026-09-03T14:16:07.188348</t>
  </si>
  <si>
    <t>2026-09-03T14:16:07.131555</t>
  </si>
  <si>
    <t>2026-09-03T14:16:07.061323</t>
  </si>
  <si>
    <t>2026-09-03T14:16:07.048956</t>
  </si>
  <si>
    <t>2026-09-03T14:16:07.034157</t>
  </si>
  <si>
    <t>2026-09-03T14:16:07.016715</t>
  </si>
  <si>
    <t>2026-09-03T14:16:06.993961</t>
  </si>
  <si>
    <t>2026-09-03T14:16:06.976207</t>
  </si>
  <si>
    <t>2026-09-03T14:16:06.959246</t>
  </si>
  <si>
    <t>2026-09-03T14:16:06.939223</t>
  </si>
  <si>
    <t>2026-09-03T14:16:06.904436</t>
  </si>
  <si>
    <t>2026-09-03T14:16:06.882401</t>
  </si>
  <si>
    <t>2026-09-03T14:16:06.860957</t>
  </si>
  <si>
    <t>2026-09-03T14:16:06.836498</t>
  </si>
  <si>
    <t>2026-09-03T14:16:06.813660</t>
  </si>
  <si>
    <t>2026-09-03T14:16:06.779727</t>
  </si>
  <si>
    <t>2026-09-03T14:16:06.754100</t>
  </si>
  <si>
    <t>2026-09-03T14:16:06.736895</t>
  </si>
  <si>
    <t>2026-09-03T14:16:06.682391</t>
  </si>
  <si>
    <t>2026-09-03T14:16:06.652337</t>
  </si>
  <si>
    <t>2026-09-03T14:16:06.610656</t>
  </si>
  <si>
    <t>2026-09-03T14:16:06.578034</t>
  </si>
  <si>
    <t>2026-09-03T14:16:06.507885</t>
  </si>
  <si>
    <t>2026-09-03T14:16:06.459933</t>
  </si>
  <si>
    <t>2026-09-03T14:16:06.431056</t>
  </si>
  <si>
    <t>2026-09-03T14:16:06.396246</t>
  </si>
  <si>
    <t>2026-09-03T14:16:06.376273</t>
  </si>
  <si>
    <t>2026-09-03T14:16:06.354757</t>
  </si>
  <si>
    <t>2026-09-03T14:16:06.338163</t>
  </si>
  <si>
    <t>2026-09-03T14:16:06.317196</t>
  </si>
  <si>
    <t>2026-09-03T14:16:06.296494</t>
  </si>
  <si>
    <t>2026-09-03T14:16:06.278561</t>
  </si>
  <si>
    <t>2026-09-03T14:16:06.261638</t>
  </si>
  <si>
    <t>2026-09-03T14:16:06.248600</t>
  </si>
  <si>
    <t>2026-09-03T14:16:06.234968</t>
  </si>
  <si>
    <t>2026-09-03T14:16:06.211217</t>
  </si>
  <si>
    <t>2026-09-03T14:16:06.200643</t>
  </si>
  <si>
    <t>2026-09-03T14:16:06.174798</t>
  </si>
  <si>
    <t>2026-09-03T14:16:06.160230</t>
  </si>
  <si>
    <t>2026-09-03T14:16:06.132439</t>
  </si>
  <si>
    <t>2026-09-03T14:16:06.116379</t>
  </si>
  <si>
    <t>2026-09-03T14:16:06.102543</t>
  </si>
  <si>
    <t>2026-09-03T14:16:06.077845</t>
  </si>
  <si>
    <t>2026-09-03T14:16:06.062716</t>
  </si>
  <si>
    <t>2026-09-03T14:16:06.052556</t>
  </si>
  <si>
    <t>2026-09-03T14:16:06.035201</t>
  </si>
  <si>
    <t>2026-09-03T14:16:06.016665</t>
  </si>
  <si>
    <t>2026-09-03T14:16:05.999061</t>
  </si>
  <si>
    <t>2026-09-03T14:16:05.985114</t>
  </si>
  <si>
    <t>2026-09-03T14:16:05.971414</t>
  </si>
  <si>
    <t>2026-09-03T14:16:05.956969</t>
  </si>
  <si>
    <t>2026-09-03T14:16:05.942593</t>
  </si>
  <si>
    <t>2026-09-03T14:16:05.935308</t>
  </si>
  <si>
    <t>2026-09-03T14:16:05.925498</t>
  </si>
  <si>
    <t>2026-09-03T14:16:05.909209</t>
  </si>
  <si>
    <t>2026-09-03T14:16:05.894471</t>
  </si>
  <si>
    <t>2026-09-03T14:16:05.882962</t>
  </si>
  <si>
    <t>2026-09-03T14:16:05.863585</t>
  </si>
  <si>
    <t>2026-09-03T14:16:05.852205</t>
  </si>
  <si>
    <t>2026-09-03T14:16:05.828987</t>
  </si>
  <si>
    <t>2026-09-03T14:16:05.807267</t>
  </si>
  <si>
    <t>2026-09-03T14:16:05.792125</t>
  </si>
  <si>
    <t>2026-09-03T14:16:05.769509</t>
  </si>
  <si>
    <t>2026-09-03T14:16:05.752302</t>
  </si>
  <si>
    <t>2026-09-03T14:16:05.738814</t>
  </si>
  <si>
    <t>2026-09-03T14:16:05.726186</t>
  </si>
  <si>
    <t>2026-09-03T14:16:05.705011</t>
  </si>
  <si>
    <t>2026-09-03T14:16:05.687952</t>
  </si>
  <si>
    <t>2026-09-03T14:16:05.660561</t>
  </si>
  <si>
    <t>2026-09-03T14:16:05.639994</t>
  </si>
  <si>
    <t>2026-09-03T14:16:05.623078</t>
  </si>
  <si>
    <t>2026-09-03T14:16:05.602882</t>
  </si>
  <si>
    <t>2026-09-03T14:16:05.591961</t>
  </si>
  <si>
    <t>2026-09-03T14:16:05.572809</t>
  </si>
  <si>
    <t>2026-09-03T14:16:05.549381</t>
  </si>
  <si>
    <t>2026-09-03T14:16:05.535830</t>
  </si>
  <si>
    <t>2026-09-03T14:16:05.519756</t>
  </si>
  <si>
    <t>2026-09-03T14:16:05.488941</t>
  </si>
  <si>
    <t>2026-09-03T14:16:05.465208</t>
  </si>
  <si>
    <t>2026-09-03T14:16:05.445672</t>
  </si>
  <si>
    <t>2026-09-03T14:16:05.431902</t>
  </si>
  <si>
    <t>2026-09-03T14:16:05.405520</t>
  </si>
  <si>
    <t>2026-09-03T14:16:05.391804</t>
  </si>
  <si>
    <t>2026-09-03T14:16:05.368840</t>
  </si>
  <si>
    <t>2026-09-03T14:16:05.349131</t>
  </si>
  <si>
    <t>2026-09-03T14:16:05.334243</t>
  </si>
  <si>
    <t>2026-09-03T14:15:59.199159</t>
  </si>
  <si>
    <t>2026-09-03T14:15:59.167642</t>
  </si>
  <si>
    <t>2026-09-03T14:15:59.139621</t>
  </si>
  <si>
    <t>2026-09-03T14:15:59.115840</t>
  </si>
  <si>
    <t>2026-09-03T14:15:59.097022</t>
  </si>
  <si>
    <t>2026-09-03T14:15:59.069735</t>
  </si>
  <si>
    <t>2026-09-03T14:15:59.054614</t>
  </si>
  <si>
    <t>2026-09-03T14:15:59.034861</t>
  </si>
  <si>
    <t>2026-09-03T14:15:59.013025</t>
  </si>
  <si>
    <t>2026-09-03T14:15:58.985303</t>
  </si>
  <si>
    <t>2026-09-03T14:15:58.964403</t>
  </si>
  <si>
    <t>2026-09-03T14:15:58.935146</t>
  </si>
  <si>
    <t>2026-09-03T14:15:58.921640</t>
  </si>
  <si>
    <t>2026-09-03T14:15:58.902324</t>
  </si>
  <si>
    <t>2026-09-03T14:15:58.881529</t>
  </si>
  <si>
    <t>2026-09-03T14:15:42.356498</t>
  </si>
  <si>
    <t>2026-09-03T14:15:42.345181</t>
  </si>
  <si>
    <t>2026-09-03T14:15:42.321739</t>
  </si>
  <si>
    <t>2026-09-03T14:15:42.306342</t>
  </si>
  <si>
    <t>2026-09-03T14:15:42.287025</t>
  </si>
  <si>
    <t>2026-09-03T14:15:37.365940</t>
  </si>
  <si>
    <t>2026-09-03T14:15:37.357884</t>
  </si>
  <si>
    <t>2026-09-03T14:15:37.347912</t>
  </si>
  <si>
    <t>2026-09-03T14:15:37.338314</t>
  </si>
  <si>
    <t>2026-09-03T14:15:37.325299</t>
  </si>
  <si>
    <t>2026-09-03T14:15:37.316897</t>
  </si>
  <si>
    <t>2026-09-03T14:15:37.296767</t>
  </si>
  <si>
    <t>2026-09-03T14:15:37.282840</t>
  </si>
  <si>
    <t>2026-09-03T14:15:37.267733</t>
  </si>
  <si>
    <t>2026-09-03T14:15:37.257193</t>
  </si>
  <si>
    <t>2026-09-03T14:15:37.249438</t>
  </si>
  <si>
    <t>2026-09-03T14:15:37.233071</t>
  </si>
  <si>
    <t>2026-09-03T14:15:37.215553</t>
  </si>
  <si>
    <t>2026-09-03T14:15:37.203238</t>
  </si>
  <si>
    <t>2026-09-03T14:15:37.192707</t>
  </si>
  <si>
    <t>2026-09-03T14:15:37.183302</t>
  </si>
  <si>
    <t>2026-09-03T14:15:28.315871</t>
  </si>
  <si>
    <t>2026-09-03T14:15:28.282016</t>
  </si>
  <si>
    <t>2026-09-03T14:15:28.248701</t>
  </si>
  <si>
    <t>2026-09-03T14:15:23.464897</t>
  </si>
  <si>
    <t>2026-09-03T14:15:23.456214</t>
  </si>
  <si>
    <t>2026-09-03T14:15:23.442732</t>
  </si>
  <si>
    <t>2026-09-03T14:15:23.429217</t>
  </si>
  <si>
    <t>2026-09-03T14:15:23.420306</t>
  </si>
  <si>
    <t>2026-09-03T14:15:23.412314</t>
  </si>
  <si>
    <t>2026-09-03T14:15:23.399482</t>
  </si>
  <si>
    <t>2026-09-03T14:15:23.385557</t>
  </si>
  <si>
    <t>2026-09-03T14:15:23.374317</t>
  </si>
  <si>
    <t>2026-09-03T14:15:23.362362</t>
  </si>
  <si>
    <t>2026-09-03T14:15:23.342154</t>
  </si>
  <si>
    <t>2026-09-03T14:15:23.332883</t>
  </si>
  <si>
    <t>2026-09-03T14:15:11.966253</t>
  </si>
  <si>
    <t>2026-09-03T14:15:11.952680</t>
  </si>
  <si>
    <t>2026-09-03T14:15:11.934682</t>
  </si>
  <si>
    <t>2026-09-03T14:15:11.918751</t>
  </si>
  <si>
    <t>2026-09-03T14:15:11.900035</t>
  </si>
  <si>
    <t>2026-09-03T14:15:00.966740</t>
  </si>
  <si>
    <t>2026-09-03T14:15:00.945625</t>
  </si>
  <si>
    <t>2026-09-03T14:15:00.927367</t>
  </si>
  <si>
    <t>2026-09-03T14:15:00.873491</t>
  </si>
  <si>
    <t>2026-09-03T14:15:00.826754</t>
  </si>
  <si>
    <t>2026-09-03T14:14:45.059411</t>
  </si>
  <si>
    <t>2026-09-03T14:14:19.134955</t>
  </si>
  <si>
    <t>2026-09-03T14:14:19.084863</t>
  </si>
  <si>
    <t>2026-09-03T14:13:38.264680</t>
  </si>
  <si>
    <t>2026-09-03T14:13:38.254610</t>
  </si>
  <si>
    <t>2026-09-03T14:13:38.244962</t>
  </si>
  <si>
    <t>2026-09-03T14:13:38.236578</t>
  </si>
  <si>
    <t>2026-09-03T14:13:38.218957</t>
  </si>
  <si>
    <t>2026-09-03T14:12:55.390305</t>
  </si>
  <si>
    <t>2026-09-03T14:12:49.178347</t>
  </si>
  <si>
    <t>2026-09-03T14:12:49.166609</t>
  </si>
  <si>
    <t>2026-09-03T14:12:49.146376</t>
  </si>
  <si>
    <t>2026-09-03T14:12:49.133030</t>
  </si>
  <si>
    <t>2026-09-03T14:12:49.114386</t>
  </si>
  <si>
    <t>2026-09-03T14:12:49.098171</t>
  </si>
  <si>
    <t>2026-09-03T14:12:43.776573</t>
  </si>
  <si>
    <t>2026-09-03T14:12:34.885979</t>
  </si>
  <si>
    <t>2026-09-03T14:12:34.868145</t>
  </si>
  <si>
    <t>2026-09-03T14:12:26.999379</t>
  </si>
  <si>
    <t>2026-09-03T14:12:14.890645</t>
  </si>
  <si>
    <t>2026-09-03T14:12:14.833859</t>
  </si>
  <si>
    <t>2026-09-03T14:12:14.812256</t>
  </si>
  <si>
    <t>2026-09-03T14:11:45.652353</t>
  </si>
  <si>
    <t>2026-09-03T14:11:45.636359</t>
  </si>
  <si>
    <t>2026-09-03T14:11:45.620505</t>
  </si>
  <si>
    <t>2026-09-03T14:11:45.588598</t>
  </si>
  <si>
    <t>2026-09-03T14:11:45.572705</t>
  </si>
  <si>
    <t>2026-09-03T14:11:45.565664</t>
  </si>
  <si>
    <t>2026-09-03T14:11:36.745669</t>
  </si>
  <si>
    <t>2026-09-03T14:11:23.608210</t>
  </si>
  <si>
    <t>2026-09-03T14:11:23.576286</t>
  </si>
  <si>
    <t>2026-09-03T14:11:23.559421</t>
  </si>
  <si>
    <t>2026-09-03T14:11:23.538856</t>
  </si>
  <si>
    <t>2026-09-03T14:11:14.317611</t>
  </si>
  <si>
    <t>2026-09-03T14:11:14.303095</t>
  </si>
  <si>
    <t>2026-09-03T14:11:03.065878</t>
  </si>
  <si>
    <t>2026-09-03T14:11:03.054081</t>
  </si>
  <si>
    <t>2026-09-03T14:10:32.016065</t>
  </si>
  <si>
    <t>2026-09-03T14:10:32.002384</t>
  </si>
  <si>
    <t>2026-09-03T14:10:26.775009</t>
  </si>
  <si>
    <t>2026-09-03T14:10:20.709335</t>
  </si>
  <si>
    <t>2026-09-03T14:10:16.271543</t>
  </si>
  <si>
    <t>2026-09-03T14:10:09.340583</t>
  </si>
  <si>
    <t>2026-09-03T14:09:58.547094</t>
  </si>
  <si>
    <t>2026-09-03T14:09:58.531147</t>
  </si>
  <si>
    <t>2026-09-03T14:09:58.522032</t>
  </si>
  <si>
    <t>2026-09-03T14:09:58.506987</t>
  </si>
  <si>
    <t>2026-09-03T14:09:58.495768</t>
  </si>
  <si>
    <t>2026-09-03T14:09:47.346699</t>
  </si>
  <si>
    <t>2026-09-03T14:09:47.333606</t>
  </si>
  <si>
    <t>2026-09-03T14:09:47.318028</t>
  </si>
  <si>
    <t>2026-09-03T14:09:47.305307</t>
  </si>
  <si>
    <t>2026-09-03T14:09:42.851071</t>
  </si>
  <si>
    <t>2026-09-03T14:09:32.320144</t>
  </si>
  <si>
    <t>2026-09-03T14:09:20.162385</t>
  </si>
  <si>
    <t>2026-09-03T14:09:20.130639</t>
  </si>
  <si>
    <t>2026-09-03T14:09:20.121162</t>
  </si>
  <si>
    <t>2026-09-03T14:09:20.098805</t>
  </si>
  <si>
    <t>2026-09-03T14:09:15.645178</t>
  </si>
  <si>
    <t>2026-09-03T14:09:04.608933</t>
  </si>
  <si>
    <t>2026-09-03T14:08:57.280741</t>
  </si>
  <si>
    <t>2026-09-03T14:08:57.255838</t>
  </si>
  <si>
    <t>2026-09-03T14:08:28.750213</t>
  </si>
  <si>
    <t>2026-09-03T14:08:28.734994</t>
  </si>
  <si>
    <t>2026-09-03T14:08:28.727777</t>
  </si>
  <si>
    <t>2026-09-03T14:08:28.707641</t>
  </si>
  <si>
    <t>2026-09-03T14:08:28.694472</t>
  </si>
  <si>
    <t>2026-09-03T14:08:28.675841</t>
  </si>
  <si>
    <t>2026-09-03T14:08:28.651662</t>
  </si>
  <si>
    <t>2026-09-03T14:08:23.306529</t>
  </si>
  <si>
    <t>2026-09-03T14:08:23.296351</t>
  </si>
  <si>
    <t>2026-09-03T14:08:23.280495</t>
  </si>
  <si>
    <t>2026-09-03T14:08:23.272369</t>
  </si>
  <si>
    <t>2026-09-03T14:08:23.248844</t>
  </si>
  <si>
    <t>2026-09-03T14:08:23.225074</t>
  </si>
  <si>
    <t>2026-09-03T14:08:10.825600</t>
  </si>
  <si>
    <t>2026-09-03T14:08:10.809798</t>
  </si>
  <si>
    <t>2026-09-03T14:08:10.801166</t>
  </si>
  <si>
    <t>2026-09-03T14:08:10.794016</t>
  </si>
  <si>
    <t>2026-09-03T14:08:10.778384</t>
  </si>
  <si>
    <t>2026-09-03T14:08:10.773402</t>
  </si>
  <si>
    <t>2026-09-03T14:08:10.762607</t>
  </si>
  <si>
    <t>2026-09-03T14:08:10.746697</t>
  </si>
  <si>
    <t>2026-09-03T14:08:10.739889</t>
  </si>
  <si>
    <t>2026-09-03T14:08:10.723503</t>
  </si>
  <si>
    <t>2026-09-03T14:08:10.705366</t>
  </si>
  <si>
    <t>2026-09-03T14:08:10.689723</t>
  </si>
  <si>
    <t>2026-09-03T14:08:10.673910</t>
  </si>
  <si>
    <t>2026-09-03T14:08:05.201998</t>
  </si>
  <si>
    <t>2026-09-03T14:08:05.190221</t>
  </si>
  <si>
    <t>2026-09-03T14:08:05.185733</t>
  </si>
  <si>
    <t>2026-09-03T14:08:05.170080</t>
  </si>
  <si>
    <t>2026-09-03T14:08:05.154680</t>
  </si>
  <si>
    <t>2026-09-03T14:08:05.147677</t>
  </si>
  <si>
    <t>2026-09-03T14:08:05.131922</t>
  </si>
  <si>
    <t>2026-09-03T14:08:05.116136</t>
  </si>
  <si>
    <t>2026-09-03T14:08:05.101118</t>
  </si>
  <si>
    <t>2026-09-03T14:08:05.090109</t>
  </si>
  <si>
    <t>2026-09-03T14:07:55.157617</t>
  </si>
  <si>
    <t>2026-09-03T14:07:55.142985</t>
  </si>
  <si>
    <t>2026-09-03T14:07:55.123237</t>
  </si>
  <si>
    <t>2026-09-03T14:07:55.107496</t>
  </si>
  <si>
    <t>2026-09-03T14:07:55.090803</t>
  </si>
  <si>
    <t>2026-09-03T14:07:50.139966</t>
  </si>
  <si>
    <t>2026-09-03T14:07:50.124161</t>
  </si>
  <si>
    <t>2026-09-03T14:07:44.061928</t>
  </si>
  <si>
    <t>2026-09-03T14:07:44.048316</t>
  </si>
  <si>
    <t>2026-09-03T14:07:44.034182</t>
  </si>
  <si>
    <t>2026-09-03T14:07:44.007496</t>
  </si>
  <si>
    <t>2026-09-03T14:07:38.984949</t>
  </si>
  <si>
    <t>2026-09-03T14:07:38.979291</t>
  </si>
  <si>
    <t>2026-09-03T14:07:38.969218</t>
  </si>
  <si>
    <t>2026-09-03T14:07:38.963971</t>
  </si>
  <si>
    <t>2026-09-03T14:07:38.954149</t>
  </si>
  <si>
    <t>2026-09-03T14:07:38.948749</t>
  </si>
  <si>
    <t>2026-09-03T14:07:38.938876</t>
  </si>
  <si>
    <t>2026-09-03T14:07:38.923749</t>
  </si>
  <si>
    <t>2026-09-03T14:07:38.916937</t>
  </si>
  <si>
    <t>2026-09-03T14:07:38.900617</t>
  </si>
  <si>
    <t>2026-09-03T14:07:38.889122</t>
  </si>
  <si>
    <t>2026-09-03T14:07:38.884835</t>
  </si>
  <si>
    <t>2026-09-03T14:07:38.869083</t>
  </si>
  <si>
    <t>2026-09-03T14:07:38.847647</t>
  </si>
  <si>
    <t>2026-09-03T14:07:38.838935</t>
  </si>
  <si>
    <t>2026-09-03T14:07:33.842884</t>
  </si>
  <si>
    <t>2026-09-03T14:07:33.827906</t>
  </si>
  <si>
    <t>2026-09-03T14:07:33.810986</t>
  </si>
  <si>
    <t>2026-09-03T14:07:33.795158</t>
  </si>
  <si>
    <t>2026-09-03T14:07:33.791639</t>
  </si>
  <si>
    <t>2026-09-03T14:07:33.779497</t>
  </si>
  <si>
    <t>2026-09-03T14:07:33.763435</t>
  </si>
  <si>
    <t>2026-09-03T14:07:33.751255</t>
  </si>
  <si>
    <t>2026-09-03T14:07:33.735473</t>
  </si>
  <si>
    <t>2026-09-03T14:07:33.727619</t>
  </si>
  <si>
    <t>2026-09-03T14:07:33.712196</t>
  </si>
  <si>
    <t>2026-09-03T14:07:33.696395</t>
  </si>
  <si>
    <t>2026-09-03T14:07:33.681109</t>
  </si>
  <si>
    <t>2026-09-03T14:07:33.664658</t>
  </si>
  <si>
    <t>2026-09-03T14:07:33.648881</t>
  </si>
  <si>
    <t>2026-09-03T14:07:33.640096</t>
  </si>
  <si>
    <t>2026-09-03T14:07:28.576082</t>
  </si>
  <si>
    <t>2026-09-03T14:07:28.565140</t>
  </si>
  <si>
    <t>2026-09-03T14:07:28.559995</t>
  </si>
  <si>
    <t>2026-09-03T14:07:28.528323</t>
  </si>
  <si>
    <t>2026-09-03T14:07:24.263155</t>
  </si>
  <si>
    <t>2026-09-03T14:07:18.239285</t>
  </si>
  <si>
    <t>2026-09-03T14:07:18.219283</t>
  </si>
  <si>
    <t>2026-09-03T14:07:18.204883</t>
  </si>
  <si>
    <t>2026-09-03T14:07:18.198002</t>
  </si>
  <si>
    <t>2026-09-03T14:07:11.301567</t>
  </si>
  <si>
    <t>2026-09-03T14:07:11.286104</t>
  </si>
  <si>
    <t>2026-09-03T14:06:59.515155</t>
  </si>
  <si>
    <t>2026-09-03T14:06:59.505671</t>
  </si>
  <si>
    <t>2026-09-03T14:06:59.495482</t>
  </si>
  <si>
    <t>2026-09-03T14:06:59.479782</t>
  </si>
  <si>
    <t>2026-09-03T14:06:53.841863</t>
  </si>
  <si>
    <t>2026-09-03T14:06:46.366606</t>
  </si>
  <si>
    <t>2026-09-03T14:06:39.545873</t>
  </si>
  <si>
    <t>2026-09-03T14:06:39.535717</t>
  </si>
  <si>
    <t>2026-09-03T14:06:33.613556</t>
  </si>
  <si>
    <t>2026-09-03T14:06:28.737781</t>
  </si>
  <si>
    <t>2026-09-03T14:06:28.728160</t>
  </si>
  <si>
    <t>2026-09-03T14:06:28.712286</t>
  </si>
  <si>
    <t>2026-09-03T14:06:28.705123</t>
  </si>
  <si>
    <t>2026-09-03T14:06:22.767763</t>
  </si>
  <si>
    <t>2026-09-03T14:06:22.742418</t>
  </si>
  <si>
    <t>2026-09-03T14:06:22.730470</t>
  </si>
  <si>
    <t>2026-09-03T14:06:15.917695</t>
  </si>
  <si>
    <t>2026-09-03T14:06:15.901867</t>
  </si>
  <si>
    <t>2026-09-03T14:06:03.535229</t>
  </si>
  <si>
    <t>2026-09-03T14:05:52.839520</t>
  </si>
  <si>
    <t>2026-09-03T14:05:52.829960</t>
  </si>
  <si>
    <t>2026-09-03T14:05:52.814212</t>
  </si>
  <si>
    <t>2026-09-03T14:05:52.798488</t>
  </si>
  <si>
    <t>2026-09-03T14:05:52.778909</t>
  </si>
  <si>
    <t>2026-09-03T14:05:52.762315</t>
  </si>
  <si>
    <t>2026-09-03T14:05:52.746616</t>
  </si>
  <si>
    <t>2026-09-03T14:05:52.739582</t>
  </si>
  <si>
    <t>2026-09-03T14:05:52.730953</t>
  </si>
  <si>
    <t>2026-09-03T14:05:52.716016</t>
  </si>
  <si>
    <t>2026-09-03T14:05:52.708964</t>
  </si>
  <si>
    <t>2026-09-03T14:05:52.697367</t>
  </si>
  <si>
    <t>2026-09-03T14:05:52.681681</t>
  </si>
  <si>
    <t>2026-09-03T14:05:52.665906</t>
  </si>
  <si>
    <t>2026-09-03T14:05:52.650144</t>
  </si>
  <si>
    <t>2026-09-03T14:05:52.639615</t>
  </si>
  <si>
    <t>2026-09-03T14:05:52.634032</t>
  </si>
  <si>
    <t>2026-09-03T14:05:52.621483</t>
  </si>
  <si>
    <t>2026-09-03T14:05:52.602566</t>
  </si>
  <si>
    <t>2026-09-03T14:05:52.594976</t>
  </si>
  <si>
    <t>2026-09-03T14:05:52.586873</t>
  </si>
  <si>
    <t>2026-09-03T14:05:52.578310</t>
  </si>
  <si>
    <t>2026-09-03T14:05:52.571181</t>
  </si>
  <si>
    <t>2026-09-03T14:05:52.555475</t>
  </si>
  <si>
    <t>2026-09-03T14:05:52.539492</t>
  </si>
  <si>
    <t>2026-09-03T14:05:52.524220</t>
  </si>
  <si>
    <t>2026-09-03T14:05:52.519373</t>
  </si>
  <si>
    <t>2026-09-03T14:05:52.506816</t>
  </si>
  <si>
    <t>2026-09-03T14:05:52.493913</t>
  </si>
  <si>
    <t>2026-09-03T14:05:52.487241</t>
  </si>
  <si>
    <t>2026-09-03T14:05:52.480629</t>
  </si>
  <si>
    <t>2026-09-03T14:05:52.461931</t>
  </si>
  <si>
    <t>2026-09-03T14:05:52.446152</t>
  </si>
  <si>
    <t>2026-09-03T14:05:52.430677</t>
  </si>
  <si>
    <t>2026-09-03T14:05:52.428819</t>
  </si>
  <si>
    <t>2026-09-03T14:05:52.414311</t>
  </si>
  <si>
    <t>2026-09-03T14:05:52.407857</t>
  </si>
  <si>
    <t>2026-09-03T14:05:52.398119</t>
  </si>
  <si>
    <t>2026-09-03T14:05:52.393896</t>
  </si>
  <si>
    <t>2026-09-03T14:05:52.386007</t>
  </si>
  <si>
    <t>2026-09-03T14:05:52.377705</t>
  </si>
  <si>
    <t>2026-09-03T14:05:52.369928</t>
  </si>
  <si>
    <t>2026-09-03T14:05:52.357264</t>
  </si>
  <si>
    <t>2026-09-03T14:05:52.356410</t>
  </si>
  <si>
    <t>2026-09-03T14:05:52.347023</t>
  </si>
  <si>
    <t>2026-09-03T14:05:52.330224</t>
  </si>
  <si>
    <t>2026-09-03T14:05:52.314167</t>
  </si>
  <si>
    <t>2026-09-03T14:05:52.307928</t>
  </si>
  <si>
    <t>2026-09-03T14:05:52.298413</t>
  </si>
  <si>
    <t>2026-09-03T14:05:52.292960</t>
  </si>
  <si>
    <t>2026-09-03T14:05:52.282633</t>
  </si>
  <si>
    <t>2026-09-03T14:05:52.266963</t>
  </si>
  <si>
    <t>2026-09-03T14:05:52.265225</t>
  </si>
  <si>
    <t>2026-09-03T14:05:52.251319</t>
  </si>
  <si>
    <t>2026-09-03T14:05:52.239692</t>
  </si>
  <si>
    <t>2026-09-03T14:05:52.235933</t>
  </si>
  <si>
    <t>2026-09-03T14:05:52.213582</t>
  </si>
  <si>
    <t>2026-09-03T14:05:52.197477</t>
  </si>
  <si>
    <t>2026-09-03T14:05:52.181769</t>
  </si>
  <si>
    <t>2026-09-03T14:05:52.175333</t>
  </si>
  <si>
    <t>2026-09-03T14:05:52.159500</t>
  </si>
  <si>
    <t>2026-09-03T14:05:52.141487</t>
  </si>
  <si>
    <t>2026-09-03T14:05:52.139480</t>
  </si>
  <si>
    <t>2026-09-03T14:05:52.125614</t>
  </si>
  <si>
    <t>2026-09-03T14:05:52.109708</t>
  </si>
  <si>
    <t>2026-09-03T14:05:52.098565</t>
  </si>
  <si>
    <t>2026-09-03T14:05:52.095441</t>
  </si>
  <si>
    <t>2026-09-03T14:05:52.078218</t>
  </si>
  <si>
    <t>2026-09-03T14:05:52.062429</t>
  </si>
  <si>
    <t>2026-09-03T14:05:52.055251</t>
  </si>
  <si>
    <t>2026-09-03T14:05:52.039321</t>
  </si>
  <si>
    <t>2026-09-03T14:05:52.036104</t>
  </si>
  <si>
    <t>2026-09-03T14:05:52.023868</t>
  </si>
  <si>
    <t>2026-09-03T14:05:52.007934</t>
  </si>
  <si>
    <t>2026-09-03T14:05:51.993307</t>
  </si>
  <si>
    <t>2026-09-03T14:05:51.976604</t>
  </si>
  <si>
    <t>2026-09-03T14:05:51.962042</t>
  </si>
  <si>
    <t>2026-09-03T14:05:51.949187</t>
  </si>
  <si>
    <t>2026-09-03T14:05:51.939330</t>
  </si>
  <si>
    <t>2026-09-03T14:05:51.929441</t>
  </si>
  <si>
    <t>2026-09-03T14:05:51.918035</t>
  </si>
  <si>
    <t>2026-09-03T14:05:51.913650</t>
  </si>
  <si>
    <t>2026-09-03T14:05:51.897562</t>
  </si>
  <si>
    <t>2026-09-03T14:05:51.881731</t>
  </si>
  <si>
    <t>2026-09-03T14:05:51.866095</t>
  </si>
  <si>
    <t>2026-09-03T14:05:51.850349</t>
  </si>
  <si>
    <t>2026-09-03T14:05:51.841665</t>
  </si>
  <si>
    <t>2026-09-03T14:05:51.834539</t>
  </si>
  <si>
    <t>2026-09-03T14:05:51.812407</t>
  </si>
  <si>
    <t>2026-09-03T14:05:51.799088</t>
  </si>
  <si>
    <t>2026-09-03T14:05:51.783160</t>
  </si>
  <si>
    <t>2026-09-03T14:05:51.767294</t>
  </si>
  <si>
    <t>2026-09-03T14:05:37.051432</t>
  </si>
  <si>
    <t>2026-09-03T14:05:37.040166</t>
  </si>
  <si>
    <t>2026-09-03T14:05:37.024047</t>
  </si>
  <si>
    <t>2026-09-03T14:05:37.010852</t>
  </si>
  <si>
    <t>2026-09-03T14:05:37.003464</t>
  </si>
  <si>
    <t>2026-09-03T14:05:36.995753</t>
  </si>
  <si>
    <t>2026-09-03T14:05:36.976389</t>
  </si>
  <si>
    <t>2026-09-03T14:05:36.964020</t>
  </si>
  <si>
    <t>2026-09-03T14:05:36.954200</t>
  </si>
  <si>
    <t>2026-09-03T14:05:36.942180</t>
  </si>
  <si>
    <t>2026-09-03T14:05:36.936683</t>
  </si>
  <si>
    <t>2026-09-03T14:05:36.920775</t>
  </si>
  <si>
    <t>2026-09-03T14:05:36.912375</t>
  </si>
  <si>
    <t>2026-09-03T14:05:36.904812</t>
  </si>
  <si>
    <t>2026-09-03T14:05:36.877030</t>
  </si>
  <si>
    <t>2026-09-03T14:05:36.846392</t>
  </si>
  <si>
    <t>2026-09-03T14:05:36.830637</t>
  </si>
  <si>
    <t>2026-09-03T14:05:36.815615</t>
  </si>
  <si>
    <t>2026-09-03T14:05:36.799387</t>
  </si>
  <si>
    <t>2026-09-03T14:05:36.783940</t>
  </si>
  <si>
    <t>2026-09-03T14:05:36.768072</t>
  </si>
  <si>
    <t>2026-09-03T14:05:28.379688</t>
  </si>
  <si>
    <t>2026-09-03T14:05:28.372834</t>
  </si>
  <si>
    <t>2026-09-03T14:05:28.358701</t>
  </si>
  <si>
    <t>2026-09-03T14:05:28.347249</t>
  </si>
  <si>
    <t>2026-09-03T14:05:28.331873</t>
  </si>
  <si>
    <t>2026-09-03T14:05:28.314463</t>
  </si>
  <si>
    <t>2026-09-03T14:05:18.326247</t>
  </si>
  <si>
    <t>2026-09-03T14:05:11.731333</t>
  </si>
  <si>
    <t>2026-09-03T14:05:07.592825</t>
  </si>
  <si>
    <t>2026-09-03T14:05:07.576839</t>
  </si>
  <si>
    <t>2026-09-03T14:05:07.570039</t>
  </si>
  <si>
    <t>2026-09-03T14:05:07.555676</t>
  </si>
  <si>
    <t>2026-09-03T14:05:07.549286</t>
  </si>
  <si>
    <t>2026-09-03T14:05:07.534076</t>
  </si>
  <si>
    <t>2026-09-03T14:05:07.506292</t>
  </si>
  <si>
    <t>2026-09-03T14:04:56.145516</t>
  </si>
  <si>
    <t>2026-09-03T14:04:56.120653</t>
  </si>
  <si>
    <t>2026-09-03T14:04:37.524548</t>
  </si>
  <si>
    <t>2026-09-03T14:04:37.510623</t>
  </si>
  <si>
    <t>2026-09-03T14:04:33.459088</t>
  </si>
  <si>
    <t>2026-09-03T14:04:33.443443</t>
  </si>
  <si>
    <t>2026-09-03T14:04:33.427732</t>
  </si>
  <si>
    <t>2026-09-03T14:04:33.421223</t>
  </si>
  <si>
    <t>2026-09-03T14:04:33.403778</t>
  </si>
  <si>
    <t>2026-09-03T14:04:33.396483</t>
  </si>
  <si>
    <t>2026-09-03T14:04:33.387222</t>
  </si>
  <si>
    <t>2026-09-03T14:04:33.371450</t>
  </si>
  <si>
    <t>2026-09-03T14:04:33.355317</t>
  </si>
  <si>
    <t>2026-09-03T14:04:33.339526</t>
  </si>
  <si>
    <t>2026-09-03T14:04:33.331880</t>
  </si>
  <si>
    <t>2026-09-03T14:04:33.323440</t>
  </si>
  <si>
    <t>2026-09-03T14:04:33.322617</t>
  </si>
  <si>
    <t>2026-09-03T14:04:33.306684</t>
  </si>
  <si>
    <t>2026-09-03T14:04:33.296420</t>
  </si>
  <si>
    <t>2026-09-03T14:04:33.288054</t>
  </si>
  <si>
    <t>2026-09-03T14:04:33.274930</t>
  </si>
  <si>
    <t>2026-09-03T14:04:33.261090</t>
  </si>
  <si>
    <t>2026-09-03T14:04:33.250990</t>
  </si>
  <si>
    <t>2026-09-03T14:04:33.243916</t>
  </si>
  <si>
    <t>2026-09-03T14:04:33.227981</t>
  </si>
  <si>
    <t>2026-09-03T14:04:33.214431</t>
  </si>
  <si>
    <t>2026-09-03T14:04:33.208334</t>
  </si>
  <si>
    <t>2026-09-03T14:04:33.196383</t>
  </si>
  <si>
    <t>2026-09-03T14:04:33.192259</t>
  </si>
  <si>
    <t>2026-09-03T14:04:33.179600</t>
  </si>
  <si>
    <t>2026-09-03T14:04:33.172185</t>
  </si>
  <si>
    <t>2026-09-03T14:04:33.160655</t>
  </si>
  <si>
    <t>2026-09-03T14:04:33.144890</t>
  </si>
  <si>
    <t>2026-09-03T14:04:33.129200</t>
  </si>
  <si>
    <t>2026-09-03T14:04:33.109753</t>
  </si>
  <si>
    <t>2026-09-03T14:04:33.096203</t>
  </si>
  <si>
    <t>2026-09-03T14:04:33.086934</t>
  </si>
  <si>
    <t>2026-09-03T14:04:33.076502</t>
  </si>
  <si>
    <t>2026-09-03T14:04:33.060854</t>
  </si>
  <si>
    <t>2026-09-03T14:04:33.050412</t>
  </si>
  <si>
    <t>2026-09-03T14:04:33.044859</t>
  </si>
  <si>
    <t>2026-09-03T14:04:33.029640</t>
  </si>
  <si>
    <t>2026-09-03T14:04:33.013887</t>
  </si>
  <si>
    <t>2026-09-03T14:04:32.997079</t>
  </si>
  <si>
    <t>2026-09-03T14:04:32.979026</t>
  </si>
  <si>
    <t>2026-09-03T14:04:32.963811</t>
  </si>
  <si>
    <t>2026-09-03T14:04:32.949006</t>
  </si>
  <si>
    <t>2026-09-03T14:04:32.931680</t>
  </si>
  <si>
    <t>2026-09-03T14:04:32.915809</t>
  </si>
  <si>
    <t>2026-09-03T14:04:32.900855</t>
  </si>
  <si>
    <t>2026-09-03T14:04:32.896045</t>
  </si>
  <si>
    <t>2026-09-03T14:04:32.886476</t>
  </si>
  <si>
    <t>2026-09-03T14:04:32.869079</t>
  </si>
  <si>
    <t>2026-09-03T14:04:32.852687</t>
  </si>
  <si>
    <t>2026-09-03T14:04:32.836506</t>
  </si>
  <si>
    <t>2026-09-03T14:04:32.820799</t>
  </si>
  <si>
    <t>2026-09-03T14:04:32.813508</t>
  </si>
  <si>
    <t>2026-09-03T14:04:32.804704</t>
  </si>
  <si>
    <t>2026-09-03T14:04:32.796010</t>
  </si>
  <si>
    <t>2026-09-03T14:04:32.788862</t>
  </si>
  <si>
    <t>2026-09-03T14:04:32.765273</t>
  </si>
  <si>
    <t>2026-09-03T14:04:32.749467</t>
  </si>
  <si>
    <t>2026-09-03T14:04:32.733620</t>
  </si>
  <si>
    <t>2026-09-03T14:04:32.717825</t>
  </si>
  <si>
    <t>2026-09-03T14:04:32.701778</t>
  </si>
  <si>
    <t>2026-09-03T14:04:32.686148</t>
  </si>
  <si>
    <t>2026-09-03T14:04:32.669388</t>
  </si>
  <si>
    <t>2026-09-03T14:04:32.651810</t>
  </si>
  <si>
    <t>2026-09-03T14:04:32.649485</t>
  </si>
  <si>
    <t>2026-09-03T14:04:32.636147</t>
  </si>
  <si>
    <t>2026-09-03T14:04:32.632980</t>
  </si>
  <si>
    <t>2026-09-03T14:04:32.617120</t>
  </si>
  <si>
    <t>2026-09-03T14:04:32.612882</t>
  </si>
  <si>
    <t>2026-09-03T14:04:32.601407</t>
  </si>
  <si>
    <t>2026-09-03T14:04:32.595742</t>
  </si>
  <si>
    <t>2026-09-03T14:04:32.578163</t>
  </si>
  <si>
    <t>2026-09-03T14:04:32.562428</t>
  </si>
  <si>
    <t>2026-09-03T14:04:32.546667</t>
  </si>
  <si>
    <t>2026-09-03T14:04:32.530823</t>
  </si>
  <si>
    <t>2026-09-03T14:04:32.515012</t>
  </si>
  <si>
    <t>2026-09-03T14:04:32.499288</t>
  </si>
  <si>
    <t>2026-09-03T14:04:32.495756</t>
  </si>
  <si>
    <t>2026-09-03T14:04:32.485281</t>
  </si>
  <si>
    <t>2026-09-03T14:04:32.473879</t>
  </si>
  <si>
    <t>2026-09-03T14:04:32.457759</t>
  </si>
  <si>
    <t>2026-09-03T14:04:32.448454</t>
  </si>
  <si>
    <t>2026-09-03T14:04:32.441985</t>
  </si>
  <si>
    <t>2026-09-03T14:04:32.426166</t>
  </si>
  <si>
    <t>2026-09-03T14:04:32.412427</t>
  </si>
  <si>
    <t>2026-09-03T14:04:32.395582</t>
  </si>
  <si>
    <t>2026-09-03T14:04:32.378737</t>
  </si>
  <si>
    <t>2026-09-03T14:04:32.362833</t>
  </si>
  <si>
    <t>2026-09-03T14:04:32.347083</t>
  </si>
  <si>
    <t>2026-09-03T14:04:32.331346</t>
  </si>
  <si>
    <t>2026-09-03T14:04:32.315488</t>
  </si>
  <si>
    <t>2026-09-03T14:04:32.299753</t>
  </si>
  <si>
    <t>2026-09-03T14:04:32.284579</t>
  </si>
  <si>
    <t>2026-09-03T14:04:32.268256</t>
  </si>
  <si>
    <t>2026-09-03T14:04:32.262985</t>
  </si>
  <si>
    <t>2026-09-03T14:04:32.247818</t>
  </si>
  <si>
    <t>2026-09-03T14:04:32.230758</t>
  </si>
  <si>
    <t>2026-09-03T14:04:32.214774</t>
  </si>
  <si>
    <t>2026-09-03T14:04:32.157090</t>
  </si>
  <si>
    <t>2026-09-03T14:04:32.152459</t>
  </si>
  <si>
    <t>2026-09-03T14:04:32.137629</t>
  </si>
  <si>
    <t>2026-09-03T14:04:32.133951</t>
  </si>
  <si>
    <t>2026-09-03T14:04:32.123491</t>
  </si>
  <si>
    <t>2026-09-03T14:04:32.116356</t>
  </si>
  <si>
    <t>2026-09-03T14:04:32.110862</t>
  </si>
  <si>
    <t>2026-09-03T14:04:32.102534</t>
  </si>
  <si>
    <t>2026-09-03T14:04:32.095266</t>
  </si>
  <si>
    <t>2026-09-03T14:04:32.084234</t>
  </si>
  <si>
    <t>2026-09-03T14:04:32.070277</t>
  </si>
  <si>
    <t>2026-09-03T14:04:32.054389</t>
  </si>
  <si>
    <t>2026-09-03T14:04:32.047034</t>
  </si>
  <si>
    <t>2026-09-03T14:04:32.038748</t>
  </si>
  <si>
    <t>2026-09-03T14:04:32.027220</t>
  </si>
  <si>
    <t>2026-09-03T14:04:32.023282</t>
  </si>
  <si>
    <t>2026-09-03T14:04:32.014541</t>
  </si>
  <si>
    <t>2026-09-03T14:04:32.002757</t>
  </si>
  <si>
    <t>2026-09-03T14:04:31.997350</t>
  </si>
  <si>
    <t>2026-09-03T14:04:31.984549</t>
  </si>
  <si>
    <t>2026-09-03T14:04:31.976439</t>
  </si>
  <si>
    <t>2026-09-03T14:04:31.965220</t>
  </si>
  <si>
    <t>2026-09-03T14:04:31.950760</t>
  </si>
  <si>
    <t>2026-09-03T14:04:31.935153</t>
  </si>
  <si>
    <t>2026-09-03T14:04:31.931482</t>
  </si>
  <si>
    <t>2026-09-03T14:04:31.908916</t>
  </si>
  <si>
    <t>2026-09-03T14:04:31.895163</t>
  </si>
  <si>
    <t>2026-09-03T14:04:31.893124</t>
  </si>
  <si>
    <t>2026-09-03T14:04:31.884673</t>
  </si>
  <si>
    <t>2026-09-03T14:04:31.868917</t>
  </si>
  <si>
    <t>2026-09-03T14:04:31.854397</t>
  </si>
  <si>
    <t>2026-09-03T14:04:31.846537</t>
  </si>
  <si>
    <t>2026-09-03T14:04:31.837599</t>
  </si>
  <si>
    <t>2026-09-03T14:04:31.832422</t>
  </si>
  <si>
    <t>2026-09-03T14:04:31.816769</t>
  </si>
  <si>
    <t>2026-09-03T14:04:31.810346</t>
  </si>
  <si>
    <t>2026-09-03T14:04:31.795868</t>
  </si>
  <si>
    <t>2026-09-03T14:04:31.788974</t>
  </si>
  <si>
    <t>2026-09-03T14:04:31.777008</t>
  </si>
  <si>
    <t>2026-09-03T14:04:31.761077</t>
  </si>
  <si>
    <t>2026-09-03T14:04:31.745209</t>
  </si>
  <si>
    <t>2026-09-03T14:04:31.729507</t>
  </si>
  <si>
    <t>2026-09-03T14:04:31.713736</t>
  </si>
  <si>
    <t>2026-09-03T14:04:31.697653</t>
  </si>
  <si>
    <t>2026-09-03T14:04:31.683576</t>
  </si>
  <si>
    <t>2026-09-03T14:04:31.669991</t>
  </si>
  <si>
    <t>2026-09-03T14:04:31.650028</t>
  </si>
  <si>
    <t>2026-09-03T14:04:31.639774</t>
  </si>
  <si>
    <t>2026-09-03T14:04:31.623785</t>
  </si>
  <si>
    <t>2026-09-03T14:04:31.611785</t>
  </si>
  <si>
    <t>2026-09-03T14:04:31.595777</t>
  </si>
  <si>
    <t>2026-09-03T14:04:31.579920</t>
  </si>
  <si>
    <t>2026-09-03T14:04:31.563951</t>
  </si>
  <si>
    <t>2026-09-03T14:04:31.547985</t>
  </si>
  <si>
    <t>2026-09-03T14:04:31.532117</t>
  </si>
  <si>
    <t>2026-09-03T14:04:31.526472</t>
  </si>
  <si>
    <t>2026-09-03T14:04:31.514065</t>
  </si>
  <si>
    <t>2026-09-03T14:04:31.505740</t>
  </si>
  <si>
    <t>2026-09-03T14:04:31.494542</t>
  </si>
  <si>
    <t>2026-09-03T14:04:31.482303</t>
  </si>
  <si>
    <t>2026-09-03T14:04:31.462711</t>
  </si>
  <si>
    <t>2026-09-03T14:04:31.449897</t>
  </si>
  <si>
    <t>2026-09-03T14:04:31.433739</t>
  </si>
  <si>
    <t>2026-09-03T14:04:31.417953</t>
  </si>
  <si>
    <t>2026-09-03T14:04:31.409749</t>
  </si>
  <si>
    <t>2026-09-03T14:04:31.402295</t>
  </si>
  <si>
    <t>2026-09-03T14:04:31.394695</t>
  </si>
  <si>
    <t>2026-09-03T14:04:31.383396</t>
  </si>
  <si>
    <t>2026-09-03T14:04:31.367622</t>
  </si>
  <si>
    <t>2026-09-03T14:04:31.351621</t>
  </si>
  <si>
    <t>2026-09-03T14:04:31.336146</t>
  </si>
  <si>
    <t>2026-09-03T14:04:31.320448</t>
  </si>
  <si>
    <t>2026-09-03T14:04:31.304766</t>
  </si>
  <si>
    <t>2026-09-03T14:04:31.294693</t>
  </si>
  <si>
    <t>2026-09-03T14:04:31.281494</t>
  </si>
  <si>
    <t>2026-09-03T14:04:31.276316</t>
  </si>
  <si>
    <t>2026-09-03T14:04:31.260447</t>
  </si>
  <si>
    <t>2026-09-03T14:04:31.244704</t>
  </si>
  <si>
    <t>2026-09-03T14:04:31.228966</t>
  </si>
  <si>
    <t>2026-09-03T14:04:31.213268</t>
  </si>
  <si>
    <t>2026-09-03T14:04:31.197494</t>
  </si>
  <si>
    <t>2026-09-03T14:04:31.194414</t>
  </si>
  <si>
    <t>2026-09-03T14:04:31.181492</t>
  </si>
  <si>
    <t>2026-09-03T14:04:31.166709</t>
  </si>
  <si>
    <t>2026-09-03T14:04:31.166184</t>
  </si>
  <si>
    <t>2026-09-03T14:04:31.150169</t>
  </si>
  <si>
    <t>2026-09-03T14:04:31.126264</t>
  </si>
  <si>
    <t>2026-09-03T14:04:31.117060</t>
  </si>
  <si>
    <t>2026-09-03T14:04:31.095460</t>
  </si>
  <si>
    <t>2026-09-03T14:04:31.094752</t>
  </si>
  <si>
    <t>2026-09-03T14:04:31.082880</t>
  </si>
  <si>
    <t>2026-09-03T14:04:31.066951</t>
  </si>
  <si>
    <t>2026-09-03T14:04:31.056819</t>
  </si>
  <si>
    <t>2026-09-03T14:04:31.044253</t>
  </si>
  <si>
    <t>2026-09-03T14:04:31.041136</t>
  </si>
  <si>
    <t>2026-09-03T14:04:31.025342</t>
  </si>
  <si>
    <t>2026-09-03T14:04:31.008593</t>
  </si>
  <si>
    <t>2026-09-03T14:04:30.994400</t>
  </si>
  <si>
    <t>2026-09-03T14:04:30.990495</t>
  </si>
  <si>
    <t>2026-09-03T14:04:30.982331</t>
  </si>
  <si>
    <t>2026-09-03T14:04:30.966434</t>
  </si>
  <si>
    <t>2026-09-03T14:04:30.950916</t>
  </si>
  <si>
    <t>2026-09-03T14:04:30.948845</t>
  </si>
  <si>
    <t>2026-09-03T14:04:30.935062</t>
  </si>
  <si>
    <t>2026-09-03T14:04:30.925654</t>
  </si>
  <si>
    <t>2026-09-03T14:04:30.909849</t>
  </si>
  <si>
    <t>2026-09-03T14:04:30.896394</t>
  </si>
  <si>
    <t>2026-09-03T14:04:30.894174</t>
  </si>
  <si>
    <t>2026-09-03T14:04:30.880192</t>
  </si>
  <si>
    <t>2026-09-03T14:04:30.862368</t>
  </si>
  <si>
    <t>2026-09-03T14:04:30.847781</t>
  </si>
  <si>
    <t>2026-09-03T14:04:30.843795</t>
  </si>
  <si>
    <t>2026-09-03T14:04:30.830731</t>
  </si>
  <si>
    <t>2026-09-03T14:04:30.823945</t>
  </si>
  <si>
    <t>2026-09-03T14:04:30.820738</t>
  </si>
  <si>
    <t>2026-09-03T14:04:30.807838</t>
  </si>
  <si>
    <t>2026-09-03T14:04:30.794324</t>
  </si>
  <si>
    <t>2026-09-03T14:04:30.782174</t>
  </si>
  <si>
    <t>2026-09-03T14:04:30.766437</t>
  </si>
  <si>
    <t>2026-09-03T14:04:30.750794</t>
  </si>
  <si>
    <t>2026-09-03T14:04:30.735054</t>
  </si>
  <si>
    <t>2026-09-03T14:04:30.719725</t>
  </si>
  <si>
    <t>2026-09-03T14:04:30.708688</t>
  </si>
  <si>
    <t>2026-09-03T14:04:30.694007</t>
  </si>
  <si>
    <t>2026-09-03T14:04:30.679666</t>
  </si>
  <si>
    <t>2026-09-03T14:04:30.678128</t>
  </si>
  <si>
    <t>2026-09-03T14:04:30.665604</t>
  </si>
  <si>
    <t>2026-09-03T14:04:30.645521</t>
  </si>
  <si>
    <t>2026-09-03T14:04:30.642878</t>
  </si>
  <si>
    <t>2026-09-03T14:04:30.629448</t>
  </si>
  <si>
    <t>2026-09-03T14:04:30.621478</t>
  </si>
  <si>
    <t>2026-09-03T14:04:30.607465</t>
  </si>
  <si>
    <t>2026-09-03T14:04:30.593912</t>
  </si>
  <si>
    <t>2026-09-03T14:04:30.574032</t>
  </si>
  <si>
    <t>2026-09-03T14:04:30.561201</t>
  </si>
  <si>
    <t>2026-09-03T14:04:30.556823</t>
  </si>
  <si>
    <t>2026-09-03T14:04:30.541130</t>
  </si>
  <si>
    <t>2026-09-03T14:04:30.525450</t>
  </si>
  <si>
    <t>2026-09-03T14:04:30.510861</t>
  </si>
  <si>
    <t>2026-09-03T14:04:30.505849</t>
  </si>
  <si>
    <t>2026-09-03T14:04:30.494738</t>
  </si>
  <si>
    <t>2026-09-03T14:04:30.479370</t>
  </si>
  <si>
    <t>2026-09-03T14:04:30.462868</t>
  </si>
  <si>
    <t>2026-09-03T14:04:30.446912</t>
  </si>
  <si>
    <t>2026-09-03T14:04:30.441912</t>
  </si>
  <si>
    <t>2026-09-03T14:04:30.431236</t>
  </si>
  <si>
    <t>2026-09-03T14:04:30.415072</t>
  </si>
  <si>
    <t>2026-09-03T14:04:30.406687</t>
  </si>
  <si>
    <t>2026-09-03T14:04:30.393646</t>
  </si>
  <si>
    <t>2026-09-03T14:04:30.383525</t>
  </si>
  <si>
    <t>2026-09-03T14:04:30.367480</t>
  </si>
  <si>
    <t>2026-09-03T14:04:30.352206</t>
  </si>
  <si>
    <t>2026-09-03T14:04:30.333643</t>
  </si>
  <si>
    <t>2026-09-03T14:04:30.317956</t>
  </si>
  <si>
    <t>2026-09-03T14:04:30.301924</t>
  </si>
  <si>
    <t>2026-09-03T14:04:30.293498</t>
  </si>
  <si>
    <t>2026-09-03T14:04:30.286233</t>
  </si>
  <si>
    <t>2026-09-03T14:04:30.278956</t>
  </si>
  <si>
    <t>2026-09-03T14:04:30.270255</t>
  </si>
  <si>
    <t>2026-09-03T14:04:30.258897</t>
  </si>
  <si>
    <t>2026-09-03T14:04:30.247271</t>
  </si>
  <si>
    <t>2026-09-03T14:04:30.231518</t>
  </si>
  <si>
    <t>2026-09-03T14:04:30.215770</t>
  </si>
  <si>
    <t>2026-09-03T14:04:30.199854</t>
  </si>
  <si>
    <t>2026-09-03T14:04:30.193522</t>
  </si>
  <si>
    <t>2026-09-03T14:04:30.184065</t>
  </si>
  <si>
    <t>2026-09-03T14:04:30.169131</t>
  </si>
  <si>
    <t>2026-09-03T14:04:30.152091</t>
  </si>
  <si>
    <t>2026-09-03T14:04:30.136426</t>
  </si>
  <si>
    <t>2026-09-03T14:04:30.121801</t>
  </si>
  <si>
    <t>2026-09-03T14:04:30.105933</t>
  </si>
  <si>
    <t>2026-09-03T14:04:30.093562</t>
  </si>
  <si>
    <t>2026-09-03T14:04:30.078244</t>
  </si>
  <si>
    <t>2026-09-03T14:04:30.074047</t>
  </si>
  <si>
    <t>2026-09-03T14:04:30.067013</t>
  </si>
  <si>
    <t>2026-09-03T14:04:30.047936</t>
  </si>
  <si>
    <t>2026-09-03T14:04:30.040973</t>
  </si>
  <si>
    <t>2026-09-03T14:04:30.033644</t>
  </si>
  <si>
    <t>2026-09-03T14:04:30.013465</t>
  </si>
  <si>
    <t>2026-09-03T14:04:30.005503</t>
  </si>
  <si>
    <t>2026-09-03T14:04:29.997689</t>
  </si>
  <si>
    <t>2026-09-03T14:04:29.981583</t>
  </si>
  <si>
    <t>2026-09-03T14:04:29.965627</t>
  </si>
  <si>
    <t>2026-09-03T14:04:29.950503</t>
  </si>
  <si>
    <t>2026-09-03T14:04:29.942267</t>
  </si>
  <si>
    <t>2026-09-03T14:04:29.933820</t>
  </si>
  <si>
    <t>2026-09-03T14:04:29.917838</t>
  </si>
  <si>
    <t>2026-09-03T14:04:29.902166</t>
  </si>
  <si>
    <t>2026-09-03T14:04:29.893707</t>
  </si>
  <si>
    <t>2026-09-03T14:04:29.886449</t>
  </si>
  <si>
    <t>2026-09-03T14:04:29.877952</t>
  </si>
  <si>
    <t>2026-09-03T14:04:29.860411</t>
  </si>
  <si>
    <t>2026-09-03T14:04:29.845952</t>
  </si>
  <si>
    <t>2026-09-03T14:04:29.827596</t>
  </si>
  <si>
    <t>2026-09-03T14:04:29.811901</t>
  </si>
  <si>
    <t>2026-09-03T14:04:29.805164</t>
  </si>
  <si>
    <t>2026-09-03T14:04:29.796179</t>
  </si>
  <si>
    <t>2026-09-03T14:04:29.780486</t>
  </si>
  <si>
    <t>2026-09-03T14:04:29.764610</t>
  </si>
  <si>
    <t>2026-09-03T14:04:29.748960</t>
  </si>
  <si>
    <t>2026-09-03T14:04:29.742098</t>
  </si>
  <si>
    <t>2026-09-03T14:04:29.728968</t>
  </si>
  <si>
    <t>2026-09-03T14:04:29.712983</t>
  </si>
  <si>
    <t>2026-09-03T14:04:29.700979</t>
  </si>
  <si>
    <t>2026-09-03T14:04:29.685137</t>
  </si>
  <si>
    <t>2026-09-03T14:04:29.677490</t>
  </si>
  <si>
    <t>2026-09-03T14:04:29.657489</t>
  </si>
  <si>
    <t>2026-09-03T14:04:29.654818</t>
  </si>
  <si>
    <t>2026-09-03T14:04:29.639860</t>
  </si>
  <si>
    <t>2026-09-03T14:04:29.622102</t>
  </si>
  <si>
    <t>2026-09-03T14:04:29.606457</t>
  </si>
  <si>
    <t>2026-09-03T14:04:29.593373</t>
  </si>
  <si>
    <t>2026-09-03T14:04:29.590736</t>
  </si>
  <si>
    <t>2026-09-03T14:04:29.575030</t>
  </si>
  <si>
    <t>2026-09-03T14:04:29.558933</t>
  </si>
  <si>
    <t>2026-09-03T14:04:29.543106</t>
  </si>
  <si>
    <t>2026-09-03T14:04:29.527327</t>
  </si>
  <si>
    <t>2026-09-03T14:04:29.511628</t>
  </si>
  <si>
    <t>2026-09-03T14:04:29.505199</t>
  </si>
  <si>
    <t>2026-09-03T14:04:29.493292</t>
  </si>
  <si>
    <t>2026-09-03T14:04:29.490747</t>
  </si>
  <si>
    <t>2026-09-03T14:04:29.482794</t>
  </si>
  <si>
    <t>2026-09-03T14:04:29.476554</t>
  </si>
  <si>
    <t>2026-09-03T14:04:29.466860</t>
  </si>
  <si>
    <t>2026-09-03T14:04:29.450993</t>
  </si>
  <si>
    <t>2026-09-03T14:04:29.439391</t>
  </si>
  <si>
    <t>2026-09-03T14:04:29.418033</t>
  </si>
  <si>
    <t>2026-09-03T14:04:29.404209</t>
  </si>
  <si>
    <t>2026-09-03T14:04:29.393053</t>
  </si>
  <si>
    <t>2026-09-03T14:04:29.386435</t>
  </si>
  <si>
    <t>2026-09-03T14:04:29.384170</t>
  </si>
  <si>
    <t>2026-09-03T14:04:29.368400</t>
  </si>
  <si>
    <t>2026-09-03T14:04:29.352642</t>
  </si>
  <si>
    <t>2026-09-03T14:04:29.336777</t>
  </si>
  <si>
    <t>2026-09-03T14:04:29.321104</t>
  </si>
  <si>
    <t>2026-09-03T14:04:29.305086</t>
  </si>
  <si>
    <t>2026-09-03T14:04:29.293000</t>
  </si>
  <si>
    <t>2026-09-03T14:04:29.283685</t>
  </si>
  <si>
    <t>2026-09-03T14:04:29.276119</t>
  </si>
  <si>
    <t>2026-09-03T14:04:29.268472</t>
  </si>
  <si>
    <t>2026-09-03T14:04:29.248625</t>
  </si>
  <si>
    <t>2026-09-03T14:04:29.238721</t>
  </si>
  <si>
    <t>2026-09-03T14:04:29.216729</t>
  </si>
  <si>
    <t>2026-09-03T14:04:29.203681</t>
  </si>
  <si>
    <t>2026-09-03T14:04:29.185382</t>
  </si>
  <si>
    <t>2026-09-03T14:04:29.170907</t>
  </si>
  <si>
    <t>2026-09-03T14:04:29.153662</t>
  </si>
  <si>
    <t>2026-09-03T14:04:29.137694</t>
  </si>
  <si>
    <t>2026-09-03T14:04:29.121911</t>
  </si>
  <si>
    <t>2026-09-03T14:04:29.110728</t>
  </si>
  <si>
    <t>2026-09-03T14:04:29.106695</t>
  </si>
  <si>
    <t>2026-09-03T14:04:29.096118</t>
  </si>
  <si>
    <t>2026-09-03T14:04:29.089256</t>
  </si>
  <si>
    <t>2026-09-03T14:04:29.075432</t>
  </si>
  <si>
    <t>2026-09-03T14:04:29.068540</t>
  </si>
  <si>
    <t>2026-09-03T14:04:29.063467</t>
  </si>
  <si>
    <t>2026-09-03T14:04:29.054724</t>
  </si>
  <si>
    <t>2026-09-03T14:04:29.047793</t>
  </si>
  <si>
    <t>2026-09-03T14:04:29.038089</t>
  </si>
  <si>
    <t>2026-09-03T14:04:29.032107</t>
  </si>
  <si>
    <t>2026-09-03T14:04:29.020055</t>
  </si>
  <si>
    <t>2026-09-03T14:04:29.016401</t>
  </si>
  <si>
    <t>2026-09-03T14:04:29.003355</t>
  </si>
  <si>
    <t>2026-09-03T14:04:28.996760</t>
  </si>
  <si>
    <t>2026-09-03T14:04:28.989321</t>
  </si>
  <si>
    <t>2026-09-03T14:04:28.978020</t>
  </si>
  <si>
    <t>2026-09-03T14:04:28.973966</t>
  </si>
  <si>
    <t>2026-09-03T14:04:28.961410</t>
  </si>
  <si>
    <t>2026-09-03T14:04:28.951847</t>
  </si>
  <si>
    <t>2026-09-03T14:04:28.940663</t>
  </si>
  <si>
    <t>2026-09-03T14:04:28.929675</t>
  </si>
  <si>
    <t>2026-09-03T14:04:28.914391</t>
  </si>
  <si>
    <t>2026-09-03T14:04:28.898297</t>
  </si>
  <si>
    <t>2026-09-03T14:04:28.892146</t>
  </si>
  <si>
    <t>2026-09-03T14:04:28.882596</t>
  </si>
  <si>
    <t>2026-09-03T14:04:28.875156</t>
  </si>
  <si>
    <t>2026-09-03T14:04:28.866948</t>
  </si>
  <si>
    <t>2026-09-03T14:04:28.851033</t>
  </si>
  <si>
    <t>2026-09-03T14:04:28.837491</t>
  </si>
  <si>
    <t>2026-09-03T14:04:28.836477</t>
  </si>
  <si>
    <t>2026-09-03T14:04:28.819568</t>
  </si>
  <si>
    <t>2026-09-03T14:04:28.810804</t>
  </si>
  <si>
    <t>2026-09-03T14:04:28.802677</t>
  </si>
  <si>
    <t>2026-09-03T14:04:28.792059</t>
  </si>
  <si>
    <t>2026-09-03T14:04:28.772187</t>
  </si>
  <si>
    <t>2026-09-03T14:04:28.756546</t>
  </si>
  <si>
    <t>2026-09-03T14:04:28.740711</t>
  </si>
  <si>
    <t>2026-09-03T14:04:28.724885</t>
  </si>
  <si>
    <t>2026-09-03T14:04:28.709154</t>
  </si>
  <si>
    <t>2026-09-03T14:04:28.693389</t>
  </si>
  <si>
    <t>2026-09-03T14:04:28.680396</t>
  </si>
  <si>
    <t>2026-09-03T14:04:28.677282</t>
  </si>
  <si>
    <t>2026-09-03T14:04:28.661209</t>
  </si>
  <si>
    <t>2026-09-03T14:04:28.645559</t>
  </si>
  <si>
    <t>2026-09-03T14:04:28.636688</t>
  </si>
  <si>
    <t>2026-09-03T14:04:28.629695</t>
  </si>
  <si>
    <t>2026-09-03T14:04:28.615778</t>
  </si>
  <si>
    <t>2026-09-03T14:04:28.601809</t>
  </si>
  <si>
    <t>2026-09-03T14:04:28.596933</t>
  </si>
  <si>
    <t>2026-09-03T14:04:28.581035</t>
  </si>
  <si>
    <t>2026-09-03T14:04:28.574133</t>
  </si>
  <si>
    <t>2026-09-03T14:04:28.552085</t>
  </si>
  <si>
    <t>2026-09-03T14:04:28.536190</t>
  </si>
  <si>
    <t>2026-09-03T14:04:28.520523</t>
  </si>
  <si>
    <t>2026-09-03T14:04:28.504702</t>
  </si>
  <si>
    <t>2026-09-03T14:04:28.496402</t>
  </si>
  <si>
    <t>2026-09-03T14:04:28.480587</t>
  </si>
  <si>
    <t>2026-09-03T14:04:28.474425</t>
  </si>
  <si>
    <t>2026-09-03T14:04:28.464852</t>
  </si>
  <si>
    <t>2026-09-03T14:04:28.449201</t>
  </si>
  <si>
    <t>2026-09-03T14:04:28.436149</t>
  </si>
  <si>
    <t>2026-09-03T14:04:28.431471</t>
  </si>
  <si>
    <t>2026-09-03T14:04:28.415467</t>
  </si>
  <si>
    <t>2026-09-03T14:04:28.401483</t>
  </si>
  <si>
    <t>2026-09-03T14:04:28.391505</t>
  </si>
  <si>
    <t>2026-09-03T14:04:28.383765</t>
  </si>
  <si>
    <t>2026-09-03T14:04:28.367725</t>
  </si>
  <si>
    <t>2026-09-03T14:04:28.351904</t>
  </si>
  <si>
    <t>2026-09-03T14:04:28.348907</t>
  </si>
  <si>
    <t>2026-09-03T14:04:28.333238</t>
  </si>
  <si>
    <t>2026-09-03T14:04:28.317372</t>
  </si>
  <si>
    <t>2026-09-03T14:04:28.295547</t>
  </si>
  <si>
    <t>2026-09-03T14:04:28.279834</t>
  </si>
  <si>
    <t>2026-09-03T14:04:28.273994</t>
  </si>
  <si>
    <t>2026-09-03T14:04:28.263819</t>
  </si>
  <si>
    <t>2026-09-03T14:04:28.248108</t>
  </si>
  <si>
    <t>2026-09-03T14:04:28.235352</t>
  </si>
  <si>
    <t>2026-09-03T14:04:28.232448</t>
  </si>
  <si>
    <t>2026-09-03T14:04:28.216631</t>
  </si>
  <si>
    <t>2026-09-03T14:04:28.200713</t>
  </si>
  <si>
    <t>2026-09-03T14:04:28.193383</t>
  </si>
  <si>
    <t>2026-09-03T14:04:28.185477</t>
  </si>
  <si>
    <t>2026-09-03T14:04:28.175067</t>
  </si>
  <si>
    <t>2026-09-03T14:04:28.156570</t>
  </si>
  <si>
    <t>2026-09-03T14:04:28.140884</t>
  </si>
  <si>
    <t>2026-09-03T14:04:28.124990</t>
  </si>
  <si>
    <t>2026-09-03T14:04:28.109193</t>
  </si>
  <si>
    <t>2026-09-03T14:04:28.097590</t>
  </si>
  <si>
    <t>2026-09-03T14:04:28.082449</t>
  </si>
  <si>
    <t>2026-09-03T14:04:28.075806</t>
  </si>
  <si>
    <t>2026-09-03T14:04:28.067385</t>
  </si>
  <si>
    <t>2026-09-03T14:04:28.057203</t>
  </si>
  <si>
    <t>2026-09-03T14:04:28.041534</t>
  </si>
  <si>
    <t>2026-09-03T14:04:28.026340</t>
  </si>
  <si>
    <t>2026-09-03T14:04:28.010314</t>
  </si>
  <si>
    <t>2026-09-03T14:04:28.000366</t>
  </si>
  <si>
    <t>2026-09-03T14:04:27.994630</t>
  </si>
  <si>
    <t>2026-09-03T14:04:27.987620</t>
  </si>
  <si>
    <t>2026-09-03T14:04:27.974432</t>
  </si>
  <si>
    <t>2026-09-03T14:04:27.970249</t>
  </si>
  <si>
    <t>2026-09-03T14:04:27.962066</t>
  </si>
  <si>
    <t>2026-09-03T14:04:27.953657</t>
  </si>
  <si>
    <t>2026-09-03T14:04:27.945139</t>
  </si>
  <si>
    <t>2026-09-03T14:04:27.935499</t>
  </si>
  <si>
    <t>2026-09-03T14:04:27.923569</t>
  </si>
  <si>
    <t>2026-09-03T14:04:27.916138</t>
  </si>
  <si>
    <t>2026-09-03T14:04:27.908387</t>
  </si>
  <si>
    <t>2026-09-03T14:04:27.899879</t>
  </si>
  <si>
    <t>2026-09-03T14:04:27.879897</t>
  </si>
  <si>
    <t>2026-09-03T14:04:27.855951</t>
  </si>
  <si>
    <t>2026-09-03T14:04:27.848198</t>
  </si>
  <si>
    <t>2026-09-03T14:04:27.839655</t>
  </si>
  <si>
    <t>2026-09-03T14:04:27.835666</t>
  </si>
  <si>
    <t>2026-09-03T14:04:27.819103</t>
  </si>
  <si>
    <t>2026-09-03T14:04:27.803410</t>
  </si>
  <si>
    <t>2026-09-03T14:04:27.801898</t>
  </si>
  <si>
    <t>2026-09-03T14:04:27.790814</t>
  </si>
  <si>
    <t>2026-09-03T14:04:27.770019</t>
  </si>
  <si>
    <t>2026-09-03T14:04:27.753976</t>
  </si>
  <si>
    <t>2026-09-03T14:04:27.738178</t>
  </si>
  <si>
    <t>2026-09-03T14:04:27.722296</t>
  </si>
  <si>
    <t>2026-09-03T14:04:27.706328</t>
  </si>
  <si>
    <t>2026-09-03T14:04:27.690599</t>
  </si>
  <si>
    <t>2026-09-03T14:04:27.675365</t>
  </si>
  <si>
    <t>2026-09-03T14:04:27.671965</t>
  </si>
  <si>
    <t>2026-09-03T14:04:27.661627</t>
  </si>
  <si>
    <t>2026-09-03T14:04:27.643824</t>
  </si>
  <si>
    <t>2026-09-03T14:04:27.633772</t>
  </si>
  <si>
    <t>2026-09-03T14:04:27.628143</t>
  </si>
  <si>
    <t>2026-09-03T14:04:27.612186</t>
  </si>
  <si>
    <t>2026-09-03T14:04:27.599535</t>
  </si>
  <si>
    <t>2026-09-03T14:04:27.590530</t>
  </si>
  <si>
    <t>2026-09-03T14:04:27.580088</t>
  </si>
  <si>
    <t>2026-09-03T14:04:27.564075</t>
  </si>
  <si>
    <t>2026-09-03T14:04:27.548071</t>
  </si>
  <si>
    <t>2026-09-03T14:04:27.532266</t>
  </si>
  <si>
    <t>2026-09-03T14:04:27.516555</t>
  </si>
  <si>
    <t>2026-09-03T14:04:27.500550</t>
  </si>
  <si>
    <t>2026-09-03T14:04:27.490351</t>
  </si>
  <si>
    <t>2026-09-03T14:04:27.481863</t>
  </si>
  <si>
    <t>2026-09-03T14:04:27.471635</t>
  </si>
  <si>
    <t>2026-09-03T14:04:27.466135</t>
  </si>
  <si>
    <t>2026-09-03T14:04:27.450156</t>
  </si>
  <si>
    <t>2026-09-03T14:04:27.436660</t>
  </si>
  <si>
    <t>2026-09-03T14:04:27.429805</t>
  </si>
  <si>
    <t>2026-09-03T14:04:27.418488</t>
  </si>
  <si>
    <t>2026-09-03T14:04:27.404767</t>
  </si>
  <si>
    <t>2026-09-03T14:04:27.399006</t>
  </si>
  <si>
    <t>2026-09-03T14:04:27.389992</t>
  </si>
  <si>
    <t>2026-09-03T14:04:27.373684</t>
  </si>
  <si>
    <t>2026-09-03T14:04:27.357599</t>
  </si>
  <si>
    <t>2026-09-03T14:04:27.341928</t>
  </si>
  <si>
    <t>2026-09-03T14:04:27.326140</t>
  </si>
  <si>
    <t>2026-09-03T14:04:27.310437</t>
  </si>
  <si>
    <t>2026-09-03T14:04:27.300384</t>
  </si>
  <si>
    <t>2026-09-03T14:04:27.289968</t>
  </si>
  <si>
    <t>2026-09-03T14:04:27.284448</t>
  </si>
  <si>
    <t>2026-09-03T14:04:27.271331</t>
  </si>
  <si>
    <t>2026-09-03T14:04:27.268793</t>
  </si>
  <si>
    <t>2026-09-03T14:04:27.264127</t>
  </si>
  <si>
    <t>2026-09-03T14:04:27.248015</t>
  </si>
  <si>
    <t>2026-09-03T14:04:27.246479</t>
  </si>
  <si>
    <t>2026-09-03T14:04:27.232825</t>
  </si>
  <si>
    <t>2026-09-03T14:04:27.230796</t>
  </si>
  <si>
    <t>2026-09-03T14:04:27.215141</t>
  </si>
  <si>
    <t>2026-09-03T14:04:27.199216</t>
  </si>
  <si>
    <t>2026-09-03T14:04:27.189967</t>
  </si>
  <si>
    <t>2026-09-03T14:04:27.181751</t>
  </si>
  <si>
    <t>2026-09-03T14:04:27.166874</t>
  </si>
  <si>
    <t>2026-09-03T14:04:27.158897</t>
  </si>
  <si>
    <t>2026-09-03T14:04:27.149980</t>
  </si>
  <si>
    <t>2026-09-03T14:04:27.134194</t>
  </si>
  <si>
    <t>2026-09-03T14:04:27.118094</t>
  </si>
  <si>
    <t>2026-09-03T14:04:27.102203</t>
  </si>
  <si>
    <t>2026-09-03T14:04:27.096591</t>
  </si>
  <si>
    <t>2026-09-03T14:04:27.092147</t>
  </si>
  <si>
    <t>2026-09-03T14:04:27.076291</t>
  </si>
  <si>
    <t>2026-09-03T14:04:27.070740</t>
  </si>
  <si>
    <t>2026-09-03T14:04:27.060184</t>
  </si>
  <si>
    <t>2026-09-03T14:04:27.044517</t>
  </si>
  <si>
    <t>2026-09-03T14:04:27.032171</t>
  </si>
  <si>
    <t>2026-09-03T14:04:27.013135</t>
  </si>
  <si>
    <t>2026-09-03T14:04:26.997598</t>
  </si>
  <si>
    <t>2026-09-03T14:04:26.980319</t>
  </si>
  <si>
    <t>2026-09-03T14:04:26.964655</t>
  </si>
  <si>
    <t>2026-09-03T14:04:26.949449</t>
  </si>
  <si>
    <t>2026-09-03T14:04:26.942429</t>
  </si>
  <si>
    <t>2026-09-03T14:04:26.932741</t>
  </si>
  <si>
    <t>2026-09-03T14:04:26.916931</t>
  </si>
  <si>
    <t>2026-09-03T14:04:26.901213</t>
  </si>
  <si>
    <t>2026-09-03T14:04:26.889799</t>
  </si>
  <si>
    <t>2026-09-03T14:04:26.885338</t>
  </si>
  <si>
    <t>2026-09-03T14:04:26.870375</t>
  </si>
  <si>
    <t>2026-09-03T14:04:26.853567</t>
  </si>
  <si>
    <t>2026-09-03T14:04:26.839061</t>
  </si>
  <si>
    <t>2026-09-03T14:04:26.831784</t>
  </si>
  <si>
    <t>2026-09-03T14:04:26.824999</t>
  </si>
  <si>
    <t>2026-09-03T14:04:26.807488</t>
  </si>
  <si>
    <t>2026-09-03T14:04:26.797274</t>
  </si>
  <si>
    <t>2026-09-03T14:04:26.791558</t>
  </si>
  <si>
    <t>2026-09-03T14:04:26.775821</t>
  </si>
  <si>
    <t>2026-09-03T14:04:26.770733</t>
  </si>
  <si>
    <t>2026-09-03T14:04:26.754982</t>
  </si>
  <si>
    <t>2026-09-03T14:04:26.741626</t>
  </si>
  <si>
    <t>2026-09-03T14:04:26.725955</t>
  </si>
  <si>
    <t>2026-09-03T14:04:26.710317</t>
  </si>
  <si>
    <t>2026-09-03T14:04:26.694406</t>
  </si>
  <si>
    <t>2026-09-03T14:04:26.689406</t>
  </si>
  <si>
    <t>2026-09-03T14:04:26.678604</t>
  </si>
  <si>
    <t>2026-09-03T14:04:26.669945</t>
  </si>
  <si>
    <t>2026-09-03T14:04:26.665641</t>
  </si>
  <si>
    <t>2026-09-03T14:04:26.647063</t>
  </si>
  <si>
    <t>2026-09-03T14:04:26.631321</t>
  </si>
  <si>
    <t>2026-09-03T14:04:26.616033</t>
  </si>
  <si>
    <t>2026-09-03T14:04:26.600043</t>
  </si>
  <si>
    <t>2026-09-03T14:04:26.599044</t>
  </si>
  <si>
    <t>2026-09-03T14:04:26.589326</t>
  </si>
  <si>
    <t>2026-09-03T14:04:26.582401</t>
  </si>
  <si>
    <t>2026-09-03T14:04:26.574521</t>
  </si>
  <si>
    <t>2026-09-03T14:04:26.563185</t>
  </si>
  <si>
    <t>2026-09-03T14:04:26.549028</t>
  </si>
  <si>
    <t>2026-09-03T14:04:26.532961</t>
  </si>
  <si>
    <t>2026-09-03T14:04:26.524130</t>
  </si>
  <si>
    <t>2026-09-03T14:04:26.512359</t>
  </si>
  <si>
    <t>2026-09-03T14:04:26.494401</t>
  </si>
  <si>
    <t>2026-09-03T14:04:26.488083</t>
  </si>
  <si>
    <t>2026-09-03T14:04:26.479267</t>
  </si>
  <si>
    <t>2026-09-03T14:04:26.472316</t>
  </si>
  <si>
    <t>2026-09-03T14:04:26.464481</t>
  </si>
  <si>
    <t>2026-09-03T14:04:26.456450</t>
  </si>
  <si>
    <t>2026-09-03T14:04:26.449332</t>
  </si>
  <si>
    <t>2026-09-03T14:04:26.432129</t>
  </si>
  <si>
    <t>2026-09-03T14:04:26.423949</t>
  </si>
  <si>
    <t>2026-09-03T14:04:26.407646</t>
  </si>
  <si>
    <t>2026-09-03T14:04:26.403684</t>
  </si>
  <si>
    <t>2026-09-03T14:04:26.395157</t>
  </si>
  <si>
    <t>2026-09-03T14:04:26.372078</t>
  </si>
  <si>
    <t>2026-09-03T14:04:26.356430</t>
  </si>
  <si>
    <t>2026-09-03T14:04:26.340418</t>
  </si>
  <si>
    <t>2026-09-03T14:04:26.325280</t>
  </si>
  <si>
    <t>2026-09-03T14:04:26.311862</t>
  </si>
  <si>
    <t>2026-09-03T14:04:26.297938</t>
  </si>
  <si>
    <t>2026-09-03T14:04:26.288698</t>
  </si>
  <si>
    <t>2026-09-03T14:04:26.277448</t>
  </si>
  <si>
    <t>2026-09-03T14:04:26.268548</t>
  </si>
  <si>
    <t>2026-09-03T14:04:26.245780</t>
  </si>
  <si>
    <t>2026-09-03T14:04:26.230103</t>
  </si>
  <si>
    <t>2026-09-03T14:04:26.219456</t>
  </si>
  <si>
    <t>2026-09-03T14:04:26.199089</t>
  </si>
  <si>
    <t>2026-09-03T14:04:26.194675</t>
  </si>
  <si>
    <t>2026-09-03T14:04:26.188606</t>
  </si>
  <si>
    <t>2026-09-03T14:04:26.183262</t>
  </si>
  <si>
    <t>2026-09-03T14:04:26.169314</t>
  </si>
  <si>
    <t>2026-09-03T14:04:26.151544</t>
  </si>
  <si>
    <t>2026-09-03T14:04:26.135909</t>
  </si>
  <si>
    <t>2026-09-03T14:04:26.119850</t>
  </si>
  <si>
    <t>2026-09-03T14:04:26.104085</t>
  </si>
  <si>
    <t>2026-09-03T14:04:26.088396</t>
  </si>
  <si>
    <t>2026-09-03T14:04:26.074384</t>
  </si>
  <si>
    <t>2026-09-03T14:04:26.072224</t>
  </si>
  <si>
    <t>2026-09-03T14:04:26.056276</t>
  </si>
  <si>
    <t>2026-09-03T14:04:26.040631</t>
  </si>
  <si>
    <t>2026-09-03T14:04:26.029513</t>
  </si>
  <si>
    <t>2026-09-03T14:04:26.024666</t>
  </si>
  <si>
    <t>2026-09-03T14:04:26.010921</t>
  </si>
  <si>
    <t>2026-09-03T14:04:25.994085</t>
  </si>
  <si>
    <t>2026-09-03T14:04:25.988151</t>
  </si>
  <si>
    <t>2026-09-03T14:04:25.977250</t>
  </si>
  <si>
    <t>2026-09-03T14:04:25.970348</t>
  </si>
  <si>
    <t>2026-09-03T14:04:25.955350</t>
  </si>
  <si>
    <t>2026-09-03T14:04:25.948883</t>
  </si>
  <si>
    <t>2026-09-03T14:04:25.942300</t>
  </si>
  <si>
    <t>2026-09-03T14:04:25.922959</t>
  </si>
  <si>
    <t>2026-09-03T14:04:25.906964</t>
  </si>
  <si>
    <t>2026-09-03T14:04:25.894354</t>
  </si>
  <si>
    <t>2026-09-03T14:04:25.875507</t>
  </si>
  <si>
    <t>2026-09-03T14:04:25.867465</t>
  </si>
  <si>
    <t>2026-09-03T14:04:25.859632</t>
  </si>
  <si>
    <t>2026-09-03T14:04:25.843761</t>
  </si>
  <si>
    <t>2026-09-03T14:04:25.829100</t>
  </si>
  <si>
    <t>2026-09-03T14:04:25.813532</t>
  </si>
  <si>
    <t>2026-09-03T14:04:25.797360</t>
  </si>
  <si>
    <t>2026-09-03T14:04:25.787989</t>
  </si>
  <si>
    <t>2026-09-03T14:04:25.778515</t>
  </si>
  <si>
    <t>2026-09-03T14:04:25.762780</t>
  </si>
  <si>
    <t>2026-09-03T14:04:25.746991</t>
  </si>
  <si>
    <t>2026-09-03T14:04:25.730945</t>
  </si>
  <si>
    <t>2026-09-03T14:04:25.715309</t>
  </si>
  <si>
    <t>2026-09-03T14:04:25.699540</t>
  </si>
  <si>
    <t>2026-09-03T14:04:25.688117</t>
  </si>
  <si>
    <t>2026-09-03T14:04:25.679729</t>
  </si>
  <si>
    <t>2026-09-03T14:04:25.670233</t>
  </si>
  <si>
    <t>2026-09-03T14:04:25.665798</t>
  </si>
  <si>
    <t>2026-09-03T14:04:25.648147</t>
  </si>
  <si>
    <t>2026-09-03T14:04:25.632441</t>
  </si>
  <si>
    <t>2026-09-03T14:04:25.628334</t>
  </si>
  <si>
    <t>2026-09-03T14:04:25.616758</t>
  </si>
  <si>
    <t>2026-09-03T14:04:25.604440</t>
  </si>
  <si>
    <t>2026-09-03T14:04:25.600907</t>
  </si>
  <si>
    <t>2026-09-03T14:04:25.588252</t>
  </si>
  <si>
    <t>2026-09-03T14:04:25.569425</t>
  </si>
  <si>
    <t>2026-09-03T14:04:25.553711</t>
  </si>
  <si>
    <t>2026-09-03T14:04:25.540713</t>
  </si>
  <si>
    <t>2026-09-03T14:04:25.524976</t>
  </si>
  <si>
    <t>2026-09-03T14:04:25.509190</t>
  </si>
  <si>
    <t>2026-09-03T14:04:25.493403</t>
  </si>
  <si>
    <t>2026-09-03T14:04:25.480925</t>
  </si>
  <si>
    <t>2026-09-03T14:04:25.466397</t>
  </si>
  <si>
    <t>2026-09-03T14:04:25.465367</t>
  </si>
  <si>
    <t>2026-09-03T14:04:25.449647</t>
  </si>
  <si>
    <t>2026-09-03T14:04:25.437639</t>
  </si>
  <si>
    <t>2026-09-03T14:04:25.421813</t>
  </si>
  <si>
    <t>2026-09-03T14:04:25.409400</t>
  </si>
  <si>
    <t>2026-09-03T14:04:25.402033</t>
  </si>
  <si>
    <t>2026-09-03T14:04:25.392575</t>
  </si>
  <si>
    <t>2026-09-03T14:04:25.370476</t>
  </si>
  <si>
    <t>2026-09-03T14:04:25.367946</t>
  </si>
  <si>
    <t>2026-09-03T14:04:25.338798</t>
  </si>
  <si>
    <t>2026-09-03T14:04:25.333456</t>
  </si>
  <si>
    <t>2026-09-03T14:04:16.590526</t>
  </si>
  <si>
    <t>2026-09-03T14:04:16.576066</t>
  </si>
  <si>
    <t>2026-09-03T14:04:16.561713</t>
  </si>
  <si>
    <t>2026-09-03T14:04:08.934641</t>
  </si>
  <si>
    <t>2026-09-03T14:04:08.924175</t>
  </si>
  <si>
    <t>2026-09-03T14:04:08.910804</t>
  </si>
  <si>
    <t>2026-09-03T14:04:08.895076</t>
  </si>
  <si>
    <t>2026-09-03T14:04:08.879366</t>
  </si>
  <si>
    <t>2026-09-03T14:04:08.863698</t>
  </si>
  <si>
    <t>2026-09-03T14:04:08.847936</t>
  </si>
  <si>
    <t>2026-09-03T14:04:08.833900</t>
  </si>
  <si>
    <t>2026-09-03T14:04:08.816274</t>
  </si>
  <si>
    <t>2026-09-03T14:04:08.800606</t>
  </si>
  <si>
    <t>2026-09-03T14:04:08.784687</t>
  </si>
  <si>
    <t>2026-09-03T14:04:08.779790</t>
  </si>
  <si>
    <t>2026-09-03T14:04:08.760241</t>
  </si>
  <si>
    <t>2026-09-03T14:04:08.752751</t>
  </si>
  <si>
    <t>2026-09-03T14:04:08.736855</t>
  </si>
  <si>
    <t>2026-09-03T14:04:08.719093</t>
  </si>
  <si>
    <t>2026-09-03T14:04:08.704272</t>
  </si>
  <si>
    <t>2026-09-03T14:04:08.687125</t>
  </si>
  <si>
    <t>2026-09-03T14:04:08.671281</t>
  </si>
  <si>
    <t>2026-09-03T14:04:08.655978</t>
  </si>
  <si>
    <t>2026-09-03T14:04:08.639567</t>
  </si>
  <si>
    <t>2026-09-03T14:04:08.627467</t>
  </si>
  <si>
    <t>2026-09-03T14:04:08.611786</t>
  </si>
  <si>
    <t>2026-09-03T14:04:08.599994</t>
  </si>
  <si>
    <t>2026-09-03T14:04:08.584050</t>
  </si>
  <si>
    <t>2026-09-03T14:04:08.563894</t>
  </si>
  <si>
    <t>2026-09-03T14:04:08.559518</t>
  </si>
  <si>
    <t>2026-09-03T14:04:08.548061</t>
  </si>
  <si>
    <t>2026-09-03T14:04:08.533385</t>
  </si>
  <si>
    <t>2026-09-03T14:04:08.516589</t>
  </si>
  <si>
    <t>2026-09-03T14:04:08.500752</t>
  </si>
  <si>
    <t>2026-09-03T14:04:08.493846</t>
  </si>
  <si>
    <t>2026-09-03T14:04:08.468025</t>
  </si>
  <si>
    <t>2026-09-03T14:04:08.455905</t>
  </si>
  <si>
    <t>2026-09-03T14:03:55.383255</t>
  </si>
  <si>
    <t>2026-09-03T14:03:55.367553</t>
  </si>
  <si>
    <t>2026-09-03T14:03:55.351525</t>
  </si>
  <si>
    <t>2026-09-03T14:03:55.348875</t>
  </si>
  <si>
    <t>2026-09-03T14:03:55.335828</t>
  </si>
  <si>
    <t>2026-09-03T14:03:55.330551</t>
  </si>
  <si>
    <t>2026-09-03T14:03:55.320086</t>
  </si>
  <si>
    <t>2026-09-03T14:03:55.304231</t>
  </si>
  <si>
    <t>2026-09-03T14:03:55.288243</t>
  </si>
  <si>
    <t>2026-09-03T14:03:55.282171</t>
  </si>
  <si>
    <t>2026-09-03T14:03:55.266347</t>
  </si>
  <si>
    <t>2026-09-03T14:03:55.252376</t>
  </si>
  <si>
    <t>2026-09-03T14:03:55.247831</t>
  </si>
  <si>
    <t>2026-09-03T14:03:55.232056</t>
  </si>
  <si>
    <t>2026-09-03T14:03:55.216159</t>
  </si>
  <si>
    <t>2026-09-03T14:03:55.200440</t>
  </si>
  <si>
    <t>2026-09-03T14:03:55.184803</t>
  </si>
  <si>
    <t>2026-09-03T14:03:55.169167</t>
  </si>
  <si>
    <t>2026-09-03T14:03:55.154626</t>
  </si>
  <si>
    <t>2026-09-03T14:03:55.148444</t>
  </si>
  <si>
    <t>2026-09-03T14:03:55.138799</t>
  </si>
  <si>
    <t>2026-09-03T14:03:55.127134</t>
  </si>
  <si>
    <t>2026-09-03T14:03:55.107342</t>
  </si>
  <si>
    <t>2026-09-03T14:03:55.103787</t>
  </si>
  <si>
    <t>2026-09-03T14:03:55.091417</t>
  </si>
  <si>
    <t>2026-09-03T14:03:55.085529</t>
  </si>
  <si>
    <t>2026-09-03T14:03:55.075543</t>
  </si>
  <si>
    <t>2026-09-03T14:03:55.059626</t>
  </si>
  <si>
    <t>2026-09-03T14:03:55.041390</t>
  </si>
  <si>
    <t>2026-09-03T14:03:55.030445</t>
  </si>
  <si>
    <t>2026-09-03T14:03:55.009391</t>
  </si>
  <si>
    <t>2026-09-03T14:03:55.002454</t>
  </si>
  <si>
    <t>2026-09-03T14:03:54.995558</t>
  </si>
  <si>
    <t>2026-09-03T14:03:54.975526</t>
  </si>
  <si>
    <t>2026-09-03T14:03:54.960443</t>
  </si>
  <si>
    <t>2026-09-03T14:03:54.959793</t>
  </si>
  <si>
    <t>2026-09-03T14:03:54.948673</t>
  </si>
  <si>
    <t>2026-09-03T14:03:54.945599</t>
  </si>
  <si>
    <t>2026-09-03T14:03:54.930479</t>
  </si>
  <si>
    <t>2026-09-03T14:03:54.912200</t>
  </si>
  <si>
    <t>2026-09-03T14:03:54.907178</t>
  </si>
  <si>
    <t>2026-09-03T14:03:54.891375</t>
  </si>
  <si>
    <t>2026-09-03T14:03:54.885032</t>
  </si>
  <si>
    <t>2026-09-03T14:03:54.879341</t>
  </si>
  <si>
    <t>2026-09-03T14:03:54.863631</t>
  </si>
  <si>
    <t>2026-09-03T14:03:54.849752</t>
  </si>
  <si>
    <t>2026-09-03T14:03:54.830390</t>
  </si>
  <si>
    <t>2026-09-03T14:03:54.809937</t>
  </si>
  <si>
    <t>2026-09-03T14:03:54.794230</t>
  </si>
  <si>
    <t>2026-09-03T14:03:54.775140</t>
  </si>
  <si>
    <t>2026-09-03T14:03:54.759503</t>
  </si>
  <si>
    <t>2026-09-03T14:03:54.747756</t>
  </si>
  <si>
    <t>2026-09-03T14:03:54.730443</t>
  </si>
  <si>
    <t>2026-09-03T14:03:54.728418</t>
  </si>
  <si>
    <t>2026-09-03T14:03:54.712654</t>
  </si>
  <si>
    <t>2026-09-03T14:03:54.702711</t>
  </si>
  <si>
    <t>2026-09-03T14:03:54.693665</t>
  </si>
  <si>
    <t>2026-09-03T14:03:54.684597</t>
  </si>
  <si>
    <t>2026-09-03T14:03:54.677970</t>
  </si>
  <si>
    <t>2026-09-03T14:03:54.662335</t>
  </si>
  <si>
    <t>2026-09-03T14:03:54.642844</t>
  </si>
  <si>
    <t>2026-09-03T14:03:54.634583</t>
  </si>
  <si>
    <t>2026-09-03T14:03:54.618827</t>
  </si>
  <si>
    <t>2026-09-03T14:03:54.603134</t>
  </si>
  <si>
    <t>2026-09-03T14:03:54.589517</t>
  </si>
  <si>
    <t>2026-09-03T14:03:54.571144</t>
  </si>
  <si>
    <t>2026-09-03T14:03:54.555334</t>
  </si>
  <si>
    <t>2026-09-03T14:03:54.547202</t>
  </si>
  <si>
    <t>2026-09-03T14:03:54.541635</t>
  </si>
  <si>
    <t>2026-09-03T14:03:54.530297</t>
  </si>
  <si>
    <t>2026-09-03T14:03:54.513623</t>
  </si>
  <si>
    <t>2026-09-03T14:03:54.501946</t>
  </si>
  <si>
    <t>2026-09-03T14:03:54.484308</t>
  </si>
  <si>
    <t>2026-09-03T14:03:54.466498</t>
  </si>
  <si>
    <t>2026-09-03T14:03:54.450716</t>
  </si>
  <si>
    <t>2026-09-03T14:03:54.440335</t>
  </si>
  <si>
    <t>2026-09-03T14:03:54.430328</t>
  </si>
  <si>
    <t>2026-09-03T14:03:54.418987</t>
  </si>
  <si>
    <t>2026-09-03T14:03:54.403219</t>
  </si>
  <si>
    <t>2026-09-03T14:03:54.387555</t>
  </si>
  <si>
    <t>2026-09-03T14:03:54.372236</t>
  </si>
  <si>
    <t>2026-09-03T14:03:54.358449</t>
  </si>
  <si>
    <t>2026-09-03T14:03:54.351256</t>
  </si>
  <si>
    <t>2026-09-03T14:03:54.337535</t>
  </si>
  <si>
    <t>2026-09-03T14:03:54.330262</t>
  </si>
  <si>
    <t>2026-09-03T14:03:54.305608</t>
  </si>
  <si>
    <t>2026-09-03T14:03:54.289953</t>
  </si>
  <si>
    <t>2026-09-03T14:03:54.274883</t>
  </si>
  <si>
    <t>2026-09-03T14:03:54.261072</t>
  </si>
  <si>
    <t>2026-09-03T14:03:54.254425</t>
  </si>
  <si>
    <t>2026-09-03T14:03:54.246539</t>
  </si>
  <si>
    <t>2026-09-03T14:03:54.239173</t>
  </si>
  <si>
    <t>2026-09-03T14:03:54.231656</t>
  </si>
  <si>
    <t>2026-09-03T14:03:54.220983</t>
  </si>
  <si>
    <t>2026-09-03T14:03:54.213255</t>
  </si>
  <si>
    <t>2026-09-03T14:03:54.206227</t>
  </si>
  <si>
    <t>2026-09-03T14:03:54.191438</t>
  </si>
  <si>
    <t>2026-09-03T14:03:54.189334</t>
  </si>
  <si>
    <t>2026-09-03T14:03:54.176675</t>
  </si>
  <si>
    <t>2026-09-03T14:03:54.161039</t>
  </si>
  <si>
    <t>2026-09-03T14:03:54.145229</t>
  </si>
  <si>
    <t>2026-09-03T14:03:54.130375</t>
  </si>
  <si>
    <t>2026-09-03T14:03:54.114239</t>
  </si>
  <si>
    <t>2026-09-03T14:03:54.100934</t>
  </si>
  <si>
    <t>2026-09-03T14:03:54.090537</t>
  </si>
  <si>
    <t>2026-09-03T14:03:54.083345</t>
  </si>
  <si>
    <t>2026-09-03T14:03:54.074705</t>
  </si>
  <si>
    <t>2026-09-03T14:03:54.065526</t>
  </si>
  <si>
    <t>2026-09-03T14:03:54.042975</t>
  </si>
  <si>
    <t>2026-09-03T14:03:54.030418</t>
  </si>
  <si>
    <t>2026-09-03T14:03:54.027326</t>
  </si>
  <si>
    <t>2026-09-03T14:03:54.011527</t>
  </si>
  <si>
    <t>2026-09-03T14:03:53.996385</t>
  </si>
  <si>
    <t>2026-09-03T14:03:53.986682</t>
  </si>
  <si>
    <t>2026-09-03T14:03:53.973386</t>
  </si>
  <si>
    <t>2026-09-03T14:03:53.966517</t>
  </si>
  <si>
    <t>2026-09-03T14:03:53.951327</t>
  </si>
  <si>
    <t>2026-09-03T14:03:53.949020</t>
  </si>
  <si>
    <t>2026-09-03T14:03:53.935026</t>
  </si>
  <si>
    <t>2026-09-03T14:03:53.932512</t>
  </si>
  <si>
    <t>2026-09-03T14:03:53.919190</t>
  </si>
  <si>
    <t>2026-09-03T14:03:53.902433</t>
  </si>
  <si>
    <t>2026-09-03T14:03:53.886702</t>
  </si>
  <si>
    <t>2026-09-03T14:03:53.871536</t>
  </si>
  <si>
    <t>2026-09-03T14:03:53.863276</t>
  </si>
  <si>
    <t>2026-09-03T14:03:53.851382</t>
  </si>
  <si>
    <t>2026-09-03T14:03:53.844402</t>
  </si>
  <si>
    <t>2026-09-03T14:03:53.831276</t>
  </si>
  <si>
    <t>2026-09-03T14:03:53.815330</t>
  </si>
  <si>
    <t>2026-09-03T14:03:53.810673</t>
  </si>
  <si>
    <t>2026-09-03T14:03:53.794651</t>
  </si>
  <si>
    <t>2026-09-03T14:03:53.778947</t>
  </si>
  <si>
    <t>2026-09-03T14:03:53.763256</t>
  </si>
  <si>
    <t>2026-09-03T14:03:53.747517</t>
  </si>
  <si>
    <t>2026-09-03T14:03:53.743794</t>
  </si>
  <si>
    <t>2026-09-03T14:03:53.731781</t>
  </si>
  <si>
    <t>2026-09-03T14:03:53.730162</t>
  </si>
  <si>
    <t>2026-09-03T14:03:53.720598</t>
  </si>
  <si>
    <t>2026-09-03T14:03:53.712461</t>
  </si>
  <si>
    <t>2026-09-03T14:03:53.699829</t>
  </si>
  <si>
    <t>2026-09-03T14:03:53.689067</t>
  </si>
  <si>
    <t>2026-09-03T14:03:53.682195</t>
  </si>
  <si>
    <t>2026-09-03T14:03:53.673119</t>
  </si>
  <si>
    <t>2026-09-03T14:03:53.657235</t>
  </si>
  <si>
    <t>2026-09-03T14:03:53.641536</t>
  </si>
  <si>
    <t>2026-09-03T14:03:53.630135</t>
  </si>
  <si>
    <t>2026-09-03T14:03:53.615356</t>
  </si>
  <si>
    <t>2026-09-03T14:03:53.608186</t>
  </si>
  <si>
    <t>2026-09-03T14:03:53.593334</t>
  </si>
  <si>
    <t>2026-09-03T14:03:38.777190</t>
  </si>
  <si>
    <t>2026-09-03T14:03:38.770097</t>
  </si>
  <si>
    <t>2026-09-03T14:03:38.763218</t>
  </si>
  <si>
    <t>2026-09-03T14:03:38.749568</t>
  </si>
  <si>
    <t>2026-09-03T14:03:38.729557</t>
  </si>
  <si>
    <t>2026-09-03T14:03:38.713521</t>
  </si>
  <si>
    <t>2026-09-03T14:03:38.703032</t>
  </si>
  <si>
    <t>2026-09-03T14:03:38.687864</t>
  </si>
  <si>
    <t>2026-09-03T14:03:38.666683</t>
  </si>
  <si>
    <t>2026-09-03T14:03:23.561402</t>
  </si>
  <si>
    <t>2026-09-03T14:03:23.545523</t>
  </si>
  <si>
    <t>2026-09-03T14:02:59.161181</t>
  </si>
  <si>
    <t>2026-09-03T14:02:59.145389</t>
  </si>
  <si>
    <t>2026-09-03T14:02:59.129238</t>
  </si>
  <si>
    <t>2026-09-03T14:02:59.113210</t>
  </si>
  <si>
    <t>2026-09-03T14:02:30.195234</t>
  </si>
  <si>
    <t>2026-09-03T14:02:30.186748</t>
  </si>
  <si>
    <t>2026-09-03T14:02:30.175780</t>
  </si>
  <si>
    <t>2026-09-03T14:02:10.979227</t>
  </si>
  <si>
    <t>2026-09-03T14:02:10.964201</t>
  </si>
  <si>
    <t>2026-09-03T14:02:10.952037</t>
  </si>
  <si>
    <t>2026-09-03T14:02:10.947943</t>
  </si>
  <si>
    <t>2026-09-03T14:02:10.931385</t>
  </si>
  <si>
    <t>2026-09-03T14:02:10.915572</t>
  </si>
  <si>
    <t>2026-09-03T14:01:14.093819</t>
  </si>
  <si>
    <t>2026-09-03T14:01:14.077926</t>
  </si>
  <si>
    <t>2026-09-03T14:01:14.075144</t>
  </si>
  <si>
    <t>2026-09-03T14:01:14.062128</t>
  </si>
  <si>
    <t>2026-09-03T14:01:14.046380</t>
  </si>
  <si>
    <t>2026-09-03T14:01:14.038235</t>
  </si>
  <si>
    <t>2026-09-03T14:01:14.020172</t>
  </si>
  <si>
    <t>2026-09-03T14:01:13.999288</t>
  </si>
  <si>
    <t>2026-09-03T14:00:30.903446</t>
  </si>
  <si>
    <t>2026-09-03T14:00:26.001042</t>
  </si>
  <si>
    <t>2026-09-03T14:00:25.985358</t>
  </si>
  <si>
    <t>2026-09-03T14:00:25.969382</t>
  </si>
  <si>
    <t>2026-09-03T14:00:25.957200</t>
  </si>
  <si>
    <t>2026-09-03T14:00:25.950436</t>
  </si>
  <si>
    <t>2026-09-03T14:00:25.929337</t>
  </si>
  <si>
    <t>2026-09-03T14:00:11.428163</t>
  </si>
  <si>
    <t>2026-09-03T14:00:11.417633</t>
  </si>
  <si>
    <t>2026-09-03T14:00:11.412310</t>
  </si>
  <si>
    <t>2026-09-03T14:00:11.397445</t>
  </si>
  <si>
    <t>2026-09-03T13:59:43.271094</t>
  </si>
  <si>
    <t>2026-09-03T13:59:43.261576</t>
  </si>
  <si>
    <t>2026-09-03T13:59:43.255453</t>
  </si>
  <si>
    <t>2026-09-03T13:59:43.239546</t>
  </si>
  <si>
    <t>2026-09-03T13:59:43.225717</t>
  </si>
  <si>
    <t>2026-09-03T13:59:43.212684</t>
  </si>
  <si>
    <t>2026-09-03T13:59:43.196948</t>
  </si>
  <si>
    <t>2026-09-03T13:59:43.185635</t>
  </si>
  <si>
    <t>2026-09-03T13:59:30.005820</t>
  </si>
  <si>
    <t>2026-09-03T13:59:29.989109</t>
  </si>
  <si>
    <t>2026-09-03T13:59:04.101489</t>
  </si>
  <si>
    <t>2026-09-03T13:59:04.085973</t>
  </si>
  <si>
    <t>2026-09-03T13:59:04.079705</t>
  </si>
  <si>
    <t>2026-09-03T13:59:04.063898</t>
  </si>
  <si>
    <t>2026-09-03T13:59:04.052241</t>
  </si>
  <si>
    <t>2026-09-03T13:58:57.007377</t>
  </si>
  <si>
    <t>2026-09-03T13:58:56.991686</t>
  </si>
  <si>
    <t>2026-09-03T13:58:56.978910</t>
  </si>
  <si>
    <t>2026-09-03T13:58:56.975837</t>
  </si>
  <si>
    <t>2026-09-03T13:58:56.968605</t>
  </si>
  <si>
    <t>2026-09-03T13:58:56.960560</t>
  </si>
  <si>
    <t>2026-09-03T13:58:56.948850</t>
  </si>
  <si>
    <t>2026-09-03T13:58:56.944814</t>
  </si>
  <si>
    <t>2026-09-03T13:58:56.932592</t>
  </si>
  <si>
    <t>2026-09-03T13:58:32.329758</t>
  </si>
  <si>
    <t>2026-09-03T13:58:32.313805</t>
  </si>
  <si>
    <t>2026-09-03T13:58:32.297969</t>
  </si>
  <si>
    <t>2026-09-03T13:58:32.291004</t>
  </si>
  <si>
    <t>2026-09-03T13:58:32.284769</t>
  </si>
  <si>
    <t>2026-09-03T13:58:32.280591</t>
  </si>
  <si>
    <t>2026-09-03T13:58:32.272765</t>
  </si>
  <si>
    <t>2026-09-03T13:58:32.264922</t>
  </si>
  <si>
    <t>2026-09-03T13:58:32.249827</t>
  </si>
  <si>
    <t>2026-09-03T13:58:32.246091</t>
  </si>
  <si>
    <t>2026-09-03T13:58:32.230366</t>
  </si>
  <si>
    <t>2026-09-03T13:58:32.214582</t>
  </si>
  <si>
    <t>2026-09-03T13:58:32.204524</t>
  </si>
  <si>
    <t>2026-09-03T13:58:32.188822</t>
  </si>
  <si>
    <t>2026-09-03T13:58:32.173112</t>
  </si>
  <si>
    <t>2026-09-03T13:58:32.171556</t>
  </si>
  <si>
    <t>2026-09-03T13:58:32.152266</t>
  </si>
  <si>
    <t>2026-09-03T13:58:32.131435</t>
  </si>
  <si>
    <t>2026-09-03T13:58:32.117493</t>
  </si>
  <si>
    <t>2026-09-03T13:58:32.108106</t>
  </si>
  <si>
    <t>2026-09-03T13:58:32.092012</t>
  </si>
  <si>
    <t>2026-09-03T13:58:32.082870</t>
  </si>
  <si>
    <t>2026-09-03T13:58:32.072147</t>
  </si>
  <si>
    <t>2026-09-03T13:58:27.147426</t>
  </si>
  <si>
    <t>2026-09-03T13:58:27.131711</t>
  </si>
  <si>
    <t>2026-09-03T13:58:27.115741</t>
  </si>
  <si>
    <t>2026-09-03T13:58:27.100022</t>
  </si>
  <si>
    <t>2026-09-03T13:58:27.084306</t>
  </si>
  <si>
    <t>2026-09-03T13:58:27.068643</t>
  </si>
  <si>
    <t>2026-09-03T13:58:27.061766</t>
  </si>
  <si>
    <t>2026-09-03T13:58:27.052876</t>
  </si>
  <si>
    <t>2026-09-03T13:58:27.047681</t>
  </si>
  <si>
    <t>2026-09-03T13:58:27.036783</t>
  </si>
  <si>
    <t>2026-09-03T13:58:27.021003</t>
  </si>
  <si>
    <t>2026-09-03T13:58:27.015922</t>
  </si>
  <si>
    <t>2026-09-03T13:58:27.001761</t>
  </si>
  <si>
    <t>2026-09-03T13:58:27.000226</t>
  </si>
  <si>
    <t>2026-09-03T13:58:26.989229</t>
  </si>
  <si>
    <t>2026-09-03T13:58:26.965520</t>
  </si>
  <si>
    <t>2026-09-03T13:58:26.960636</t>
  </si>
  <si>
    <t>2026-09-03T13:58:26.948921</t>
  </si>
  <si>
    <t>2026-09-03T13:58:26.923111</t>
  </si>
  <si>
    <t>2026-09-03T13:58:26.906989</t>
  </si>
  <si>
    <t>2026-09-03T13:58:20.850773</t>
  </si>
  <si>
    <t>2026-09-03T13:58:20.838710</t>
  </si>
  <si>
    <t>2026-09-03T13:58:20.834980</t>
  </si>
  <si>
    <t>2026-09-03T13:58:20.823981</t>
  </si>
  <si>
    <t>2026-09-03T13:58:20.814951</t>
  </si>
  <si>
    <t>2026-09-03T13:58:20.802981</t>
  </si>
  <si>
    <t>2026-09-03T13:58:20.787090</t>
  </si>
  <si>
    <t>2026-09-03T13:58:20.771077</t>
  </si>
  <si>
    <t>2026-09-03T13:58:20.761463</t>
  </si>
  <si>
    <t>2026-09-03T13:58:20.745177</t>
  </si>
  <si>
    <t>2026-09-03T13:58:20.723324</t>
  </si>
  <si>
    <t>2026-09-03T13:58:20.711487</t>
  </si>
  <si>
    <t>2026-09-03T13:58:20.703116</t>
  </si>
  <si>
    <t>2026-09-03T13:58:20.695661</t>
  </si>
  <si>
    <t>2026-09-03T13:58:20.674080</t>
  </si>
  <si>
    <t>2026-09-03T13:58:20.672065</t>
  </si>
  <si>
    <t>2026-09-03T13:58:20.656122</t>
  </si>
  <si>
    <t>2026-09-03T13:58:20.644979</t>
  </si>
  <si>
    <t>2026-09-03T13:58:13.355678</t>
  </si>
  <si>
    <t>2026-09-03T13:58:13.339730</t>
  </si>
  <si>
    <t>2026-09-03T13:58:13.325998</t>
  </si>
  <si>
    <t>2026-09-03T13:58:04.669731</t>
  </si>
  <si>
    <t>2026-09-03T13:58:04.654005</t>
  </si>
  <si>
    <t>2026-09-03T13:58:04.638192</t>
  </si>
  <si>
    <t>2026-09-03T13:58:04.622425</t>
  </si>
  <si>
    <t>2026-09-03T13:58:04.611291</t>
  </si>
  <si>
    <t>2026-09-03T13:58:04.590785</t>
  </si>
  <si>
    <t>2026-09-03T13:57:58.141177</t>
  </si>
  <si>
    <t>2026-09-03T13:57:58.136113</t>
  </si>
  <si>
    <t>2026-09-03T13:57:58.124492</t>
  </si>
  <si>
    <t>2026-09-03T13:57:58.108398</t>
  </si>
  <si>
    <t>2026-09-03T13:57:58.101989</t>
  </si>
  <si>
    <t>2026-09-03T13:57:58.084639</t>
  </si>
  <si>
    <t>2026-09-03T13:57:58.068881</t>
  </si>
  <si>
    <t>2026-09-03T13:57:58.052793</t>
  </si>
  <si>
    <t>2026-09-03T13:57:58.041110</t>
  </si>
  <si>
    <t>2026-09-03T13:57:58.025056</t>
  </si>
  <si>
    <t>2026-09-03T13:57:58.015740</t>
  </si>
  <si>
    <t>2026-09-03T13:57:58.000695</t>
  </si>
  <si>
    <t>2026-09-03T13:57:57.985566</t>
  </si>
  <si>
    <t>2026-09-03T13:57:57.972563</t>
  </si>
  <si>
    <t>2026-09-03T13:57:57.957011</t>
  </si>
  <si>
    <t>2026-09-03T13:57:57.949375</t>
  </si>
  <si>
    <t>2026-09-03T13:57:57.924940</t>
  </si>
  <si>
    <t>2026-09-03T13:57:57.909262</t>
  </si>
  <si>
    <t>2026-09-03T13:57:57.900740</t>
  </si>
  <si>
    <t>2026-09-03T13:57:57.893212</t>
  </si>
  <si>
    <t>2026-09-03T13:57:57.886242</t>
  </si>
  <si>
    <t>2026-09-03T13:57:57.879056</t>
  </si>
  <si>
    <t>2026-09-03T13:57:57.868342</t>
  </si>
  <si>
    <t>2026-09-03T13:57:57.862777</t>
  </si>
  <si>
    <t>2026-09-03T13:57:57.846531</t>
  </si>
  <si>
    <t>2026-09-03T13:57:57.831352</t>
  </si>
  <si>
    <t>2026-09-03T13:57:57.829710</t>
  </si>
  <si>
    <t>2026-09-03T13:57:57.815151</t>
  </si>
  <si>
    <t>2026-09-03T13:57:57.800833</t>
  </si>
  <si>
    <t>2026-09-03T13:57:57.782272</t>
  </si>
  <si>
    <t>2026-09-03T13:57:57.763203</t>
  </si>
  <si>
    <t>2026-09-03T13:57:51.973593</t>
  </si>
  <si>
    <t>2026-09-03T13:57:51.958603</t>
  </si>
  <si>
    <t>2026-09-03T13:57:51.949111</t>
  </si>
  <si>
    <t>2026-09-03T13:57:51.928823</t>
  </si>
  <si>
    <t>2026-09-03T13:57:51.922230</t>
  </si>
  <si>
    <t>2026-09-03T13:57:51.909347</t>
  </si>
  <si>
    <t>2026-09-03T13:57:44.311743</t>
  </si>
  <si>
    <t>2026-09-03T13:57:44.288234</t>
  </si>
  <si>
    <t>2026-09-03T13:57:44.277675</t>
  </si>
  <si>
    <t>2026-09-03T13:57:44.272034</t>
  </si>
  <si>
    <t>2026-09-03T13:57:34.611315</t>
  </si>
  <si>
    <t>2026-09-03T13:57:34.595330</t>
  </si>
  <si>
    <t>2026-09-03T13:57:34.585301</t>
  </si>
  <si>
    <t>2026-09-03T13:57:34.568977</t>
  </si>
  <si>
    <t>2026-09-03T13:57:30.553579</t>
  </si>
  <si>
    <t>2026-09-03T13:57:24.552099</t>
  </si>
  <si>
    <t>2026-09-03T13:57:24.543344</t>
  </si>
  <si>
    <t>2026-09-03T13:57:24.533360</t>
  </si>
  <si>
    <t>2026-09-03T13:57:24.517654</t>
  </si>
  <si>
    <t>2026-09-03T13:56:57.659068</t>
  </si>
  <si>
    <t>2026-09-03T13:56:57.639331</t>
  </si>
  <si>
    <t>2026-09-03T13:56:57.627468</t>
  </si>
  <si>
    <t>2026-09-03T13:56:48.312654</t>
  </si>
  <si>
    <t>2026-09-03T13:56:48.293740</t>
  </si>
  <si>
    <t>2026-09-03T13:56:48.285205</t>
  </si>
  <si>
    <t>2026-09-03T13:56:48.275468</t>
  </si>
  <si>
    <t>2026-09-03T13:56:48.257142</t>
  </si>
  <si>
    <t>2026-09-03T13:56:42.146934</t>
  </si>
  <si>
    <t>2026-09-03T13:56:42.134435</t>
  </si>
  <si>
    <t>2026-09-03T13:56:42.118614</t>
  </si>
  <si>
    <t>2026-09-03T13:56:35.553886</t>
  </si>
  <si>
    <t>2026-09-03T13:56:35.539726</t>
  </si>
  <si>
    <t>2026-09-03T13:56:35.522515</t>
  </si>
  <si>
    <t>2026-09-03T13:56:35.506478</t>
  </si>
  <si>
    <t>2026-09-03T13:56:27.544887</t>
  </si>
  <si>
    <t>2026-09-03T13:56:27.524761</t>
  </si>
  <si>
    <t>2026-09-03T13:56:27.511122</t>
  </si>
  <si>
    <t>2026-09-03T13:56:14.082853</t>
  </si>
  <si>
    <t>2026-09-03T13:56:14.074903</t>
  </si>
  <si>
    <t>2026-09-03T13:56:14.064685</t>
  </si>
  <si>
    <t>2026-09-03T13:56:14.054963</t>
  </si>
  <si>
    <t>2026-09-03T13:56:14.044903</t>
  </si>
  <si>
    <t>2026-09-03T13:56:14.036767</t>
  </si>
  <si>
    <t>2026-09-03T13:56:14.028137</t>
  </si>
  <si>
    <t>2026-09-03T13:56:08.399989</t>
  </si>
  <si>
    <t>2026-09-03T13:56:08.377846</t>
  </si>
  <si>
    <t>2026-09-03T13:56:08.370912</t>
  </si>
  <si>
    <t>2026-09-03T13:56:08.361130</t>
  </si>
  <si>
    <t>2026-09-03T13:56:08.354891</t>
  </si>
  <si>
    <t>2026-09-03T13:56:08.339062</t>
  </si>
  <si>
    <t>2026-09-03T13:56:08.323551</t>
  </si>
  <si>
    <t>2026-09-03T13:56:08.308040</t>
  </si>
  <si>
    <t>2026-09-03T13:56:08.291989</t>
  </si>
  <si>
    <t>2026-09-03T13:56:08.276156</t>
  </si>
  <si>
    <t>2026-09-03T13:56:08.260233</t>
  </si>
  <si>
    <t>2026-09-03T13:56:08.244592</t>
  </si>
  <si>
    <t>2026-09-03T13:56:08.232393</t>
  </si>
  <si>
    <t>2026-09-03T13:56:08.229876</t>
  </si>
  <si>
    <t>2026-09-03T13:56:08.213227</t>
  </si>
  <si>
    <t>2026-09-03T13:56:08.197346</t>
  </si>
  <si>
    <t>2026-09-03T13:56:08.189095</t>
  </si>
  <si>
    <t>2026-09-03T13:56:08.179848</t>
  </si>
  <si>
    <t>2026-09-03T13:56:08.165718</t>
  </si>
  <si>
    <t>2026-09-03T13:56:08.149928</t>
  </si>
  <si>
    <t>2026-09-03T13:56:08.137914</t>
  </si>
  <si>
    <t>2026-09-03T13:56:08.134160</t>
  </si>
  <si>
    <t>2026-09-03T13:56:08.123101</t>
  </si>
  <si>
    <t>2026-09-03T13:56:08.119098</t>
  </si>
  <si>
    <t>2026-09-03T13:56:02.853768</t>
  </si>
  <si>
    <t>2026-09-03T13:56:02.834301</t>
  </si>
  <si>
    <t>2026-09-03T13:56:02.821124</t>
  </si>
  <si>
    <t>2026-09-03T13:56:02.810103</t>
  </si>
  <si>
    <t>2026-09-03T13:56:02.806510</t>
  </si>
  <si>
    <t>2026-09-03T13:56:02.790648</t>
  </si>
  <si>
    <t>2026-09-03T13:56:02.781549</t>
  </si>
  <si>
    <t>2026-09-03T13:56:02.774731</t>
  </si>
  <si>
    <t>2026-09-03T13:56:02.759055</t>
  </si>
  <si>
    <t>2026-09-03T13:56:02.750510</t>
  </si>
  <si>
    <t>2026-09-03T13:56:02.737315</t>
  </si>
  <si>
    <t>2026-09-03T13:56:02.730904</t>
  </si>
  <si>
    <t>2026-09-03T13:56:02.710449</t>
  </si>
  <si>
    <t>2026-09-03T13:56:02.700224</t>
  </si>
  <si>
    <t>2026-09-03T13:56:02.681489</t>
  </si>
  <si>
    <t>2026-09-03T13:56:02.662863</t>
  </si>
  <si>
    <t>2026-09-03T13:55:49.779613</t>
  </si>
  <si>
    <t>2026-09-03T13:55:34.357822</t>
  </si>
  <si>
    <t>2026-09-03T13:55:34.352277</t>
  </si>
  <si>
    <t>2026-09-03T13:55:34.345345</t>
  </si>
  <si>
    <t>2026-09-03T13:55:34.330976</t>
  </si>
  <si>
    <t>2026-09-03T13:55:34.324285</t>
  </si>
  <si>
    <t>2026-09-03T13:55:34.316152</t>
  </si>
  <si>
    <t>2026-09-03T13:55:34.304616</t>
  </si>
  <si>
    <t>2026-09-03T13:55:34.292771</t>
  </si>
  <si>
    <t>2026-09-03T13:55:34.282877</t>
  </si>
  <si>
    <t>2026-09-03T13:55:34.272619</t>
  </si>
  <si>
    <t>2026-09-03T13:55:34.256961</t>
  </si>
  <si>
    <t>2026-09-03T13:55:34.241076</t>
  </si>
  <si>
    <t>2026-09-03T13:55:34.231006</t>
  </si>
  <si>
    <t>2026-09-03T13:55:34.220796</t>
  </si>
  <si>
    <t>2026-09-03T13:55:34.212406</t>
  </si>
  <si>
    <t>2026-09-03T13:55:34.205512</t>
  </si>
  <si>
    <t>2026-09-03T13:55:34.193150</t>
  </si>
  <si>
    <t>2026-09-03T13:55:34.188709</t>
  </si>
  <si>
    <t>2026-09-03T13:55:34.177256</t>
  </si>
  <si>
    <t>2026-09-03T13:55:34.163500</t>
  </si>
  <si>
    <t>2026-09-03T13:55:34.151452</t>
  </si>
  <si>
    <t>2026-09-03T13:55:34.141300</t>
  </si>
  <si>
    <t>2026-09-03T13:55:25.541355</t>
  </si>
  <si>
    <t>2026-09-03T13:55:25.522421</t>
  </si>
  <si>
    <t>2026-09-03T13:55:25.506462</t>
  </si>
  <si>
    <t>2026-09-03T13:55:25.490367</t>
  </si>
  <si>
    <t>2026-09-03T13:55:25.474419</t>
  </si>
  <si>
    <t>2026-09-03T13:55:20.087044</t>
  </si>
  <si>
    <t>2026-09-03T13:55:20.071353</t>
  </si>
  <si>
    <t>2026-09-03T13:55:20.059720</t>
  </si>
  <si>
    <t>2026-09-03T13:55:20.055681</t>
  </si>
  <si>
    <t>2026-09-03T13:55:20.045025</t>
  </si>
  <si>
    <t>2026-09-03T13:55:20.034859</t>
  </si>
  <si>
    <t>2026-09-03T13:55:20.028991</t>
  </si>
  <si>
    <t>2026-09-03T13:55:20.027961</t>
  </si>
  <si>
    <t>2026-09-03T13:55:20.013282</t>
  </si>
  <si>
    <t>2026-09-03T13:55:20.009243</t>
  </si>
  <si>
    <t>2026-09-03T13:55:19.997626</t>
  </si>
  <si>
    <t>2026-09-03T13:55:19.982381</t>
  </si>
  <si>
    <t>2026-09-03T13:55:19.976000</t>
  </si>
  <si>
    <t>2026-09-03T13:55:19.965829</t>
  </si>
  <si>
    <t>2026-09-03T13:55:19.957580</t>
  </si>
  <si>
    <t>2026-09-03T13:55:19.950787</t>
  </si>
  <si>
    <t>2026-09-03T13:55:19.942443</t>
  </si>
  <si>
    <t>2026-09-03T13:55:19.928583</t>
  </si>
  <si>
    <t>2026-09-03T13:55:19.920874</t>
  </si>
  <si>
    <t>2026-09-03T13:55:19.912803</t>
  </si>
  <si>
    <t>2026-09-03T13:55:19.896919</t>
  </si>
  <si>
    <t>2026-09-03T13:55:19.889087</t>
  </si>
  <si>
    <t>2026-09-03T13:55:19.881905</t>
  </si>
  <si>
    <t>2026-09-03T13:55:19.875074</t>
  </si>
  <si>
    <t>2026-09-03T13:55:19.854183</t>
  </si>
  <si>
    <t>2026-09-03T13:55:19.844403</t>
  </si>
  <si>
    <t>2026-09-03T13:55:19.834122</t>
  </si>
  <si>
    <t>2026-09-03T13:55:19.828395</t>
  </si>
  <si>
    <t>2026-09-03T13:55:19.819645</t>
  </si>
  <si>
    <t>2026-09-03T13:55:19.809561</t>
  </si>
  <si>
    <t>2026-09-03T13:55:19.786725</t>
  </si>
  <si>
    <t>2026-09-03T13:55:19.771036</t>
  </si>
  <si>
    <t>2026-09-03T13:55:19.764160</t>
  </si>
  <si>
    <t>2026-09-03T13:55:19.754954</t>
  </si>
  <si>
    <t>2026-09-03T13:55:19.731049</t>
  </si>
  <si>
    <t>2026-09-03T13:55:19.720339</t>
  </si>
  <si>
    <t>2026-09-03T13:55:19.715266</t>
  </si>
  <si>
    <t>2026-09-03T13:55:19.709364</t>
  </si>
  <si>
    <t>2026-09-03T13:55:19.691673</t>
  </si>
  <si>
    <t>2026-09-03T13:55:19.675840</t>
  </si>
  <si>
    <t>2026-09-03T13:55:19.666924</t>
  </si>
  <si>
    <t>2026-09-03T13:55:19.658439</t>
  </si>
  <si>
    <t>2026-09-03T13:55:19.646053</t>
  </si>
  <si>
    <t>2026-09-03T13:55:19.633268</t>
  </si>
  <si>
    <t>2026-09-03T13:55:19.626965</t>
  </si>
  <si>
    <t>2026-09-03T13:55:19.617699</t>
  </si>
  <si>
    <t>2026-09-03T13:55:19.610846</t>
  </si>
  <si>
    <t>2026-09-03T13:55:19.597488</t>
  </si>
  <si>
    <t>2026-09-03T13:55:19.594921</t>
  </si>
  <si>
    <t>2026-09-03T13:55:19.578867</t>
  </si>
  <si>
    <t>2026-09-03T13:55:19.562742</t>
  </si>
  <si>
    <t>2026-09-03T13:55:19.553766</t>
  </si>
  <si>
    <t>2026-09-03T13:55:19.531568</t>
  </si>
  <si>
    <t>2026-09-03T13:55:19.528037</t>
  </si>
  <si>
    <t>2026-09-03T13:55:19.519320</t>
  </si>
  <si>
    <t>2026-09-03T13:55:19.509238</t>
  </si>
  <si>
    <t>2026-09-03T13:55:19.499994</t>
  </si>
  <si>
    <t>2026-09-03T13:55:19.484078</t>
  </si>
  <si>
    <t>2026-09-03T13:55:19.452203</t>
  </si>
  <si>
    <t>2026-09-03T13:55:19.444943</t>
  </si>
  <si>
    <t>2026-09-03T13:55:19.419523</t>
  </si>
  <si>
    <t>2026-09-03T13:55:19.416942</t>
  </si>
  <si>
    <t>2026-09-03T13:55:19.403512</t>
  </si>
  <si>
    <t>2026-09-03T13:55:19.387833</t>
  </si>
  <si>
    <t>2026-09-03T13:55:19.377086</t>
  </si>
  <si>
    <t>2026-09-03T13:55:19.360814</t>
  </si>
  <si>
    <t>2026-09-03T13:55:19.352867</t>
  </si>
  <si>
    <t>2026-09-03T13:55:19.343803</t>
  </si>
  <si>
    <t>2026-09-03T13:55:19.327718</t>
  </si>
  <si>
    <t>2026-09-03T13:55:19.318568</t>
  </si>
  <si>
    <t>2026-09-03T13:55:19.309417</t>
  </si>
  <si>
    <t>2026-09-03T13:55:19.302648</t>
  </si>
  <si>
    <t>2026-09-03T13:55:19.291944</t>
  </si>
  <si>
    <t>2026-09-03T13:55:19.271156</t>
  </si>
  <si>
    <t>2026-09-03T13:55:19.255956</t>
  </si>
  <si>
    <t>2026-09-03T13:55:19.240300</t>
  </si>
  <si>
    <t>2026-09-03T13:55:19.231993</t>
  </si>
  <si>
    <t>2026-09-03T13:55:19.224524</t>
  </si>
  <si>
    <t>2026-09-03T13:55:19.215621</t>
  </si>
  <si>
    <t>2026-09-03T13:55:19.193138</t>
  </si>
  <si>
    <t>2026-09-03T13:55:19.177437</t>
  </si>
  <si>
    <t>2026-09-03T13:55:19.166974</t>
  </si>
  <si>
    <t>2026-09-03T13:55:19.161560</t>
  </si>
  <si>
    <t>2026-09-03T13:55:19.145608</t>
  </si>
  <si>
    <t>2026-09-03T13:55:19.129868</t>
  </si>
  <si>
    <t>2026-09-03T13:55:19.123039</t>
  </si>
  <si>
    <t>2026-09-03T13:55:19.111435</t>
  </si>
  <si>
    <t>2026-09-03T13:55:19.098516</t>
  </si>
  <si>
    <t>2026-09-03T13:55:19.082510</t>
  </si>
  <si>
    <t>2026-09-03T13:55:19.066830</t>
  </si>
  <si>
    <t>2026-09-03T13:55:19.050925</t>
  </si>
  <si>
    <t>2026-09-03T13:55:19.035065</t>
  </si>
  <si>
    <t>2026-09-03T13:55:19.031386</t>
  </si>
  <si>
    <t>2026-09-03T13:55:19.021081</t>
  </si>
  <si>
    <t>2026-09-03T13:55:19.009132</t>
  </si>
  <si>
    <t>2026-09-03T13:55:18.989906</t>
  </si>
  <si>
    <t>2026-09-03T13:55:18.974253</t>
  </si>
  <si>
    <t>2026-09-03T13:55:18.958686</t>
  </si>
  <si>
    <t>2026-09-03T13:55:18.951745</t>
  </si>
  <si>
    <t>2026-09-03T13:55:18.943158</t>
  </si>
  <si>
    <t>2026-09-03T13:55:18.926996</t>
  </si>
  <si>
    <t>2026-09-03T13:55:18.917222</t>
  </si>
  <si>
    <t>2026-09-03T13:55:18.895434</t>
  </si>
  <si>
    <t>2026-09-03T13:55:18.879451</t>
  </si>
  <si>
    <t>2026-09-03T13:55:18.865612</t>
  </si>
  <si>
    <t>2026-09-03T13:55:18.847952</t>
  </si>
  <si>
    <t>2026-09-03T13:55:18.832810</t>
  </si>
  <si>
    <t>2026-09-03T13:55:18.830995</t>
  </si>
  <si>
    <t>2026-09-03T13:55:18.814804</t>
  </si>
  <si>
    <t>2026-09-03T13:55:18.808969</t>
  </si>
  <si>
    <t>2026-09-03T13:55:18.798958</t>
  </si>
  <si>
    <t>2026-09-03T13:55:18.783632</t>
  </si>
  <si>
    <t>2026-09-03T13:55:18.780506</t>
  </si>
  <si>
    <t>2026-09-03T13:55:18.764523</t>
  </si>
  <si>
    <t>2026-09-03T13:55:18.755093</t>
  </si>
  <si>
    <t>2026-09-03T13:55:18.748823</t>
  </si>
  <si>
    <t>2026-09-03T13:55:18.736356</t>
  </si>
  <si>
    <t>2026-09-03T13:55:18.722469</t>
  </si>
  <si>
    <t>2026-09-03T13:55:18.716898</t>
  </si>
  <si>
    <t>2026-09-03T13:55:18.708950</t>
  </si>
  <si>
    <t>2026-09-03T13:55:18.701658</t>
  </si>
  <si>
    <t>2026-09-03T13:55:18.694899</t>
  </si>
  <si>
    <t>2026-09-03T13:55:18.680952</t>
  </si>
  <si>
    <t>2026-09-03T13:55:18.677468</t>
  </si>
  <si>
    <t>2026-09-03T13:55:18.661829</t>
  </si>
  <si>
    <t>2026-09-03T13:55:18.646150</t>
  </si>
  <si>
    <t>2026-09-03T13:55:18.639059</t>
  </si>
  <si>
    <t>2026-09-03T13:55:18.630155</t>
  </si>
  <si>
    <t>2026-09-03T13:55:18.623332</t>
  </si>
  <si>
    <t>2026-09-03T13:55:18.608673</t>
  </si>
  <si>
    <t>2026-09-03T13:55:18.607637</t>
  </si>
  <si>
    <t>2026-09-03T13:55:18.591911</t>
  </si>
  <si>
    <t>2026-09-03T13:55:18.575882</t>
  </si>
  <si>
    <t>2026-09-03T13:55:18.559972</t>
  </si>
  <si>
    <t>2026-09-03T13:55:18.551001</t>
  </si>
  <si>
    <t>2026-09-03T13:55:18.544204</t>
  </si>
  <si>
    <t>2026-09-03T13:55:18.528519</t>
  </si>
  <si>
    <t>2026-09-03T13:55:18.516338</t>
  </si>
  <si>
    <t>2026-09-03T13:55:18.493134</t>
  </si>
  <si>
    <t>2026-09-03T13:55:18.472348</t>
  </si>
  <si>
    <t>2026-09-03T13:55:18.459621</t>
  </si>
  <si>
    <t>2026-09-03T13:55:18.457244</t>
  </si>
  <si>
    <t>2026-09-03T13:55:18.444864</t>
  </si>
  <si>
    <t>2026-09-03T13:55:18.429358</t>
  </si>
  <si>
    <t>2026-09-03T13:55:18.417123</t>
  </si>
  <si>
    <t>2026-09-03T13:55:18.410078</t>
  </si>
  <si>
    <t>2026-09-03T13:55:18.400550</t>
  </si>
  <si>
    <t>2026-09-03T13:55:18.384737</t>
  </si>
  <si>
    <t>2026-09-03T13:55:18.371264</t>
  </si>
  <si>
    <t>2026-09-03T13:55:18.353111</t>
  </si>
  <si>
    <t>2026-09-03T13:55:18.337247</t>
  </si>
  <si>
    <t>2026-09-03T13:55:18.321561</t>
  </si>
  <si>
    <t>2026-09-03T13:55:18.308294</t>
  </si>
  <si>
    <t>2026-09-03T13:55:18.305791</t>
  </si>
  <si>
    <t>2026-09-03T13:55:18.292102</t>
  </si>
  <si>
    <t>2026-09-03T13:55:18.285017</t>
  </si>
  <si>
    <t>2026-09-03T13:55:18.278126</t>
  </si>
  <si>
    <t>2026-09-03T13:55:18.274881</t>
  </si>
  <si>
    <t>2026-09-03T13:55:18.259030</t>
  </si>
  <si>
    <t>2026-09-03T13:55:18.243227</t>
  </si>
  <si>
    <t>2026-09-03T13:55:18.229565</t>
  </si>
  <si>
    <t>2026-09-03T13:55:18.228780</t>
  </si>
  <si>
    <t>2026-09-03T13:55:18.221453</t>
  </si>
  <si>
    <t>2026-09-03T13:55:18.208330</t>
  </si>
  <si>
    <t>2026-09-03T13:55:18.194907</t>
  </si>
  <si>
    <t>2026-09-03T13:55:18.189690</t>
  </si>
  <si>
    <t>2026-09-03T13:55:18.174035</t>
  </si>
  <si>
    <t>2026-09-03T13:55:18.165326</t>
  </si>
  <si>
    <t>2026-09-03T13:55:18.160155</t>
  </si>
  <si>
    <t>2026-09-03T13:55:18.151974</t>
  </si>
  <si>
    <t>2026-09-03T13:55:18.133387</t>
  </si>
  <si>
    <t>2026-09-03T13:55:18.117334</t>
  </si>
  <si>
    <t>2026-09-03T13:55:18.115582</t>
  </si>
  <si>
    <t>2026-09-03T13:55:18.101229</t>
  </si>
  <si>
    <t>2026-09-03T13:55:18.085547</t>
  </si>
  <si>
    <t>2026-09-03T13:55:18.076866</t>
  </si>
  <si>
    <t>2026-09-03T13:55:18.069893</t>
  </si>
  <si>
    <t>2026-09-03T13:55:18.063317</t>
  </si>
  <si>
    <t>2026-09-03T13:55:18.056040</t>
  </si>
  <si>
    <t>2026-09-03T13:55:18.047561</t>
  </si>
  <si>
    <t>2026-09-03T13:55:18.035550</t>
  </si>
  <si>
    <t>2026-09-03T13:55:18.028403</t>
  </si>
  <si>
    <t>2026-09-03T13:55:18.019791</t>
  </si>
  <si>
    <t>2026-09-03T13:55:18.009744</t>
  </si>
  <si>
    <t>2026-09-03T13:55:17.993673</t>
  </si>
  <si>
    <t>2026-09-03T13:55:17.978635</t>
  </si>
  <si>
    <t>2026-09-03T13:55:17.970902</t>
  </si>
  <si>
    <t>2026-09-03T13:55:17.962949</t>
  </si>
  <si>
    <t>2026-09-03T13:55:17.949413</t>
  </si>
  <si>
    <t>2026-09-03T13:55:17.942389</t>
  </si>
  <si>
    <t>2026-09-03T13:55:17.930978</t>
  </si>
  <si>
    <t>2026-09-03T13:55:17.916772</t>
  </si>
  <si>
    <t>2026-09-03T13:55:17.914751</t>
  </si>
  <si>
    <t>2026-09-03T13:55:17.901031</t>
  </si>
  <si>
    <t>2026-09-03T13:55:17.896446</t>
  </si>
  <si>
    <t>2026-09-03T13:55:17.885071</t>
  </si>
  <si>
    <t>2026-09-03T13:55:17.871545</t>
  </si>
  <si>
    <t>2026-09-03T13:55:17.854454</t>
  </si>
  <si>
    <t>2026-09-03T13:55:17.845680</t>
  </si>
  <si>
    <t>2026-09-03T13:55:17.827981</t>
  </si>
  <si>
    <t>2026-09-03T13:55:17.812775</t>
  </si>
  <si>
    <t>2026-09-03T13:55:17.810540</t>
  </si>
  <si>
    <t>2026-09-03T13:55:17.797015</t>
  </si>
  <si>
    <t>2026-09-03T13:55:17.778166</t>
  </si>
  <si>
    <t>2026-09-03T13:55:17.764823</t>
  </si>
  <si>
    <t>2026-09-03T13:55:17.749003</t>
  </si>
  <si>
    <t>2026-09-03T13:55:17.743383</t>
  </si>
  <si>
    <t>2026-09-03T13:55:17.740213</t>
  </si>
  <si>
    <t>2026-09-03T13:55:17.724421</t>
  </si>
  <si>
    <t>2026-09-03T13:55:17.714046</t>
  </si>
  <si>
    <t>2026-09-03T13:55:17.708650</t>
  </si>
  <si>
    <t>2026-09-03T13:55:17.701718</t>
  </si>
  <si>
    <t>2026-09-03T13:55:17.696946</t>
  </si>
  <si>
    <t>2026-09-03T13:55:17.682261</t>
  </si>
  <si>
    <t>2026-09-03T13:55:17.665406</t>
  </si>
  <si>
    <t>2026-09-03T13:55:17.649767</t>
  </si>
  <si>
    <t>2026-09-03T13:55:17.639423</t>
  </si>
  <si>
    <t>2026-09-03T13:55:17.627445</t>
  </si>
  <si>
    <t>2026-09-03T13:55:17.617987</t>
  </si>
  <si>
    <t>2026-09-03T13:55:17.607577</t>
  </si>
  <si>
    <t>2026-09-03T13:55:17.602223</t>
  </si>
  <si>
    <t>2026-09-03T13:55:17.586366</t>
  </si>
  <si>
    <t>2026-09-03T13:55:17.570378</t>
  </si>
  <si>
    <t>2026-09-03T13:55:17.554620</t>
  </si>
  <si>
    <t>2026-09-03T13:55:17.548186</t>
  </si>
  <si>
    <t>2026-09-03T13:55:17.540114</t>
  </si>
  <si>
    <t>2026-09-03T13:55:17.524042</t>
  </si>
  <si>
    <t>2026-09-03T13:55:17.513822</t>
  </si>
  <si>
    <t>2026-09-03T13:55:17.508377</t>
  </si>
  <si>
    <t>2026-09-03T13:55:17.492592</t>
  </si>
  <si>
    <t>2026-09-03T13:55:17.476810</t>
  </si>
  <si>
    <t>2026-09-03T13:55:17.461139</t>
  </si>
  <si>
    <t>2026-09-03T13:55:17.445407</t>
  </si>
  <si>
    <t>2026-09-03T13:55:17.438074</t>
  </si>
  <si>
    <t>2026-09-03T13:55:17.429632</t>
  </si>
  <si>
    <t>2026-09-03T13:55:17.427079</t>
  </si>
  <si>
    <t>2026-09-03T13:55:17.413901</t>
  </si>
  <si>
    <t>2026-09-03T13:55:17.398125</t>
  </si>
  <si>
    <t>2026-09-03T13:55:17.389445</t>
  </si>
  <si>
    <t>2026-09-03T13:55:17.384871</t>
  </si>
  <si>
    <t>2026-09-03T13:55:17.366708</t>
  </si>
  <si>
    <t>2026-09-03T13:55:17.350917</t>
  </si>
  <si>
    <t>2026-09-03T13:55:17.347725</t>
  </si>
  <si>
    <t>2026-09-03T13:55:17.334785</t>
  </si>
  <si>
    <t>2026-09-03T13:55:17.318658</t>
  </si>
  <si>
    <t>2026-09-03T13:55:17.313514</t>
  </si>
  <si>
    <t>2026-09-03T13:55:17.307398</t>
  </si>
  <si>
    <t>2026-09-03T13:55:17.292224</t>
  </si>
  <si>
    <t>2026-09-03T13:55:17.287054</t>
  </si>
  <si>
    <t>2026-09-03T13:55:17.277376</t>
  </si>
  <si>
    <t>2026-09-03T13:55:17.271386</t>
  </si>
  <si>
    <t>2026-09-03T13:55:17.257943</t>
  </si>
  <si>
    <t>2026-09-03T13:55:17.242751</t>
  </si>
  <si>
    <t>2026-09-03T13:55:17.229741</t>
  </si>
  <si>
    <t>2026-09-03T13:55:17.226482</t>
  </si>
  <si>
    <t>2026-09-03T13:55:17.207473</t>
  </si>
  <si>
    <t>2026-09-03T13:55:17.201972</t>
  </si>
  <si>
    <t>2026-09-03T13:55:17.191876</t>
  </si>
  <si>
    <t>2026-09-03T13:55:17.176147</t>
  </si>
  <si>
    <t>2026-09-03T13:55:17.160315</t>
  </si>
  <si>
    <t>2026-09-03T13:55:17.149348</t>
  </si>
  <si>
    <t>2026-09-03T13:55:17.133568</t>
  </si>
  <si>
    <t>2026-09-03T13:55:17.125580</t>
  </si>
  <si>
    <t>2026-09-03T13:55:17.117480</t>
  </si>
  <si>
    <t>2026-09-03T13:55:17.107362</t>
  </si>
  <si>
    <t>2026-09-03T13:55:17.085638</t>
  </si>
  <si>
    <t>2026-09-03T13:55:17.069825</t>
  </si>
  <si>
    <t>2026-09-03T13:55:17.062679</t>
  </si>
  <si>
    <t>2026-09-03T13:55:17.046673</t>
  </si>
  <si>
    <t>2026-09-03T13:55:17.030541</t>
  </si>
  <si>
    <t>2026-09-03T13:55:17.014409</t>
  </si>
  <si>
    <t>2026-09-03T13:55:17.006502</t>
  </si>
  <si>
    <t>2026-09-03T13:55:16.993688</t>
  </si>
  <si>
    <t>2026-09-03T13:55:16.990829</t>
  </si>
  <si>
    <t>2026-09-03T13:55:16.975037</t>
  </si>
  <si>
    <t>2026-09-03T13:55:16.959921</t>
  </si>
  <si>
    <t>2026-09-03T13:55:16.952032</t>
  </si>
  <si>
    <t>2026-09-03T13:55:16.948844</t>
  </si>
  <si>
    <t>2026-09-03T13:55:16.943932</t>
  </si>
  <si>
    <t>2026-09-03T13:55:16.927089</t>
  </si>
  <si>
    <t>2026-09-03T13:55:16.912407</t>
  </si>
  <si>
    <t>2026-09-03T13:55:16.895577</t>
  </si>
  <si>
    <t>2026-09-03T13:55:16.889534</t>
  </si>
  <si>
    <t>2026-09-03T13:55:16.879842</t>
  </si>
  <si>
    <t>2026-09-03T13:55:16.875631</t>
  </si>
  <si>
    <t>2026-09-03T13:55:16.864812</t>
  </si>
  <si>
    <t>2026-09-03T13:55:16.854786</t>
  </si>
  <si>
    <t>2026-09-03T13:55:16.833962</t>
  </si>
  <si>
    <t>2026-09-03T13:55:16.824794</t>
  </si>
  <si>
    <t>2026-09-03T13:55:16.814984</t>
  </si>
  <si>
    <t>2026-09-03T13:55:16.799235</t>
  </si>
  <si>
    <t>2026-09-03T13:55:16.794403</t>
  </si>
  <si>
    <t>2026-09-03T13:55:16.778759</t>
  </si>
  <si>
    <t>2026-09-03T13:55:16.763120</t>
  </si>
  <si>
    <t>2026-09-03T13:55:16.750640</t>
  </si>
  <si>
    <t>2026-09-03T13:55:16.736751</t>
  </si>
  <si>
    <t>2026-09-03T13:55:16.716484</t>
  </si>
  <si>
    <t>2026-09-03T13:55:16.711778</t>
  </si>
  <si>
    <t>2026-09-03T13:55:16.694868</t>
  </si>
  <si>
    <t>2026-09-03T13:55:16.676095</t>
  </si>
  <si>
    <t>2026-09-03T13:55:16.659060</t>
  </si>
  <si>
    <t>2026-09-03T13:55:16.643301</t>
  </si>
  <si>
    <t>2026-09-03T13:55:16.627415</t>
  </si>
  <si>
    <t>2026-09-03T13:55:16.623883</t>
  </si>
  <si>
    <t>2026-09-03T13:55:16.611585</t>
  </si>
  <si>
    <t>2026-09-03T13:55:16.595677</t>
  </si>
  <si>
    <t>2026-09-03T13:55:16.590930</t>
  </si>
  <si>
    <t>2026-09-03T13:55:16.579612</t>
  </si>
  <si>
    <t>2026-09-03T13:55:16.570138</t>
  </si>
  <si>
    <t>2026-09-03T13:55:16.563723</t>
  </si>
  <si>
    <t>2026-09-03T13:55:16.548050</t>
  </si>
  <si>
    <t>2026-09-03T13:55:16.542345</t>
  </si>
  <si>
    <t>2026-09-03T13:55:16.532296</t>
  </si>
  <si>
    <t>2026-09-03T13:55:16.516580</t>
  </si>
  <si>
    <t>2026-09-03T13:55:16.507356</t>
  </si>
  <si>
    <t>2026-09-03T13:55:16.500708</t>
  </si>
  <si>
    <t>2026-09-03T13:55:16.490962</t>
  </si>
  <si>
    <t>2026-09-03T13:55:16.475290</t>
  </si>
  <si>
    <t>2026-09-03T13:55:16.459612</t>
  </si>
  <si>
    <t>2026-09-03T13:55:16.443805</t>
  </si>
  <si>
    <t>2026-09-03T13:55:16.431241</t>
  </si>
  <si>
    <t>2026-09-03T13:55:16.422768</t>
  </si>
  <si>
    <t>2026-09-03T13:55:16.412337</t>
  </si>
  <si>
    <t>2026-09-03T13:55:16.407321</t>
  </si>
  <si>
    <t>2026-09-03T13:55:16.396540</t>
  </si>
  <si>
    <t>2026-09-03T13:55:16.382724</t>
  </si>
  <si>
    <t>2026-09-03T13:55:16.374266</t>
  </si>
  <si>
    <t>2026-09-03T13:55:16.362524</t>
  </si>
  <si>
    <t>2026-09-03T13:55:16.345416</t>
  </si>
  <si>
    <t>2026-09-03T13:55:16.334040</t>
  </si>
  <si>
    <t>2026-09-03T13:55:16.326868</t>
  </si>
  <si>
    <t>2026-09-03T13:55:16.320246</t>
  </si>
  <si>
    <t>2026-09-03T13:55:16.313705</t>
  </si>
  <si>
    <t>2026-09-03T13:55:16.299278</t>
  </si>
  <si>
    <t>2026-09-03T13:55:16.295545</t>
  </si>
  <si>
    <t>2026-09-03T13:55:16.285148</t>
  </si>
  <si>
    <t>2026-09-03T13:55:16.279045</t>
  </si>
  <si>
    <t>2026-09-03T13:55:16.271953</t>
  </si>
  <si>
    <t>2026-09-03T13:55:16.264081</t>
  </si>
  <si>
    <t>2026-09-03T13:55:16.258874</t>
  </si>
  <si>
    <t>2026-09-03T13:55:16.250295</t>
  </si>
  <si>
    <t>2026-09-03T13:55:16.232878</t>
  </si>
  <si>
    <t>2026-09-03T13:55:16.222196</t>
  </si>
  <si>
    <t>2026-09-03T13:55:16.209007</t>
  </si>
  <si>
    <t>2026-09-03T13:55:16.201804</t>
  </si>
  <si>
    <t>2026-09-03T13:55:16.187230</t>
  </si>
  <si>
    <t>2026-09-03T13:55:16.183722</t>
  </si>
  <si>
    <t>2026-09-03T13:55:16.176278</t>
  </si>
  <si>
    <t>2026-09-03T13:55:16.169398</t>
  </si>
  <si>
    <t>2026-09-03T13:55:16.161878</t>
  </si>
  <si>
    <t>2026-09-03T13:55:16.154989</t>
  </si>
  <si>
    <t>2026-09-03T13:55:16.147916</t>
  </si>
  <si>
    <t>2026-09-03T13:55:16.138328</t>
  </si>
  <si>
    <t>2026-09-03T13:55:16.123443</t>
  </si>
  <si>
    <t>2026-09-03T13:55:16.118478</t>
  </si>
  <si>
    <t>2026-09-03T13:55:16.106939</t>
  </si>
  <si>
    <t>2026-09-03T13:55:16.091164</t>
  </si>
  <si>
    <t>2026-09-03T13:55:16.075466</t>
  </si>
  <si>
    <t>2026-09-03T13:55:16.059749</t>
  </si>
  <si>
    <t>2026-09-03T13:55:16.044091</t>
  </si>
  <si>
    <t>2026-09-03T13:55:16.028184</t>
  </si>
  <si>
    <t>2026-09-03T13:55:16.021565</t>
  </si>
  <si>
    <t>2026-09-03T13:55:16.012179</t>
  </si>
  <si>
    <t>2026-09-03T13:55:16.007068</t>
  </si>
  <si>
    <t>2026-09-03T13:55:15.996402</t>
  </si>
  <si>
    <t>2026-09-03T13:55:15.980364</t>
  </si>
  <si>
    <t>2026-09-03T13:55:15.964473</t>
  </si>
  <si>
    <t>2026-09-03T13:55:15.949277</t>
  </si>
  <si>
    <t>2026-09-03T13:55:15.942312</t>
  </si>
  <si>
    <t>2026-09-03T13:55:15.932881</t>
  </si>
  <si>
    <t>2026-09-03T13:55:15.917181</t>
  </si>
  <si>
    <t>2026-09-03T13:55:15.909611</t>
  </si>
  <si>
    <t>2026-09-03T13:55:15.889901</t>
  </si>
  <si>
    <t>2026-09-03T13:55:15.877290</t>
  </si>
  <si>
    <t>2026-09-03T13:55:15.858405</t>
  </si>
  <si>
    <t>2026-09-03T13:55:15.842730</t>
  </si>
  <si>
    <t>2026-09-03T13:55:15.826858</t>
  </si>
  <si>
    <t>2026-09-03T13:55:15.821024</t>
  </si>
  <si>
    <t>2026-09-03T13:55:15.811071</t>
  </si>
  <si>
    <t>2026-09-03T13:55:15.807088</t>
  </si>
  <si>
    <t>2026-09-03T13:55:15.795312</t>
  </si>
  <si>
    <t>2026-09-03T13:55:15.779433</t>
  </si>
  <si>
    <t>2026-09-03T13:55:15.771633</t>
  </si>
  <si>
    <t>2026-09-03T13:55:15.763491</t>
  </si>
  <si>
    <t>2026-09-03T13:55:15.747817</t>
  </si>
  <si>
    <t>2026-09-03T13:55:15.732109</t>
  </si>
  <si>
    <t>2026-09-03T13:55:15.715978</t>
  </si>
  <si>
    <t>2026-09-03T13:55:15.709073</t>
  </si>
  <si>
    <t>2026-09-03T13:55:15.706976</t>
  </si>
  <si>
    <t>2026-09-03T13:55:15.695158</t>
  </si>
  <si>
    <t>2026-09-03T13:55:15.688164</t>
  </si>
  <si>
    <t>2026-09-03T13:55:15.683549</t>
  </si>
  <si>
    <t>2026-09-03T13:55:15.668941</t>
  </si>
  <si>
    <t>2026-09-03T13:55:15.652717</t>
  </si>
  <si>
    <t>2026-09-03T13:55:15.637619</t>
  </si>
  <si>
    <t>2026-09-03T13:55:15.621920</t>
  </si>
  <si>
    <t>2026-09-03T13:55:15.618874</t>
  </si>
  <si>
    <t>2026-09-03T13:55:15.606863</t>
  </si>
  <si>
    <t>2026-09-03T13:55:15.589831</t>
  </si>
  <si>
    <t>2026-09-03T13:55:15.584151</t>
  </si>
  <si>
    <t>2026-09-03T13:55:15.573717</t>
  </si>
  <si>
    <t>2026-09-03T13:55:15.558022</t>
  </si>
  <si>
    <t>2026-09-03T13:55:15.542919</t>
  </si>
  <si>
    <t>2026-09-03T13:55:15.537058</t>
  </si>
  <si>
    <t>2026-09-03T13:55:15.521416</t>
  </si>
  <si>
    <t>2026-09-03T13:55:15.508875</t>
  </si>
  <si>
    <t>2026-09-03T13:55:15.506860</t>
  </si>
  <si>
    <t>2026-09-03T13:55:15.485446</t>
  </si>
  <si>
    <t>2026-09-03T13:55:15.469694</t>
  </si>
  <si>
    <t>2026-09-03T13:55:15.454032</t>
  </si>
  <si>
    <t>2026-09-03T13:55:15.438166</t>
  </si>
  <si>
    <t>2026-09-03T13:55:15.429795</t>
  </si>
  <si>
    <t>2026-09-03T13:55:15.420029</t>
  </si>
  <si>
    <t>2026-09-03T13:55:15.412411</t>
  </si>
  <si>
    <t>2026-09-03T13:55:15.406719</t>
  </si>
  <si>
    <t>2026-09-03T13:55:15.396665</t>
  </si>
  <si>
    <t>2026-09-03T13:55:15.384787</t>
  </si>
  <si>
    <t>2026-09-03T13:55:15.369836</t>
  </si>
  <si>
    <t>2026-09-03T13:55:15.353612</t>
  </si>
  <si>
    <t>2026-09-03T13:55:15.342362</t>
  </si>
  <si>
    <t>2026-09-03T13:55:15.337883</t>
  </si>
  <si>
    <t>2026-09-03T13:55:15.322015</t>
  </si>
  <si>
    <t>2026-09-03T13:55:15.308305</t>
  </si>
  <si>
    <t>2026-09-03T13:55:15.298010</t>
  </si>
  <si>
    <t>2026-09-03T13:55:15.282604</t>
  </si>
  <si>
    <t>2026-09-03T13:55:15.266838</t>
  </si>
  <si>
    <t>2026-09-03T13:55:15.251187</t>
  </si>
  <si>
    <t>2026-09-03T13:55:15.235331</t>
  </si>
  <si>
    <t>2026-09-03T13:55:15.219275</t>
  </si>
  <si>
    <t>2026-09-03T13:55:15.206657</t>
  </si>
  <si>
    <t>2026-09-03T13:55:15.203913</t>
  </si>
  <si>
    <t>2026-09-03T13:55:15.188172</t>
  </si>
  <si>
    <t>2026-09-03T13:55:15.172963</t>
  </si>
  <si>
    <t>2026-09-03T13:55:15.159722</t>
  </si>
  <si>
    <t>2026-09-03T13:55:15.156925</t>
  </si>
  <si>
    <t>2026-09-03T13:55:15.146705</t>
  </si>
  <si>
    <t>2026-09-03T13:55:15.140803</t>
  </si>
  <si>
    <t>2026-09-03T13:55:15.125318</t>
  </si>
  <si>
    <t>2026-09-03T13:55:15.119936</t>
  </si>
  <si>
    <t>2026-09-03T13:55:15.107598</t>
  </si>
  <si>
    <t>2026-09-03T13:55:15.087949</t>
  </si>
  <si>
    <t>2026-09-03T13:55:15.072078</t>
  </si>
  <si>
    <t>2026-09-03T13:55:15.056268</t>
  </si>
  <si>
    <t>2026-09-03T13:55:15.051289</t>
  </si>
  <si>
    <t>2026-09-03T13:55:15.035627</t>
  </si>
  <si>
    <t>2026-09-03T13:55:15.030545</t>
  </si>
  <si>
    <t>2026-09-03T13:55:15.021743</t>
  </si>
  <si>
    <t>2026-09-03T13:55:15.018881</t>
  </si>
  <si>
    <t>2026-09-03T13:55:15.007684</t>
  </si>
  <si>
    <t>2026-09-03T13:55:14.995680</t>
  </si>
  <si>
    <t>2026-09-03T13:55:14.980517</t>
  </si>
  <si>
    <t>2026-09-03T13:55:14.975837</t>
  </si>
  <si>
    <t>2026-09-03T13:55:14.964769</t>
  </si>
  <si>
    <t>2026-09-03T13:55:14.959100</t>
  </si>
  <si>
    <t>2026-09-03T13:55:14.949463</t>
  </si>
  <si>
    <t>2026-09-03T13:55:14.942460</t>
  </si>
  <si>
    <t>2026-09-03T13:55:14.933383</t>
  </si>
  <si>
    <t>2026-09-03T13:55:14.917724</t>
  </si>
  <si>
    <t>2026-09-03T13:55:14.907093</t>
  </si>
  <si>
    <t>2026-09-03T13:55:14.901938</t>
  </si>
  <si>
    <t>2026-09-03T13:55:14.886027</t>
  </si>
  <si>
    <t>2026-09-03T13:55:14.875910</t>
  </si>
  <si>
    <t>2026-09-03T13:55:14.870762</t>
  </si>
  <si>
    <t>2026-09-03T13:55:14.854004</t>
  </si>
  <si>
    <t>2026-09-03T13:55:14.848118</t>
  </si>
  <si>
    <t>2026-09-03T13:55:14.838188</t>
  </si>
  <si>
    <t>2026-09-03T13:55:14.827340</t>
  </si>
  <si>
    <t>2026-09-03T13:55:14.822082</t>
  </si>
  <si>
    <t>2026-09-03T13:55:14.813409</t>
  </si>
  <si>
    <t>2026-09-03T13:55:14.799551</t>
  </si>
  <si>
    <t>2026-09-03T13:55:14.795354</t>
  </si>
  <si>
    <t>2026-09-03T13:55:14.779496</t>
  </si>
  <si>
    <t>2026-09-03T13:55:14.763407</t>
  </si>
  <si>
    <t>2026-09-03T13:55:14.747418</t>
  </si>
  <si>
    <t>2026-09-03T13:55:14.740899</t>
  </si>
  <si>
    <t>2026-09-03T13:55:14.731753</t>
  </si>
  <si>
    <t>2026-09-03T13:55:14.716052</t>
  </si>
  <si>
    <t>2026-09-03T13:55:14.706416</t>
  </si>
  <si>
    <t>2026-09-03T13:55:14.695223</t>
  </si>
  <si>
    <t>2026-09-03T13:55:14.688259</t>
  </si>
  <si>
    <t>2026-09-03T13:55:14.681277</t>
  </si>
  <si>
    <t>2026-09-03T13:55:14.670513</t>
  </si>
  <si>
    <t>2026-09-03T13:55:14.655732</t>
  </si>
  <si>
    <t>2026-09-03T13:55:14.646799</t>
  </si>
  <si>
    <t>2026-09-03T13:55:14.638682</t>
  </si>
  <si>
    <t>2026-09-03T13:55:14.632876</t>
  </si>
  <si>
    <t>2026-09-03T13:55:14.622683</t>
  </si>
  <si>
    <t>2026-09-03T13:55:14.618962</t>
  </si>
  <si>
    <t>2026-09-03T13:55:14.606659</t>
  </si>
  <si>
    <t>2026-09-03T13:55:14.591118</t>
  </si>
  <si>
    <t>2026-09-03T13:55:14.572895</t>
  </si>
  <si>
    <t>2026-09-03T13:55:14.557142</t>
  </si>
  <si>
    <t>2026-09-03T13:55:14.541198</t>
  </si>
  <si>
    <t>2026-09-03T13:55:14.534303</t>
  </si>
  <si>
    <t>2026-09-03T13:55:14.518425</t>
  </si>
  <si>
    <t>2026-09-03T13:55:14.505639</t>
  </si>
  <si>
    <t>2026-09-03T13:55:14.487006</t>
  </si>
  <si>
    <t>2026-09-03T13:55:14.471542</t>
  </si>
  <si>
    <t>2026-09-03T13:55:14.455733</t>
  </si>
  <si>
    <t>2026-09-03T13:55:14.440044</t>
  </si>
  <si>
    <t>2026-09-03T13:55:14.424409</t>
  </si>
  <si>
    <t>2026-09-03T13:55:14.415846</t>
  </si>
  <si>
    <t>2026-09-03T13:55:14.411494</t>
  </si>
  <si>
    <t>2026-09-03T13:55:14.405624</t>
  </si>
  <si>
    <t>2026-09-03T13:55:14.395623</t>
  </si>
  <si>
    <t>2026-09-03T13:55:14.379900</t>
  </si>
  <si>
    <t>2026-09-03T13:55:14.369076</t>
  </si>
  <si>
    <t>2026-09-03T13:55:14.347966</t>
  </si>
  <si>
    <t>2026-09-03T13:55:14.332009</t>
  </si>
  <si>
    <t>2026-09-03T13:55:14.315922</t>
  </si>
  <si>
    <t>2026-09-03T13:55:14.305638</t>
  </si>
  <si>
    <t>2026-09-03T13:55:14.300111</t>
  </si>
  <si>
    <t>2026-09-03T13:55:14.284311</t>
  </si>
  <si>
    <t>2026-09-03T13:55:14.268646</t>
  </si>
  <si>
    <t>2026-09-03T13:55:14.252758</t>
  </si>
  <si>
    <t>2026-09-03T13:55:14.236719</t>
  </si>
  <si>
    <t>2026-09-03T13:55:14.220953</t>
  </si>
  <si>
    <t>2026-09-03T13:55:14.214512</t>
  </si>
  <si>
    <t>2026-09-03T13:55:14.205639</t>
  </si>
  <si>
    <t>2026-09-03T13:55:14.189466</t>
  </si>
  <si>
    <t>2026-09-03T13:55:14.173489</t>
  </si>
  <si>
    <t>2026-09-03T13:55:14.157700</t>
  </si>
  <si>
    <t>2026-09-03T13:55:14.141988</t>
  </si>
  <si>
    <t>2026-09-03T13:55:14.126321</t>
  </si>
  <si>
    <t>2026-09-03T13:55:14.119055</t>
  </si>
  <si>
    <t>2026-09-03T13:55:14.110680</t>
  </si>
  <si>
    <t>2026-09-03T13:55:14.105436</t>
  </si>
  <si>
    <t>2026-09-03T13:55:14.094944</t>
  </si>
  <si>
    <t>2026-09-03T13:55:14.079114</t>
  </si>
  <si>
    <t>2026-09-03T13:55:14.063436</t>
  </si>
  <si>
    <t>2026-09-03T13:55:14.049942</t>
  </si>
  <si>
    <t>2026-09-03T13:55:14.034101</t>
  </si>
  <si>
    <t>2026-09-03T13:55:14.022018</t>
  </si>
  <si>
    <t>2026-09-03T13:55:14.018392</t>
  </si>
  <si>
    <t>2026-09-03T13:55:14.005421</t>
  </si>
  <si>
    <t>2026-09-03T13:55:13.986613</t>
  </si>
  <si>
    <t>2026-09-03T13:55:13.970877</t>
  </si>
  <si>
    <t>2026-09-03T13:55:13.959372</t>
  </si>
  <si>
    <t>2026-09-03T13:55:13.948858</t>
  </si>
  <si>
    <t>2026-09-03T13:55:13.943773</t>
  </si>
  <si>
    <t>2026-09-03T13:55:13.923135</t>
  </si>
  <si>
    <t>2026-09-03T13:55:13.906445</t>
  </si>
  <si>
    <t>2026-09-03T13:55:13.890437</t>
  </si>
  <si>
    <t>2026-09-03T13:55:13.874516</t>
  </si>
  <si>
    <t>2026-09-03T13:55:13.868950</t>
  </si>
  <si>
    <t>2026-09-03T13:55:13.847146</t>
  </si>
  <si>
    <t>2026-09-03T13:55:13.831389</t>
  </si>
  <si>
    <t>2026-09-03T13:55:13.815253</t>
  </si>
  <si>
    <t>2026-09-03T13:55:13.805579</t>
  </si>
  <si>
    <t>2026-09-03T13:55:13.799426</t>
  </si>
  <si>
    <t>2026-09-03T13:55:13.783484</t>
  </si>
  <si>
    <t>2026-09-03T13:55:13.767801</t>
  </si>
  <si>
    <t>2026-09-03T13:55:13.737889</t>
  </si>
  <si>
    <t>2026-09-03T13:55:13.721892</t>
  </si>
  <si>
    <t>2026-09-03T13:55:13.712043</t>
  </si>
  <si>
    <t>2026-09-03T13:55:13.705456</t>
  </si>
  <si>
    <t>2026-09-03T13:55:13.695928</t>
  </si>
  <si>
    <t>2026-09-03T13:55:13.688602</t>
  </si>
  <si>
    <t>2026-09-03T13:55:13.680217</t>
  </si>
  <si>
    <t>2026-09-03T13:55:13.664536</t>
  </si>
  <si>
    <t>2026-09-03T13:55:13.660931</t>
  </si>
  <si>
    <t>2026-09-03T13:55:13.650477</t>
  </si>
  <si>
    <t>2026-09-03T13:55:13.633062</t>
  </si>
  <si>
    <t>2026-09-03T13:55:13.626056</t>
  </si>
  <si>
    <t>2026-09-03T13:55:13.612725</t>
  </si>
  <si>
    <t>2026-09-03T13:55:13.607756</t>
  </si>
  <si>
    <t>2026-09-03T13:55:13.598293</t>
  </si>
  <si>
    <t>2026-09-03T13:55:13.592013</t>
  </si>
  <si>
    <t>2026-09-03T13:55:13.576129</t>
  </si>
  <si>
    <t>2026-09-03T13:55:13.567803</t>
  </si>
  <si>
    <t>2026-09-03T13:55:13.552142</t>
  </si>
  <si>
    <t>2026-09-03T13:55:13.537283</t>
  </si>
  <si>
    <t>2026-09-03T13:55:06.112535</t>
  </si>
  <si>
    <t>2026-09-03T13:55:06.099331</t>
  </si>
  <si>
    <t>2026-09-03T13:55:06.090242</t>
  </si>
  <si>
    <t>2026-09-03T13:55:06.080662</t>
  </si>
  <si>
    <t>2026-09-03T13:55:06.073134</t>
  </si>
  <si>
    <t>2026-09-03T13:55:06.064631</t>
  </si>
  <si>
    <t>2026-09-03T13:55:06.057663</t>
  </si>
  <si>
    <t>2026-09-03T13:55:06.043486</t>
  </si>
  <si>
    <t>2026-09-03T13:55:06.027421</t>
  </si>
  <si>
    <t>2026-09-03T13:55:06.011632</t>
  </si>
  <si>
    <t>2026-09-03T13:55:05.995935</t>
  </si>
  <si>
    <t>2026-09-03T13:55:05.990221</t>
  </si>
  <si>
    <t>2026-09-03T13:54:52.748880</t>
  </si>
  <si>
    <t>2026-09-03T13:54:52.732297</t>
  </si>
  <si>
    <t>2026-09-03T13:54:52.716571</t>
  </si>
  <si>
    <t>2026-09-03T13:54:52.700431</t>
  </si>
  <si>
    <t>2026-09-03T13:54:52.684519</t>
  </si>
  <si>
    <t>2026-09-03T13:54:52.677552</t>
  </si>
  <si>
    <t>2026-09-03T13:54:52.669224</t>
  </si>
  <si>
    <t>2026-09-03T13:54:52.663730</t>
  </si>
  <si>
    <t>2026-09-03T13:54:52.653367</t>
  </si>
  <si>
    <t>2026-09-03T13:54:52.637660</t>
  </si>
  <si>
    <t>2026-09-03T13:54:52.621999</t>
  </si>
  <si>
    <t>2026-09-03T13:54:52.612038</t>
  </si>
  <si>
    <t>2026-09-03T13:54:52.596279</t>
  </si>
  <si>
    <t>2026-09-03T13:54:52.580534</t>
  </si>
  <si>
    <t>2026-09-03T13:54:52.564830</t>
  </si>
  <si>
    <t>2026-09-03T13:54:52.549089</t>
  </si>
  <si>
    <t>2026-09-03T13:54:52.533422</t>
  </si>
  <si>
    <t>2026-09-03T13:54:52.527227</t>
  </si>
  <si>
    <t>2026-09-03T13:54:52.518875</t>
  </si>
  <si>
    <t>2026-09-03T13:54:52.505846</t>
  </si>
  <si>
    <t>2026-09-03T13:54:52.497130</t>
  </si>
  <si>
    <t>2026-09-03T13:54:52.483713</t>
  </si>
  <si>
    <t>2026-09-03T13:54:52.468075</t>
  </si>
  <si>
    <t>2026-09-03T13:54:52.460358</t>
  </si>
  <si>
    <t>2026-09-03T13:54:52.436351</t>
  </si>
  <si>
    <t>2026-09-03T13:54:52.420534</t>
  </si>
  <si>
    <t>2026-09-03T13:54:52.414591</t>
  </si>
  <si>
    <t>2026-09-03T13:54:52.406162</t>
  </si>
  <si>
    <t>2026-09-03T13:54:52.393134</t>
  </si>
  <si>
    <t>2026-09-03T13:54:52.374521</t>
  </si>
  <si>
    <t>2026-09-03T13:54:52.361187</t>
  </si>
  <si>
    <t>2026-09-03T13:54:52.342860</t>
  </si>
  <si>
    <t>2026-09-03T13:54:52.336404</t>
  </si>
  <si>
    <t>2026-09-03T13:54:52.326717</t>
  </si>
  <si>
    <t>2026-09-03T13:54:52.323268</t>
  </si>
  <si>
    <t>2026-09-03T13:54:52.315574</t>
  </si>
  <si>
    <t>2026-09-03T13:54:52.299645</t>
  </si>
  <si>
    <t>2026-09-03T13:54:52.283877</t>
  </si>
  <si>
    <t>2026-09-03T13:54:52.268113</t>
  </si>
  <si>
    <t>2026-09-03T13:54:52.261000</t>
  </si>
  <si>
    <t>2026-09-03T13:54:52.259440</t>
  </si>
  <si>
    <t>2026-09-03T13:54:52.252932</t>
  </si>
  <si>
    <t>2026-09-03T13:54:52.240166</t>
  </si>
  <si>
    <t>2026-09-03T13:54:52.220102</t>
  </si>
  <si>
    <t>2026-09-03T13:54:52.213940</t>
  </si>
  <si>
    <t>2026-09-03T13:54:52.204450</t>
  </si>
  <si>
    <t>2026-09-03T13:54:52.188569</t>
  </si>
  <si>
    <t>2026-09-03T13:54:52.177720</t>
  </si>
  <si>
    <t>2026-09-03T13:54:52.172480</t>
  </si>
  <si>
    <t>2026-09-03T13:54:52.161042</t>
  </si>
  <si>
    <t>2026-09-03T13:54:52.143956</t>
  </si>
  <si>
    <t>2026-09-03T13:54:52.127909</t>
  </si>
  <si>
    <t>2026-09-03T13:54:52.125892</t>
  </si>
  <si>
    <t>2026-09-03T13:54:52.112126</t>
  </si>
  <si>
    <t>2026-09-03T13:54:52.096323</t>
  </si>
  <si>
    <t>2026-09-03T13:54:52.080542</t>
  </si>
  <si>
    <t>2026-09-03T13:54:52.064892</t>
  </si>
  <si>
    <t>2026-09-03T13:54:52.060878</t>
  </si>
  <si>
    <t>2026-09-03T13:54:52.048796</t>
  </si>
  <si>
    <t>2026-09-03T13:54:52.032883</t>
  </si>
  <si>
    <t>2026-09-03T13:54:52.024947</t>
  </si>
  <si>
    <t>2026-09-03T13:54:52.017034</t>
  </si>
  <si>
    <t>2026-09-03T13:54:52.001061</t>
  </si>
  <si>
    <t>2026-09-03T13:54:51.990261</t>
  </si>
  <si>
    <t>2026-09-03T13:54:51.985203</t>
  </si>
  <si>
    <t>2026-09-03T13:54:51.969433</t>
  </si>
  <si>
    <t>2026-09-03T13:54:51.960990</t>
  </si>
  <si>
    <t>2026-09-03T13:54:51.954711</t>
  </si>
  <si>
    <t>2026-09-03T13:54:51.943036</t>
  </si>
  <si>
    <t>2026-09-03T13:54:51.925097</t>
  </si>
  <si>
    <t>2026-09-03T13:54:51.910858</t>
  </si>
  <si>
    <t>2026-09-03T13:54:42.693191</t>
  </si>
  <si>
    <t>2026-09-03T13:54:37.542659</t>
  </si>
  <si>
    <t>2026-09-03T13:54:37.532339</t>
  </si>
  <si>
    <t>2026-09-03T13:54:37.513524</t>
  </si>
  <si>
    <t>2026-09-03T13:54:37.498377</t>
  </si>
  <si>
    <t>2026-09-03T13:54:37.497748</t>
  </si>
  <si>
    <t>2026-09-03T13:54:37.491209</t>
  </si>
  <si>
    <t>2026-09-03T13:54:37.478428</t>
  </si>
  <si>
    <t>2026-09-03T13:54:37.475092</t>
  </si>
  <si>
    <t>2026-09-03T13:54:37.466670</t>
  </si>
  <si>
    <t>2026-09-03T13:54:37.459306</t>
  </si>
  <si>
    <t>2026-09-03T13:54:37.443497</t>
  </si>
  <si>
    <t>2026-09-03T13:54:37.432289</t>
  </si>
  <si>
    <t>2026-09-03T13:54:37.418421</t>
  </si>
  <si>
    <t>2026-09-03T13:54:37.407077</t>
  </si>
  <si>
    <t>2026-09-03T13:54:37.400633</t>
  </si>
  <si>
    <t>2026-09-03T13:54:37.381412</t>
  </si>
  <si>
    <t>2026-09-03T13:54:37.376280</t>
  </si>
  <si>
    <t>2026-09-03T13:54:12.990858</t>
  </si>
  <si>
    <t>2026-09-03T13:54:12.989102</t>
  </si>
  <si>
    <t>2026-09-03T13:54:12.975581</t>
  </si>
  <si>
    <t>2026-09-03T13:54:12.963464</t>
  </si>
  <si>
    <t>2026-09-03T13:54:12.948953</t>
  </si>
  <si>
    <t>2026-09-03T13:54:12.942199</t>
  </si>
  <si>
    <t>2026-09-03T13:54:12.927494</t>
  </si>
  <si>
    <t>2026-09-03T13:54:12.917935</t>
  </si>
  <si>
    <t>2026-09-03T13:54:06.821852</t>
  </si>
  <si>
    <t>2026-09-03T13:54:06.814735</t>
  </si>
  <si>
    <t>2026-09-03T13:54:06.801427</t>
  </si>
  <si>
    <t>2026-09-03T13:54:06.776757</t>
  </si>
  <si>
    <t>2026-09-03T13:54:01.626777</t>
  </si>
  <si>
    <t>2026-09-03T13:54:01.611036</t>
  </si>
  <si>
    <t>2026-09-03T13:54:01.595288</t>
  </si>
  <si>
    <t>2026-09-03T13:54:01.579222</t>
  </si>
  <si>
    <t>2026-09-03T13:54:01.567916</t>
  </si>
  <si>
    <t>2026-09-03T13:54:01.552509</t>
  </si>
  <si>
    <t>2026-09-03T13:54:01.536742</t>
  </si>
  <si>
    <t>2026-09-03T13:54:01.521027</t>
  </si>
  <si>
    <t>2026-09-03T13:54:01.513453</t>
  </si>
  <si>
    <t>2026-09-03T13:54:01.489380</t>
  </si>
  <si>
    <t>2026-09-03T13:54:01.486410</t>
  </si>
  <si>
    <t>2026-09-03T13:54:01.475879</t>
  </si>
  <si>
    <t>2026-09-03T13:54:01.470317</t>
  </si>
  <si>
    <t>2026-09-03T13:54:01.455111</t>
  </si>
  <si>
    <t>2026-09-03T13:54:01.444706</t>
  </si>
  <si>
    <t>2026-09-03T13:54:01.428999</t>
  </si>
  <si>
    <t>2026-09-03T13:54:01.418933</t>
  </si>
  <si>
    <t>2026-09-03T13:54:01.397590</t>
  </si>
  <si>
    <t>2026-09-03T13:54:01.381725</t>
  </si>
  <si>
    <t>2026-09-03T13:54:01.367650</t>
  </si>
  <si>
    <t>2026-09-03T13:54:01.350315</t>
  </si>
  <si>
    <t>2026-09-03T13:54:01.321320</t>
  </si>
  <si>
    <t>2026-09-03T13:53:52.761142</t>
  </si>
  <si>
    <t>2026-09-03T13:53:52.750029</t>
  </si>
  <si>
    <t>2026-09-03T13:53:52.729251</t>
  </si>
  <si>
    <t>2026-09-03T13:53:52.713476</t>
  </si>
  <si>
    <t>2026-09-03T13:53:52.697643</t>
  </si>
  <si>
    <t>2026-09-03T13:53:52.681974</t>
  </si>
  <si>
    <t>2026-09-03T13:53:52.665858</t>
  </si>
  <si>
    <t>2026-09-03T13:53:47.811833</t>
  </si>
  <si>
    <t>2026-09-03T13:53:47.808600</t>
  </si>
  <si>
    <t>2026-09-03T13:53:47.793527</t>
  </si>
  <si>
    <t>2026-09-03T13:53:47.789502</t>
  </si>
  <si>
    <t>2026-09-03T13:53:47.776851</t>
  </si>
  <si>
    <t>2026-09-03T13:53:47.764274</t>
  </si>
  <si>
    <t>2026-09-03T13:53:47.761217</t>
  </si>
  <si>
    <t>2026-09-03T13:53:47.749302</t>
  </si>
  <si>
    <t>2026-09-03T13:53:47.745123</t>
  </si>
  <si>
    <t>2026-09-03T13:53:47.729413</t>
  </si>
  <si>
    <t>2026-09-03T13:53:47.724174</t>
  </si>
  <si>
    <t>2026-09-03T13:53:47.714547</t>
  </si>
  <si>
    <t>2026-09-03T13:53:47.700707</t>
  </si>
  <si>
    <t>2026-09-03T13:53:47.692309</t>
  </si>
  <si>
    <t>2026-09-03T13:53:47.679864</t>
  </si>
  <si>
    <t>2026-09-03T13:53:47.672959</t>
  </si>
  <si>
    <t>2026-09-03T13:53:47.662761</t>
  </si>
  <si>
    <t>2026-09-03T13:53:47.647082</t>
  </si>
  <si>
    <t>2026-09-03T13:53:47.640250</t>
  </si>
  <si>
    <t>2026-09-03T13:53:47.631235</t>
  </si>
  <si>
    <t>2026-09-03T13:53:47.615932</t>
  </si>
  <si>
    <t>2026-09-03T13:53:47.599899</t>
  </si>
  <si>
    <t>2026-09-03T13:53:47.584226</t>
  </si>
  <si>
    <t>2026-09-03T13:53:47.568586</t>
  </si>
  <si>
    <t>2026-09-03T13:53:47.565480</t>
  </si>
  <si>
    <t>2026-09-03T13:53:47.549640</t>
  </si>
  <si>
    <t>2026-09-03T13:53:47.539935</t>
  </si>
  <si>
    <t>2026-09-03T13:53:47.533880</t>
  </si>
  <si>
    <t>2026-09-03T13:53:47.521861</t>
  </si>
  <si>
    <t>2026-09-03T13:53:47.505892</t>
  </si>
  <si>
    <t>2026-09-03T13:53:47.489833</t>
  </si>
  <si>
    <t>2026-09-03T13:53:47.479934</t>
  </si>
  <si>
    <t>2026-09-03T13:53:47.475490</t>
  </si>
  <si>
    <t>2026-09-03T13:53:47.458174</t>
  </si>
  <si>
    <t>2026-09-03T13:53:47.442543</t>
  </si>
  <si>
    <t>2026-09-03T13:53:47.429929</t>
  </si>
  <si>
    <t>2026-09-03T13:53:47.426867</t>
  </si>
  <si>
    <t>2026-09-03T13:53:47.416015</t>
  </si>
  <si>
    <t>2026-09-03T13:53:47.394840</t>
  </si>
  <si>
    <t>2026-09-03T13:53:47.380656</t>
  </si>
  <si>
    <t>2026-09-03T13:53:47.364710</t>
  </si>
  <si>
    <t>2026-09-03T13:53:47.348595</t>
  </si>
  <si>
    <t>2026-09-03T13:53:47.339797</t>
  </si>
  <si>
    <t>2026-09-03T13:53:47.325779</t>
  </si>
  <si>
    <t>2026-09-03T13:53:47.321207</t>
  </si>
  <si>
    <t>2026-09-03T13:53:47.305486</t>
  </si>
  <si>
    <t>2026-09-03T13:53:47.289607</t>
  </si>
  <si>
    <t>2026-09-03T13:53:47.277148</t>
  </si>
  <si>
    <t>2026-09-03T13:53:47.263161</t>
  </si>
  <si>
    <t>2026-09-03T13:53:47.258093</t>
  </si>
  <si>
    <t>2026-09-03T13:53:47.242280</t>
  </si>
  <si>
    <t>2026-09-03T13:53:47.224500</t>
  </si>
  <si>
    <t>2026-09-03T13:53:47.221579</t>
  </si>
  <si>
    <t>2026-09-03T13:53:47.203123</t>
  </si>
  <si>
    <t>2026-09-03T13:53:47.193855</t>
  </si>
  <si>
    <t>2026-09-03T13:53:47.187185</t>
  </si>
  <si>
    <t>2026-09-03T13:53:47.179951</t>
  </si>
  <si>
    <t>2026-09-03T13:53:47.162542</t>
  </si>
  <si>
    <t>2026-09-03T13:53:47.145208</t>
  </si>
  <si>
    <t>2026-09-03T13:53:38.752237</t>
  </si>
  <si>
    <t>2026-09-03T13:53:38.736649</t>
  </si>
  <si>
    <t>2026-09-03T13:53:38.729557</t>
  </si>
  <si>
    <t>2026-09-03T13:53:38.725683</t>
  </si>
  <si>
    <t>2026-09-03T13:53:31.866143</t>
  </si>
  <si>
    <t>2026-09-03T13:53:31.859216</t>
  </si>
  <si>
    <t>2026-09-03T13:53:31.848471</t>
  </si>
  <si>
    <t>2026-09-03T13:53:31.845973</t>
  </si>
  <si>
    <t>2026-09-03T13:53:31.835944</t>
  </si>
  <si>
    <t>2026-09-03T13:53:31.826498</t>
  </si>
  <si>
    <t>2026-09-03T13:53:31.816153</t>
  </si>
  <si>
    <t>2026-09-03T13:53:31.806381</t>
  </si>
  <si>
    <t>2026-09-03T13:53:31.796005</t>
  </si>
  <si>
    <t>2026-09-03T13:53:31.786519</t>
  </si>
  <si>
    <t>2026-09-03T13:53:31.778765</t>
  </si>
  <si>
    <t>2026-09-03T13:53:31.766453</t>
  </si>
  <si>
    <t>2026-09-03T13:53:31.760855</t>
  </si>
  <si>
    <t>2026-09-03T13:53:31.746388</t>
  </si>
  <si>
    <t>2026-09-03T13:53:31.736271</t>
  </si>
  <si>
    <t>2026-09-03T13:53:31.726317</t>
  </si>
  <si>
    <t>2026-09-03T13:53:31.716055</t>
  </si>
  <si>
    <t>2026-09-03T13:53:31.713495</t>
  </si>
  <si>
    <t>2026-09-03T13:53:31.705911</t>
  </si>
  <si>
    <t>2026-09-03T13:53:31.697821</t>
  </si>
  <si>
    <t>2026-09-03T13:53:31.686043</t>
  </si>
  <si>
    <t>2026-09-03T13:53:31.676028</t>
  </si>
  <si>
    <t>2026-09-03T13:53:31.669648</t>
  </si>
  <si>
    <t>2026-09-03T13:53:31.655975</t>
  </si>
  <si>
    <t>2026-09-03T13:53:31.645983</t>
  </si>
  <si>
    <t>2026-09-03T13:53:31.635041</t>
  </si>
  <si>
    <t>2026-09-03T13:53:31.624930</t>
  </si>
  <si>
    <t>2026-09-03T13:53:31.613612</t>
  </si>
  <si>
    <t>2026-09-03T13:53:31.607579</t>
  </si>
  <si>
    <t>2026-09-03T13:53:31.593193</t>
  </si>
  <si>
    <t>2026-09-03T13:53:31.587870</t>
  </si>
  <si>
    <t>2026-09-03T13:53:31.572199</t>
  </si>
  <si>
    <t>2026-09-03T13:53:31.563984</t>
  </si>
  <si>
    <t>2026-09-03T13:53:31.550176</t>
  </si>
  <si>
    <t>2026-09-03T13:53:31.545214</t>
  </si>
  <si>
    <t>2026-09-03T13:53:31.529732</t>
  </si>
  <si>
    <t>2026-09-03T13:53:31.514071</t>
  </si>
  <si>
    <t>2026-09-03T13:53:31.505522</t>
  </si>
  <si>
    <t>2026-09-03T13:53:31.498405</t>
  </si>
  <si>
    <t>2026-09-03T13:53:26.749754</t>
  </si>
  <si>
    <t>2026-09-03T13:53:26.733934</t>
  </si>
  <si>
    <t>2026-09-03T13:53:26.718105</t>
  </si>
  <si>
    <t>2026-09-03T13:53:26.702458</t>
  </si>
  <si>
    <t>2026-09-03T13:53:26.694951</t>
  </si>
  <si>
    <t>2026-09-03T13:53:26.676840</t>
  </si>
  <si>
    <t>2026-09-03T13:53:12.942970</t>
  </si>
  <si>
    <t>2026-09-03T13:53:12.927889</t>
  </si>
  <si>
    <t>2026-09-03T13:53:03.575913</t>
  </si>
  <si>
    <t>2026-09-03T13:53:03.560986</t>
  </si>
  <si>
    <t>2026-09-03T13:53:03.556270</t>
  </si>
  <si>
    <t>2026-09-03T13:53:03.540521</t>
  </si>
  <si>
    <t>2026-09-03T13:53:03.524866</t>
  </si>
  <si>
    <t>2026-09-03T13:53:03.520699</t>
  </si>
  <si>
    <t>2026-09-03T13:53:03.504967</t>
  </si>
  <si>
    <t>2026-09-03T13:53:03.500439</t>
  </si>
  <si>
    <t>2026-09-03T13:53:03.489178</t>
  </si>
  <si>
    <t>2026-09-03T13:53:03.473390</t>
  </si>
  <si>
    <t>2026-09-03T13:53:03.457192</t>
  </si>
  <si>
    <t>2026-09-03T13:53:03.441460</t>
  </si>
  <si>
    <t>2026-09-03T13:53:03.425583</t>
  </si>
  <si>
    <t>2026-09-03T13:53:03.410303</t>
  </si>
  <si>
    <t>2026-09-03T13:53:03.398996</t>
  </si>
  <si>
    <t>2026-09-03T13:53:03.380459</t>
  </si>
  <si>
    <t>2026-09-03T13:53:03.362636</t>
  </si>
  <si>
    <t>2026-09-03T13:53:03.346792</t>
  </si>
  <si>
    <t>2026-09-03T13:53:03.345743</t>
  </si>
  <si>
    <t>2026-09-03T13:53:03.330838</t>
  </si>
  <si>
    <t>2026-09-03T13:53:03.315140</t>
  </si>
  <si>
    <t>2026-09-03T13:53:03.304146</t>
  </si>
  <si>
    <t>2026-09-03T13:52:49.839304</t>
  </si>
  <si>
    <t>2026-09-03T13:52:49.825924</t>
  </si>
  <si>
    <t>2026-09-03T13:52:49.820263</t>
  </si>
  <si>
    <t>2026-09-03T13:52:49.804644</t>
  </si>
  <si>
    <t>2026-09-03T13:52:49.792107</t>
  </si>
  <si>
    <t>2026-09-03T13:52:49.778042</t>
  </si>
  <si>
    <t>2026-09-03T13:52:34.717855</t>
  </si>
  <si>
    <t>2026-09-03T13:52:34.701857</t>
  </si>
  <si>
    <t>2026-09-03T13:52:26.912803</t>
  </si>
  <si>
    <t>2026-09-03T13:52:26.899477</t>
  </si>
  <si>
    <t>2026-09-03T13:52:26.881507</t>
  </si>
  <si>
    <t>2026-09-03T13:52:26.873750</t>
  </si>
  <si>
    <t>2026-09-03T13:52:26.850117</t>
  </si>
  <si>
    <t>2026-09-03T13:52:26.843960</t>
  </si>
  <si>
    <t>2026-09-03T13:52:26.826719</t>
  </si>
  <si>
    <t>2026-09-03T13:52:26.816170</t>
  </si>
  <si>
    <t>2026-09-03T13:52:26.807889</t>
  </si>
  <si>
    <t>2026-09-03T13:52:26.792081</t>
  </si>
  <si>
    <t>2026-09-03T13:52:26.776177</t>
  </si>
  <si>
    <t>2026-09-03T13:52:26.760058</t>
  </si>
  <si>
    <t>2026-09-03T13:52:10.553536</t>
  </si>
  <si>
    <t>2026-09-03T13:52:10.537795</t>
  </si>
  <si>
    <t>2026-09-03T13:52:10.522043</t>
  </si>
  <si>
    <t>2026-09-03T13:52:10.507523</t>
  </si>
  <si>
    <t>2026-09-03T13:52:10.491368</t>
  </si>
  <si>
    <t>2026-09-03T13:52:05.338438</t>
  </si>
  <si>
    <t>2026-09-03T13:52:05.322725</t>
  </si>
  <si>
    <t>2026-09-03T13:52:05.306998</t>
  </si>
  <si>
    <t>2026-09-03T13:52:05.290939</t>
  </si>
  <si>
    <t>2026-09-03T13:52:05.283359</t>
  </si>
  <si>
    <t>2026-09-03T13:52:05.259046</t>
  </si>
  <si>
    <t>2026-09-03T13:52:05.246912</t>
  </si>
  <si>
    <t>2026-09-03T13:52:05.227724</t>
  </si>
  <si>
    <t>2026-09-03T13:52:05.211950</t>
  </si>
  <si>
    <t>2026-09-03T13:52:05.200875</t>
  </si>
  <si>
    <t>2026-09-03T13:52:05.183007</t>
  </si>
  <si>
    <t>2026-09-03T13:52:00.827297</t>
  </si>
  <si>
    <t>2026-09-03T13:52:00.804570</t>
  </si>
  <si>
    <t>2026-09-03T13:52:00.785495</t>
  </si>
  <si>
    <t>2026-09-03T13:52:00.776884</t>
  </si>
  <si>
    <t>2026-09-03T13:52:00.761216</t>
  </si>
  <si>
    <t>2026-09-03T13:51:56.168366</t>
  </si>
  <si>
    <t>2026-09-03T13:51:56.145021</t>
  </si>
  <si>
    <t>2026-09-03T13:51:56.129219</t>
  </si>
  <si>
    <t>2026-09-03T13:51:56.113359</t>
  </si>
  <si>
    <t>2026-09-03T13:51:56.097252</t>
  </si>
  <si>
    <t>2026-09-03T13:51:56.077121</t>
  </si>
  <si>
    <t>2026-09-03T13:51:56.061592</t>
  </si>
  <si>
    <t>2026-09-03T13:51:56.045317</t>
  </si>
  <si>
    <t>2026-09-03T13:51:56.029574</t>
  </si>
  <si>
    <t>2026-09-03T13:51:56.009441</t>
  </si>
  <si>
    <t>2026-09-03T13:51:55.996272</t>
  </si>
  <si>
    <t>2026-09-03T13:51:55.980585</t>
  </si>
  <si>
    <t>2026-09-03T13:51:55.967784</t>
  </si>
  <si>
    <t>2026-09-03T13:51:55.949446</t>
  </si>
  <si>
    <t>2026-09-03T13:51:55.933043</t>
  </si>
  <si>
    <t>2026-09-03T13:51:28.881233</t>
  </si>
  <si>
    <t>2026-09-03T13:51:11.584977</t>
  </si>
  <si>
    <t>2026-09-03T13:50:41.122804</t>
  </si>
  <si>
    <t>2026-09-03T13:50:30.692819</t>
  </si>
  <si>
    <t>2026-09-03T13:50:03.625113</t>
  </si>
  <si>
    <t>2026-09-03T13:50:03.609407</t>
  </si>
  <si>
    <t>2026-09-03T13:50:03.594612</t>
  </si>
  <si>
    <t>2026-09-03T13:50:03.577938</t>
  </si>
  <si>
    <t>2026-09-03T13:50:03.560501</t>
  </si>
  <si>
    <t>2026-09-03T13:50:03.544418</t>
  </si>
  <si>
    <t>2026-09-03T13:50:03.529478</t>
  </si>
  <si>
    <t>2026-09-03T13:50:03.521496</t>
  </si>
  <si>
    <t>2026-09-03T13:50:03.512993</t>
  </si>
  <si>
    <t>2026-09-03T13:50:03.497267</t>
  </si>
  <si>
    <t>2026-09-03T13:49:54.584368</t>
  </si>
  <si>
    <t>2026-09-03T13:49:54.566061</t>
  </si>
  <si>
    <t>2026-09-03T13:49:54.554720</t>
  </si>
  <si>
    <t>2026-09-03T13:49:54.545142</t>
  </si>
  <si>
    <t>2026-09-03T13:49:54.531097</t>
  </si>
  <si>
    <t>2026-09-03T13:49:54.528765</t>
  </si>
  <si>
    <t>2026-09-03T13:49:54.518139</t>
  </si>
  <si>
    <t>2026-09-03T13:49:54.508840</t>
  </si>
  <si>
    <t>2026-09-03T13:49:54.492862</t>
  </si>
  <si>
    <t>2026-09-03T13:49:54.484263</t>
  </si>
  <si>
    <t>2026-09-03T13:49:54.477128</t>
  </si>
  <si>
    <t>2026-09-03T13:49:54.458579</t>
  </si>
  <si>
    <t>2026-09-03T13:49:54.455735</t>
  </si>
  <si>
    <t>2026-09-03T13:49:54.427343</t>
  </si>
  <si>
    <t>2026-09-03T13:49:54.414055</t>
  </si>
  <si>
    <t>2026-09-03T13:49:54.395011</t>
  </si>
  <si>
    <t>2026-09-03T13:49:54.379220</t>
  </si>
  <si>
    <t>2026-09-03T13:49:54.373613</t>
  </si>
  <si>
    <t>2026-09-03T13:49:54.365523</t>
  </si>
  <si>
    <t>2026-09-03T13:49:54.347837</t>
  </si>
  <si>
    <t>2026-09-03T13:49:54.331839</t>
  </si>
  <si>
    <t>2026-09-03T13:49:54.315964</t>
  </si>
  <si>
    <t>2026-09-03T13:49:54.303003</t>
  </si>
  <si>
    <t>2026-09-03T13:49:54.283808</t>
  </si>
  <si>
    <t>2026-09-03T13:49:54.280062</t>
  </si>
  <si>
    <t>2026-09-03T13:49:54.270281</t>
  </si>
  <si>
    <t>2026-09-03T13:49:54.254124</t>
  </si>
  <si>
    <t>2026-09-03T13:49:54.235537</t>
  </si>
  <si>
    <t>2026-09-03T13:49:54.219498</t>
  </si>
  <si>
    <t>2026-09-03T13:49:54.203741</t>
  </si>
  <si>
    <t>2026-09-03T13:49:54.188057</t>
  </si>
  <si>
    <t>2026-09-03T13:49:54.173354</t>
  </si>
  <si>
    <t>2026-09-03T13:49:54.156662</t>
  </si>
  <si>
    <t>2026-09-03T13:49:54.143272</t>
  </si>
  <si>
    <t>2026-09-03T13:49:54.140868</t>
  </si>
  <si>
    <t>2026-09-03T13:49:54.125115</t>
  </si>
  <si>
    <t>2026-09-03T13:49:54.109046</t>
  </si>
  <si>
    <t>2026-09-03T13:49:54.095230</t>
  </si>
  <si>
    <t>2026-09-03T13:49:54.082965</t>
  </si>
  <si>
    <t>2026-09-03T13:49:54.073491</t>
  </si>
  <si>
    <t>2026-09-03T13:49:54.063286</t>
  </si>
  <si>
    <t>2026-09-03T13:49:54.047621</t>
  </si>
  <si>
    <t>2026-09-03T13:49:54.031671</t>
  </si>
  <si>
    <t>2026-09-03T13:49:54.015379</t>
  </si>
  <si>
    <t>2026-09-03T13:49:54.005050</t>
  </si>
  <si>
    <t>2026-09-03T13:49:53.990117</t>
  </si>
  <si>
    <t>2026-09-03T13:49:53.973182</t>
  </si>
  <si>
    <t>2026-09-03T13:49:53.950738</t>
  </si>
  <si>
    <t>2026-09-03T13:49:53.942514</t>
  </si>
  <si>
    <t>2026-09-03T13:49:48.306441</t>
  </si>
  <si>
    <t>2026-09-03T13:49:48.288586</t>
  </si>
  <si>
    <t>2026-09-03T13:49:48.272587</t>
  </si>
  <si>
    <t>2026-09-03T13:49:43.552310</t>
  </si>
  <si>
    <t>2026-09-03T13:49:43.550295</t>
  </si>
  <si>
    <t>2026-09-03T13:49:43.531290</t>
  </si>
  <si>
    <t>2026-09-03T13:49:43.519747</t>
  </si>
  <si>
    <t>2026-09-03T13:49:43.517167</t>
  </si>
  <si>
    <t>2026-09-03T13:49:43.499539</t>
  </si>
  <si>
    <t>2026-09-03T13:49:43.483750</t>
  </si>
  <si>
    <t>2026-09-03T13:49:43.478278</t>
  </si>
  <si>
    <t>2026-09-03T13:49:43.467832</t>
  </si>
  <si>
    <t>2026-09-03T13:49:43.451891</t>
  </si>
  <si>
    <t>2026-09-03T13:49:43.440121</t>
  </si>
  <si>
    <t>2026-09-03T13:49:43.422542</t>
  </si>
  <si>
    <t>2026-09-03T13:49:43.418577</t>
  </si>
  <si>
    <t>2026-09-03T13:49:43.400969</t>
  </si>
  <si>
    <t>2026-09-03T13:49:43.390503</t>
  </si>
  <si>
    <t>2026-09-03T13:49:43.381650</t>
  </si>
  <si>
    <t>2026-09-03T13:49:43.374834</t>
  </si>
  <si>
    <t>2026-09-03T13:49:43.360892</t>
  </si>
  <si>
    <t>2026-09-03T13:49:43.347955</t>
  </si>
  <si>
    <t>2026-09-03T13:49:43.341644</t>
  </si>
  <si>
    <t>2026-09-03T13:49:43.332355</t>
  </si>
  <si>
    <t>2026-09-03T13:49:43.313244</t>
  </si>
  <si>
    <t>2026-09-03T13:49:43.268816</t>
  </si>
  <si>
    <t>2026-09-03T13:49:43.241576</t>
  </si>
  <si>
    <t>2026-09-03T13:49:43.234017</t>
  </si>
  <si>
    <t>2026-09-03T13:49:43.225360</t>
  </si>
  <si>
    <t>2026-09-03T13:49:43.215324</t>
  </si>
  <si>
    <t>2026-09-03T13:49:43.207460</t>
  </si>
  <si>
    <t>2026-09-03T13:49:43.198940</t>
  </si>
  <si>
    <t>2026-09-03T13:49:43.185407</t>
  </si>
  <si>
    <t>2026-09-03T13:49:43.178490</t>
  </si>
  <si>
    <t>2026-09-03T13:49:43.168108</t>
  </si>
  <si>
    <t>2026-09-03T13:49:43.157844</t>
  </si>
  <si>
    <t>2026-09-03T13:49:43.143922</t>
  </si>
  <si>
    <t>2026-09-03T13:49:43.131212</t>
  </si>
  <si>
    <t>2026-09-03T13:49:43.123348</t>
  </si>
  <si>
    <t>2026-09-03T13:49:43.108926</t>
  </si>
  <si>
    <t>2026-09-03T13:49:43.095092</t>
  </si>
  <si>
    <t>2026-09-03T13:49:43.087670</t>
  </si>
  <si>
    <t>2026-09-03T13:49:43.081116</t>
  </si>
  <si>
    <t>2026-09-03T13:49:43.067300</t>
  </si>
  <si>
    <t>2026-09-03T13:49:43.061094</t>
  </si>
  <si>
    <t>2026-09-03T13:49:43.053450</t>
  </si>
  <si>
    <t>2026-09-03T13:49:43.047515</t>
  </si>
  <si>
    <t>2026-09-03T13:49:43.032689</t>
  </si>
  <si>
    <t>2026-09-03T13:49:43.025639</t>
  </si>
  <si>
    <t>2026-09-03T13:49:43.012949</t>
  </si>
  <si>
    <t>2026-09-03T13:49:43.004949</t>
  </si>
  <si>
    <t>2026-09-03T13:49:42.998174</t>
  </si>
  <si>
    <t>2026-09-03T13:49:42.992872</t>
  </si>
  <si>
    <t>2026-09-03T13:49:42.984115</t>
  </si>
  <si>
    <t>2026-09-03T13:49:42.970128</t>
  </si>
  <si>
    <t>2026-09-03T13:49:42.963143</t>
  </si>
  <si>
    <t>2026-09-03T13:49:42.956466</t>
  </si>
  <si>
    <t>2026-09-03T13:49:42.947381</t>
  </si>
  <si>
    <t>2026-09-03T13:49:42.935833</t>
  </si>
  <si>
    <t>2026-09-03T13:49:42.921945</t>
  </si>
  <si>
    <t>2026-09-03T13:49:42.914869</t>
  </si>
  <si>
    <t>2026-09-03T13:49:42.901093</t>
  </si>
  <si>
    <t>2026-09-03T13:49:42.893479</t>
  </si>
  <si>
    <t>2026-09-03T13:49:42.880578</t>
  </si>
  <si>
    <t>2026-09-03T13:49:42.866190</t>
  </si>
  <si>
    <t>2026-09-03T13:49:42.852261</t>
  </si>
  <si>
    <t>2026-09-03T13:49:42.845421</t>
  </si>
  <si>
    <t>2026-09-03T13:49:42.831365</t>
  </si>
  <si>
    <t>2026-09-03T13:49:42.817392</t>
  </si>
  <si>
    <t>2026-09-03T13:49:42.811287</t>
  </si>
  <si>
    <t>2026-09-03T13:49:42.796511</t>
  </si>
  <si>
    <t>2026-09-03T13:49:42.789677</t>
  </si>
  <si>
    <t>2026-09-03T13:49:42.776097</t>
  </si>
  <si>
    <t>2026-09-03T13:49:42.768644</t>
  </si>
  <si>
    <t>2026-09-03T13:49:42.762159</t>
  </si>
  <si>
    <t>2026-09-03T13:49:42.748012</t>
  </si>
  <si>
    <t>2026-09-03T13:49:42.741441</t>
  </si>
  <si>
    <t>2026-09-03T13:49:42.733966</t>
  </si>
  <si>
    <t>2026-09-03T13:49:42.727101</t>
  </si>
  <si>
    <t>2026-09-03T13:49:42.713661</t>
  </si>
  <si>
    <t>2026-09-03T13:49:42.706245</t>
  </si>
  <si>
    <t>2026-09-03T13:49:42.700323</t>
  </si>
  <si>
    <t>2026-09-03T13:49:42.685538</t>
  </si>
  <si>
    <t>2026-09-03T13:49:42.678495</t>
  </si>
  <si>
    <t>2026-09-03T13:49:42.671677</t>
  </si>
  <si>
    <t>2026-09-03T13:49:42.658102</t>
  </si>
  <si>
    <t>2026-09-03T13:49:42.650852</t>
  </si>
  <si>
    <t>2026-09-03T13:49:42.643878</t>
  </si>
  <si>
    <t>2026-09-03T13:49:42.629757</t>
  </si>
  <si>
    <t>2026-09-03T13:49:42.623608</t>
  </si>
  <si>
    <t>2026-09-03T13:49:42.616275</t>
  </si>
  <si>
    <t>2026-09-03T13:49:42.603857</t>
  </si>
  <si>
    <t>2026-09-03T13:49:42.595001</t>
  </si>
  <si>
    <t>2026-09-03T13:49:42.581852</t>
  </si>
  <si>
    <t>2026-09-03T13:49:35.788403</t>
  </si>
  <si>
    <t>2026-09-03T13:49:35.777810</t>
  </si>
  <si>
    <t>2026-09-03T13:49:35.772686</t>
  </si>
  <si>
    <t>2026-09-03T13:49:35.763896</t>
  </si>
  <si>
    <t>2026-09-03T13:49:35.741783</t>
  </si>
  <si>
    <t>2026-09-03T13:49:35.732163</t>
  </si>
  <si>
    <t>2026-09-03T13:49:35.716341</t>
  </si>
  <si>
    <t>2026-09-03T13:49:35.700627</t>
  </si>
  <si>
    <t>2026-09-03T13:49:35.687523</t>
  </si>
  <si>
    <t>2026-09-03T13:49:35.669188</t>
  </si>
  <si>
    <t>2026-09-03T13:49:35.653550</t>
  </si>
  <si>
    <t>2026-09-03T13:49:35.639619</t>
  </si>
  <si>
    <t>2026-09-03T13:49:35.629075</t>
  </si>
  <si>
    <t>2026-09-03T13:49:35.622854</t>
  </si>
  <si>
    <t>2026-09-03T13:49:35.610983</t>
  </si>
  <si>
    <t>2026-09-03T13:49:35.590313</t>
  </si>
  <si>
    <t>2026-09-03T13:49:35.571979</t>
  </si>
  <si>
    <t>2026-09-03T13:49:35.556070</t>
  </si>
  <si>
    <t>2026-09-03T13:49:35.548652</t>
  </si>
  <si>
    <t>2026-09-03T13:49:35.532072</t>
  </si>
  <si>
    <t>2026-09-03T13:49:35.529196</t>
  </si>
  <si>
    <t>2026-09-03T13:49:35.516149</t>
  </si>
  <si>
    <t>2026-09-03T13:49:35.500424</t>
  </si>
  <si>
    <t>2026-09-03T13:49:35.483288</t>
  </si>
  <si>
    <t>2026-09-03T13:49:35.465724</t>
  </si>
  <si>
    <t>2026-09-03T13:49:35.460403</t>
  </si>
  <si>
    <t>2026-09-03T13:49:35.450567</t>
  </si>
  <si>
    <t>2026-09-03T13:49:35.444113</t>
  </si>
  <si>
    <t>2026-09-03T13:49:35.437796</t>
  </si>
  <si>
    <t>2026-09-03T13:49:35.428991</t>
  </si>
  <si>
    <t>2026-09-03T13:49:35.410162</t>
  </si>
  <si>
    <t>2026-09-03T13:49:35.395898</t>
  </si>
  <si>
    <t>2026-09-03T13:49:35.388989</t>
  </si>
  <si>
    <t>2026-09-03T13:49:35.377190</t>
  </si>
  <si>
    <t>2026-09-03T13:49:35.353452</t>
  </si>
  <si>
    <t>2026-09-03T13:49:35.344542</t>
  </si>
  <si>
    <t>2026-09-03T13:49:35.340368</t>
  </si>
  <si>
    <t>2026-09-03T13:49:35.328777</t>
  </si>
  <si>
    <t>2026-09-03T13:49:35.312307</t>
  </si>
  <si>
    <t>2026-09-03T13:49:35.300717</t>
  </si>
  <si>
    <t>2026-09-03T13:49:35.280245</t>
  </si>
  <si>
    <t>2026-09-03T13:49:35.270639</t>
  </si>
  <si>
    <t>2026-09-03T13:49:35.248747</t>
  </si>
  <si>
    <t>2026-09-03T13:49:35.236196</t>
  </si>
  <si>
    <t>2026-09-03T13:49:35.228774</t>
  </si>
  <si>
    <t>2026-09-03T13:49:35.216833</t>
  </si>
  <si>
    <t>2026-09-03T13:49:35.208791</t>
  </si>
  <si>
    <t>2026-09-03T13:49:35.201019</t>
  </si>
  <si>
    <t>2026-09-03T13:49:35.196329</t>
  </si>
  <si>
    <t>2026-09-03T13:49:35.188017</t>
  </si>
  <si>
    <t>2026-09-03T13:49:35.168765</t>
  </si>
  <si>
    <t>2026-09-03T13:49:35.161851</t>
  </si>
  <si>
    <t>2026-09-03T13:49:35.146959</t>
  </si>
  <si>
    <t>2026-09-03T13:49:35.138993</t>
  </si>
  <si>
    <t>2026-09-03T13:49:35.133153</t>
  </si>
  <si>
    <t>2026-09-03T13:49:35.117898</t>
  </si>
  <si>
    <t>2026-09-03T13:49:35.104638</t>
  </si>
  <si>
    <t>2026-09-03T13:49:35.084278</t>
  </si>
  <si>
    <t>2026-09-03T13:49:35.082794</t>
  </si>
  <si>
    <t>2026-09-03T13:49:35.062448</t>
  </si>
  <si>
    <t>2026-09-03T13:49:35.055707</t>
  </si>
  <si>
    <t>2026-09-03T13:49:35.042307</t>
  </si>
  <si>
    <t>2026-09-03T13:49:35.030415</t>
  </si>
  <si>
    <t>2026-09-03T13:49:35.019752</t>
  </si>
  <si>
    <t>2026-09-03T13:49:35.007987</t>
  </si>
  <si>
    <t>2026-09-03T13:49:35.000159</t>
  </si>
  <si>
    <t>2026-09-03T13:49:34.984943</t>
  </si>
  <si>
    <t>2026-09-03T13:49:34.975967</t>
  </si>
  <si>
    <t>2026-09-03T13:49:34.963179</t>
  </si>
  <si>
    <t>2026-09-03T13:49:34.953697</t>
  </si>
  <si>
    <t>2026-09-03T13:49:34.945102</t>
  </si>
  <si>
    <t>2026-09-03T13:49:34.936171</t>
  </si>
  <si>
    <t>2026-09-03T13:49:34.926984</t>
  </si>
  <si>
    <t>2026-09-03T13:49:34.908751</t>
  </si>
  <si>
    <t>2026-09-03T13:49:34.891314</t>
  </si>
  <si>
    <t>2026-09-03T13:49:34.884120</t>
  </si>
  <si>
    <t>2026-09-03T13:49:34.870932</t>
  </si>
  <si>
    <t>2026-09-03T13:49:34.844328</t>
  </si>
  <si>
    <t>2026-09-03T13:49:34.828553</t>
  </si>
  <si>
    <t>2026-09-03T13:49:34.821599</t>
  </si>
  <si>
    <t>2026-09-03T13:49:34.807259</t>
  </si>
  <si>
    <t>2026-09-03T13:49:34.801886</t>
  </si>
  <si>
    <t>2026-09-03T13:49:34.785943</t>
  </si>
  <si>
    <t>2026-09-03T13:49:34.777940</t>
  </si>
  <si>
    <t>2026-09-03T13:49:34.769891</t>
  </si>
  <si>
    <t>2026-09-03T13:49:34.761706</t>
  </si>
  <si>
    <t>2026-09-03T13:49:34.751341</t>
  </si>
  <si>
    <t>2026-09-03T13:49:34.740801</t>
  </si>
  <si>
    <t>2026-09-03T13:49:34.730700</t>
  </si>
  <si>
    <t>2026-09-03T13:49:34.721952</t>
  </si>
  <si>
    <t>2026-09-03T13:49:34.715043</t>
  </si>
  <si>
    <t>2026-09-03T13:49:34.710603</t>
  </si>
  <si>
    <t>2026-09-03T13:49:34.701753</t>
  </si>
  <si>
    <t>2026-09-03T13:49:34.694956</t>
  </si>
  <si>
    <t>2026-09-03T13:49:34.685700</t>
  </si>
  <si>
    <t>2026-09-03T13:49:34.674547</t>
  </si>
  <si>
    <t>2026-09-03T13:49:34.658768</t>
  </si>
  <si>
    <t>2026-09-03T13:49:34.645982</t>
  </si>
  <si>
    <t>2026-09-03T13:49:34.641099</t>
  </si>
  <si>
    <t>2026-09-03T13:49:34.629086</t>
  </si>
  <si>
    <t>2026-09-03T13:49:34.611082</t>
  </si>
  <si>
    <t>2026-09-03T13:49:34.606798</t>
  </si>
  <si>
    <t>2026-09-03T13:49:34.595344</t>
  </si>
  <si>
    <t>2026-09-03T13:49:34.583513</t>
  </si>
  <si>
    <t>2026-09-03T13:49:34.571653</t>
  </si>
  <si>
    <t>2026-09-03T13:49:34.548068</t>
  </si>
  <si>
    <t>2026-09-03T13:49:34.537046</t>
  </si>
  <si>
    <t>2026-09-03T13:49:34.532406</t>
  </si>
  <si>
    <t>2026-09-03T13:49:34.520338</t>
  </si>
  <si>
    <t>2026-09-03T13:49:34.507153</t>
  </si>
  <si>
    <t>2026-09-03T13:49:34.501077</t>
  </si>
  <si>
    <t>2026-09-03T13:49:34.493160</t>
  </si>
  <si>
    <t>2026-09-03T13:49:34.485059</t>
  </si>
  <si>
    <t>2026-09-03T13:49:34.472795</t>
  </si>
  <si>
    <t>2026-09-03T13:49:34.460568</t>
  </si>
  <si>
    <t>2026-09-03T13:49:34.453431</t>
  </si>
  <si>
    <t>2026-09-03T13:49:34.445338</t>
  </si>
  <si>
    <t>2026-09-03T13:49:34.437720</t>
  </si>
  <si>
    <t>2026-09-03T13:49:34.429560</t>
  </si>
  <si>
    <t>2026-09-03T13:49:34.413702</t>
  </si>
  <si>
    <t>2026-09-03T13:49:34.403001</t>
  </si>
  <si>
    <t>2026-09-03T13:49:34.382192</t>
  </si>
  <si>
    <t>2026-09-03T13:49:34.377234</t>
  </si>
  <si>
    <t>2026-09-03T13:49:34.367039</t>
  </si>
  <si>
    <t>2026-09-03T13:49:34.351226</t>
  </si>
  <si>
    <t>2026-09-03T13:49:34.336394</t>
  </si>
  <si>
    <t>2026-09-03T13:49:34.335563</t>
  </si>
  <si>
    <t>2026-09-03T13:49:34.320665</t>
  </si>
  <si>
    <t>2026-09-03T13:49:34.315283</t>
  </si>
  <si>
    <t>2026-09-03T13:49:34.300846</t>
  </si>
  <si>
    <t>2026-09-03T13:49:34.288736</t>
  </si>
  <si>
    <t>2026-09-03T13:49:34.272621</t>
  </si>
  <si>
    <t>2026-09-03T13:49:34.266129</t>
  </si>
  <si>
    <t>2026-09-03T13:49:34.256510</t>
  </si>
  <si>
    <t>2026-09-03T13:49:34.243445</t>
  </si>
  <si>
    <t>2026-09-03T13:49:34.227662</t>
  </si>
  <si>
    <t>2026-09-03T13:49:34.209140</t>
  </si>
  <si>
    <t>2026-09-03T13:49:34.195338</t>
  </si>
  <si>
    <t>2026-09-03T13:49:34.187735</t>
  </si>
  <si>
    <t>2026-09-03T13:49:34.167013</t>
  </si>
  <si>
    <t>2026-09-03T13:49:34.147323</t>
  </si>
  <si>
    <t>2026-09-03T13:49:34.139243</t>
  </si>
  <si>
    <t>2026-09-03T13:49:34.120411</t>
  </si>
  <si>
    <t>2026-09-03T13:49:34.103999</t>
  </si>
  <si>
    <t>2026-09-03T13:49:34.090882</t>
  </si>
  <si>
    <t>2026-09-03T13:49:34.083491</t>
  </si>
  <si>
    <t>2026-09-03T13:49:34.067625</t>
  </si>
  <si>
    <t>2026-09-03T13:49:34.058147</t>
  </si>
  <si>
    <t>2026-09-03T13:49:34.043981</t>
  </si>
  <si>
    <t>2026-09-03T13:49:34.035945</t>
  </si>
  <si>
    <t>2026-09-03T13:49:34.027172</t>
  </si>
  <si>
    <t>2026-09-03T13:49:34.009764</t>
  </si>
  <si>
    <t>2026-09-03T13:49:34.007204</t>
  </si>
  <si>
    <t>2026-09-03T13:49:33.988490</t>
  </si>
  <si>
    <t>2026-09-03T13:49:33.979474</t>
  </si>
  <si>
    <t>2026-09-03T13:49:33.972923</t>
  </si>
  <si>
    <t>2026-09-03T13:49:33.962131</t>
  </si>
  <si>
    <t>2026-09-03T13:49:33.948904</t>
  </si>
  <si>
    <t>2026-09-03T13:49:33.927044</t>
  </si>
  <si>
    <t>2026-09-03T13:49:33.915703</t>
  </si>
  <si>
    <t>2026-09-03T13:49:33.899618</t>
  </si>
  <si>
    <t>2026-09-03T13:49:33.889163</t>
  </si>
  <si>
    <t>2026-09-03T13:49:33.883898</t>
  </si>
  <si>
    <t>2026-09-03T13:49:33.870653</t>
  </si>
  <si>
    <t>2026-09-03T13:49:33.860560</t>
  </si>
  <si>
    <t>2026-09-03T13:49:33.854252</t>
  </si>
  <si>
    <t>2026-09-03T13:49:33.836370</t>
  </si>
  <si>
    <t>2026-09-03T13:49:33.820706</t>
  </si>
  <si>
    <t>2026-09-03T13:49:33.805388</t>
  </si>
  <si>
    <t>2026-09-03T13:49:33.791955</t>
  </si>
  <si>
    <t>2026-09-03T13:49:33.780845</t>
  </si>
  <si>
    <t>2026-09-03T13:49:33.771127</t>
  </si>
  <si>
    <t>2026-09-03T13:49:33.760769</t>
  </si>
  <si>
    <t>2026-09-03T13:49:33.749927</t>
  </si>
  <si>
    <t>2026-09-03T13:49:33.738427</t>
  </si>
  <si>
    <t>2026-09-03T13:49:33.728999</t>
  </si>
  <si>
    <t>2026-09-03T13:49:33.726464</t>
  </si>
  <si>
    <t>2026-09-03T13:49:33.712945</t>
  </si>
  <si>
    <t>2026-09-03T13:49:33.703727</t>
  </si>
  <si>
    <t>2026-09-03T13:49:33.697202</t>
  </si>
  <si>
    <t>2026-09-03T13:49:33.687723</t>
  </si>
  <si>
    <t>2026-09-03T13:49:33.665869</t>
  </si>
  <si>
    <t>2026-09-03T13:49:33.650188</t>
  </si>
  <si>
    <t>2026-09-03T13:49:33.635261</t>
  </si>
  <si>
    <t>2026-09-03T13:49:33.626574</t>
  </si>
  <si>
    <t>2026-09-03T13:49:33.617605</t>
  </si>
  <si>
    <t>2026-09-03T13:49:33.603076</t>
  </si>
  <si>
    <t>2026-09-03T13:49:33.586047</t>
  </si>
  <si>
    <t>2026-09-03T13:49:33.576710</t>
  </si>
  <si>
    <t>2026-09-03T13:49:33.563027</t>
  </si>
  <si>
    <t>2026-09-03T13:49:33.550984</t>
  </si>
  <si>
    <t>2026-09-03T13:49:33.536279</t>
  </si>
  <si>
    <t>2026-09-03T13:49:33.520205</t>
  </si>
  <si>
    <t>2026-09-03T13:49:33.509300</t>
  </si>
  <si>
    <t>2026-09-03T13:49:33.490205</t>
  </si>
  <si>
    <t>2026-09-03T13:49:33.483976</t>
  </si>
  <si>
    <t>2026-09-03T13:49:33.472218</t>
  </si>
  <si>
    <t>2026-09-03T13:49:33.466039</t>
  </si>
  <si>
    <t>2026-09-03T13:49:33.455942</t>
  </si>
  <si>
    <t>2026-09-03T13:49:33.445766</t>
  </si>
  <si>
    <t>2026-09-03T13:49:33.434523</t>
  </si>
  <si>
    <t>2026-09-03T13:49:33.423994</t>
  </si>
  <si>
    <t>2026-09-03T13:49:33.415765</t>
  </si>
  <si>
    <t>2026-09-03T13:49:33.405189</t>
  </si>
  <si>
    <t>2026-09-03T13:49:33.397299</t>
  </si>
  <si>
    <t>2026-09-03T13:49:33.384143</t>
  </si>
  <si>
    <t>2026-09-03T13:49:33.378953</t>
  </si>
  <si>
    <t>2026-09-03T13:49:33.370182</t>
  </si>
  <si>
    <t>2026-09-03T13:49:33.356917</t>
  </si>
  <si>
    <t>2026-09-03T13:49:33.339358</t>
  </si>
  <si>
    <t>2026-09-03T13:49:33.327361</t>
  </si>
  <si>
    <t>2026-09-03T13:49:33.311630</t>
  </si>
  <si>
    <t>2026-09-03T13:49:33.305084</t>
  </si>
  <si>
    <t>2026-09-03T13:49:33.288982</t>
  </si>
  <si>
    <t>2026-09-03T13:49:33.273591</t>
  </si>
  <si>
    <t>2026-09-03T13:49:33.253223</t>
  </si>
  <si>
    <t>2026-09-03T13:49:33.243423</t>
  </si>
  <si>
    <t>2026-09-03T13:49:33.237487</t>
  </si>
  <si>
    <t>2026-09-03T13:49:33.226191</t>
  </si>
  <si>
    <t>2026-09-03T13:49:33.205297</t>
  </si>
  <si>
    <t>2026-09-03T13:49:33.201757</t>
  </si>
  <si>
    <t>2026-09-03T13:49:33.195112</t>
  </si>
  <si>
    <t>2026-09-03T13:49:33.180065</t>
  </si>
  <si>
    <t>2026-09-03T13:49:33.175472</t>
  </si>
  <si>
    <t>2026-09-03T13:49:33.167046</t>
  </si>
  <si>
    <t>2026-09-03T13:49:33.157438</t>
  </si>
  <si>
    <t>2026-09-03T13:49:33.141632</t>
  </si>
  <si>
    <t>2026-09-03T13:49:33.132329</t>
  </si>
  <si>
    <t>2026-09-03T13:49:33.126779</t>
  </si>
  <si>
    <t>2026-09-03T13:49:33.118440</t>
  </si>
  <si>
    <t>2026-09-03T13:49:33.100278</t>
  </si>
  <si>
    <t>2026-09-03T13:49:33.079231</t>
  </si>
  <si>
    <t>2026-09-03T13:49:33.071989</t>
  </si>
  <si>
    <t>2026-09-03T13:49:33.063336</t>
  </si>
  <si>
    <t>2026-09-03T13:49:33.047665</t>
  </si>
  <si>
    <t>2026-09-03T13:49:33.038844</t>
  </si>
  <si>
    <t>2026-09-03T13:49:33.028429</t>
  </si>
  <si>
    <t>2026-09-03T13:49:33.025558</t>
  </si>
  <si>
    <t>2026-09-03T13:49:33.007346</t>
  </si>
  <si>
    <t>2026-09-03T13:49:33.000924</t>
  </si>
  <si>
    <t>2026-09-03T13:49:32.986513</t>
  </si>
  <si>
    <t>2026-09-03T13:49:32.971322</t>
  </si>
  <si>
    <t>2026-09-03T13:49:32.959780</t>
  </si>
  <si>
    <t>2026-09-03T13:49:32.951818</t>
  </si>
  <si>
    <t>2026-09-03T13:49:32.948979</t>
  </si>
  <si>
    <t>2026-09-03T13:49:32.936247</t>
  </si>
  <si>
    <t>2026-09-03T13:49:32.930968</t>
  </si>
  <si>
    <t>2026-09-03T13:49:32.918619</t>
  </si>
  <si>
    <t>2026-09-03T13:49:32.910238</t>
  </si>
  <si>
    <t>2026-09-03T13:49:32.894477</t>
  </si>
  <si>
    <t>2026-09-03T13:49:32.878360</t>
  </si>
  <si>
    <t>2026-09-03T13:49:32.868496</t>
  </si>
  <si>
    <t>2026-09-03T13:49:32.862539</t>
  </si>
  <si>
    <t>2026-09-03T13:49:32.854604</t>
  </si>
  <si>
    <t>2026-09-03T13:49:32.835383</t>
  </si>
  <si>
    <t>2026-09-03T13:49:32.817586</t>
  </si>
  <si>
    <t>2026-09-03T13:49:32.801687</t>
  </si>
  <si>
    <t>2026-09-03T13:49:28.609690</t>
  </si>
  <si>
    <t>2026-09-03T13:49:28.593831</t>
  </si>
  <si>
    <t>2026-09-03T13:49:28.586027</t>
  </si>
  <si>
    <t>2026-09-03T13:49:28.578445</t>
  </si>
  <si>
    <t>2026-09-03T13:49:28.570516</t>
  </si>
  <si>
    <t>2026-09-03T13:49:28.562722</t>
  </si>
  <si>
    <t>2026-09-03T13:49:28.546911</t>
  </si>
  <si>
    <t>2026-09-03T13:49:28.531013</t>
  </si>
  <si>
    <t>2026-09-03T13:49:28.514920</t>
  </si>
  <si>
    <t>2026-09-03T13:49:28.500228</t>
  </si>
  <si>
    <t>2026-09-03T13:49:28.493515</t>
  </si>
  <si>
    <t>2026-09-03T13:49:28.483145</t>
  </si>
  <si>
    <t>2026-09-03T13:49:28.467345</t>
  </si>
  <si>
    <t>2026-09-03T13:49:28.461656</t>
  </si>
  <si>
    <t>2026-09-03T13:49:28.453387</t>
  </si>
  <si>
    <t>2026-09-03T13:49:28.437946</t>
  </si>
  <si>
    <t>2026-09-03T13:49:28.424873</t>
  </si>
  <si>
    <t>2026-09-03T13:49:28.422274</t>
  </si>
  <si>
    <t>2026-09-03T13:49:28.404230</t>
  </si>
  <si>
    <t>2026-09-03T13:49:28.393299</t>
  </si>
  <si>
    <t>2026-09-03T13:49:28.384345</t>
  </si>
  <si>
    <t>2026-09-03T13:49:28.372323</t>
  </si>
  <si>
    <t>2026-09-03T13:49:28.369111</t>
  </si>
  <si>
    <t>2026-09-03T13:49:28.356375</t>
  </si>
  <si>
    <t>2026-09-03T13:49:28.348457</t>
  </si>
  <si>
    <t>2026-09-03T13:49:28.341527</t>
  </si>
  <si>
    <t>2026-09-03T13:49:28.327465</t>
  </si>
  <si>
    <t>2026-09-03T13:49:28.308451</t>
  </si>
  <si>
    <t>2026-09-03T13:49:28.301651</t>
  </si>
  <si>
    <t>2026-09-03T13:49:28.293214</t>
  </si>
  <si>
    <t>2026-09-03T13:49:28.277607</t>
  </si>
  <si>
    <t>2026-09-03T13:49:28.272587</t>
  </si>
  <si>
    <t>2026-09-03T13:49:28.256778</t>
  </si>
  <si>
    <t>2026-09-03T13:49:28.243207</t>
  </si>
  <si>
    <t>2026-09-03T13:49:28.234021</t>
  </si>
  <si>
    <t>2026-09-03T13:49:28.225332</t>
  </si>
  <si>
    <t>2026-09-03T13:49:28.218221</t>
  </si>
  <si>
    <t>2026-09-03T13:49:28.206480</t>
  </si>
  <si>
    <t>2026-09-03T13:49:28.197546</t>
  </si>
  <si>
    <t>2026-09-03T13:49:28.184659</t>
  </si>
  <si>
    <t>2026-09-03T13:49:28.169723</t>
  </si>
  <si>
    <t>2026-09-03T13:49:28.155784</t>
  </si>
  <si>
    <t>2026-09-03T13:49:28.140074</t>
  </si>
  <si>
    <t>2026-09-03T13:49:28.126299</t>
  </si>
  <si>
    <t>2026-09-03T13:49:28.108472</t>
  </si>
  <si>
    <t>2026-09-03T13:49:28.093403</t>
  </si>
  <si>
    <t>2026-09-03T13:49:28.076395</t>
  </si>
  <si>
    <t>2026-09-03T13:49:28.060519</t>
  </si>
  <si>
    <t>2026-09-03T13:49:28.047599</t>
  </si>
  <si>
    <t>2026-09-03T13:49:28.028827</t>
  </si>
  <si>
    <t>2026-09-03T13:49:28.013088</t>
  </si>
  <si>
    <t>2026-09-03T13:49:28.008051</t>
  </si>
  <si>
    <t>2026-09-03T13:49:27.993489</t>
  </si>
  <si>
    <t>2026-09-03T13:49:27.983821</t>
  </si>
  <si>
    <t>2026-09-03T13:49:27.975647</t>
  </si>
  <si>
    <t>2026-09-03T13:49:27.963859</t>
  </si>
  <si>
    <t>2026-09-03T13:49:27.952523</t>
  </si>
  <si>
    <t>2026-09-03T13:49:27.935683</t>
  </si>
  <si>
    <t>2026-09-03T13:49:27.893310</t>
  </si>
  <si>
    <t>2026-09-03T13:49:27.877972</t>
  </si>
  <si>
    <t>2026-09-03T13:49:27.830489</t>
  </si>
  <si>
    <t>2026-09-03T13:49:27.801223</t>
  </si>
  <si>
    <t>2026-09-03T13:49:27.792981</t>
  </si>
  <si>
    <t>2026-09-03T13:49:27.782866</t>
  </si>
  <si>
    <t>2026-09-03T13:49:27.771989</t>
  </si>
  <si>
    <t>2026-09-03T13:49:27.759257</t>
  </si>
  <si>
    <t>2026-09-03T13:49:27.740262</t>
  </si>
  <si>
    <t>2026-09-03T13:49:27.736378</t>
  </si>
  <si>
    <t>2026-09-03T13:49:27.726860</t>
  </si>
  <si>
    <t>2026-09-03T13:49:27.708654</t>
  </si>
  <si>
    <t>2026-09-03T13:49:27.700801</t>
  </si>
  <si>
    <t>2026-09-03T13:49:27.685423</t>
  </si>
  <si>
    <t>2026-09-03T13:49:27.677269</t>
  </si>
  <si>
    <t>2026-09-03T13:49:27.664948</t>
  </si>
  <si>
    <t>2026-09-03T13:49:27.653070</t>
  </si>
  <si>
    <t>2026-09-03T13:49:27.645559</t>
  </si>
  <si>
    <t>2026-09-03T13:49:27.635105</t>
  </si>
  <si>
    <t>2026-09-03T13:49:27.623700</t>
  </si>
  <si>
    <t>2026-09-03T13:49:27.612293</t>
  </si>
  <si>
    <t>2026-09-03T13:49:27.598737</t>
  </si>
  <si>
    <t>2026-09-03T13:49:27.591456</t>
  </si>
  <si>
    <t>2026-09-03T13:49:27.582179</t>
  </si>
  <si>
    <t>2026-09-03T13:49:27.564287</t>
  </si>
  <si>
    <t>2026-09-03T13:49:27.548442</t>
  </si>
  <si>
    <t>2026-09-03T13:49:27.545393</t>
  </si>
  <si>
    <t>2026-09-03T13:49:27.529714</t>
  </si>
  <si>
    <t>2026-09-03T13:49:27.513766</t>
  </si>
  <si>
    <t>2026-09-03T13:49:27.503776</t>
  </si>
  <si>
    <t>2026-09-03T13:49:27.492193</t>
  </si>
  <si>
    <t>2026-09-03T13:49:27.488141</t>
  </si>
  <si>
    <t>2026-09-03T13:49:27.480347</t>
  </si>
  <si>
    <t>2026-09-03T13:49:27.472119</t>
  </si>
  <si>
    <t>2026-09-03T13:49:27.465688</t>
  </si>
  <si>
    <t>2026-09-03T13:49:27.449812</t>
  </si>
  <si>
    <t>2026-09-03T13:49:27.432929</t>
  </si>
  <si>
    <t>2026-09-03T13:49:27.418523</t>
  </si>
  <si>
    <t>2026-09-03T13:49:27.401226</t>
  </si>
  <si>
    <t>2026-09-03T13:49:27.385465</t>
  </si>
  <si>
    <t>2026-09-03T13:49:27.369735</t>
  </si>
  <si>
    <t>2026-09-03T13:49:27.361784</t>
  </si>
  <si>
    <t>2026-09-03T13:49:27.354070</t>
  </si>
  <si>
    <t>2026-09-03T13:49:27.344681</t>
  </si>
  <si>
    <t>2026-09-03T13:49:27.329843</t>
  </si>
  <si>
    <t>2026-09-03T13:49:27.312615</t>
  </si>
  <si>
    <t>2026-09-03T13:49:27.306760</t>
  </si>
  <si>
    <t>2026-09-03T13:49:27.296773</t>
  </si>
  <si>
    <t>2026-09-03T13:49:27.280748</t>
  </si>
  <si>
    <t>2026-09-03T13:49:27.279003</t>
  </si>
  <si>
    <t>2026-09-03T13:49:27.264910</t>
  </si>
  <si>
    <t>2026-09-03T13:49:27.248975</t>
  </si>
  <si>
    <t>2026-09-03T13:49:27.223474</t>
  </si>
  <si>
    <t>2026-09-03T13:49:27.192025</t>
  </si>
  <si>
    <t>2026-09-03T13:49:27.182808</t>
  </si>
  <si>
    <t>2026-09-03T13:49:27.169541</t>
  </si>
  <si>
    <t>2026-09-03T13:49:27.160963</t>
  </si>
  <si>
    <t>2026-09-03T13:49:27.137783</t>
  </si>
  <si>
    <t>2026-09-03T13:49:27.121945</t>
  </si>
  <si>
    <t>2026-09-03T13:49:27.112423</t>
  </si>
  <si>
    <t>2026-09-03T13:49:27.092039</t>
  </si>
  <si>
    <t>2026-09-03T13:49:27.074827</t>
  </si>
  <si>
    <t>2026-09-03T13:49:27.058943</t>
  </si>
  <si>
    <t>2026-09-03T13:49:27.046936</t>
  </si>
  <si>
    <t>2026-09-03T13:49:27.044772</t>
  </si>
  <si>
    <t>2026-09-03T13:49:27.029560</t>
  </si>
  <si>
    <t>2026-09-03T13:49:27.022498</t>
  </si>
  <si>
    <t>2026-09-03T13:49:27.011761</t>
  </si>
  <si>
    <t>2026-09-03T13:49:26.995658</t>
  </si>
  <si>
    <t>2026-09-03T13:49:26.992000</t>
  </si>
  <si>
    <t>2026-09-03T13:49:26.980477</t>
  </si>
  <si>
    <t>2026-09-03T13:49:26.964995</t>
  </si>
  <si>
    <t>2026-09-03T13:49:26.948992</t>
  </si>
  <si>
    <t>2026-09-03T13:49:26.942426</t>
  </si>
  <si>
    <t>2026-09-03T13:49:26.932356</t>
  </si>
  <si>
    <t>2026-09-03T13:49:26.917243</t>
  </si>
  <si>
    <t>2026-09-03T13:49:26.902743</t>
  </si>
  <si>
    <t>2026-09-03T13:49:26.891679</t>
  </si>
  <si>
    <t>2026-09-03T13:49:26.871059</t>
  </si>
  <si>
    <t>2026-09-03T13:49:26.855410</t>
  </si>
  <si>
    <t>2026-09-03T13:49:26.848624</t>
  </si>
  <si>
    <t>2026-09-03T13:49:26.841674</t>
  </si>
  <si>
    <t>2026-09-03T13:49:26.834451</t>
  </si>
  <si>
    <t>2026-09-03T13:49:26.823322</t>
  </si>
  <si>
    <t>2026-09-03T13:49:26.807217</t>
  </si>
  <si>
    <t>2026-09-03T13:49:26.793427</t>
  </si>
  <si>
    <t>2026-09-03T13:49:26.780078</t>
  </si>
  <si>
    <t>2026-09-03T13:49:26.760149</t>
  </si>
  <si>
    <t>2026-09-03T13:49:26.753060</t>
  </si>
  <si>
    <t>2026-09-03T13:49:26.728937</t>
  </si>
  <si>
    <t>2026-09-03T13:49:26.713054</t>
  </si>
  <si>
    <t>2026-09-03T13:49:26.702005</t>
  </si>
  <si>
    <t>2026-09-03T13:49:26.697369</t>
  </si>
  <si>
    <t>2026-09-03T13:49:26.681498</t>
  </si>
  <si>
    <t>2026-09-03T13:49:26.665780</t>
  </si>
  <si>
    <t>2026-09-03T13:49:26.654072</t>
  </si>
  <si>
    <t>2026-09-03T13:49:26.647161</t>
  </si>
  <si>
    <t>2026-09-03T13:49:26.620965</t>
  </si>
  <si>
    <t>2026-09-03T13:49:26.605220</t>
  </si>
  <si>
    <t>2026-09-03T13:49:26.591174</t>
  </si>
  <si>
    <t>2026-09-03T13:49:26.579015</t>
  </si>
  <si>
    <t>2026-09-03T13:49:26.557516</t>
  </si>
  <si>
    <t>2026-09-03T13:49:26.543885</t>
  </si>
  <si>
    <t>2026-09-03T13:49:26.526671</t>
  </si>
  <si>
    <t>2026-09-03T13:49:26.520590</t>
  </si>
  <si>
    <t>2026-09-03T13:49:26.512411</t>
  </si>
  <si>
    <t>2026-09-03T13:49:26.501379</t>
  </si>
  <si>
    <t>2026-09-03T13:49:26.494583</t>
  </si>
  <si>
    <t>2026-09-03T13:49:26.480907</t>
  </si>
  <si>
    <t>2026-09-03T13:49:26.463238</t>
  </si>
  <si>
    <t>2026-09-03T13:49:26.447539</t>
  </si>
  <si>
    <t>2026-09-03T13:49:26.431884</t>
  </si>
  <si>
    <t>2026-09-03T13:49:26.416576</t>
  </si>
  <si>
    <t>2026-09-03T13:49:26.402186</t>
  </si>
  <si>
    <t>2026-09-03T13:49:26.397142</t>
  </si>
  <si>
    <t>2026-09-03T13:49:26.385114</t>
  </si>
  <si>
    <t>2026-09-03T13:49:26.373474</t>
  </si>
  <si>
    <t>2026-09-03T13:49:26.357706</t>
  </si>
  <si>
    <t>2026-09-03T13:49:26.341625</t>
  </si>
  <si>
    <t>2026-09-03T13:49:26.328073</t>
  </si>
  <si>
    <t>2026-09-03T13:49:26.327531</t>
  </si>
  <si>
    <t>2026-09-03T13:49:26.310472</t>
  </si>
  <si>
    <t>2026-09-03T13:49:26.294690</t>
  </si>
  <si>
    <t>2026-09-03T13:49:26.291090</t>
  </si>
  <si>
    <t>2026-09-03T13:49:26.279557</t>
  </si>
  <si>
    <t>2026-09-03T13:49:26.272177</t>
  </si>
  <si>
    <t>2026-09-03T13:49:26.258709</t>
  </si>
  <si>
    <t>2026-09-03T13:49:26.250044</t>
  </si>
  <si>
    <t>2026-09-03T13:49:26.237379</t>
  </si>
  <si>
    <t>2026-09-03T13:49:26.229143</t>
  </si>
  <si>
    <t>2026-09-03T13:49:26.213064</t>
  </si>
  <si>
    <t>2026-09-03T13:49:26.204791</t>
  </si>
  <si>
    <t>2026-09-03T13:49:26.197333</t>
  </si>
  <si>
    <t>2026-09-03T13:49:26.181353</t>
  </si>
  <si>
    <t>2026-09-03T13:49:26.174975</t>
  </si>
  <si>
    <t>2026-09-03T13:49:26.161115</t>
  </si>
  <si>
    <t>2026-09-03T13:49:26.152839</t>
  </si>
  <si>
    <t>2026-09-03T13:49:26.138806</t>
  </si>
  <si>
    <t>2026-09-03T13:49:26.130271</t>
  </si>
  <si>
    <t>2026-09-03T13:49:26.121088</t>
  </si>
  <si>
    <t>2026-09-03T13:49:26.107795</t>
  </si>
  <si>
    <t>2026-09-03T13:49:26.098595</t>
  </si>
  <si>
    <t>2026-09-03T13:49:26.090881</t>
  </si>
  <si>
    <t>2026-09-03T13:49:26.083489</t>
  </si>
  <si>
    <t>2026-09-03T13:49:26.060803</t>
  </si>
  <si>
    <t>2026-09-03T13:49:26.050006</t>
  </si>
  <si>
    <t>2026-09-03T13:49:26.043044</t>
  </si>
  <si>
    <t>2026-09-03T13:49:26.027269</t>
  </si>
  <si>
    <t>2026-09-03T13:49:26.011609</t>
  </si>
  <si>
    <t>2026-09-03T13:49:25.995923</t>
  </si>
  <si>
    <t>2026-09-03T13:49:25.990700</t>
  </si>
  <si>
    <t>2026-09-03T13:49:25.980287</t>
  </si>
  <si>
    <t>2026-09-03T13:49:25.968685</t>
  </si>
  <si>
    <t>2026-09-03T13:49:25.954797</t>
  </si>
  <si>
    <t>2026-09-03T13:49:25.952782</t>
  </si>
  <si>
    <t>2026-09-03T13:49:25.942582</t>
  </si>
  <si>
    <t>2026-09-03T13:49:25.932979</t>
  </si>
  <si>
    <t>2026-09-03T13:49:25.919283</t>
  </si>
  <si>
    <t>2026-09-03T13:49:25.901546</t>
  </si>
  <si>
    <t>2026-09-03T13:49:25.892649</t>
  </si>
  <si>
    <t>2026-09-03T13:49:25.885875</t>
  </si>
  <si>
    <t>2026-09-03T13:49:25.869982</t>
  </si>
  <si>
    <t>2026-09-03T13:49:25.854895</t>
  </si>
  <si>
    <t>2026-09-03T13:49:25.843720</t>
  </si>
  <si>
    <t>2026-09-03T13:49:25.841706</t>
  </si>
  <si>
    <t>2026-09-03T13:49:25.826512</t>
  </si>
  <si>
    <t>2026-09-03T13:49:25.823521</t>
  </si>
  <si>
    <t>2026-09-03T13:49:25.811549</t>
  </si>
  <si>
    <t>2026-09-03T13:49:25.801616</t>
  </si>
  <si>
    <t>2026-09-03T13:49:25.791732</t>
  </si>
  <si>
    <t>2026-09-03T13:49:25.781709</t>
  </si>
  <si>
    <t>2026-09-03T13:49:25.775452</t>
  </si>
  <si>
    <t>2026-09-03T13:49:25.761683</t>
  </si>
  <si>
    <t>2026-09-03T13:49:25.751639</t>
  </si>
  <si>
    <t>2026-09-03T13:49:25.744638</t>
  </si>
  <si>
    <t>2026-09-03T13:49:25.731711</t>
  </si>
  <si>
    <t>2026-09-03T13:49:25.728994</t>
  </si>
  <si>
    <t>2026-09-03T13:49:25.713242</t>
  </si>
  <si>
    <t>2026-09-03T13:49:25.701589</t>
  </si>
  <si>
    <t>2026-09-03T13:49:25.691625</t>
  </si>
  <si>
    <t>2026-09-03T13:49:25.681644</t>
  </si>
  <si>
    <t>2026-09-03T13:49:25.671690</t>
  </si>
  <si>
    <t>2026-09-03T13:49:25.661322</t>
  </si>
  <si>
    <t>2026-09-03T13:49:25.651426</t>
  </si>
  <si>
    <t>2026-09-03T13:49:25.641660</t>
  </si>
  <si>
    <t>2026-09-03T13:49:25.631720</t>
  </si>
  <si>
    <t>2026-09-03T13:49:25.619689</t>
  </si>
  <si>
    <t>2026-09-03T13:49:25.611566</t>
  </si>
  <si>
    <t>2026-09-03T13:49:25.601577</t>
  </si>
  <si>
    <t>2026-09-03T13:49:25.591386</t>
  </si>
  <si>
    <t>2026-09-03T13:49:25.583321</t>
  </si>
  <si>
    <t>2026-09-03T13:49:25.574937</t>
  </si>
  <si>
    <t>2026-09-03T13:49:25.567509</t>
  </si>
  <si>
    <t>2026-09-03T13:49:25.551578</t>
  </si>
  <si>
    <t>2026-09-03T13:49:25.543670</t>
  </si>
  <si>
    <t>2026-09-03T13:49:25.535159</t>
  </si>
  <si>
    <t>2026-09-03T13:49:25.523846</t>
  </si>
  <si>
    <t>2026-09-03T13:49:25.511529</t>
  </si>
  <si>
    <t>2026-09-03T13:49:25.501569</t>
  </si>
  <si>
    <t>2026-09-03T13:49:25.491605</t>
  </si>
  <si>
    <t>2026-09-03T13:49:15.522494</t>
  </si>
  <si>
    <t>2026-09-03T13:49:03.825025</t>
  </si>
  <si>
    <t>2026-09-03T13:49:03.817245</t>
  </si>
  <si>
    <t>2026-09-03T13:49:03.803144</t>
  </si>
  <si>
    <t>2026-09-03T13:49:03.800822</t>
  </si>
  <si>
    <t>2026-09-03T13:49:03.784905</t>
  </si>
  <si>
    <t>2026-09-03T13:49:03.769267</t>
  </si>
  <si>
    <t>2026-09-03T13:49:03.753598</t>
  </si>
  <si>
    <t>2026-09-03T13:49:03.732507</t>
  </si>
  <si>
    <t>2026-09-03T13:49:03.713442</t>
  </si>
  <si>
    <t>2026-09-03T13:49:03.684233</t>
  </si>
  <si>
    <t>2026-09-03T13:49:03.677174</t>
  </si>
  <si>
    <t>2026-09-03T13:49:03.666753</t>
  </si>
  <si>
    <t>2026-09-03T13:49:03.635235</t>
  </si>
  <si>
    <t>2026-09-03T13:49:03.626639</t>
  </si>
  <si>
    <t>2026-09-03T13:49:03.610766</t>
  </si>
  <si>
    <t>2026-09-03T13:49:03.595911</t>
  </si>
  <si>
    <t>2026-09-03T13:49:03.579686</t>
  </si>
  <si>
    <t>2026-09-03T13:49:03.560108</t>
  </si>
  <si>
    <t>2026-09-03T13:49:03.544154</t>
  </si>
  <si>
    <t>2026-09-03T13:49:03.528038</t>
  </si>
  <si>
    <t>2026-09-03T13:49:03.512354</t>
  </si>
  <si>
    <t>2026-09-03T13:49:03.496202</t>
  </si>
  <si>
    <t>2026-09-03T13:49:03.488195</t>
  </si>
  <si>
    <t>2026-09-03T13:49:03.479928</t>
  </si>
  <si>
    <t>2026-09-03T13:49:03.463860</t>
  </si>
  <si>
    <t>2026-09-03T13:49:03.456638</t>
  </si>
  <si>
    <t>2026-09-03T13:49:03.440901</t>
  </si>
  <si>
    <t>2026-09-03T13:49:03.427867</t>
  </si>
  <si>
    <t>2026-09-03T13:49:03.412938</t>
  </si>
  <si>
    <t>2026-09-03T13:49:03.399226</t>
  </si>
  <si>
    <t>2026-09-03T13:49:03.380537</t>
  </si>
  <si>
    <t>2026-09-03T13:48:58.280933</t>
  </si>
  <si>
    <t>2026-09-03T13:48:58.271519</t>
  </si>
  <si>
    <t>2026-09-03T13:48:58.261914</t>
  </si>
  <si>
    <t>2026-09-03T13:48:50.638097</t>
  </si>
  <si>
    <t>2026-09-03T13:48:50.629471</t>
  </si>
  <si>
    <t>2026-09-03T13:48:50.614819</t>
  </si>
  <si>
    <t>2026-09-03T13:48:50.603620</t>
  </si>
  <si>
    <t>2026-09-03T13:48:50.591017</t>
  </si>
  <si>
    <t>2026-09-03T13:48:50.583280</t>
  </si>
  <si>
    <t>2026-09-03T13:48:50.575844</t>
  </si>
  <si>
    <t>2026-09-03T13:48:50.560512</t>
  </si>
  <si>
    <t>2026-09-03T13:48:50.554208</t>
  </si>
  <si>
    <t>2026-09-03T13:48:45.249137</t>
  </si>
  <si>
    <t>2026-09-03T13:48:37.948746</t>
  </si>
  <si>
    <t>2026-09-03T13:48:28.848625</t>
  </si>
  <si>
    <t>2026-09-03T13:48:28.827901</t>
  </si>
  <si>
    <t>2026-09-03T13:48:20.909200</t>
  </si>
  <si>
    <t>2026-09-03T13:48:20.902640</t>
  </si>
  <si>
    <t>2026-09-03T13:48:20.877361</t>
  </si>
  <si>
    <t>2026-09-03T13:48:20.872552</t>
  </si>
  <si>
    <t>2026-09-03T13:48:20.856774</t>
  </si>
  <si>
    <t>2026-09-03T13:48:16.166710</t>
  </si>
  <si>
    <t>2026-09-03T13:48:16.150828</t>
  </si>
  <si>
    <t>2026-09-03T13:48:11.348378</t>
  </si>
  <si>
    <t>2026-09-03T13:48:11.316427</t>
  </si>
  <si>
    <t>2026-09-03T13:48:11.289351</t>
  </si>
  <si>
    <t>2026-09-03T13:48:11.283666</t>
  </si>
  <si>
    <t>2026-09-03T13:48:04.398652</t>
  </si>
  <si>
    <t>2026-09-03T13:48:04.382815</t>
  </si>
  <si>
    <t>2026-09-03T13:48:04.369243</t>
  </si>
  <si>
    <t>2026-09-03T13:48:04.366706</t>
  </si>
  <si>
    <t>2026-09-03T13:48:04.350925</t>
  </si>
  <si>
    <t>2026-09-03T13:48:04.335110</t>
  </si>
  <si>
    <t>2026-09-03T13:48:04.319375</t>
  </si>
  <si>
    <t>2026-09-03T13:48:04.303445</t>
  </si>
  <si>
    <t>2026-09-03T13:48:04.283095</t>
  </si>
  <si>
    <t>2026-09-03T13:48:04.268978</t>
  </si>
  <si>
    <t>2026-09-03T13:47:58.085874</t>
  </si>
  <si>
    <t>2026-09-03T13:47:58.070134</t>
  </si>
  <si>
    <t>2026-09-03T13:47:58.055595</t>
  </si>
  <si>
    <t>2026-09-03T13:47:58.035600</t>
  </si>
  <si>
    <t>2026-09-03T13:47:58.019843</t>
  </si>
  <si>
    <t>2026-09-03T13:47:58.011797</t>
  </si>
  <si>
    <t>2026-09-03T13:47:58.004044</t>
  </si>
  <si>
    <t>2026-09-03T13:47:57.988296</t>
  </si>
  <si>
    <t>2026-09-03T13:47:57.972542</t>
  </si>
  <si>
    <t>2026-09-03T13:47:57.957423</t>
  </si>
  <si>
    <t>2026-09-03T13:47:57.948949</t>
  </si>
  <si>
    <t>2026-09-03T13:47:57.942366</t>
  </si>
  <si>
    <t>2026-09-03T13:47:57.926903</t>
  </si>
  <si>
    <t>2026-09-03T13:47:57.908739</t>
  </si>
  <si>
    <t>2026-09-03T13:47:51.546089</t>
  </si>
  <si>
    <t>2026-09-03T13:47:51.514691</t>
  </si>
  <si>
    <t>2026-09-03T13:47:51.499746</t>
  </si>
  <si>
    <t>2026-09-03T13:47:51.493383</t>
  </si>
  <si>
    <t>2026-09-03T13:47:51.477687</t>
  </si>
  <si>
    <t>2026-09-03T13:47:51.465271</t>
  </si>
  <si>
    <t>2026-09-03T13:47:51.459163</t>
  </si>
  <si>
    <t>2026-09-03T13:47:51.446239</t>
  </si>
  <si>
    <t>2026-09-03T13:47:51.430175</t>
  </si>
  <si>
    <t>2026-09-03T13:47:51.426173</t>
  </si>
  <si>
    <t>2026-09-03T13:47:35.383788</t>
  </si>
  <si>
    <t>2026-09-03T13:47:35.363038</t>
  </si>
  <si>
    <t>2026-09-03T13:47:35.350129</t>
  </si>
  <si>
    <t>2026-09-03T13:47:35.329610</t>
  </si>
  <si>
    <t>2026-09-03T13:47:35.303609</t>
  </si>
  <si>
    <t>2026-09-03T13:47:35.294758</t>
  </si>
  <si>
    <t>2026-09-03T13:47:35.279824</t>
  </si>
  <si>
    <t>2026-09-03T13:47:35.268188</t>
  </si>
  <si>
    <t>2026-09-03T13:47:30.691213</t>
  </si>
  <si>
    <t>2026-09-03T13:47:30.659624</t>
  </si>
  <si>
    <t>2026-09-03T13:47:30.649992</t>
  </si>
  <si>
    <t>2026-09-03T13:47:14.973394</t>
  </si>
  <si>
    <t>2026-09-03T13:47:14.957721</t>
  </si>
  <si>
    <t>2026-09-03T13:47:14.943288</t>
  </si>
  <si>
    <t>2026-09-03T13:47:14.911670</t>
  </si>
  <si>
    <t>2026-09-03T13:47:14.895611</t>
  </si>
  <si>
    <t>2026-09-03T13:47:14.879802</t>
  </si>
  <si>
    <t>2026-09-03T13:47:14.871636</t>
  </si>
  <si>
    <t>2026-09-03T13:47:14.855726</t>
  </si>
  <si>
    <t>2026-09-03T13:47:14.846389</t>
  </si>
  <si>
    <t>2026-09-03T13:47:14.824194</t>
  </si>
  <si>
    <t>2026-09-03T13:47:14.796005</t>
  </si>
  <si>
    <t>2026-09-03T13:47:14.780234</t>
  </si>
  <si>
    <t>2026-09-03T13:47:14.764163</t>
  </si>
  <si>
    <t>2026-09-03T13:47:14.750625</t>
  </si>
  <si>
    <t>2026-09-03T13:47:14.743692</t>
  </si>
  <si>
    <t>2026-09-03T13:47:10.707460</t>
  </si>
  <si>
    <t>2026-09-03T13:47:10.699925</t>
  </si>
  <si>
    <t>2026-09-03T13:47:10.687591</t>
  </si>
  <si>
    <t>2026-09-03T13:47:10.668144</t>
  </si>
  <si>
    <t>2026-09-03T13:47:10.657722</t>
  </si>
  <si>
    <t>2026-09-03T13:47:03.430803</t>
  </si>
  <si>
    <t>2026-09-03T13:47:03.410968</t>
  </si>
  <si>
    <t>2026-09-03T13:46:56.530126</t>
  </si>
  <si>
    <t>2026-09-03T13:46:56.521435</t>
  </si>
  <si>
    <t>2026-09-03T13:46:56.496941</t>
  </si>
  <si>
    <t>2026-09-03T13:46:49.087942</t>
  </si>
  <si>
    <t>2026-09-03T13:46:49.056276</t>
  </si>
  <si>
    <t>2026-09-03T13:46:49.040371</t>
  </si>
  <si>
    <t>2026-09-03T13:46:39.881269</t>
  </si>
  <si>
    <t>2026-09-03T13:46:39.872034</t>
  </si>
  <si>
    <t>2026-09-03T13:46:39.865579</t>
  </si>
  <si>
    <t>2026-09-03T13:46:39.860966</t>
  </si>
  <si>
    <t>2026-09-03T13:46:39.849875</t>
  </si>
  <si>
    <t>2026-09-03T13:46:39.831007</t>
  </si>
  <si>
    <t>2026-09-03T13:46:39.817040</t>
  </si>
  <si>
    <t>2026-09-03T13:46:39.799344</t>
  </si>
  <si>
    <t>2026-09-03T13:46:34.864768</t>
  </si>
  <si>
    <t>2026-09-03T13:46:34.851532</t>
  </si>
  <si>
    <t>2026-09-03T13:46:28.958253</t>
  </si>
  <si>
    <t>2026-09-03T13:46:28.948847</t>
  </si>
  <si>
    <t>2026-09-03T13:46:28.932925</t>
  </si>
  <si>
    <t>2026-09-03T13:46:28.914770</t>
  </si>
  <si>
    <t>2026-09-03T13:46:28.898907</t>
  </si>
  <si>
    <t>2026-09-03T13:46:28.887473</t>
  </si>
  <si>
    <t>2026-09-03T13:46:28.868084</t>
  </si>
  <si>
    <t>2026-09-03T13:46:28.851400</t>
  </si>
  <si>
    <t>2026-09-03T13:46:28.844473</t>
  </si>
  <si>
    <t>2026-09-03T13:46:28.832584</t>
  </si>
  <si>
    <t>2026-09-03T13:46:28.828164</t>
  </si>
  <si>
    <t>2026-09-03T13:46:28.812514</t>
  </si>
  <si>
    <t>2026-09-03T13:46:28.796807</t>
  </si>
  <si>
    <t>2026-09-03T13:46:28.783754</t>
  </si>
  <si>
    <t>2026-09-03T13:46:28.765028</t>
  </si>
  <si>
    <t>2026-09-03T13:46:28.749267</t>
  </si>
  <si>
    <t>2026-09-03T13:46:28.741646</t>
  </si>
  <si>
    <t>2026-09-03T13:46:28.733251</t>
  </si>
  <si>
    <t>2026-09-03T13:46:28.717269</t>
  </si>
  <si>
    <t>2026-09-03T13:46:28.706909</t>
  </si>
  <si>
    <t>2026-09-03T13:46:28.685796</t>
  </si>
  <si>
    <t>2026-09-03T13:46:28.667055</t>
  </si>
  <si>
    <t>2026-09-03T13:46:28.638086</t>
  </si>
  <si>
    <t>2026-09-03T13:46:23.424405</t>
  </si>
  <si>
    <t>2026-09-03T13:46:17.971214</t>
  </si>
  <si>
    <t>2026-09-03T13:46:17.966030</t>
  </si>
  <si>
    <t>2026-09-03T13:46:17.957636</t>
  </si>
  <si>
    <t>2026-09-03T13:46:17.951930</t>
  </si>
  <si>
    <t>2026-09-03T13:46:17.944572</t>
  </si>
  <si>
    <t>2026-09-03T13:46:17.930846</t>
  </si>
  <si>
    <t>2026-09-03T13:46:17.917761</t>
  </si>
  <si>
    <t>2026-09-03T13:46:17.914004</t>
  </si>
  <si>
    <t>2026-09-03T13:46:17.904516</t>
  </si>
  <si>
    <t>2026-09-03T13:46:17.882319</t>
  </si>
  <si>
    <t>2026-09-03T13:46:17.861323</t>
  </si>
  <si>
    <t>2026-09-03T13:46:17.833853</t>
  </si>
  <si>
    <t>2026-09-03T13:46:12.405774</t>
  </si>
  <si>
    <t>2026-09-03T13:46:12.403126</t>
  </si>
  <si>
    <t>2026-09-03T13:46:12.392242</t>
  </si>
  <si>
    <t>2026-09-03T13:46:12.384834</t>
  </si>
  <si>
    <t>2026-09-03T13:46:12.368792</t>
  </si>
  <si>
    <t>2026-09-03T13:46:12.361923</t>
  </si>
  <si>
    <t>2026-09-03T13:46:12.352839</t>
  </si>
  <si>
    <t>2026-09-03T13:46:12.341429</t>
  </si>
  <si>
    <t>2026-09-03T13:46:12.337043</t>
  </si>
  <si>
    <t>2026-09-03T13:46:12.320895</t>
  </si>
  <si>
    <t>2026-09-03T13:46:12.305235</t>
  </si>
  <si>
    <t>2026-09-03T13:46:12.292109</t>
  </si>
  <si>
    <t>2026-09-03T13:46:12.289500</t>
  </si>
  <si>
    <t>2026-09-03T13:46:12.273861</t>
  </si>
  <si>
    <t>2026-09-03T13:46:12.258104</t>
  </si>
  <si>
    <t>2026-09-03T13:46:12.246446</t>
  </si>
  <si>
    <t>2026-09-03T13:46:12.226500</t>
  </si>
  <si>
    <t>2026-09-03T13:46:12.210826</t>
  </si>
  <si>
    <t>2026-09-03T13:46:12.209391</t>
  </si>
  <si>
    <t>2026-09-03T13:46:12.194331</t>
  </si>
  <si>
    <t>2026-09-03T13:46:12.152632</t>
  </si>
  <si>
    <t>2026-09-03T13:46:05.879974</t>
  </si>
  <si>
    <t>2026-09-03T13:46:05.874747</t>
  </si>
  <si>
    <t>2026-09-03T13:46:05.864020</t>
  </si>
  <si>
    <t>2026-09-03T13:46:05.848355</t>
  </si>
  <si>
    <t>2026-09-03T13:46:00.521013</t>
  </si>
  <si>
    <t>2026-09-03T13:46:00.505321</t>
  </si>
  <si>
    <t>2026-09-03T13:46:00.489558</t>
  </si>
  <si>
    <t>2026-09-03T13:46:00.473210</t>
  </si>
  <si>
    <t>2026-09-03T13:46:00.463141</t>
  </si>
  <si>
    <t>2026-09-03T13:46:00.449061</t>
  </si>
  <si>
    <t>2026-09-03T13:46:00.446864</t>
  </si>
  <si>
    <t>2026-09-03T13:46:00.426055</t>
  </si>
  <si>
    <t>2026-09-03T13:46:00.410080</t>
  </si>
  <si>
    <t>2026-09-03T13:46:00.403926</t>
  </si>
  <si>
    <t>2026-09-03T13:46:00.394440</t>
  </si>
  <si>
    <t>2026-09-03T13:46:00.378484</t>
  </si>
  <si>
    <t>2026-09-03T13:46:00.362899</t>
  </si>
  <si>
    <t>2026-09-03T13:46:00.359784</t>
  </si>
  <si>
    <t>2026-09-03T13:46:00.348165</t>
  </si>
  <si>
    <t>2026-09-03T13:46:00.332523</t>
  </si>
  <si>
    <t>2026-09-03T13:46:00.316481</t>
  </si>
  <si>
    <t>2026-09-03T13:45:55.551526</t>
  </si>
  <si>
    <t>2026-09-03T13:45:55.542137</t>
  </si>
  <si>
    <t>2026-09-03T13:45:55.525648</t>
  </si>
  <si>
    <t>2026-09-03T13:45:55.517908</t>
  </si>
  <si>
    <t>2026-09-03T13:45:55.509733</t>
  </si>
  <si>
    <t>2026-09-03T13:45:55.493923</t>
  </si>
  <si>
    <t>2026-09-03T13:45:55.489907</t>
  </si>
  <si>
    <t>2026-09-03T13:45:55.482893</t>
  </si>
  <si>
    <t>2026-09-03T13:45:55.468571</t>
  </si>
  <si>
    <t>2026-09-03T13:45:55.462101</t>
  </si>
  <si>
    <t>2026-09-03T13:45:55.451479</t>
  </si>
  <si>
    <t>2026-09-03T13:45:55.442104</t>
  </si>
  <si>
    <t>2026-09-03T13:45:55.433082</t>
  </si>
  <si>
    <t>2026-09-03T13:45:55.410737</t>
  </si>
  <si>
    <t>2026-09-03T13:45:55.399668</t>
  </si>
  <si>
    <t>2026-09-03T13:45:55.394968</t>
  </si>
  <si>
    <t>2026-09-03T13:45:55.386479</t>
  </si>
  <si>
    <t>2026-09-03T13:45:55.363365</t>
  </si>
  <si>
    <t>2026-09-03T13:45:55.351487</t>
  </si>
  <si>
    <t>2026-09-03T13:45:55.347448</t>
  </si>
  <si>
    <t>2026-09-03T13:45:55.342361</t>
  </si>
  <si>
    <t>2026-09-03T13:45:55.336752</t>
  </si>
  <si>
    <t>2026-09-03T13:45:55.315813</t>
  </si>
  <si>
    <t>2026-09-03T13:45:55.310710</t>
  </si>
  <si>
    <t>2026-09-03T13:45:55.301927</t>
  </si>
  <si>
    <t>2026-09-03T13:45:55.295005</t>
  </si>
  <si>
    <t>2026-09-03T13:45:55.286636</t>
  </si>
  <si>
    <t>2026-09-03T13:45:55.271049</t>
  </si>
  <si>
    <t>2026-09-03T13:45:55.255289</t>
  </si>
  <si>
    <t>2026-09-03T13:45:55.240242</t>
  </si>
  <si>
    <t>2026-09-03T13:45:55.232593</t>
  </si>
  <si>
    <t>2026-09-03T13:45:55.204850</t>
  </si>
  <si>
    <t>2026-09-03T13:45:55.185933</t>
  </si>
  <si>
    <t>2026-09-03T13:45:55.170125</t>
  </si>
  <si>
    <t>2026-09-03T13:45:55.151092</t>
  </si>
  <si>
    <t>2026-09-03T13:45:50.773720</t>
  </si>
  <si>
    <t>2026-09-03T13:45:50.766428</t>
  </si>
  <si>
    <t>2026-09-03T13:45:50.745944</t>
  </si>
  <si>
    <t>2026-09-03T13:45:50.741237</t>
  </si>
  <si>
    <t>2026-09-03T13:45:50.731643</t>
  </si>
  <si>
    <t>2026-09-03T13:45:50.718228</t>
  </si>
  <si>
    <t>2026-09-03T13:45:50.711236</t>
  </si>
  <si>
    <t>2026-09-03T13:45:45.847662</t>
  </si>
  <si>
    <t>2026-09-03T13:45:45.821077</t>
  </si>
  <si>
    <t>2026-09-03T13:45:45.808946</t>
  </si>
  <si>
    <t>2026-09-03T13:45:45.796515</t>
  </si>
  <si>
    <t>2026-09-03T13:45:45.788900</t>
  </si>
  <si>
    <t>2026-09-03T13:45:37.810725</t>
  </si>
  <si>
    <t>2026-09-03T13:45:37.796578</t>
  </si>
  <si>
    <t>2026-09-03T13:45:37.782837</t>
  </si>
  <si>
    <t>2026-09-03T13:45:37.775788</t>
  </si>
  <si>
    <t>2026-09-03T13:45:37.761799</t>
  </si>
  <si>
    <t>2026-09-03T13:45:30.285759</t>
  </si>
  <si>
    <t>2026-09-03T13:44:58.336893</t>
  </si>
  <si>
    <t>2026-09-03T13:44:58.322742</t>
  </si>
  <si>
    <t>2026-09-03T13:44:58.317836</t>
  </si>
  <si>
    <t>2026-09-03T13:44:58.308948</t>
  </si>
  <si>
    <t>2026-09-03T13:44:58.301622</t>
  </si>
  <si>
    <t>2026-09-03T13:44:58.295078</t>
  </si>
  <si>
    <t>2026-09-03T13:44:58.281113</t>
  </si>
  <si>
    <t>2026-09-03T13:44:58.275454</t>
  </si>
  <si>
    <t>2026-09-03T13:44:58.267162</t>
  </si>
  <si>
    <t>2026-09-03T13:44:58.260290</t>
  </si>
  <si>
    <t>2026-09-03T13:44:58.246385</t>
  </si>
  <si>
    <t>2026-09-03T13:44:58.239486</t>
  </si>
  <si>
    <t>2026-09-03T13:44:58.225671</t>
  </si>
  <si>
    <t>2026-09-03T13:44:58.220012</t>
  </si>
  <si>
    <t>2026-09-03T13:44:58.211163</t>
  </si>
  <si>
    <t>2026-09-03T13:44:58.198646</t>
  </si>
  <si>
    <t>2026-09-03T13:44:58.184254</t>
  </si>
  <si>
    <t>2026-09-03T13:44:58.163531</t>
  </si>
  <si>
    <t>2026-09-03T13:44:50.914944</t>
  </si>
  <si>
    <t>2026-09-03T13:44:35.355760</t>
  </si>
  <si>
    <t>2026-09-03T13:44:26.612062</t>
  </si>
  <si>
    <t>2026-09-03T13:44:26.605138</t>
  </si>
  <si>
    <t>2026-09-03T13:44:26.591276</t>
  </si>
  <si>
    <t>2026-09-03T13:44:26.583864</t>
  </si>
  <si>
    <t>2026-09-03T13:44:26.569986</t>
  </si>
  <si>
    <t>2026-09-03T13:44:26.549538</t>
  </si>
  <si>
    <t>2026-09-03T13:44:19.689249</t>
  </si>
  <si>
    <t>2026-09-03T13:44:19.681951</t>
  </si>
  <si>
    <t>2026-09-03T13:44:19.668095</t>
  </si>
  <si>
    <t>2026-09-03T13:44:19.654767</t>
  </si>
  <si>
    <t>2026-09-03T13:44:19.651442</t>
  </si>
  <si>
    <t>2026-09-03T13:44:19.640738</t>
  </si>
  <si>
    <t>2026-09-03T13:44:19.633847</t>
  </si>
  <si>
    <t>2026-09-03T13:44:19.619995</t>
  </si>
  <si>
    <t>2026-09-03T13:44:11.343224</t>
  </si>
  <si>
    <t>2026-09-03T13:44:11.336333</t>
  </si>
  <si>
    <t>2026-09-03T13:44:11.322094</t>
  </si>
  <si>
    <t>2026-09-03T13:44:11.308121</t>
  </si>
  <si>
    <t>2026-09-03T13:44:11.306612</t>
  </si>
  <si>
    <t>2026-09-03T13:44:11.294867</t>
  </si>
  <si>
    <t>2026-09-03T13:44:11.287801</t>
  </si>
  <si>
    <t>2026-09-03T13:44:11.274544</t>
  </si>
  <si>
    <t>2026-09-03T13:44:11.266999</t>
  </si>
  <si>
    <t>2026-09-03T13:44:11.259979</t>
  </si>
  <si>
    <t>2026-09-03T13:44:11.253046</t>
  </si>
  <si>
    <t>2026-09-03T13:44:11.245691</t>
  </si>
  <si>
    <t>2026-09-03T13:44:11.238737</t>
  </si>
  <si>
    <t>2026-09-03T13:44:11.225158</t>
  </si>
  <si>
    <t>2026-09-03T13:44:11.218629</t>
  </si>
  <si>
    <t>2026-09-03T13:44:11.211461</t>
  </si>
  <si>
    <t>2026-09-03T13:44:11.204328</t>
  </si>
  <si>
    <t>2026-09-03T13:44:11.196992</t>
  </si>
  <si>
    <t>2026-09-03T13:44:11.190257</t>
  </si>
  <si>
    <t>2026-09-03T13:44:11.183569</t>
  </si>
  <si>
    <t>2026-09-03T13:44:11.169843</t>
  </si>
  <si>
    <t>2026-09-03T13:44:11.162848</t>
  </si>
  <si>
    <t>2026-09-03T13:44:11.155794</t>
  </si>
  <si>
    <t>2026-09-03T13:44:11.148995</t>
  </si>
  <si>
    <t>2026-09-03T13:44:11.141823</t>
  </si>
  <si>
    <t>2026-09-03T13:44:11.134855</t>
  </si>
  <si>
    <t>2026-09-03T13:44:11.127974</t>
  </si>
  <si>
    <t>2026-09-03T13:44:11.121076</t>
  </si>
  <si>
    <t>2026-09-03T13:44:11.107277</t>
  </si>
  <si>
    <t>2026-09-03T13:44:11.100210</t>
  </si>
  <si>
    <t>2026-09-03T13:44:11.093382</t>
  </si>
  <si>
    <t>2026-09-03T13:44:11.086228</t>
  </si>
  <si>
    <t>2026-09-03T13:44:11.079421</t>
  </si>
  <si>
    <t>2026-09-03T13:44:11.072433</t>
  </si>
  <si>
    <t>2026-09-03T13:44:11.058808</t>
  </si>
  <si>
    <t>2026-09-03T13:44:11.051768</t>
  </si>
  <si>
    <t>2026-09-03T13:44:11.038691</t>
  </si>
  <si>
    <t>2026-09-03T13:44:11.031015</t>
  </si>
  <si>
    <t>2026-09-03T13:44:11.017458</t>
  </si>
  <si>
    <t>2026-09-03T13:44:10.998766</t>
  </si>
  <si>
    <t>2026-09-03T13:44:10.975381</t>
  </si>
  <si>
    <t>2026-09-03T13:44:03.385993</t>
  </si>
  <si>
    <t>2026-09-03T13:44:03.378736</t>
  </si>
  <si>
    <t>2026-09-03T13:44:03.371715</t>
  </si>
  <si>
    <t>2026-09-03T13:44:03.364784</t>
  </si>
  <si>
    <t>2026-09-03T13:44:03.357926</t>
  </si>
  <si>
    <t>2026-09-03T13:44:03.351420</t>
  </si>
  <si>
    <t>2026-09-03T13:44:03.337490</t>
  </si>
  <si>
    <t>2026-09-03T13:44:03.330155</t>
  </si>
  <si>
    <t>2026-09-03T13:44:03.323832</t>
  </si>
  <si>
    <t>2026-09-03T13:44:03.316316</t>
  </si>
  <si>
    <t>2026-09-03T13:44:03.302716</t>
  </si>
  <si>
    <t>2026-09-03T13:44:03.288881</t>
  </si>
  <si>
    <t>2026-09-03T13:44:03.275121</t>
  </si>
  <si>
    <t>2026-09-03T13:44:03.261278</t>
  </si>
  <si>
    <t>2026-09-03T13:44:03.240919</t>
  </si>
  <si>
    <t>2026-09-03T13:43:53.471195</t>
  </si>
  <si>
    <t>2026-09-03T13:43:53.463805</t>
  </si>
  <si>
    <t>2026-09-03T13:43:53.456477</t>
  </si>
  <si>
    <t>2026-09-03T13:43:53.450071</t>
  </si>
  <si>
    <t>2026-09-03T13:43:53.443117</t>
  </si>
  <si>
    <t>2026-09-03T13:43:53.429133</t>
  </si>
  <si>
    <t>2026-09-03T13:43:53.422686</t>
  </si>
  <si>
    <t>2026-09-03T13:43:53.409196</t>
  </si>
  <si>
    <t>2026-09-03T13:43:53.401948</t>
  </si>
  <si>
    <t>2026-09-03T13:43:53.394374</t>
  </si>
  <si>
    <t>2026-09-03T13:43:53.381080</t>
  </si>
  <si>
    <t>2026-09-03T13:43:53.373685</t>
  </si>
  <si>
    <t>2026-09-03T13:43:53.360374</t>
  </si>
  <si>
    <t>2026-09-03T13:43:53.352804</t>
  </si>
  <si>
    <t>2026-09-03T13:43:53.345899</t>
  </si>
  <si>
    <t>2026-09-03T13:43:53.331851</t>
  </si>
  <si>
    <t>2026-09-03T13:43:53.324992</t>
  </si>
  <si>
    <t>2026-09-03T13:43:53.317922</t>
  </si>
  <si>
    <t>2026-09-03T13:43:53.311166</t>
  </si>
  <si>
    <t>2026-09-03T13:43:53.304348</t>
  </si>
  <si>
    <t>2026-09-03T13:43:53.297094</t>
  </si>
  <si>
    <t>2026-09-03T13:43:53.289767</t>
  </si>
  <si>
    <t>2026-09-03T13:43:53.282916</t>
  </si>
  <si>
    <t>2026-09-03T13:43:53.276275</t>
  </si>
  <si>
    <t>2026-09-03T13:43:53.262949</t>
  </si>
  <si>
    <t>2026-09-03T13:43:53.258495</t>
  </si>
  <si>
    <t>2026-09-03T13:43:53.248174</t>
  </si>
  <si>
    <t>2026-09-03T13:43:53.241553</t>
  </si>
  <si>
    <t>2026-09-03T13:43:53.234317</t>
  </si>
  <si>
    <t>2026-09-03T13:43:53.227901</t>
  </si>
  <si>
    <t>2026-09-03T13:43:53.215009</t>
  </si>
  <si>
    <t>2026-09-03T13:43:53.213491</t>
  </si>
  <si>
    <t>2026-09-03T13:43:53.206542</t>
  </si>
  <si>
    <t>2026-09-03T13:43:53.193157</t>
  </si>
  <si>
    <t>2026-09-03T13:43:53.185996</t>
  </si>
  <si>
    <t>2026-09-03T13:43:53.171927</t>
  </si>
  <si>
    <t>2026-09-03T13:43:53.165436</t>
  </si>
  <si>
    <t>2026-09-03T13:43:53.158322</t>
  </si>
  <si>
    <t>2026-09-03T13:43:53.151095</t>
  </si>
  <si>
    <t>2026-09-03T13:43:53.144503</t>
  </si>
  <si>
    <t>2026-09-03T13:43:53.130516</t>
  </si>
  <si>
    <t>2026-09-03T13:43:53.123730</t>
  </si>
  <si>
    <t>2026-09-03T13:43:53.116563</t>
  </si>
  <si>
    <t>2026-09-03T13:43:53.109300</t>
  </si>
  <si>
    <t>2026-09-03T13:43:53.102722</t>
  </si>
  <si>
    <t>2026-09-03T13:43:53.095804</t>
  </si>
  <si>
    <t>2026-09-03T13:43:53.088452</t>
  </si>
  <si>
    <t>2026-09-03T13:43:53.081917</t>
  </si>
  <si>
    <t>2026-09-03T13:43:53.074629</t>
  </si>
  <si>
    <t>2026-09-03T13:43:53.068623</t>
  </si>
  <si>
    <t>2026-09-03T13:43:53.060663</t>
  </si>
  <si>
    <t>2026-09-03T13:43:53.053714</t>
  </si>
  <si>
    <t>2026-09-03T13:43:53.039895</t>
  </si>
  <si>
    <t>2026-09-03T13:43:53.038012</t>
  </si>
  <si>
    <t>2026-09-03T13:43:53.026627</t>
  </si>
  <si>
    <t>2026-09-03T13:43:53.019100</t>
  </si>
  <si>
    <t>2026-09-03T13:43:53.012095</t>
  </si>
  <si>
    <t>2026-09-03T13:43:53.006993</t>
  </si>
  <si>
    <t>2026-09-03T13:43:52.998596</t>
  </si>
  <si>
    <t>2026-09-03T13:43:52.991991</t>
  </si>
  <si>
    <t>2026-09-03T13:43:52.977750</t>
  </si>
  <si>
    <t>2026-09-03T13:43:52.970781</t>
  </si>
  <si>
    <t>2026-09-03T13:43:52.964544</t>
  </si>
  <si>
    <t>2026-09-03T13:43:52.958266</t>
  </si>
  <si>
    <t>2026-09-03T13:43:52.950533</t>
  </si>
  <si>
    <t>2026-09-03T13:43:52.942378</t>
  </si>
  <si>
    <t>2026-09-03T13:43:52.929543</t>
  </si>
  <si>
    <t>2026-09-03T13:43:52.921806</t>
  </si>
  <si>
    <t>2026-09-03T13:43:52.908866</t>
  </si>
  <si>
    <t>2026-09-03T13:43:52.901403</t>
  </si>
  <si>
    <t>2026-09-03T13:43:52.894481</t>
  </si>
  <si>
    <t>2026-09-03T13:43:52.887157</t>
  </si>
  <si>
    <t>2026-09-03T13:43:52.873790</t>
  </si>
  <si>
    <t>2026-09-03T13:43:52.867228</t>
  </si>
  <si>
    <t>2026-09-03T13:43:52.859716</t>
  </si>
  <si>
    <t>2026-09-03T13:43:52.852761</t>
  </si>
  <si>
    <t>2026-09-03T13:43:52.846094</t>
  </si>
  <si>
    <t>2026-09-03T13:43:52.831983</t>
  </si>
  <si>
    <t>2026-09-03T13:43:52.825157</t>
  </si>
  <si>
    <t>2026-09-03T13:43:52.818019</t>
  </si>
  <si>
    <t>2026-09-03T13:43:52.810829</t>
  </si>
  <si>
    <t>2026-09-03T13:43:52.804241</t>
  </si>
  <si>
    <t>2026-09-03T13:43:52.797239</t>
  </si>
  <si>
    <t>2026-09-03T13:43:52.790337</t>
  </si>
  <si>
    <t>2026-09-03T13:43:52.781716</t>
  </si>
  <si>
    <t>2026-09-03T13:43:52.769841</t>
  </si>
  <si>
    <t>2026-09-03T13:43:52.762593</t>
  </si>
  <si>
    <t>2026-09-03T13:43:52.748974</t>
  </si>
  <si>
    <t>2026-09-03T13:43:52.741754</t>
  </si>
  <si>
    <t>2026-09-03T13:43:52.734487</t>
  </si>
  <si>
    <t>2026-09-03T13:43:52.721953</t>
  </si>
  <si>
    <t>2026-09-03T13:43:52.706693</t>
  </si>
  <si>
    <t>2026-09-03T13:43:43.132499</t>
  </si>
  <si>
    <t>2026-09-03T13:43:43.120373</t>
  </si>
  <si>
    <t>2026-09-03T13:43:43.104505</t>
  </si>
  <si>
    <t>2026-09-03T13:43:43.088852</t>
  </si>
  <si>
    <t>2026-09-03T13:43:43.073206</t>
  </si>
  <si>
    <t>2026-09-03T13:43:43.057211</t>
  </si>
  <si>
    <t>2026-09-03T13:43:43.041491</t>
  </si>
  <si>
    <t>2026-09-03T13:43:43.032272</t>
  </si>
  <si>
    <t>2026-09-03T13:43:43.020697</t>
  </si>
  <si>
    <t>2026-09-03T13:43:43.015882</t>
  </si>
  <si>
    <t>2026-09-03T13:43:43.000317</t>
  </si>
  <si>
    <t>2026-09-03T13:43:42.992701</t>
  </si>
  <si>
    <t>2026-09-03T13:43:42.976697</t>
  </si>
  <si>
    <t>2026-09-03T13:43:42.966427</t>
  </si>
  <si>
    <t>2026-09-03T13:43:42.961109</t>
  </si>
  <si>
    <t>2026-09-03T13:43:42.948964</t>
  </si>
  <si>
    <t>2026-09-03T13:43:42.942515</t>
  </si>
  <si>
    <t>2026-09-03T13:43:42.929463</t>
  </si>
  <si>
    <t>2026-09-03T13:43:42.920904</t>
  </si>
  <si>
    <t>2026-09-03T13:43:42.910901</t>
  </si>
  <si>
    <t>2026-09-03T13:43:42.900201</t>
  </si>
  <si>
    <t>2026-09-03T13:43:42.881788</t>
  </si>
  <si>
    <t>2026-09-03T13:43:42.869577</t>
  </si>
  <si>
    <t>2026-09-03T13:43:42.853889</t>
  </si>
  <si>
    <t>2026-09-03T13:43:42.848394</t>
  </si>
  <si>
    <t>2026-09-03T13:43:42.838179</t>
  </si>
  <si>
    <t>2026-09-03T13:43:42.831751</t>
  </si>
  <si>
    <t>2026-09-03T13:43:42.822532</t>
  </si>
  <si>
    <t>2026-09-03T13:43:42.806733</t>
  </si>
  <si>
    <t>2026-09-03T13:43:42.791099</t>
  </si>
  <si>
    <t>2026-09-03T13:43:42.788113</t>
  </si>
  <si>
    <t>2026-09-03T13:43:42.779752</t>
  </si>
  <si>
    <t>2026-09-03T13:43:42.770085</t>
  </si>
  <si>
    <t>2026-09-03T13:43:42.754324</t>
  </si>
  <si>
    <t>2026-09-03T13:43:42.738653</t>
  </si>
  <si>
    <t>2026-09-03T13:43:42.731564</t>
  </si>
  <si>
    <t>2026-09-03T13:43:42.723562</t>
  </si>
  <si>
    <t>2026-09-03T13:43:42.719179</t>
  </si>
  <si>
    <t>2026-09-03T13:43:42.707163</t>
  </si>
  <si>
    <t>2026-09-03T13:43:42.691477</t>
  </si>
  <si>
    <t>2026-09-03T13:43:42.675318</t>
  </si>
  <si>
    <t>2026-09-03T13:43:42.659682</t>
  </si>
  <si>
    <t>2026-09-03T13:43:42.652621</t>
  </si>
  <si>
    <t>2026-09-03T13:43:42.633938</t>
  </si>
  <si>
    <t>2026-09-03T13:43:42.630802</t>
  </si>
  <si>
    <t>2026-09-03T13:43:42.613680</t>
  </si>
  <si>
    <t>2026-09-03T13:43:42.591970</t>
  </si>
  <si>
    <t>2026-09-03T13:43:34.786512</t>
  </si>
  <si>
    <t>2026-09-03T13:43:34.771120</t>
  </si>
  <si>
    <t>2026-09-03T13:43:34.738790</t>
  </si>
  <si>
    <t>2026-09-03T13:43:34.693901</t>
  </si>
  <si>
    <t>2026-09-03T13:43:34.677789</t>
  </si>
  <si>
    <t>2026-09-03T13:43:34.662074</t>
  </si>
  <si>
    <t>2026-09-03T13:43:34.630504</t>
  </si>
  <si>
    <t>2026-09-03T13:43:34.615406</t>
  </si>
  <si>
    <t>2026-09-03T13:43:23.757270</t>
  </si>
  <si>
    <t>2026-09-03T13:43:23.740557</t>
  </si>
  <si>
    <t>2026-09-03T13:43:23.724887</t>
  </si>
  <si>
    <t>2026-09-03T13:43:23.712186</t>
  </si>
  <si>
    <t>2026-09-03T13:43:15.416750</t>
  </si>
  <si>
    <t>2026-09-03T13:43:15.401817</t>
  </si>
  <si>
    <t>2026-09-03T13:43:15.385112</t>
  </si>
  <si>
    <t>2026-09-03T13:43:15.369299</t>
  </si>
  <si>
    <t>2026-09-03T13:43:15.359309</t>
  </si>
  <si>
    <t>2026-09-03T13:43:15.345551</t>
  </si>
  <si>
    <t>2026-09-03T13:43:15.330164</t>
  </si>
  <si>
    <t>2026-09-03T13:43:15.310251</t>
  </si>
  <si>
    <t>2026-09-03T13:43:04.839470</t>
  </si>
  <si>
    <t>2026-09-03T13:43:04.832781</t>
  </si>
  <si>
    <t>2026-09-03T13:43:04.808239</t>
  </si>
  <si>
    <t>2026-09-03T13:43:04.792303</t>
  </si>
  <si>
    <t>2026-09-03T13:43:04.779977</t>
  </si>
  <si>
    <t>2026-09-03T13:43:04.775980</t>
  </si>
  <si>
    <t>2026-09-03T13:43:04.763475</t>
  </si>
  <si>
    <t>2026-09-03T13:43:04.755101</t>
  </si>
  <si>
    <t>2026-09-03T13:43:04.739359</t>
  </si>
  <si>
    <t>2026-09-03T13:43:04.723680</t>
  </si>
  <si>
    <t>2026-09-03T13:43:04.707973</t>
  </si>
  <si>
    <t>2026-09-03T13:43:04.691887</t>
  </si>
  <si>
    <t>2026-09-03T13:43:04.681688</t>
  </si>
  <si>
    <t>2026-09-03T13:43:04.676084</t>
  </si>
  <si>
    <t>2026-09-03T13:43:04.660070</t>
  </si>
  <si>
    <t>2026-09-03T13:43:04.652640</t>
  </si>
  <si>
    <t>2026-09-03T13:43:04.643898</t>
  </si>
  <si>
    <t>2026-09-03T13:43:04.631686</t>
  </si>
  <si>
    <t>2026-09-03T13:43:04.620828</t>
  </si>
  <si>
    <t>2026-09-03T13:43:04.611861</t>
  </si>
  <si>
    <t>2026-09-03T13:43:04.598685</t>
  </si>
  <si>
    <t>2026-09-03T13:43:04.580430</t>
  </si>
  <si>
    <t>2026-09-03T13:43:04.564623</t>
  </si>
  <si>
    <t>2026-09-03T13:42:56.686517</t>
  </si>
  <si>
    <t>2026-09-03T13:42:56.665409</t>
  </si>
  <si>
    <t>2026-09-03T13:42:56.649958</t>
  </si>
  <si>
    <t>2026-09-03T13:42:56.639863</t>
  </si>
  <si>
    <t>2026-09-03T13:42:56.632704</t>
  </si>
  <si>
    <t>2026-09-03T13:42:56.613031</t>
  </si>
  <si>
    <t>2026-09-03T13:42:56.596709</t>
  </si>
  <si>
    <t>2026-09-03T13:42:56.577608</t>
  </si>
  <si>
    <t>2026-09-03T13:42:56.570186</t>
  </si>
  <si>
    <t>2026-09-03T13:42:56.561894</t>
  </si>
  <si>
    <t>2026-09-03T13:42:56.551886</t>
  </si>
  <si>
    <t>2026-09-03T13:42:56.542411</t>
  </si>
  <si>
    <t>2026-09-03T13:42:56.537038</t>
  </si>
  <si>
    <t>2026-09-03T13:42:56.528549</t>
  </si>
  <si>
    <t>2026-09-03T13:42:56.513149</t>
  </si>
  <si>
    <t>2026-09-03T13:42:56.505323</t>
  </si>
  <si>
    <t>2026-09-03T13:42:56.489675</t>
  </si>
  <si>
    <t>2026-09-03T13:42:56.479923</t>
  </si>
  <si>
    <t>2026-09-03T13:42:56.474038</t>
  </si>
  <si>
    <t>2026-09-03T13:42:56.458240</t>
  </si>
  <si>
    <t>2026-09-03T13:42:56.449491</t>
  </si>
  <si>
    <t>2026-09-03T13:42:56.442131</t>
  </si>
  <si>
    <t>2026-09-03T13:42:56.432445</t>
  </si>
  <si>
    <t>2026-09-03T13:42:56.412999</t>
  </si>
  <si>
    <t>2026-09-03T13:42:56.396827</t>
  </si>
  <si>
    <t>2026-09-03T13:42:56.378684</t>
  </si>
  <si>
    <t>2026-09-03T13:42:56.362950</t>
  </si>
  <si>
    <t>2026-09-03T13:42:56.354961</t>
  </si>
  <si>
    <t>2026-09-03T13:42:56.346981</t>
  </si>
  <si>
    <t>2026-09-03T13:42:56.330895</t>
  </si>
  <si>
    <t>2026-09-03T13:42:56.327187</t>
  </si>
  <si>
    <t>2026-09-03T13:42:56.315148</t>
  </si>
  <si>
    <t>2026-09-03T13:42:56.299372</t>
  </si>
  <si>
    <t>2026-09-03T13:42:56.283679</t>
  </si>
  <si>
    <t>2026-09-03T13:42:56.271648</t>
  </si>
  <si>
    <t>2026-09-03T13:42:56.267579</t>
  </si>
  <si>
    <t>2026-09-03T13:42:56.251731</t>
  </si>
  <si>
    <t>2026-09-03T13:42:56.235921</t>
  </si>
  <si>
    <t>2026-09-03T13:42:56.223855</t>
  </si>
  <si>
    <t>2026-09-03T13:42:56.219829</t>
  </si>
  <si>
    <t>2026-09-03T13:42:56.209129</t>
  </si>
  <si>
    <t>2026-09-03T13:42:56.195240</t>
  </si>
  <si>
    <t>2026-09-03T13:42:56.188299</t>
  </si>
  <si>
    <t>2026-09-03T13:42:56.173093</t>
  </si>
  <si>
    <t>2026-09-03T13:42:56.167484</t>
  </si>
  <si>
    <t>2026-09-03T13:42:56.150682</t>
  </si>
  <si>
    <t>2026-09-03T13:42:56.125414</t>
  </si>
  <si>
    <t>2026-09-03T13:42:56.112458</t>
  </si>
  <si>
    <t>2026-09-03T13:42:41.089441</t>
  </si>
  <si>
    <t>2026-09-03T13:42:41.072929</t>
  </si>
  <si>
    <t>2026-09-03T13:42:41.068250</t>
  </si>
  <si>
    <t>2026-09-03T13:42:41.052543</t>
  </si>
  <si>
    <t>2026-09-03T13:42:41.044611</t>
  </si>
  <si>
    <t>2026-09-03T13:42:41.036649</t>
  </si>
  <si>
    <t>2026-09-03T13:42:41.016015</t>
  </si>
  <si>
    <t>2026-09-03T13:42:41.003678</t>
  </si>
  <si>
    <t>2026-09-03T13:42:41.000272</t>
  </si>
  <si>
    <t>2026-09-03T13:42:40.987895</t>
  </si>
  <si>
    <t>2026-09-03T13:42:40.972931</t>
  </si>
  <si>
    <t>2026-09-03T13:42:40.968793</t>
  </si>
  <si>
    <t>2026-09-03T13:42:40.953662</t>
  </si>
  <si>
    <t>2026-09-03T13:42:40.953003</t>
  </si>
  <si>
    <t>2026-09-03T13:42:40.944517</t>
  </si>
  <si>
    <t>2026-09-03T13:42:40.926032</t>
  </si>
  <si>
    <t>2026-09-03T13:42:40.909979</t>
  </si>
  <si>
    <t>2026-09-03T13:42:40.904894</t>
  </si>
  <si>
    <t>2026-09-03T13:42:40.893972</t>
  </si>
  <si>
    <t>2026-09-03T13:42:40.878136</t>
  </si>
  <si>
    <t>2026-09-03T13:42:40.872727</t>
  </si>
  <si>
    <t>2026-09-03T13:42:40.862171</t>
  </si>
  <si>
    <t>2026-09-03T13:42:40.846513</t>
  </si>
  <si>
    <t>2026-09-03T13:42:40.830798</t>
  </si>
  <si>
    <t>2026-09-03T13:42:40.814978</t>
  </si>
  <si>
    <t>2026-09-03T13:42:40.799318</t>
  </si>
  <si>
    <t>2026-09-03T13:42:40.790571</t>
  </si>
  <si>
    <t>2026-09-03T13:42:40.772449</t>
  </si>
  <si>
    <t>2026-09-03T13:42:40.754439</t>
  </si>
  <si>
    <t>2026-09-03T13:42:40.752401</t>
  </si>
  <si>
    <t>2026-09-03T13:42:40.736693</t>
  </si>
  <si>
    <t>2026-09-03T13:42:40.725216</t>
  </si>
  <si>
    <t>2026-09-03T13:42:40.716305</t>
  </si>
  <si>
    <t>2026-09-03T13:42:40.698571</t>
  </si>
  <si>
    <t>2026-09-03T13:42:40.688489</t>
  </si>
  <si>
    <t>2026-09-03T13:42:40.676389</t>
  </si>
  <si>
    <t>2026-09-03T13:42:40.669590</t>
  </si>
  <si>
    <t>2026-09-03T13:42:40.655765</t>
  </si>
  <si>
    <t>2026-09-03T13:42:40.641187</t>
  </si>
  <si>
    <t>2026-09-03T13:42:40.627332</t>
  </si>
  <si>
    <t>2026-09-03T13:42:40.612729</t>
  </si>
  <si>
    <t>2026-09-03T13:42:40.601565</t>
  </si>
  <si>
    <t>2026-09-03T13:42:40.586950</t>
  </si>
  <si>
    <t>2026-09-03T13:42:40.580997</t>
  </si>
  <si>
    <t>2026-09-03T13:42:40.571789</t>
  </si>
  <si>
    <t>2026-09-03T13:42:40.549227</t>
  </si>
  <si>
    <t>2026-09-03T13:42:40.533347</t>
  </si>
  <si>
    <t>2026-09-03T13:42:40.517311</t>
  </si>
  <si>
    <t>2026-09-03T13:42:40.505607</t>
  </si>
  <si>
    <t>2026-09-03T13:42:40.489840</t>
  </si>
  <si>
    <t>2026-09-03T13:42:40.474127</t>
  </si>
  <si>
    <t>2026-09-03T13:42:40.461366</t>
  </si>
  <si>
    <t>2026-09-03T13:42:32.426288</t>
  </si>
  <si>
    <t>2026-09-03T13:42:32.410644</t>
  </si>
  <si>
    <t>2026-09-03T13:42:32.399978</t>
  </si>
  <si>
    <t>2026-09-03T13:42:32.379151</t>
  </si>
  <si>
    <t>2026-09-03T13:42:32.375205</t>
  </si>
  <si>
    <t>2026-09-03T13:42:32.353984</t>
  </si>
  <si>
    <t>2026-09-03T13:42:32.352978</t>
  </si>
  <si>
    <t>2026-09-03T13:42:32.336833</t>
  </si>
  <si>
    <t>2026-09-03T13:42:32.323644</t>
  </si>
  <si>
    <t>2026-09-03T13:42:32.305321</t>
  </si>
  <si>
    <t>2026-09-03T13:42:32.289667</t>
  </si>
  <si>
    <t>2026-09-03T13:42:32.273887</t>
  </si>
  <si>
    <t>2026-09-03T13:42:32.268079</t>
  </si>
  <si>
    <t>2026-09-03T13:42:32.252961</t>
  </si>
  <si>
    <t>2026-09-03T13:42:32.240995</t>
  </si>
  <si>
    <t>2026-09-03T13:42:32.225321</t>
  </si>
  <si>
    <t>2026-09-03T13:42:32.212083</t>
  </si>
  <si>
    <t>2026-09-03T13:42:32.198710</t>
  </si>
  <si>
    <t>2026-09-03T13:42:32.180633</t>
  </si>
  <si>
    <t>2026-09-03T13:42:32.164522</t>
  </si>
  <si>
    <t>2026-09-03T13:42:21.487989</t>
  </si>
  <si>
    <t>2026-09-03T13:42:21.477873</t>
  </si>
  <si>
    <t>2026-09-03T13:42:21.472302</t>
  </si>
  <si>
    <t>2026-09-03T13:42:21.456515</t>
  </si>
  <si>
    <t>2026-09-03T13:42:21.443061</t>
  </si>
  <si>
    <t>2026-09-03T13:42:21.424891</t>
  </si>
  <si>
    <t>2026-09-03T13:42:21.416601</t>
  </si>
  <si>
    <t>2026-09-03T13:42:21.393259</t>
  </si>
  <si>
    <t>2026-09-03T13:42:21.368798</t>
  </si>
  <si>
    <t>2026-09-03T13:42:21.353134</t>
  </si>
  <si>
    <t>2026-09-03T13:42:21.337309</t>
  </si>
  <si>
    <t>2026-09-03T13:42:21.322618</t>
  </si>
  <si>
    <t>2026-09-03T13:42:21.314891</t>
  </si>
  <si>
    <t>2026-09-03T13:42:21.305685</t>
  </si>
  <si>
    <t>2026-09-03T13:42:21.289921</t>
  </si>
  <si>
    <t>2026-09-03T13:42:21.274259</t>
  </si>
  <si>
    <t>2026-09-03T13:42:21.258233</t>
  </si>
  <si>
    <t>2026-09-03T13:42:21.242589</t>
  </si>
  <si>
    <t>2026-09-03T13:42:21.226792</t>
  </si>
  <si>
    <t>2026-09-03T13:42:21.215941</t>
  </si>
  <si>
    <t>2026-09-03T13:42:21.202331</t>
  </si>
  <si>
    <t>2026-09-03T13:42:21.179465</t>
  </si>
  <si>
    <t>2026-09-03T13:42:21.163579</t>
  </si>
  <si>
    <t>2026-09-03T13:42:21.147474</t>
  </si>
  <si>
    <t>2026-09-03T13:42:21.131706</t>
  </si>
  <si>
    <t>2026-09-03T13:42:21.122333</t>
  </si>
  <si>
    <t>2026-09-03T13:42:21.115794</t>
  </si>
  <si>
    <t>2026-09-03T13:42:21.099703</t>
  </si>
  <si>
    <t>2026-09-03T13:42:21.083939</t>
  </si>
  <si>
    <t>2026-09-03T13:42:21.068248</t>
  </si>
  <si>
    <t>2026-09-03T13:42:21.061331</t>
  </si>
  <si>
    <t>2026-09-03T13:42:21.053081</t>
  </si>
  <si>
    <t>2026-09-03T13:42:21.032910</t>
  </si>
  <si>
    <t>2026-09-03T13:42:21.032415</t>
  </si>
  <si>
    <t>2026-09-03T13:42:21.022228</t>
  </si>
  <si>
    <t>2026-09-03T13:42:21.015196</t>
  </si>
  <si>
    <t>2026-09-03T13:42:20.997503</t>
  </si>
  <si>
    <t>2026-09-03T13:42:20.986612</t>
  </si>
  <si>
    <t>2026-09-03T13:42:20.970866</t>
  </si>
  <si>
    <t>2026-09-03T13:42:20.955513</t>
  </si>
  <si>
    <t>2026-09-03T13:42:20.948809</t>
  </si>
  <si>
    <t>2026-09-03T13:42:20.942357</t>
  </si>
  <si>
    <t>2026-09-03T13:42:20.929344</t>
  </si>
  <si>
    <t>2026-09-03T13:42:20.923112</t>
  </si>
  <si>
    <t>2026-09-03T13:42:20.913527</t>
  </si>
  <si>
    <t>2026-09-03T13:42:20.907291</t>
  </si>
  <si>
    <t>2026-09-03T13:42:20.894718</t>
  </si>
  <si>
    <t>2026-09-03T13:42:20.878965</t>
  </si>
  <si>
    <t>2026-09-03T13:42:20.862978</t>
  </si>
  <si>
    <t>2026-09-03T13:42:11.419385</t>
  </si>
  <si>
    <t>2026-09-03T13:41:54.815124</t>
  </si>
  <si>
    <t>2026-09-03T13:41:54.793062</t>
  </si>
  <si>
    <t>2026-09-03T13:41:40.803178</t>
  </si>
  <si>
    <t>2026-09-03T13:41:35.168716</t>
  </si>
  <si>
    <t>2026-09-03T13:41:35.165265</t>
  </si>
  <si>
    <t>2026-09-03T13:41:35.152690</t>
  </si>
  <si>
    <t>2026-09-03T13:41:35.140149</t>
  </si>
  <si>
    <t>2026-09-03T13:41:35.122256</t>
  </si>
  <si>
    <t>2026-09-03T13:41:35.108849</t>
  </si>
  <si>
    <t>2026-09-03T13:41:35.096110</t>
  </si>
  <si>
    <t>2026-09-03T13:41:35.082230</t>
  </si>
  <si>
    <t>2026-09-03T13:41:12.695748</t>
  </si>
  <si>
    <t>2026-09-03T13:41:12.679848</t>
  </si>
  <si>
    <t>2026-09-03T13:41:03.926458</t>
  </si>
  <si>
    <t>2026-09-03T13:40:57.186136</t>
  </si>
  <si>
    <t>2026-09-03T13:40:43.422403</t>
  </si>
  <si>
    <t>2026-09-03T13:40:43.417657</t>
  </si>
  <si>
    <t>2026-09-03T13:40:43.408460</t>
  </si>
  <si>
    <t>2026-09-03T13:40:43.395084</t>
  </si>
  <si>
    <t>2026-09-03T13:40:38.820275</t>
  </si>
  <si>
    <t>2026-09-03T13:40:38.804235</t>
  </si>
  <si>
    <t>2026-09-03T13:40:38.795566</t>
  </si>
  <si>
    <t>2026-09-03T13:40:38.784176</t>
  </si>
  <si>
    <t>2026-09-03T13:40:34.350306</t>
  </si>
  <si>
    <t>2026-09-03T13:40:34.347077</t>
  </si>
  <si>
    <t>2026-09-03T13:40:34.334467</t>
  </si>
  <si>
    <t>2026-09-03T13:40:34.318489</t>
  </si>
  <si>
    <t>2026-09-03T13:40:34.304786</t>
  </si>
  <si>
    <t>2026-09-03T13:40:34.298597</t>
  </si>
  <si>
    <t>2026-09-03T13:40:34.287084</t>
  </si>
  <si>
    <t>2026-09-03T13:40:34.271195</t>
  </si>
  <si>
    <t>2026-09-03T13:40:34.259330</t>
  </si>
  <si>
    <t>2026-09-03T13:40:34.250060</t>
  </si>
  <si>
    <t>2026-09-03T13:40:28.279198</t>
  </si>
  <si>
    <t>2026-09-03T13:40:28.269836</t>
  </si>
  <si>
    <t>2026-09-03T13:40:28.258976</t>
  </si>
  <si>
    <t>2026-09-03T13:40:17.238740</t>
  </si>
  <si>
    <t>2026-09-03T13:40:17.236041</t>
  </si>
  <si>
    <t>2026-09-03T13:40:17.220327</t>
  </si>
  <si>
    <t>2026-09-03T13:40:17.215726</t>
  </si>
  <si>
    <t>2026-09-03T13:40:17.204630</t>
  </si>
  <si>
    <t>2026-09-03T13:40:17.188900</t>
  </si>
  <si>
    <t>2026-09-03T13:40:17.173117</t>
  </si>
  <si>
    <t>2026-09-03T13:40:17.157873</t>
  </si>
  <si>
    <t>2026-09-03T13:40:17.154983</t>
  </si>
  <si>
    <t>2026-09-03T13:40:17.144448</t>
  </si>
  <si>
    <t>2026-09-03T13:40:17.128773</t>
  </si>
  <si>
    <t>2026-09-03T13:40:17.115696</t>
  </si>
  <si>
    <t>2026-09-03T13:40:17.113063</t>
  </si>
  <si>
    <t>2026-09-03T13:40:17.097277</t>
  </si>
  <si>
    <t>2026-09-03T13:40:17.081518</t>
  </si>
  <si>
    <t>2026-09-03T13:40:17.066960</t>
  </si>
  <si>
    <t>2026-09-03T13:40:17.066404</t>
  </si>
  <si>
    <t>2026-09-03T13:40:17.050092</t>
  </si>
  <si>
    <t>2026-09-03T13:40:17.038034</t>
  </si>
  <si>
    <t>2026-09-03T13:40:17.018622</t>
  </si>
  <si>
    <t>2026-09-03T13:40:17.002983</t>
  </si>
  <si>
    <t>2026-09-03T13:40:16.987217</t>
  </si>
  <si>
    <t>2026-09-03T13:40:16.971482</t>
  </si>
  <si>
    <t>2026-09-03T13:40:16.955775</t>
  </si>
  <si>
    <t>2026-09-03T13:40:16.952441</t>
  </si>
  <si>
    <t>2026-09-03T13:40:16.943342</t>
  </si>
  <si>
    <t>2026-09-03T13:40:16.927493</t>
  </si>
  <si>
    <t>2026-09-03T13:40:16.915403</t>
  </si>
  <si>
    <t>2026-09-03T13:40:16.895940</t>
  </si>
  <si>
    <t>2026-09-03T13:40:16.880174</t>
  </si>
  <si>
    <t>2026-09-03T13:40:16.868485</t>
  </si>
  <si>
    <t>2026-09-03T13:40:16.848371</t>
  </si>
  <si>
    <t>2026-09-03T13:40:16.837503</t>
  </si>
  <si>
    <t>2026-09-03T13:40:16.821792</t>
  </si>
  <si>
    <t>2026-09-03T13:40:16.815252</t>
  </si>
  <si>
    <t>2026-09-03T13:40:16.806059</t>
  </si>
  <si>
    <t>2026-09-03T13:40:16.791517</t>
  </si>
  <si>
    <t>2026-09-03T13:40:16.774278</t>
  </si>
  <si>
    <t>2026-09-03T13:40:16.758172</t>
  </si>
  <si>
    <t>2026-09-03T13:40:16.750906</t>
  </si>
  <si>
    <t>2026-09-03T13:40:16.740351</t>
  </si>
  <si>
    <t>2026-09-03T13:40:16.732246</t>
  </si>
  <si>
    <t>2026-09-03T13:40:13.085220</t>
  </si>
  <si>
    <t>2026-09-03T13:40:13.069356</t>
  </si>
  <si>
    <t>2026-09-03T13:40:13.053588</t>
  </si>
  <si>
    <t>2026-09-03T13:40:13.037802</t>
  </si>
  <si>
    <t>2026-09-03T13:40:01.842038</t>
  </si>
  <si>
    <t>2026-09-03T13:40:01.831979</t>
  </si>
  <si>
    <t>2026-09-03T13:40:01.810542</t>
  </si>
  <si>
    <t>2026-09-03T13:40:01.794749</t>
  </si>
  <si>
    <t>2026-09-03T13:40:01.779011</t>
  </si>
  <si>
    <t>2026-09-03T13:40:01.763614</t>
  </si>
  <si>
    <t>2026-09-03T13:40:01.749619</t>
  </si>
  <si>
    <t>2026-09-03T13:40:01.731786</t>
  </si>
  <si>
    <t>2026-09-03T13:40:01.715557</t>
  </si>
  <si>
    <t>2026-09-03T13:40:01.699826</t>
  </si>
  <si>
    <t>2026-09-03T13:40:01.684140</t>
  </si>
  <si>
    <t>2026-09-03T13:40:01.669402</t>
  </si>
  <si>
    <t>2026-09-03T13:40:01.652960</t>
  </si>
  <si>
    <t>2026-09-03T13:40:01.651281</t>
  </si>
  <si>
    <t>2026-09-03T13:40:01.630784</t>
  </si>
  <si>
    <t>2026-09-03T13:40:01.615000</t>
  </si>
  <si>
    <t>2026-09-03T13:40:01.599254</t>
  </si>
  <si>
    <t>2026-09-03T13:40:01.583436</t>
  </si>
  <si>
    <t>2026-09-03T13:40:01.578391</t>
  </si>
  <si>
    <t>2026-09-03T13:40:01.567707</t>
  </si>
  <si>
    <t>2026-09-03T13:40:01.551923</t>
  </si>
  <si>
    <t>2026-09-03T13:40:01.536089</t>
  </si>
  <si>
    <t>2026-09-03T13:40:01.520374</t>
  </si>
  <si>
    <t>2026-09-03T13:40:01.504606</t>
  </si>
  <si>
    <t>2026-09-03T13:40:01.488775</t>
  </si>
  <si>
    <t>2026-09-03T13:39:50.778370</t>
  </si>
  <si>
    <t>2026-09-03T13:39:50.757078</t>
  </si>
  <si>
    <t>2026-09-03T13:39:50.749242</t>
  </si>
  <si>
    <t>2026-09-03T13:39:50.728456</t>
  </si>
  <si>
    <t>2026-09-03T13:39:41.954725</t>
  </si>
  <si>
    <t>2026-09-03T13:39:41.942655</t>
  </si>
  <si>
    <t>2026-09-03T13:39:41.935735</t>
  </si>
  <si>
    <t>2026-09-03T13:39:41.922482</t>
  </si>
  <si>
    <t>2026-09-03T13:39:41.917086</t>
  </si>
  <si>
    <t>2026-09-03T13:39:41.906420</t>
  </si>
  <si>
    <t>2026-09-03T13:39:41.896251</t>
  </si>
  <si>
    <t>2026-09-03T13:39:41.874231</t>
  </si>
  <si>
    <t>2026-09-03T13:39:41.858109</t>
  </si>
  <si>
    <t>2026-09-03T13:39:41.847642</t>
  </si>
  <si>
    <t>2026-09-03T13:39:41.842332</t>
  </si>
  <si>
    <t>2026-09-03T13:39:41.826531</t>
  </si>
  <si>
    <t>2026-09-03T13:39:41.820014</t>
  </si>
  <si>
    <t>2026-09-03T13:39:41.794618</t>
  </si>
  <si>
    <t>2026-09-03T13:39:41.778804</t>
  </si>
  <si>
    <t>2026-09-03T13:39:41.763029</t>
  </si>
  <si>
    <t>2026-09-03T13:39:41.757438</t>
  </si>
  <si>
    <t>2026-09-03T13:39:37.148881</t>
  </si>
  <si>
    <t>2026-09-03T13:39:37.132956</t>
  </si>
  <si>
    <t>2026-09-03T13:39:31.425503</t>
  </si>
  <si>
    <t>2026-09-03T13:39:31.409698</t>
  </si>
  <si>
    <t>2026-09-03T13:39:31.402967</t>
  </si>
  <si>
    <t>2026-09-03T13:39:31.387931</t>
  </si>
  <si>
    <t>2026-09-03T13:39:31.372723</t>
  </si>
  <si>
    <t>2026-09-03T13:39:31.369597</t>
  </si>
  <si>
    <t>2026-09-03T13:39:31.353776</t>
  </si>
  <si>
    <t>2026-09-03T13:39:31.338108</t>
  </si>
  <si>
    <t>2026-09-03T13:39:31.322438</t>
  </si>
  <si>
    <t>2026-09-03T13:39:31.314406</t>
  </si>
  <si>
    <t>2026-09-03T13:39:31.306714</t>
  </si>
  <si>
    <t>2026-09-03T13:39:31.290620</t>
  </si>
  <si>
    <t>2026-09-03T13:39:31.276907</t>
  </si>
  <si>
    <t>2026-09-03T13:39:31.265813</t>
  </si>
  <si>
    <t>2026-09-03T13:39:31.258842</t>
  </si>
  <si>
    <t>2026-09-03T13:39:31.252324</t>
  </si>
  <si>
    <t>2026-09-03T13:39:31.245632</t>
  </si>
  <si>
    <t>2026-09-03T13:39:31.227743</t>
  </si>
  <si>
    <t>2026-09-03T13:39:31.227219</t>
  </si>
  <si>
    <t>2026-09-03T13:39:31.215827</t>
  </si>
  <si>
    <t>2026-09-03T13:39:31.209591</t>
  </si>
  <si>
    <t>2026-09-03T13:39:31.189660</t>
  </si>
  <si>
    <t>2026-09-03T13:39:31.175467</t>
  </si>
  <si>
    <t>2026-09-03T13:39:26.692445</t>
  </si>
  <si>
    <t>2026-09-03T13:39:26.683116</t>
  </si>
  <si>
    <t>2026-09-03T13:39:26.676710</t>
  </si>
  <si>
    <t>2026-09-03T13:39:26.660991</t>
  </si>
  <si>
    <t>2026-09-03T13:39:26.655182</t>
  </si>
  <si>
    <t>2026-09-03T13:39:26.648400</t>
  </si>
  <si>
    <t>2026-09-03T13:39:26.633303</t>
  </si>
  <si>
    <t>2026-09-03T13:39:26.624796</t>
  </si>
  <si>
    <t>2026-09-03T13:39:26.611123</t>
  </si>
  <si>
    <t>2026-09-03T13:39:26.585101</t>
  </si>
  <si>
    <t>2026-09-03T13:39:26.566294</t>
  </si>
  <si>
    <t>2026-09-03T13:39:26.565002</t>
  </si>
  <si>
    <t>2026-09-03T13:39:26.549983</t>
  </si>
  <si>
    <t>2026-09-03T13:39:26.528131</t>
  </si>
  <si>
    <t>2026-09-03T13:39:26.518542</t>
  </si>
  <si>
    <t>2026-09-03T13:39:26.504759</t>
  </si>
  <si>
    <t>2026-09-03T13:39:26.481763</t>
  </si>
  <si>
    <t>2026-09-03T13:39:26.466130</t>
  </si>
  <si>
    <t>2026-09-03T13:39:26.451672</t>
  </si>
  <si>
    <t>2026-09-03T13:39:26.434602</t>
  </si>
  <si>
    <t>2026-09-03T13:39:26.418867</t>
  </si>
  <si>
    <t>2026-09-03T13:39:26.403030</t>
  </si>
  <si>
    <t>2026-09-03T13:39:26.400494</t>
  </si>
  <si>
    <t>2026-09-03T13:39:26.383049</t>
  </si>
  <si>
    <t>2026-09-03T13:39:26.355743</t>
  </si>
  <si>
    <t>2026-09-03T13:39:26.341487</t>
  </si>
  <si>
    <t>2026-09-03T13:39:26.324555</t>
  </si>
  <si>
    <t>2026-09-03T13:39:26.308787</t>
  </si>
  <si>
    <t>2026-09-03T13:39:26.300622</t>
  </si>
  <si>
    <t>2026-09-03T13:39:26.281792</t>
  </si>
  <si>
    <t>2026-09-03T13:39:26.265875</t>
  </si>
  <si>
    <t>2026-09-03T13:39:26.257734</t>
  </si>
  <si>
    <t>2026-09-03T13:39:26.232196</t>
  </si>
  <si>
    <t>2026-09-03T13:39:26.217172</t>
  </si>
  <si>
    <t>2026-09-03T13:39:26.200389</t>
  </si>
  <si>
    <t>2026-09-03T13:39:26.199332</t>
  </si>
  <si>
    <t>2026-09-03T13:39:26.183494</t>
  </si>
  <si>
    <t>2026-09-03T13:39:26.182337</t>
  </si>
  <si>
    <t>2026-09-03T13:39:26.170408</t>
  </si>
  <si>
    <t>2026-09-03T13:39:26.154520</t>
  </si>
  <si>
    <t>2026-09-03T13:39:26.138874</t>
  </si>
  <si>
    <t>2026-09-03T13:39:26.123162</t>
  </si>
  <si>
    <t>2026-09-03T13:39:26.107066</t>
  </si>
  <si>
    <t>2026-09-03T13:39:26.100395</t>
  </si>
  <si>
    <t>2026-09-03T13:39:26.083487</t>
  </si>
  <si>
    <t>2026-09-03T13:39:26.067756</t>
  </si>
  <si>
    <t>2026-09-03T13:39:26.056508</t>
  </si>
  <si>
    <t>2026-09-03T13:39:26.051923</t>
  </si>
  <si>
    <t>2026-09-03T13:39:26.038426</t>
  </si>
  <si>
    <t>2026-09-03T13:39:26.012848</t>
  </si>
  <si>
    <t>2026-09-03T13:39:26.002893</t>
  </si>
  <si>
    <t>2026-09-03T13:39:25.996705</t>
  </si>
  <si>
    <t>2026-09-03T13:39:25.981822</t>
  </si>
  <si>
    <t>2026-09-03T13:39:25.970202</t>
  </si>
  <si>
    <t>2026-09-03T13:39:25.955203</t>
  </si>
  <si>
    <t>2026-09-03T13:39:25.949146</t>
  </si>
  <si>
    <t>2026-09-03T13:39:25.938855</t>
  </si>
  <si>
    <t>2026-09-03T13:39:25.926296</t>
  </si>
  <si>
    <t>2026-09-03T13:39:25.907158</t>
  </si>
  <si>
    <t>2026-09-03T13:39:25.899846</t>
  </si>
  <si>
    <t>2026-09-03T13:39:25.875850</t>
  </si>
  <si>
    <t>2026-09-03T13:39:25.859736</t>
  </si>
  <si>
    <t>2026-09-03T13:39:25.844008</t>
  </si>
  <si>
    <t>2026-09-03T13:39:25.827843</t>
  </si>
  <si>
    <t>2026-09-03T13:39:25.802243</t>
  </si>
  <si>
    <t>2026-09-03T13:39:25.786501</t>
  </si>
  <si>
    <t>2026-09-03T13:39:25.772182</t>
  </si>
  <si>
    <t>2026-09-03T13:39:25.739337</t>
  </si>
  <si>
    <t>2026-09-03T13:39:25.724798</t>
  </si>
  <si>
    <t>2026-09-03T13:39:25.710981</t>
  </si>
  <si>
    <t>2026-09-03T13:39:25.704748</t>
  </si>
  <si>
    <t>2026-09-03T13:39:25.690955</t>
  </si>
  <si>
    <t>2026-09-03T13:39:25.683263</t>
  </si>
  <si>
    <t>2026-09-03T13:39:25.662477</t>
  </si>
  <si>
    <t>2026-09-03T13:39:25.654883</t>
  </si>
  <si>
    <t>2026-09-03T13:39:25.647302</t>
  </si>
  <si>
    <t>2026-09-03T13:39:25.628421</t>
  </si>
  <si>
    <t>2026-09-03T13:39:25.613757</t>
  </si>
  <si>
    <t>2026-09-03T13:39:25.599524</t>
  </si>
  <si>
    <t>2026-09-03T13:39:25.587043</t>
  </si>
  <si>
    <t>2026-09-03T13:39:25.574581</t>
  </si>
  <si>
    <t>2026-09-03T13:39:25.563973</t>
  </si>
  <si>
    <t>2026-09-03T13:39:25.552582</t>
  </si>
  <si>
    <t>2026-09-03T13:39:25.533307</t>
  </si>
  <si>
    <t>2026-09-03T13:39:25.516632</t>
  </si>
  <si>
    <t>2026-09-03T13:39:25.503869</t>
  </si>
  <si>
    <t>2026-09-03T13:39:25.487749</t>
  </si>
  <si>
    <t>2026-09-03T13:39:25.480752</t>
  </si>
  <si>
    <t>2026-09-03T13:39:25.459796</t>
  </si>
  <si>
    <t>2026-09-03T13:39:25.447474</t>
  </si>
  <si>
    <t>2026-09-03T13:39:25.425355</t>
  </si>
  <si>
    <t>2026-09-03T13:39:25.407567</t>
  </si>
  <si>
    <t>2026-09-03T13:39:25.401661</t>
  </si>
  <si>
    <t>2026-09-03T13:39:25.387637</t>
  </si>
  <si>
    <t>2026-09-03T13:39:25.380458</t>
  </si>
  <si>
    <t>2026-09-03T13:39:25.370937</t>
  </si>
  <si>
    <t>2026-09-03T13:39:25.346407</t>
  </si>
  <si>
    <t>2026-09-03T13:39:25.330483</t>
  </si>
  <si>
    <t>2026-09-03T13:39:25.314556</t>
  </si>
  <si>
    <t>2026-09-03T13:39:25.298795</t>
  </si>
  <si>
    <t>2026-09-03T13:39:25.281364</t>
  </si>
  <si>
    <t>2026-09-03T13:39:25.266244</t>
  </si>
  <si>
    <t>2026-09-03T13:39:25.253536</t>
  </si>
  <si>
    <t>2026-09-03T13:39:25.242647</t>
  </si>
  <si>
    <t>2026-09-03T13:39:25.229226</t>
  </si>
  <si>
    <t>2026-09-03T13:39:25.211332</t>
  </si>
  <si>
    <t>2026-09-03T13:39:25.198616</t>
  </si>
  <si>
    <t>2026-09-03T13:39:25.184495</t>
  </si>
  <si>
    <t>2026-09-03T13:39:25.175185</t>
  </si>
  <si>
    <t>2026-09-03T13:39:25.165956</t>
  </si>
  <si>
    <t>2026-09-03T13:39:25.147998</t>
  </si>
  <si>
    <t>2026-09-03T13:39:25.136976</t>
  </si>
  <si>
    <t>2026-09-03T13:39:25.122932</t>
  </si>
  <si>
    <t>2026-09-03T13:39:25.098345</t>
  </si>
  <si>
    <t>2026-09-03T13:39:25.082877</t>
  </si>
  <si>
    <t>2026-09-03T13:39:25.067136</t>
  </si>
  <si>
    <t>2026-09-03T13:39:25.050892</t>
  </si>
  <si>
    <t>2026-09-03T13:39:25.034919</t>
  </si>
  <si>
    <t>2026-09-03T13:39:25.003256</t>
  </si>
  <si>
    <t>2026-09-03T13:39:24.998230</t>
  </si>
  <si>
    <t>2026-09-03T13:39:24.977055</t>
  </si>
  <si>
    <t>2026-09-03T13:39:24.957059</t>
  </si>
  <si>
    <t>2026-09-03T13:39:24.939526</t>
  </si>
  <si>
    <t>2026-09-03T13:39:24.923345</t>
  </si>
  <si>
    <t>2026-09-03T13:39:16.045750</t>
  </si>
  <si>
    <t>2026-09-03T13:39:16.030923</t>
  </si>
  <si>
    <t>2026-09-03T13:39:16.015077</t>
  </si>
  <si>
    <t>2026-09-03T13:39:15.998919</t>
  </si>
  <si>
    <t>2026-09-03T13:39:15.978985</t>
  </si>
  <si>
    <t>2026-09-03T13:39:15.956024</t>
  </si>
  <si>
    <t>2026-09-03T13:39:15.920380</t>
  </si>
  <si>
    <t>2026-09-03T13:39:15.895244</t>
  </si>
  <si>
    <t>2026-09-03T13:39:09.198200</t>
  </si>
  <si>
    <t>2026-09-03T13:39:09.182314</t>
  </si>
  <si>
    <t>2026-09-03T13:39:09.166409</t>
  </si>
  <si>
    <t>2026-09-03T13:39:02.636513</t>
  </si>
  <si>
    <t>2026-09-03T13:38:43.716938</t>
  </si>
  <si>
    <t>2026-09-03T13:38:43.697577</t>
  </si>
  <si>
    <t>2026-09-03T13:38:43.681452</t>
  </si>
  <si>
    <t>2026-09-03T13:38:43.665774</t>
  </si>
  <si>
    <t>2026-09-03T13:38:43.657053</t>
  </si>
  <si>
    <t>2026-09-03T13:38:43.634043</t>
  </si>
  <si>
    <t>2026-09-03T13:38:43.618011</t>
  </si>
  <si>
    <t>2026-09-03T13:38:43.590178</t>
  </si>
  <si>
    <t>2026-09-03T13:38:43.569709</t>
  </si>
  <si>
    <t>2026-09-03T13:38:43.553715</t>
  </si>
  <si>
    <t>2026-09-03T13:38:43.538039</t>
  </si>
  <si>
    <t>2026-09-03T13:38:43.522295</t>
  </si>
  <si>
    <t>2026-09-03T13:38:43.516898</t>
  </si>
  <si>
    <t>2026-09-03T13:38:43.490520</t>
  </si>
  <si>
    <t>2026-09-03T13:38:43.483856</t>
  </si>
  <si>
    <t>2026-09-03T13:38:43.467773</t>
  </si>
  <si>
    <t>2026-09-03T13:38:43.458785</t>
  </si>
  <si>
    <t>2026-09-03T13:38:43.444940</t>
  </si>
  <si>
    <t>2026-09-03T13:38:43.436727</t>
  </si>
  <si>
    <t>2026-09-03T13:38:43.412486</t>
  </si>
  <si>
    <t>2026-09-03T13:38:43.395085</t>
  </si>
  <si>
    <t>2026-09-03T13:38:43.379359</t>
  </si>
  <si>
    <t>2026-09-03T13:38:43.369251</t>
  </si>
  <si>
    <t>2026-09-03T13:38:43.363226</t>
  </si>
  <si>
    <t>2026-09-03T13:38:43.347310</t>
  </si>
  <si>
    <t>2026-09-03T13:38:43.342010</t>
  </si>
  <si>
    <t>2026-09-03T13:38:43.331093</t>
  </si>
  <si>
    <t>2026-09-03T13:38:43.315241</t>
  </si>
  <si>
    <t>2026-09-03T13:38:43.314233</t>
  </si>
  <si>
    <t>2026-09-03T13:38:25.265959</t>
  </si>
  <si>
    <t>2026-09-03T13:38:25.249888</t>
  </si>
  <si>
    <t>2026-09-03T13:38:25.240453</t>
  </si>
  <si>
    <t>2026-09-03T13:38:25.226621</t>
  </si>
  <si>
    <t>2026-09-03T13:38:25.217715</t>
  </si>
  <si>
    <t>2026-09-03T13:38:25.201748</t>
  </si>
  <si>
    <t>2026-09-03T13:38:25.185785</t>
  </si>
  <si>
    <t>2026-09-03T13:38:25.172361</t>
  </si>
  <si>
    <t>2026-09-03T13:38:25.154167</t>
  </si>
  <si>
    <t>2026-09-03T13:38:25.142534</t>
  </si>
  <si>
    <t>2026-09-03T13:38:25.128505</t>
  </si>
  <si>
    <t>2026-09-03T13:38:25.106528</t>
  </si>
  <si>
    <t>2026-09-03T13:38:25.100301</t>
  </si>
  <si>
    <t>2026-09-03T13:38:25.077548</t>
  </si>
  <si>
    <t>2026-09-03T13:38:25.059093</t>
  </si>
  <si>
    <t>2026-09-03T13:38:25.043112</t>
  </si>
  <si>
    <t>2026-09-03T13:38:25.027186</t>
  </si>
  <si>
    <t>2026-09-03T13:38:25.011050</t>
  </si>
  <si>
    <t>2026-09-03T13:38:24.994836</t>
  </si>
  <si>
    <t>2026-09-03T13:38:24.977125</t>
  </si>
  <si>
    <t>2026-09-03T13:38:24.949231</t>
  </si>
  <si>
    <t>2026-09-03T13:38:24.948109</t>
  </si>
  <si>
    <t>2026-09-03T13:38:24.930932</t>
  </si>
  <si>
    <t>2026-09-03T13:38:24.918540</t>
  </si>
  <si>
    <t>2026-09-03T13:38:24.905125</t>
  </si>
  <si>
    <t>2026-09-03T13:38:24.883507</t>
  </si>
  <si>
    <t>2026-09-03T13:38:24.851399</t>
  </si>
  <si>
    <t>2026-09-03T13:38:24.835256</t>
  </si>
  <si>
    <t>2026-09-03T13:38:24.819398</t>
  </si>
  <si>
    <t>2026-09-03T13:38:24.803487</t>
  </si>
  <si>
    <t>2026-09-03T13:38:24.787670</t>
  </si>
  <si>
    <t>2026-09-03T13:38:24.771593</t>
  </si>
  <si>
    <t>2026-09-03T13:38:24.739669</t>
  </si>
  <si>
    <t>2026-09-03T13:38:24.724049</t>
  </si>
  <si>
    <t>2026-09-03T13:38:24.708278</t>
  </si>
  <si>
    <t>2026-09-03T13:38:24.692372</t>
  </si>
  <si>
    <t>2026-09-03T13:38:24.676258</t>
  </si>
  <si>
    <t>2026-09-03T13:38:24.660701</t>
  </si>
  <si>
    <t>2026-09-03T13:38:24.644801</t>
  </si>
  <si>
    <t>2026-09-03T13:38:24.628844</t>
  </si>
  <si>
    <t>2026-09-03T13:38:24.612742</t>
  </si>
  <si>
    <t>2026-09-03T13:38:24.596874</t>
  </si>
  <si>
    <t>2026-09-03T13:38:24.580672</t>
  </si>
  <si>
    <t>2026-09-03T13:38:24.564670</t>
  </si>
  <si>
    <t>2026-09-03T13:38:15.778570</t>
  </si>
  <si>
    <t>2026-09-03T13:38:15.769634</t>
  </si>
  <si>
    <t>2026-09-03T13:38:15.754727</t>
  </si>
  <si>
    <t>2026-09-03T13:38:15.737796</t>
  </si>
  <si>
    <t>2026-09-03T13:38:15.721932</t>
  </si>
  <si>
    <t>2026-09-03T13:38:15.706061</t>
  </si>
  <si>
    <t>2026-09-03T13:38:15.695285</t>
  </si>
  <si>
    <t>2026-09-03T13:38:15.688275</t>
  </si>
  <si>
    <t>2026-09-03T13:38:15.674452</t>
  </si>
  <si>
    <t>2026-09-03T13:38:15.658522</t>
  </si>
  <si>
    <t>2026-09-03T13:38:15.643394</t>
  </si>
  <si>
    <t>2026-09-03T13:38:15.637653</t>
  </si>
  <si>
    <t>2026-09-03T13:38:15.618900</t>
  </si>
  <si>
    <t>2026-09-03T13:38:15.609852</t>
  </si>
  <si>
    <t>2026-09-03T13:38:15.596746</t>
  </si>
  <si>
    <t>2026-09-03T13:38:15.589096</t>
  </si>
  <si>
    <t>2026-09-03T13:38:15.575208</t>
  </si>
  <si>
    <t>2026-09-03T13:38:15.561215</t>
  </si>
  <si>
    <t>2026-09-03T13:38:15.549174</t>
  </si>
  <si>
    <t>2026-09-03T13:38:15.445211</t>
  </si>
  <si>
    <t>2026-09-03T13:38:15.394577</t>
  </si>
  <si>
    <t>2026-09-03T13:38:15.358927</t>
  </si>
  <si>
    <t>2026-09-03T13:38:15.343280</t>
  </si>
  <si>
    <t>2026-09-03T13:38:15.327633</t>
  </si>
  <si>
    <t>2026-09-03T13:38:15.319713</t>
  </si>
  <si>
    <t>2026-09-03T13:38:10.714779</t>
  </si>
  <si>
    <t>2026-09-03T13:38:10.705709</t>
  </si>
  <si>
    <t>2026-09-03T13:38:10.603667</t>
  </si>
  <si>
    <t>2026-09-03T13:38:10.598578</t>
  </si>
  <si>
    <t>2026-09-03T13:38:10.578044</t>
  </si>
  <si>
    <t>2026-09-03T13:38:03.378626</t>
  </si>
  <si>
    <t>2026-09-03T13:38:03.320847</t>
  </si>
  <si>
    <t>2026-09-03T13:38:03.284631</t>
  </si>
  <si>
    <t>2026-09-03T13:38:03.264949</t>
  </si>
  <si>
    <t>2026-09-03T13:38:03.252494</t>
  </si>
  <si>
    <t>2026-09-03T13:37:27.330909</t>
  </si>
  <si>
    <t>2026-09-03T13:37:27.212714</t>
  </si>
  <si>
    <t>2026-09-03T13:36:48.853699</t>
  </si>
  <si>
    <t>2026-09-03T13:36:48.827308</t>
  </si>
  <si>
    <t>2026-09-03T13:36:42.036813</t>
  </si>
  <si>
    <t>2026-09-03T13:36:42.013104</t>
  </si>
  <si>
    <t>2026-09-03T13:36:42.001174</t>
  </si>
  <si>
    <t>2026-09-03T13:36:41.986830</t>
  </si>
  <si>
    <t>2026-09-03T13:36:41.979832</t>
  </si>
  <si>
    <t>2026-09-03T13:36:41.966461</t>
  </si>
  <si>
    <t>2026-09-03T13:36:41.956029</t>
  </si>
  <si>
    <t>2026-09-03T13:36:41.943468</t>
  </si>
  <si>
    <t>2026-09-03T13:36:41.934010</t>
  </si>
  <si>
    <t>2026-09-03T13:36:41.922495</t>
  </si>
  <si>
    <t>2026-09-03T13:36:41.909550</t>
  </si>
  <si>
    <t>2026-09-03T13:36:41.898100</t>
  </si>
  <si>
    <t>2026-09-03T13:36:41.880050</t>
  </si>
  <si>
    <t>2026-09-03T13:36:41.869460</t>
  </si>
  <si>
    <t>2026-09-03T13:36:41.853043</t>
  </si>
  <si>
    <t>2026-09-03T13:36:41.839359</t>
  </si>
  <si>
    <t>2026-09-03T13:36:41.825273</t>
  </si>
  <si>
    <t>2026-09-03T13:36:41.810876</t>
  </si>
  <si>
    <t>2026-09-03T13:36:41.787426</t>
  </si>
  <si>
    <t>2026-09-03T13:36:41.771403</t>
  </si>
  <si>
    <t>2026-09-03T13:36:41.756374</t>
  </si>
  <si>
    <t>2026-09-03T13:36:41.744030</t>
  </si>
  <si>
    <t>2026-09-03T13:36:41.729742</t>
  </si>
  <si>
    <t>2026-09-03T13:36:41.718766</t>
  </si>
  <si>
    <t>2026-09-03T13:36:34.285103</t>
  </si>
  <si>
    <t>2026-09-03T13:36:34.261679</t>
  </si>
  <si>
    <t>2026-09-03T13:36:34.239175</t>
  </si>
  <si>
    <t>2026-09-03T13:36:34.225026</t>
  </si>
  <si>
    <t>2026-09-03T13:36:34.210017</t>
  </si>
  <si>
    <t>2026-09-03T13:36:26.764153</t>
  </si>
  <si>
    <t>2026-09-03T13:36:26.738976</t>
  </si>
  <si>
    <t>2026-09-03T13:36:26.722360</t>
  </si>
  <si>
    <t>2026-09-03T13:36:26.696850</t>
  </si>
  <si>
    <t>2026-09-03T13:36:26.676758</t>
  </si>
  <si>
    <t>2026-09-03T13:36:26.663545</t>
  </si>
  <si>
    <t>2026-09-03T13:36:26.639640</t>
  </si>
  <si>
    <t>2026-09-03T13:36:26.623787</t>
  </si>
  <si>
    <t>2026-09-03T13:36:26.605797</t>
  </si>
  <si>
    <t>2026-09-03T13:36:26.585831</t>
  </si>
  <si>
    <t>2026-09-03T13:36:26.566499</t>
  </si>
  <si>
    <t>2026-09-03T13:36:26.550079</t>
  </si>
  <si>
    <t>2026-09-03T13:36:26.528587</t>
  </si>
  <si>
    <t>2026-09-03T13:36:26.507774</t>
  </si>
  <si>
    <t>2026-09-03T13:36:26.490403</t>
  </si>
  <si>
    <t>2026-09-03T13:36:26.467762</t>
  </si>
  <si>
    <t>2026-09-03T13:36:26.448679</t>
  </si>
  <si>
    <t>2026-09-03T13:36:26.430510</t>
  </si>
  <si>
    <t>2026-09-03T13:36:06.427438</t>
  </si>
  <si>
    <t>2026-09-03T13:36:06.387118</t>
  </si>
  <si>
    <t>2026-09-03T13:36:06.339732</t>
  </si>
  <si>
    <t>2026-09-03T13:36:06.312859</t>
  </si>
  <si>
    <t>2026-09-03T13:36:06.288394</t>
  </si>
  <si>
    <t>2026-09-03T13:36:06.262952</t>
  </si>
  <si>
    <t>2026-09-03T13:36:06.242675</t>
  </si>
  <si>
    <t>2026-09-03T13:36:06.221774</t>
  </si>
  <si>
    <t>2026-09-03T13:36:06.200001</t>
  </si>
  <si>
    <t>2026-09-03T13:36:06.172595</t>
  </si>
  <si>
    <t>2026-09-03T13:36:06.150513</t>
  </si>
  <si>
    <t>2026-09-03T13:36:06.130930</t>
  </si>
  <si>
    <t>2026-09-03T13:36:06.102922</t>
  </si>
  <si>
    <t>2026-09-03T13:36:06.075086</t>
  </si>
  <si>
    <t>2026-09-03T13:36:06.054894</t>
  </si>
  <si>
    <t>2026-09-03T13:36:06.034054</t>
  </si>
  <si>
    <t>2026-09-03T13:36:06.006325</t>
  </si>
  <si>
    <t>2026-09-03T13:36:05.985364</t>
  </si>
  <si>
    <t>2026-09-03T13:36:05.963461</t>
  </si>
  <si>
    <t>2026-09-03T13:36:05.942403</t>
  </si>
  <si>
    <t>2026-09-03T13:36:05.920586</t>
  </si>
  <si>
    <t>2026-09-03T13:36:05.895681</t>
  </si>
  <si>
    <t>2026-09-03T13:36:05.873189</t>
  </si>
  <si>
    <t>2026-09-03T13:36:05.847160</t>
  </si>
  <si>
    <t>2026-09-03T13:36:05.799228</t>
  </si>
  <si>
    <t>2026-09-03T13:36:05.775304</t>
  </si>
  <si>
    <t>2026-09-03T13:36:05.755448</t>
  </si>
  <si>
    <t>2026-09-03T13:35:59.782565</t>
  </si>
  <si>
    <t>2026-09-03T13:35:59.747741</t>
  </si>
  <si>
    <t>2026-09-03T13:35:59.716443</t>
  </si>
  <si>
    <t>2026-09-03T13:35:59.694886</t>
  </si>
  <si>
    <t>2026-09-03T13:35:59.671017</t>
  </si>
  <si>
    <t>2026-09-03T13:35:59.653347</t>
  </si>
  <si>
    <t>2026-09-03T13:35:59.640424</t>
  </si>
  <si>
    <t>2026-09-03T13:35:59.624398</t>
  </si>
  <si>
    <t>2026-09-03T13:35:59.612046</t>
  </si>
  <si>
    <t>2026-09-03T13:35:59.596408</t>
  </si>
  <si>
    <t>2026-09-03T13:35:59.576094</t>
  </si>
  <si>
    <t>2026-09-03T13:35:59.556903</t>
  </si>
  <si>
    <t>2026-09-03T13:35:59.533312</t>
  </si>
  <si>
    <t>2026-09-03T13:35:59.514460</t>
  </si>
  <si>
    <t>2026-09-03T13:35:59.493421</t>
  </si>
  <si>
    <t>2026-09-03T13:35:59.480023</t>
  </si>
  <si>
    <t>2026-09-03T13:35:59.458258</t>
  </si>
  <si>
    <t>2026-09-03T13:35:59.437749</t>
  </si>
  <si>
    <t>2026-09-03T13:35:59.423920</t>
  </si>
  <si>
    <t>2026-09-03T13:35:59.402116</t>
  </si>
  <si>
    <t>2026-09-03T13:35:59.381133</t>
  </si>
  <si>
    <t>2026-09-03T13:35:59.364117</t>
  </si>
  <si>
    <t>2026-09-03T13:35:59.334497</t>
  </si>
  <si>
    <t>2026-09-03T13:35:59.319147</t>
  </si>
  <si>
    <t>2026-09-03T13:35:59.306644</t>
  </si>
  <si>
    <t>2026-09-03T13:35:59.289794</t>
  </si>
  <si>
    <t>2026-09-03T13:35:59.275741</t>
  </si>
  <si>
    <t>2026-09-03T13:35:59.256789</t>
  </si>
  <si>
    <t>2026-09-03T13:35:59.232089</t>
  </si>
  <si>
    <t>2026-09-03T13:35:59.213025</t>
  </si>
  <si>
    <t>2026-09-03T13:35:59.192022</t>
  </si>
  <si>
    <t>2026-09-03T13:35:59.166264</t>
  </si>
  <si>
    <t>2026-09-03T13:35:59.140033</t>
  </si>
  <si>
    <t>2026-09-03T13:35:48.915458</t>
  </si>
  <si>
    <t>2026-09-03T13:35:48.891381</t>
  </si>
  <si>
    <t>2026-09-03T13:35:48.851898</t>
  </si>
  <si>
    <t>2026-09-03T13:35:48.826457</t>
  </si>
  <si>
    <t>2026-09-03T13:35:48.783622</t>
  </si>
  <si>
    <t>2026-09-03T13:35:48.762727</t>
  </si>
  <si>
    <t>2026-09-03T13:35:48.729998</t>
  </si>
  <si>
    <t>2026-09-03T13:35:48.701420</t>
  </si>
  <si>
    <t>2026-09-03T13:35:48.672752</t>
  </si>
  <si>
    <t>2026-09-03T13:35:48.624089</t>
  </si>
  <si>
    <t>2026-09-03T13:35:48.593655</t>
  </si>
  <si>
    <t>2026-09-03T13:35:48.576166</t>
  </si>
  <si>
    <t>2026-09-03T13:35:48.561858</t>
  </si>
  <si>
    <t>2026-09-03T13:35:48.542981</t>
  </si>
  <si>
    <t>2026-09-03T13:35:48.526515</t>
  </si>
  <si>
    <t>2026-09-03T13:35:48.502860</t>
  </si>
  <si>
    <t>2026-09-03T13:35:48.485322</t>
  </si>
  <si>
    <t>2026-09-03T13:35:48.465024</t>
  </si>
  <si>
    <t>2026-09-03T13:35:48.447474</t>
  </si>
  <si>
    <t>2026-09-03T13:35:48.432511</t>
  </si>
  <si>
    <t>2026-09-03T13:35:48.417963</t>
  </si>
  <si>
    <t>2026-09-03T13:35:48.403556</t>
  </si>
  <si>
    <t>2026-09-03T13:35:48.377900</t>
  </si>
  <si>
    <t>2026-09-03T13:35:48.362323</t>
  </si>
  <si>
    <t>2026-09-03T13:35:48.335924</t>
  </si>
  <si>
    <t>2026-09-03T13:35:48.318779</t>
  </si>
  <si>
    <t>2026-09-03T13:35:48.298314</t>
  </si>
  <si>
    <t>2026-09-03T13:35:48.278566</t>
  </si>
  <si>
    <t>2026-09-03T13:35:48.258421</t>
  </si>
  <si>
    <t>2026-09-03T13:35:48.241431</t>
  </si>
  <si>
    <t>2026-09-03T13:35:38.183356</t>
  </si>
  <si>
    <t>2026-09-03T13:35:38.135275</t>
  </si>
  <si>
    <t>2026-09-03T13:35:38.119216</t>
  </si>
  <si>
    <t>2026-09-03T13:35:38.099032</t>
  </si>
  <si>
    <t>2026-09-03T13:35:38.084328</t>
  </si>
  <si>
    <t>2026-09-03T13:35:38.061289</t>
  </si>
  <si>
    <t>2026-09-03T13:35:38.043848</t>
  </si>
  <si>
    <t>2026-09-03T13:35:38.031159</t>
  </si>
  <si>
    <t>2026-09-03T13:35:38.008070</t>
  </si>
  <si>
    <t>2026-09-03T13:35:37.992661</t>
  </si>
  <si>
    <t>2026-09-03T13:35:37.976328</t>
  </si>
  <si>
    <t>2026-09-03T13:35:37.957842</t>
  </si>
  <si>
    <t>2026-09-03T13:35:37.899963</t>
  </si>
  <si>
    <t>2026-09-03T13:35:37.882824</t>
  </si>
  <si>
    <t>2026-09-03T13:35:37.856831</t>
  </si>
  <si>
    <t>2026-09-03T13:35:37.836115</t>
  </si>
  <si>
    <t>2026-09-03T13:35:37.814997</t>
  </si>
  <si>
    <t>2026-09-03T13:35:37.798394</t>
  </si>
  <si>
    <t>2026-09-03T13:35:37.774124</t>
  </si>
  <si>
    <t>2026-09-03T13:35:37.753025</t>
  </si>
  <si>
    <t>2026-09-03T13:35:37.738454</t>
  </si>
  <si>
    <t>2026-09-03T13:35:37.713906</t>
  </si>
  <si>
    <t>2026-09-03T13:35:37.700460</t>
  </si>
  <si>
    <t>2026-09-03T13:34:43.202233</t>
  </si>
  <si>
    <t>2026-09-03T13:34:43.188057</t>
  </si>
  <si>
    <t>2026-09-03T13:34:43.173997</t>
  </si>
  <si>
    <t>2026-09-03T13:34:43.161068</t>
  </si>
  <si>
    <t>2026-09-03T13:34:43.153198</t>
  </si>
  <si>
    <t>2026-09-03T13:34:43.140187</t>
  </si>
  <si>
    <t>2026-09-03T13:34:43.127171</t>
  </si>
  <si>
    <t>2026-09-03T13:34:43.112831</t>
  </si>
  <si>
    <t>2026-09-03T13:34:43.105594</t>
  </si>
  <si>
    <t>2026-09-03T13:34:43.084961</t>
  </si>
  <si>
    <t>2026-09-03T13:34:43.072273</t>
  </si>
  <si>
    <t>2026-09-03T13:34:43.059247</t>
  </si>
  <si>
    <t>2026-09-03T13:34:43.037009</t>
  </si>
  <si>
    <t>2026-09-03T13:34:43.021953</t>
  </si>
  <si>
    <t>2026-09-03T13:34:43.010335</t>
  </si>
  <si>
    <t>2026-09-03T13:34:42.980554</t>
  </si>
  <si>
    <t>2026-09-03T13:34:42.966738</t>
  </si>
  <si>
    <t>2026-09-03T13:34:42.949006</t>
  </si>
  <si>
    <t>2026-09-03T13:34:42.927314</t>
  </si>
  <si>
    <t>2026-09-03T13:34:42.911863</t>
  </si>
  <si>
    <t>2026-09-03T13:34:42.891082</t>
  </si>
  <si>
    <t>2026-09-03T13:34:42.870309</t>
  </si>
  <si>
    <t>2026-09-03T13:34:42.852376</t>
  </si>
  <si>
    <t>2026-09-03T13:34:42.825554</t>
  </si>
  <si>
    <t>2026-09-03T13:34:42.806810</t>
  </si>
  <si>
    <t>2026-09-03T13:34:42.787751</t>
  </si>
  <si>
    <t>2026-09-03T13:34:42.770332</t>
  </si>
  <si>
    <t>2026-09-03T13:34:42.756673</t>
  </si>
  <si>
    <t>2026-09-03T13:34:42.730408</t>
  </si>
  <si>
    <t>2026-09-03T13:34:42.719198</t>
  </si>
  <si>
    <t>2026-09-03T13:34:42.698307</t>
  </si>
  <si>
    <t>2026-09-03T13:34:42.681110</t>
  </si>
  <si>
    <t>2026-09-03T13:34:42.670171</t>
  </si>
  <si>
    <t>2026-09-03T13:34:42.657333</t>
  </si>
  <si>
    <t>2026-09-03T13:34:42.634127</t>
  </si>
  <si>
    <t>2026-09-03T13:34:42.624460</t>
  </si>
  <si>
    <t>2026-09-03T13:34:42.605836</t>
  </si>
  <si>
    <t>2026-09-03T13:34:42.595920</t>
  </si>
  <si>
    <t>2026-09-03T13:34:42.571534</t>
  </si>
  <si>
    <t>2026-09-03T13:34:42.550811</t>
  </si>
  <si>
    <t>2026-09-03T13:34:42.527496</t>
  </si>
  <si>
    <t>2026-09-03T13:34:42.521730</t>
  </si>
  <si>
    <t>2026-09-03T13:34:42.499895</t>
  </si>
  <si>
    <t>2026-09-03T13:34:42.488947</t>
  </si>
  <si>
    <t>2026-09-03T13:34:42.472842</t>
  </si>
  <si>
    <t>2026-09-03T13:34:42.446626</t>
  </si>
  <si>
    <t>2026-09-03T13:34:42.419253</t>
  </si>
  <si>
    <t>2026-09-03T13:34:36.444776</t>
  </si>
  <si>
    <t>2026-09-03T13:34:36.433371</t>
  </si>
  <si>
    <t>2026-09-03T13:34:36.425655</t>
  </si>
  <si>
    <t>2026-09-03T13:34:36.404545</t>
  </si>
  <si>
    <t>2026-09-03T13:34:36.390819</t>
  </si>
  <si>
    <t>2026-09-03T13:34:36.383727</t>
  </si>
  <si>
    <t>2026-09-03T13:34:36.370245</t>
  </si>
  <si>
    <t>2026-09-03T13:34:36.364273</t>
  </si>
  <si>
    <t>2026-09-03T13:34:36.349479</t>
  </si>
  <si>
    <t>2026-09-03T13:34:36.336945</t>
  </si>
  <si>
    <t>2026-09-03T13:34:36.321538</t>
  </si>
  <si>
    <t>2026-09-03T13:34:36.311283</t>
  </si>
  <si>
    <t>2026-09-03T13:34:36.295798</t>
  </si>
  <si>
    <t>2026-09-03T13:34:36.281338</t>
  </si>
  <si>
    <t>2026-09-03T13:34:36.273427</t>
  </si>
  <si>
    <t>2026-09-03T13:34:36.251711</t>
  </si>
  <si>
    <t>2026-09-03T13:34:36.216707</t>
  </si>
  <si>
    <t>2026-09-03T13:34:36.201823</t>
  </si>
  <si>
    <t>2026-09-03T13:34:36.152941</t>
  </si>
  <si>
    <t>2026-09-03T13:34:36.106019</t>
  </si>
  <si>
    <t>2026-09-03T13:34:36.100577</t>
  </si>
  <si>
    <t>2026-09-03T13:34:36.092289</t>
  </si>
  <si>
    <t>2026-09-03T13:34:36.077884</t>
  </si>
  <si>
    <t>2026-09-03T13:34:36.071347</t>
  </si>
  <si>
    <t>2026-09-03T13:34:36.062959</t>
  </si>
  <si>
    <t>2026-09-03T13:34:36.050178</t>
  </si>
  <si>
    <t>2026-09-03T13:34:36.043592</t>
  </si>
  <si>
    <t>2026-09-03T13:34:36.036220</t>
  </si>
  <si>
    <t>2026-09-03T13:34:36.022221</t>
  </si>
  <si>
    <t>2026-09-03T13:34:36.016264</t>
  </si>
  <si>
    <t>2026-09-03T13:34:36.001687</t>
  </si>
  <si>
    <t>2026-09-03T13:34:35.987685</t>
  </si>
  <si>
    <t>2026-09-03T13:34:35.980628</t>
  </si>
  <si>
    <t>2026-09-03T13:34:35.968070</t>
  </si>
  <si>
    <t>2026-09-03T13:34:35.953397</t>
  </si>
  <si>
    <t>2026-09-03T13:34:35.935931</t>
  </si>
  <si>
    <t>2026-09-03T13:34:35.919074</t>
  </si>
  <si>
    <t>2026-09-03T13:34:35.900970</t>
  </si>
  <si>
    <t>2026-09-03T13:34:35.873488</t>
  </si>
  <si>
    <t>2026-09-03T13:34:35.857231</t>
  </si>
  <si>
    <t>2026-09-03T13:34:35.847675</t>
  </si>
  <si>
    <t>2026-09-03T13:34:35.837085</t>
  </si>
  <si>
    <t>2026-09-03T13:34:35.821550</t>
  </si>
  <si>
    <t>2026-09-03T13:34:35.811585</t>
  </si>
  <si>
    <t>2026-09-03T13:34:35.801011</t>
  </si>
  <si>
    <t>2026-09-03T13:34:35.789138</t>
  </si>
  <si>
    <t>2026-09-03T13:34:35.774991</t>
  </si>
  <si>
    <t>2026-09-03T13:34:35.765390</t>
  </si>
  <si>
    <t>2026-09-03T13:34:35.750914</t>
  </si>
  <si>
    <t>2026-09-03T13:34:35.743628</t>
  </si>
  <si>
    <t>2026-09-03T13:34:35.732664</t>
  </si>
  <si>
    <t>2026-09-03T13:34:35.724801</t>
  </si>
  <si>
    <t>2026-09-03T13:34:35.713266</t>
  </si>
  <si>
    <t>2026-09-03T13:34:35.706916</t>
  </si>
  <si>
    <t>2026-09-03T13:34:35.689491</t>
  </si>
  <si>
    <t>2026-09-03T13:34:35.676602</t>
  </si>
  <si>
    <t>2026-09-03T13:34:35.655102</t>
  </si>
  <si>
    <t>2026-09-03T13:34:35.639449</t>
  </si>
  <si>
    <t>2026-09-03T13:34:35.627199</t>
  </si>
  <si>
    <t>2026-09-03T13:34:35.618600</t>
  </si>
  <si>
    <t>2026-09-03T13:34:35.605812</t>
  </si>
  <si>
    <t>2026-09-03T13:34:35.598776</t>
  </si>
  <si>
    <t>2026-09-03T13:34:35.590786</t>
  </si>
  <si>
    <t>2026-09-03T13:34:35.579192</t>
  </si>
  <si>
    <t>2026-09-03T13:34:35.566422</t>
  </si>
  <si>
    <t>2026-09-03T13:34:35.557602</t>
  </si>
  <si>
    <t>2026-09-03T13:34:35.550499</t>
  </si>
  <si>
    <t>2026-09-03T13:34:35.541668</t>
  </si>
  <si>
    <t>2026-09-03T13:34:35.530452</t>
  </si>
  <si>
    <t>2026-09-03T13:34:35.522714</t>
  </si>
  <si>
    <t>2026-09-03T13:34:35.514350</t>
  </si>
  <si>
    <t>2026-09-03T13:34:35.502701</t>
  </si>
  <si>
    <t>2026-09-03T13:34:35.495793</t>
  </si>
  <si>
    <t>2026-09-03T13:34:35.481234</t>
  </si>
  <si>
    <t>2026-09-03T13:34:35.473918</t>
  </si>
  <si>
    <t>2026-09-03T13:34:35.467314</t>
  </si>
  <si>
    <t>2026-09-03T13:34:35.454303</t>
  </si>
  <si>
    <t>2026-09-03T13:34:35.446203</t>
  </si>
  <si>
    <t>2026-09-03T13:34:35.425839</t>
  </si>
  <si>
    <t>2026-09-03T13:34:35.412026</t>
  </si>
  <si>
    <t>2026-09-03T13:34:35.398679</t>
  </si>
  <si>
    <t>2026-09-03T13:34:35.389461</t>
  </si>
  <si>
    <t>2026-09-03T13:34:35.376630</t>
  </si>
  <si>
    <t>2026-09-03T13:34:35.366336</t>
  </si>
  <si>
    <t>2026-09-03T13:34:35.350413</t>
  </si>
  <si>
    <t>2026-09-03T13:34:35.342028</t>
  </si>
  <si>
    <t>2026-09-03T13:34:35.335929</t>
  </si>
  <si>
    <t>2026-09-03T13:34:35.325394</t>
  </si>
  <si>
    <t>2026-09-03T13:34:35.313997</t>
  </si>
  <si>
    <t>2026-09-03T13:34:35.307555</t>
  </si>
  <si>
    <t>2026-09-03T13:34:35.300232</t>
  </si>
  <si>
    <t>2026-09-03T13:34:35.288652</t>
  </si>
  <si>
    <t>2026-09-03T13:34:35.279956</t>
  </si>
  <si>
    <t>2026-09-03T13:34:35.267502</t>
  </si>
  <si>
    <t>2026-09-03T13:34:35.259415</t>
  </si>
  <si>
    <t>2026-09-03T13:34:35.245570</t>
  </si>
  <si>
    <t>2026-09-03T13:34:35.238398</t>
  </si>
  <si>
    <t>2026-09-03T13:34:35.231652</t>
  </si>
  <si>
    <t>2026-09-03T13:34:35.220906</t>
  </si>
  <si>
    <t>2026-09-03T13:34:35.211126</t>
  </si>
  <si>
    <t>2026-09-03T13:34:35.196371</t>
  </si>
  <si>
    <t>2026-09-03T13:34:35.190157</t>
  </si>
  <si>
    <t>2026-09-03T13:34:35.176316</t>
  </si>
  <si>
    <t>2026-09-03T13:34:35.167198</t>
  </si>
  <si>
    <t>2026-09-03T13:34:35.165259</t>
  </si>
  <si>
    <t>2026-09-03T13:34:35.153464</t>
  </si>
  <si>
    <t>2026-09-03T13:34:35.134620</t>
  </si>
  <si>
    <t>2026-09-03T13:34:35.119993</t>
  </si>
  <si>
    <t>2026-09-03T13:34:08.877682</t>
  </si>
  <si>
    <t>2026-09-03T13:33:51.500839</t>
  </si>
  <si>
    <t>2026-09-03T13:33:23.916428</t>
  </si>
  <si>
    <t>2026-09-03T13:33:23.882883</t>
  </si>
  <si>
    <t>2026-09-03T13:33:23.867218</t>
  </si>
  <si>
    <t>2026-09-03T13:33:07.790590</t>
  </si>
  <si>
    <t>2026-09-03T13:33:07.776961</t>
  </si>
  <si>
    <t>2026-09-03T13:32:40.949637</t>
  </si>
  <si>
    <t>2026-09-03T13:32:40.942618</t>
  </si>
  <si>
    <t>2026-09-03T13:32:14.587987</t>
  </si>
  <si>
    <t>2026-09-03T13:32:14.562568</t>
  </si>
  <si>
    <t>2026-09-03T13:32:14.550349</t>
  </si>
  <si>
    <t>2026-09-03T13:32:14.529765</t>
  </si>
  <si>
    <t>2026-09-03T13:32:14.509651</t>
  </si>
  <si>
    <t>2026-09-03T13:31:55.040025</t>
  </si>
  <si>
    <t>2026-09-03T13:31:55.027019</t>
  </si>
  <si>
    <t>2026-09-03T13:31:55.010022</t>
  </si>
  <si>
    <t>2026-09-03T13:31:54.995191</t>
  </si>
  <si>
    <t>2026-09-03T13:31:54.976250</t>
  </si>
  <si>
    <t>2026-09-03T13:31:54.956284</t>
  </si>
  <si>
    <t>2026-09-03T13:31:26.862192</t>
  </si>
  <si>
    <t>2026-09-03T13:31:26.828132</t>
  </si>
  <si>
    <t>2026-09-03T13:31:26.779388</t>
  </si>
  <si>
    <t>2026-09-03T13:31:26.761582</t>
  </si>
  <si>
    <t>2026-09-03T13:31:26.731602</t>
  </si>
  <si>
    <t>2026-09-03T13:31:26.713218</t>
  </si>
  <si>
    <t>2026-09-03T13:31:26.693549</t>
  </si>
  <si>
    <t>2026-09-03T13:31:26.674253</t>
  </si>
  <si>
    <t>2026-09-03T13:31:26.656830</t>
  </si>
  <si>
    <t>2026-09-03T13:31:26.642742</t>
  </si>
  <si>
    <t>2026-09-03T13:31:26.629324</t>
  </si>
  <si>
    <t>2026-09-03T13:31:26.615360</t>
  </si>
  <si>
    <t>2026-09-03T13:31:26.606115</t>
  </si>
  <si>
    <t>2026-09-03T13:31:26.591869</t>
  </si>
  <si>
    <t>2026-09-03T13:31:26.577062</t>
  </si>
  <si>
    <t>2026-09-03T13:31:26.561480</t>
  </si>
  <si>
    <t>2026-09-03T13:31:17.717962</t>
  </si>
  <si>
    <t>2026-09-03T13:31:17.706002</t>
  </si>
  <si>
    <t>2026-09-03T13:31:17.695082</t>
  </si>
  <si>
    <t>2026-09-03T13:31:17.684937</t>
  </si>
  <si>
    <t>2026-09-03T13:31:17.669612</t>
  </si>
  <si>
    <t>2026-09-03T13:31:17.660395</t>
  </si>
  <si>
    <t>2026-09-03T13:31:17.647725</t>
  </si>
  <si>
    <t>2026-09-03T13:31:17.636918</t>
  </si>
  <si>
    <t>2026-09-03T13:31:17.627645</t>
  </si>
  <si>
    <t>2026-09-03T13:31:17.609320</t>
  </si>
  <si>
    <t>2026-09-03T13:31:17.595864</t>
  </si>
  <si>
    <t>2026-09-03T13:31:17.582062</t>
  </si>
  <si>
    <t>2026-09-03T13:31:17.566234</t>
  </si>
  <si>
    <t>2026-09-03T13:31:17.551864</t>
  </si>
  <si>
    <t>2026-09-03T13:31:17.537902</t>
  </si>
  <si>
    <t>2026-09-03T13:31:17.523521</t>
  </si>
  <si>
    <t>2026-09-03T13:31:17.515047</t>
  </si>
  <si>
    <t>2026-09-03T13:31:17.502149</t>
  </si>
  <si>
    <t>2026-09-03T13:31:17.487975</t>
  </si>
  <si>
    <t>2026-09-03T13:31:17.479816</t>
  </si>
  <si>
    <t>2026-09-03T13:31:17.468776</t>
  </si>
  <si>
    <t>2026-09-03T13:31:17.454680</t>
  </si>
  <si>
    <t>2026-09-03T13:31:17.440387</t>
  </si>
  <si>
    <t>2026-09-03T13:31:17.431184</t>
  </si>
  <si>
    <t>2026-09-03T13:31:17.418968</t>
  </si>
  <si>
    <t>2026-09-03T13:31:17.406360</t>
  </si>
  <si>
    <t>2026-09-03T13:31:17.392457</t>
  </si>
  <si>
    <t>2026-09-03T13:31:17.376968</t>
  </si>
  <si>
    <t>2026-09-03T13:31:17.362049</t>
  </si>
  <si>
    <t>2026-09-03T13:31:17.351381</t>
  </si>
  <si>
    <t>2026-09-03T13:31:17.318881</t>
  </si>
  <si>
    <t>2026-09-03T13:31:17.295632</t>
  </si>
  <si>
    <t>2026-09-03T13:31:12.193246</t>
  </si>
  <si>
    <t>2026-09-03T13:31:12.180646</t>
  </si>
  <si>
    <t>2026-09-03T13:31:12.160218</t>
  </si>
  <si>
    <t>2026-09-03T13:31:12.144537</t>
  </si>
  <si>
    <t>2026-09-03T13:31:03.643374</t>
  </si>
  <si>
    <t>2026-09-03T13:31:03.618166</t>
  </si>
  <si>
    <t>2026-09-03T13:31:03.594567</t>
  </si>
  <si>
    <t>2026-09-03T13:31:03.570291</t>
  </si>
  <si>
    <t>2026-09-03T13:30:53.921866</t>
  </si>
  <si>
    <t>2026-09-03T13:30:53.898408</t>
  </si>
  <si>
    <t>2026-09-03T13:30:53.878407</t>
  </si>
  <si>
    <t>2026-09-03T13:30:53.851172</t>
  </si>
  <si>
    <t>2026-09-03T13:30:48.267466</t>
  </si>
  <si>
    <t>2026-09-03T13:30:48.256016</t>
  </si>
  <si>
    <t>2026-09-03T13:30:48.222658</t>
  </si>
  <si>
    <t>2026-09-03T13:27:29.464630</t>
  </si>
  <si>
    <t>2026-09-03T13:27:00.006677</t>
  </si>
  <si>
    <t>2026-09-03T13:26:59.989910</t>
  </si>
  <si>
    <t>2026-09-03T13:26:59.972433</t>
  </si>
  <si>
    <t>2026-09-03T13:26:59.944670</t>
  </si>
  <si>
    <t>2026-09-03T13:26:59.926321</t>
  </si>
  <si>
    <t>2026-09-03T13:25:36.601316</t>
  </si>
  <si>
    <t>2026-09-03T13:24:51.128526</t>
  </si>
  <si>
    <t>2026-09-03T13:24:51.113531</t>
  </si>
  <si>
    <t>2026-09-03T13:24:51.083061</t>
  </si>
  <si>
    <t>2026-09-03T13:24:51.066534</t>
  </si>
  <si>
    <t>2026-09-03T13:24:51.041608</t>
  </si>
  <si>
    <t>2026-09-03T13:24:51.019829</t>
  </si>
  <si>
    <t>2026-09-03T13:24:51.002611</t>
  </si>
  <si>
    <t>2026-09-03T13:24:50.972267</t>
  </si>
  <si>
    <t>2026-09-03T13:24:50.948061</t>
  </si>
  <si>
    <t>2026-09-03T13:24:50.893844</t>
  </si>
  <si>
    <t>2026-09-03T13:24:50.861278</t>
  </si>
  <si>
    <t>2026-09-03T13:24:50.837799</t>
  </si>
  <si>
    <t>2026-09-03T13:24:50.780267</t>
  </si>
  <si>
    <t>2026-09-03T13:24:50.748315</t>
  </si>
  <si>
    <t>2026-09-03T13:24:50.713693</t>
  </si>
  <si>
    <t>2026-09-03T13:24:50.679465</t>
  </si>
  <si>
    <t>2026-09-03T13:24:50.659680</t>
  </si>
  <si>
    <t>2026-09-03T13:24:50.634409</t>
  </si>
  <si>
    <t>2026-09-03T13:24:50.620195</t>
  </si>
  <si>
    <t>2026-09-03T13:24:50.601174</t>
  </si>
  <si>
    <t>2026-09-03T13:24:50.580373</t>
  </si>
  <si>
    <t>2026-09-03T13:24:50.554541</t>
  </si>
  <si>
    <t>2026-09-03T13:24:50.536609</t>
  </si>
  <si>
    <t>2026-09-03T13:24:50.526659</t>
  </si>
  <si>
    <t>2026-09-03T13:24:50.513043</t>
  </si>
  <si>
    <t>2026-09-03T13:24:50.496929</t>
  </si>
  <si>
    <t>2026-09-03T13:24:50.477609</t>
  </si>
  <si>
    <t>2026-09-03T13:24:50.462913</t>
  </si>
  <si>
    <t>2026-09-03T13:24:50.449231</t>
  </si>
  <si>
    <t>2026-09-03T13:24:50.427451</t>
  </si>
  <si>
    <t>2026-09-03T13:24:50.396003</t>
  </si>
  <si>
    <t>2026-09-03T13:24:50.366046</t>
  </si>
  <si>
    <t>2026-09-03T13:24:50.352747</t>
  </si>
  <si>
    <t>2026-09-03T13:24:50.336292</t>
  </si>
  <si>
    <t>2026-09-03T13:24:50.323124</t>
  </si>
  <si>
    <t>2026-09-03T13:24:50.307419</t>
  </si>
  <si>
    <t>2026-09-03T13:24:50.287482</t>
  </si>
  <si>
    <t>2026-09-03T13:24:50.275561</t>
  </si>
  <si>
    <t>2026-09-03T13:24:50.257760</t>
  </si>
  <si>
    <t>2026-09-03T13:24:50.245280</t>
  </si>
  <si>
    <t>2026-09-03T13:24:50.224317</t>
  </si>
  <si>
    <t>2026-09-03T13:24:50.190547</t>
  </si>
  <si>
    <t>2026-09-03T13:24:50.170503</t>
  </si>
  <si>
    <t>2026-09-03T13:24:50.154455</t>
  </si>
  <si>
    <t>2026-09-03T13:24:50.115758</t>
  </si>
  <si>
    <t>2026-09-03T13:24:33.338782</t>
  </si>
  <si>
    <t>2026-09-03T13:24:33.322959</t>
  </si>
  <si>
    <t>2026-09-03T13:24:14.218011</t>
  </si>
  <si>
    <t>2026-09-03T13:24:14.190415</t>
  </si>
  <si>
    <t>2026-09-03T13:24:14.173511</t>
  </si>
  <si>
    <t>2026-09-03T13:24:14.145022</t>
  </si>
  <si>
    <t>2026-09-03T13:24:14.122887</t>
  </si>
  <si>
    <t>2026-09-03T13:24:14.104270</t>
  </si>
  <si>
    <t>2026-09-03T13:24:14.088921</t>
  </si>
  <si>
    <t>2026-09-03T13:24:14.060322</t>
  </si>
  <si>
    <t>2026-09-03T13:24:14.027402</t>
  </si>
  <si>
    <t>2026-09-03T13:24:13.997484</t>
  </si>
  <si>
    <t>2026-09-03T13:24:13.944188</t>
  </si>
  <si>
    <t>2026-09-03T13:24:13.905908</t>
  </si>
  <si>
    <t>2026-09-03T13:24:13.651876</t>
  </si>
  <si>
    <t>2026-09-03T13:24:13.611341</t>
  </si>
  <si>
    <t>2026-09-03T13:24:13.568989</t>
  </si>
  <si>
    <t>2026-09-03T13:24:13.520715</t>
  </si>
  <si>
    <t>2026-09-03T13:24:13.490976</t>
  </si>
  <si>
    <t>2026-09-03T13:24:13.479413</t>
  </si>
  <si>
    <t>2026-09-03T13:24:13.457892</t>
  </si>
  <si>
    <t>2026-09-03T13:24:13.438785</t>
  </si>
  <si>
    <t>2026-09-03T13:24:13.421500</t>
  </si>
  <si>
    <t>2026-09-03T13:24:13.412676</t>
  </si>
  <si>
    <t>2026-09-03T13:24:13.389548</t>
  </si>
  <si>
    <t>2026-09-03T13:24:13.369724</t>
  </si>
  <si>
    <t>2026-09-03T13:24:13.354170</t>
  </si>
  <si>
    <t>2026-09-03T13:24:13.336843</t>
  </si>
  <si>
    <t>2026-09-03T13:24:13.312599</t>
  </si>
  <si>
    <t>2026-09-03T13:24:13.293795</t>
  </si>
  <si>
    <t>2026-09-03T13:24:13.254819</t>
  </si>
  <si>
    <t>2026-09-03T13:24:13.237248</t>
  </si>
  <si>
    <t>2026-09-03T13:24:13.213009</t>
  </si>
  <si>
    <t>2026-09-03T13:24:13.190870</t>
  </si>
  <si>
    <t>2026-09-03T13:24:13.168209</t>
  </si>
  <si>
    <t>2026-09-03T13:24:13.155314</t>
  </si>
  <si>
    <t>2026-09-03T13:24:13.132400</t>
  </si>
  <si>
    <t>2026-09-03T13:24:13.099264</t>
  </si>
  <si>
    <t>2026-09-03T13:24:13.086486</t>
  </si>
  <si>
    <t>2026-09-03T13:24:13.053774</t>
  </si>
  <si>
    <t>2026-09-03T13:24:13.045522</t>
  </si>
  <si>
    <t>2026-09-03T13:24:13.005503</t>
  </si>
  <si>
    <t>2026-09-03T13:24:13.000500</t>
  </si>
  <si>
    <t>2026-09-03T13:24:12.974135</t>
  </si>
  <si>
    <t>2026-09-03T13:24:12.959457</t>
  </si>
  <si>
    <t>2026-09-03T13:24:05.627332</t>
  </si>
  <si>
    <t>2026-09-03T13:24:05.612140</t>
  </si>
  <si>
    <t>2026-09-03T13:24:05.590401</t>
  </si>
  <si>
    <t>2026-09-03T13:24:05.574091</t>
  </si>
  <si>
    <t>2026-09-03T13:24:05.553007</t>
  </si>
  <si>
    <t>2026-09-03T13:24:05.531775</t>
  </si>
  <si>
    <t>2026-09-03T13:24:05.509364</t>
  </si>
  <si>
    <t>2026-09-03T13:24:05.494705</t>
  </si>
  <si>
    <t>2026-09-03T13:24:05.476309</t>
  </si>
  <si>
    <t>2026-09-03T13:24:05.459232</t>
  </si>
  <si>
    <t>2026-09-03T13:24:05.435550</t>
  </si>
  <si>
    <t>2026-09-03T13:24:05.408458</t>
  </si>
  <si>
    <t>2026-09-03T13:24:05.386841</t>
  </si>
  <si>
    <t>2026-09-03T13:24:05.368645</t>
  </si>
  <si>
    <t>2026-09-03T13:24:05.348657</t>
  </si>
  <si>
    <t>2026-09-03T13:24:05.334902</t>
  </si>
  <si>
    <t>2026-09-03T13:24:05.315137</t>
  </si>
  <si>
    <t>2026-09-03T13:24:05.296262</t>
  </si>
  <si>
    <t>2026-09-03T13:24:05.278203</t>
  </si>
  <si>
    <t>2026-09-03T13:24:05.261540</t>
  </si>
  <si>
    <t>2026-09-03T13:24:05.244325</t>
  </si>
  <si>
    <t>2026-09-03T13:24:05.225628</t>
  </si>
  <si>
    <t>2026-09-03T13:24:05.204317</t>
  </si>
  <si>
    <t>2026-09-03T13:24:05.182112</t>
  </si>
  <si>
    <t>2026-09-03T13:24:05.164211</t>
  </si>
  <si>
    <t>2026-09-03T13:24:05.146546</t>
  </si>
  <si>
    <t>2026-09-03T13:24:05.131685</t>
  </si>
  <si>
    <t>2026-09-03T13:24:05.108153</t>
  </si>
  <si>
    <t>2026-09-03T13:24:05.083995</t>
  </si>
  <si>
    <t>2026-09-03T13:24:05.063954</t>
  </si>
  <si>
    <t>2026-09-03T13:24:05.043243</t>
  </si>
  <si>
    <t>2026-09-03T13:24:05.023700</t>
  </si>
  <si>
    <t>2026-09-03T13:24:05.010947</t>
  </si>
  <si>
    <t>2026-09-03T13:24:04.995748</t>
  </si>
  <si>
    <t>2026-09-03T13:24:04.979616</t>
  </si>
  <si>
    <t>2026-09-03T13:24:04.966990</t>
  </si>
  <si>
    <t>2026-09-03T13:24:04.952880</t>
  </si>
  <si>
    <t>2026-09-03T13:24:04.932126</t>
  </si>
  <si>
    <t>2026-09-03T13:24:04.911964</t>
  </si>
  <si>
    <t>2026-09-03T13:24:04.890949</t>
  </si>
  <si>
    <t>2026-09-03T13:24:04.869672</t>
  </si>
  <si>
    <t>2026-09-03T13:24:04.843843</t>
  </si>
  <si>
    <t>2026-09-03T13:24:04.820880</t>
  </si>
  <si>
    <t>2026-09-03T13:24:04.800330</t>
  </si>
  <si>
    <t>2026-09-03T13:24:04.783426</t>
  </si>
  <si>
    <t>2026-09-03T13:24:04.757672</t>
  </si>
  <si>
    <t>2026-09-03T13:24:04.740113</t>
  </si>
  <si>
    <t>2026-09-03T13:24:04.723837</t>
  </si>
  <si>
    <t>2026-09-03T13:24:04.697459</t>
  </si>
  <si>
    <t>2026-09-03T13:24:04.680079</t>
  </si>
  <si>
    <t>2026-09-03T13:24:04.653102</t>
  </si>
  <si>
    <t>2026-09-03T13:24:04.642719</t>
  </si>
  <si>
    <t>2026-09-03T13:24:04.620860</t>
  </si>
  <si>
    <t>2026-09-03T13:24:04.604544</t>
  </si>
  <si>
    <t>2026-09-03T13:24:04.587359</t>
  </si>
  <si>
    <t>2026-09-03T13:24:04.566566</t>
  </si>
  <si>
    <t>2026-09-03T13:24:04.545994</t>
  </si>
  <si>
    <t>2026-09-03T13:24:04.524425</t>
  </si>
  <si>
    <t>2026-09-03T13:24:04.505464</t>
  </si>
  <si>
    <t>2026-09-03T13:24:04.490872</t>
  </si>
  <si>
    <t>2026-09-03T13:24:04.468957</t>
  </si>
  <si>
    <t>2026-09-03T13:24:04.448938</t>
  </si>
  <si>
    <t>2026-09-03T13:24:04.431618</t>
  </si>
  <si>
    <t>2026-09-03T13:24:04.411103</t>
  </si>
  <si>
    <t>2026-09-03T13:24:04.395490</t>
  </si>
  <si>
    <t>2026-09-03T13:24:04.359383</t>
  </si>
  <si>
    <t>2026-09-03T13:24:04.324449</t>
  </si>
  <si>
    <t>2026-09-03T13:24:04.299526</t>
  </si>
  <si>
    <t>2026-09-03T13:24:04.280520</t>
  </si>
  <si>
    <t>2026-09-03T13:24:04.259771</t>
  </si>
  <si>
    <t>2026-09-03T13:24:04.250724</t>
  </si>
  <si>
    <t>2026-09-03T13:24:04.238810</t>
  </si>
  <si>
    <t>2026-09-03T13:24:04.228984</t>
  </si>
  <si>
    <t>2026-09-03T13:24:04.147124</t>
  </si>
  <si>
    <t>2026-09-03T13:24:04.132994</t>
  </si>
  <si>
    <t>2026-09-03T13:24:04.121186</t>
  </si>
  <si>
    <t>2026-09-03T13:24:04.111754</t>
  </si>
  <si>
    <t>2026-09-03T13:24:04.100415</t>
  </si>
  <si>
    <t>2026-09-03T13:24:04.026928</t>
  </si>
  <si>
    <t>2026-09-03T13:24:04.014153</t>
  </si>
  <si>
    <t>2026-09-03T13:24:03.996779</t>
  </si>
  <si>
    <t>2026-09-03T13:24:03.981793</t>
  </si>
  <si>
    <t>2026-09-03T13:24:03.963014</t>
  </si>
  <si>
    <t>2026-09-03T13:24:03.945952</t>
  </si>
  <si>
    <t>2026-09-03T13:24:03.932001</t>
  </si>
  <si>
    <t>2026-09-03T13:24:03.918128</t>
  </si>
  <si>
    <t>2026-09-03T13:24:03.893200</t>
  </si>
  <si>
    <t>2026-09-03T13:24:03.878549</t>
  </si>
  <si>
    <t>2026-09-03T13:24:03.862617</t>
  </si>
  <si>
    <t>2026-09-03T13:24:03.842390</t>
  </si>
  <si>
    <t>2026-09-03T13:24:03.823347</t>
  </si>
  <si>
    <t>2026-09-03T13:24:03.807322</t>
  </si>
  <si>
    <t>2026-09-03T13:24:03.780364</t>
  </si>
  <si>
    <t>2026-09-03T13:24:03.759255</t>
  </si>
  <si>
    <t>2026-09-03T13:24:03.744578</t>
  </si>
  <si>
    <t>2026-09-03T13:24:03.726762</t>
  </si>
  <si>
    <t>2026-09-03T13:24:03.707390</t>
  </si>
  <si>
    <t>2026-09-03T13:24:03.685899</t>
  </si>
  <si>
    <t>2026-09-03T13:24:03.673345</t>
  </si>
  <si>
    <t>2026-09-03T13:24:03.655285</t>
  </si>
  <si>
    <t>2026-09-03T13:24:03.637509</t>
  </si>
  <si>
    <t>2026-09-03T13:24:03.619422</t>
  </si>
  <si>
    <t>2026-09-03T13:24:03.600427</t>
  </si>
  <si>
    <t>2026-09-03T13:24:03.579541</t>
  </si>
  <si>
    <t>2026-09-03T13:24:03.556392</t>
  </si>
  <si>
    <t>2026-09-03T13:24:03.537420</t>
  </si>
  <si>
    <t>2026-09-03T13:24:03.515286</t>
  </si>
  <si>
    <t>2026-09-03T13:24:03.498621</t>
  </si>
  <si>
    <t>2026-09-03T13:24:03.475453</t>
  </si>
  <si>
    <t>2026-09-03T13:24:03.460642</t>
  </si>
  <si>
    <t>2026-09-03T13:24:03.439561</t>
  </si>
  <si>
    <t>2026-09-03T13:24:03.420480</t>
  </si>
  <si>
    <t>2026-09-03T13:24:03.403175</t>
  </si>
  <si>
    <t>2026-09-03T13:24:03.380614</t>
  </si>
  <si>
    <t>2026-09-03T13:24:03.364137</t>
  </si>
  <si>
    <t>2026-09-03T13:24:03.336364</t>
  </si>
  <si>
    <t>2026-09-03T13:24:03.316158</t>
  </si>
  <si>
    <t>2026-09-03T13:24:03.300435</t>
  </si>
  <si>
    <t>2026-09-03T13:24:03.275344</t>
  </si>
  <si>
    <t>2026-09-03T13:24:03.239506</t>
  </si>
  <si>
    <t>2026-09-03T13:24:03.205021</t>
  </si>
  <si>
    <t>2026-09-03T13:24:03.142374</t>
  </si>
  <si>
    <t>2026-09-03T13:24:03.085697</t>
  </si>
  <si>
    <t>2026-09-03T13:24:03.032672</t>
  </si>
  <si>
    <t>2026-09-03T13:24:03.011500</t>
  </si>
  <si>
    <t>2026-09-03T13:24:02.994866</t>
  </si>
  <si>
    <t>2026-09-03T13:24:02.980886</t>
  </si>
  <si>
    <t>2026-09-03T13:24:02.961899</t>
  </si>
  <si>
    <t>2026-09-03T13:24:02.941407</t>
  </si>
  <si>
    <t>2026-09-03T13:24:02.924446</t>
  </si>
  <si>
    <t>2026-09-03T13:24:02.908176</t>
  </si>
  <si>
    <t>2026-09-03T13:24:02.891261</t>
  </si>
  <si>
    <t>2026-09-03T13:24:02.866734</t>
  </si>
  <si>
    <t>2026-09-03T13:24:02.830579</t>
  </si>
  <si>
    <t>2026-09-03T13:24:02.802239</t>
  </si>
  <si>
    <t>2026-09-03T13:24:02.774658</t>
  </si>
  <si>
    <t>2026-09-03T13:24:02.749953</t>
  </si>
  <si>
    <t>2026-09-03T13:24:02.718774</t>
  </si>
  <si>
    <t>2026-09-03T13:24:02.689736</t>
  </si>
  <si>
    <t>2026-09-03T13:24:02.669251</t>
  </si>
  <si>
    <t>2026-09-03T13:24:02.643817</t>
  </si>
  <si>
    <t>2026-09-03T13:24:02.629560</t>
  </si>
  <si>
    <t>2026-09-03T13:24:02.599585</t>
  </si>
  <si>
    <t>2026-09-03T13:24:02.578683</t>
  </si>
  <si>
    <t>2026-09-03T13:24:02.558383</t>
  </si>
  <si>
    <t>2026-09-03T13:24:02.529231</t>
  </si>
  <si>
    <t>2026-09-03T13:24:02.496294</t>
  </si>
  <si>
    <t>2026-09-03T13:24:02.472764</t>
  </si>
  <si>
    <t>2026-09-03T13:24:02.445545</t>
  </si>
  <si>
    <t>2026-09-03T13:24:02.432570</t>
  </si>
  <si>
    <t>2026-09-03T13:24:02.414935</t>
  </si>
  <si>
    <t>2026-09-03T13:24:02.399945</t>
  </si>
  <si>
    <t>2026-09-03T13:24:02.379691</t>
  </si>
  <si>
    <t>2026-09-03T13:24:02.362646</t>
  </si>
  <si>
    <t>2026-09-03T13:24:02.345239</t>
  </si>
  <si>
    <t>2026-09-03T13:24:02.329898</t>
  </si>
  <si>
    <t>2026-09-03T13:24:02.308204</t>
  </si>
  <si>
    <t>2026-09-03T13:24:02.293363</t>
  </si>
  <si>
    <t>2026-09-03T13:24:02.273557</t>
  </si>
  <si>
    <t>2026-09-03T13:24:02.251610</t>
  </si>
  <si>
    <t>2026-09-03T13:24:02.238979</t>
  </si>
  <si>
    <t>2026-09-03T13:24:02.223046</t>
  </si>
  <si>
    <t>2026-09-03T13:24:02.207049</t>
  </si>
  <si>
    <t>2026-09-03T13:24:02.189306</t>
  </si>
  <si>
    <t>2026-09-03T13:24:02.169442</t>
  </si>
  <si>
    <t>2026-09-03T13:24:02.152772</t>
  </si>
  <si>
    <t>2026-09-03T13:24:02.134023</t>
  </si>
  <si>
    <t>2026-09-03T13:24:02.115374</t>
  </si>
  <si>
    <t>2026-09-03T13:24:02.094039</t>
  </si>
  <si>
    <t>2026-09-03T13:24:02.076052</t>
  </si>
  <si>
    <t>2026-09-03T13:24:02.051768</t>
  </si>
  <si>
    <t>2026-09-03T13:24:02.029125</t>
  </si>
  <si>
    <t>2026-09-03T13:24:02.012764</t>
  </si>
  <si>
    <t>2026-09-03T13:24:01.989352</t>
  </si>
  <si>
    <t>2026-09-03T13:24:01.968038</t>
  </si>
  <si>
    <t>2026-09-03T13:24:01.942854</t>
  </si>
  <si>
    <t>2026-09-03T13:24:01.923349</t>
  </si>
  <si>
    <t>2026-09-03T13:24:01.899508</t>
  </si>
  <si>
    <t>2026-09-03T13:24:01.879231</t>
  </si>
  <si>
    <t>2026-09-03T13:24:01.842900</t>
  </si>
  <si>
    <t>2026-09-03T13:24:01.820652</t>
  </si>
  <si>
    <t>2026-09-03T13:24:01.782157</t>
  </si>
  <si>
    <t>2026-09-03T13:24:01.758318</t>
  </si>
  <si>
    <t>2026-09-03T13:24:01.722631</t>
  </si>
  <si>
    <t>2026-09-03T13:24:01.700203</t>
  </si>
  <si>
    <t>2026-09-03T13:24:01.673637</t>
  </si>
  <si>
    <t>2026-09-03T13:24:01.646498</t>
  </si>
  <si>
    <t>2026-09-03T13:24:01.612596</t>
  </si>
  <si>
    <t>2026-09-03T13:24:01.590842</t>
  </si>
  <si>
    <t>2026-09-03T13:24:01.566844</t>
  </si>
  <si>
    <t>2026-09-03T13:24:01.543973</t>
  </si>
  <si>
    <t>2026-09-03T13:24:01.518241</t>
  </si>
  <si>
    <t>2026-09-03T13:24:01.504881</t>
  </si>
  <si>
    <t>2026-09-03T13:24:01.481868</t>
  </si>
  <si>
    <t>2026-09-03T13:24:01.469999</t>
  </si>
  <si>
    <t>2026-09-03T13:24:01.455116</t>
  </si>
  <si>
    <t>2026-09-03T13:24:01.433041</t>
  </si>
  <si>
    <t>2026-09-03T13:24:01.415318</t>
  </si>
  <si>
    <t>2026-09-03T13:24:01.402339</t>
  </si>
  <si>
    <t>2026-09-03T13:24:01.388663</t>
  </si>
  <si>
    <t>2026-09-03T13:24:01.370524</t>
  </si>
  <si>
    <t>2026-09-03T13:24:01.358643</t>
  </si>
  <si>
    <t>2026-09-03T13:24:01.337063</t>
  </si>
  <si>
    <t>2026-09-03T13:24:01.307043</t>
  </si>
  <si>
    <t>2026-09-03T13:24:01.270497</t>
  </si>
  <si>
    <t>2026-09-03T13:24:01.240514</t>
  </si>
  <si>
    <t>2026-09-03T13:24:01.195231</t>
  </si>
  <si>
    <t>2026-09-03T13:24:01.129297</t>
  </si>
  <si>
    <t>2026-09-03T13:24:01.082171</t>
  </si>
  <si>
    <t>2026-09-03T13:24:01.032906</t>
  </si>
  <si>
    <t>2026-09-03T13:24:00.968657</t>
  </si>
  <si>
    <t>2026-09-03T13:24:00.929221</t>
  </si>
  <si>
    <t>2026-09-03T13:24:00.900800</t>
  </si>
  <si>
    <t>2026-09-03T13:24:00.878362</t>
  </si>
  <si>
    <t>2026-09-03T13:24:00.859534</t>
  </si>
  <si>
    <t>2026-09-03T13:24:00.835031</t>
  </si>
  <si>
    <t>2026-09-03T13:24:00.820650</t>
  </si>
  <si>
    <t>2026-09-03T13:24:00.797613</t>
  </si>
  <si>
    <t>2026-09-03T13:24:00.779384</t>
  </si>
  <si>
    <t>2026-09-03T13:24:00.758874</t>
  </si>
  <si>
    <t>2026-09-03T13:24:00.731292</t>
  </si>
  <si>
    <t>2026-09-03T13:24:00.712284</t>
  </si>
  <si>
    <t>2026-09-03T13:24:00.682705</t>
  </si>
  <si>
    <t>2026-09-03T13:24:00.661806</t>
  </si>
  <si>
    <t>2026-09-03T13:24:00.642612</t>
  </si>
  <si>
    <t>2026-09-03T13:24:00.630122</t>
  </si>
  <si>
    <t>2026-09-03T13:24:00.602330</t>
  </si>
  <si>
    <t>2026-09-03T13:24:00.585446</t>
  </si>
  <si>
    <t>2026-09-03T13:24:00.562442</t>
  </si>
  <si>
    <t>2026-09-03T13:24:00.540290</t>
  </si>
  <si>
    <t>2026-09-03T13:24:00.522119</t>
  </si>
  <si>
    <t>2026-09-03T13:24:00.494356</t>
  </si>
  <si>
    <t>2026-09-03T13:24:00.466863</t>
  </si>
  <si>
    <t>2026-09-03T13:24:00.432080</t>
  </si>
  <si>
    <t>2026-09-03T13:24:00.403098</t>
  </si>
  <si>
    <t>2026-09-03T13:24:00.376454</t>
  </si>
  <si>
    <t>2026-09-03T13:24:00.354052</t>
  </si>
  <si>
    <t>2026-09-03T13:24:00.315512</t>
  </si>
  <si>
    <t>2026-09-03T13:24:00.272304</t>
  </si>
  <si>
    <t>2026-09-03T13:24:00.242961</t>
  </si>
  <si>
    <t>2026-09-03T13:24:00.181813</t>
  </si>
  <si>
    <t>2026-09-03T13:24:00.119747</t>
  </si>
  <si>
    <t>2026-09-03T13:24:00.088572</t>
  </si>
  <si>
    <t>2026-09-03T13:24:00.044449</t>
  </si>
  <si>
    <t>2026-09-03T13:24:00.009915</t>
  </si>
  <si>
    <t>2026-09-03T13:23:59.983248</t>
  </si>
  <si>
    <t>2026-09-03T13:23:59.949693</t>
  </si>
  <si>
    <t>2026-09-03T13:23:59.922178</t>
  </si>
  <si>
    <t>2026-09-03T13:23:59.891102</t>
  </si>
  <si>
    <t>2026-09-03T13:23:59.863162</t>
  </si>
  <si>
    <t>2026-09-03T13:23:59.840358</t>
  </si>
  <si>
    <t>2026-09-03T13:23:59.819174</t>
  </si>
  <si>
    <t>2026-09-03T13:23:59.793922</t>
  </si>
  <si>
    <t>2026-09-03T13:23:59.766784</t>
  </si>
  <si>
    <t>2026-09-03T13:23:59.730699</t>
  </si>
  <si>
    <t>2026-09-03T13:23:59.715523</t>
  </si>
  <si>
    <t>2026-09-03T13:23:59.684742</t>
  </si>
  <si>
    <t>2026-09-03T13:23:59.667918</t>
  </si>
  <si>
    <t>2026-09-03T13:23:59.612379</t>
  </si>
  <si>
    <t>2026-09-03T13:23:59.571310</t>
  </si>
  <si>
    <t>2026-09-03T13:23:59.543875</t>
  </si>
  <si>
    <t>2026-09-03T13:23:59.526540</t>
  </si>
  <si>
    <t>2026-09-03T13:23:59.496458</t>
  </si>
  <si>
    <t>2026-09-03T13:23:59.468229</t>
  </si>
  <si>
    <t>2026-09-03T13:23:59.432100</t>
  </si>
  <si>
    <t>2026-09-03T13:23:59.404380</t>
  </si>
  <si>
    <t>2026-09-03T13:23:59.364086</t>
  </si>
  <si>
    <t>2026-09-03T13:23:59.327266</t>
  </si>
  <si>
    <t>2026-09-03T13:23:59.297141</t>
  </si>
  <si>
    <t>2026-09-03T13:23:59.253128</t>
  </si>
  <si>
    <t>2026-09-03T13:23:59.231888</t>
  </si>
  <si>
    <t>2026-09-03T13:23:59.215440</t>
  </si>
  <si>
    <t>2026-09-03T13:23:59.177074</t>
  </si>
  <si>
    <t>2026-09-03T13:23:59.155208</t>
  </si>
  <si>
    <t>2026-09-03T13:23:59.122757</t>
  </si>
  <si>
    <t>2026-09-03T13:23:59.084949</t>
  </si>
  <si>
    <t>2026-09-03T13:23:59.065366</t>
  </si>
  <si>
    <t>2026-09-03T13:23:59.048881</t>
  </si>
  <si>
    <t>2026-09-03T13:23:59.029469</t>
  </si>
  <si>
    <t>2026-09-03T13:23:59.014098</t>
  </si>
  <si>
    <t>2026-09-03T13:23:58.995441</t>
  </si>
  <si>
    <t>2026-09-03T13:23:58.918570</t>
  </si>
  <si>
    <t>2026-09-03T13:23:58.833675</t>
  </si>
  <si>
    <t>2026-09-03T13:23:58.695730</t>
  </si>
  <si>
    <t>2026-09-03T13:23:58.624393</t>
  </si>
  <si>
    <t>2026-09-03T13:23:58.592833</t>
  </si>
  <si>
    <t>2026-09-03T13:23:58.557891</t>
  </si>
  <si>
    <t>2026-09-03T13:23:58.536043</t>
  </si>
  <si>
    <t>2026-09-03T13:23:58.509460</t>
  </si>
  <si>
    <t>2026-09-03T13:23:58.490146</t>
  </si>
  <si>
    <t>2026-09-03T13:23:58.474293</t>
  </si>
  <si>
    <t>2026-09-03T13:23:58.456074</t>
  </si>
  <si>
    <t>2026-09-03T13:23:58.432036</t>
  </si>
  <si>
    <t>2026-09-03T13:23:58.411510</t>
  </si>
  <si>
    <t>2026-09-03T13:23:58.400307</t>
  </si>
  <si>
    <t>2026-09-03T13:23:58.375302</t>
  </si>
  <si>
    <t>2026-09-03T13:23:58.349803</t>
  </si>
  <si>
    <t>2026-09-03T13:23:58.328469</t>
  </si>
  <si>
    <t>2026-09-03T13:23:58.304359</t>
  </si>
  <si>
    <t>2026-09-03T13:23:58.236494</t>
  </si>
  <si>
    <t>2026-09-03T13:23:58.192849</t>
  </si>
  <si>
    <t>2026-09-03T13:23:58.158981</t>
  </si>
  <si>
    <t>2026-09-03T13:23:58.097633</t>
  </si>
  <si>
    <t>2026-09-03T13:23:58.049639</t>
  </si>
  <si>
    <t>2026-09-03T13:23:58.014274</t>
  </si>
  <si>
    <t>2026-09-03T13:23:57.962160</t>
  </si>
  <si>
    <t>2026-09-03T13:23:57.900593</t>
  </si>
  <si>
    <t>2026-09-03T13:23:57.835003</t>
  </si>
  <si>
    <t>2026-09-03T13:23:57.744093</t>
  </si>
  <si>
    <t>2026-09-03T13:23:57.695717</t>
  </si>
  <si>
    <t>2026-09-03T13:23:57.656418</t>
  </si>
  <si>
    <t>2026-09-03T13:23:57.586858</t>
  </si>
  <si>
    <t>2026-09-03T13:23:57.538806</t>
  </si>
  <si>
    <t>2026-09-03T13:23:57.490564</t>
  </si>
  <si>
    <t>2026-09-03T13:23:57.396971</t>
  </si>
  <si>
    <t>2026-09-03T13:23:57.348427</t>
  </si>
  <si>
    <t>2026-09-03T13:23:57.309446</t>
  </si>
  <si>
    <t>2026-09-03T13:23:57.245355</t>
  </si>
  <si>
    <t>2026-09-03T13:23:57.181797</t>
  </si>
  <si>
    <t>2026-09-03T13:23:57.064925</t>
  </si>
  <si>
    <t>2026-09-03T13:23:57.017030</t>
  </si>
  <si>
    <t>2026-09-03T13:23:56.995572</t>
  </si>
  <si>
    <t>2026-09-03T13:23:56.974845</t>
  </si>
  <si>
    <t>2026-09-03T13:23:56.954852</t>
  </si>
  <si>
    <t>2026-09-03T13:23:56.941096</t>
  </si>
  <si>
    <t>2026-09-03T13:23:56.927119</t>
  </si>
  <si>
    <t>2026-09-03T13:23:56.905567</t>
  </si>
  <si>
    <t>2026-09-03T13:23:56.878645</t>
  </si>
  <si>
    <t>2026-09-03T13:23:56.863571</t>
  </si>
  <si>
    <t>2026-09-03T13:23:56.842290</t>
  </si>
  <si>
    <t>2026-09-03T13:23:56.832055</t>
  </si>
  <si>
    <t>2026-09-03T13:23:56.814396</t>
  </si>
  <si>
    <t>2026-09-03T13:23:56.793906</t>
  </si>
  <si>
    <t>2026-09-03T13:23:56.778353</t>
  </si>
  <si>
    <t>2026-09-03T13:23:56.758836</t>
  </si>
  <si>
    <t>2026-09-03T13:23:56.745512</t>
  </si>
  <si>
    <t>2026-09-03T13:23:56.724124</t>
  </si>
  <si>
    <t>2026-09-03T13:23:56.712212</t>
  </si>
  <si>
    <t>2026-09-03T13:23:56.696228</t>
  </si>
  <si>
    <t>2026-09-03T13:23:56.681058</t>
  </si>
  <si>
    <t>2026-09-03T13:23:56.663158</t>
  </si>
  <si>
    <t>2026-09-03T13:23:56.648750</t>
  </si>
  <si>
    <t>2026-09-03T13:23:56.624094</t>
  </si>
  <si>
    <t>2026-09-03T13:23:56.607025</t>
  </si>
  <si>
    <t>2026-09-03T13:23:56.594410</t>
  </si>
  <si>
    <t>2026-09-03T13:23:56.569829</t>
  </si>
  <si>
    <t>2026-09-03T13:23:56.552494</t>
  </si>
  <si>
    <t>2026-09-03T13:23:56.536891</t>
  </si>
  <si>
    <t>2026-09-03T13:23:56.514456</t>
  </si>
  <si>
    <t>2026-09-03T13:23:56.490259</t>
  </si>
  <si>
    <t>2026-09-03T13:23:56.468028</t>
  </si>
  <si>
    <t>2026-09-03T13:23:56.450029</t>
  </si>
  <si>
    <t>2026-09-03T13:23:56.433427</t>
  </si>
  <si>
    <t>2026-09-03T13:23:56.418372</t>
  </si>
  <si>
    <t>2026-09-03T13:23:56.397713</t>
  </si>
  <si>
    <t>2026-09-03T13:23:56.382727</t>
  </si>
  <si>
    <t>2026-09-03T13:23:56.370721</t>
  </si>
  <si>
    <t>2026-09-03T13:23:56.346006</t>
  </si>
  <si>
    <t>2026-09-03T13:23:56.329426</t>
  </si>
  <si>
    <t>2026-09-03T13:23:56.315419</t>
  </si>
  <si>
    <t>2026-09-03T13:23:56.293581</t>
  </si>
  <si>
    <t>2026-09-03T13:23:56.277523</t>
  </si>
  <si>
    <t>2026-09-03T13:23:56.265554</t>
  </si>
  <si>
    <t>2026-09-03T13:23:56.236765</t>
  </si>
  <si>
    <t>2026-09-03T13:23:56.227257</t>
  </si>
  <si>
    <t>2026-09-03T13:23:56.195857</t>
  </si>
  <si>
    <t>2026-09-03T13:23:56.188634</t>
  </si>
  <si>
    <t>2026-09-03T13:23:56.155057</t>
  </si>
  <si>
    <t>2026-09-03T13:23:56.134195</t>
  </si>
  <si>
    <t>2026-09-03T13:23:56.112807</t>
  </si>
  <si>
    <t>2026-09-03T13:23:56.091430</t>
  </si>
  <si>
    <t>2026-09-03T13:23:56.073568</t>
  </si>
  <si>
    <t>2026-09-03T13:23:56.039710</t>
  </si>
  <si>
    <t>2026-09-03T13:23:56.022496</t>
  </si>
  <si>
    <t>2026-09-03T13:23:56.001887</t>
  </si>
  <si>
    <t>2026-09-03T13:23:55.969486</t>
  </si>
  <si>
    <t>2026-09-03T13:23:55.949257</t>
  </si>
  <si>
    <t>2026-09-03T13:23:55.928403</t>
  </si>
  <si>
    <t>2026-09-03T13:23:55.890290</t>
  </si>
  <si>
    <t>2026-09-03T13:23:55.887390</t>
  </si>
  <si>
    <t>2026-09-03T13:23:55.857341</t>
  </si>
  <si>
    <t>2026-09-03T13:23:55.829363</t>
  </si>
  <si>
    <t>2026-09-03T13:23:55.804950</t>
  </si>
  <si>
    <t>2026-09-03T13:23:55.771325</t>
  </si>
  <si>
    <t>2026-09-03T13:23:55.733528</t>
  </si>
  <si>
    <t>2026-09-03T13:23:55.701482</t>
  </si>
  <si>
    <t>2026-09-03T13:23:55.670113</t>
  </si>
  <si>
    <t>2026-09-03T13:23:55.651089</t>
  </si>
  <si>
    <t>2026-09-03T13:23:55.621217</t>
  </si>
  <si>
    <t>2026-09-03T13:23:55.597391</t>
  </si>
  <si>
    <t>2026-09-03T13:23:55.583903</t>
  </si>
  <si>
    <t>2026-09-03T13:23:55.565065</t>
  </si>
  <si>
    <t>2026-09-03T13:23:55.551438</t>
  </si>
  <si>
    <t>2026-09-03T13:23:55.526312</t>
  </si>
  <si>
    <t>2026-09-03T13:23:55.516168</t>
  </si>
  <si>
    <t>2026-09-03T13:23:55.479479</t>
  </si>
  <si>
    <t>2026-09-03T13:23:55.471166</t>
  </si>
  <si>
    <t>2026-09-03T13:23:55.440458</t>
  </si>
  <si>
    <t>2026-09-03T13:23:55.422595</t>
  </si>
  <si>
    <t>2026-09-03T13:23:55.405342</t>
  </si>
  <si>
    <t>2026-09-03T13:23:55.387389</t>
  </si>
  <si>
    <t>2026-09-03T13:23:55.363303</t>
  </si>
  <si>
    <t>2026-09-03T13:23:55.344705</t>
  </si>
  <si>
    <t>2026-09-03T13:23:55.320709</t>
  </si>
  <si>
    <t>2026-09-03T13:23:55.294312</t>
  </si>
  <si>
    <t>2026-09-03T13:23:55.270064</t>
  </si>
  <si>
    <t>2026-09-03T13:23:55.229133</t>
  </si>
  <si>
    <t>2026-09-03T13:23:55.189636</t>
  </si>
  <si>
    <t>2026-09-03T13:23:55.156589</t>
  </si>
  <si>
    <t>2026-09-03T13:23:55.135879</t>
  </si>
  <si>
    <t>2026-09-03T13:23:55.095931</t>
  </si>
  <si>
    <t>2026-09-03T13:23:55.063138</t>
  </si>
  <si>
    <t>2026-09-03T13:23:55.035389</t>
  </si>
  <si>
    <t>2026-09-03T13:23:55.008768</t>
  </si>
  <si>
    <t>2026-09-03T13:23:54.981160</t>
  </si>
  <si>
    <t>2026-09-03T13:23:54.953750</t>
  </si>
  <si>
    <t>2026-09-03T13:23:54.935554</t>
  </si>
  <si>
    <t>2026-09-03T13:23:54.918532</t>
  </si>
  <si>
    <t>2026-09-03T13:23:54.900209</t>
  </si>
  <si>
    <t>2026-09-03T13:23:54.885926</t>
  </si>
  <si>
    <t>2026-09-03T13:23:54.865932</t>
  </si>
  <si>
    <t>2026-09-03T13:23:54.843962</t>
  </si>
  <si>
    <t>2026-09-03T13:23:54.822965</t>
  </si>
  <si>
    <t>2026-09-03T13:23:54.808244</t>
  </si>
  <si>
    <t>2026-09-03T13:23:54.793464</t>
  </si>
  <si>
    <t>2026-09-03T13:23:54.778318</t>
  </si>
  <si>
    <t>2026-09-03T13:23:54.755947</t>
  </si>
  <si>
    <t>2026-09-03T13:23:54.738167</t>
  </si>
  <si>
    <t>2026-09-03T13:23:54.716055</t>
  </si>
  <si>
    <t>2026-09-03T13:23:54.697849</t>
  </si>
  <si>
    <t>2026-09-03T13:23:54.676890</t>
  </si>
  <si>
    <t>2026-09-03T13:23:54.655573</t>
  </si>
  <si>
    <t>2026-09-03T13:23:54.641161</t>
  </si>
  <si>
    <t>2026-09-03T13:23:54.621843</t>
  </si>
  <si>
    <t>2026-09-03T13:23:54.606654</t>
  </si>
  <si>
    <t>2026-09-03T13:23:54.590896</t>
  </si>
  <si>
    <t>2026-09-03T13:23:54.550187</t>
  </si>
  <si>
    <t>2026-09-03T13:23:54.523558</t>
  </si>
  <si>
    <t>2026-09-03T13:23:54.476174</t>
  </si>
  <si>
    <t>2026-09-03T13:23:54.405860</t>
  </si>
  <si>
    <t>2026-09-03T13:23:54.362644</t>
  </si>
  <si>
    <t>2026-09-03T13:23:54.349603</t>
  </si>
  <si>
    <t>2026-09-03T13:23:54.330321</t>
  </si>
  <si>
    <t>2026-09-03T13:23:54.316414</t>
  </si>
  <si>
    <t>2026-09-03T13:23:54.298524</t>
  </si>
  <si>
    <t>2026-09-03T13:23:54.283350</t>
  </si>
  <si>
    <t>2026-09-03T13:23:54.259866</t>
  </si>
  <si>
    <t>2026-09-03T13:23:54.245477</t>
  </si>
  <si>
    <t>2026-09-03T13:23:54.225704</t>
  </si>
  <si>
    <t>2026-09-03T13:23:54.204828</t>
  </si>
  <si>
    <t>2026-09-03T13:23:54.189621</t>
  </si>
  <si>
    <t>2026-09-03T13:23:54.169855</t>
  </si>
  <si>
    <t>2026-09-03T13:23:54.148122</t>
  </si>
  <si>
    <t>2026-09-03T13:23:54.128186</t>
  </si>
  <si>
    <t>2026-09-03T13:23:54.109787</t>
  </si>
  <si>
    <t>2026-09-03T13:23:54.085828</t>
  </si>
  <si>
    <t>2026-09-03T13:23:54.071602</t>
  </si>
  <si>
    <t>2026-09-03T13:23:54.050876</t>
  </si>
  <si>
    <t>2026-09-03T13:23:54.038526</t>
  </si>
  <si>
    <t>2026-09-03T13:23:54.015912</t>
  </si>
  <si>
    <t>2026-09-03T13:23:53.995612</t>
  </si>
  <si>
    <t>2026-09-03T13:23:53.983867</t>
  </si>
  <si>
    <t>2026-09-03T13:23:53.965598</t>
  </si>
  <si>
    <t>2026-09-03T13:23:53.936997</t>
  </si>
  <si>
    <t>2026-09-03T13:23:53.918790</t>
  </si>
  <si>
    <t>2026-09-03T13:23:53.894872</t>
  </si>
  <si>
    <t>2026-09-03T13:23:53.878636</t>
  </si>
  <si>
    <t>2026-09-03T13:23:53.855668</t>
  </si>
  <si>
    <t>2026-09-03T13:23:53.839866</t>
  </si>
  <si>
    <t>2026-09-03T13:23:53.821139</t>
  </si>
  <si>
    <t>2026-09-03T13:23:53.802276</t>
  </si>
  <si>
    <t>2026-09-03T13:23:53.777226</t>
  </si>
  <si>
    <t>2026-09-03T13:23:53.760540</t>
  </si>
  <si>
    <t>2026-09-03T13:23:53.735628</t>
  </si>
  <si>
    <t>2026-09-03T13:23:53.709430</t>
  </si>
  <si>
    <t>2026-09-03T13:23:53.696979</t>
  </si>
  <si>
    <t>2026-09-03T13:23:53.670779</t>
  </si>
  <si>
    <t>2026-09-03T13:23:53.653614</t>
  </si>
  <si>
    <t>2026-09-03T13:23:53.637056</t>
  </si>
  <si>
    <t>2026-09-03T13:23:53.615990</t>
  </si>
  <si>
    <t>2026-09-03T13:23:53.598809</t>
  </si>
  <si>
    <t>2026-09-03T13:23:53.578512</t>
  </si>
  <si>
    <t>2026-09-03T13:23:53.568020</t>
  </si>
  <si>
    <t>2026-09-03T13:23:53.556264</t>
  </si>
  <si>
    <t>2026-09-03T13:23:53.539969</t>
  </si>
  <si>
    <t>2026-09-03T13:23:53.525744</t>
  </si>
  <si>
    <t>2026-09-03T13:23:53.503594</t>
  </si>
  <si>
    <t>2026-09-03T13:23:53.484247</t>
  </si>
  <si>
    <t>2026-09-03T13:23:53.465924</t>
  </si>
  <si>
    <t>2026-09-03T13:23:53.447862</t>
  </si>
  <si>
    <t>2026-09-03T13:23:53.433004</t>
  </si>
  <si>
    <t>2026-09-03T13:23:53.411474</t>
  </si>
  <si>
    <t>2026-09-03T13:23:53.394806</t>
  </si>
  <si>
    <t>2026-09-03T13:23:53.378341</t>
  </si>
  <si>
    <t>2026-09-03T13:23:53.365581</t>
  </si>
  <si>
    <t>2026-09-03T13:23:53.349445</t>
  </si>
  <si>
    <t>2026-09-03T13:23:53.328388</t>
  </si>
  <si>
    <t>2026-09-03T13:23:53.315806</t>
  </si>
  <si>
    <t>2026-09-03T13:23:53.301510</t>
  </si>
  <si>
    <t>2026-09-03T13:23:53.280624</t>
  </si>
  <si>
    <t>2026-09-03T13:23:53.264809</t>
  </si>
  <si>
    <t>2026-09-03T13:23:53.248327</t>
  </si>
  <si>
    <t>2026-09-03T13:23:53.231437</t>
  </si>
  <si>
    <t>2026-09-03T13:23:53.206267</t>
  </si>
  <si>
    <t>2026-09-03T13:23:53.192136</t>
  </si>
  <si>
    <t>2026-09-03T13:23:53.177275</t>
  </si>
  <si>
    <t>2026-09-03T13:23:53.155591</t>
  </si>
  <si>
    <t>2026-09-03T13:23:53.135698</t>
  </si>
  <si>
    <t>2026-09-03T13:23:53.115916</t>
  </si>
  <si>
    <t>2026-09-03T13:23:53.099592</t>
  </si>
  <si>
    <t>2026-09-03T13:23:53.078418</t>
  </si>
  <si>
    <t>2026-09-03T13:23:53.066241</t>
  </si>
  <si>
    <t>2026-09-03T13:23:53.051577</t>
  </si>
  <si>
    <t>2026-09-03T13:23:53.037981</t>
  </si>
  <si>
    <t>2026-09-03T13:23:53.016470</t>
  </si>
  <si>
    <t>2026-09-03T13:23:53.001767</t>
  </si>
  <si>
    <t>2026-09-03T13:23:52.989234</t>
  </si>
  <si>
    <t>2026-09-03T13:23:52.959788</t>
  </si>
  <si>
    <t>2026-09-03T13:23:52.949447</t>
  </si>
  <si>
    <t>2026-09-03T13:23:52.919838</t>
  </si>
  <si>
    <t>2026-09-03T13:23:52.901799</t>
  </si>
  <si>
    <t>2026-09-03T13:23:52.883423</t>
  </si>
  <si>
    <t>2026-09-03T13:23:52.865208</t>
  </si>
  <si>
    <t>2026-09-03T13:23:52.855374</t>
  </si>
  <si>
    <t>2026-09-03T13:23:52.843444</t>
  </si>
  <si>
    <t>2026-09-03T13:23:52.821141</t>
  </si>
  <si>
    <t>2026-09-03T13:23:52.814655</t>
  </si>
  <si>
    <t>2026-09-03T13:23:52.801817</t>
  </si>
  <si>
    <t>2026-09-03T13:23:52.787318</t>
  </si>
  <si>
    <t>2026-09-03T13:23:52.768321</t>
  </si>
  <si>
    <t>2026-09-03T13:23:52.757862</t>
  </si>
  <si>
    <t>2026-09-03T13:23:52.745670</t>
  </si>
  <si>
    <t>2026-09-03T13:23:52.725061</t>
  </si>
  <si>
    <t>2026-09-03T13:23:52.710895</t>
  </si>
  <si>
    <t>2026-09-03T13:23:52.689369</t>
  </si>
  <si>
    <t>2026-09-03T13:23:52.668256</t>
  </si>
  <si>
    <t>2026-09-03T13:23:52.647842</t>
  </si>
  <si>
    <t>2026-09-03T13:23:52.636242</t>
  </si>
  <si>
    <t>2026-09-03T13:23:52.607038</t>
  </si>
  <si>
    <t>2026-09-03T13:23:52.590290</t>
  </si>
  <si>
    <t>2026-09-03T13:23:52.564722</t>
  </si>
  <si>
    <t>2026-09-03T13:23:52.551572</t>
  </si>
  <si>
    <t>2026-09-03T13:23:52.539916</t>
  </si>
  <si>
    <t>2026-09-03T13:23:52.519090</t>
  </si>
  <si>
    <t>2026-09-03T13:23:52.496371</t>
  </si>
  <si>
    <t>2026-09-03T13:23:52.461340</t>
  </si>
  <si>
    <t>2026-09-03T13:23:52.439397</t>
  </si>
  <si>
    <t>2026-09-03T13:23:52.418620</t>
  </si>
  <si>
    <t>2026-09-03T13:23:52.397556</t>
  </si>
  <si>
    <t>2026-09-03T13:23:52.370626</t>
  </si>
  <si>
    <t>2026-09-03T13:23:52.328304</t>
  </si>
  <si>
    <t>2026-09-03T13:23:52.308044</t>
  </si>
  <si>
    <t>2026-09-03T13:23:52.276324</t>
  </si>
  <si>
    <t>2026-09-03T13:23:52.241375</t>
  </si>
  <si>
    <t>2026-09-03T13:23:52.218503</t>
  </si>
  <si>
    <t>2026-09-03T13:23:52.189891</t>
  </si>
  <si>
    <t>2026-09-03T13:23:52.161801</t>
  </si>
  <si>
    <t>2026-09-03T13:23:52.141595</t>
  </si>
  <si>
    <t>2026-09-03T13:23:52.113330</t>
  </si>
  <si>
    <t>2026-09-03T13:23:52.093118</t>
  </si>
  <si>
    <t>2026-09-03T13:23:52.052066</t>
  </si>
  <si>
    <t>2026-09-03T13:23:52.022787</t>
  </si>
  <si>
    <t>2026-09-03T13:23:52.009979</t>
  </si>
  <si>
    <t>2026-09-03T13:23:51.994702</t>
  </si>
  <si>
    <t>2026-09-03T13:23:51.979060</t>
  </si>
  <si>
    <t>2026-09-03T13:23:51.956063</t>
  </si>
  <si>
    <t>2026-09-03T13:23:51.930840</t>
  </si>
  <si>
    <t>2026-09-03T13:23:51.912193</t>
  </si>
  <si>
    <t>2026-09-03T13:23:51.892149</t>
  </si>
  <si>
    <t>2026-09-03T13:23:51.864156</t>
  </si>
  <si>
    <t>2026-09-03T13:23:51.814502</t>
  </si>
  <si>
    <t>2026-09-03T13:23:51.809774</t>
  </si>
  <si>
    <t>2026-09-03T13:23:51.778781</t>
  </si>
  <si>
    <t>2026-09-03T13:23:51.774786</t>
  </si>
  <si>
    <t>2026-09-03T13:23:51.749616</t>
  </si>
  <si>
    <t>2026-09-03T13:23:51.710365</t>
  </si>
  <si>
    <t>2026-09-03T13:23:51.688691</t>
  </si>
  <si>
    <t>2026-09-03T13:23:51.661219</t>
  </si>
  <si>
    <t>2026-09-03T13:23:51.630548</t>
  </si>
  <si>
    <t>2026-09-03T13:23:51.600208</t>
  </si>
  <si>
    <t>2026-09-03T13:23:51.574944</t>
  </si>
  <si>
    <t>2026-09-03T13:23:51.551576</t>
  </si>
  <si>
    <t>2026-09-03T13:23:51.524308</t>
  </si>
  <si>
    <t>2026-09-03T13:23:51.505274</t>
  </si>
  <si>
    <t>2026-09-03T13:23:51.482406</t>
  </si>
  <si>
    <t>2026-09-03T13:23:51.463564</t>
  </si>
  <si>
    <t>2026-09-03T13:23:51.440340</t>
  </si>
  <si>
    <t>2026-09-03T13:23:51.419264</t>
  </si>
  <si>
    <t>2026-09-03T13:23:51.392404</t>
  </si>
  <si>
    <t>2026-09-03T13:23:51.377718</t>
  </si>
  <si>
    <t>2026-09-03T13:23:51.348211</t>
  </si>
  <si>
    <t>2026-09-03T13:23:51.337160</t>
  </si>
  <si>
    <t>2026-09-03T13:23:51.313726</t>
  </si>
  <si>
    <t>2026-09-03T13:23:51.308720</t>
  </si>
  <si>
    <t>2026-09-03T13:23:51.286842</t>
  </si>
  <si>
    <t>2026-09-03T13:23:51.267975</t>
  </si>
  <si>
    <t>2026-09-03T13:23:51.241400</t>
  </si>
  <si>
    <t>2026-09-03T13:23:51.225219</t>
  </si>
  <si>
    <t>2026-09-03T13:23:51.204160</t>
  </si>
  <si>
    <t>2026-09-03T13:23:51.186303</t>
  </si>
  <si>
    <t>2026-09-03T13:23:51.169701</t>
  </si>
  <si>
    <t>2026-09-03T13:23:51.148138</t>
  </si>
  <si>
    <t>2026-09-03T13:23:51.129368</t>
  </si>
  <si>
    <t>2026-09-03T13:23:51.105057</t>
  </si>
  <si>
    <t>2026-09-03T13:23:51.092978</t>
  </si>
  <si>
    <t>2026-09-03T13:23:51.069519</t>
  </si>
  <si>
    <t>2026-09-03T13:23:51.047313</t>
  </si>
  <si>
    <t>2026-09-03T13:23:51.031380</t>
  </si>
  <si>
    <t>2026-09-03T13:23:51.015551</t>
  </si>
  <si>
    <t>2026-09-03T13:23:50.958966</t>
  </si>
  <si>
    <t>2026-09-03T13:23:50.870029</t>
  </si>
  <si>
    <t>2026-09-03T13:23:50.796022</t>
  </si>
  <si>
    <t>2026-09-03T13:23:50.730198</t>
  </si>
  <si>
    <t>2026-09-03T13:23:50.719024</t>
  </si>
  <si>
    <t>2026-09-03T13:23:50.696299</t>
  </si>
  <si>
    <t>2026-09-03T13:23:50.683630</t>
  </si>
  <si>
    <t>2026-09-03T13:23:50.658264</t>
  </si>
  <si>
    <t>2026-09-03T13:23:50.626321</t>
  </si>
  <si>
    <t>2026-09-03T13:23:50.607472</t>
  </si>
  <si>
    <t>2026-09-03T13:23:50.587901</t>
  </si>
  <si>
    <t>2026-09-03T13:23:50.573449</t>
  </si>
  <si>
    <t>2026-09-03T13:23:50.560286</t>
  </si>
  <si>
    <t>2026-09-03T13:23:50.545884</t>
  </si>
  <si>
    <t>2026-09-03T13:23:50.531542</t>
  </si>
  <si>
    <t>2026-09-03T13:23:50.522109</t>
  </si>
  <si>
    <t>2026-09-03T13:23:50.509778</t>
  </si>
  <si>
    <t>2026-09-03T13:23:50.491034</t>
  </si>
  <si>
    <t>2026-09-03T13:23:50.484399</t>
  </si>
  <si>
    <t>2026-09-03T13:23:50.461835</t>
  </si>
  <si>
    <t>2026-09-03T13:23:50.439616</t>
  </si>
  <si>
    <t>2026-09-03T13:23:50.432300</t>
  </si>
  <si>
    <t>2026-09-03T13:23:50.420511</t>
  </si>
  <si>
    <t>2026-09-03T13:23:50.404215</t>
  </si>
  <si>
    <t>2026-09-03T13:23:50.383129</t>
  </si>
  <si>
    <t>2026-09-03T13:23:50.371965</t>
  </si>
  <si>
    <t>2026-09-03T13:23:50.350444</t>
  </si>
  <si>
    <t>2026-09-03T13:23:50.322774</t>
  </si>
  <si>
    <t>2026-09-03T13:23:50.308708</t>
  </si>
  <si>
    <t>2026-09-03T13:23:50.296396</t>
  </si>
  <si>
    <t>2026-09-03T13:23:50.279742</t>
  </si>
  <si>
    <t>2026-09-03T13:23:50.267341</t>
  </si>
  <si>
    <t>2026-09-03T13:23:50.257102</t>
  </si>
  <si>
    <t>2026-09-03T13:23:50.239085</t>
  </si>
  <si>
    <t>2026-09-03T13:23:50.217214</t>
  </si>
  <si>
    <t>2026-09-03T13:23:50.188789</t>
  </si>
  <si>
    <t>2026-09-03T13:23:50.176976</t>
  </si>
  <si>
    <t>2026-09-03T13:23:50.159937</t>
  </si>
  <si>
    <t>2026-09-03T13:23:50.141408</t>
  </si>
  <si>
    <t>2026-09-03T13:23:50.122566</t>
  </si>
  <si>
    <t>2026-09-03T13:23:50.107533</t>
  </si>
  <si>
    <t>2026-09-03T13:23:50.086297</t>
  </si>
  <si>
    <t>2026-09-03T13:23:50.064966</t>
  </si>
  <si>
    <t>2026-09-03T13:23:50.056813</t>
  </si>
  <si>
    <t>2026-09-03T13:23:50.037541</t>
  </si>
  <si>
    <t>2026-09-03T13:23:50.016971</t>
  </si>
  <si>
    <t>2026-09-03T13:23:50.010111</t>
  </si>
  <si>
    <t>2026-09-03T13:23:49.995954</t>
  </si>
  <si>
    <t>2026-09-03T13:23:49.982581</t>
  </si>
  <si>
    <t>2026-09-03T13:23:49.965712</t>
  </si>
  <si>
    <t>2026-09-03T13:23:49.950273</t>
  </si>
  <si>
    <t>2026-09-03T13:23:49.933765</t>
  </si>
  <si>
    <t>2026-09-03T13:23:49.919712</t>
  </si>
  <si>
    <t>2026-09-03T13:23:49.902601</t>
  </si>
  <si>
    <t>2026-09-03T13:23:49.885348</t>
  </si>
  <si>
    <t>2026-09-03T13:23:49.871462</t>
  </si>
  <si>
    <t>2026-09-03T13:23:49.852371</t>
  </si>
  <si>
    <t>2026-09-03T13:23:49.837384</t>
  </si>
  <si>
    <t>2026-09-03T13:23:49.822199</t>
  </si>
  <si>
    <t>2026-09-03T13:23:49.810417</t>
  </si>
  <si>
    <t>2026-09-03T13:23:49.788793</t>
  </si>
  <si>
    <t>2026-09-03T13:23:49.772968</t>
  </si>
  <si>
    <t>2026-09-03T13:23:49.757281</t>
  </si>
  <si>
    <t>2026-09-03T13:23:49.741247</t>
  </si>
  <si>
    <t>2026-09-03T13:23:49.725358</t>
  </si>
  <si>
    <t>2026-09-03T13:23:49.709834</t>
  </si>
  <si>
    <t>2026-09-03T13:23:49.697447</t>
  </si>
  <si>
    <t>2026-09-03T13:23:49.685041</t>
  </si>
  <si>
    <t>2026-09-03T13:23:49.671682</t>
  </si>
  <si>
    <t>2026-09-03T13:23:49.660455</t>
  </si>
  <si>
    <t>2026-09-03T13:23:49.649258</t>
  </si>
  <si>
    <t>2026-09-03T13:23:49.628104</t>
  </si>
  <si>
    <t>2026-09-03T13:23:49.606573</t>
  </si>
  <si>
    <t>2026-09-03T13:23:49.596695</t>
  </si>
  <si>
    <t>2026-09-03T13:23:49.579682</t>
  </si>
  <si>
    <t>2026-09-03T13:23:49.556836</t>
  </si>
  <si>
    <t>2026-09-03T13:23:49.537615</t>
  </si>
  <si>
    <t>2026-09-03T13:23:49.519684</t>
  </si>
  <si>
    <t>2026-09-03T13:23:49.503894</t>
  </si>
  <si>
    <t>2026-09-03T13:23:49.491406</t>
  </si>
  <si>
    <t>2026-09-03T13:23:49.470351</t>
  </si>
  <si>
    <t>2026-09-03T13:23:49.459763</t>
  </si>
  <si>
    <t>2026-09-03T13:23:49.447138</t>
  </si>
  <si>
    <t>2026-09-03T13:23:49.439380</t>
  </si>
  <si>
    <t>2026-09-03T13:23:49.425351</t>
  </si>
  <si>
    <t>2026-09-03T13:23:49.412770</t>
  </si>
  <si>
    <t>2026-09-03T13:23:49.400178</t>
  </si>
  <si>
    <t>2026-09-03T13:23:49.386800</t>
  </si>
  <si>
    <t>2026-09-03T13:23:49.364490</t>
  </si>
  <si>
    <t>2026-09-03T13:23:49.350762</t>
  </si>
  <si>
    <t>2026-09-03T13:23:49.333575</t>
  </si>
  <si>
    <t>2026-09-03T13:23:49.317075</t>
  </si>
  <si>
    <t>2026-09-03T13:23:49.305231</t>
  </si>
  <si>
    <t>2026-09-03T13:23:49.282629</t>
  </si>
  <si>
    <t>2026-09-03T13:23:49.268619</t>
  </si>
  <si>
    <t>2026-09-03T13:23:49.254745</t>
  </si>
  <si>
    <t>2026-09-03T13:23:49.241266</t>
  </si>
  <si>
    <t>2026-09-03T13:23:49.225156</t>
  </si>
  <si>
    <t>2026-09-03T13:23:49.216626</t>
  </si>
  <si>
    <t>2026-09-03T13:23:49.197870</t>
  </si>
  <si>
    <t>2026-09-03T13:23:49.184517</t>
  </si>
  <si>
    <t>2026-09-03T13:23:49.171705</t>
  </si>
  <si>
    <t>2026-09-03T13:23:49.155748</t>
  </si>
  <si>
    <t>2026-09-03T13:23:49.145771</t>
  </si>
  <si>
    <t>2026-09-03T13:23:49.138688</t>
  </si>
  <si>
    <t>2026-09-03T13:23:49.114123</t>
  </si>
  <si>
    <t>2026-09-03T13:23:49.100749</t>
  </si>
  <si>
    <t>2026-09-03T13:23:49.086015</t>
  </si>
  <si>
    <t>2026-09-03T13:23:49.058534</t>
  </si>
  <si>
    <t>2026-09-03T13:23:49.044597</t>
  </si>
  <si>
    <t>2026-09-03T13:23:49.030677</t>
  </si>
  <si>
    <t>2026-09-03T13:23:49.019427</t>
  </si>
  <si>
    <t>2026-09-03T13:23:49.003018</t>
  </si>
  <si>
    <t>2026-09-03T13:23:48.988515</t>
  </si>
  <si>
    <t>2026-09-03T13:23:48.983470</t>
  </si>
  <si>
    <t>2026-09-03T13:23:48.968013</t>
  </si>
  <si>
    <t>2026-09-03T13:23:48.955315</t>
  </si>
  <si>
    <t>2026-09-03T13:23:48.942259</t>
  </si>
  <si>
    <t>2026-09-03T13:23:48.924851</t>
  </si>
  <si>
    <t>2026-09-03T13:23:48.920566</t>
  </si>
  <si>
    <t>2026-09-03T13:23:48.906573</t>
  </si>
  <si>
    <t>2026-09-03T13:23:48.885538</t>
  </si>
  <si>
    <t>2026-09-03T13:23:48.872543</t>
  </si>
  <si>
    <t>2026-09-03T13:23:48.857049</t>
  </si>
  <si>
    <t>2026-09-03T13:23:48.842956</t>
  </si>
  <si>
    <t>2026-09-03T13:23:48.821065</t>
  </si>
  <si>
    <t>2026-09-03T13:23:48.802502</t>
  </si>
  <si>
    <t>2026-09-03T13:23:48.785719</t>
  </si>
  <si>
    <t>2026-09-03T13:23:48.766114</t>
  </si>
  <si>
    <t>2026-09-03T13:23:48.755340</t>
  </si>
  <si>
    <t>2026-09-03T13:23:48.739336</t>
  </si>
  <si>
    <t>2026-09-03T13:23:48.728295</t>
  </si>
  <si>
    <t>2026-09-03T13:23:48.712308</t>
  </si>
  <si>
    <t>2026-09-03T13:23:48.697047</t>
  </si>
  <si>
    <t>2026-09-03T13:23:48.678936</t>
  </si>
  <si>
    <t>2026-09-03T13:23:48.663434</t>
  </si>
  <si>
    <t>2026-09-03T13:23:48.648962</t>
  </si>
  <si>
    <t>2026-09-03T13:23:48.637484</t>
  </si>
  <si>
    <t>2026-09-03T13:23:48.620497</t>
  </si>
  <si>
    <t>2026-09-03T13:23:48.608325</t>
  </si>
  <si>
    <t>2026-09-03T13:23:48.584847</t>
  </si>
  <si>
    <t>2026-09-03T13:23:48.575609</t>
  </si>
  <si>
    <t>2026-09-03T13:23:48.554257</t>
  </si>
  <si>
    <t>2026-09-03T13:23:48.546486</t>
  </si>
  <si>
    <t>2026-09-03T13:23:48.525574</t>
  </si>
  <si>
    <t>2026-09-03T13:23:48.491577</t>
  </si>
  <si>
    <t>2026-09-03T13:23:48.457361</t>
  </si>
  <si>
    <t>2026-09-03T13:23:48.441732</t>
  </si>
  <si>
    <t>2026-09-03T13:23:48.422013</t>
  </si>
  <si>
    <t>2026-09-03T13:23:48.381085</t>
  </si>
  <si>
    <t>2026-09-03T13:23:48.360159</t>
  </si>
  <si>
    <t>2026-09-03T13:23:48.311660</t>
  </si>
  <si>
    <t>2026-09-03T13:23:48.289485</t>
  </si>
  <si>
    <t>2026-09-03T13:23:48.268833</t>
  </si>
  <si>
    <t>2026-09-03T13:23:48.253664</t>
  </si>
  <si>
    <t>2026-09-03T13:23:48.227905</t>
  </si>
  <si>
    <t>2026-09-03T13:23:48.204312</t>
  </si>
  <si>
    <t>2026-09-03T13:23:48.153422</t>
  </si>
  <si>
    <t>2026-09-03T13:23:48.133847</t>
  </si>
  <si>
    <t>2026-09-03T13:23:48.124700</t>
  </si>
  <si>
    <t>2026-09-03T13:23:48.096735</t>
  </si>
  <si>
    <t>2026-09-03T13:23:48.073044</t>
  </si>
  <si>
    <t>2026-09-03T13:23:48.058620</t>
  </si>
  <si>
    <t>2026-09-03T13:23:48.039687</t>
  </si>
  <si>
    <t>2026-09-03T13:23:48.024574</t>
  </si>
  <si>
    <t>2026-09-03T13:23:48.009833</t>
  </si>
  <si>
    <t>2026-09-03T13:23:47.990124</t>
  </si>
  <si>
    <t>2026-09-03T13:23:47.975087</t>
  </si>
  <si>
    <t>2026-09-03T13:23:47.955389</t>
  </si>
  <si>
    <t>2026-09-03T13:23:47.942509</t>
  </si>
  <si>
    <t>2026-09-03T13:23:47.932124</t>
  </si>
  <si>
    <t>2026-09-03T13:23:47.913808</t>
  </si>
  <si>
    <t>2026-09-03T13:23:47.896299</t>
  </si>
  <si>
    <t>2026-09-03T13:23:47.880176</t>
  </si>
  <si>
    <t>2026-09-03T13:23:47.872070</t>
  </si>
  <si>
    <t>2026-09-03T13:23:47.852752</t>
  </si>
  <si>
    <t>2026-09-03T13:23:47.846794</t>
  </si>
  <si>
    <t>2026-09-03T13:23:47.830293</t>
  </si>
  <si>
    <t>2026-09-03T13:23:47.812346</t>
  </si>
  <si>
    <t>2026-09-03T13:23:47.775534</t>
  </si>
  <si>
    <t>2026-09-03T13:23:47.742121</t>
  </si>
  <si>
    <t>2026-09-03T13:23:47.690750</t>
  </si>
  <si>
    <t>2026-09-03T13:23:47.652452</t>
  </si>
  <si>
    <t>2026-09-03T13:23:47.608438</t>
  </si>
  <si>
    <t>2026-09-03T13:23:47.579659</t>
  </si>
  <si>
    <t>2026-09-03T13:23:47.565707</t>
  </si>
  <si>
    <t>2026-09-03T13:23:47.552305</t>
  </si>
  <si>
    <t>2026-09-03T13:23:47.532245</t>
  </si>
  <si>
    <t>2026-09-03T13:23:47.519914</t>
  </si>
  <si>
    <t>2026-09-03T13:23:47.504979</t>
  </si>
  <si>
    <t>2026-09-03T13:23:47.490255</t>
  </si>
  <si>
    <t>2026-09-03T13:23:47.476787</t>
  </si>
  <si>
    <t>2026-09-03T13:23:47.462906</t>
  </si>
  <si>
    <t>2026-09-03T13:23:47.449353</t>
  </si>
  <si>
    <t>2026-09-03T13:23:47.434925</t>
  </si>
  <si>
    <t>2026-09-03T13:23:47.421609</t>
  </si>
  <si>
    <t>2026-09-03T13:23:47.407774</t>
  </si>
  <si>
    <t>2026-09-03T13:23:47.393515</t>
  </si>
  <si>
    <t>2026-09-03T13:23:47.378433</t>
  </si>
  <si>
    <t>2026-09-03T13:23:47.365992</t>
  </si>
  <si>
    <t>2026-09-03T13:23:47.351678</t>
  </si>
  <si>
    <t>2026-09-03T13:23:47.339187</t>
  </si>
  <si>
    <t>2026-09-03T13:23:47.323165</t>
  </si>
  <si>
    <t>2026-09-03T13:23:47.307187</t>
  </si>
  <si>
    <t>2026-09-03T13:23:47.295794</t>
  </si>
  <si>
    <t>2026-09-03T13:23:47.265411</t>
  </si>
  <si>
    <t>2026-09-03T13:23:47.255258</t>
  </si>
  <si>
    <t>2026-09-03T13:23:47.233079</t>
  </si>
  <si>
    <t>2026-09-03T13:23:47.212466</t>
  </si>
  <si>
    <t>2026-09-03T13:23:47.183644</t>
  </si>
  <si>
    <t>2026-09-03T13:23:47.170871</t>
  </si>
  <si>
    <t>2026-09-03T13:23:47.157103</t>
  </si>
  <si>
    <t>2026-09-03T13:23:47.137217</t>
  </si>
  <si>
    <t>2026-09-03T13:23:47.122267</t>
  </si>
  <si>
    <t>2026-09-03T13:23:47.101142</t>
  </si>
  <si>
    <t>2026-09-03T13:23:47.087334</t>
  </si>
  <si>
    <t>2026-09-03T13:23:47.073353</t>
  </si>
  <si>
    <t>2026-09-03T13:23:47.059448</t>
  </si>
  <si>
    <t>2026-09-03T13:23:47.040694</t>
  </si>
  <si>
    <t>2026-09-03T13:23:47.021253</t>
  </si>
  <si>
    <t>2026-09-03T13:23:47.004107</t>
  </si>
  <si>
    <t>2026-09-03T13:23:46.990099</t>
  </si>
  <si>
    <t>2026-09-03T13:23:46.969627</t>
  </si>
  <si>
    <t>2026-09-03T13:23:46.949850</t>
  </si>
  <si>
    <t>2026-09-03T13:23:46.934623</t>
  </si>
  <si>
    <t>2026-09-03T13:23:46.914213</t>
  </si>
  <si>
    <t>2026-09-03T13:23:46.899499</t>
  </si>
  <si>
    <t>2026-09-03T13:23:46.887364</t>
  </si>
  <si>
    <t>2026-09-03T13:23:46.872083</t>
  </si>
  <si>
    <t>2026-09-03T13:23:46.854518</t>
  </si>
  <si>
    <t>2026-09-03T13:23:46.843823</t>
  </si>
  <si>
    <t>2026-09-03T13:23:46.824154</t>
  </si>
  <si>
    <t>2026-09-03T13:23:46.808363</t>
  </si>
  <si>
    <t>2026-09-03T13:23:46.790117</t>
  </si>
  <si>
    <t>2026-09-03T13:23:46.774824</t>
  </si>
  <si>
    <t>2026-09-03T13:23:46.755537</t>
  </si>
  <si>
    <t>2026-09-03T13:23:46.733089</t>
  </si>
  <si>
    <t>2026-09-03T13:23:46.711993</t>
  </si>
  <si>
    <t>2026-09-03T13:23:46.694076</t>
  </si>
  <si>
    <t>2026-09-03T13:23:46.677355</t>
  </si>
  <si>
    <t>2026-09-03T13:23:46.663217</t>
  </si>
  <si>
    <t>2026-09-03T13:23:46.642535</t>
  </si>
  <si>
    <t>2026-09-03T13:23:46.631557</t>
  </si>
  <si>
    <t>2026-09-03T13:23:46.614633</t>
  </si>
  <si>
    <t>2026-09-03T13:23:46.601152</t>
  </si>
  <si>
    <t>2026-09-03T13:23:46.578290</t>
  </si>
  <si>
    <t>2026-09-03T13:23:46.566721</t>
  </si>
  <si>
    <t>2026-09-03T13:23:46.545329</t>
  </si>
  <si>
    <t>2026-09-03T13:23:46.527073</t>
  </si>
  <si>
    <t>2026-09-03T13:23:46.518011</t>
  </si>
  <si>
    <t>2026-09-03T13:23:46.496303</t>
  </si>
  <si>
    <t>2026-09-03T13:23:46.471748</t>
  </si>
  <si>
    <t>2026-09-03T13:23:46.456887</t>
  </si>
  <si>
    <t>2026-09-03T13:23:46.450126</t>
  </si>
  <si>
    <t>2026-09-03T13:23:46.433386</t>
  </si>
  <si>
    <t>2026-09-03T13:23:46.419574</t>
  </si>
  <si>
    <t>2026-09-03T13:23:46.401806</t>
  </si>
  <si>
    <t>2026-09-03T13:23:46.386897</t>
  </si>
  <si>
    <t>2026-09-03T13:23:46.373194</t>
  </si>
  <si>
    <t>2026-09-03T13:23:46.357595</t>
  </si>
  <si>
    <t>2026-09-03T13:23:46.344280</t>
  </si>
  <si>
    <t>2026-09-03T13:23:46.336183</t>
  </si>
  <si>
    <t>2026-09-03T13:23:46.321626</t>
  </si>
  <si>
    <t>2026-09-03T13:23:46.296608</t>
  </si>
  <si>
    <t>2026-09-03T13:23:46.275578</t>
  </si>
  <si>
    <t>2026-09-03T13:23:46.254143</t>
  </si>
  <si>
    <t>2026-09-03T13:23:46.235401</t>
  </si>
  <si>
    <t>2026-09-03T13:23:46.212319</t>
  </si>
  <si>
    <t>2026-09-03T13:23:46.191247</t>
  </si>
  <si>
    <t>2026-09-03T13:23:46.161502</t>
  </si>
  <si>
    <t>2026-09-03T13:23:46.142397</t>
  </si>
  <si>
    <t>2026-09-03T13:23:46.122906</t>
  </si>
  <si>
    <t>2026-09-03T13:23:46.102888</t>
  </si>
  <si>
    <t>2026-09-03T13:23:46.087773</t>
  </si>
  <si>
    <t>2026-09-03T13:23:46.066662</t>
  </si>
  <si>
    <t>2026-09-03T13:23:46.047625</t>
  </si>
  <si>
    <t>2026-09-03T13:23:46.030989</t>
  </si>
  <si>
    <t>2026-09-03T13:23:46.010188</t>
  </si>
  <si>
    <t>2026-09-03T13:23:45.998788</t>
  </si>
  <si>
    <t>2026-09-03T13:23:45.967790</t>
  </si>
  <si>
    <t>2026-09-03T13:23:45.951461</t>
  </si>
  <si>
    <t>2026-09-03T13:23:45.935094</t>
  </si>
  <si>
    <t>2026-09-03T13:23:45.908345</t>
  </si>
  <si>
    <t>2026-09-03T13:23:45.889601</t>
  </si>
  <si>
    <t>2026-09-03T13:23:45.875989</t>
  </si>
  <si>
    <t>2026-09-03T13:23:45.859690</t>
  </si>
  <si>
    <t>2026-09-03T13:23:45.839454</t>
  </si>
  <si>
    <t>2026-09-03T13:23:45.815554</t>
  </si>
  <si>
    <t>2026-09-03T13:23:45.791549</t>
  </si>
  <si>
    <t>2026-09-03T13:23:45.777830</t>
  </si>
  <si>
    <t>2026-09-03T13:23:45.759917</t>
  </si>
  <si>
    <t>2026-09-03T13:23:45.727874</t>
  </si>
  <si>
    <t>2026-09-03T13:23:45.711933</t>
  </si>
  <si>
    <t>2026-09-03T13:23:45.688209</t>
  </si>
  <si>
    <t>2026-09-03T13:23:45.670343</t>
  </si>
  <si>
    <t>2026-09-03T13:23:45.654812</t>
  </si>
  <si>
    <t>2026-09-03T13:23:45.635715</t>
  </si>
  <si>
    <t>2026-09-03T13:23:45.616631</t>
  </si>
  <si>
    <t>2026-09-03T13:23:45.587229</t>
  </si>
  <si>
    <t>2026-09-03T13:23:45.576795</t>
  </si>
  <si>
    <t>2026-09-03T13:23:45.553406</t>
  </si>
  <si>
    <t>2026-09-03T13:23:45.538948</t>
  </si>
  <si>
    <t>2026-09-03T13:23:45.519074</t>
  </si>
  <si>
    <t>2026-09-03T13:23:45.503471</t>
  </si>
  <si>
    <t>2026-09-03T13:23:45.492855</t>
  </si>
  <si>
    <t>2026-09-03T13:23:45.476099</t>
  </si>
  <si>
    <t>2026-09-03T13:23:45.454910</t>
  </si>
  <si>
    <t>2026-09-03T13:23:45.439758</t>
  </si>
  <si>
    <t>2026-09-03T13:23:45.399773</t>
  </si>
  <si>
    <t>2026-09-03T13:23:45.388958</t>
  </si>
  <si>
    <t>2026-09-03T13:23:45.377975</t>
  </si>
  <si>
    <t>2026-09-03T13:23:45.351889</t>
  </si>
  <si>
    <t>2026-09-03T13:23:45.329790</t>
  </si>
  <si>
    <t>2026-09-03T13:23:45.300736</t>
  </si>
  <si>
    <t>2026-09-03T13:23:45.290858</t>
  </si>
  <si>
    <t>2026-09-03T13:23:45.252871</t>
  </si>
  <si>
    <t>2026-09-03T13:23:45.235347</t>
  </si>
  <si>
    <t>2026-09-03T13:23:45.211465</t>
  </si>
  <si>
    <t>2026-09-03T13:23:45.191268</t>
  </si>
  <si>
    <t>2026-09-03T13:23:45.176319</t>
  </si>
  <si>
    <t>2026-09-03T13:23:45.146850</t>
  </si>
  <si>
    <t>2026-09-03T13:23:45.131879</t>
  </si>
  <si>
    <t>2026-09-03T13:23:45.121437</t>
  </si>
  <si>
    <t>2026-09-03T13:23:45.086672</t>
  </si>
  <si>
    <t>2026-09-03T13:23:45.066264</t>
  </si>
  <si>
    <t>2026-09-03T13:23:45.052624</t>
  </si>
  <si>
    <t>2026-09-03T13:23:45.040903</t>
  </si>
  <si>
    <t>2026-09-03T13:23:45.024593</t>
  </si>
  <si>
    <t>2026-09-03T13:23:45.010567</t>
  </si>
  <si>
    <t>2026-09-03T13:23:44.992045</t>
  </si>
  <si>
    <t>2026-09-03T13:23:44.974094</t>
  </si>
  <si>
    <t>2026-09-03T13:23:44.956007</t>
  </si>
  <si>
    <t>2026-09-03T13:23:44.944994</t>
  </si>
  <si>
    <t>2026-09-03T13:23:44.921124</t>
  </si>
  <si>
    <t>2026-09-03T13:23:44.907573</t>
  </si>
  <si>
    <t>2026-09-03T13:23:44.892053</t>
  </si>
  <si>
    <t>2026-09-03T13:23:44.876806</t>
  </si>
  <si>
    <t>2026-09-03T13:23:44.872357</t>
  </si>
  <si>
    <t>2026-09-03T13:23:44.857915</t>
  </si>
  <si>
    <t>2026-09-03T13:23:44.845045</t>
  </si>
  <si>
    <t>2026-09-03T13:23:44.822630</t>
  </si>
  <si>
    <t>2026-09-03T13:23:44.810843</t>
  </si>
  <si>
    <t>2026-09-03T13:23:44.796401</t>
  </si>
  <si>
    <t>2026-09-03T13:23:44.789652</t>
  </si>
  <si>
    <t>2026-09-03T13:23:44.777554</t>
  </si>
  <si>
    <t>2026-09-03T13:23:44.760739</t>
  </si>
  <si>
    <t>2026-09-03T13:23:44.746476</t>
  </si>
  <si>
    <t>2026-09-03T13:23:44.728439</t>
  </si>
  <si>
    <t>2026-09-03T13:23:44.711678</t>
  </si>
  <si>
    <t>2026-09-03T13:23:44.699832</t>
  </si>
  <si>
    <t>2026-09-03T13:23:44.675654</t>
  </si>
  <si>
    <t>2026-09-03T13:23:44.658474</t>
  </si>
  <si>
    <t>2026-09-03T13:23:44.637807</t>
  </si>
  <si>
    <t>2026-09-03T13:23:44.624099</t>
  </si>
  <si>
    <t>2026-09-03T13:23:44.608389</t>
  </si>
  <si>
    <t>2026-09-03T13:23:44.594046</t>
  </si>
  <si>
    <t>2026-09-03T13:23:44.582657</t>
  </si>
  <si>
    <t>2026-09-03T13:23:44.567041</t>
  </si>
  <si>
    <t>2026-09-03T13:23:44.561282</t>
  </si>
  <si>
    <t>2026-09-03T13:23:44.552215</t>
  </si>
  <si>
    <t>2026-09-03T13:23:44.538998</t>
  </si>
  <si>
    <t>2026-09-03T13:23:44.518553</t>
  </si>
  <si>
    <t>2026-09-03T13:23:44.498002</t>
  </si>
  <si>
    <t>2026-09-03T13:23:44.486068</t>
  </si>
  <si>
    <t>2026-09-03T13:23:44.468213</t>
  </si>
  <si>
    <t>2026-09-03T13:23:44.448166</t>
  </si>
  <si>
    <t>2026-09-03T13:23:44.429352</t>
  </si>
  <si>
    <t>2026-09-03T13:23:44.399239</t>
  </si>
  <si>
    <t>2026-09-03T13:23:44.378486</t>
  </si>
  <si>
    <t>2026-09-03T13:23:44.356959</t>
  </si>
  <si>
    <t>2026-09-03T13:23:44.330520</t>
  </si>
  <si>
    <t>2026-09-03T13:23:44.315820</t>
  </si>
  <si>
    <t>2026-09-03T13:23:44.303268</t>
  </si>
  <si>
    <t>2026-09-03T13:23:44.282286</t>
  </si>
  <si>
    <t>2026-09-03T13:23:44.253319</t>
  </si>
  <si>
    <t>2026-09-03T13:23:44.219247</t>
  </si>
  <si>
    <t>2026-09-03T13:23:44.200980</t>
  </si>
  <si>
    <t>2026-09-03T13:23:44.161833</t>
  </si>
  <si>
    <t>2026-09-03T13:23:44.158912</t>
  </si>
  <si>
    <t>2026-09-03T13:23:44.141929</t>
  </si>
  <si>
    <t>2026-09-03T13:23:44.119617</t>
  </si>
  <si>
    <t>2026-09-03T13:23:44.099409</t>
  </si>
  <si>
    <t>2026-09-03T13:23:44.081283</t>
  </si>
  <si>
    <t>2026-09-03T13:23:44.066839</t>
  </si>
  <si>
    <t>2026-09-03T13:23:44.044098</t>
  </si>
  <si>
    <t>2026-09-03T13:23:44.031597</t>
  </si>
  <si>
    <t>2026-09-03T13:23:44.017688</t>
  </si>
  <si>
    <t>2026-09-03T13:23:44.005799</t>
  </si>
  <si>
    <t>2026-09-03T13:23:43.989603</t>
  </si>
  <si>
    <t>2026-09-03T13:23:43.980741</t>
  </si>
  <si>
    <t>2026-09-03T13:23:43.955158</t>
  </si>
  <si>
    <t>2026-09-03T13:23:43.950530</t>
  </si>
  <si>
    <t>2026-09-03T13:23:43.906025</t>
  </si>
  <si>
    <t>2026-09-03T13:23:43.900132</t>
  </si>
  <si>
    <t>2026-09-03T13:23:43.878548</t>
  </si>
  <si>
    <t>2026-09-03T13:23:43.865292</t>
  </si>
  <si>
    <t>2026-09-03T13:23:43.844882</t>
  </si>
  <si>
    <t>2026-09-03T13:23:43.823565</t>
  </si>
  <si>
    <t>2026-09-03T13:23:43.807742</t>
  </si>
  <si>
    <t>2026-09-03T13:23:43.797750</t>
  </si>
  <si>
    <t>2026-09-03T13:23:43.780369</t>
  </si>
  <si>
    <t>2026-09-03T13:23:43.763049</t>
  </si>
  <si>
    <t>2026-09-03T13:23:43.749340</t>
  </si>
  <si>
    <t>2026-09-03T13:23:43.733575</t>
  </si>
  <si>
    <t>2026-09-03T13:23:43.711994</t>
  </si>
  <si>
    <t>2026-09-03T13:23:43.706269</t>
  </si>
  <si>
    <t>2026-09-03T13:23:43.689615</t>
  </si>
  <si>
    <t>2026-09-03T13:23:43.677313</t>
  </si>
  <si>
    <t>2026-09-03T13:23:43.656953</t>
  </si>
  <si>
    <t>2026-09-03T13:23:43.643060</t>
  </si>
  <si>
    <t>2026-09-03T13:23:43.629232</t>
  </si>
  <si>
    <t>2026-09-03T13:23:43.617150</t>
  </si>
  <si>
    <t>2026-09-03T13:23:43.601346</t>
  </si>
  <si>
    <t>2026-09-03T13:23:43.582339</t>
  </si>
  <si>
    <t>2026-09-03T13:23:43.567364</t>
  </si>
  <si>
    <t>2026-09-03T13:23:43.553373</t>
  </si>
  <si>
    <t>2026-09-03T13:23:43.538329</t>
  </si>
  <si>
    <t>2026-09-03T13:23:43.524248</t>
  </si>
  <si>
    <t>2026-09-03T13:23:43.510550</t>
  </si>
  <si>
    <t>2026-09-03T13:23:43.497101</t>
  </si>
  <si>
    <t>2026-09-03T13:23:43.484745</t>
  </si>
  <si>
    <t>2026-09-03T13:23:43.469176</t>
  </si>
  <si>
    <t>2026-09-03T13:23:43.455774</t>
  </si>
  <si>
    <t>2026-09-03T13:23:43.439818</t>
  </si>
  <si>
    <t>2026-09-03T13:23:43.426378</t>
  </si>
  <si>
    <t>2026-09-03T13:23:43.401034</t>
  </si>
  <si>
    <t>2026-09-03T13:23:43.382846</t>
  </si>
  <si>
    <t>2026-09-03T13:23:43.365951</t>
  </si>
  <si>
    <t>2026-09-03T13:23:43.346990</t>
  </si>
  <si>
    <t>2026-09-03T13:23:43.329987</t>
  </si>
  <si>
    <t>2026-09-03T13:23:43.316392</t>
  </si>
  <si>
    <t>2026-09-03T13:23:43.303313</t>
  </si>
  <si>
    <t>2026-09-03T13:23:43.279929</t>
  </si>
  <si>
    <t>2026-09-03T13:23:43.267705</t>
  </si>
  <si>
    <t>2026-09-03T13:23:43.249161</t>
  </si>
  <si>
    <t>2026-09-03T13:23:43.233641</t>
  </si>
  <si>
    <t>2026-09-03T13:23:43.219427</t>
  </si>
  <si>
    <t>2026-09-03T13:23:43.198181</t>
  </si>
  <si>
    <t>2026-09-03T13:23:43.180828</t>
  </si>
  <si>
    <t>2026-09-03T13:23:43.164337</t>
  </si>
  <si>
    <t>2026-09-03T13:23:43.149884</t>
  </si>
  <si>
    <t>2026-09-03T13:23:43.122010</t>
  </si>
  <si>
    <t>2026-09-03T13:23:43.108829</t>
  </si>
  <si>
    <t>2026-09-03T13:23:43.088761</t>
  </si>
  <si>
    <t>2026-09-03T13:23:43.072524</t>
  </si>
  <si>
    <t>2026-09-03T13:23:43.053310</t>
  </si>
  <si>
    <t>2026-09-03T13:23:43.034741</t>
  </si>
  <si>
    <t>2026-09-03T13:23:43.020311</t>
  </si>
  <si>
    <t>2026-09-03T13:23:43.004406</t>
  </si>
  <si>
    <t>2026-09-03T13:23:42.992924</t>
  </si>
  <si>
    <t>2026-09-03T13:23:42.976982</t>
  </si>
  <si>
    <t>2026-09-03T13:23:42.959296</t>
  </si>
  <si>
    <t>2026-09-03T13:23:42.918914</t>
  </si>
  <si>
    <t>2026-09-03T13:23:42.910880</t>
  </si>
  <si>
    <t>2026-09-03T13:23:42.885034</t>
  </si>
  <si>
    <t>2026-09-03T13:23:42.873090</t>
  </si>
  <si>
    <t>2026-09-03T13:23:42.841364</t>
  </si>
  <si>
    <t>2026-09-03T13:23:42.809283</t>
  </si>
  <si>
    <t>2026-09-03T13:23:42.775798</t>
  </si>
  <si>
    <t>2026-09-03T13:23:42.749232</t>
  </si>
  <si>
    <t>2026-09-03T13:23:42.725794</t>
  </si>
  <si>
    <t>2026-09-03T13:23:42.692763</t>
  </si>
  <si>
    <t>2026-09-03T13:23:42.650926</t>
  </si>
  <si>
    <t>2026-09-03T13:23:42.611389</t>
  </si>
  <si>
    <t>2026-09-03T13:23:42.581409</t>
  </si>
  <si>
    <t>2026-09-03T13:23:42.566192</t>
  </si>
  <si>
    <t>2026-09-03T13:23:42.552656</t>
  </si>
  <si>
    <t>2026-09-03T13:23:42.543978</t>
  </si>
  <si>
    <t>2026-09-03T13:23:42.530460</t>
  </si>
  <si>
    <t>2026-09-03T13:23:42.517545</t>
  </si>
  <si>
    <t>2026-09-03T13:23:42.503772</t>
  </si>
  <si>
    <t>2026-09-03T13:23:42.488462</t>
  </si>
  <si>
    <t>2026-09-03T13:23:42.470075</t>
  </si>
  <si>
    <t>2026-09-03T13:23:42.459016</t>
  </si>
  <si>
    <t>2026-09-03T13:23:42.445439</t>
  </si>
  <si>
    <t>2026-09-03T13:23:42.425362</t>
  </si>
  <si>
    <t>2026-09-03T13:23:42.405049</t>
  </si>
  <si>
    <t>2026-09-03T13:23:42.394825</t>
  </si>
  <si>
    <t>2026-09-03T13:23:42.371871</t>
  </si>
  <si>
    <t>2026-09-03T13:23:42.352372</t>
  </si>
  <si>
    <t>2026-09-03T13:23:42.334244</t>
  </si>
  <si>
    <t>2026-09-03T13:23:42.318431</t>
  </si>
  <si>
    <t>2026-09-03T13:23:42.303374</t>
  </si>
  <si>
    <t>2026-09-03T13:23:42.283872</t>
  </si>
  <si>
    <t>2026-09-03T13:23:42.268331</t>
  </si>
  <si>
    <t>2026-09-03T13:23:42.256998</t>
  </si>
  <si>
    <t>2026-09-03T13:23:42.240254</t>
  </si>
  <si>
    <t>2026-09-03T13:23:42.227078</t>
  </si>
  <si>
    <t>2026-09-03T13:23:42.212821</t>
  </si>
  <si>
    <t>2026-09-03T13:23:42.193781</t>
  </si>
  <si>
    <t>2026-09-03T13:23:42.170428</t>
  </si>
  <si>
    <t>2026-09-03T13:23:42.148219</t>
  </si>
  <si>
    <t>2026-09-03T13:23:42.136853</t>
  </si>
  <si>
    <t>2026-09-03T13:23:42.114842</t>
  </si>
  <si>
    <t>2026-09-03T13:23:42.093518</t>
  </si>
  <si>
    <t>2026-09-03T13:23:42.074305</t>
  </si>
  <si>
    <t>2026-09-03T13:23:42.052893</t>
  </si>
  <si>
    <t>2026-09-03T13:23:42.041578</t>
  </si>
  <si>
    <t>2026-09-03T13:23:42.026177</t>
  </si>
  <si>
    <t>2026-09-03T13:23:42.011101</t>
  </si>
  <si>
    <t>2026-09-03T13:23:41.992948</t>
  </si>
  <si>
    <t>2026-09-03T13:23:41.976742</t>
  </si>
  <si>
    <t>2026-09-03T13:23:41.963056</t>
  </si>
  <si>
    <t>2026-09-03T13:23:41.949484</t>
  </si>
  <si>
    <t>2026-09-03T13:23:41.934594</t>
  </si>
  <si>
    <t>2026-09-03T13:23:41.913987</t>
  </si>
  <si>
    <t>2026-09-03T13:23:41.898796</t>
  </si>
  <si>
    <t>2026-09-03T13:23:41.879270</t>
  </si>
  <si>
    <t>2026-09-03T13:23:41.850837</t>
  </si>
  <si>
    <t>2026-09-03T13:23:41.838166</t>
  </si>
  <si>
    <t>2026-09-03T13:23:41.824743</t>
  </si>
  <si>
    <t>2026-09-03T13:23:41.803514</t>
  </si>
  <si>
    <t>2026-09-03T13:23:41.791228</t>
  </si>
  <si>
    <t>2026-09-03T13:23:41.776841</t>
  </si>
  <si>
    <t>2026-09-03T13:23:41.761106</t>
  </si>
  <si>
    <t>2026-09-03T13:23:41.747788</t>
  </si>
  <si>
    <t>2026-09-03T13:23:41.733983</t>
  </si>
  <si>
    <t>2026-09-03T13:23:41.713578</t>
  </si>
  <si>
    <t>2026-09-03T13:23:41.701838</t>
  </si>
  <si>
    <t>2026-09-03T13:23:41.685452</t>
  </si>
  <si>
    <t>2026-09-03T13:23:41.670953</t>
  </si>
  <si>
    <t>2026-09-03T13:23:41.657701</t>
  </si>
  <si>
    <t>2026-09-03T13:23:41.642969</t>
  </si>
  <si>
    <t>2026-09-03T13:23:41.628866</t>
  </si>
  <si>
    <t>2026-09-03T13:23:41.607962</t>
  </si>
  <si>
    <t>2026-09-03T13:23:41.596026</t>
  </si>
  <si>
    <t>2026-09-03T13:23:41.580570</t>
  </si>
  <si>
    <t>2026-09-03T13:23:41.558388</t>
  </si>
  <si>
    <t>2026-09-03T13:23:41.539582</t>
  </si>
  <si>
    <t>2026-09-03T13:23:41.526149</t>
  </si>
  <si>
    <t>2026-09-03T13:23:41.511383</t>
  </si>
  <si>
    <t>2026-09-03T13:23:41.492722</t>
  </si>
  <si>
    <t>2026-09-03T13:23:41.477655</t>
  </si>
  <si>
    <t>2026-09-03T13:23:41.462128</t>
  </si>
  <si>
    <t>2026-09-03T13:23:41.448375</t>
  </si>
  <si>
    <t>2026-09-03T13:23:41.434784</t>
  </si>
  <si>
    <t>2026-09-03T13:23:41.405798</t>
  </si>
  <si>
    <t>2026-09-03T13:23:41.387143</t>
  </si>
  <si>
    <t>2026-09-03T13:23:41.365815</t>
  </si>
  <si>
    <t>2026-09-03T13:23:41.348844</t>
  </si>
  <si>
    <t>2026-09-03T13:23:41.320596</t>
  </si>
  <si>
    <t>2026-09-03T13:23:41.298358</t>
  </si>
  <si>
    <t>2026-09-03T13:23:41.266726</t>
  </si>
  <si>
    <t>2026-09-03T13:23:41.256212</t>
  </si>
  <si>
    <t>2026-09-03T13:23:41.219296</t>
  </si>
  <si>
    <t>2026-09-03T13:23:41.204072</t>
  </si>
  <si>
    <t>2026-09-03T13:23:41.191172</t>
  </si>
  <si>
    <t>2026-09-03T13:23:41.158094</t>
  </si>
  <si>
    <t>2026-09-03T13:23:41.149387</t>
  </si>
  <si>
    <t>2026-09-03T13:23:41.123085</t>
  </si>
  <si>
    <t>2026-09-03T13:23:41.110230</t>
  </si>
  <si>
    <t>2026-09-03T13:23:41.087615</t>
  </si>
  <si>
    <t>2026-09-03T13:23:41.062105</t>
  </si>
  <si>
    <t>2026-09-03T13:23:41.046976</t>
  </si>
  <si>
    <t>2026-09-03T13:23:41.031992</t>
  </si>
  <si>
    <t>2026-09-03T13:23:41.019030</t>
  </si>
  <si>
    <t>2026-09-03T13:23:41.004262</t>
  </si>
  <si>
    <t>2026-09-03T13:23:40.988730</t>
  </si>
  <si>
    <t>2026-09-03T13:23:40.970569</t>
  </si>
  <si>
    <t>2026-09-03T13:23:40.957705</t>
  </si>
  <si>
    <t>2026-09-03T13:23:40.944445</t>
  </si>
  <si>
    <t>2026-09-03T13:23:40.933186</t>
  </si>
  <si>
    <t>2026-09-03T13:23:40.922142</t>
  </si>
  <si>
    <t>2026-09-03T13:23:40.907260</t>
  </si>
  <si>
    <t>2026-09-03T13:23:40.896824</t>
  </si>
  <si>
    <t>2026-09-03T13:23:40.866368</t>
  </si>
  <si>
    <t>2026-09-03T13:23:40.865370</t>
  </si>
  <si>
    <t>2026-09-03T13:23:40.837900</t>
  </si>
  <si>
    <t>2026-09-03T13:23:40.807031</t>
  </si>
  <si>
    <t>2026-09-03T13:23:40.789651</t>
  </si>
  <si>
    <t>2026-09-03T13:23:40.768906</t>
  </si>
  <si>
    <t>2026-09-03T13:23:40.751871</t>
  </si>
  <si>
    <t>2026-09-03T13:23:40.734819</t>
  </si>
  <si>
    <t>2026-09-03T13:23:40.719872</t>
  </si>
  <si>
    <t>2026-09-03T13:23:40.704622</t>
  </si>
  <si>
    <t>2026-09-03T13:23:40.683867</t>
  </si>
  <si>
    <t>2026-09-03T13:23:40.660635</t>
  </si>
  <si>
    <t>2026-09-03T13:23:40.641467</t>
  </si>
  <si>
    <t>2026-09-03T13:23:40.628604</t>
  </si>
  <si>
    <t>2026-09-03T13:23:40.607488</t>
  </si>
  <si>
    <t>2026-09-03T13:23:40.601536</t>
  </si>
  <si>
    <t>2026-09-03T13:23:40.573641</t>
  </si>
  <si>
    <t>2026-09-03T13:23:40.565816</t>
  </si>
  <si>
    <t>2026-09-03T13:23:40.545528</t>
  </si>
  <si>
    <t>2026-09-03T13:23:40.535989</t>
  </si>
  <si>
    <t>2026-09-03T13:23:40.511805</t>
  </si>
  <si>
    <t>2026-09-03T13:23:40.497445</t>
  </si>
  <si>
    <t>2026-09-03T13:23:40.477674</t>
  </si>
  <si>
    <t>2026-09-03T13:23:40.463076</t>
  </si>
  <si>
    <t>2026-09-03T13:23:40.445860</t>
  </si>
  <si>
    <t>2026-09-03T13:23:40.435473</t>
  </si>
  <si>
    <t>2026-09-03T13:23:40.416362</t>
  </si>
  <si>
    <t>2026-09-03T13:23:40.395301</t>
  </si>
  <si>
    <t>2026-09-03T13:23:40.373056</t>
  </si>
  <si>
    <t>2026-09-03T13:23:40.360386</t>
  </si>
  <si>
    <t>2026-09-03T13:23:40.338721</t>
  </si>
  <si>
    <t>2026-09-03T13:23:40.328981</t>
  </si>
  <si>
    <t>2026-09-03T13:23:40.309813</t>
  </si>
  <si>
    <t>2026-09-03T13:23:40.289586</t>
  </si>
  <si>
    <t>2026-09-03T13:23:40.270711</t>
  </si>
  <si>
    <t>2026-09-03T13:23:40.256498</t>
  </si>
  <si>
    <t>2026-09-03T13:23:40.240123</t>
  </si>
  <si>
    <t>2026-09-03T13:23:40.226268</t>
  </si>
  <si>
    <t>2026-09-03T13:23:40.212618</t>
  </si>
  <si>
    <t>2026-09-03T13:23:40.190125</t>
  </si>
  <si>
    <t>2026-09-03T13:23:40.177920</t>
  </si>
  <si>
    <t>2026-09-03T13:23:40.156207</t>
  </si>
  <si>
    <t>2026-09-03T13:23:40.148971</t>
  </si>
  <si>
    <t>2026-09-03T13:23:40.120876</t>
  </si>
  <si>
    <t>2026-09-03T13:23:40.115980</t>
  </si>
  <si>
    <t>2026-09-03T13:23:40.089587</t>
  </si>
  <si>
    <t>2026-09-03T13:23:40.036546</t>
  </si>
  <si>
    <t>2026-09-03T13:23:40.010467</t>
  </si>
  <si>
    <t>2026-09-03T13:23:39.985668</t>
  </si>
  <si>
    <t>2026-09-03T13:23:39.908915</t>
  </si>
  <si>
    <t>2026-09-03T13:23:39.865456</t>
  </si>
  <si>
    <t>2026-09-03T13:23:39.852525</t>
  </si>
  <si>
    <t>2026-09-03T13:23:39.824224</t>
  </si>
  <si>
    <t>2026-09-03T13:23:39.813153</t>
  </si>
  <si>
    <t>2026-09-03T13:23:39.798080</t>
  </si>
  <si>
    <t>2026-09-03T13:23:39.776828</t>
  </si>
  <si>
    <t>2026-09-03T13:23:39.763117</t>
  </si>
  <si>
    <t>2026-09-03T13:23:39.740512</t>
  </si>
  <si>
    <t>2026-09-03T13:23:39.729120</t>
  </si>
  <si>
    <t>2026-09-03T13:23:39.713988</t>
  </si>
  <si>
    <t>2026-09-03T13:23:39.701577</t>
  </si>
  <si>
    <t>2026-09-03T13:23:39.679051</t>
  </si>
  <si>
    <t>2026-09-03T13:23:39.665032</t>
  </si>
  <si>
    <t>2026-09-03T13:23:39.650455</t>
  </si>
  <si>
    <t>2026-09-03T13:23:39.636138</t>
  </si>
  <si>
    <t>2026-09-03T13:23:39.612388</t>
  </si>
  <si>
    <t>2026-09-03T13:23:39.601793</t>
  </si>
  <si>
    <t>2026-09-03T13:23:39.581162</t>
  </si>
  <si>
    <t>2026-09-03T13:23:39.558379</t>
  </si>
  <si>
    <t>2026-09-03T13:23:39.539065</t>
  </si>
  <si>
    <t>2026-09-03T13:23:39.525074</t>
  </si>
  <si>
    <t>2026-09-03T13:23:39.504895</t>
  </si>
  <si>
    <t>2026-09-03T13:23:39.495885</t>
  </si>
  <si>
    <t>2026-09-03T13:23:39.484841</t>
  </si>
  <si>
    <t>2026-09-03T13:23:39.470041</t>
  </si>
  <si>
    <t>2026-09-03T13:23:39.456001</t>
  </si>
  <si>
    <t>2026-09-03T13:23:39.440370</t>
  </si>
  <si>
    <t>2026-09-03T13:23:39.423452</t>
  </si>
  <si>
    <t>2026-09-03T13:23:39.407084</t>
  </si>
  <si>
    <t>2026-09-03T13:23:39.392822</t>
  </si>
  <si>
    <t>2026-09-03T13:23:39.382002</t>
  </si>
  <si>
    <t>2026-09-03T13:23:39.362226</t>
  </si>
  <si>
    <t>2026-09-03T13:23:39.351778</t>
  </si>
  <si>
    <t>2026-09-03T13:23:39.337948</t>
  </si>
  <si>
    <t>2026-09-03T13:23:39.327191</t>
  </si>
  <si>
    <t>2026-09-03T13:23:39.309371</t>
  </si>
  <si>
    <t>2026-09-03T13:23:39.296122</t>
  </si>
  <si>
    <t>2026-09-03T13:23:39.282692</t>
  </si>
  <si>
    <t>2026-09-03T13:23:39.262688</t>
  </si>
  <si>
    <t>2026-09-03T13:23:39.248591</t>
  </si>
  <si>
    <t>2026-09-03T13:23:39.234944</t>
  </si>
  <si>
    <t>2026-09-03T13:23:39.212190</t>
  </si>
  <si>
    <t>2026-09-03T13:23:39.206598</t>
  </si>
  <si>
    <t>2026-09-03T13:23:39.192895</t>
  </si>
  <si>
    <t>2026-09-03T13:23:39.178044</t>
  </si>
  <si>
    <t>2026-09-03T13:23:39.165057</t>
  </si>
  <si>
    <t>2026-09-03T13:23:39.148512</t>
  </si>
  <si>
    <t>2026-09-03T13:23:39.143447</t>
  </si>
  <si>
    <t>2026-09-03T13:23:39.130057</t>
  </si>
  <si>
    <t>2026-09-03T13:23:39.115898</t>
  </si>
  <si>
    <t>2026-09-03T13:23:39.097693</t>
  </si>
  <si>
    <t>2026-09-03T13:23:39.075159</t>
  </si>
  <si>
    <t>2026-09-03T13:23:39.051564</t>
  </si>
  <si>
    <t>2026-09-03T13:23:39.037667</t>
  </si>
  <si>
    <t>2026-09-03T13:23:39.018460</t>
  </si>
  <si>
    <t>2026-09-03T13:23:39.006970</t>
  </si>
  <si>
    <t>2026-09-03T13:23:38.990775</t>
  </si>
  <si>
    <t>2026-09-03T13:23:38.971817</t>
  </si>
  <si>
    <t>2026-09-03T13:23:38.958031</t>
  </si>
  <si>
    <t>2026-09-03T13:23:38.942490</t>
  </si>
  <si>
    <t>2026-09-03T13:23:38.928523</t>
  </si>
  <si>
    <t>2026-09-03T13:23:38.912528</t>
  </si>
  <si>
    <t>2026-09-03T13:23:38.895633</t>
  </si>
  <si>
    <t>2026-09-03T13:23:38.879311</t>
  </si>
  <si>
    <t>2026-09-03T13:23:38.856946</t>
  </si>
  <si>
    <t>2026-09-03T13:23:38.844579</t>
  </si>
  <si>
    <t>2026-09-03T13:23:38.824808</t>
  </si>
  <si>
    <t>2026-09-03T13:23:38.803221</t>
  </si>
  <si>
    <t>2026-09-03T13:23:38.786260</t>
  </si>
  <si>
    <t>2026-09-03T13:23:38.769070</t>
  </si>
  <si>
    <t>2026-09-03T13:23:38.753862</t>
  </si>
  <si>
    <t>2026-09-03T13:23:38.745046</t>
  </si>
  <si>
    <t>2026-09-03T13:23:38.726659</t>
  </si>
  <si>
    <t>2026-09-03T13:23:38.710563</t>
  </si>
  <si>
    <t>2026-09-03T13:23:38.671682</t>
  </si>
  <si>
    <t>2026-09-03T13:23:38.657649</t>
  </si>
  <si>
    <t>2026-09-03T13:23:38.632791</t>
  </si>
  <si>
    <t>2026-09-03T13:23:38.619462</t>
  </si>
  <si>
    <t>2026-09-03T13:23:38.601056</t>
  </si>
  <si>
    <t>2026-09-03T13:23:38.574100</t>
  </si>
  <si>
    <t>2026-09-03T13:23:38.549820</t>
  </si>
  <si>
    <t>2026-09-03T13:23:38.513199</t>
  </si>
  <si>
    <t>2026-09-03T13:23:38.484876</t>
  </si>
  <si>
    <t>2026-09-03T13:23:38.465333</t>
  </si>
  <si>
    <t>2026-09-03T13:23:38.448338</t>
  </si>
  <si>
    <t>2026-09-03T13:23:38.428962</t>
  </si>
  <si>
    <t>2026-09-03T13:23:38.407047</t>
  </si>
  <si>
    <t>2026-09-03T13:23:38.379876</t>
  </si>
  <si>
    <t>2026-09-03T13:23:38.344983</t>
  </si>
  <si>
    <t>2026-09-03T13:23:38.317207</t>
  </si>
  <si>
    <t>2026-09-03T13:23:38.296669</t>
  </si>
  <si>
    <t>2026-09-03T13:23:38.264641</t>
  </si>
  <si>
    <t>2026-09-03T13:23:38.243494</t>
  </si>
  <si>
    <t>2026-09-03T13:23:38.224541</t>
  </si>
  <si>
    <t>2026-09-03T13:23:38.212452</t>
  </si>
  <si>
    <t>2026-09-03T13:23:38.184421</t>
  </si>
  <si>
    <t>2026-09-03T13:23:38.175906</t>
  </si>
  <si>
    <t>2026-09-03T13:23:38.164613</t>
  </si>
  <si>
    <t>2026-09-03T13:23:38.149588</t>
  </si>
  <si>
    <t>2026-09-03T13:23:38.130842</t>
  </si>
  <si>
    <t>2026-09-03T13:23:38.116673</t>
  </si>
  <si>
    <t>2026-09-03T13:23:38.105977</t>
  </si>
  <si>
    <t>2026-09-03T13:23:38.073788</t>
  </si>
  <si>
    <t>2026-09-03T13:23:38.064939</t>
  </si>
  <si>
    <t>2026-09-03T13:23:38.047434</t>
  </si>
  <si>
    <t>2026-09-03T13:23:38.025182</t>
  </si>
  <si>
    <t>2026-09-03T13:23:38.010549</t>
  </si>
  <si>
    <t>2026-09-03T13:23:37.999093</t>
  </si>
  <si>
    <t>2026-09-03T13:23:37.982789</t>
  </si>
  <si>
    <t>2026-09-03T13:23:37.973482</t>
  </si>
  <si>
    <t>2026-09-03T13:23:37.955173</t>
  </si>
  <si>
    <t>2026-09-03T13:23:37.945425</t>
  </si>
  <si>
    <t>2026-09-03T13:23:37.925709</t>
  </si>
  <si>
    <t>2026-09-03T13:23:37.907610</t>
  </si>
  <si>
    <t>2026-09-03T13:23:37.896826</t>
  </si>
  <si>
    <t>2026-09-03T13:23:37.879436</t>
  </si>
  <si>
    <t>2026-09-03T13:23:37.865269</t>
  </si>
  <si>
    <t>2026-09-03T13:23:37.852456</t>
  </si>
  <si>
    <t>2026-09-03T13:23:37.828700</t>
  </si>
  <si>
    <t>2026-09-03T13:23:37.809545</t>
  </si>
  <si>
    <t>2026-09-03T13:23:37.791127</t>
  </si>
  <si>
    <t>2026-09-03T13:23:37.774235</t>
  </si>
  <si>
    <t>2026-09-03T13:23:37.754926</t>
  </si>
  <si>
    <t>2026-09-03T13:23:37.740455</t>
  </si>
  <si>
    <t>2026-09-03T13:23:37.723717</t>
  </si>
  <si>
    <t>2026-09-03T13:23:37.708006</t>
  </si>
  <si>
    <t>2026-09-03T13:23:37.692854</t>
  </si>
  <si>
    <t>2026-09-03T13:23:37.678664</t>
  </si>
  <si>
    <t>2026-09-03T13:23:37.656521</t>
  </si>
  <si>
    <t>2026-09-03T13:23:37.644448</t>
  </si>
  <si>
    <t>2026-09-03T13:23:37.629617</t>
  </si>
  <si>
    <t>2026-09-03T13:23:37.616657</t>
  </si>
  <si>
    <t>2026-09-03T13:23:37.595018</t>
  </si>
  <si>
    <t>2026-09-03T13:23:37.567112</t>
  </si>
  <si>
    <t>2026-09-03T13:23:37.553271</t>
  </si>
  <si>
    <t>2026-09-03T13:23:37.544446</t>
  </si>
  <si>
    <t>2026-09-03T13:23:37.529601</t>
  </si>
  <si>
    <t>2026-09-03T13:23:37.504043</t>
  </si>
  <si>
    <t>2026-09-03T13:23:37.492477</t>
  </si>
  <si>
    <t>2026-09-03T13:23:37.469626</t>
  </si>
  <si>
    <t>2026-09-03T13:23:37.455284</t>
  </si>
  <si>
    <t>2026-09-03T13:23:37.443415</t>
  </si>
  <si>
    <t>2026-09-03T13:23:37.420787</t>
  </si>
  <si>
    <t>2026-09-03T13:23:37.410949</t>
  </si>
  <si>
    <t>2026-09-03T13:23:37.390192</t>
  </si>
  <si>
    <t>2026-09-03T13:23:37.372231</t>
  </si>
  <si>
    <t>2026-09-03T13:23:37.358649</t>
  </si>
  <si>
    <t>2026-09-03T13:23:37.335001</t>
  </si>
  <si>
    <t>2026-09-03T13:23:37.323929</t>
  </si>
  <si>
    <t>2026-09-03T13:23:37.301638</t>
  </si>
  <si>
    <t>2026-09-03T13:23:37.276761</t>
  </si>
  <si>
    <t>2026-09-03T13:23:37.256320</t>
  </si>
  <si>
    <t>2026-09-03T13:23:37.234759</t>
  </si>
  <si>
    <t>2026-09-03T13:23:37.213338</t>
  </si>
  <si>
    <t>2026-09-03T13:23:37.198973</t>
  </si>
  <si>
    <t>2026-09-03T13:23:37.178950</t>
  </si>
  <si>
    <t>2026-09-03T13:23:37.164597</t>
  </si>
  <si>
    <t>2026-09-03T13:23:37.150262</t>
  </si>
  <si>
    <t>2026-09-03T13:23:37.136042</t>
  </si>
  <si>
    <t>2026-09-03T13:23:37.122615</t>
  </si>
  <si>
    <t>2026-09-03T13:23:37.112192</t>
  </si>
  <si>
    <t>2026-09-03T13:23:37.104937</t>
  </si>
  <si>
    <t>2026-09-03T13:23:37.089974</t>
  </si>
  <si>
    <t>2026-09-03T13:23:37.076662</t>
  </si>
  <si>
    <t>2026-09-03T13:23:37.059074</t>
  </si>
  <si>
    <t>2026-09-03T13:23:37.054028</t>
  </si>
  <si>
    <t>2026-09-03T13:23:37.039390</t>
  </si>
  <si>
    <t>2026-09-03T13:23:37.025433</t>
  </si>
  <si>
    <t>2026-09-03T13:23:37.004129</t>
  </si>
  <si>
    <t>2026-09-03T13:23:36.990452</t>
  </si>
  <si>
    <t>2026-09-03T13:23:36.978641</t>
  </si>
  <si>
    <t>2026-09-03T13:23:36.920196</t>
  </si>
  <si>
    <t>2026-09-03T13:23:36.870040</t>
  </si>
  <si>
    <t>2026-09-03T13:23:36.755552</t>
  </si>
  <si>
    <t>2026-09-03T13:23:36.721974</t>
  </si>
  <si>
    <t>2026-09-03T13:23:36.691625</t>
  </si>
  <si>
    <t>2026-09-03T13:23:36.666521</t>
  </si>
  <si>
    <t>2026-09-03T13:23:36.642041</t>
  </si>
  <si>
    <t>2026-09-03T13:23:36.628543</t>
  </si>
  <si>
    <t>2026-09-03T13:23:36.600443</t>
  </si>
  <si>
    <t>2026-09-03T13:23:36.582515</t>
  </si>
  <si>
    <t>2026-09-03T13:23:36.545511</t>
  </si>
  <si>
    <t>2026-09-03T13:23:36.532688</t>
  </si>
  <si>
    <t>2026-09-03T13:23:36.493566</t>
  </si>
  <si>
    <t>2026-09-03T13:23:36.457907</t>
  </si>
  <si>
    <t>2026-09-03T13:23:36.436632</t>
  </si>
  <si>
    <t>2026-09-03T13:23:36.409608</t>
  </si>
  <si>
    <t>2026-09-03T13:23:36.378329</t>
  </si>
  <si>
    <t>2026-09-03T13:23:36.343881</t>
  </si>
  <si>
    <t>2026-09-03T13:23:36.335128</t>
  </si>
  <si>
    <t>2026-09-03T13:23:36.312220</t>
  </si>
  <si>
    <t>2026-09-03T13:23:36.291080</t>
  </si>
  <si>
    <t>2026-09-03T13:23:36.271713</t>
  </si>
  <si>
    <t>2026-09-03T13:23:36.255010</t>
  </si>
  <si>
    <t>2026-09-03T13:23:36.241619</t>
  </si>
  <si>
    <t>2026-09-03T13:23:36.222914</t>
  </si>
  <si>
    <t>2026-09-03T13:23:36.207133</t>
  </si>
  <si>
    <t>2026-09-03T13:23:36.185384</t>
  </si>
  <si>
    <t>2026-09-03T13:23:36.170155</t>
  </si>
  <si>
    <t>2026-09-03T13:23:36.159174</t>
  </si>
  <si>
    <t>2026-09-03T13:23:36.135405</t>
  </si>
  <si>
    <t>2026-09-03T13:23:36.117225</t>
  </si>
  <si>
    <t>2026-09-03T13:23:36.098204</t>
  </si>
  <si>
    <t>2026-09-03T13:23:36.089860</t>
  </si>
  <si>
    <t>2026-09-03T13:23:36.073971</t>
  </si>
  <si>
    <t>2026-09-03T13:23:36.062523</t>
  </si>
  <si>
    <t>2026-09-03T13:23:36.045683</t>
  </si>
  <si>
    <t>2026-09-03T13:23:36.033792</t>
  </si>
  <si>
    <t>2026-09-03T13:23:36.019666</t>
  </si>
  <si>
    <t>2026-09-03T13:23:35.990974</t>
  </si>
  <si>
    <t>2026-09-03T13:23:35.977423</t>
  </si>
  <si>
    <t>2026-09-03T13:23:35.956618</t>
  </si>
  <si>
    <t>2026-09-03T13:23:35.930445</t>
  </si>
  <si>
    <t>2026-09-03T13:23:35.914781</t>
  </si>
  <si>
    <t>2026-09-03T13:23:35.894670</t>
  </si>
  <si>
    <t>2026-09-03T13:23:35.880628</t>
  </si>
  <si>
    <t>2026-09-03T13:23:35.857369</t>
  </si>
  <si>
    <t>2026-09-03T13:23:35.845299</t>
  </si>
  <si>
    <t>2026-09-03T13:23:35.824931</t>
  </si>
  <si>
    <t>2026-09-03T13:23:35.805836</t>
  </si>
  <si>
    <t>2026-09-03T13:23:35.787995</t>
  </si>
  <si>
    <t>2026-09-03T13:23:35.775811</t>
  </si>
  <si>
    <t>2026-09-03T13:23:35.755507</t>
  </si>
  <si>
    <t>2026-09-03T13:23:35.741577</t>
  </si>
  <si>
    <t>2026-09-03T13:23:35.718603</t>
  </si>
  <si>
    <t>2026-09-03T13:23:35.706618</t>
  </si>
  <si>
    <t>2026-09-03T13:23:35.685487</t>
  </si>
  <si>
    <t>2026-09-03T13:23:35.674265</t>
  </si>
  <si>
    <t>2026-09-03T13:23:35.656242</t>
  </si>
  <si>
    <t>2026-09-03T13:23:35.637469</t>
  </si>
  <si>
    <t>2026-09-03T13:23:35.623148</t>
  </si>
  <si>
    <t>2026-09-03T13:23:35.603503</t>
  </si>
  <si>
    <t>2026-09-03T13:23:35.589495</t>
  </si>
  <si>
    <t>2026-09-03T13:23:35.578228</t>
  </si>
  <si>
    <t>2026-09-03T13:23:35.561892</t>
  </si>
  <si>
    <t>2026-09-03T13:23:35.540641</t>
  </si>
  <si>
    <t>2026-09-03T13:23:35.525449</t>
  </si>
  <si>
    <t>2026-09-03T13:23:35.512015</t>
  </si>
  <si>
    <t>2026-09-03T13:23:35.492788</t>
  </si>
  <si>
    <t>2026-09-03T13:23:35.474206</t>
  </si>
  <si>
    <t>2026-09-03T13:23:35.456793</t>
  </si>
  <si>
    <t>2026-09-03T13:23:35.437131</t>
  </si>
  <si>
    <t>2026-09-03T13:23:35.422287</t>
  </si>
  <si>
    <t>2026-09-03T13:23:35.407792</t>
  </si>
  <si>
    <t>2026-09-03T13:23:35.398461</t>
  </si>
  <si>
    <t>2026-09-03T13:23:35.388844</t>
  </si>
  <si>
    <t>2026-09-03T13:23:35.371535</t>
  </si>
  <si>
    <t>2026-09-03T13:23:35.354840</t>
  </si>
  <si>
    <t>2026-09-03T13:23:35.333291</t>
  </si>
  <si>
    <t>2026-09-03T13:23:35.318637</t>
  </si>
  <si>
    <t>2026-09-03T13:23:35.296275</t>
  </si>
  <si>
    <t>2026-09-03T13:23:35.281143</t>
  </si>
  <si>
    <t>2026-09-03T13:23:35.262714</t>
  </si>
  <si>
    <t>2026-09-03T13:23:35.254904</t>
  </si>
  <si>
    <t>2026-09-03T13:23:35.243315</t>
  </si>
  <si>
    <t>2026-09-03T13:23:35.220652</t>
  </si>
  <si>
    <t>2026-09-03T13:23:35.198271</t>
  </si>
  <si>
    <t>2026-09-03T13:23:35.174977</t>
  </si>
  <si>
    <t>2026-09-03T13:23:35.163318</t>
  </si>
  <si>
    <t>2026-09-03T13:23:35.142505</t>
  </si>
  <si>
    <t>2026-09-03T13:23:35.133104</t>
  </si>
  <si>
    <t>2026-09-03T13:23:35.115393</t>
  </si>
  <si>
    <t>2026-09-03T13:23:35.103003</t>
  </si>
  <si>
    <t>2026-09-03T13:23:35.088009</t>
  </si>
  <si>
    <t>2026-09-03T13:23:35.077047</t>
  </si>
  <si>
    <t>2026-09-03T13:23:35.060492</t>
  </si>
  <si>
    <t>2026-09-03T13:23:35.047330</t>
  </si>
  <si>
    <t>2026-09-03T13:23:35.027612</t>
  </si>
  <si>
    <t>2026-09-03T13:23:35.011920</t>
  </si>
  <si>
    <t>2026-09-03T13:23:34.991971</t>
  </si>
  <si>
    <t>2026-09-03T13:23:34.969938</t>
  </si>
  <si>
    <t>2026-09-03T13:23:34.962854</t>
  </si>
  <si>
    <t>2026-09-03T13:23:34.944855</t>
  </si>
  <si>
    <t>2026-09-03T13:23:34.907069</t>
  </si>
  <si>
    <t>2026-09-03T13:23:34.901611</t>
  </si>
  <si>
    <t>2026-09-03T13:23:34.886908</t>
  </si>
  <si>
    <t>2026-09-03T13:23:34.867288</t>
  </si>
  <si>
    <t>2026-09-03T13:23:34.852936</t>
  </si>
  <si>
    <t>2026-09-03T13:23:34.834109</t>
  </si>
  <si>
    <t>2026-09-03T13:23:34.812047</t>
  </si>
  <si>
    <t>2026-09-03T13:23:34.790330</t>
  </si>
  <si>
    <t>2026-09-03T13:23:34.763139</t>
  </si>
  <si>
    <t>2026-09-03T13:23:34.748291</t>
  </si>
  <si>
    <t>2026-09-03T13:23:34.725815</t>
  </si>
  <si>
    <t>2026-09-03T13:23:34.698078</t>
  </si>
  <si>
    <t>2026-09-03T13:23:34.684846</t>
  </si>
  <si>
    <t>2026-09-03T13:23:34.665322</t>
  </si>
  <si>
    <t>2026-09-03T13:23:34.651738</t>
  </si>
  <si>
    <t>2026-09-03T13:23:34.631742</t>
  </si>
  <si>
    <t>2026-09-03T13:23:34.618040</t>
  </si>
  <si>
    <t>2026-09-03T13:23:34.599034</t>
  </si>
  <si>
    <t>2026-09-03T13:23:34.580922</t>
  </si>
  <si>
    <t>2026-09-03T13:23:34.561752</t>
  </si>
  <si>
    <t>2026-09-03T13:23:34.547563</t>
  </si>
  <si>
    <t>2026-09-03T13:23:34.526799</t>
  </si>
  <si>
    <t>2026-09-03T13:23:34.507976</t>
  </si>
  <si>
    <t>2026-09-03T13:23:34.492278</t>
  </si>
  <si>
    <t>2026-09-03T13:23:34.477957</t>
  </si>
  <si>
    <t>2026-09-03T13:23:34.459292</t>
  </si>
  <si>
    <t>2026-09-03T13:23:34.436297</t>
  </si>
  <si>
    <t>2026-09-03T13:23:34.414635</t>
  </si>
  <si>
    <t>2026-09-03T13:23:34.401538</t>
  </si>
  <si>
    <t>2026-09-03T13:23:34.383300</t>
  </si>
  <si>
    <t>2026-09-03T13:23:34.367726</t>
  </si>
  <si>
    <t>2026-09-03T13:23:34.352776</t>
  </si>
  <si>
    <t>2026-09-03T13:23:34.333369</t>
  </si>
  <si>
    <t>2026-09-03T13:23:34.318429</t>
  </si>
  <si>
    <t>2026-09-03T13:23:34.304801</t>
  </si>
  <si>
    <t>2026-09-03T13:23:34.285758</t>
  </si>
  <si>
    <t>2026-09-03T13:23:34.269880</t>
  </si>
  <si>
    <t>2026-09-03T13:23:34.255114</t>
  </si>
  <si>
    <t>2026-09-03T13:23:34.240334</t>
  </si>
  <si>
    <t>2026-09-03T13:23:34.218862</t>
  </si>
  <si>
    <t>2026-09-03T13:23:34.206642</t>
  </si>
  <si>
    <t>2026-09-03T13:23:34.170959</t>
  </si>
  <si>
    <t>2026-09-03T13:23:34.165054</t>
  </si>
  <si>
    <t>2026-09-03T13:23:34.143285</t>
  </si>
  <si>
    <t>2026-09-03T13:23:34.130981</t>
  </si>
  <si>
    <t>2026-09-03T13:23:34.114977</t>
  </si>
  <si>
    <t>2026-09-03T13:23:34.104571</t>
  </si>
  <si>
    <t>2026-09-03T13:23:34.081384</t>
  </si>
  <si>
    <t>2026-09-03T13:23:34.062104</t>
  </si>
  <si>
    <t>2026-09-03T13:23:34.043555</t>
  </si>
  <si>
    <t>2026-09-03T13:23:34.034245</t>
  </si>
  <si>
    <t>2026-09-03T13:23:34.019196</t>
  </si>
  <si>
    <t>2026-09-03T13:23:34.000576</t>
  </si>
  <si>
    <t>2026-09-03T13:23:33.991384</t>
  </si>
  <si>
    <t>2026-09-03T13:23:33.971113</t>
  </si>
  <si>
    <t>2026-09-03T13:23:33.953487</t>
  </si>
  <si>
    <t>2026-09-03T13:23:33.940062</t>
  </si>
  <si>
    <t>2026-09-03T13:23:33.922766</t>
  </si>
  <si>
    <t>2026-09-03T13:23:33.901748</t>
  </si>
  <si>
    <t>2026-09-03T13:23:33.879910</t>
  </si>
  <si>
    <t>2026-09-03T13:23:33.867134</t>
  </si>
  <si>
    <t>2026-09-03T13:23:33.852923</t>
  </si>
  <si>
    <t>2026-09-03T13:23:33.839629</t>
  </si>
  <si>
    <t>2026-09-03T13:23:33.826459</t>
  </si>
  <si>
    <t>2026-09-03T13:23:33.803947</t>
  </si>
  <si>
    <t>2026-09-03T13:23:33.788419</t>
  </si>
  <si>
    <t>2026-09-03T13:23:33.776264</t>
  </si>
  <si>
    <t>2026-09-03T13:23:33.757909</t>
  </si>
  <si>
    <t>2026-09-03T13:23:33.734341</t>
  </si>
  <si>
    <t>2026-09-03T13:23:33.715140</t>
  </si>
  <si>
    <t>2026-09-03T13:23:33.703589</t>
  </si>
  <si>
    <t>2026-09-03T13:23:33.692275</t>
  </si>
  <si>
    <t>2026-09-03T13:23:33.672381</t>
  </si>
  <si>
    <t>2026-09-03T13:23:33.648411</t>
  </si>
  <si>
    <t>2026-09-03T13:23:33.623340</t>
  </si>
  <si>
    <t>2026-09-03T13:23:33.606600</t>
  </si>
  <si>
    <t>2026-09-03T13:23:33.588888</t>
  </si>
  <si>
    <t>2026-09-03T13:23:33.578142</t>
  </si>
  <si>
    <t>2026-09-03T13:23:33.536462</t>
  </si>
  <si>
    <t>2026-09-03T13:23:33.521248</t>
  </si>
  <si>
    <t>2026-09-03T13:23:33.491654</t>
  </si>
  <si>
    <t>2026-09-03T13:23:33.477622</t>
  </si>
  <si>
    <t>2026-09-03T13:23:33.452348</t>
  </si>
  <si>
    <t>2026-09-03T13:23:33.432240</t>
  </si>
  <si>
    <t>2026-09-03T13:23:33.400305</t>
  </si>
  <si>
    <t>2026-09-03T13:23:33.368161</t>
  </si>
  <si>
    <t>2026-09-03T13:23:33.345157</t>
  </si>
  <si>
    <t>2026-09-03T13:23:33.324880</t>
  </si>
  <si>
    <t>2026-09-03T13:23:33.303776</t>
  </si>
  <si>
    <t>2026-09-03T13:23:33.283966</t>
  </si>
  <si>
    <t>2026-09-03T13:23:33.270824</t>
  </si>
  <si>
    <t>2026-09-03T13:23:33.251310</t>
  </si>
  <si>
    <t>2026-09-03T13:23:33.234311</t>
  </si>
  <si>
    <t>2026-09-03T13:23:33.211703</t>
  </si>
  <si>
    <t>2026-09-03T13:23:33.199832</t>
  </si>
  <si>
    <t>2026-09-03T13:23:33.175914</t>
  </si>
  <si>
    <t>2026-09-03T13:23:33.144786</t>
  </si>
  <si>
    <t>2026-09-03T13:23:33.123656</t>
  </si>
  <si>
    <t>2026-09-03T13:23:33.103091</t>
  </si>
  <si>
    <t>2026-09-03T13:23:33.081398</t>
  </si>
  <si>
    <t>2026-09-03T13:23:33.071396</t>
  </si>
  <si>
    <t>2026-09-03T13:23:33.057019</t>
  </si>
  <si>
    <t>2026-09-03T13:23:33.031566</t>
  </si>
  <si>
    <t>2026-09-03T13:23:33.019206</t>
  </si>
  <si>
    <t>2026-09-03T13:23:32.992624</t>
  </si>
  <si>
    <t>2026-09-03T13:23:32.979136</t>
  </si>
  <si>
    <t>2026-09-03T13:23:32.966048</t>
  </si>
  <si>
    <t>2026-09-03T13:23:32.953072</t>
  </si>
  <si>
    <t>2026-09-03T13:23:32.934299</t>
  </si>
  <si>
    <t>2026-09-03T13:23:32.915332</t>
  </si>
  <si>
    <t>2026-09-03T13:23:32.894641</t>
  </si>
  <si>
    <t>2026-09-03T13:23:32.872360</t>
  </si>
  <si>
    <t>2026-09-03T13:23:32.836895</t>
  </si>
  <si>
    <t>2026-09-03T13:23:32.807459</t>
  </si>
  <si>
    <t>2026-09-03T13:23:32.784359</t>
  </si>
  <si>
    <t>2026-09-03T13:23:32.763606</t>
  </si>
  <si>
    <t>2026-09-03T13:23:32.742323</t>
  </si>
  <si>
    <t>2026-09-03T13:23:32.729776</t>
  </si>
  <si>
    <t>2026-09-03T13:23:32.713536</t>
  </si>
  <si>
    <t>2026-09-03T13:23:32.695435</t>
  </si>
  <si>
    <t>2026-09-03T13:23:32.651852</t>
  </si>
  <si>
    <t>2026-09-03T13:23:32.631534</t>
  </si>
  <si>
    <t>2026-09-03T13:23:32.601896</t>
  </si>
  <si>
    <t>2026-09-03T13:23:32.596897</t>
  </si>
  <si>
    <t>2026-09-03T13:23:32.568247</t>
  </si>
  <si>
    <t>2026-09-03T13:23:32.541675</t>
  </si>
  <si>
    <t>2026-09-03T13:23:32.526116</t>
  </si>
  <si>
    <t>2026-09-03T13:23:32.489744</t>
  </si>
  <si>
    <t>2026-09-03T13:23:32.477427</t>
  </si>
  <si>
    <t>2026-09-03T13:23:32.457336</t>
  </si>
  <si>
    <t>2026-09-03T13:23:32.443640</t>
  </si>
  <si>
    <t>2026-09-03T13:23:32.425953</t>
  </si>
  <si>
    <t>2026-09-03T13:23:32.399728</t>
  </si>
  <si>
    <t>2026-09-03T13:23:32.367669</t>
  </si>
  <si>
    <t>2026-09-03T13:23:32.338195</t>
  </si>
  <si>
    <t>2026-09-03T13:23:32.311102</t>
  </si>
  <si>
    <t>2026-09-03T13:23:32.299297</t>
  </si>
  <si>
    <t>2026-09-03T13:23:32.283555</t>
  </si>
  <si>
    <t>2026-09-03T13:23:32.269694</t>
  </si>
  <si>
    <t>2026-09-03T13:23:32.255953</t>
  </si>
  <si>
    <t>2026-09-03T13:23:32.242177</t>
  </si>
  <si>
    <t>2026-09-03T13:23:32.221276</t>
  </si>
  <si>
    <t>2026-09-03T13:23:32.206490</t>
  </si>
  <si>
    <t>2026-09-03T13:23:32.193323</t>
  </si>
  <si>
    <t>2026-09-03T13:23:32.180633</t>
  </si>
  <si>
    <t>2026-09-03T13:23:32.164280</t>
  </si>
  <si>
    <t>2026-09-03T13:23:32.151910</t>
  </si>
  <si>
    <t>2026-09-03T13:23:32.137467</t>
  </si>
  <si>
    <t>2026-09-03T13:23:32.130374</t>
  </si>
  <si>
    <t>2026-09-03T13:23:32.109183</t>
  </si>
  <si>
    <t>2026-09-03T13:23:32.095765</t>
  </si>
  <si>
    <t>2026-09-03T13:23:32.083578</t>
  </si>
  <si>
    <t>2026-09-03T13:23:32.053880</t>
  </si>
  <si>
    <t>2026-09-03T13:23:32.039867</t>
  </si>
  <si>
    <t>2026-09-03T13:23:32.026114</t>
  </si>
  <si>
    <t>2026-09-03T13:23:32.008636</t>
  </si>
  <si>
    <t>2026-09-03T13:23:31.993260</t>
  </si>
  <si>
    <t>2026-09-03T13:23:31.976275</t>
  </si>
  <si>
    <t>2026-09-03T13:23:31.965645</t>
  </si>
  <si>
    <t>2026-09-03T13:23:31.951448</t>
  </si>
  <si>
    <t>2026-09-03T13:23:31.936688</t>
  </si>
  <si>
    <t>2026-09-03T13:23:31.919209</t>
  </si>
  <si>
    <t>2026-09-03T13:23:31.895237</t>
  </si>
  <si>
    <t>2026-09-03T13:23:31.880930</t>
  </si>
  <si>
    <t>2026-09-03T13:23:31.867277</t>
  </si>
  <si>
    <t>2026-09-03T13:23:31.838366</t>
  </si>
  <si>
    <t>2026-09-03T13:23:31.831118</t>
  </si>
  <si>
    <t>2026-09-03T13:23:31.818298</t>
  </si>
  <si>
    <t>2026-09-03T13:23:31.804442</t>
  </si>
  <si>
    <t>2026-09-03T13:23:31.790875</t>
  </si>
  <si>
    <t>2026-09-03T13:23:31.761554</t>
  </si>
  <si>
    <t>2026-09-03T13:23:31.752549</t>
  </si>
  <si>
    <t>2026-09-03T13:23:31.735142</t>
  </si>
  <si>
    <t>2026-09-03T13:23:31.699679</t>
  </si>
  <si>
    <t>2026-09-03T13:23:31.672921</t>
  </si>
  <si>
    <t>2026-09-03T13:23:31.660340</t>
  </si>
  <si>
    <t>2026-09-03T13:23:31.638573</t>
  </si>
  <si>
    <t>2026-09-03T13:23:31.619162</t>
  </si>
  <si>
    <t>2026-09-03T13:23:31.597183</t>
  </si>
  <si>
    <t>2026-09-03T13:23:31.568583</t>
  </si>
  <si>
    <t>2026-09-03T13:23:31.557754</t>
  </si>
  <si>
    <t>2026-09-03T13:23:31.533617</t>
  </si>
  <si>
    <t>2026-09-03T13:23:31.522041</t>
  </si>
  <si>
    <t>2026-09-03T13:23:31.500430</t>
  </si>
  <si>
    <t>2026-09-03T13:23:31.484862</t>
  </si>
  <si>
    <t>2026-09-03T13:23:31.471453</t>
  </si>
  <si>
    <t>2026-09-03T13:23:31.453723</t>
  </si>
  <si>
    <t>2026-09-03T13:23:31.439402</t>
  </si>
  <si>
    <t>2026-09-03T13:23:31.422588</t>
  </si>
  <si>
    <t>2026-09-03T13:23:31.409520</t>
  </si>
  <si>
    <t>2026-09-03T13:23:31.394427</t>
  </si>
  <si>
    <t>2026-09-03T13:23:31.379741</t>
  </si>
  <si>
    <t>2026-09-03T13:23:31.353166</t>
  </si>
  <si>
    <t>2026-09-03T13:23:31.339449</t>
  </si>
  <si>
    <t>2026-09-03T13:23:31.319442</t>
  </si>
  <si>
    <t>2026-09-03T13:23:31.286322</t>
  </si>
  <si>
    <t>2026-09-03T13:23:31.262742</t>
  </si>
  <si>
    <t>2026-09-03T13:23:31.246366</t>
  </si>
  <si>
    <t>2026-09-03T13:23:31.229160</t>
  </si>
  <si>
    <t>2026-09-03T13:23:31.213437</t>
  </si>
  <si>
    <t>2026-09-03T13:23:31.203990</t>
  </si>
  <si>
    <t>2026-09-03T13:23:31.186078</t>
  </si>
  <si>
    <t>2026-09-03T13:23:31.163388</t>
  </si>
  <si>
    <t>2026-09-03T13:23:31.145891</t>
  </si>
  <si>
    <t>2026-09-03T13:23:31.131307</t>
  </si>
  <si>
    <t>2026-09-03T13:23:31.118507</t>
  </si>
  <si>
    <t>2026-09-03T13:23:31.102483</t>
  </si>
  <si>
    <t>2026-09-03T13:23:31.081933</t>
  </si>
  <si>
    <t>2026-09-03T13:23:31.064551</t>
  </si>
  <si>
    <t>2026-09-03T13:23:31.045621</t>
  </si>
  <si>
    <t>2026-09-03T13:23:31.031609</t>
  </si>
  <si>
    <t>2026-09-03T13:23:31.019612</t>
  </si>
  <si>
    <t>2026-09-03T13:23:31.007285</t>
  </si>
  <si>
    <t>2026-09-03T13:23:30.994177</t>
  </si>
  <si>
    <t>2026-09-03T13:23:30.978613</t>
  </si>
  <si>
    <t>2026-09-03T13:23:30.964530</t>
  </si>
  <si>
    <t>2026-09-03T13:23:30.952583</t>
  </si>
  <si>
    <t>2026-09-03T13:23:30.938030</t>
  </si>
  <si>
    <t>2026-09-03T13:23:30.918495</t>
  </si>
  <si>
    <t>2026-09-03T13:23:30.902017</t>
  </si>
  <si>
    <t>2026-09-03T13:23:30.889163</t>
  </si>
  <si>
    <t>2026-09-03T13:23:30.874342</t>
  </si>
  <si>
    <t>2026-09-03T13:23:30.850924</t>
  </si>
  <si>
    <t>2026-09-03T13:23:30.841822</t>
  </si>
  <si>
    <t>2026-09-03T13:23:30.826308</t>
  </si>
  <si>
    <t>2026-09-03T13:23:30.809427</t>
  </si>
  <si>
    <t>2026-09-03T13:23:30.790992</t>
  </si>
  <si>
    <t>2026-09-03T13:23:30.770160</t>
  </si>
  <si>
    <t>2026-09-03T13:23:30.754936</t>
  </si>
  <si>
    <t>2026-09-03T13:23:30.743445</t>
  </si>
  <si>
    <t>2026-09-03T13:23:30.720514</t>
  </si>
  <si>
    <t>2026-09-03T13:23:30.707903</t>
  </si>
  <si>
    <t>2026-09-03T13:23:30.693281</t>
  </si>
  <si>
    <t>2026-09-03T13:23:30.679998</t>
  </si>
  <si>
    <t>2026-09-03T13:23:30.658257</t>
  </si>
  <si>
    <t>2026-09-03T13:23:30.642889</t>
  </si>
  <si>
    <t>2026-09-03T13:23:30.630689</t>
  </si>
  <si>
    <t>2026-09-03T13:23:30.610375</t>
  </si>
  <si>
    <t>2026-09-03T13:23:30.592776</t>
  </si>
  <si>
    <t>2026-09-03T13:23:30.570763</t>
  </si>
  <si>
    <t>2026-09-03T13:23:30.547291</t>
  </si>
  <si>
    <t>2026-09-03T13:23:30.528263</t>
  </si>
  <si>
    <t>2026-09-03T13:23:30.514211</t>
  </si>
  <si>
    <t>2026-09-03T13:23:30.498806</t>
  </si>
  <si>
    <t>2026-09-03T13:23:30.484834</t>
  </si>
  <si>
    <t>2026-09-03T13:23:30.464619</t>
  </si>
  <si>
    <t>2026-09-03T13:23:30.451955</t>
  </si>
  <si>
    <t>2026-09-03T13:23:30.437356</t>
  </si>
  <si>
    <t>2026-09-03T13:23:30.422180</t>
  </si>
  <si>
    <t>2026-09-03T13:23:30.408200</t>
  </si>
  <si>
    <t>2026-09-03T13:23:30.396103</t>
  </si>
  <si>
    <t>2026-09-03T13:23:30.381660</t>
  </si>
  <si>
    <t>2026-09-03T13:23:30.366508</t>
  </si>
  <si>
    <t>2026-09-03T13:23:30.353754</t>
  </si>
  <si>
    <t>2026-09-03T13:23:30.332572</t>
  </si>
  <si>
    <t>2026-09-03T13:23:30.318603</t>
  </si>
  <si>
    <t>2026-09-03T13:23:30.300869</t>
  </si>
  <si>
    <t>2026-09-03T13:23:30.284141</t>
  </si>
  <si>
    <t>2026-09-03T13:23:30.262105</t>
  </si>
  <si>
    <t>2026-09-03T13:23:30.248012</t>
  </si>
  <si>
    <t>2026-09-03T13:23:30.240129</t>
  </si>
  <si>
    <t>2026-09-03T13:23:30.227637</t>
  </si>
  <si>
    <t>2026-09-03T13:23:30.215105</t>
  </si>
  <si>
    <t>2026-09-03T13:23:30.200107</t>
  </si>
  <si>
    <t>2026-09-03T13:23:30.180579</t>
  </si>
  <si>
    <t>2026-09-03T13:23:30.168892</t>
  </si>
  <si>
    <t>2026-09-03T13:23:30.152738</t>
  </si>
  <si>
    <t>2026-09-03T13:23:30.137522</t>
  </si>
  <si>
    <t>2026-09-03T13:23:30.125247</t>
  </si>
  <si>
    <t>2026-09-03T13:23:30.111818</t>
  </si>
  <si>
    <t>2026-09-03T13:23:30.096844</t>
  </si>
  <si>
    <t>2026-09-03T13:23:30.083158</t>
  </si>
  <si>
    <t>2026-09-03T13:23:30.071604</t>
  </si>
  <si>
    <t>2026-09-03T13:23:30.054484</t>
  </si>
  <si>
    <t>2026-09-03T13:23:30.033401</t>
  </si>
  <si>
    <t>2026-09-03T13:23:30.016916</t>
  </si>
  <si>
    <t>2026-09-03T13:23:29.992623</t>
  </si>
  <si>
    <t>2026-09-03T13:23:29.976848</t>
  </si>
  <si>
    <t>2026-09-03T13:23:29.971046</t>
  </si>
  <si>
    <t>2026-09-03T13:23:29.957152</t>
  </si>
  <si>
    <t>2026-09-03T13:23:29.945799</t>
  </si>
  <si>
    <t>2026-09-03T13:23:29.924239</t>
  </si>
  <si>
    <t>2026-09-03T13:23:29.909075</t>
  </si>
  <si>
    <t>2026-09-03T13:23:29.896007</t>
  </si>
  <si>
    <t>2026-09-03T13:23:29.882409</t>
  </si>
  <si>
    <t>2026-09-03T13:23:29.859886</t>
  </si>
  <si>
    <t>2026-09-03T13:23:29.845985</t>
  </si>
  <si>
    <t>2026-09-03T13:23:29.832706</t>
  </si>
  <si>
    <t>2026-09-03T13:23:29.818049</t>
  </si>
  <si>
    <t>2026-09-03T13:23:29.804131</t>
  </si>
  <si>
    <t>2026-09-03T13:23:29.793254</t>
  </si>
  <si>
    <t>2026-09-03T13:23:29.778940</t>
  </si>
  <si>
    <t>2026-09-03T13:23:29.762943</t>
  </si>
  <si>
    <t>2026-09-03T13:23:29.744450</t>
  </si>
  <si>
    <t>2026-09-03T13:23:29.726476</t>
  </si>
  <si>
    <t>2026-09-03T13:23:29.717586</t>
  </si>
  <si>
    <t>2026-09-03T13:23:29.693411</t>
  </si>
  <si>
    <t>2026-09-03T13:23:29.632499</t>
  </si>
  <si>
    <t>2026-09-03T13:23:29.596705</t>
  </si>
  <si>
    <t>2026-09-03T13:23:29.407368</t>
  </si>
  <si>
    <t>2026-09-03T13:23:29.365273</t>
  </si>
  <si>
    <t>2026-09-03T13:23:29.347184</t>
  </si>
  <si>
    <t>2026-09-03T13:23:29.322071</t>
  </si>
  <si>
    <t>2026-09-03T13:23:29.298406</t>
  </si>
  <si>
    <t>2026-09-03T13:23:29.283831</t>
  </si>
  <si>
    <t>2026-09-03T13:23:29.265431</t>
  </si>
  <si>
    <t>2026-09-03T13:23:29.249500</t>
  </si>
  <si>
    <t>2026-09-03T13:23:29.230709</t>
  </si>
  <si>
    <t>2026-09-03T13:23:29.207183</t>
  </si>
  <si>
    <t>2026-09-03T13:23:29.186942</t>
  </si>
  <si>
    <t>2026-09-03T13:23:29.171151</t>
  </si>
  <si>
    <t>2026-09-03T13:23:29.156999</t>
  </si>
  <si>
    <t>2026-09-03T13:23:29.132222</t>
  </si>
  <si>
    <t>2026-09-03T13:23:29.120073</t>
  </si>
  <si>
    <t>2026-09-03T13:23:29.104029</t>
  </si>
  <si>
    <t>2026-09-03T13:23:29.092486</t>
  </si>
  <si>
    <t>2026-09-03T13:23:29.075594</t>
  </si>
  <si>
    <t>2026-09-03T13:23:29.063229</t>
  </si>
  <si>
    <t>2026-09-03T13:23:29.042617</t>
  </si>
  <si>
    <t>2026-09-03T13:23:29.024812</t>
  </si>
  <si>
    <t>2026-09-03T13:23:29.006531</t>
  </si>
  <si>
    <t>2026-09-03T13:23:28.992419</t>
  </si>
  <si>
    <t>2026-09-03T13:23:28.969484</t>
  </si>
  <si>
    <t>2026-09-03T13:23:28.957308</t>
  </si>
  <si>
    <t>2026-09-03T13:23:28.935792</t>
  </si>
  <si>
    <t>2026-09-03T13:23:28.924993</t>
  </si>
  <si>
    <t>2026-09-03T13:23:28.903984</t>
  </si>
  <si>
    <t>2026-09-03T13:23:28.896563</t>
  </si>
  <si>
    <t>2026-09-03T13:23:28.880473</t>
  </si>
  <si>
    <t>2026-09-03T13:23:28.867373</t>
  </si>
  <si>
    <t>2026-09-03T13:23:28.852784</t>
  </si>
  <si>
    <t>2026-09-03T13:23:28.837587</t>
  </si>
  <si>
    <t>2026-09-03T13:23:28.819164</t>
  </si>
  <si>
    <t>2026-09-03T13:23:28.804502</t>
  </si>
  <si>
    <t>2026-09-03T13:23:28.784292</t>
  </si>
  <si>
    <t>2026-09-03T13:23:28.766321</t>
  </si>
  <si>
    <t>2026-09-03T13:23:28.756492</t>
  </si>
  <si>
    <t>2026-09-03T13:23:28.736384</t>
  </si>
  <si>
    <t>2026-09-03T13:23:28.715937</t>
  </si>
  <si>
    <t>2026-09-03T13:23:28.701572</t>
  </si>
  <si>
    <t>2026-09-03T13:23:28.681901</t>
  </si>
  <si>
    <t>2026-09-03T13:23:28.666202</t>
  </si>
  <si>
    <t>2026-09-03T13:23:28.644930</t>
  </si>
  <si>
    <t>2026-09-03T13:23:28.637500</t>
  </si>
  <si>
    <t>2026-09-03T13:23:28.626378</t>
  </si>
  <si>
    <t>2026-09-03T13:23:28.614711</t>
  </si>
  <si>
    <t>2026-09-03T13:23:28.596750</t>
  </si>
  <si>
    <t>2026-09-03T13:23:28.576541</t>
  </si>
  <si>
    <t>2026-09-03T13:23:28.564436</t>
  </si>
  <si>
    <t>2026-09-03T13:23:28.544097</t>
  </si>
  <si>
    <t>2026-09-03T13:23:28.527756</t>
  </si>
  <si>
    <t>2026-09-03T13:23:28.506486</t>
  </si>
  <si>
    <t>2026-09-03T13:23:28.492079</t>
  </si>
  <si>
    <t>2026-09-03T13:23:28.474395</t>
  </si>
  <si>
    <t>2026-09-03T13:23:28.459843</t>
  </si>
  <si>
    <t>2026-09-03T13:23:28.443336</t>
  </si>
  <si>
    <t>2026-09-03T13:23:28.430366</t>
  </si>
  <si>
    <t>2026-09-03T13:23:28.416629</t>
  </si>
  <si>
    <t>2026-09-03T13:23:28.404422</t>
  </si>
  <si>
    <t>2026-09-03T13:23:28.384355</t>
  </si>
  <si>
    <t>2026-09-03T13:23:28.365979</t>
  </si>
  <si>
    <t>2026-09-03T13:23:28.346431</t>
  </si>
  <si>
    <t>2026-09-03T13:23:28.331304</t>
  </si>
  <si>
    <t>2026-09-03T13:23:28.320473</t>
  </si>
  <si>
    <t>2026-09-03T13:23:28.304408</t>
  </si>
  <si>
    <t>2026-09-03T13:23:28.294228</t>
  </si>
  <si>
    <t>2026-09-03T13:23:28.279174</t>
  </si>
  <si>
    <t>2026-09-03T13:23:28.268655</t>
  </si>
  <si>
    <t>2026-09-03T13:23:28.249376</t>
  </si>
  <si>
    <t>2026-09-03T13:23:28.235675</t>
  </si>
  <si>
    <t>2026-09-03T13:23:28.214816</t>
  </si>
  <si>
    <t>2026-09-03T13:23:28.202642</t>
  </si>
  <si>
    <t>2026-09-03T13:23:28.187066</t>
  </si>
  <si>
    <t>2026-09-03T13:23:28.165508</t>
  </si>
  <si>
    <t>2026-09-03T13:23:28.154421</t>
  </si>
  <si>
    <t>2026-09-03T13:23:28.134252</t>
  </si>
  <si>
    <t>2026-09-03T13:23:28.117220</t>
  </si>
  <si>
    <t>2026-09-03T13:23:28.064137</t>
  </si>
  <si>
    <t>2026-09-03T13:23:28.007227</t>
  </si>
  <si>
    <t>2026-09-03T13:23:27.971375</t>
  </si>
  <si>
    <t>2026-09-03T13:23:27.944644</t>
  </si>
  <si>
    <t>2026-09-03T13:23:27.894108</t>
  </si>
  <si>
    <t>2026-09-03T13:23:27.874213</t>
  </si>
  <si>
    <t>2026-09-03T13:23:27.854072</t>
  </si>
  <si>
    <t>2026-09-03T13:23:27.824422</t>
  </si>
  <si>
    <t>2026-09-03T13:23:27.799021</t>
  </si>
  <si>
    <t>2026-09-03T13:23:27.779898</t>
  </si>
  <si>
    <t>2026-09-03T13:23:27.764079</t>
  </si>
  <si>
    <t>2026-09-03T13:23:27.744154</t>
  </si>
  <si>
    <t>2026-09-03T13:23:27.724356</t>
  </si>
  <si>
    <t>2026-09-03T13:23:27.714497</t>
  </si>
  <si>
    <t>2026-09-03T13:23:27.694787</t>
  </si>
  <si>
    <t>2026-09-03T13:23:27.679911</t>
  </si>
  <si>
    <t>2026-09-03T13:23:27.660743</t>
  </si>
  <si>
    <t>2026-09-03T13:23:27.646191</t>
  </si>
  <si>
    <t>2026-09-03T13:23:27.638146</t>
  </si>
  <si>
    <t>2026-09-03T13:23:27.625861</t>
  </si>
  <si>
    <t>2026-09-03T13:23:27.610898</t>
  </si>
  <si>
    <t>2026-09-03T13:23:27.596986</t>
  </si>
  <si>
    <t>2026-09-03T13:23:27.584883</t>
  </si>
  <si>
    <t>2026-09-03T13:23:27.571758</t>
  </si>
  <si>
    <t>2026-09-03T13:23:27.558490</t>
  </si>
  <si>
    <t>2026-09-03T13:23:27.534283</t>
  </si>
  <si>
    <t>2026-09-03T13:23:27.514494</t>
  </si>
  <si>
    <t>2026-09-03T13:23:27.491714</t>
  </si>
  <si>
    <t>2026-09-03T13:23:27.474252</t>
  </si>
  <si>
    <t>2026-09-03T13:23:27.420357</t>
  </si>
  <si>
    <t>2026-09-03T13:23:27.384401</t>
  </si>
  <si>
    <t>2026-09-03T13:23:27.346412</t>
  </si>
  <si>
    <t>2026-09-03T13:23:27.314609</t>
  </si>
  <si>
    <t>2026-09-03T13:23:27.254308</t>
  </si>
  <si>
    <t>2026-09-03T13:23:27.242432</t>
  </si>
  <si>
    <t>2026-09-03T13:23:27.228884</t>
  </si>
  <si>
    <t>2026-09-03T13:23:27.215882</t>
  </si>
  <si>
    <t>2026-09-03T13:23:27.200183</t>
  </si>
  <si>
    <t>2026-09-03T13:23:27.186069</t>
  </si>
  <si>
    <t>2026-09-03T13:23:27.174208</t>
  </si>
  <si>
    <t>2026-09-03T13:23:27.158965</t>
  </si>
  <si>
    <t>2026-09-03T13:23:27.139815</t>
  </si>
  <si>
    <t>2026-09-03T13:23:27.116364</t>
  </si>
  <si>
    <t>2026-09-03T13:23:27.104317</t>
  </si>
  <si>
    <t>2026-09-03T13:23:27.085352</t>
  </si>
  <si>
    <t>2026-09-03T13:23:27.071514</t>
  </si>
  <si>
    <t>2026-09-03T13:23:27.049726</t>
  </si>
  <si>
    <t>2026-09-03T13:23:27.039143</t>
  </si>
  <si>
    <t>2026-09-03T13:23:27.025500</t>
  </si>
  <si>
    <t>2026-09-03T13:23:27.013471</t>
  </si>
  <si>
    <t>2026-09-03T13:23:26.998935</t>
  </si>
  <si>
    <t>2026-09-03T13:23:26.987839</t>
  </si>
  <si>
    <t>2026-09-03T13:23:26.970775</t>
  </si>
  <si>
    <t>2026-09-03T13:23:26.960096</t>
  </si>
  <si>
    <t>2026-09-03T13:23:26.935829</t>
  </si>
  <si>
    <t>2026-09-03T13:23:26.907738</t>
  </si>
  <si>
    <t>2026-09-03T13:23:26.885175</t>
  </si>
  <si>
    <t>2026-09-03T13:23:26.867448</t>
  </si>
  <si>
    <t>2026-09-03T13:23:26.846513</t>
  </si>
  <si>
    <t>2026-09-03T13:23:26.832859</t>
  </si>
  <si>
    <t>2026-09-03T13:23:26.819852</t>
  </si>
  <si>
    <t>2026-09-03T13:23:26.805823</t>
  </si>
  <si>
    <t>2026-09-03T13:23:26.788027</t>
  </si>
  <si>
    <t>2026-09-03T13:23:26.755612</t>
  </si>
  <si>
    <t>2026-09-03T13:23:26.724502</t>
  </si>
  <si>
    <t>2026-09-03T13:23:18.805815</t>
  </si>
  <si>
    <t>2026-09-03T13:23:18.781091</t>
  </si>
  <si>
    <t>2026-09-03T13:23:06.353012</t>
  </si>
  <si>
    <t>2026-09-03T13:23:06.338033</t>
  </si>
  <si>
    <t>2026-09-03T13:23:06.321396</t>
  </si>
  <si>
    <t>2026-09-03T13:23:06.307747</t>
  </si>
  <si>
    <t>2026-09-03T13:23:06.285492</t>
  </si>
  <si>
    <t>2026-09-03T13:23:06.257485</t>
  </si>
  <si>
    <t>2026-09-03T13:23:06.238446</t>
  </si>
  <si>
    <t>2026-09-03T13:23:06.212581</t>
  </si>
  <si>
    <t>2026-09-03T13:23:06.190312</t>
  </si>
  <si>
    <t>2026-09-03T13:23:06.149609</t>
  </si>
  <si>
    <t>2026-09-03T13:23:06.122802</t>
  </si>
  <si>
    <t>2026-09-03T13:23:06.077986</t>
  </si>
  <si>
    <t>2026-09-03T13:23:06.064328</t>
  </si>
  <si>
    <t>2026-09-03T13:23:06.036176</t>
  </si>
  <si>
    <t>2026-09-03T13:23:06.015330</t>
  </si>
  <si>
    <t>2026-09-03T13:23:05.975827</t>
  </si>
  <si>
    <t>2026-09-03T13:23:05.942842</t>
  </si>
  <si>
    <t>2026-09-03T13:23:05.900004</t>
  </si>
  <si>
    <t>2026-09-03T13:23:05.879213</t>
  </si>
  <si>
    <t>2026-09-03T13:23:05.863096</t>
  </si>
  <si>
    <t>2026-09-03T13:23:05.844671</t>
  </si>
  <si>
    <t>2026-09-03T13:23:05.822442</t>
  </si>
  <si>
    <t>2026-09-03T13:23:05.807838</t>
  </si>
  <si>
    <t>2026-09-03T13:23:05.795387</t>
  </si>
  <si>
    <t>2026-09-03T13:23:05.779436</t>
  </si>
  <si>
    <t>2026-09-03T13:23:05.757573</t>
  </si>
  <si>
    <t>2026-09-03T13:23:05.749142</t>
  </si>
  <si>
    <t>2026-09-03T13:23:05.738315</t>
  </si>
  <si>
    <t>2026-09-03T13:23:05.724889</t>
  </si>
  <si>
    <t>2026-09-03T13:23:05.706168</t>
  </si>
  <si>
    <t>2026-09-03T13:23:05.693114</t>
  </si>
  <si>
    <t>2026-09-03T13:23:05.677380</t>
  </si>
  <si>
    <t>2026-09-03T13:23:05.660124</t>
  </si>
  <si>
    <t>2026-09-03T13:23:05.648048</t>
  </si>
  <si>
    <t>2026-09-03T13:23:05.622934</t>
  </si>
  <si>
    <t>2026-09-03T13:23:05.605278</t>
  </si>
  <si>
    <t>2026-09-03T13:23:05.596989</t>
  </si>
  <si>
    <t>2026-09-03T13:23:05.578909</t>
  </si>
  <si>
    <t>2026-09-03T13:23:05.566562</t>
  </si>
  <si>
    <t>2026-09-03T13:23:05.549292</t>
  </si>
  <si>
    <t>2026-09-03T13:23:05.530109</t>
  </si>
  <si>
    <t>2026-09-03T13:23:05.516364</t>
  </si>
  <si>
    <t>2026-09-03T13:23:05.496562</t>
  </si>
  <si>
    <t>2026-09-03T13:23:05.476392</t>
  </si>
  <si>
    <t>2026-09-03T13:23:05.467887</t>
  </si>
  <si>
    <t>2026-09-03T13:23:05.447034</t>
  </si>
  <si>
    <t>2026-09-03T13:23:05.432723</t>
  </si>
  <si>
    <t>2026-09-03T13:23:05.413500</t>
  </si>
  <si>
    <t>2026-09-03T13:23:05.398409</t>
  </si>
  <si>
    <t>2026-09-03T13:23:05.374119</t>
  </si>
  <si>
    <t>2026-09-03T13:23:05.357363</t>
  </si>
  <si>
    <t>2026-09-03T13:23:05.336666</t>
  </si>
  <si>
    <t>2026-09-03T13:23:05.320772</t>
  </si>
  <si>
    <t>2026-09-03T13:23:05.295239</t>
  </si>
  <si>
    <t>2026-09-03T13:23:05.276345</t>
  </si>
  <si>
    <t>2026-09-03T13:23:05.259794</t>
  </si>
  <si>
    <t>2026-09-03T13:23:05.239627</t>
  </si>
  <si>
    <t>2026-09-03T13:23:05.219635</t>
  </si>
  <si>
    <t>2026-09-03T13:23:05.204347</t>
  </si>
  <si>
    <t>2026-09-03T13:23:05.188229</t>
  </si>
  <si>
    <t>2026-09-03T13:23:05.176760</t>
  </si>
  <si>
    <t>2026-09-03T13:23:05.158340</t>
  </si>
  <si>
    <t>2026-09-03T13:23:05.141874</t>
  </si>
  <si>
    <t>2026-09-03T13:23:05.120689</t>
  </si>
  <si>
    <t>2026-09-03T13:23:05.102383</t>
  </si>
  <si>
    <t>2026-09-03T13:23:05.090911</t>
  </si>
  <si>
    <t>2026-09-03T13:23:05.072365</t>
  </si>
  <si>
    <t>2026-09-03T13:23:05.050295</t>
  </si>
  <si>
    <t>2026-09-03T13:23:05.036177</t>
  </si>
  <si>
    <t>2026-09-03T13:23:05.021547</t>
  </si>
  <si>
    <t>2026-09-03T13:23:05.002361</t>
  </si>
  <si>
    <t>2026-09-03T13:23:04.989713</t>
  </si>
  <si>
    <t>2026-09-03T13:23:04.979603</t>
  </si>
  <si>
    <t>2026-09-03T13:23:04.956681</t>
  </si>
  <si>
    <t>2026-09-03T13:23:04.942517</t>
  </si>
  <si>
    <t>2026-09-03T13:23:04.926642</t>
  </si>
  <si>
    <t>2026-09-03T13:23:04.913264</t>
  </si>
  <si>
    <t>2026-09-03T13:23:04.899584</t>
  </si>
  <si>
    <t>2026-09-03T13:23:04.882192</t>
  </si>
  <si>
    <t>2026-09-03T13:23:04.871117</t>
  </si>
  <si>
    <t>2026-09-03T13:23:04.844271</t>
  </si>
  <si>
    <t>2026-09-03T13:23:04.816505</t>
  </si>
  <si>
    <t>2026-09-03T13:22:58.662797</t>
  </si>
  <si>
    <t>2026-09-03T13:22:58.642302</t>
  </si>
  <si>
    <t>2026-09-03T13:22:58.634071</t>
  </si>
  <si>
    <t>2026-09-03T13:22:58.614879</t>
  </si>
  <si>
    <t>2026-09-03T13:22:58.601236</t>
  </si>
  <si>
    <t>2026-09-03T13:22:58.590570</t>
  </si>
  <si>
    <t>2026-09-03T13:22:58.580756</t>
  </si>
  <si>
    <t>2026-09-03T13:22:58.566704</t>
  </si>
  <si>
    <t>2026-09-03T13:22:58.540629</t>
  </si>
  <si>
    <t>2026-09-03T13:22:58.528334</t>
  </si>
  <si>
    <t>2026-09-03T13:22:58.500274</t>
  </si>
  <si>
    <t>2026-09-03T13:22:58.463341</t>
  </si>
  <si>
    <t>2026-09-03T13:22:58.410442</t>
  </si>
  <si>
    <t>2026-09-03T13:22:58.399128</t>
  </si>
  <si>
    <t>2026-09-03T13:22:51.846553</t>
  </si>
  <si>
    <t>2026-09-03T13:22:51.824755</t>
  </si>
  <si>
    <t>2026-09-03T13:22:51.809556</t>
  </si>
  <si>
    <t>2026-09-03T13:22:51.796448</t>
  </si>
  <si>
    <t>2026-09-03T13:22:51.787299</t>
  </si>
  <si>
    <t>2026-09-03T13:22:51.767719</t>
  </si>
  <si>
    <t>2026-09-03T13:22:51.756934</t>
  </si>
  <si>
    <t>2026-09-03T13:22:51.741334</t>
  </si>
  <si>
    <t>2026-09-03T13:22:51.724878</t>
  </si>
  <si>
    <t>2026-09-03T13:22:51.714894</t>
  </si>
  <si>
    <t>2026-09-03T13:22:51.686771</t>
  </si>
  <si>
    <t>2026-09-03T13:22:51.658858</t>
  </si>
  <si>
    <t>2026-09-03T13:22:51.642839</t>
  </si>
  <si>
    <t>2026-09-03T13:22:51.631197</t>
  </si>
  <si>
    <t>2026-09-03T13:22:46.333641</t>
  </si>
  <si>
    <t>2026-09-03T13:22:46.313721</t>
  </si>
  <si>
    <t>2026-09-03T13:22:38.160796</t>
  </si>
  <si>
    <t>2026-09-03T13:22:38.119909</t>
  </si>
  <si>
    <t>2026-09-03T13:22:33.619741</t>
  </si>
  <si>
    <t>2026-09-03T13:22:15.961958</t>
  </si>
  <si>
    <t>2026-09-03T13:22:12.147588</t>
  </si>
  <si>
    <t>2026-09-03T13:22:12.094234</t>
  </si>
  <si>
    <t>2026-09-03T13:22:06.580279</t>
  </si>
  <si>
    <t>2026-09-03T13:22:06.566396</t>
  </si>
  <si>
    <t>2026-09-03T13:22:06.546609</t>
  </si>
  <si>
    <t>2026-09-03T13:22:06.511168</t>
  </si>
  <si>
    <t>2026-09-03T13:22:06.503533</t>
  </si>
  <si>
    <t>2026-09-03T13:22:06.493364</t>
  </si>
  <si>
    <t>2026-09-03T13:22:06.456757</t>
  </si>
  <si>
    <t>2026-09-03T13:22:06.419033</t>
  </si>
  <si>
    <t>2026-09-03T13:22:06.403340</t>
  </si>
  <si>
    <t>2026-09-03T13:22:00.509641</t>
  </si>
  <si>
    <t>2026-09-03T13:22:00.505725</t>
  </si>
  <si>
    <t>2026-09-03T13:22:00.493799</t>
  </si>
  <si>
    <t>2026-09-03T13:22:00.468511</t>
  </si>
  <si>
    <t>2026-09-03T13:22:00.456545</t>
  </si>
  <si>
    <t>2026-09-03T13:22:00.435443</t>
  </si>
  <si>
    <t>2026-09-03T13:22:00.420334</t>
  </si>
  <si>
    <t>2026-09-03T13:22:00.401937</t>
  </si>
  <si>
    <t>2026-09-03T13:22:00.384922</t>
  </si>
  <si>
    <t>2026-09-03T13:22:00.365523</t>
  </si>
  <si>
    <t>2026-09-03T13:22:00.339170</t>
  </si>
  <si>
    <t>2026-09-03T13:22:00.309552</t>
  </si>
  <si>
    <t>2026-09-03T13:22:00.298996</t>
  </si>
  <si>
    <t>2026-09-03T13:22:00.266741</t>
  </si>
  <si>
    <t>2026-09-03T13:22:00.255883</t>
  </si>
  <si>
    <t>2026-09-03T13:22:00.238573</t>
  </si>
  <si>
    <t>2026-09-03T13:21:56.086912</t>
  </si>
  <si>
    <t>2026-09-03T13:21:56.063158</t>
  </si>
  <si>
    <t>2026-09-03T13:21:56.032578</t>
  </si>
  <si>
    <t>2026-09-03T13:21:50.118544</t>
  </si>
  <si>
    <t>2026-09-03T13:21:50.109921</t>
  </si>
  <si>
    <t>2026-09-03T13:21:50.099434</t>
  </si>
  <si>
    <t>2026-09-03T13:21:50.089454</t>
  </si>
  <si>
    <t>2026-09-03T13:21:50.075078</t>
  </si>
  <si>
    <t>2026-09-03T13:21:50.055273</t>
  </si>
  <si>
    <t>2026-09-03T13:21:50.042590</t>
  </si>
  <si>
    <t>2026-09-03T13:21:50.035033</t>
  </si>
  <si>
    <t>2026-09-03T13:21:50.024292</t>
  </si>
  <si>
    <t>2026-09-03T13:21:50.016008</t>
  </si>
  <si>
    <t>2026-09-03T13:21:50.002320</t>
  </si>
  <si>
    <t>2026-09-03T13:21:49.985927</t>
  </si>
  <si>
    <t>2026-09-03T13:21:49.929027</t>
  </si>
  <si>
    <t>2026-09-03T13:21:49.921839</t>
  </si>
  <si>
    <t>2026-09-03T13:21:49.909253</t>
  </si>
  <si>
    <t>2026-09-03T13:21:49.899228</t>
  </si>
  <si>
    <t>2026-09-03T13:21:49.884382</t>
  </si>
  <si>
    <t>2026-09-03T13:21:49.877006</t>
  </si>
  <si>
    <t>2026-09-03T13:21:49.856407</t>
  </si>
  <si>
    <t>2026-09-03T13:21:49.834716</t>
  </si>
  <si>
    <t>2026-09-03T13:21:49.822134</t>
  </si>
  <si>
    <t>2026-09-03T13:21:49.802967</t>
  </si>
  <si>
    <t>2026-09-03T13:21:49.731756</t>
  </si>
  <si>
    <t>2026-09-03T13:21:49.690992</t>
  </si>
  <si>
    <t>2026-09-03T13:21:45.216767</t>
  </si>
  <si>
    <t>2026-09-03T13:21:45.209846</t>
  </si>
  <si>
    <t>2026-09-03T13:21:45.202061</t>
  </si>
  <si>
    <t>2026-09-03T13:21:45.191196</t>
  </si>
  <si>
    <t>2026-09-03T13:21:45.183392</t>
  </si>
  <si>
    <t>2026-09-03T13:21:45.173380</t>
  </si>
  <si>
    <t>2026-09-03T13:21:45.148428</t>
  </si>
  <si>
    <t>2026-09-03T13:21:45.138474</t>
  </si>
  <si>
    <t>2026-09-03T13:21:45.129846</t>
  </si>
  <si>
    <t>2026-09-03T13:21:45.117164</t>
  </si>
  <si>
    <t>2026-09-03T13:21:45.108025</t>
  </si>
  <si>
    <t>2026-09-03T13:21:45.093342</t>
  </si>
  <si>
    <t>2026-09-03T13:21:45.085573</t>
  </si>
  <si>
    <t>2026-09-03T13:21:45.070253</t>
  </si>
  <si>
    <t>2026-09-03T13:21:45.050447</t>
  </si>
  <si>
    <t>2026-09-03T13:21:45.040377</t>
  </si>
  <si>
    <t>2026-09-03T13:21:45.022952</t>
  </si>
  <si>
    <t>2026-09-03T13:21:45.011817</t>
  </si>
  <si>
    <t>2026-09-03T13:21:44.997345</t>
  </si>
  <si>
    <t>2026-09-03T13:21:44.983798</t>
  </si>
  <si>
    <t>2026-09-03T13:21:44.966975</t>
  </si>
  <si>
    <t>2026-09-03T13:21:44.948872</t>
  </si>
  <si>
    <t>2026-09-03T13:21:44.937658</t>
  </si>
  <si>
    <t>2026-09-03T13:21:44.918912</t>
  </si>
  <si>
    <t>2026-09-03T13:21:44.904147</t>
  </si>
  <si>
    <t>2026-09-03T13:21:44.881243</t>
  </si>
  <si>
    <t>2026-09-03T13:21:44.863219</t>
  </si>
  <si>
    <t>2026-09-03T13:21:44.850036</t>
  </si>
  <si>
    <t>2026-09-03T13:21:44.834981</t>
  </si>
  <si>
    <t>2026-09-03T13:21:44.810381</t>
  </si>
  <si>
    <t>2026-09-03T13:21:44.746959</t>
  </si>
  <si>
    <t>2026-09-03T13:21:44.691584</t>
  </si>
  <si>
    <t>2026-09-03T13:21:44.537359</t>
  </si>
  <si>
    <t>2026-09-03T13:21:44.500928</t>
  </si>
  <si>
    <t>2026-09-03T13:21:44.475487</t>
  </si>
  <si>
    <t>2026-09-03T13:21:44.455105</t>
  </si>
  <si>
    <t>2026-09-03T13:21:44.436693</t>
  </si>
  <si>
    <t>2026-09-03T13:21:44.419530</t>
  </si>
  <si>
    <t>2026-09-03T13:21:44.404982</t>
  </si>
  <si>
    <t>2026-09-03T13:21:44.388080</t>
  </si>
  <si>
    <t>2026-09-03T13:21:44.372181</t>
  </si>
  <si>
    <t>2026-09-03T13:21:44.361421</t>
  </si>
  <si>
    <t>2026-09-03T13:21:44.346664</t>
  </si>
  <si>
    <t>2026-09-03T13:21:44.334600</t>
  </si>
  <si>
    <t>2026-09-03T13:21:44.325096</t>
  </si>
  <si>
    <t>2026-09-03T13:21:44.315121</t>
  </si>
  <si>
    <t>2026-09-03T13:21:44.299767</t>
  </si>
  <si>
    <t>2026-09-03T13:21:44.286838</t>
  </si>
  <si>
    <t>2026-09-03T13:21:44.273150</t>
  </si>
  <si>
    <t>2026-09-03T13:21:44.258747</t>
  </si>
  <si>
    <t>2026-09-03T13:21:44.243369</t>
  </si>
  <si>
    <t>2026-09-03T13:21:44.232062</t>
  </si>
  <si>
    <t>2026-09-03T13:21:44.210171</t>
  </si>
  <si>
    <t>2026-09-03T13:21:44.198580</t>
  </si>
  <si>
    <t>2026-09-03T13:21:44.189852</t>
  </si>
  <si>
    <t>2026-09-03T13:21:44.166528</t>
  </si>
  <si>
    <t>2026-09-03T13:21:44.153128</t>
  </si>
  <si>
    <t>2026-09-03T13:21:44.134598</t>
  </si>
  <si>
    <t>2026-09-03T13:21:44.115236</t>
  </si>
  <si>
    <t>2026-09-03T13:21:44.102751</t>
  </si>
  <si>
    <t>2026-09-03T13:21:44.084621</t>
  </si>
  <si>
    <t>2026-09-03T13:21:44.071742</t>
  </si>
  <si>
    <t>2026-09-03T13:21:44.057818</t>
  </si>
  <si>
    <t>2026-09-03T13:21:44.042220</t>
  </si>
  <si>
    <t>2026-09-03T13:21:44.024551</t>
  </si>
  <si>
    <t>2026-09-03T13:21:44.001144</t>
  </si>
  <si>
    <t>2026-09-03T13:21:43.978455</t>
  </si>
  <si>
    <t>2026-09-03T13:21:43.931360</t>
  </si>
  <si>
    <t>2026-09-03T13:21:43.902437</t>
  </si>
  <si>
    <t>2026-09-03T13:21:39.286716</t>
  </si>
  <si>
    <t>2026-09-03T13:21:39.269749</t>
  </si>
  <si>
    <t>2026-09-03T13:21:39.259042</t>
  </si>
  <si>
    <t>2026-09-03T13:21:39.239361</t>
  </si>
  <si>
    <t>2026-09-03T13:21:39.219259</t>
  </si>
  <si>
    <t>2026-09-03T13:21:39.204207</t>
  </si>
  <si>
    <t>2026-09-03T13:21:39.192235</t>
  </si>
  <si>
    <t>2026-09-03T13:21:39.179163</t>
  </si>
  <si>
    <t>2026-09-03T13:21:39.167844</t>
  </si>
  <si>
    <t>2026-09-03T13:21:39.154940</t>
  </si>
  <si>
    <t>2026-09-03T13:21:39.139333</t>
  </si>
  <si>
    <t>2026-09-03T13:21:39.127227</t>
  </si>
  <si>
    <t>2026-09-03T13:21:39.114036</t>
  </si>
  <si>
    <t>2026-09-03T13:21:39.100044</t>
  </si>
  <si>
    <t>2026-09-03T13:21:39.085527</t>
  </si>
  <si>
    <t>2026-09-03T13:21:39.071283</t>
  </si>
  <si>
    <t>2026-09-03T13:21:39.060779</t>
  </si>
  <si>
    <t>2026-09-03T13:21:39.048829</t>
  </si>
  <si>
    <t>2026-09-03T13:21:39.032518</t>
  </si>
  <si>
    <t>2026-09-03T13:21:39.016357</t>
  </si>
  <si>
    <t>2026-09-03T13:21:39.004092</t>
  </si>
  <si>
    <t>2026-09-03T13:21:38.982446</t>
  </si>
  <si>
    <t>2026-09-03T13:21:38.962099</t>
  </si>
  <si>
    <t>2026-09-03T13:21:38.949642</t>
  </si>
  <si>
    <t>2026-09-03T13:21:38.934886</t>
  </si>
  <si>
    <t>2026-09-03T13:21:38.922520</t>
  </si>
  <si>
    <t>2026-09-03T13:21:38.908852</t>
  </si>
  <si>
    <t>2026-09-03T13:21:38.894145</t>
  </si>
  <si>
    <t>2026-09-03T13:21:38.875836</t>
  </si>
  <si>
    <t>2026-09-03T13:21:38.856325</t>
  </si>
  <si>
    <t>2026-09-03T13:21:38.835835</t>
  </si>
  <si>
    <t>2026-09-03T13:21:38.822466</t>
  </si>
  <si>
    <t>2026-09-03T13:21:38.802648</t>
  </si>
  <si>
    <t>2026-09-03T13:21:38.785944</t>
  </si>
  <si>
    <t>2026-09-03T13:21:38.755160</t>
  </si>
  <si>
    <t>2026-09-03T13:21:38.731297</t>
  </si>
  <si>
    <t>2026-09-03T13:21:38.699362</t>
  </si>
  <si>
    <t>2026-09-03T13:21:38.671506</t>
  </si>
  <si>
    <t>2026-09-03T13:21:38.650774</t>
  </si>
  <si>
    <t>2026-09-03T13:21:38.637188</t>
  </si>
  <si>
    <t>2026-09-03T13:21:38.612070</t>
  </si>
  <si>
    <t>2026-09-03T13:21:38.596301</t>
  </si>
  <si>
    <t>2026-09-03T13:21:38.574064</t>
  </si>
  <si>
    <t>2026-09-03T13:21:38.529770</t>
  </si>
  <si>
    <t>2026-09-03T13:21:38.509845</t>
  </si>
  <si>
    <t>2026-09-03T13:21:38.487839</t>
  </si>
  <si>
    <t>2026-09-03T13:21:38.479554</t>
  </si>
  <si>
    <t>2026-09-03T13:21:38.462062</t>
  </si>
  <si>
    <t>2026-09-03T13:21:38.446195</t>
  </si>
  <si>
    <t>2026-09-03T13:21:38.433676</t>
  </si>
  <si>
    <t>2026-09-03T13:21:38.417557</t>
  </si>
  <si>
    <t>2026-09-03T13:21:38.404585</t>
  </si>
  <si>
    <t>2026-09-03T13:21:38.386172</t>
  </si>
  <si>
    <t>2026-09-03T13:21:38.370821</t>
  </si>
  <si>
    <t>2026-09-03T13:21:38.353350</t>
  </si>
  <si>
    <t>2026-09-03T13:21:38.333868</t>
  </si>
  <si>
    <t>2026-09-03T13:21:38.320510</t>
  </si>
  <si>
    <t>2026-09-03T13:21:38.306121</t>
  </si>
  <si>
    <t>2026-09-03T13:21:38.295718</t>
  </si>
  <si>
    <t>2026-09-03T13:21:38.278490</t>
  </si>
  <si>
    <t>2026-09-03T13:21:38.259068</t>
  </si>
  <si>
    <t>2026-09-03T13:21:38.248391</t>
  </si>
  <si>
    <t>2026-09-03T13:21:38.223644</t>
  </si>
  <si>
    <t>2026-09-03T13:21:38.200875</t>
  </si>
  <si>
    <t>2026-09-03T13:21:38.190290</t>
  </si>
  <si>
    <t>2026-09-03T13:21:38.163008</t>
  </si>
  <si>
    <t>2026-09-03T13:21:38.152769</t>
  </si>
  <si>
    <t>2026-09-03T13:21:38.130964</t>
  </si>
  <si>
    <t>2026-09-03T13:21:38.112867</t>
  </si>
  <si>
    <t>2026-09-03T13:21:38.084603</t>
  </si>
  <si>
    <t>2026-09-03T13:21:38.068596</t>
  </si>
  <si>
    <t>2026-09-03T13:21:38.058078</t>
  </si>
  <si>
    <t>2026-09-03T13:21:38.028497</t>
  </si>
  <si>
    <t>2026-09-03T13:21:38.000873</t>
  </si>
  <si>
    <t>2026-09-03T13:21:37.967992</t>
  </si>
  <si>
    <t>2026-09-03T13:21:37.921220</t>
  </si>
  <si>
    <t>2026-09-03T13:21:31.026799</t>
  </si>
  <si>
    <t>2026-09-03T13:21:31.003751</t>
  </si>
  <si>
    <t>2026-09-03T13:21:30.991602</t>
  </si>
  <si>
    <t>2026-09-03T13:21:30.973825</t>
  </si>
  <si>
    <t>2026-09-03T13:21:30.952460</t>
  </si>
  <si>
    <t>2026-09-03T13:21:30.932190</t>
  </si>
  <si>
    <t>2026-09-03T13:21:30.919332</t>
  </si>
  <si>
    <t>2026-09-03T13:21:30.904847</t>
  </si>
  <si>
    <t>2026-09-03T13:21:30.892592</t>
  </si>
  <si>
    <t>2026-09-03T13:21:30.878070</t>
  </si>
  <si>
    <t>2026-09-03T13:21:30.863603</t>
  </si>
  <si>
    <t>2026-09-03T13:21:30.842618</t>
  </si>
  <si>
    <t>2026-09-03T13:21:30.825342</t>
  </si>
  <si>
    <t>2026-09-03T13:21:30.800277</t>
  </si>
  <si>
    <t>2026-09-03T13:21:30.782793</t>
  </si>
  <si>
    <t>2026-09-03T13:21:30.757136</t>
  </si>
  <si>
    <t>2026-09-03T13:21:30.742516</t>
  </si>
  <si>
    <t>2026-09-03T13:21:30.717769</t>
  </si>
  <si>
    <t>2026-09-03T13:21:30.691432</t>
  </si>
  <si>
    <t>2026-09-03T13:21:26.465888</t>
  </si>
  <si>
    <t>2026-09-03T13:21:26.458535</t>
  </si>
  <si>
    <t>2026-09-03T13:21:26.435537</t>
  </si>
  <si>
    <t>2026-09-03T13:21:26.419924</t>
  </si>
  <si>
    <t>2026-09-03T13:21:26.410792</t>
  </si>
  <si>
    <t>2026-09-03T13:21:26.391939</t>
  </si>
  <si>
    <t>2026-09-03T13:21:26.370558</t>
  </si>
  <si>
    <t>2026-09-03T13:21:26.364333</t>
  </si>
  <si>
    <t>2026-09-03T13:21:26.351625</t>
  </si>
  <si>
    <t>2026-09-03T13:21:26.335765</t>
  </si>
  <si>
    <t>2026-09-03T13:21:26.322321</t>
  </si>
  <si>
    <t>2026-09-03T13:21:26.301093</t>
  </si>
  <si>
    <t>2026-09-03T13:21:26.286745</t>
  </si>
  <si>
    <t>2026-09-03T13:21:26.277092</t>
  </si>
  <si>
    <t>2026-09-03T13:21:26.260446</t>
  </si>
  <si>
    <t>2026-09-03T13:21:26.245339</t>
  </si>
  <si>
    <t>2026-09-03T13:21:26.225216</t>
  </si>
  <si>
    <t>2026-09-03T13:21:26.207365</t>
  </si>
  <si>
    <t>2026-09-03T13:21:26.190261</t>
  </si>
  <si>
    <t>2026-09-03T13:21:26.177261</t>
  </si>
  <si>
    <t>2026-09-03T13:21:26.162823</t>
  </si>
  <si>
    <t>2026-09-03T13:21:26.142848</t>
  </si>
  <si>
    <t>2026-09-03T13:21:26.125312</t>
  </si>
  <si>
    <t>2026-09-03T13:21:26.114299</t>
  </si>
  <si>
    <t>2026-09-03T13:21:26.016130</t>
  </si>
  <si>
    <t>2026-09-03T13:21:12.848595</t>
  </si>
  <si>
    <t>2026-09-03T13:21:12.831855</t>
  </si>
  <si>
    <t>2026-09-03T13:21:12.809717</t>
  </si>
  <si>
    <t>2026-09-03T13:21:06.946063</t>
  </si>
  <si>
    <t>2026-09-03T13:21:06.928562</t>
  </si>
  <si>
    <t>2026-09-03T13:21:06.907937</t>
  </si>
  <si>
    <t>2026-09-03T13:21:06.888665</t>
  </si>
  <si>
    <t>2026-09-03T13:21:06.877273</t>
  </si>
  <si>
    <t>2026-09-03T13:21:06.850078</t>
  </si>
  <si>
    <t>2026-09-03T13:21:06.823903</t>
  </si>
  <si>
    <t>2026-09-03T13:21:06.814149</t>
  </si>
  <si>
    <t>2026-09-03T13:21:06.790575</t>
  </si>
  <si>
    <t>2026-09-03T13:21:06.764166</t>
  </si>
  <si>
    <t>2026-09-03T13:21:00.032896</t>
  </si>
  <si>
    <t>2026-09-03T13:20:59.990462</t>
  </si>
  <si>
    <t>2026-09-03T13:20:59.971941</t>
  </si>
  <si>
    <t>2026-09-03T13:20:59.957563</t>
  </si>
  <si>
    <t>2026-09-03T13:20:59.946514</t>
  </si>
  <si>
    <t>2026-09-03T13:20:30.208612</t>
  </si>
  <si>
    <t>2026-09-03T13:20:30.176532</t>
  </si>
  <si>
    <t>2026-09-03T13:20:30.150712</t>
  </si>
  <si>
    <t>2026-09-03T13:20:30.129581</t>
  </si>
  <si>
    <t>2026-09-03T13:20:24.227551</t>
  </si>
  <si>
    <t>2026-09-03T13:20:24.198956</t>
  </si>
  <si>
    <t>2026-09-03T13:20:24.178918</t>
  </si>
  <si>
    <t>2026-09-03T13:20:09.456509</t>
  </si>
  <si>
    <t>2026-09-03T13:19:53.000656</t>
  </si>
  <si>
    <t>2026-09-03T13:19:52.996696</t>
  </si>
  <si>
    <t>2026-09-03T13:19:52.935246</t>
  </si>
  <si>
    <t>2026-09-03T13:19:39.034469</t>
  </si>
  <si>
    <t>2026-09-03T13:19:31.007014</t>
  </si>
  <si>
    <t>2026-09-03T13:19:30.987379</t>
  </si>
  <si>
    <t>2026-09-03T13:19:18.041550</t>
  </si>
  <si>
    <t>2026-09-03T13:19:02.903627</t>
  </si>
  <si>
    <t>2026-09-03T13:18:58.954377</t>
  </si>
  <si>
    <t>2026-09-03T13:18:58.942582</t>
  </si>
  <si>
    <t>2026-09-03T13:18:58.926850</t>
  </si>
  <si>
    <t>2026-09-03T13:18:58.912931</t>
  </si>
  <si>
    <t>2026-09-03T13:18:58.892827</t>
  </si>
  <si>
    <t>2026-09-03T13:18:51.957653</t>
  </si>
  <si>
    <t>2026-09-03T13:18:41.192260</t>
  </si>
  <si>
    <t>2026-09-03T13:18:41.181078</t>
  </si>
  <si>
    <t>2026-09-03T13:18:41.169831</t>
  </si>
  <si>
    <t>2026-09-03T13:18:41.155565</t>
  </si>
  <si>
    <t>2026-09-03T13:18:37.397180</t>
  </si>
  <si>
    <t>2026-09-03T13:18:37.375443</t>
  </si>
  <si>
    <t>2026-09-03T13:18:37.351807</t>
  </si>
  <si>
    <t>2026-09-03T13:18:37.314358</t>
  </si>
  <si>
    <t>2026-09-03T13:18:37.271124</t>
  </si>
  <si>
    <t>2026-09-03T13:18:37.222996</t>
  </si>
  <si>
    <t>2026-09-03T13:18:37.196400</t>
  </si>
  <si>
    <t>2026-09-03T13:18:37.174792</t>
  </si>
  <si>
    <t>2026-09-03T13:18:37.161233</t>
  </si>
  <si>
    <t>2026-09-03T13:18:37.144673</t>
  </si>
  <si>
    <t>2026-09-03T13:18:37.123336</t>
  </si>
  <si>
    <t>2026-09-03T13:18:37.102503</t>
  </si>
  <si>
    <t>2026-09-03T13:18:37.082998</t>
  </si>
  <si>
    <t>2026-09-03T13:18:37.056168</t>
  </si>
  <si>
    <t>2026-09-03T13:18:37.044440</t>
  </si>
  <si>
    <t>2026-09-03T13:18:37.028492</t>
  </si>
  <si>
    <t>2026-09-03T13:18:36.974351</t>
  </si>
  <si>
    <t>2026-09-03T13:18:36.957919</t>
  </si>
  <si>
    <t>2026-09-03T13:18:36.943550</t>
  </si>
  <si>
    <t>2026-09-03T13:18:36.928954</t>
  </si>
  <si>
    <t>2026-09-03T13:18:36.906327</t>
  </si>
  <si>
    <t>2026-09-03T13:18:36.889785</t>
  </si>
  <si>
    <t>2026-09-03T13:18:36.872968</t>
  </si>
  <si>
    <t>2026-09-03T13:18:36.854166</t>
  </si>
  <si>
    <t>2026-09-03T13:18:36.839033</t>
  </si>
  <si>
    <t>2026-09-03T13:18:36.827071</t>
  </si>
  <si>
    <t>2026-09-03T13:18:36.806848</t>
  </si>
  <si>
    <t>2026-09-03T13:18:36.786127</t>
  </si>
  <si>
    <t>2026-09-03T13:18:36.771200</t>
  </si>
  <si>
    <t>2026-09-03T13:18:36.750084</t>
  </si>
  <si>
    <t>2026-09-03T13:18:36.736029</t>
  </si>
  <si>
    <t>2026-09-03T13:18:36.718964</t>
  </si>
  <si>
    <t>2026-09-03T13:18:36.694442</t>
  </si>
  <si>
    <t>2026-09-03T13:18:36.667527</t>
  </si>
  <si>
    <t>2026-09-03T13:18:36.648323</t>
  </si>
  <si>
    <t>2026-09-03T13:18:36.627300</t>
  </si>
  <si>
    <t>2026-09-03T13:18:36.605979</t>
  </si>
  <si>
    <t>2026-09-03T13:18:36.591417</t>
  </si>
  <si>
    <t>2026-09-03T13:18:36.565934</t>
  </si>
  <si>
    <t>2026-09-03T13:18:36.549438</t>
  </si>
  <si>
    <t>2026-09-03T13:18:36.530917</t>
  </si>
  <si>
    <t>2026-09-03T13:18:36.515294</t>
  </si>
  <si>
    <t>2026-09-03T13:18:36.498499</t>
  </si>
  <si>
    <t>2026-09-03T13:18:36.478822</t>
  </si>
  <si>
    <t>2026-09-03T13:18:36.455199</t>
  </si>
  <si>
    <t>2026-09-03T13:18:36.435880</t>
  </si>
  <si>
    <t>2026-09-03T13:18:36.414970</t>
  </si>
  <si>
    <t>2026-09-03T13:18:36.391846</t>
  </si>
  <si>
    <t>2026-09-03T13:18:36.370717</t>
  </si>
  <si>
    <t>2026-09-03T13:18:36.349750</t>
  </si>
  <si>
    <t>2026-09-03T13:18:36.328262</t>
  </si>
  <si>
    <t>2026-09-03T13:18:36.314638</t>
  </si>
  <si>
    <t>2026-09-03T13:18:36.301212</t>
  </si>
  <si>
    <t>2026-09-03T13:18:36.290061</t>
  </si>
  <si>
    <t>2026-09-03T13:18:36.272538</t>
  </si>
  <si>
    <t>2026-09-03T13:18:36.259277</t>
  </si>
  <si>
    <t>2026-09-03T13:18:36.239020</t>
  </si>
  <si>
    <t>2026-09-03T13:18:36.221594</t>
  </si>
  <si>
    <t>2026-09-03T13:18:36.195561</t>
  </si>
  <si>
    <t>2026-09-03T13:18:36.178598</t>
  </si>
  <si>
    <t>2026-09-03T13:18:36.158816</t>
  </si>
  <si>
    <t>2026-09-03T13:18:36.132730</t>
  </si>
  <si>
    <t>2026-09-03T13:18:36.118281</t>
  </si>
  <si>
    <t>2026-09-03T13:18:36.098184</t>
  </si>
  <si>
    <t>2026-09-03T13:18:36.084143</t>
  </si>
  <si>
    <t>2026-09-03T13:18:36.059881</t>
  </si>
  <si>
    <t>2026-09-03T13:18:36.045813</t>
  </si>
  <si>
    <t>2026-09-03T13:18:36.030903</t>
  </si>
  <si>
    <t>2026-09-03T13:18:36.014258</t>
  </si>
  <si>
    <t>2026-09-03T13:18:35.960553</t>
  </si>
  <si>
    <t>2026-09-03T13:18:35.943478</t>
  </si>
  <si>
    <t>2026-09-03T13:18:35.923379</t>
  </si>
  <si>
    <t>2026-09-03T13:18:35.903939</t>
  </si>
  <si>
    <t>2026-09-03T13:18:35.880002</t>
  </si>
  <si>
    <t>2026-09-03T13:18:35.856917</t>
  </si>
  <si>
    <t>2026-09-03T13:18:35.833948</t>
  </si>
  <si>
    <t>2026-09-03T13:18:35.811435</t>
  </si>
  <si>
    <t>2026-09-03T13:18:35.790097</t>
  </si>
  <si>
    <t>2026-09-03T13:18:35.762490</t>
  </si>
  <si>
    <t>2026-09-03T13:18:35.739052</t>
  </si>
  <si>
    <t>2026-09-03T13:18:35.722204</t>
  </si>
  <si>
    <t>2026-09-03T13:18:35.694935</t>
  </si>
  <si>
    <t>2026-09-03T13:18:35.680869</t>
  </si>
  <si>
    <t>2026-09-03T13:18:35.653181</t>
  </si>
  <si>
    <t>2026-09-03T13:18:35.627117</t>
  </si>
  <si>
    <t>2026-09-03T13:18:35.599410</t>
  </si>
  <si>
    <t>2026-09-03T13:18:35.568981</t>
  </si>
  <si>
    <t>2026-09-03T13:18:35.538023</t>
  </si>
  <si>
    <t>2026-09-03T13:18:35.521208</t>
  </si>
  <si>
    <t>2026-09-03T13:18:35.493229</t>
  </si>
  <si>
    <t>2026-09-03T13:18:35.463747</t>
  </si>
  <si>
    <t>2026-09-03T13:18:35.423514</t>
  </si>
  <si>
    <t>2026-09-03T13:18:35.388507</t>
  </si>
  <si>
    <t>2026-09-03T13:18:35.359676</t>
  </si>
  <si>
    <t>2026-09-03T13:18:35.336708</t>
  </si>
  <si>
    <t>2026-09-03T13:18:35.311717</t>
  </si>
  <si>
    <t>2026-09-03T13:18:35.279684</t>
  </si>
  <si>
    <t>2026-09-03T13:18:35.262346</t>
  </si>
  <si>
    <t>2026-09-03T13:18:35.239589</t>
  </si>
  <si>
    <t>2026-09-03T13:18:35.217051</t>
  </si>
  <si>
    <t>2026-09-03T13:18:35.189031</t>
  </si>
  <si>
    <t>2026-09-03T13:18:35.174266</t>
  </si>
  <si>
    <t>2026-09-03T13:18:35.145976</t>
  </si>
  <si>
    <t>2026-09-03T13:18:35.134491</t>
  </si>
  <si>
    <t>2026-09-03T13:18:35.112389</t>
  </si>
  <si>
    <t>2026-09-03T13:18:35.096389</t>
  </si>
  <si>
    <t>2026-09-03T13:18:35.084669</t>
  </si>
  <si>
    <t>2026-09-03T13:18:35.069900</t>
  </si>
  <si>
    <t>2026-09-03T13:18:35.057669</t>
  </si>
  <si>
    <t>2026-09-03T13:18:35.042256</t>
  </si>
  <si>
    <t>2026-09-03T13:18:35.027121</t>
  </si>
  <si>
    <t>2026-09-03T13:18:35.013199</t>
  </si>
  <si>
    <t>2026-09-03T13:18:35.000435</t>
  </si>
  <si>
    <t>2026-09-03T13:18:34.981185</t>
  </si>
  <si>
    <t>2026-09-03T13:18:34.966358</t>
  </si>
  <si>
    <t>2026-09-03T13:18:34.951548</t>
  </si>
  <si>
    <t>2026-09-03T13:18:34.934749</t>
  </si>
  <si>
    <t>2026-09-03T13:18:34.912093</t>
  </si>
  <si>
    <t>2026-09-03T13:18:34.899105</t>
  </si>
  <si>
    <t>2026-09-03T13:18:34.881321</t>
  </si>
  <si>
    <t>2026-09-03T13:18:34.860765</t>
  </si>
  <si>
    <t>2026-09-03T13:18:34.847141</t>
  </si>
  <si>
    <t>2026-09-03T13:18:34.832330</t>
  </si>
  <si>
    <t>2026-09-03T13:18:34.819484</t>
  </si>
  <si>
    <t>2026-09-03T13:18:34.800478</t>
  </si>
  <si>
    <t>2026-09-03T13:18:34.787669</t>
  </si>
  <si>
    <t>2026-09-03T13:18:34.769781</t>
  </si>
  <si>
    <t>2026-09-03T13:18:34.758317</t>
  </si>
  <si>
    <t>2026-09-03T13:18:34.735752</t>
  </si>
  <si>
    <t>2026-09-03T13:18:34.718809</t>
  </si>
  <si>
    <t>2026-09-03T13:18:34.695774</t>
  </si>
  <si>
    <t>2026-09-03T13:18:34.669676</t>
  </si>
  <si>
    <t>2026-09-03T13:18:34.651901</t>
  </si>
  <si>
    <t>2026-09-03T13:18:34.630615</t>
  </si>
  <si>
    <t>2026-09-03T13:18:34.613110</t>
  </si>
  <si>
    <t>2026-09-03T13:18:34.579750</t>
  </si>
  <si>
    <t>2026-09-03T13:18:34.566888</t>
  </si>
  <si>
    <t>2026-09-03T13:18:34.536779</t>
  </si>
  <si>
    <t>2026-09-03T13:18:34.521723</t>
  </si>
  <si>
    <t>2026-09-03T13:18:34.503425</t>
  </si>
  <si>
    <t>2026-09-03T13:18:34.454126</t>
  </si>
  <si>
    <t>2026-09-03T13:18:34.404167</t>
  </si>
  <si>
    <t>2026-09-03T13:18:34.364142</t>
  </si>
  <si>
    <t>2026-09-03T13:18:34.329209</t>
  </si>
  <si>
    <t>2026-09-03T13:18:34.297283</t>
  </si>
  <si>
    <t>2026-09-03T13:18:34.272647</t>
  </si>
  <si>
    <t>2026-09-03T13:18:34.246291</t>
  </si>
  <si>
    <t>2026-09-03T13:18:34.211809</t>
  </si>
  <si>
    <t>2026-09-03T13:18:34.188606</t>
  </si>
  <si>
    <t>2026-09-03T13:18:34.174825</t>
  </si>
  <si>
    <t>2026-09-03T13:18:34.154880</t>
  </si>
  <si>
    <t>2026-09-03T13:18:34.133437</t>
  </si>
  <si>
    <t>2026-09-03T13:18:34.119928</t>
  </si>
  <si>
    <t>2026-09-03T13:18:34.099791</t>
  </si>
  <si>
    <t>2026-09-03T13:18:34.082328</t>
  </si>
  <si>
    <t>2026-09-03T13:18:34.059765</t>
  </si>
  <si>
    <t>2026-09-03T13:18:34.044260</t>
  </si>
  <si>
    <t>2026-09-03T13:18:34.027060</t>
  </si>
  <si>
    <t>2026-09-03T13:18:34.011360</t>
  </si>
  <si>
    <t>2026-09-03T13:18:33.998160</t>
  </si>
  <si>
    <t>2026-09-03T13:18:33.985196</t>
  </si>
  <si>
    <t>2026-09-03T13:18:33.960888</t>
  </si>
  <si>
    <t>2026-09-03T13:18:33.941069</t>
  </si>
  <si>
    <t>2026-09-03T13:18:33.925746</t>
  </si>
  <si>
    <t>2026-09-03T13:18:33.909158</t>
  </si>
  <si>
    <t>2026-09-03T13:18:33.893080</t>
  </si>
  <si>
    <t>2026-09-03T13:18:33.880642</t>
  </si>
  <si>
    <t>2026-09-03T13:18:33.861337</t>
  </si>
  <si>
    <t>2026-09-03T13:18:33.835379</t>
  </si>
  <si>
    <t>2026-09-03T13:18:33.820572</t>
  </si>
  <si>
    <t>2026-09-03T13:18:33.800386</t>
  </si>
  <si>
    <t>2026-09-03T13:18:33.780026</t>
  </si>
  <si>
    <t>2026-09-03T13:18:33.763500</t>
  </si>
  <si>
    <t>2026-09-03T13:18:33.746181</t>
  </si>
  <si>
    <t>2026-09-03T13:18:33.728341</t>
  </si>
  <si>
    <t>2026-09-03T13:18:33.713712</t>
  </si>
  <si>
    <t>2026-09-03T13:18:33.693333</t>
  </si>
  <si>
    <t>2026-09-03T13:18:33.679022</t>
  </si>
  <si>
    <t>2026-09-03T13:18:33.655080</t>
  </si>
  <si>
    <t>2026-09-03T13:18:33.631255</t>
  </si>
  <si>
    <t>2026-09-03T13:18:33.620754</t>
  </si>
  <si>
    <t>2026-09-03T13:18:27.117517</t>
  </si>
  <si>
    <t>2026-09-03T13:18:27.090683</t>
  </si>
  <si>
    <t>2026-09-03T13:18:27.069639</t>
  </si>
  <si>
    <t>2026-09-03T13:18:27.045077</t>
  </si>
  <si>
    <t>2026-09-03T13:18:27.022269</t>
  </si>
  <si>
    <t>2026-09-03T13:18:27.004033</t>
  </si>
  <si>
    <t>2026-09-03T13:18:26.987537</t>
  </si>
  <si>
    <t>2026-09-03T13:18:26.969158</t>
  </si>
  <si>
    <t>2026-09-03T13:18:26.948001</t>
  </si>
  <si>
    <t>2026-09-03T13:18:26.925845</t>
  </si>
  <si>
    <t>2026-09-03T13:18:26.905031</t>
  </si>
  <si>
    <t>2026-09-03T13:18:26.891473</t>
  </si>
  <si>
    <t>2026-09-03T13:18:26.878409</t>
  </si>
  <si>
    <t>2026-09-03T13:18:26.855071</t>
  </si>
  <si>
    <t>2026-09-03T13:18:26.837111</t>
  </si>
  <si>
    <t>2026-09-03T13:18:26.821544</t>
  </si>
  <si>
    <t>2026-09-03T13:18:26.808588</t>
  </si>
  <si>
    <t>2026-09-03T13:18:26.788856</t>
  </si>
  <si>
    <t>2026-09-03T13:18:26.767111</t>
  </si>
  <si>
    <t>2026-09-03T13:18:26.753144</t>
  </si>
  <si>
    <t>2026-09-03T13:18:26.732084</t>
  </si>
  <si>
    <t>2026-09-03T13:18:26.714978</t>
  </si>
  <si>
    <t>2026-09-03T13:18:26.695691</t>
  </si>
  <si>
    <t>2026-09-03T13:18:26.683832</t>
  </si>
  <si>
    <t>2026-09-03T13:18:26.659968</t>
  </si>
  <si>
    <t>2026-09-03T13:18:26.648793</t>
  </si>
  <si>
    <t>2026-09-03T13:18:26.636607</t>
  </si>
  <si>
    <t>2026-09-03T13:18:26.625666</t>
  </si>
  <si>
    <t>2026-09-03T13:18:26.613758</t>
  </si>
  <si>
    <t>2026-09-03T13:18:26.593079</t>
  </si>
  <si>
    <t>2026-09-03T13:18:26.578569</t>
  </si>
  <si>
    <t>2026-09-03T13:18:26.561989</t>
  </si>
  <si>
    <t>2026-09-03T13:18:26.546814</t>
  </si>
  <si>
    <t>2026-09-03T13:18:26.529056</t>
  </si>
  <si>
    <t>2026-09-03T13:18:26.516692</t>
  </si>
  <si>
    <t>2026-09-03T13:18:26.493456</t>
  </si>
  <si>
    <t>2026-09-03T13:18:26.475913</t>
  </si>
  <si>
    <t>2026-09-03T13:18:26.457488</t>
  </si>
  <si>
    <t>2026-09-03T13:18:26.438386</t>
  </si>
  <si>
    <t>2026-09-03T13:18:26.418852</t>
  </si>
  <si>
    <t>2026-09-03T13:18:26.399120</t>
  </si>
  <si>
    <t>2026-09-03T13:18:26.381268</t>
  </si>
  <si>
    <t>2026-09-03T13:18:26.361954</t>
  </si>
  <si>
    <t>2026-09-03T13:18:26.351293</t>
  </si>
  <si>
    <t>2026-09-03T13:18:26.329012</t>
  </si>
  <si>
    <t>2026-09-03T13:18:26.307049</t>
  </si>
  <si>
    <t>2026-09-03T13:18:26.292515</t>
  </si>
  <si>
    <t>2026-09-03T13:18:26.279353</t>
  </si>
  <si>
    <t>2026-09-03T13:18:26.265714</t>
  </si>
  <si>
    <t>2026-09-03T13:18:26.243797</t>
  </si>
  <si>
    <t>2026-09-03T13:18:26.228876</t>
  </si>
  <si>
    <t>2026-09-03T13:18:26.208513</t>
  </si>
  <si>
    <t>2026-09-03T13:18:26.190924</t>
  </si>
  <si>
    <t>2026-09-03T13:18:26.168537</t>
  </si>
  <si>
    <t>2026-09-03T13:18:26.151258</t>
  </si>
  <si>
    <t>2026-09-03T13:18:26.125237</t>
  </si>
  <si>
    <t>2026-09-03T13:18:26.115240</t>
  </si>
  <si>
    <t>2026-09-03T13:18:26.094777</t>
  </si>
  <si>
    <t>2026-09-03T13:18:26.078952</t>
  </si>
  <si>
    <t>2026-09-03T13:18:26.057348</t>
  </si>
  <si>
    <t>2026-09-03T13:18:26.042112</t>
  </si>
  <si>
    <t>2026-09-03T13:18:26.023795</t>
  </si>
  <si>
    <t>2026-09-03T13:18:26.007384</t>
  </si>
  <si>
    <t>2026-09-03T13:18:25.993485</t>
  </si>
  <si>
    <t>2026-09-03T13:18:25.979700</t>
  </si>
  <si>
    <t>2026-09-03T13:18:25.968032</t>
  </si>
  <si>
    <t>2026-09-03T13:18:25.952390</t>
  </si>
  <si>
    <t>2026-09-03T13:18:25.934087</t>
  </si>
  <si>
    <t>2026-09-03T13:18:25.919418</t>
  </si>
  <si>
    <t>2026-09-03T13:18:25.906065</t>
  </si>
  <si>
    <t>2026-09-03T13:18:25.879103</t>
  </si>
  <si>
    <t>2026-09-03T13:18:25.862610</t>
  </si>
  <si>
    <t>2026-09-03T13:18:25.848754</t>
  </si>
  <si>
    <t>2026-09-03T13:18:25.827438</t>
  </si>
  <si>
    <t>2026-09-03T13:18:25.808842</t>
  </si>
  <si>
    <t>2026-09-03T13:18:25.789191</t>
  </si>
  <si>
    <t>2026-09-03T13:18:25.749802</t>
  </si>
  <si>
    <t>2026-09-03T13:18:25.714891</t>
  </si>
  <si>
    <t>2026-09-03T13:18:25.649798</t>
  </si>
  <si>
    <t>2026-09-03T13:18:25.610242</t>
  </si>
  <si>
    <t>2026-09-03T13:18:25.567185</t>
  </si>
  <si>
    <t>2026-09-03T13:18:25.544030</t>
  </si>
  <si>
    <t>2026-09-03T13:18:25.525102</t>
  </si>
  <si>
    <t>2026-09-03T13:18:25.506591</t>
  </si>
  <si>
    <t>2026-09-03T13:18:25.482376</t>
  </si>
  <si>
    <t>2026-09-03T13:18:25.467296</t>
  </si>
  <si>
    <t>2026-09-03T13:18:25.450607</t>
  </si>
  <si>
    <t>2026-09-03T13:18:25.433639</t>
  </si>
  <si>
    <t>2026-09-03T13:18:25.412363</t>
  </si>
  <si>
    <t>2026-09-03T13:18:25.397933</t>
  </si>
  <si>
    <t>2026-09-03T13:18:25.341526</t>
  </si>
  <si>
    <t>2026-09-03T13:18:25.329918</t>
  </si>
  <si>
    <t>2026-09-03T13:18:25.315537</t>
  </si>
  <si>
    <t>2026-09-03T13:18:25.299450</t>
  </si>
  <si>
    <t>2026-09-03T13:18:25.288863</t>
  </si>
  <si>
    <t>2026-09-03T13:18:25.275367</t>
  </si>
  <si>
    <t>2026-09-03T13:18:25.260113</t>
  </si>
  <si>
    <t>2026-09-03T13:18:25.239512</t>
  </si>
  <si>
    <t>2026-09-03T13:18:25.225405</t>
  </si>
  <si>
    <t>2026-09-03T13:18:25.209277</t>
  </si>
  <si>
    <t>2026-09-03T13:18:25.189752</t>
  </si>
  <si>
    <t>2026-09-03T13:18:25.169895</t>
  </si>
  <si>
    <t>2026-09-03T13:18:25.154548</t>
  </si>
  <si>
    <t>2026-09-03T13:18:25.133596</t>
  </si>
  <si>
    <t>2026-09-03T13:18:25.113010</t>
  </si>
  <si>
    <t>2026-09-03T13:18:25.099785</t>
  </si>
  <si>
    <t>2026-09-03T13:18:25.080966</t>
  </si>
  <si>
    <t>2026-09-03T13:18:25.068472</t>
  </si>
  <si>
    <t>2026-09-03T13:18:25.056965</t>
  </si>
  <si>
    <t>2026-09-03T13:18:25.037476</t>
  </si>
  <si>
    <t>2026-09-03T13:18:25.021983</t>
  </si>
  <si>
    <t>2026-09-03T13:18:25.007367</t>
  </si>
  <si>
    <t>2026-09-03T13:18:24.995841</t>
  </si>
  <si>
    <t>2026-09-03T13:18:24.980929</t>
  </si>
  <si>
    <t>2026-09-03T13:18:24.962173</t>
  </si>
  <si>
    <t>2026-09-03T13:18:24.946540</t>
  </si>
  <si>
    <t>2026-09-03T13:18:24.929300</t>
  </si>
  <si>
    <t>2026-09-03T13:18:24.910434</t>
  </si>
  <si>
    <t>2026-09-03T13:18:24.888569</t>
  </si>
  <si>
    <t>2026-09-03T13:18:24.870130</t>
  </si>
  <si>
    <t>2026-09-03T13:18:24.860864</t>
  </si>
  <si>
    <t>2026-09-03T13:18:24.849694</t>
  </si>
  <si>
    <t>2026-09-03T13:18:24.827879</t>
  </si>
  <si>
    <t>2026-09-03T13:18:24.813876</t>
  </si>
  <si>
    <t>2026-09-03T13:18:24.798978</t>
  </si>
  <si>
    <t>2026-09-03T13:18:24.783493</t>
  </si>
  <si>
    <t>2026-09-03T13:18:24.770135</t>
  </si>
  <si>
    <t>2026-09-03T13:18:24.757935</t>
  </si>
  <si>
    <t>2026-09-03T13:18:24.744734</t>
  </si>
  <si>
    <t>2026-09-03T13:18:24.732316</t>
  </si>
  <si>
    <t>2026-09-03T13:18:24.717372</t>
  </si>
  <si>
    <t>2026-09-03T13:18:24.704055</t>
  </si>
  <si>
    <t>2026-09-03T13:18:24.681312</t>
  </si>
  <si>
    <t>2026-09-03T13:18:24.662285</t>
  </si>
  <si>
    <t>2026-09-03T13:18:24.645903</t>
  </si>
  <si>
    <t>2026-09-03T13:18:24.619233</t>
  </si>
  <si>
    <t>2026-09-03T13:18:24.592233</t>
  </si>
  <si>
    <t>2026-09-03T13:18:24.578099</t>
  </si>
  <si>
    <t>2026-09-03T13:18:24.558898</t>
  </si>
  <si>
    <t>2026-09-03T13:18:24.543235</t>
  </si>
  <si>
    <t>2026-09-03T13:18:24.524366</t>
  </si>
  <si>
    <t>2026-09-03T13:18:24.503097</t>
  </si>
  <si>
    <t>2026-09-03T13:18:24.482919</t>
  </si>
  <si>
    <t>2026-09-03T13:18:24.462382</t>
  </si>
  <si>
    <t>2026-09-03T13:18:24.439235</t>
  </si>
  <si>
    <t>2026-09-03T13:18:24.419266</t>
  </si>
  <si>
    <t>2026-09-03T13:18:24.398457</t>
  </si>
  <si>
    <t>2026-09-03T13:18:24.381764</t>
  </si>
  <si>
    <t>2026-09-03T13:18:24.351666</t>
  </si>
  <si>
    <t>2026-09-03T13:18:24.339723</t>
  </si>
  <si>
    <t>2026-09-03T13:18:24.319942</t>
  </si>
  <si>
    <t>2026-09-03T13:18:24.302133</t>
  </si>
  <si>
    <t>2026-09-03T13:18:24.287128</t>
  </si>
  <si>
    <t>2026-09-03T13:18:24.272707</t>
  </si>
  <si>
    <t>2026-09-03T13:18:24.257857</t>
  </si>
  <si>
    <t>2026-09-03T13:18:24.231261</t>
  </si>
  <si>
    <t>2026-09-03T13:18:24.206355</t>
  </si>
  <si>
    <t>2026-09-03T13:18:24.186340</t>
  </si>
  <si>
    <t>2026-09-03T13:18:24.171740</t>
  </si>
  <si>
    <t>2026-09-03T13:18:24.153328</t>
  </si>
  <si>
    <t>2026-09-03T13:18:24.121933</t>
  </si>
  <si>
    <t>2026-09-03T13:18:24.093411</t>
  </si>
  <si>
    <t>2026-09-03T13:18:24.072207</t>
  </si>
  <si>
    <t>2026-09-03T13:18:24.058511</t>
  </si>
  <si>
    <t>2026-09-03T13:18:24.044280</t>
  </si>
  <si>
    <t>2026-09-03T13:18:24.030015</t>
  </si>
  <si>
    <t>2026-09-03T13:18:24.015386</t>
  </si>
  <si>
    <t>2026-09-03T13:18:24.000257</t>
  </si>
  <si>
    <t>2026-09-03T13:18:23.989273</t>
  </si>
  <si>
    <t>2026-09-03T13:18:23.976528</t>
  </si>
  <si>
    <t>2026-09-03T13:18:23.959886</t>
  </si>
  <si>
    <t>2026-09-03T13:18:23.938075</t>
  </si>
  <si>
    <t>2026-09-03T13:18:23.913122</t>
  </si>
  <si>
    <t>2026-09-03T13:18:23.895594</t>
  </si>
  <si>
    <t>2026-09-03T13:18:23.866039</t>
  </si>
  <si>
    <t>2026-09-03T13:18:23.843284</t>
  </si>
  <si>
    <t>2026-09-03T13:18:23.826296</t>
  </si>
  <si>
    <t>2026-09-03T13:18:23.807921</t>
  </si>
  <si>
    <t>2026-09-03T13:18:23.792133</t>
  </si>
  <si>
    <t>2026-09-03T13:18:23.771794</t>
  </si>
  <si>
    <t>2026-09-03T13:18:23.751970</t>
  </si>
  <si>
    <t>2026-09-03T13:18:23.733021</t>
  </si>
  <si>
    <t>2026-09-03T13:18:23.713384</t>
  </si>
  <si>
    <t>2026-09-03T13:18:23.696829</t>
  </si>
  <si>
    <t>2026-09-03T13:18:23.680926</t>
  </si>
  <si>
    <t>2026-09-03T13:18:23.661202</t>
  </si>
  <si>
    <t>2026-09-03T13:18:23.638606</t>
  </si>
  <si>
    <t>2026-09-03T13:18:23.619485</t>
  </si>
  <si>
    <t>2026-09-03T13:18:23.586219</t>
  </si>
  <si>
    <t>2026-09-03T13:18:23.564814</t>
  </si>
  <si>
    <t>2026-09-03T13:18:23.544423</t>
  </si>
  <si>
    <t>2026-09-03T13:18:23.523710</t>
  </si>
  <si>
    <t>2026-09-03T13:18:23.502774</t>
  </si>
  <si>
    <t>2026-09-03T13:18:23.481272</t>
  </si>
  <si>
    <t>2026-09-03T13:18:23.454517</t>
  </si>
  <si>
    <t>2026-09-03T13:18:23.437300</t>
  </si>
  <si>
    <t>2026-09-03T13:18:23.416701</t>
  </si>
  <si>
    <t>2026-09-03T13:18:23.384211</t>
  </si>
  <si>
    <t>2026-09-03T13:18:23.355974</t>
  </si>
  <si>
    <t>2026-09-03T13:18:23.335172</t>
  </si>
  <si>
    <t>2026-09-03T13:18:23.310690</t>
  </si>
  <si>
    <t>2026-09-03T13:18:23.288378</t>
  </si>
  <si>
    <t>2026-09-03T13:18:23.268448</t>
  </si>
  <si>
    <t>2026-09-03T13:18:23.244163</t>
  </si>
  <si>
    <t>2026-09-03T13:18:23.211212</t>
  </si>
  <si>
    <t>2026-09-03T13:18:23.197122</t>
  </si>
  <si>
    <t>2026-09-03T13:18:23.171173</t>
  </si>
  <si>
    <t>2026-09-03T13:18:23.147956</t>
  </si>
  <si>
    <t>2026-09-03T13:18:23.129268</t>
  </si>
  <si>
    <t>2026-09-03T13:18:23.100694</t>
  </si>
  <si>
    <t>2026-09-03T13:18:23.088075</t>
  </si>
  <si>
    <t>2026-09-03T13:18:23.065772</t>
  </si>
  <si>
    <t>2026-09-03T13:18:23.049209</t>
  </si>
  <si>
    <t>2026-09-03T13:18:23.023899</t>
  </si>
  <si>
    <t>2026-09-03T13:18:23.003153</t>
  </si>
  <si>
    <t>2026-09-03T13:18:22.975468</t>
  </si>
  <si>
    <t>2026-09-03T13:18:22.954211</t>
  </si>
  <si>
    <t>2026-09-03T13:18:22.934556</t>
  </si>
  <si>
    <t>2026-09-03T13:18:22.909871</t>
  </si>
  <si>
    <t>2026-09-03T13:18:22.884983</t>
  </si>
  <si>
    <t>2026-09-03T13:18:22.865272</t>
  </si>
  <si>
    <t>2026-09-03T13:18:22.851080</t>
  </si>
  <si>
    <t>2026-09-03T13:18:22.822140</t>
  </si>
  <si>
    <t>2026-09-03T13:18:22.801978</t>
  </si>
  <si>
    <t>2026-09-03T13:18:22.787631</t>
  </si>
  <si>
    <t>2026-09-03T13:18:22.765912</t>
  </si>
  <si>
    <t>2026-09-03T13:18:22.752050</t>
  </si>
  <si>
    <t>2026-09-03T13:18:22.711445</t>
  </si>
  <si>
    <t>2026-09-03T13:18:22.690672</t>
  </si>
  <si>
    <t>2026-09-03T13:18:22.677319</t>
  </si>
  <si>
    <t>2026-09-03T13:18:22.661498</t>
  </si>
  <si>
    <t>2026-09-03T13:18:22.640392</t>
  </si>
  <si>
    <t>2026-09-03T13:18:22.598548</t>
  </si>
  <si>
    <t>2026-09-03T13:18:22.574698</t>
  </si>
  <si>
    <t>2026-09-03T13:18:22.551874</t>
  </si>
  <si>
    <t>2026-09-03T13:18:22.535774</t>
  </si>
  <si>
    <t>2026-09-03T13:18:22.516679</t>
  </si>
  <si>
    <t>2026-09-03T13:18:22.499951</t>
  </si>
  <si>
    <t>2026-09-03T13:18:22.486729</t>
  </si>
  <si>
    <t>2026-09-03T13:18:22.475502</t>
  </si>
  <si>
    <t>2026-09-03T13:18:22.461602</t>
  </si>
  <si>
    <t>2026-09-03T13:18:22.452943</t>
  </si>
  <si>
    <t>2026-09-03T13:18:22.435795</t>
  </si>
  <si>
    <t>2026-09-03T13:18:22.420869</t>
  </si>
  <si>
    <t>2026-09-03T13:18:22.411111</t>
  </si>
  <si>
    <t>2026-09-03T13:18:22.397708</t>
  </si>
  <si>
    <t>2026-09-03T13:18:22.379126</t>
  </si>
  <si>
    <t>2026-09-03T13:18:22.368645</t>
  </si>
  <si>
    <t>2026-09-03T13:18:22.349841</t>
  </si>
  <si>
    <t>2026-09-03T13:18:22.335270</t>
  </si>
  <si>
    <t>2026-09-03T13:18:22.320863</t>
  </si>
  <si>
    <t>2026-09-03T13:18:22.307370</t>
  </si>
  <si>
    <t>2026-09-03T13:18:22.292246</t>
  </si>
  <si>
    <t>2026-09-03T13:18:22.280679</t>
  </si>
  <si>
    <t>2026-09-03T13:18:22.268158</t>
  </si>
  <si>
    <t>2026-09-03T13:18:22.259197</t>
  </si>
  <si>
    <t>2026-09-03T13:18:22.247367</t>
  </si>
  <si>
    <t>2026-09-03T13:18:22.233266</t>
  </si>
  <si>
    <t>2026-09-03T13:18:22.224555</t>
  </si>
  <si>
    <t>2026-09-03T13:18:22.212841</t>
  </si>
  <si>
    <t>2026-09-03T13:18:22.202247</t>
  </si>
  <si>
    <t>2026-09-03T13:18:22.191287</t>
  </si>
  <si>
    <t>2026-09-03T13:18:22.167984</t>
  </si>
  <si>
    <t>2026-09-03T13:18:22.149055</t>
  </si>
  <si>
    <t>2026-09-03T13:18:22.108352</t>
  </si>
  <si>
    <t>2026-09-03T13:18:22.084090</t>
  </si>
  <si>
    <t>2026-09-03T13:18:22.068891</t>
  </si>
  <si>
    <t>2026-09-03T13:18:22.057808</t>
  </si>
  <si>
    <t>2026-09-03T13:18:22.044315</t>
  </si>
  <si>
    <t>2026-09-03T13:18:22.035862</t>
  </si>
  <si>
    <t>2026-09-03T13:18:22.021299</t>
  </si>
  <si>
    <t>2026-09-03T13:18:22.010095</t>
  </si>
  <si>
    <t>2026-09-03T13:18:21.999781</t>
  </si>
  <si>
    <t>2026-09-03T13:18:21.988300</t>
  </si>
  <si>
    <t>2026-09-03T13:18:21.973951</t>
  </si>
  <si>
    <t>2026-09-03T13:18:21.960891</t>
  </si>
  <si>
    <t>2026-09-03T13:18:21.946242</t>
  </si>
  <si>
    <t>2026-09-03T13:18:21.933656</t>
  </si>
  <si>
    <t>2026-09-03T13:18:21.917949</t>
  </si>
  <si>
    <t>2026-09-03T13:18:21.902537</t>
  </si>
  <si>
    <t>2026-09-03T13:18:21.886593</t>
  </si>
  <si>
    <t>2026-09-03T13:18:21.872241</t>
  </si>
  <si>
    <t>2026-09-03T13:18:21.856569</t>
  </si>
  <si>
    <t>2026-09-03T13:18:21.843712</t>
  </si>
  <si>
    <t>2026-09-03T13:18:21.830064</t>
  </si>
  <si>
    <t>2026-09-03T13:18:21.815458</t>
  </si>
  <si>
    <t>2026-09-03T13:18:21.802331</t>
  </si>
  <si>
    <t>2026-09-03T13:18:21.792235</t>
  </si>
  <si>
    <t>2026-09-03T13:18:21.777411</t>
  </si>
  <si>
    <t>2026-09-03T13:18:21.763670</t>
  </si>
  <si>
    <t>2026-09-03T13:18:21.745004</t>
  </si>
  <si>
    <t>2026-09-03T13:18:21.733109</t>
  </si>
  <si>
    <t>2026-09-03T13:18:21.718586</t>
  </si>
  <si>
    <t>2026-09-03T13:18:21.703312</t>
  </si>
  <si>
    <t>2026-09-03T13:18:21.688589</t>
  </si>
  <si>
    <t>2026-09-03T13:18:21.675236</t>
  </si>
  <si>
    <t>2026-09-03T13:18:21.662425</t>
  </si>
  <si>
    <t>2026-09-03T13:18:21.650493</t>
  </si>
  <si>
    <t>2026-09-03T13:18:21.634304</t>
  </si>
  <si>
    <t>2026-09-03T13:18:21.615101</t>
  </si>
  <si>
    <t>2026-09-03T13:18:21.601270</t>
  </si>
  <si>
    <t>2026-09-03T13:18:21.580771</t>
  </si>
  <si>
    <t>2026-09-03T13:18:21.558422</t>
  </si>
  <si>
    <t>2026-09-03T13:18:21.543666</t>
  </si>
  <si>
    <t>2026-09-03T13:18:21.529506</t>
  </si>
  <si>
    <t>2026-09-03T13:18:21.512578</t>
  </si>
  <si>
    <t>2026-09-03T13:18:21.497099</t>
  </si>
  <si>
    <t>2026-09-03T13:18:21.483022</t>
  </si>
  <si>
    <t>2026-09-03T13:18:21.469706</t>
  </si>
  <si>
    <t>2026-09-03T13:18:21.453501</t>
  </si>
  <si>
    <t>2026-09-03T13:18:21.432926</t>
  </si>
  <si>
    <t>2026-09-03T13:18:21.418106</t>
  </si>
  <si>
    <t>2026-09-03T13:18:21.402978</t>
  </si>
  <si>
    <t>2026-09-03T13:18:21.392150</t>
  </si>
  <si>
    <t>2026-09-03T13:18:21.376475</t>
  </si>
  <si>
    <t>2026-09-03T13:18:21.358048</t>
  </si>
  <si>
    <t>2026-09-03T13:18:21.336638</t>
  </si>
  <si>
    <t>2026-09-03T13:18:21.323275</t>
  </si>
  <si>
    <t>2026-09-03T13:18:21.307840</t>
  </si>
  <si>
    <t>2026-09-03T13:18:21.294553</t>
  </si>
  <si>
    <t>2026-09-03T13:18:21.280237</t>
  </si>
  <si>
    <t>2026-09-03T13:18:21.260586</t>
  </si>
  <si>
    <t>2026-09-03T13:18:21.247777</t>
  </si>
  <si>
    <t>2026-09-03T13:18:21.238216</t>
  </si>
  <si>
    <t>2026-09-03T13:18:21.222938</t>
  </si>
  <si>
    <t>2026-09-03T13:18:21.205428</t>
  </si>
  <si>
    <t>2026-09-03T13:18:21.189350</t>
  </si>
  <si>
    <t>2026-09-03T13:18:21.171918</t>
  </si>
  <si>
    <t>2026-09-03T13:18:21.156819</t>
  </si>
  <si>
    <t>2026-09-03T13:18:21.141318</t>
  </si>
  <si>
    <t>2026-09-03T13:18:21.121932</t>
  </si>
  <si>
    <t>2026-09-03T13:18:21.093636</t>
  </si>
  <si>
    <t>2026-09-03T13:18:21.077144</t>
  </si>
  <si>
    <t>2026-09-03T13:18:21.057953</t>
  </si>
  <si>
    <t>2026-09-03T13:18:21.035221</t>
  </si>
  <si>
    <t>2026-09-03T13:18:21.014002</t>
  </si>
  <si>
    <t>2026-09-03T13:18:20.994874</t>
  </si>
  <si>
    <t>2026-09-03T13:18:20.979873</t>
  </si>
  <si>
    <t>2026-09-03T13:18:20.961368</t>
  </si>
  <si>
    <t>2026-09-03T13:18:20.936598</t>
  </si>
  <si>
    <t>2026-09-03T13:18:20.912922</t>
  </si>
  <si>
    <t>2026-09-03T13:18:20.891704</t>
  </si>
  <si>
    <t>2026-09-03T13:18:20.879030</t>
  </si>
  <si>
    <t>2026-09-03T13:18:20.859002</t>
  </si>
  <si>
    <t>2026-09-03T13:18:20.839126</t>
  </si>
  <si>
    <t>2026-09-03T13:18:20.813539</t>
  </si>
  <si>
    <t>2026-09-03T13:18:20.787459</t>
  </si>
  <si>
    <t>2026-09-03T13:18:20.746199</t>
  </si>
  <si>
    <t>2026-09-03T13:18:20.726579</t>
  </si>
  <si>
    <t>2026-09-03T13:18:20.705151</t>
  </si>
  <si>
    <t>2026-09-03T13:18:20.689841</t>
  </si>
  <si>
    <t>2026-09-03T13:18:20.663163</t>
  </si>
  <si>
    <t>2026-09-03T13:18:20.640795</t>
  </si>
  <si>
    <t>2026-09-03T13:18:20.613950</t>
  </si>
  <si>
    <t>2026-09-03T13:18:20.588013</t>
  </si>
  <si>
    <t>2026-09-03T13:18:20.564942</t>
  </si>
  <si>
    <t>2026-09-03T13:18:20.550896</t>
  </si>
  <si>
    <t>2026-09-03T13:18:20.539604</t>
  </si>
  <si>
    <t>2026-09-03T13:18:20.517561</t>
  </si>
  <si>
    <t>2026-09-03T13:18:20.501569</t>
  </si>
  <si>
    <t>2026-09-03T13:18:20.482508</t>
  </si>
  <si>
    <t>2026-09-03T13:18:20.466816</t>
  </si>
  <si>
    <t>2026-09-03T13:18:20.452218</t>
  </si>
  <si>
    <t>2026-09-03T13:18:20.430952</t>
  </si>
  <si>
    <t>2026-09-03T13:18:20.419546</t>
  </si>
  <si>
    <t>2026-09-03T13:18:20.405178</t>
  </si>
  <si>
    <t>2026-09-03T13:18:20.387028</t>
  </si>
  <si>
    <t>2026-09-03T13:18:20.367620</t>
  </si>
  <si>
    <t>2026-09-03T13:18:20.347642</t>
  </si>
  <si>
    <t>2026-09-03T13:18:20.331758</t>
  </si>
  <si>
    <t>2026-09-03T13:18:20.307925</t>
  </si>
  <si>
    <t>2026-09-03T13:18:20.292328</t>
  </si>
  <si>
    <t>2026-09-03T13:18:20.267129</t>
  </si>
  <si>
    <t>2026-09-03T13:18:20.219659</t>
  </si>
  <si>
    <t>2026-09-03T13:18:20.163414</t>
  </si>
  <si>
    <t>2026-09-03T13:18:20.106095</t>
  </si>
  <si>
    <t>2026-09-03T13:18:20.070992</t>
  </si>
  <si>
    <t>2026-09-03T13:18:20.021972</t>
  </si>
  <si>
    <t>2026-09-03T13:18:20.003987</t>
  </si>
  <si>
    <t>2026-09-03T13:18:19.979657</t>
  </si>
  <si>
    <t>2026-09-03T13:18:19.963044</t>
  </si>
  <si>
    <t>2026-09-03T13:18:19.948162</t>
  </si>
  <si>
    <t>2026-09-03T13:18:19.935295</t>
  </si>
  <si>
    <t>2026-09-03T13:18:19.919974</t>
  </si>
  <si>
    <t>2026-09-03T13:18:19.904305</t>
  </si>
  <si>
    <t>2026-09-03T13:18:19.886494</t>
  </si>
  <si>
    <t>2026-09-03T13:18:19.872121</t>
  </si>
  <si>
    <t>2026-09-03T13:18:19.855866</t>
  </si>
  <si>
    <t>2026-09-03T13:18:19.840710</t>
  </si>
  <si>
    <t>2026-09-03T13:18:19.823835</t>
  </si>
  <si>
    <t>2026-09-03T13:18:19.810048</t>
  </si>
  <si>
    <t>2026-09-03T13:18:19.789612</t>
  </si>
  <si>
    <t>2026-09-03T13:18:19.774992</t>
  </si>
  <si>
    <t>2026-09-03T13:18:19.757309</t>
  </si>
  <si>
    <t>2026-09-03T13:18:19.733710</t>
  </si>
  <si>
    <t>2026-09-03T13:18:19.713909</t>
  </si>
  <si>
    <t>2026-09-03T13:18:19.691361</t>
  </si>
  <si>
    <t>2026-09-03T13:18:19.677105</t>
  </si>
  <si>
    <t>2026-09-03T13:18:19.655168</t>
  </si>
  <si>
    <t>2026-09-03T13:18:19.637271</t>
  </si>
  <si>
    <t>2026-09-03T13:18:19.621904</t>
  </si>
  <si>
    <t>2026-09-03T13:18:19.605505</t>
  </si>
  <si>
    <t>2026-09-03T13:18:19.592506</t>
  </si>
  <si>
    <t>2026-09-03T13:18:19.573214</t>
  </si>
  <si>
    <t>2026-09-03T13:18:19.552820</t>
  </si>
  <si>
    <t>2026-09-03T13:18:19.535918</t>
  </si>
  <si>
    <t>2026-09-03T13:18:19.521410</t>
  </si>
  <si>
    <t>2026-09-03T13:18:19.495933</t>
  </si>
  <si>
    <t>2026-09-03T13:18:19.471716</t>
  </si>
  <si>
    <t>2026-09-03T13:18:19.438933</t>
  </si>
  <si>
    <t>2026-09-03T13:18:19.424373</t>
  </si>
  <si>
    <t>2026-09-03T13:18:19.403601</t>
  </si>
  <si>
    <t>2026-09-03T13:18:19.385043</t>
  </si>
  <si>
    <t>2026-09-03T13:18:19.363014</t>
  </si>
  <si>
    <t>2026-09-03T13:18:19.351027</t>
  </si>
  <si>
    <t>2026-09-03T13:18:19.334481</t>
  </si>
  <si>
    <t>2026-09-03T13:18:19.315375</t>
  </si>
  <si>
    <t>2026-09-03T13:18:19.304480</t>
  </si>
  <si>
    <t>2026-09-03T13:18:19.282565</t>
  </si>
  <si>
    <t>2026-09-03T13:18:19.262443</t>
  </si>
  <si>
    <t>2026-09-03T13:18:19.239930</t>
  </si>
  <si>
    <t>2026-09-03T13:18:19.218409</t>
  </si>
  <si>
    <t>2026-09-03T13:18:19.201826</t>
  </si>
  <si>
    <t>2026-09-03T13:18:19.178571</t>
  </si>
  <si>
    <t>2026-09-03T13:18:19.163727</t>
  </si>
  <si>
    <t>2026-09-03T13:18:19.142189</t>
  </si>
  <si>
    <t>2026-09-03T13:18:19.122567</t>
  </si>
  <si>
    <t>2026-09-03T13:18:19.101672</t>
  </si>
  <si>
    <t>2026-09-03T13:18:19.080902</t>
  </si>
  <si>
    <t>2026-09-03T13:18:19.065750</t>
  </si>
  <si>
    <t>2026-09-03T13:18:19.052463</t>
  </si>
  <si>
    <t>2026-09-03T13:18:19.038728</t>
  </si>
  <si>
    <t>2026-09-03T13:18:19.023683</t>
  </si>
  <si>
    <t>2026-09-03T13:18:19.002678</t>
  </si>
  <si>
    <t>2026-09-03T13:18:18.988550</t>
  </si>
  <si>
    <t>2026-09-03T13:18:18.969714</t>
  </si>
  <si>
    <t>2026-09-03T13:18:18.949684</t>
  </si>
  <si>
    <t>2026-09-03T13:18:18.929688</t>
  </si>
  <si>
    <t>2026-09-03T13:18:18.913079</t>
  </si>
  <si>
    <t>2026-09-03T13:18:18.892681</t>
  </si>
  <si>
    <t>2026-09-03T13:18:18.877995</t>
  </si>
  <si>
    <t>2026-09-03T13:18:18.862887</t>
  </si>
  <si>
    <t>2026-09-03T13:18:18.848031</t>
  </si>
  <si>
    <t>2026-09-03T13:18:18.822944</t>
  </si>
  <si>
    <t>2026-09-03T13:18:18.808005</t>
  </si>
  <si>
    <t>2026-09-03T13:18:18.789287</t>
  </si>
  <si>
    <t>2026-09-03T13:18:18.775445</t>
  </si>
  <si>
    <t>2026-09-03T13:18:18.754725</t>
  </si>
  <si>
    <t>2026-09-03T13:18:18.731444</t>
  </si>
  <si>
    <t>2026-09-03T13:18:18.708657</t>
  </si>
  <si>
    <t>2026-09-03T13:18:18.685688</t>
  </si>
  <si>
    <t>2026-09-03T13:18:18.671139</t>
  </si>
  <si>
    <t>2026-09-03T13:18:18.651997</t>
  </si>
  <si>
    <t>2026-09-03T13:18:18.621272</t>
  </si>
  <si>
    <t>2026-09-03T13:18:18.606539</t>
  </si>
  <si>
    <t>2026-09-03T13:18:18.591149</t>
  </si>
  <si>
    <t>2026-09-03T13:18:18.576831</t>
  </si>
  <si>
    <t>2026-09-03T13:18:18.559717</t>
  </si>
  <si>
    <t>2026-09-03T13:18:18.546193</t>
  </si>
  <si>
    <t>2026-09-03T13:18:18.531420</t>
  </si>
  <si>
    <t>2026-09-03T13:18:18.515571</t>
  </si>
  <si>
    <t>2026-09-03T13:18:18.496074</t>
  </si>
  <si>
    <t>2026-09-03T13:18:18.475759</t>
  </si>
  <si>
    <t>2026-09-03T13:18:18.455902</t>
  </si>
  <si>
    <t>2026-09-03T13:18:18.438296</t>
  </si>
  <si>
    <t>2026-09-03T13:18:18.411029</t>
  </si>
  <si>
    <t>2026-09-03T13:18:18.394069</t>
  </si>
  <si>
    <t>2026-09-03T13:18:18.377610</t>
  </si>
  <si>
    <t>2026-09-03T13:18:18.356205</t>
  </si>
  <si>
    <t>2026-09-03T13:18:18.331499</t>
  </si>
  <si>
    <t>2026-09-03T13:18:18.309196</t>
  </si>
  <si>
    <t>2026-09-03T13:18:18.288443</t>
  </si>
  <si>
    <t>2026-09-03T13:18:18.262383</t>
  </si>
  <si>
    <t>2026-09-03T13:18:18.245334</t>
  </si>
  <si>
    <t>2026-09-03T13:18:18.223027</t>
  </si>
  <si>
    <t>2026-09-03T13:18:18.202319</t>
  </si>
  <si>
    <t>2026-09-03T13:18:18.181466</t>
  </si>
  <si>
    <t>2026-09-03T13:18:18.157769</t>
  </si>
  <si>
    <t>2026-09-03T13:18:18.141311</t>
  </si>
  <si>
    <t>2026-09-03T13:18:18.121629</t>
  </si>
  <si>
    <t>2026-09-03T13:18:18.103928</t>
  </si>
  <si>
    <t>2026-09-03T13:18:18.085815</t>
  </si>
  <si>
    <t>2026-09-03T13:18:18.067801</t>
  </si>
  <si>
    <t>2026-09-03T13:18:18.049480</t>
  </si>
  <si>
    <t>2026-09-03T13:18:18.031672</t>
  </si>
  <si>
    <t>2026-09-03T13:18:18.018878</t>
  </si>
  <si>
    <t>2026-09-03T13:18:17.997191</t>
  </si>
  <si>
    <t>2026-09-03T13:18:17.975363</t>
  </si>
  <si>
    <t>2026-09-03T13:18:17.952385</t>
  </si>
  <si>
    <t>2026-09-03T13:18:17.928015</t>
  </si>
  <si>
    <t>2026-09-03T13:18:17.879360</t>
  </si>
  <si>
    <t>2026-09-03T13:18:17.860863</t>
  </si>
  <si>
    <t>2026-09-03T13:18:17.831463</t>
  </si>
  <si>
    <t>2026-09-03T13:18:17.812256</t>
  </si>
  <si>
    <t>2026-09-03T13:18:17.776380</t>
  </si>
  <si>
    <t>2026-09-03T13:18:17.718647</t>
  </si>
  <si>
    <t>2026-09-03T13:18:17.674453</t>
  </si>
  <si>
    <t>2026-09-03T13:18:17.629875</t>
  </si>
  <si>
    <t>2026-09-03T13:18:17.588107</t>
  </si>
  <si>
    <t>2026-09-03T13:18:17.559234</t>
  </si>
  <si>
    <t>2026-09-03T13:18:17.538654</t>
  </si>
  <si>
    <t>2026-09-03T13:18:17.510728</t>
  </si>
  <si>
    <t>2026-09-03T13:18:17.489290</t>
  </si>
  <si>
    <t>2026-09-03T13:18:17.475331</t>
  </si>
  <si>
    <t>2026-09-03T13:18:17.462277</t>
  </si>
  <si>
    <t>2026-09-03T13:18:17.440253</t>
  </si>
  <si>
    <t>2026-09-03T13:18:17.428834</t>
  </si>
  <si>
    <t>2026-09-03T13:18:17.413528</t>
  </si>
  <si>
    <t>2026-09-03T13:18:17.398997</t>
  </si>
  <si>
    <t>2026-09-03T13:18:17.382935</t>
  </si>
  <si>
    <t>2026-09-03T13:18:17.365960</t>
  </si>
  <si>
    <t>2026-09-03T13:18:17.338762</t>
  </si>
  <si>
    <t>2026-09-03T13:18:17.318058</t>
  </si>
  <si>
    <t>2026-09-03T13:18:17.293172</t>
  </si>
  <si>
    <t>2026-09-03T13:18:17.274980</t>
  </si>
  <si>
    <t>2026-09-03T13:18:17.252976</t>
  </si>
  <si>
    <t>2026-09-03T13:18:17.232432</t>
  </si>
  <si>
    <t>2026-09-03T13:18:17.218918</t>
  </si>
  <si>
    <t>2026-09-03T13:18:17.205461</t>
  </si>
  <si>
    <t>2026-09-03T13:18:17.189150</t>
  </si>
  <si>
    <t>2026-09-03T13:18:17.169871</t>
  </si>
  <si>
    <t>2026-09-03T13:18:17.150611</t>
  </si>
  <si>
    <t>2026-09-03T13:18:17.129694</t>
  </si>
  <si>
    <t>2026-09-03T13:18:17.109317</t>
  </si>
  <si>
    <t>2026-09-03T13:18:17.089146</t>
  </si>
  <si>
    <t>2026-09-03T13:18:17.070207</t>
  </si>
  <si>
    <t>2026-09-03T13:18:17.051892</t>
  </si>
  <si>
    <t>2026-09-03T13:18:17.043496</t>
  </si>
  <si>
    <t>2026-09-03T13:18:17.030644</t>
  </si>
  <si>
    <t>2026-09-03T13:18:17.017873</t>
  </si>
  <si>
    <t>2026-09-03T13:18:17.004563</t>
  </si>
  <si>
    <t>2026-09-03T13:18:16.990333</t>
  </si>
  <si>
    <t>2026-09-03T13:18:16.975660</t>
  </si>
  <si>
    <t>2026-09-03T13:18:16.956466</t>
  </si>
  <si>
    <t>2026-09-03T13:18:16.940939</t>
  </si>
  <si>
    <t>2026-09-03T13:18:16.923207</t>
  </si>
  <si>
    <t>2026-09-03T13:18:16.885489</t>
  </si>
  <si>
    <t>2026-09-03T13:18:16.851873</t>
  </si>
  <si>
    <t>2026-09-03T13:18:16.822434</t>
  </si>
  <si>
    <t>2026-09-03T13:18:16.776208</t>
  </si>
  <si>
    <t>2026-09-03T13:18:16.719212</t>
  </si>
  <si>
    <t>2026-09-03T13:18:16.656892</t>
  </si>
  <si>
    <t>2026-09-03T13:18:16.577600</t>
  </si>
  <si>
    <t>2026-09-03T13:18:16.512039</t>
  </si>
  <si>
    <t>2026-09-03T13:18:16.491780</t>
  </si>
  <si>
    <t>2026-09-03T13:18:16.477587</t>
  </si>
  <si>
    <t>2026-09-03T13:18:16.461966</t>
  </si>
  <si>
    <t>2026-09-03T13:18:16.442463</t>
  </si>
  <si>
    <t>2026-09-03T13:18:16.421085</t>
  </si>
  <si>
    <t>2026-09-03T13:18:16.406482</t>
  </si>
  <si>
    <t>2026-09-03T13:18:16.382176</t>
  </si>
  <si>
    <t>2026-09-03T13:18:16.358662</t>
  </si>
  <si>
    <t>2026-09-03T13:18:16.331595</t>
  </si>
  <si>
    <t>2026-09-03T13:18:16.307022</t>
  </si>
  <si>
    <t>2026-09-03T13:18:16.289497</t>
  </si>
  <si>
    <t>2026-09-03T13:18:16.273883</t>
  </si>
  <si>
    <t>2026-09-03T13:18:16.258001</t>
  </si>
  <si>
    <t>2026-09-03T13:18:16.246621</t>
  </si>
  <si>
    <t>2026-09-03T13:18:16.236518</t>
  </si>
  <si>
    <t>2026-09-03T13:18:16.227739</t>
  </si>
  <si>
    <t>2026-09-03T13:18:16.209890</t>
  </si>
  <si>
    <t>2026-09-03T13:18:16.196478</t>
  </si>
  <si>
    <t>2026-09-03T13:18:16.171397</t>
  </si>
  <si>
    <t>2026-09-03T13:18:16.155845</t>
  </si>
  <si>
    <t>2026-09-03T13:18:16.142400</t>
  </si>
  <si>
    <t>2026-09-03T13:18:16.124674</t>
  </si>
  <si>
    <t>2026-09-03T13:18:16.109054</t>
  </si>
  <si>
    <t>2026-09-03T13:18:16.098123</t>
  </si>
  <si>
    <t>2026-09-03T13:18:16.071178</t>
  </si>
  <si>
    <t>2026-09-03T13:18:16.048180</t>
  </si>
  <si>
    <t>2026-09-03T13:18:16.028926</t>
  </si>
  <si>
    <t>2026-09-03T13:18:16.012344</t>
  </si>
  <si>
    <t>2026-09-03T13:18:15.998080</t>
  </si>
  <si>
    <t>2026-09-03T13:18:15.969114</t>
  </si>
  <si>
    <t>2026-09-03T13:18:15.957155</t>
  </si>
  <si>
    <t>2026-09-03T13:18:15.939725</t>
  </si>
  <si>
    <t>2026-09-03T13:18:15.927460</t>
  </si>
  <si>
    <t>2026-09-03T13:18:15.910758</t>
  </si>
  <si>
    <t>2026-09-03T13:18:15.894288</t>
  </si>
  <si>
    <t>2026-09-03T13:18:15.878780</t>
  </si>
  <si>
    <t>2026-09-03T13:18:15.855291</t>
  </si>
  <si>
    <t>2026-09-03T13:18:15.836327</t>
  </si>
  <si>
    <t>2026-09-03T13:18:15.818641</t>
  </si>
  <si>
    <t>2026-09-03T13:18:15.802515</t>
  </si>
  <si>
    <t>2026-09-03T13:18:15.782474</t>
  </si>
  <si>
    <t>2026-09-03T13:18:15.762617</t>
  </si>
  <si>
    <t>2026-09-03T13:18:15.748367</t>
  </si>
  <si>
    <t>2026-09-03T13:18:15.729633</t>
  </si>
  <si>
    <t>2026-09-03T13:18:15.713163</t>
  </si>
  <si>
    <t>2026-09-03T13:18:15.691340</t>
  </si>
  <si>
    <t>2026-09-03T13:18:15.678055</t>
  </si>
  <si>
    <t>2026-09-03T13:18:15.654672</t>
  </si>
  <si>
    <t>2026-09-03T13:18:15.643744</t>
  </si>
  <si>
    <t>2026-09-03T13:18:15.629471</t>
  </si>
  <si>
    <t>2026-09-03T13:18:15.614009</t>
  </si>
  <si>
    <t>2026-09-03T13:18:15.594574</t>
  </si>
  <si>
    <t>2026-09-03T13:18:15.580885</t>
  </si>
  <si>
    <t>2026-09-03T13:18:15.559385</t>
  </si>
  <si>
    <t>2026-09-03T13:18:15.545556</t>
  </si>
  <si>
    <t>2026-09-03T13:18:15.523616</t>
  </si>
  <si>
    <t>2026-09-03T13:18:15.504489</t>
  </si>
  <si>
    <t>2026-09-03T13:18:15.476630</t>
  </si>
  <si>
    <t>2026-09-03T13:18:15.455359</t>
  </si>
  <si>
    <t>2026-09-03T13:18:15.440907</t>
  </si>
  <si>
    <t>2026-09-03T13:18:15.426182</t>
  </si>
  <si>
    <t>2026-09-03T13:18:15.409448</t>
  </si>
  <si>
    <t>2026-09-03T13:18:15.396955</t>
  </si>
  <si>
    <t>2026-09-03T13:18:15.384163</t>
  </si>
  <si>
    <t>2026-09-03T13:18:15.370951</t>
  </si>
  <si>
    <t>2026-09-03T13:18:15.356624</t>
  </si>
  <si>
    <t>2026-09-03T13:18:15.345680</t>
  </si>
  <si>
    <t>2026-09-03T13:18:15.335275</t>
  </si>
  <si>
    <t>2026-09-03T13:18:15.323519</t>
  </si>
  <si>
    <t>2026-09-03T13:18:15.302749</t>
  </si>
  <si>
    <t>2026-09-03T13:18:15.282745</t>
  </si>
  <si>
    <t>2026-09-03T13:18:15.262985</t>
  </si>
  <si>
    <t>2026-09-03T13:18:15.245334</t>
  </si>
  <si>
    <t>2026-09-03T13:18:15.221607</t>
  </si>
  <si>
    <t>2026-09-03T13:18:15.199888</t>
  </si>
  <si>
    <t>2026-09-03T13:18:15.182499</t>
  </si>
  <si>
    <t>2026-09-03T13:18:15.162179</t>
  </si>
  <si>
    <t>2026-09-03T13:18:15.144110</t>
  </si>
  <si>
    <t>2026-09-03T13:18:15.129765</t>
  </si>
  <si>
    <t>2026-09-03T13:18:15.114631</t>
  </si>
  <si>
    <t>2026-09-03T13:18:15.095774</t>
  </si>
  <si>
    <t>2026-09-03T13:18:15.081551</t>
  </si>
  <si>
    <t>2026-09-03T13:18:15.069322</t>
  </si>
  <si>
    <t>2026-09-03T13:18:15.042633</t>
  </si>
  <si>
    <t>2026-09-03T13:18:15.019989</t>
  </si>
  <si>
    <t>2026-09-03T13:18:15.005440</t>
  </si>
  <si>
    <t>2026-09-03T13:18:14.984127</t>
  </si>
  <si>
    <t>2026-09-03T13:18:14.969327</t>
  </si>
  <si>
    <t>2026-09-03T13:18:14.954685</t>
  </si>
  <si>
    <t>2026-09-03T13:18:14.939892</t>
  </si>
  <si>
    <t>2026-09-03T13:18:14.915149</t>
  </si>
  <si>
    <t>2026-09-03T13:18:14.892754</t>
  </si>
  <si>
    <t>2026-09-03T13:18:14.869665</t>
  </si>
  <si>
    <t>2026-09-03T13:18:14.846018</t>
  </si>
  <si>
    <t>2026-09-03T13:18:14.819976</t>
  </si>
  <si>
    <t>2026-09-03T13:18:14.764001</t>
  </si>
  <si>
    <t>2026-09-03T13:18:14.710652</t>
  </si>
  <si>
    <t>2026-09-03T13:18:14.663790</t>
  </si>
  <si>
    <t>2026-09-03T13:18:14.627055</t>
  </si>
  <si>
    <t>2026-09-03T13:18:14.583713</t>
  </si>
  <si>
    <t>2026-09-03T13:18:14.557821</t>
  </si>
  <si>
    <t>2026-09-03T13:18:14.538864</t>
  </si>
  <si>
    <t>2026-09-03T13:18:14.518109</t>
  </si>
  <si>
    <t>2026-09-03T13:18:14.495594</t>
  </si>
  <si>
    <t>2026-09-03T13:18:14.468612</t>
  </si>
  <si>
    <t>2026-09-03T13:18:14.445858</t>
  </si>
  <si>
    <t>2026-09-03T13:18:14.431110</t>
  </si>
  <si>
    <t>2026-09-03T13:18:14.407566</t>
  </si>
  <si>
    <t>2026-09-03T13:18:14.385134</t>
  </si>
  <si>
    <t>2026-09-03T13:18:14.366771</t>
  </si>
  <si>
    <t>2026-09-03T13:18:14.355742</t>
  </si>
  <si>
    <t>2026-09-03T13:18:14.343049</t>
  </si>
  <si>
    <t>2026-09-03T13:18:14.325117</t>
  </si>
  <si>
    <t>2026-09-03T13:18:14.310283</t>
  </si>
  <si>
    <t>2026-09-03T13:18:14.295509</t>
  </si>
  <si>
    <t>2026-09-03T13:18:14.278719</t>
  </si>
  <si>
    <t>2026-09-03T13:18:14.260492</t>
  </si>
  <si>
    <t>2026-09-03T13:18:14.246921</t>
  </si>
  <si>
    <t>2026-09-03T13:18:14.233533</t>
  </si>
  <si>
    <t>2026-09-03T13:18:14.212986</t>
  </si>
  <si>
    <t>2026-09-03T13:18:14.197773</t>
  </si>
  <si>
    <t>2026-09-03T13:18:14.183302</t>
  </si>
  <si>
    <t>2026-09-03T13:18:14.154684</t>
  </si>
  <si>
    <t>2026-09-03T13:18:14.130806</t>
  </si>
  <si>
    <t>2026-09-03T13:18:14.108429</t>
  </si>
  <si>
    <t>2026-09-03T13:18:14.088789</t>
  </si>
  <si>
    <t>2026-09-03T13:18:14.076328</t>
  </si>
  <si>
    <t>2026-09-03T13:18:14.053124</t>
  </si>
  <si>
    <t>2026-09-03T13:18:14.039612</t>
  </si>
  <si>
    <t>2026-09-03T13:18:14.026190</t>
  </si>
  <si>
    <t>2026-09-03T13:18:14.013186</t>
  </si>
  <si>
    <t>2026-09-03T13:18:13.996982</t>
  </si>
  <si>
    <t>2026-09-03T13:18:13.983097</t>
  </si>
  <si>
    <t>2026-09-03T13:18:13.961774</t>
  </si>
  <si>
    <t>2026-09-03T13:18:13.943591</t>
  </si>
  <si>
    <t>2026-09-03T13:18:13.921398</t>
  </si>
  <si>
    <t>2026-09-03T13:18:13.905043</t>
  </si>
  <si>
    <t>2026-09-03T13:18:13.886557</t>
  </si>
  <si>
    <t>2026-09-03T13:18:13.871306</t>
  </si>
  <si>
    <t>2026-09-03T13:18:13.850705</t>
  </si>
  <si>
    <t>2026-09-03T13:18:13.834779</t>
  </si>
  <si>
    <t>2026-09-03T13:18:13.809691</t>
  </si>
  <si>
    <t>2026-09-03T13:18:13.795197</t>
  </si>
  <si>
    <t>2026-09-03T13:18:13.773001</t>
  </si>
  <si>
    <t>2026-09-03T13:18:13.747977</t>
  </si>
  <si>
    <t>2026-09-03T13:18:13.724233</t>
  </si>
  <si>
    <t>2026-09-03T13:18:13.703635</t>
  </si>
  <si>
    <t>2026-09-03T13:18:13.677551</t>
  </si>
  <si>
    <t>2026-09-03T13:18:13.663877</t>
  </si>
  <si>
    <t>2026-09-03T13:18:13.649498</t>
  </si>
  <si>
    <t>2026-09-03T13:18:13.634577</t>
  </si>
  <si>
    <t>2026-09-03T13:18:13.622027</t>
  </si>
  <si>
    <t>2026-09-03T13:18:13.594658</t>
  </si>
  <si>
    <t>2026-09-03T13:18:13.584992</t>
  </si>
  <si>
    <t>2026-09-03T13:18:13.559356</t>
  </si>
  <si>
    <t>2026-09-03T13:18:13.546052</t>
  </si>
  <si>
    <t>2026-09-03T13:18:13.533433</t>
  </si>
  <si>
    <t>2026-09-03T13:18:13.509737</t>
  </si>
  <si>
    <t>2026-09-03T13:18:13.490250</t>
  </si>
  <si>
    <t>2026-09-03T13:18:13.469399</t>
  </si>
  <si>
    <t>2026-09-03T13:18:13.455472</t>
  </si>
  <si>
    <t>2026-09-03T13:18:13.432946</t>
  </si>
  <si>
    <t>2026-09-03T13:18:13.417690</t>
  </si>
  <si>
    <t>2026-09-03T13:18:13.360323</t>
  </si>
  <si>
    <t>2026-09-03T13:18:13.352415</t>
  </si>
  <si>
    <t>2026-09-03T13:18:13.325031</t>
  </si>
  <si>
    <t>2026-09-03T13:18:13.309473</t>
  </si>
  <si>
    <t>2026-09-03T13:18:13.290551</t>
  </si>
  <si>
    <t>2026-09-03T13:18:13.269418</t>
  </si>
  <si>
    <t>2026-09-03T13:18:13.246402</t>
  </si>
  <si>
    <t>2026-09-03T13:18:13.226496</t>
  </si>
  <si>
    <t>2026-09-03T13:18:13.211510</t>
  </si>
  <si>
    <t>2026-09-03T13:18:13.178075</t>
  </si>
  <si>
    <t>2026-09-03T13:18:13.163491</t>
  </si>
  <si>
    <t>2026-09-03T13:18:13.143910</t>
  </si>
  <si>
    <t>2026-09-03T13:18:13.131289</t>
  </si>
  <si>
    <t>2026-09-03T13:18:13.121822</t>
  </si>
  <si>
    <t>2026-09-03T13:18:13.104950</t>
  </si>
  <si>
    <t>2026-09-03T13:18:13.080966</t>
  </si>
  <si>
    <t>2026-09-03T13:18:13.046731</t>
  </si>
  <si>
    <t>2026-09-03T13:18:13.011530</t>
  </si>
  <si>
    <t>2026-09-03T13:18:12.964337</t>
  </si>
  <si>
    <t>2026-09-03T13:18:12.928993</t>
  </si>
  <si>
    <t>2026-09-03T13:18:12.874958</t>
  </si>
  <si>
    <t>2026-09-03T13:18:12.789926</t>
  </si>
  <si>
    <t>2026-09-03T13:18:12.687453</t>
  </si>
  <si>
    <t>2026-09-03T13:18:12.649438</t>
  </si>
  <si>
    <t>2026-09-03T13:18:12.608092</t>
  </si>
  <si>
    <t>2026-09-03T13:18:12.577548</t>
  </si>
  <si>
    <t>2026-09-03T13:18:12.546902</t>
  </si>
  <si>
    <t>2026-09-03T13:18:12.524594</t>
  </si>
  <si>
    <t>2026-09-03T13:18:12.513005</t>
  </si>
  <si>
    <t>2026-09-03T13:18:12.494010</t>
  </si>
  <si>
    <t>2026-09-03T13:18:12.477925</t>
  </si>
  <si>
    <t>2026-09-03T13:18:12.467588</t>
  </si>
  <si>
    <t>2026-09-03T13:18:12.455031</t>
  </si>
  <si>
    <t>2026-09-03T13:18:12.437812</t>
  </si>
  <si>
    <t>2026-09-03T13:18:12.420208</t>
  </si>
  <si>
    <t>2026-09-03T13:18:12.407123</t>
  </si>
  <si>
    <t>2026-09-03T13:18:12.391154</t>
  </si>
  <si>
    <t>2026-09-03T13:18:12.377677</t>
  </si>
  <si>
    <t>2026-09-03T13:18:12.365347</t>
  </si>
  <si>
    <t>2026-09-03T13:18:12.351778</t>
  </si>
  <si>
    <t>2026-09-03T13:18:12.338983</t>
  </si>
  <si>
    <t>2026-09-03T13:18:12.329718</t>
  </si>
  <si>
    <t>2026-09-03T13:18:12.317409</t>
  </si>
  <si>
    <t>2026-09-03T13:18:12.303655</t>
  </si>
  <si>
    <t>2026-09-03T13:18:12.294578</t>
  </si>
  <si>
    <t>2026-09-03T13:18:12.283377</t>
  </si>
  <si>
    <t>2026-09-03T13:18:12.269994</t>
  </si>
  <si>
    <t>2026-09-03T13:18:12.260219</t>
  </si>
  <si>
    <t>2026-09-03T13:18:12.242163</t>
  </si>
  <si>
    <t>2026-09-03T13:18:12.230971</t>
  </si>
  <si>
    <t>2026-09-03T13:18:12.216191</t>
  </si>
  <si>
    <t>2026-09-03T13:18:12.203234</t>
  </si>
  <si>
    <t>2026-09-03T13:18:12.191272</t>
  </si>
  <si>
    <t>2026-09-03T13:18:12.171216</t>
  </si>
  <si>
    <t>2026-09-03T13:18:12.157943</t>
  </si>
  <si>
    <t>2026-09-03T13:18:12.143491</t>
  </si>
  <si>
    <t>2026-09-03T13:18:12.130253</t>
  </si>
  <si>
    <t>2026-09-03T13:18:12.113650</t>
  </si>
  <si>
    <t>2026-09-03T13:18:12.096215</t>
  </si>
  <si>
    <t>2026-09-03T13:18:12.081622</t>
  </si>
  <si>
    <t>2026-09-03T13:18:12.067107</t>
  </si>
  <si>
    <t>2026-09-03T13:18:12.050566</t>
  </si>
  <si>
    <t>2026-09-03T13:18:12.036619</t>
  </si>
  <si>
    <t>2026-09-03T13:18:12.019729</t>
  </si>
  <si>
    <t>2026-09-03T13:18:11.996808</t>
  </si>
  <si>
    <t>2026-09-03T13:18:11.987591</t>
  </si>
  <si>
    <t>2026-09-03T13:18:11.969818</t>
  </si>
  <si>
    <t>2026-09-03T13:18:11.956253</t>
  </si>
  <si>
    <t>2026-09-03T13:18:11.938971</t>
  </si>
  <si>
    <t>2026-09-03T13:18:11.925841</t>
  </si>
  <si>
    <t>2026-09-03T13:18:11.908336</t>
  </si>
  <si>
    <t>2026-09-03T13:18:11.893028</t>
  </si>
  <si>
    <t>2026-09-03T13:18:11.873607</t>
  </si>
  <si>
    <t>2026-09-03T13:18:11.851907</t>
  </si>
  <si>
    <t>2026-09-03T13:18:11.837617</t>
  </si>
  <si>
    <t>2026-09-03T13:18:11.820869</t>
  </si>
  <si>
    <t>2026-09-03T13:18:11.804955</t>
  </si>
  <si>
    <t>2026-09-03T13:18:11.789010</t>
  </si>
  <si>
    <t>2026-09-03T13:18:11.767609</t>
  </si>
  <si>
    <t>2026-09-03T13:18:11.753248</t>
  </si>
  <si>
    <t>2026-09-03T13:18:11.730681</t>
  </si>
  <si>
    <t>2026-09-03T13:18:11.686889</t>
  </si>
  <si>
    <t>2026-09-03T13:18:11.650203</t>
  </si>
  <si>
    <t>2026-09-03T13:18:11.611500</t>
  </si>
  <si>
    <t>2026-09-03T13:18:11.585772</t>
  </si>
  <si>
    <t>2026-09-03T13:18:11.546553</t>
  </si>
  <si>
    <t>2026-09-03T13:18:11.516283</t>
  </si>
  <si>
    <t>2026-09-03T13:18:11.484931</t>
  </si>
  <si>
    <t>2026-09-03T13:18:11.471427</t>
  </si>
  <si>
    <t>2026-09-03T13:18:11.443066</t>
  </si>
  <si>
    <t>2026-09-03T13:18:11.421663</t>
  </si>
  <si>
    <t>2026-09-03T13:18:11.353068</t>
  </si>
  <si>
    <t>2026-09-03T13:18:11.324483</t>
  </si>
  <si>
    <t>2026-09-03T13:18:11.291052</t>
  </si>
  <si>
    <t>2026-09-03T13:18:11.271248</t>
  </si>
  <si>
    <t>2026-09-03T13:18:11.235697</t>
  </si>
  <si>
    <t>2026-09-03T13:18:11.193674</t>
  </si>
  <si>
    <t>2026-09-03T13:18:11.151317</t>
  </si>
  <si>
    <t>2026-09-03T13:18:11.110425</t>
  </si>
  <si>
    <t>2026-09-03T13:18:11.025764</t>
  </si>
  <si>
    <t>2026-09-03T13:18:10.984010</t>
  </si>
  <si>
    <t>2026-09-03T13:18:10.924003</t>
  </si>
  <si>
    <t>2026-09-03T13:18:10.839178</t>
  </si>
  <si>
    <t>2026-09-03T13:18:10.790182</t>
  </si>
  <si>
    <t>2026-09-03T13:18:10.762554</t>
  </si>
  <si>
    <t>2026-09-03T13:18:10.739302</t>
  </si>
  <si>
    <t>2026-09-03T13:18:10.711410</t>
  </si>
  <si>
    <t>2026-09-03T13:18:10.686514</t>
  </si>
  <si>
    <t>2026-09-03T13:18:10.664374</t>
  </si>
  <si>
    <t>2026-09-03T13:18:10.630458</t>
  </si>
  <si>
    <t>2026-09-03T13:18:10.597850</t>
  </si>
  <si>
    <t>2026-09-03T13:18:10.574992</t>
  </si>
  <si>
    <t>2026-09-03T13:18:10.544613</t>
  </si>
  <si>
    <t>2026-09-03T13:18:10.504235</t>
  </si>
  <si>
    <t>2026-09-03T13:18:10.478503</t>
  </si>
  <si>
    <t>2026-09-03T13:18:10.450638</t>
  </si>
  <si>
    <t>2026-09-03T13:18:10.415993</t>
  </si>
  <si>
    <t>2026-09-03T13:18:10.392975</t>
  </si>
  <si>
    <t>2026-09-03T13:18:10.360388</t>
  </si>
  <si>
    <t>2026-09-03T13:18:10.331943</t>
  </si>
  <si>
    <t>2026-09-03T13:18:10.300683</t>
  </si>
  <si>
    <t>2026-09-03T13:18:10.275737</t>
  </si>
  <si>
    <t>2026-09-03T13:18:10.242160</t>
  </si>
  <si>
    <t>2026-09-03T13:18:10.211287</t>
  </si>
  <si>
    <t>2026-09-03T13:18:10.186982</t>
  </si>
  <si>
    <t>2026-09-03T13:18:10.159339</t>
  </si>
  <si>
    <t>2026-09-03T13:18:10.137582</t>
  </si>
  <si>
    <t>2026-09-03T13:18:10.114614</t>
  </si>
  <si>
    <t>2026-09-03T13:18:10.101926</t>
  </si>
  <si>
    <t>2026-09-03T13:18:10.092713</t>
  </si>
  <si>
    <t>2026-09-03T13:18:10.081096</t>
  </si>
  <si>
    <t>2026-09-03T13:18:10.073231</t>
  </si>
  <si>
    <t>2026-09-03T13:18:10.058405</t>
  </si>
  <si>
    <t>2026-09-03T13:18:10.043442</t>
  </si>
  <si>
    <t>2026-09-03T13:18:10.031209</t>
  </si>
  <si>
    <t>2026-09-03T13:18:10.017492</t>
  </si>
  <si>
    <t>2026-09-03T13:18:10.004839</t>
  </si>
  <si>
    <t>2026-09-03T13:18:09.993004</t>
  </si>
  <si>
    <t>2026-09-03T13:18:09.983480</t>
  </si>
  <si>
    <t>2026-09-03T13:18:09.969305</t>
  </si>
  <si>
    <t>2026-09-03T13:18:09.955675</t>
  </si>
  <si>
    <t>2026-09-03T13:18:09.942710</t>
  </si>
  <si>
    <t>2026-09-03T13:18:09.932968</t>
  </si>
  <si>
    <t>2026-09-03T13:18:09.923338</t>
  </si>
  <si>
    <t>2026-09-03T13:18:09.914362</t>
  </si>
  <si>
    <t>2026-09-03T13:18:09.904904</t>
  </si>
  <si>
    <t>2026-09-03T13:18:09.892997</t>
  </si>
  <si>
    <t>2026-09-03T13:18:09.882856</t>
  </si>
  <si>
    <t>2026-09-03T13:18:09.870093</t>
  </si>
  <si>
    <t>2026-09-03T13:18:09.857748</t>
  </si>
  <si>
    <t>2026-09-03T13:18:09.843835</t>
  </si>
  <si>
    <t>2026-09-03T13:18:09.828824</t>
  </si>
  <si>
    <t>2026-09-03T13:18:09.816753</t>
  </si>
  <si>
    <t>2026-09-03T13:18:09.807148</t>
  </si>
  <si>
    <t>2026-09-03T13:18:09.795062</t>
  </si>
  <si>
    <t>2026-09-03T13:18:09.778460</t>
  </si>
  <si>
    <t>2026-09-03T13:18:09.761710</t>
  </si>
  <si>
    <t>2026-09-03T13:18:09.748129</t>
  </si>
  <si>
    <t>2026-09-03T13:18:09.738850</t>
  </si>
  <si>
    <t>2026-09-03T13:18:09.719983</t>
  </si>
  <si>
    <t>2026-09-03T13:18:09.705352</t>
  </si>
  <si>
    <t>2026-09-03T13:18:09.694108</t>
  </si>
  <si>
    <t>2026-09-03T13:18:09.683862</t>
  </si>
  <si>
    <t>2026-09-03T13:18:09.672384</t>
  </si>
  <si>
    <t>2026-09-03T13:18:09.650681</t>
  </si>
  <si>
    <t>2026-09-03T13:18:09.637112</t>
  </si>
  <si>
    <t>2026-09-03T13:18:09.622165</t>
  </si>
  <si>
    <t>2026-09-03T13:18:09.607899</t>
  </si>
  <si>
    <t>2026-09-03T13:18:09.587651</t>
  </si>
  <si>
    <t>2026-09-03T13:18:09.575145</t>
  </si>
  <si>
    <t>2026-09-03T13:18:09.560089</t>
  </si>
  <si>
    <t>2026-09-03T13:18:09.540988</t>
  </si>
  <si>
    <t>2026-09-03T13:18:09.520016</t>
  </si>
  <si>
    <t>2026-09-03T13:18:09.498293</t>
  </si>
  <si>
    <t>2026-09-03T13:18:09.478662</t>
  </si>
  <si>
    <t>2026-09-03T13:18:09.455572</t>
  </si>
  <si>
    <t>2026-09-03T13:18:09.434360</t>
  </si>
  <si>
    <t>2026-09-03T13:18:09.421822</t>
  </si>
  <si>
    <t>2026-09-03T13:18:09.404627</t>
  </si>
  <si>
    <t>2026-09-03T13:18:09.393395</t>
  </si>
  <si>
    <t>2026-09-03T13:18:09.371170</t>
  </si>
  <si>
    <t>2026-09-03T13:18:09.358607</t>
  </si>
  <si>
    <t>2026-09-03T13:18:09.343483</t>
  </si>
  <si>
    <t>2026-09-03T13:18:09.332093</t>
  </si>
  <si>
    <t>2026-09-03T13:18:09.321502</t>
  </si>
  <si>
    <t>2026-09-03T13:18:09.310254</t>
  </si>
  <si>
    <t>2026-09-03T13:18:09.296668</t>
  </si>
  <si>
    <t>2026-09-03T13:18:09.273898</t>
  </si>
  <si>
    <t>2026-09-03T13:18:09.248912</t>
  </si>
  <si>
    <t>2026-09-03T13:18:09.216931</t>
  </si>
  <si>
    <t>2026-09-03T13:18:09.175101</t>
  </si>
  <si>
    <t>2026-09-03T13:18:09.108857</t>
  </si>
  <si>
    <t>2026-09-03T13:18:09.095551</t>
  </si>
  <si>
    <t>2026-09-03T13:18:09.079608</t>
  </si>
  <si>
    <t>2026-09-03T13:18:09.061644</t>
  </si>
  <si>
    <t>2026-09-03T13:18:09.038411</t>
  </si>
  <si>
    <t>2026-09-03T13:18:09.021573</t>
  </si>
  <si>
    <t>2026-09-03T13:18:09.001114</t>
  </si>
  <si>
    <t>2026-09-03T13:18:08.990047</t>
  </si>
  <si>
    <t>2026-09-03T13:18:08.970606</t>
  </si>
  <si>
    <t>2026-09-03T13:18:08.954304</t>
  </si>
  <si>
    <t>2026-09-03T13:18:08.942905</t>
  </si>
  <si>
    <t>2026-09-03T13:18:08.930237</t>
  </si>
  <si>
    <t>2026-09-03T13:18:08.915227</t>
  </si>
  <si>
    <t>2026-09-03T13:18:08.899403</t>
  </si>
  <si>
    <t>2026-09-03T13:18:08.887772</t>
  </si>
  <si>
    <t>2026-09-03T13:18:08.875671</t>
  </si>
  <si>
    <t>2026-09-03T13:18:08.858472</t>
  </si>
  <si>
    <t>2026-09-03T13:18:08.844618</t>
  </si>
  <si>
    <t>2026-09-03T13:18:08.830534</t>
  </si>
  <si>
    <t>2026-09-03T13:18:08.821741</t>
  </si>
  <si>
    <t>2026-09-03T13:18:08.803875</t>
  </si>
  <si>
    <t>2026-09-03T13:18:08.768251</t>
  </si>
  <si>
    <t>2026-09-03T13:18:08.754919</t>
  </si>
  <si>
    <t>2026-09-03T13:18:08.740299</t>
  </si>
  <si>
    <t>2026-09-03T13:18:08.721080</t>
  </si>
  <si>
    <t>2026-09-03T13:18:08.705431</t>
  </si>
  <si>
    <t>2026-09-03T13:18:08.692470</t>
  </si>
  <si>
    <t>2026-09-03T13:18:08.680013</t>
  </si>
  <si>
    <t>2026-09-03T13:18:08.665110</t>
  </si>
  <si>
    <t>2026-09-03T13:18:08.651119</t>
  </si>
  <si>
    <t>2026-09-03T13:18:08.638481</t>
  </si>
  <si>
    <t>2026-09-03T13:18:08.629423</t>
  </si>
  <si>
    <t>2026-09-03T13:18:08.615085</t>
  </si>
  <si>
    <t>2026-09-03T13:18:08.601961</t>
  </si>
  <si>
    <t>2026-09-03T13:18:08.586882</t>
  </si>
  <si>
    <t>2026-09-03T13:18:08.572608</t>
  </si>
  <si>
    <t>2026-09-03T13:18:08.553384</t>
  </si>
  <si>
    <t>2026-09-03T13:18:08.538596</t>
  </si>
  <si>
    <t>2026-09-03T13:18:08.525734</t>
  </si>
  <si>
    <t>2026-09-03T13:18:08.509226</t>
  </si>
  <si>
    <t>2026-09-03T13:18:08.493732</t>
  </si>
  <si>
    <t>2026-09-03T13:18:08.477618</t>
  </si>
  <si>
    <t>2026-09-03T13:18:08.463618</t>
  </si>
  <si>
    <t>2026-09-03T13:18:08.456051</t>
  </si>
  <si>
    <t>2026-09-03T13:18:08.442134</t>
  </si>
  <si>
    <t>2026-09-03T13:18:08.426602</t>
  </si>
  <si>
    <t>2026-09-03T13:18:08.414142</t>
  </si>
  <si>
    <t>2026-09-03T13:18:08.402539</t>
  </si>
  <si>
    <t>2026-09-03T13:18:08.392515</t>
  </si>
  <si>
    <t>2026-09-03T13:18:08.379330</t>
  </si>
  <si>
    <t>2026-09-03T13:18:08.364102</t>
  </si>
  <si>
    <t>2026-09-03T13:18:08.349497</t>
  </si>
  <si>
    <t>2026-09-03T13:18:08.339343</t>
  </si>
  <si>
    <t>2026-09-03T13:18:08.327169</t>
  </si>
  <si>
    <t>2026-09-03T13:18:08.314649</t>
  </si>
  <si>
    <t>2026-09-03T13:18:08.298197</t>
  </si>
  <si>
    <t>2026-09-03T13:18:08.288149</t>
  </si>
  <si>
    <t>2026-09-03T13:18:08.275766</t>
  </si>
  <si>
    <t>2026-09-03T13:18:08.262935</t>
  </si>
  <si>
    <t>2026-09-03T13:18:08.252385</t>
  </si>
  <si>
    <t>2026-09-03T13:18:08.235305</t>
  </si>
  <si>
    <t>2026-09-03T13:18:08.221688</t>
  </si>
  <si>
    <t>2026-09-03T13:18:08.206237</t>
  </si>
  <si>
    <t>2026-09-03T13:18:08.186343</t>
  </si>
  <si>
    <t>2026-09-03T13:18:08.172994</t>
  </si>
  <si>
    <t>2026-09-03T13:18:08.145240</t>
  </si>
  <si>
    <t>2026-09-03T13:18:08.129229</t>
  </si>
  <si>
    <t>2026-09-03T13:18:08.113589</t>
  </si>
  <si>
    <t>2026-09-03T13:18:08.095923</t>
  </si>
  <si>
    <t>2026-09-03T13:18:08.081807</t>
  </si>
  <si>
    <t>2026-09-03T13:18:08.058954</t>
  </si>
  <si>
    <t>2026-09-03T13:18:08.033980</t>
  </si>
  <si>
    <t>2026-09-03T13:18:08.011928</t>
  </si>
  <si>
    <t>2026-09-03T13:18:07.991049</t>
  </si>
  <si>
    <t>2026-09-03T13:18:07.969316</t>
  </si>
  <si>
    <t>2026-09-03T13:18:07.949666</t>
  </si>
  <si>
    <t>2026-09-03T13:18:07.936681</t>
  </si>
  <si>
    <t>2026-09-03T13:18:07.915219</t>
  </si>
  <si>
    <t>2026-09-03T13:18:07.902245</t>
  </si>
  <si>
    <t>2026-09-03T13:18:07.888373</t>
  </si>
  <si>
    <t>2026-09-03T13:18:07.874242</t>
  </si>
  <si>
    <t>2026-09-03T13:18:07.862468</t>
  </si>
  <si>
    <t>2026-09-03T13:18:07.843877</t>
  </si>
  <si>
    <t>2026-09-03T13:18:07.823325</t>
  </si>
  <si>
    <t>2026-09-03T13:18:07.808160</t>
  </si>
  <si>
    <t>2026-09-03T13:18:07.796056</t>
  </si>
  <si>
    <t>2026-09-03T13:18:07.782245</t>
  </si>
  <si>
    <t>2026-09-03T13:18:07.766313</t>
  </si>
  <si>
    <t>2026-09-03T13:18:07.752880</t>
  </si>
  <si>
    <t>2026-09-03T13:18:07.733407</t>
  </si>
  <si>
    <t>2026-09-03T13:18:07.718626</t>
  </si>
  <si>
    <t>2026-09-03T13:18:07.709158</t>
  </si>
  <si>
    <t>2026-09-03T13:18:07.696699</t>
  </si>
  <si>
    <t>2026-09-03T13:18:07.680816</t>
  </si>
  <si>
    <t>2026-09-03T13:18:07.669442</t>
  </si>
  <si>
    <t>2026-09-03T13:18:07.657366</t>
  </si>
  <si>
    <t>2026-09-03T13:18:07.641414</t>
  </si>
  <si>
    <t>2026-09-03T13:18:07.629806</t>
  </si>
  <si>
    <t>2026-09-03T13:18:07.613579</t>
  </si>
  <si>
    <t>2026-09-03T13:18:07.602384</t>
  </si>
  <si>
    <t>2026-09-03T13:18:07.579753</t>
  </si>
  <si>
    <t>2026-09-03T13:18:07.566947</t>
  </si>
  <si>
    <t>2026-09-03T13:18:07.551546</t>
  </si>
  <si>
    <t>2026-09-03T13:18:07.539773</t>
  </si>
  <si>
    <t>2026-09-03T13:18:07.527247</t>
  </si>
  <si>
    <t>2026-09-03T13:18:07.518205</t>
  </si>
  <si>
    <t>2026-09-03T13:18:07.500146</t>
  </si>
  <si>
    <t>2026-09-03T13:18:07.488447</t>
  </si>
  <si>
    <t>2026-09-03T13:18:07.470951</t>
  </si>
  <si>
    <t>2026-09-03T13:18:07.457110</t>
  </si>
  <si>
    <t>2026-09-03T13:18:07.440535</t>
  </si>
  <si>
    <t>2026-09-03T13:18:07.427194</t>
  </si>
  <si>
    <t>2026-09-03T13:18:07.410849</t>
  </si>
  <si>
    <t>2026-09-03T13:18:07.395205</t>
  </si>
  <si>
    <t>2026-09-03T13:18:07.382042</t>
  </si>
  <si>
    <t>2026-09-03T13:18:07.364241</t>
  </si>
  <si>
    <t>2026-09-03T13:18:07.353316</t>
  </si>
  <si>
    <t>2026-09-03T13:18:07.338361</t>
  </si>
  <si>
    <t>2026-09-03T13:18:07.322450</t>
  </si>
  <si>
    <t>2026-09-03T13:18:07.304531</t>
  </si>
  <si>
    <t>2026-09-03T13:18:07.289715</t>
  </si>
  <si>
    <t>2026-09-03T13:18:07.268425</t>
  </si>
  <si>
    <t>2026-09-03T13:18:07.252136</t>
  </si>
  <si>
    <t>2026-09-03T13:18:07.229018</t>
  </si>
  <si>
    <t>2026-09-03T13:18:07.213066</t>
  </si>
  <si>
    <t>2026-09-03T13:18:07.196937</t>
  </si>
  <si>
    <t>2026-09-03T13:18:07.171866</t>
  </si>
  <si>
    <t>2026-09-03T13:18:07.151567</t>
  </si>
  <si>
    <t>2026-09-03T13:18:07.130872</t>
  </si>
  <si>
    <t>2026-09-03T13:18:07.115004</t>
  </si>
  <si>
    <t>2026-09-03T13:18:07.097843</t>
  </si>
  <si>
    <t>2026-09-03T13:18:07.083066</t>
  </si>
  <si>
    <t>2026-09-03T13:18:07.067728</t>
  </si>
  <si>
    <t>2026-09-03T13:18:07.052693</t>
  </si>
  <si>
    <t>2026-09-03T13:18:07.037965</t>
  </si>
  <si>
    <t>2026-09-03T13:18:07.020860</t>
  </si>
  <si>
    <t>2026-09-03T13:18:07.006388</t>
  </si>
  <si>
    <t>2026-09-03T13:18:06.983473</t>
  </si>
  <si>
    <t>2026-09-03T13:18:06.969825</t>
  </si>
  <si>
    <t>2026-09-03T13:18:06.949957</t>
  </si>
  <si>
    <t>2026-09-03T13:18:06.934181</t>
  </si>
  <si>
    <t>2026-09-03T13:18:06.921878</t>
  </si>
  <si>
    <t>2026-09-03T13:18:06.909559</t>
  </si>
  <si>
    <t>2026-09-03T13:18:06.898163</t>
  </si>
  <si>
    <t>2026-09-03T13:18:06.881579</t>
  </si>
  <si>
    <t>2026-09-03T13:18:06.864588</t>
  </si>
  <si>
    <t>2026-09-03T13:18:06.844698</t>
  </si>
  <si>
    <t>2026-09-03T13:18:06.828778</t>
  </si>
  <si>
    <t>2026-09-03T13:18:06.804507</t>
  </si>
  <si>
    <t>2026-09-03T13:18:06.793655</t>
  </si>
  <si>
    <t>2026-09-03T13:18:06.777925</t>
  </si>
  <si>
    <t>2026-09-03T13:18:06.764231</t>
  </si>
  <si>
    <t>2026-09-03T13:18:06.754417</t>
  </si>
  <si>
    <t>2026-09-03T13:18:06.731461</t>
  </si>
  <si>
    <t>2026-09-03T13:18:06.710311</t>
  </si>
  <si>
    <t>2026-09-03T13:18:06.692879</t>
  </si>
  <si>
    <t>2026-09-03T13:18:06.674568</t>
  </si>
  <si>
    <t>2026-09-03T13:18:06.661504</t>
  </si>
  <si>
    <t>2026-09-03T13:18:06.642831</t>
  </si>
  <si>
    <t>2026-09-03T13:18:06.628838</t>
  </si>
  <si>
    <t>2026-09-03T13:18:06.611208</t>
  </si>
  <si>
    <t>2026-09-03T13:18:06.598286</t>
  </si>
  <si>
    <t>2026-09-03T13:18:06.583216</t>
  </si>
  <si>
    <t>2026-09-03T13:18:06.558962</t>
  </si>
  <si>
    <t>2026-09-03T13:18:06.526611</t>
  </si>
  <si>
    <t>2026-09-03T13:18:06.506042</t>
  </si>
  <si>
    <t>2026-09-03T13:18:06.460776</t>
  </si>
  <si>
    <t>2026-09-03T13:18:06.437965</t>
  </si>
  <si>
    <t>2026-09-03T13:18:06.422788</t>
  </si>
  <si>
    <t>2026-09-03T13:18:06.405881</t>
  </si>
  <si>
    <t>2026-09-03T13:18:06.379401</t>
  </si>
  <si>
    <t>2026-09-03T13:18:06.360639</t>
  </si>
  <si>
    <t>2026-09-03T13:18:06.347078</t>
  </si>
  <si>
    <t>2026-09-03T13:18:06.337729</t>
  </si>
  <si>
    <t>2026-09-03T13:18:06.318974</t>
  </si>
  <si>
    <t>2026-09-03T13:18:06.304642</t>
  </si>
  <si>
    <t>2026-09-03T13:18:06.293751</t>
  </si>
  <si>
    <t>2026-09-03T13:18:06.279240</t>
  </si>
  <si>
    <t>2026-09-03T13:18:06.268435</t>
  </si>
  <si>
    <t>2026-09-03T13:18:06.253883</t>
  </si>
  <si>
    <t>2026-09-03T13:18:06.241318</t>
  </si>
  <si>
    <t>2026-09-03T13:18:06.227316</t>
  </si>
  <si>
    <t>2026-09-03T13:18:06.219175</t>
  </si>
  <si>
    <t>2026-09-03T13:18:06.206015</t>
  </si>
  <si>
    <t>2026-09-03T13:18:06.193614</t>
  </si>
  <si>
    <t>2026-09-03T13:18:06.177386</t>
  </si>
  <si>
    <t>2026-09-03T13:18:06.163685</t>
  </si>
  <si>
    <t>2026-09-03T13:18:06.150509</t>
  </si>
  <si>
    <t>2026-09-03T13:18:06.134075</t>
  </si>
  <si>
    <t>2026-09-03T13:18:06.118609</t>
  </si>
  <si>
    <t>2026-09-03T13:18:06.102981</t>
  </si>
  <si>
    <t>2026-09-03T13:18:06.086181</t>
  </si>
  <si>
    <t>2026-09-03T13:18:06.074204</t>
  </si>
  <si>
    <t>2026-09-03T13:18:06.047816</t>
  </si>
  <si>
    <t>2026-09-03T13:18:06.013406</t>
  </si>
  <si>
    <t>2026-09-03T13:18:05.992846</t>
  </si>
  <si>
    <t>2026-09-03T13:18:05.981355</t>
  </si>
  <si>
    <t>2026-09-03T13:18:05.963178</t>
  </si>
  <si>
    <t>2026-09-03T13:18:05.944203</t>
  </si>
  <si>
    <t>2026-09-03T13:18:05.929749</t>
  </si>
  <si>
    <t>2026-09-03T13:18:05.916118</t>
  </si>
  <si>
    <t>2026-09-03T13:18:05.902917</t>
  </si>
  <si>
    <t>2026-09-03T13:18:05.890411</t>
  </si>
  <si>
    <t>2026-09-03T13:18:05.880483</t>
  </si>
  <si>
    <t>2026-09-03T13:18:05.862376</t>
  </si>
  <si>
    <t>2026-09-03T13:18:05.851788</t>
  </si>
  <si>
    <t>2026-09-03T13:18:05.833048</t>
  </si>
  <si>
    <t>2026-09-03T13:18:05.818933</t>
  </si>
  <si>
    <t>2026-09-03T13:18:05.798858</t>
  </si>
  <si>
    <t>2026-09-03T13:18:05.776118</t>
  </si>
  <si>
    <t>2026-09-03T13:18:05.759872</t>
  </si>
  <si>
    <t>2026-09-03T13:18:05.741775</t>
  </si>
  <si>
    <t>2026-09-03T13:18:05.728964</t>
  </si>
  <si>
    <t>2026-09-03T13:18:05.718758</t>
  </si>
  <si>
    <t>2026-09-03T13:18:05.691509</t>
  </si>
  <si>
    <t>2026-09-03T13:18:05.670335</t>
  </si>
  <si>
    <t>2026-09-03T13:18:05.655618</t>
  </si>
  <si>
    <t>2026-09-03T13:18:05.635293</t>
  </si>
  <si>
    <t>2026-09-03T13:18:05.602524</t>
  </si>
  <si>
    <t>2026-09-03T13:18:05.583651</t>
  </si>
  <si>
    <t>2026-09-03T13:18:05.557037</t>
  </si>
  <si>
    <t>2026-09-03T13:18:05.539511</t>
  </si>
  <si>
    <t>2026-09-03T13:18:05.519572</t>
  </si>
  <si>
    <t>2026-09-03T13:18:05.491214</t>
  </si>
  <si>
    <t>2026-09-03T13:18:05.473619</t>
  </si>
  <si>
    <t>2026-09-03T13:18:05.444085</t>
  </si>
  <si>
    <t>2026-09-03T13:18:05.427635</t>
  </si>
  <si>
    <t>2026-09-03T13:18:05.407525</t>
  </si>
  <si>
    <t>2026-09-03T13:18:05.377870</t>
  </si>
  <si>
    <t>2026-09-03T13:18:05.359234</t>
  </si>
  <si>
    <t>2026-09-03T13:18:05.343468</t>
  </si>
  <si>
    <t>2026-09-03T13:18:05.330898</t>
  </si>
  <si>
    <t>2026-09-03T13:18:05.316111</t>
  </si>
  <si>
    <t>2026-09-03T13:18:05.298599</t>
  </si>
  <si>
    <t>2026-09-03T13:18:05.287090</t>
  </si>
  <si>
    <t>2026-09-03T13:18:05.270994</t>
  </si>
  <si>
    <t>2026-09-03T13:18:05.262153</t>
  </si>
  <si>
    <t>2026-09-03T13:18:05.246950</t>
  </si>
  <si>
    <t>2026-09-03T13:18:05.235056</t>
  </si>
  <si>
    <t>2026-09-03T13:18:05.224722</t>
  </si>
  <si>
    <t>2026-09-03T13:18:05.207883</t>
  </si>
  <si>
    <t>2026-09-03T13:18:05.192672</t>
  </si>
  <si>
    <t>2026-09-03T13:18:05.172454</t>
  </si>
  <si>
    <t>2026-09-03T13:18:05.151182</t>
  </si>
  <si>
    <t>2026-09-03T13:18:05.129918</t>
  </si>
  <si>
    <t>2026-09-03T13:18:05.101776</t>
  </si>
  <si>
    <t>2026-09-03T13:18:05.090208</t>
  </si>
  <si>
    <t>2026-09-03T13:18:05.066471</t>
  </si>
  <si>
    <t>2026-09-03T13:18:05.040642</t>
  </si>
  <si>
    <t>2026-09-03T13:18:05.024799</t>
  </si>
  <si>
    <t>2026-09-03T13:18:05.004045</t>
  </si>
  <si>
    <t>2026-09-03T13:18:04.985457</t>
  </si>
  <si>
    <t>2026-09-03T13:18:04.969452</t>
  </si>
  <si>
    <t>2026-09-03T13:18:04.944036</t>
  </si>
  <si>
    <t>2026-09-03T13:18:04.920274</t>
  </si>
  <si>
    <t>2026-09-03T13:18:04.885998</t>
  </si>
  <si>
    <t>2026-09-03T13:18:04.853420</t>
  </si>
  <si>
    <t>2026-09-03T13:18:04.839421</t>
  </si>
  <si>
    <t>2026-09-03T13:18:04.821741</t>
  </si>
  <si>
    <t>2026-09-03T13:18:04.812356</t>
  </si>
  <si>
    <t>2026-09-03T13:18:04.798872</t>
  </si>
  <si>
    <t>2026-09-03T13:18:04.780259</t>
  </si>
  <si>
    <t>2026-09-03T13:18:04.775545</t>
  </si>
  <si>
    <t>2026-09-03T13:18:04.761626</t>
  </si>
  <si>
    <t>2026-09-03T13:18:04.747986</t>
  </si>
  <si>
    <t>2026-09-03T13:18:04.738321</t>
  </si>
  <si>
    <t>2026-09-03T13:18:04.722644</t>
  </si>
  <si>
    <t>2026-09-03T13:18:04.710353</t>
  </si>
  <si>
    <t>2026-09-03T13:18:04.696468</t>
  </si>
  <si>
    <t>2026-09-03T13:18:04.669266</t>
  </si>
  <si>
    <t>2026-09-03T13:18:04.652363</t>
  </si>
  <si>
    <t>2026-09-03T13:18:04.638791</t>
  </si>
  <si>
    <t>2026-09-03T13:18:04.618114</t>
  </si>
  <si>
    <t>2026-09-03T13:18:04.589105</t>
  </si>
  <si>
    <t>2026-09-03T13:18:04.580234</t>
  </si>
  <si>
    <t>2026-09-03T13:18:04.568838</t>
  </si>
  <si>
    <t>2026-09-03T13:18:04.558944</t>
  </si>
  <si>
    <t>2026-09-03T13:18:04.543101</t>
  </si>
  <si>
    <t>2026-09-03T13:18:04.525720</t>
  </si>
  <si>
    <t>2026-09-03T13:18:04.507077</t>
  </si>
  <si>
    <t>2026-09-03T13:18:04.492377</t>
  </si>
  <si>
    <t>2026-09-03T13:18:04.483448</t>
  </si>
  <si>
    <t>2026-09-03T13:18:04.471299</t>
  </si>
  <si>
    <t>2026-09-03T13:18:04.457882</t>
  </si>
  <si>
    <t>2026-09-03T13:18:04.448126</t>
  </si>
  <si>
    <t>2026-09-03T13:18:04.439512</t>
  </si>
  <si>
    <t>2026-09-03T13:18:04.429108</t>
  </si>
  <si>
    <t>2026-09-03T13:18:04.414169</t>
  </si>
  <si>
    <t>2026-09-03T13:18:04.394699</t>
  </si>
  <si>
    <t>2026-09-03T13:18:04.360427</t>
  </si>
  <si>
    <t>2026-09-03T13:18:04.324597</t>
  </si>
  <si>
    <t>2026-09-03T13:18:04.288782</t>
  </si>
  <si>
    <t>2026-09-03T13:18:04.266414</t>
  </si>
  <si>
    <t>2026-09-03T13:18:04.255013</t>
  </si>
  <si>
    <t>2026-09-03T13:18:04.238236</t>
  </si>
  <si>
    <t>2026-09-03T13:18:04.227623</t>
  </si>
  <si>
    <t>2026-09-03T13:18:04.194862</t>
  </si>
  <si>
    <t>2026-09-03T13:18:04.180697</t>
  </si>
  <si>
    <t>2026-09-03T13:18:04.148124</t>
  </si>
  <si>
    <t>2026-09-03T13:18:04.123983</t>
  </si>
  <si>
    <t>2026-09-03T13:18:04.091857</t>
  </si>
  <si>
    <t>2026-09-03T13:18:04.068019</t>
  </si>
  <si>
    <t>2026-09-03T13:18:04.054184</t>
  </si>
  <si>
    <t>2026-09-03T13:18:04.031889</t>
  </si>
  <si>
    <t>2026-09-03T13:18:04.013142</t>
  </si>
  <si>
    <t>2026-09-03T13:18:03.986323</t>
  </si>
  <si>
    <t>2026-09-03T13:18:03.970365</t>
  </si>
  <si>
    <t>2026-09-03T13:18:03.951145</t>
  </si>
  <si>
    <t>2026-09-03T13:18:03.934082</t>
  </si>
  <si>
    <t>2026-09-03T13:18:03.916187</t>
  </si>
  <si>
    <t>2026-09-03T13:18:03.895276</t>
  </si>
  <si>
    <t>2026-09-03T13:18:03.874717</t>
  </si>
  <si>
    <t>2026-09-03T13:18:03.840688</t>
  </si>
  <si>
    <t>2026-09-03T13:18:03.815537</t>
  </si>
  <si>
    <t>2026-09-03T13:18:03.802147</t>
  </si>
  <si>
    <t>2026-09-03T13:18:03.774723</t>
  </si>
  <si>
    <t>2026-09-03T13:18:03.749936</t>
  </si>
  <si>
    <t>2026-09-03T13:18:03.727851</t>
  </si>
  <si>
    <t>2026-09-03T13:18:03.709035</t>
  </si>
  <si>
    <t>2026-09-03T13:18:03.686660</t>
  </si>
  <si>
    <t>2026-09-03T13:18:03.672281</t>
  </si>
  <si>
    <t>2026-09-03T13:18:03.657652</t>
  </si>
  <si>
    <t>2026-09-03T13:18:03.635930</t>
  </si>
  <si>
    <t>2026-09-03T13:18:03.614378</t>
  </si>
  <si>
    <t>2026-09-03T13:18:03.586585</t>
  </si>
  <si>
    <t>2026-09-03T13:18:03.568704</t>
  </si>
  <si>
    <t>2026-09-03T13:18:03.542587</t>
  </si>
  <si>
    <t>2026-09-03T13:18:03.525465</t>
  </si>
  <si>
    <t>2026-09-03T13:18:03.505919</t>
  </si>
  <si>
    <t>2026-09-03T13:18:03.484478</t>
  </si>
  <si>
    <t>2026-09-03T13:18:03.469096</t>
  </si>
  <si>
    <t>2026-09-03T13:18:03.443208</t>
  </si>
  <si>
    <t>2026-09-03T13:18:03.425420</t>
  </si>
  <si>
    <t>2026-09-03T13:18:03.401680</t>
  </si>
  <si>
    <t>2026-09-03T13:18:03.378090</t>
  </si>
  <si>
    <t>2026-09-03T13:18:03.359579</t>
  </si>
  <si>
    <t>2026-09-03T13:18:03.330032</t>
  </si>
  <si>
    <t>2026-09-03T13:18:03.308454</t>
  </si>
  <si>
    <t>2026-09-03T13:18:03.291176</t>
  </si>
  <si>
    <t>2026-09-03T13:18:03.263397</t>
  </si>
  <si>
    <t>2026-09-03T13:18:03.243768</t>
  </si>
  <si>
    <t>2026-09-03T13:18:03.229459</t>
  </si>
  <si>
    <t>2026-09-03T13:18:03.205390</t>
  </si>
  <si>
    <t>2026-09-03T13:18:03.183369</t>
  </si>
  <si>
    <t>2026-09-03T13:18:03.158673</t>
  </si>
  <si>
    <t>2026-09-03T13:18:03.132327</t>
  </si>
  <si>
    <t>2026-09-03T13:18:03.110677</t>
  </si>
  <si>
    <t>2026-09-03T13:18:03.089983</t>
  </si>
  <si>
    <t>2026-09-03T13:18:03.034472</t>
  </si>
  <si>
    <t>2026-09-03T13:18:03.010956</t>
  </si>
  <si>
    <t>2026-09-03T13:18:02.992996</t>
  </si>
  <si>
    <t>2026-09-03T13:18:02.970294</t>
  </si>
  <si>
    <t>2026-09-03T13:18:02.956162</t>
  </si>
  <si>
    <t>2026-09-03T13:18:02.928782</t>
  </si>
  <si>
    <t>2026-09-03T13:18:02.909146</t>
  </si>
  <si>
    <t>2026-09-03T13:18:02.888761</t>
  </si>
  <si>
    <t>2026-09-03T13:18:02.870456</t>
  </si>
  <si>
    <t>2026-09-03T13:18:02.858862</t>
  </si>
  <si>
    <t>2026-09-03T13:18:02.844170</t>
  </si>
  <si>
    <t>2026-09-03T13:18:02.825125</t>
  </si>
  <si>
    <t>2026-09-03T13:18:02.801832</t>
  </si>
  <si>
    <t>2026-09-03T13:18:02.784700</t>
  </si>
  <si>
    <t>2026-09-03T13:18:02.760631</t>
  </si>
  <si>
    <t>2026-09-03T13:18:02.742057</t>
  </si>
  <si>
    <t>2026-09-03T13:18:02.721779</t>
  </si>
  <si>
    <t>2026-09-03T13:18:02.702568</t>
  </si>
  <si>
    <t>2026-09-03T13:18:02.681180</t>
  </si>
  <si>
    <t>2026-09-03T13:18:02.658421</t>
  </si>
  <si>
    <t>2026-09-03T13:18:02.632206</t>
  </si>
  <si>
    <t>2026-09-03T13:18:02.603284</t>
  </si>
  <si>
    <t>2026-09-03T13:18:02.575185</t>
  </si>
  <si>
    <t>2026-09-03T13:18:02.534922</t>
  </si>
  <si>
    <t>2026-09-03T13:18:02.511284</t>
  </si>
  <si>
    <t>2026-09-03T13:18:02.497801</t>
  </si>
  <si>
    <t>2026-09-03T13:18:02.478469</t>
  </si>
  <si>
    <t>2026-09-03T13:18:02.464540</t>
  </si>
  <si>
    <t>2026-09-03T13:18:02.440820</t>
  </si>
  <si>
    <t>2026-09-03T13:18:02.421092</t>
  </si>
  <si>
    <t>2026-09-03T13:18:02.406020</t>
  </si>
  <si>
    <t>2026-09-03T13:18:02.385860</t>
  </si>
  <si>
    <t>2026-09-03T13:18:02.362553</t>
  </si>
  <si>
    <t>2026-09-03T13:18:02.338570</t>
  </si>
  <si>
    <t>2026-09-03T13:18:02.311655</t>
  </si>
  <si>
    <t>2026-09-03T13:18:02.288965</t>
  </si>
  <si>
    <t>2026-09-03T13:18:02.265910</t>
  </si>
  <si>
    <t>2026-09-03T13:18:02.234300</t>
  </si>
  <si>
    <t>2026-09-03T13:18:02.213194</t>
  </si>
  <si>
    <t>2026-09-03T13:18:02.182838</t>
  </si>
  <si>
    <t>2026-09-03T13:18:02.156026</t>
  </si>
  <si>
    <t>2026-09-03T13:18:02.128320</t>
  </si>
  <si>
    <t>2026-09-03T13:18:02.101800</t>
  </si>
  <si>
    <t>2026-09-03T13:18:02.074563</t>
  </si>
  <si>
    <t>2026-09-03T13:18:02.035891</t>
  </si>
  <si>
    <t>2026-09-03T13:18:02.000820</t>
  </si>
  <si>
    <t>2026-09-03T13:18:01.963105</t>
  </si>
  <si>
    <t>2026-09-03T13:18:01.936705</t>
  </si>
  <si>
    <t>2026-09-03T13:18:01.896882</t>
  </si>
  <si>
    <t>2026-09-03T13:18:01.865370</t>
  </si>
  <si>
    <t>2026-09-03T13:18:01.832423</t>
  </si>
  <si>
    <t>2026-09-03T13:18:01.789063</t>
  </si>
  <si>
    <t>2026-09-03T13:18:01.765701</t>
  </si>
  <si>
    <t>2026-09-03T13:18:01.736650</t>
  </si>
  <si>
    <t>2026-09-03T13:18:01.725849</t>
  </si>
  <si>
    <t>2026-09-03T13:18:01.698855</t>
  </si>
  <si>
    <t>2026-09-03T13:18:01.683779</t>
  </si>
  <si>
    <t>2026-09-03T13:18:01.667363</t>
  </si>
  <si>
    <t>2026-09-03T13:18:01.655891</t>
  </si>
  <si>
    <t>2026-09-03T13:18:01.635408</t>
  </si>
  <si>
    <t>2026-09-03T13:18:01.617308</t>
  </si>
  <si>
    <t>2026-09-03T13:18:01.596504</t>
  </si>
  <si>
    <t>2026-09-03T13:18:01.577414</t>
  </si>
  <si>
    <t>2026-09-03T13:18:01.549893</t>
  </si>
  <si>
    <t>2026-09-03T13:18:01.524602</t>
  </si>
  <si>
    <t>2026-09-03T13:18:01.499123</t>
  </si>
  <si>
    <t>2026-09-03T13:18:01.482813</t>
  </si>
  <si>
    <t>2026-09-03T13:18:01.468272</t>
  </si>
  <si>
    <t>2026-09-03T13:18:01.446166</t>
  </si>
  <si>
    <t>2026-09-03T13:18:01.423309</t>
  </si>
  <si>
    <t>2026-09-03T13:18:01.412083</t>
  </si>
  <si>
    <t>2026-09-03T13:18:01.394848</t>
  </si>
  <si>
    <t>2026-09-03T13:18:01.378365</t>
  </si>
  <si>
    <t>2026-09-03T13:18:01.350486</t>
  </si>
  <si>
    <t>2026-09-03T13:18:01.323526</t>
  </si>
  <si>
    <t>2026-09-03T13:18:01.302619</t>
  </si>
  <si>
    <t>2026-09-03T13:18:01.264064</t>
  </si>
  <si>
    <t>2026-09-03T13:18:01.243031</t>
  </si>
  <si>
    <t>2026-09-03T13:18:01.222191</t>
  </si>
  <si>
    <t>2026-09-03T13:18:01.204773</t>
  </si>
  <si>
    <t>2026-09-03T13:18:01.184213</t>
  </si>
  <si>
    <t>2026-09-03T13:18:01.160475</t>
  </si>
  <si>
    <t>2026-09-03T13:18:01.144619</t>
  </si>
  <si>
    <t>2026-09-03T13:18:01.124585</t>
  </si>
  <si>
    <t>2026-09-03T13:18:01.104682</t>
  </si>
  <si>
    <t>2026-09-03T13:18:01.075692</t>
  </si>
  <si>
    <t>2026-09-03T13:18:01.043626</t>
  </si>
  <si>
    <t>2026-09-03T13:18:01.021199</t>
  </si>
  <si>
    <t>2026-09-03T13:18:00.996753</t>
  </si>
  <si>
    <t>2026-09-03T13:18:00.984155</t>
  </si>
  <si>
    <t>2026-09-03T13:18:00.968128</t>
  </si>
  <si>
    <t>2026-09-03T13:18:00.951323</t>
  </si>
  <si>
    <t>2026-09-03T13:18:00.935769</t>
  </si>
  <si>
    <t>2026-09-03T13:18:00.919967</t>
  </si>
  <si>
    <t>2026-09-03T13:18:00.907262</t>
  </si>
  <si>
    <t>2026-09-03T13:18:00.887333</t>
  </si>
  <si>
    <t>2026-09-03T13:18:00.869861</t>
  </si>
  <si>
    <t>2026-09-03T13:18:00.850658</t>
  </si>
  <si>
    <t>2026-09-03T13:18:00.831872</t>
  </si>
  <si>
    <t>2026-09-03T13:18:00.813557</t>
  </si>
  <si>
    <t>2026-09-03T13:18:00.792784</t>
  </si>
  <si>
    <t>2026-09-03T13:18:00.762287</t>
  </si>
  <si>
    <t>2026-09-03T13:18:00.745440</t>
  </si>
  <si>
    <t>2026-09-03T13:18:00.730156</t>
  </si>
  <si>
    <t>2026-09-03T13:18:00.718312</t>
  </si>
  <si>
    <t>2026-09-03T13:18:00.704727</t>
  </si>
  <si>
    <t>2026-09-03T13:18:00.683663</t>
  </si>
  <si>
    <t>2026-09-03T13:18:00.670907</t>
  </si>
  <si>
    <t>2026-09-03T13:18:00.650188</t>
  </si>
  <si>
    <t>2026-09-03T13:18:00.627002</t>
  </si>
  <si>
    <t>2026-09-03T13:18:00.604653</t>
  </si>
  <si>
    <t>2026-09-03T13:18:00.581414</t>
  </si>
  <si>
    <t>2026-09-03T13:18:00.555344</t>
  </si>
  <si>
    <t>2026-09-03T13:18:00.524686</t>
  </si>
  <si>
    <t>2026-09-03T13:18:00.491275</t>
  </si>
  <si>
    <t>2026-09-03T13:18:00.470823</t>
  </si>
  <si>
    <t>2026-09-03T13:18:00.449937</t>
  </si>
  <si>
    <t>2026-09-03T13:18:00.421879</t>
  </si>
  <si>
    <t>2026-09-03T13:18:00.403228</t>
  </si>
  <si>
    <t>2026-09-03T13:18:00.386754</t>
  </si>
  <si>
    <t>2026-09-03T13:18:00.364691</t>
  </si>
  <si>
    <t>2026-09-03T13:18:00.346349</t>
  </si>
  <si>
    <t>2026-09-03T13:18:00.321569</t>
  </si>
  <si>
    <t>2026-09-03T13:18:00.302530</t>
  </si>
  <si>
    <t>2026-09-03T13:18:00.267742</t>
  </si>
  <si>
    <t>2026-09-03T13:18:00.239645</t>
  </si>
  <si>
    <t>2026-09-03T13:18:00.222501</t>
  </si>
  <si>
    <t>2026-09-03T13:18:00.206482</t>
  </si>
  <si>
    <t>2026-09-03T13:18:00.193013</t>
  </si>
  <si>
    <t>2026-09-03T13:18:00.176338</t>
  </si>
  <si>
    <t>2026-09-03T13:18:00.149778</t>
  </si>
  <si>
    <t>2026-09-03T13:18:00.121623</t>
  </si>
  <si>
    <t>2026-09-03T13:18:00.095194</t>
  </si>
  <si>
    <t>2026-09-03T13:18:00.075718</t>
  </si>
  <si>
    <t>2026-09-03T13:18:00.054235</t>
  </si>
  <si>
    <t>2026-09-03T13:18:00.029331</t>
  </si>
  <si>
    <t>2026-09-03T13:17:59.998782</t>
  </si>
  <si>
    <t>2026-09-03T13:17:59.976372</t>
  </si>
  <si>
    <t>2026-09-03T13:17:59.969987</t>
  </si>
  <si>
    <t>2026-09-03T13:17:59.956565</t>
  </si>
  <si>
    <t>2026-09-03T13:17:59.948783</t>
  </si>
  <si>
    <t>2026-09-03T13:17:59.934457</t>
  </si>
  <si>
    <t>2026-09-03T13:17:59.921474</t>
  </si>
  <si>
    <t>2026-09-03T13:17:59.906777</t>
  </si>
  <si>
    <t>2026-09-03T13:17:59.896367</t>
  </si>
  <si>
    <t>2026-09-03T13:17:59.885069</t>
  </si>
  <si>
    <t>2026-09-03T13:17:59.871985</t>
  </si>
  <si>
    <t>2026-09-03T13:17:59.858625</t>
  </si>
  <si>
    <t>2026-09-03T13:17:59.847511</t>
  </si>
  <si>
    <t>2026-09-03T13:17:59.833540</t>
  </si>
  <si>
    <t>2026-09-03T13:17:59.821363</t>
  </si>
  <si>
    <t>2026-09-03T13:17:59.809650</t>
  </si>
  <si>
    <t>2026-09-03T13:17:59.795388</t>
  </si>
  <si>
    <t>2026-09-03T13:17:59.780662</t>
  </si>
  <si>
    <t>2026-09-03T13:17:59.761981</t>
  </si>
  <si>
    <t>2026-09-03T13:17:59.742015</t>
  </si>
  <si>
    <t>2026-09-03T13:17:59.726865</t>
  </si>
  <si>
    <t>2026-09-03T13:17:59.718309</t>
  </si>
  <si>
    <t>2026-09-03T13:17:59.705593</t>
  </si>
  <si>
    <t>2026-09-03T13:17:59.694460</t>
  </si>
  <si>
    <t>2026-09-03T13:17:59.680364</t>
  </si>
  <si>
    <t>2026-09-03T13:17:59.663380</t>
  </si>
  <si>
    <t>2026-09-03T13:17:59.650994</t>
  </si>
  <si>
    <t>2026-09-03T13:17:59.634688</t>
  </si>
  <si>
    <t>2026-09-03T13:17:59.611447</t>
  </si>
  <si>
    <t>2026-09-03T13:17:59.542247</t>
  </si>
  <si>
    <t>2026-09-03T13:17:59.424911</t>
  </si>
  <si>
    <t>2026-09-03T13:17:59.372299</t>
  </si>
  <si>
    <t>2026-09-03T13:17:59.325627</t>
  </si>
  <si>
    <t>2026-09-03T13:17:59.311004</t>
  </si>
  <si>
    <t>2026-09-03T13:17:59.290376</t>
  </si>
  <si>
    <t>2026-09-03T13:17:59.269821</t>
  </si>
  <si>
    <t>2026-09-03T13:17:59.247234</t>
  </si>
  <si>
    <t>2026-09-03T13:17:59.230523</t>
  </si>
  <si>
    <t>2026-09-03T13:17:59.208401</t>
  </si>
  <si>
    <t>2026-09-03T13:17:59.194506</t>
  </si>
  <si>
    <t>2026-09-03T13:17:59.178525</t>
  </si>
  <si>
    <t>2026-09-03T13:17:59.168606</t>
  </si>
  <si>
    <t>2026-09-03T13:17:59.158006</t>
  </si>
  <si>
    <t>2026-09-03T13:17:59.144265</t>
  </si>
  <si>
    <t>2026-09-03T13:17:59.129795</t>
  </si>
  <si>
    <t>2026-09-03T13:17:59.118722</t>
  </si>
  <si>
    <t>2026-09-03T13:17:59.104446</t>
  </si>
  <si>
    <t>2026-09-03T13:17:59.093616</t>
  </si>
  <si>
    <t>2026-09-03T13:17:59.074766</t>
  </si>
  <si>
    <t>2026-09-03T13:17:59.061940</t>
  </si>
  <si>
    <t>2026-09-03T13:17:59.046521</t>
  </si>
  <si>
    <t>2026-09-03T13:17:59.030684</t>
  </si>
  <si>
    <t>2026-09-03T13:17:59.012268</t>
  </si>
  <si>
    <t>2026-09-03T13:17:58.996667</t>
  </si>
  <si>
    <t>2026-09-03T13:17:58.983673</t>
  </si>
  <si>
    <t>2026-09-03T13:17:58.964998</t>
  </si>
  <si>
    <t>2026-09-03T13:17:58.949111</t>
  </si>
  <si>
    <t>2026-09-03T13:17:58.935249</t>
  </si>
  <si>
    <t>2026-09-03T13:17:58.919792</t>
  </si>
  <si>
    <t>2026-09-03T13:17:58.908537</t>
  </si>
  <si>
    <t>2026-09-03T13:17:58.889524</t>
  </si>
  <si>
    <t>2026-09-03T13:17:58.877674</t>
  </si>
  <si>
    <t>2026-09-03T13:17:58.865914</t>
  </si>
  <si>
    <t>2026-09-03T13:17:58.846367</t>
  </si>
  <si>
    <t>2026-09-03T13:17:58.830896</t>
  </si>
  <si>
    <t>2026-09-03T13:17:58.817435</t>
  </si>
  <si>
    <t>2026-09-03T13:17:58.796407</t>
  </si>
  <si>
    <t>2026-09-03T13:17:58.777628</t>
  </si>
  <si>
    <t>2026-09-03T13:17:58.760986</t>
  </si>
  <si>
    <t>2026-09-03T13:17:58.740848</t>
  </si>
  <si>
    <t>2026-09-03T13:17:58.722904</t>
  </si>
  <si>
    <t>2026-09-03T13:17:58.701646</t>
  </si>
  <si>
    <t>2026-09-03T13:17:58.674586</t>
  </si>
  <si>
    <t>2026-09-03T13:17:58.656073</t>
  </si>
  <si>
    <t>2026-09-03T13:17:58.631242</t>
  </si>
  <si>
    <t>2026-09-03T13:17:58.607859</t>
  </si>
  <si>
    <t>2026-09-03T13:17:58.580857</t>
  </si>
  <si>
    <t>2026-09-03T13:17:58.549606</t>
  </si>
  <si>
    <t>2026-09-03T13:17:58.498949</t>
  </si>
  <si>
    <t>2026-09-03T13:17:58.476103</t>
  </si>
  <si>
    <t>2026-09-03T13:17:58.463419</t>
  </si>
  <si>
    <t>2026-09-03T13:17:58.436245</t>
  </si>
  <si>
    <t>2026-09-03T13:17:58.414975</t>
  </si>
  <si>
    <t>2026-09-03T13:17:58.391122</t>
  </si>
  <si>
    <t>2026-09-03T13:17:58.380733</t>
  </si>
  <si>
    <t>2026-09-03T13:17:58.354431</t>
  </si>
  <si>
    <t>2026-09-03T13:17:58.335890</t>
  </si>
  <si>
    <t>2026-09-03T13:17:58.312343</t>
  </si>
  <si>
    <t>2026-09-03T13:17:58.290336</t>
  </si>
  <si>
    <t>2026-09-03T13:17:58.278175</t>
  </si>
  <si>
    <t>2026-09-03T13:17:58.260956</t>
  </si>
  <si>
    <t>2026-09-03T13:17:58.237927</t>
  </si>
  <si>
    <t>2026-09-03T13:17:58.222905</t>
  </si>
  <si>
    <t>2026-09-03T13:17:58.198274</t>
  </si>
  <si>
    <t>2026-09-03T13:17:58.174207</t>
  </si>
  <si>
    <t>2026-09-03T13:17:58.153004</t>
  </si>
  <si>
    <t>2026-09-03T13:17:58.131988</t>
  </si>
  <si>
    <t>2026-09-03T13:17:58.112025</t>
  </si>
  <si>
    <t>2026-09-03T13:17:58.087161</t>
  </si>
  <si>
    <t>2026-09-03T13:17:58.071072</t>
  </si>
  <si>
    <t>2026-09-03T13:17:58.055795</t>
  </si>
  <si>
    <t>2026-09-03T13:17:58.042243</t>
  </si>
  <si>
    <t>2026-09-03T13:17:58.030530</t>
  </si>
  <si>
    <t>2026-09-03T13:17:58.005955</t>
  </si>
  <si>
    <t>2026-09-03T13:17:57.982834</t>
  </si>
  <si>
    <t>2026-09-03T13:17:57.963182</t>
  </si>
  <si>
    <t>2026-09-03T13:17:57.942932</t>
  </si>
  <si>
    <t>2026-09-03T13:17:57.917933</t>
  </si>
  <si>
    <t>2026-09-03T13:17:57.900402</t>
  </si>
  <si>
    <t>2026-09-03T13:17:57.887391</t>
  </si>
  <si>
    <t>2026-09-03T13:17:57.869070</t>
  </si>
  <si>
    <t>2026-09-03T13:17:57.857239</t>
  </si>
  <si>
    <t>2026-09-03T13:17:57.839578</t>
  </si>
  <si>
    <t>2026-09-03T13:17:57.815040</t>
  </si>
  <si>
    <t>2026-09-03T13:17:57.795134</t>
  </si>
  <si>
    <t>2026-09-03T13:17:57.777997</t>
  </si>
  <si>
    <t>2026-09-03T13:17:57.764330</t>
  </si>
  <si>
    <t>2026-09-03T13:17:57.741245</t>
  </si>
  <si>
    <t>2026-09-03T13:17:57.723057</t>
  </si>
  <si>
    <t>2026-09-03T13:17:57.697919</t>
  </si>
  <si>
    <t>2026-09-03T13:17:57.667238</t>
  </si>
  <si>
    <t>2026-09-03T13:17:57.623899</t>
  </si>
  <si>
    <t>2026-09-03T13:17:57.608297</t>
  </si>
  <si>
    <t>2026-09-03T13:17:57.588828</t>
  </si>
  <si>
    <t>2026-09-03T13:17:57.521997</t>
  </si>
  <si>
    <t>2026-09-03T13:17:57.414842</t>
  </si>
  <si>
    <t>2026-09-03T13:17:57.327923</t>
  </si>
  <si>
    <t>2026-09-03T13:17:57.284662</t>
  </si>
  <si>
    <t>2026-09-03T13:17:57.236043</t>
  </si>
  <si>
    <t>2026-09-03T13:17:57.221704</t>
  </si>
  <si>
    <t>2026-09-03T13:17:57.204966</t>
  </si>
  <si>
    <t>2026-09-03T13:17:57.191651</t>
  </si>
  <si>
    <t>2026-09-03T13:17:57.173925</t>
  </si>
  <si>
    <t>2026-09-03T13:17:57.153697</t>
  </si>
  <si>
    <t>2026-09-03T13:17:57.138354</t>
  </si>
  <si>
    <t>2026-09-03T13:17:57.113652</t>
  </si>
  <si>
    <t>2026-09-03T13:17:57.089348</t>
  </si>
  <si>
    <t>2026-09-03T13:17:57.063397</t>
  </si>
  <si>
    <t>2026-09-03T13:17:57.047665</t>
  </si>
  <si>
    <t>2026-09-03T13:17:57.031838</t>
  </si>
  <si>
    <t>2026-09-03T13:17:57.006855</t>
  </si>
  <si>
    <t>2026-09-03T13:17:56.987055</t>
  </si>
  <si>
    <t>2026-09-03T13:17:56.965373</t>
  </si>
  <si>
    <t>2026-09-03T13:17:56.945207</t>
  </si>
  <si>
    <t>2026-09-03T13:17:56.922360</t>
  </si>
  <si>
    <t>2026-09-03T13:17:56.897006</t>
  </si>
  <si>
    <t>2026-09-03T13:17:56.866786</t>
  </si>
  <si>
    <t>2026-09-03T13:17:56.848474</t>
  </si>
  <si>
    <t>2026-09-03T13:17:56.822045</t>
  </si>
  <si>
    <t>2026-09-03T13:17:56.805783</t>
  </si>
  <si>
    <t>2026-09-03T13:17:56.791032</t>
  </si>
  <si>
    <t>2026-09-03T13:17:56.764621</t>
  </si>
  <si>
    <t>2026-09-03T13:17:56.745006</t>
  </si>
  <si>
    <t>2026-09-03T13:17:56.726502</t>
  </si>
  <si>
    <t>2026-09-03T13:17:56.702802</t>
  </si>
  <si>
    <t>2026-09-03T13:17:56.687840</t>
  </si>
  <si>
    <t>2026-09-03T13:17:56.677384</t>
  </si>
  <si>
    <t>2026-09-03T13:17:56.658441</t>
  </si>
  <si>
    <t>2026-09-03T13:17:56.632637</t>
  </si>
  <si>
    <t>2026-09-03T13:17:56.611115</t>
  </si>
  <si>
    <t>2026-09-03T13:17:56.590409</t>
  </si>
  <si>
    <t>2026-09-03T13:17:56.570679</t>
  </si>
  <si>
    <t>2026-09-03T13:17:56.555615</t>
  </si>
  <si>
    <t>2026-09-03T13:17:56.538768</t>
  </si>
  <si>
    <t>2026-09-03T13:17:56.526430</t>
  </si>
  <si>
    <t>2026-09-03T13:17:56.510970</t>
  </si>
  <si>
    <t>2026-09-03T13:17:56.482489</t>
  </si>
  <si>
    <t>2026-09-03T13:17:56.476763</t>
  </si>
  <si>
    <t>2026-09-03T13:17:56.455765</t>
  </si>
  <si>
    <t>2026-09-03T13:17:56.436721</t>
  </si>
  <si>
    <t>2026-09-03T13:17:56.408152</t>
  </si>
  <si>
    <t>2026-09-03T13:17:56.389787</t>
  </si>
  <si>
    <t>2026-09-03T13:17:56.361560</t>
  </si>
  <si>
    <t>2026-09-03T13:17:56.344399</t>
  </si>
  <si>
    <t>2026-09-03T13:17:56.319835</t>
  </si>
  <si>
    <t>2026-09-03T13:17:56.306397</t>
  </si>
  <si>
    <t>2026-09-03T13:17:56.287579</t>
  </si>
  <si>
    <t>2026-09-03T13:17:56.272850</t>
  </si>
  <si>
    <t>2026-09-03T13:17:56.239462</t>
  </si>
  <si>
    <t>2026-09-03T13:17:56.228354</t>
  </si>
  <si>
    <t>2026-09-03T13:17:56.208323</t>
  </si>
  <si>
    <t>2026-09-03T13:17:56.183042</t>
  </si>
  <si>
    <t>2026-09-03T13:17:56.166026</t>
  </si>
  <si>
    <t>2026-09-03T13:17:56.146019</t>
  </si>
  <si>
    <t>2026-09-03T13:17:56.126201</t>
  </si>
  <si>
    <t>2026-09-03T13:17:56.103007</t>
  </si>
  <si>
    <t>2026-09-03T13:17:56.077948</t>
  </si>
  <si>
    <t>2026-09-03T13:17:56.055651</t>
  </si>
  <si>
    <t>2026-09-03T13:17:56.034555</t>
  </si>
  <si>
    <t>2026-09-03T13:17:56.015114</t>
  </si>
  <si>
    <t>2026-09-03T13:17:55.986924</t>
  </si>
  <si>
    <t>2026-09-03T13:17:55.963863</t>
  </si>
  <si>
    <t>2026-09-03T13:17:55.950118</t>
  </si>
  <si>
    <t>2026-09-03T13:17:55.930525</t>
  </si>
  <si>
    <t>2026-09-03T13:17:55.916834</t>
  </si>
  <si>
    <t>2026-09-03T13:17:55.889441</t>
  </si>
  <si>
    <t>2026-09-03T13:17:55.851090</t>
  </si>
  <si>
    <t>2026-09-03T13:17:55.824098</t>
  </si>
  <si>
    <t>2026-09-03T13:17:55.793014</t>
  </si>
  <si>
    <t>2026-09-03T13:17:55.758827</t>
  </si>
  <si>
    <t>2026-09-03T13:17:55.723451</t>
  </si>
  <si>
    <t>2026-09-03T13:17:55.688736</t>
  </si>
  <si>
    <t>2026-09-03T13:17:55.662370</t>
  </si>
  <si>
    <t>2026-09-03T13:17:55.640256</t>
  </si>
  <si>
    <t>2026-09-03T13:17:55.596428</t>
  </si>
  <si>
    <t>2026-09-03T13:17:55.567017</t>
  </si>
  <si>
    <t>2026-09-03T13:17:55.544906</t>
  </si>
  <si>
    <t>2026-09-03T13:17:55.504106</t>
  </si>
  <si>
    <t>2026-09-03T13:17:55.467784</t>
  </si>
  <si>
    <t>2026-09-03T13:17:55.435676</t>
  </si>
  <si>
    <t>2026-09-03T13:17:55.408567</t>
  </si>
  <si>
    <t>2026-09-03T13:17:55.375581</t>
  </si>
  <si>
    <t>2026-09-03T13:17:55.348658</t>
  </si>
  <si>
    <t>2026-09-03T13:17:55.328732</t>
  </si>
  <si>
    <t>2026-09-03T13:17:55.290904</t>
  </si>
  <si>
    <t>2026-09-03T13:17:55.263660</t>
  </si>
  <si>
    <t>2026-09-03T13:17:55.236070</t>
  </si>
  <si>
    <t>2026-09-03T13:17:55.222127</t>
  </si>
  <si>
    <t>2026-09-03T13:17:55.206655</t>
  </si>
  <si>
    <t>2026-09-03T13:17:55.181702</t>
  </si>
  <si>
    <t>2026-09-03T13:17:55.163893</t>
  </si>
  <si>
    <t>2026-09-03T13:17:55.139802</t>
  </si>
  <si>
    <t>2026-09-03T13:17:55.117571</t>
  </si>
  <si>
    <t>2026-09-03T13:17:55.093664</t>
  </si>
  <si>
    <t>2026-09-03T13:17:55.055408</t>
  </si>
  <si>
    <t>2026-09-03T13:17:55.004073</t>
  </si>
  <si>
    <t>2026-09-03T13:17:54.970357</t>
  </si>
  <si>
    <t>2026-09-03T13:17:54.946500</t>
  </si>
  <si>
    <t>2026-09-03T13:17:54.924477</t>
  </si>
  <si>
    <t>2026-09-03T13:17:54.902135</t>
  </si>
  <si>
    <t>2026-09-03T13:17:54.883498</t>
  </si>
  <si>
    <t>2026-09-03T13:17:54.864241</t>
  </si>
  <si>
    <t>2026-09-03T13:17:54.839843</t>
  </si>
  <si>
    <t>2026-09-03T13:17:54.818882</t>
  </si>
  <si>
    <t>2026-09-03T13:17:54.805794</t>
  </si>
  <si>
    <t>2026-09-03T13:17:54.789956</t>
  </si>
  <si>
    <t>2026-09-03T13:17:54.774514</t>
  </si>
  <si>
    <t>2026-09-03T13:17:54.743218</t>
  </si>
  <si>
    <t>2026-09-03T13:17:54.720440</t>
  </si>
  <si>
    <t>2026-09-03T13:17:54.702526</t>
  </si>
  <si>
    <t>2026-09-03T13:17:54.686914</t>
  </si>
  <si>
    <t>2026-09-03T13:17:54.653664</t>
  </si>
  <si>
    <t>2026-09-03T13:17:54.618852</t>
  </si>
  <si>
    <t>2026-09-03T13:17:54.580276</t>
  </si>
  <si>
    <t>2026-09-03T13:17:54.548608</t>
  </si>
  <si>
    <t>2026-09-03T13:17:54.502866</t>
  </si>
  <si>
    <t>2026-09-03T13:17:54.479636</t>
  </si>
  <si>
    <t>2026-09-03T13:17:54.443560</t>
  </si>
  <si>
    <t>2026-09-03T13:17:54.423762</t>
  </si>
  <si>
    <t>2026-09-03T13:17:54.402690</t>
  </si>
  <si>
    <t>2026-09-03T13:17:54.375490</t>
  </si>
  <si>
    <t>2026-09-03T13:17:54.354237</t>
  </si>
  <si>
    <t>2026-09-03T13:17:54.326558</t>
  </si>
  <si>
    <t>2026-09-03T13:17:54.270711</t>
  </si>
  <si>
    <t>2026-09-03T13:17:54.239647</t>
  </si>
  <si>
    <t>2026-09-03T13:17:54.210203</t>
  </si>
  <si>
    <t>2026-09-03T13:17:54.187162</t>
  </si>
  <si>
    <t>2026-09-03T13:17:54.167365</t>
  </si>
  <si>
    <t>2026-09-03T13:17:54.145548</t>
  </si>
  <si>
    <t>2026-09-03T13:17:54.132655</t>
  </si>
  <si>
    <t>2026-09-03T13:17:54.104786</t>
  </si>
  <si>
    <t>2026-09-03T13:17:54.087896</t>
  </si>
  <si>
    <t>2026-09-03T13:17:54.075654</t>
  </si>
  <si>
    <t>2026-09-03T13:17:54.062186</t>
  </si>
  <si>
    <t>2026-09-03T13:17:54.050312</t>
  </si>
  <si>
    <t>2026-09-03T13:17:54.039741</t>
  </si>
  <si>
    <t>2026-09-03T13:17:54.027486</t>
  </si>
  <si>
    <t>2026-09-03T13:17:54.013408</t>
  </si>
  <si>
    <t>2026-09-03T13:17:53.999796</t>
  </si>
  <si>
    <t>2026-09-03T13:17:53.986039</t>
  </si>
  <si>
    <t>2026-09-03T13:17:53.972539</t>
  </si>
  <si>
    <t>2026-09-03T13:17:53.956935</t>
  </si>
  <si>
    <t>2026-09-03T13:17:53.937282</t>
  </si>
  <si>
    <t>2026-09-03T13:17:53.923282</t>
  </si>
  <si>
    <t>2026-09-03T13:17:53.913667</t>
  </si>
  <si>
    <t>2026-09-03T13:17:53.899870</t>
  </si>
  <si>
    <t>2026-09-03T13:17:53.881202</t>
  </si>
  <si>
    <t>2026-09-03T13:17:53.862838</t>
  </si>
  <si>
    <t>2026-09-03T13:17:53.846368</t>
  </si>
  <si>
    <t>2026-09-03T13:17:53.822403</t>
  </si>
  <si>
    <t>2026-09-03T13:17:53.790929</t>
  </si>
  <si>
    <t>2026-09-03T13:17:53.734517</t>
  </si>
  <si>
    <t>2026-09-03T13:17:53.709456</t>
  </si>
  <si>
    <t>2026-09-03T13:17:53.680375</t>
  </si>
  <si>
    <t>2026-09-03T13:17:53.666412</t>
  </si>
  <si>
    <t>2026-09-03T13:17:53.639243</t>
  </si>
  <si>
    <t>2026-09-03T13:17:53.623120</t>
  </si>
  <si>
    <t>2026-09-03T13:17:53.606336</t>
  </si>
  <si>
    <t>2026-09-03T13:17:53.594093</t>
  </si>
  <si>
    <t>2026-09-03T13:17:53.573136</t>
  </si>
  <si>
    <t>2026-09-03T13:17:53.558306</t>
  </si>
  <si>
    <t>2026-09-03T13:17:53.542963</t>
  </si>
  <si>
    <t>2026-09-03T13:17:53.526691</t>
  </si>
  <si>
    <t>2026-09-03T13:17:53.506398</t>
  </si>
  <si>
    <t>2026-09-03T13:17:53.479698</t>
  </si>
  <si>
    <t>2026-09-03T13:17:53.455603</t>
  </si>
  <si>
    <t>2026-09-03T13:17:53.423246</t>
  </si>
  <si>
    <t>2026-09-03T13:17:53.405735</t>
  </si>
  <si>
    <t>2026-09-03T13:17:53.393545</t>
  </si>
  <si>
    <t>2026-09-03T13:17:53.367933</t>
  </si>
  <si>
    <t>2026-09-03T13:17:53.347880</t>
  </si>
  <si>
    <t>2026-09-03T13:17:53.332977</t>
  </si>
  <si>
    <t>2026-09-03T13:17:53.316991</t>
  </si>
  <si>
    <t>2026-09-03T13:17:53.298433</t>
  </si>
  <si>
    <t>2026-09-03T13:17:53.283808</t>
  </si>
  <si>
    <t>2026-09-03T13:17:53.269482</t>
  </si>
  <si>
    <t>2026-09-03T13:17:53.251575</t>
  </si>
  <si>
    <t>2026-09-03T13:17:53.229951</t>
  </si>
  <si>
    <t>2026-09-03T13:17:53.215717</t>
  </si>
  <si>
    <t>2026-09-03T13:17:53.193334</t>
  </si>
  <si>
    <t>2026-09-03T13:17:53.173814</t>
  </si>
  <si>
    <t>2026-09-03T13:17:53.151724</t>
  </si>
  <si>
    <t>2026-09-03T13:17:53.130792</t>
  </si>
  <si>
    <t>2026-09-03T13:17:53.110590</t>
  </si>
  <si>
    <t>2026-09-03T13:17:53.093073</t>
  </si>
  <si>
    <t>2026-09-03T13:17:53.078868</t>
  </si>
  <si>
    <t>2026-09-03T13:17:53.068268</t>
  </si>
  <si>
    <t>2026-09-03T13:17:53.051603</t>
  </si>
  <si>
    <t>2026-09-03T13:17:53.035328</t>
  </si>
  <si>
    <t>2026-09-03T13:17:53.021365</t>
  </si>
  <si>
    <t>2026-09-03T13:17:52.971906</t>
  </si>
  <si>
    <t>2026-09-03T13:17:52.944462</t>
  </si>
  <si>
    <t>2026-09-03T13:17:52.920146</t>
  </si>
  <si>
    <t>2026-09-03T13:17:52.898163</t>
  </si>
  <si>
    <t>2026-09-03T13:17:52.875698</t>
  </si>
  <si>
    <t>2026-09-03T13:17:52.860854</t>
  </si>
  <si>
    <t>2026-09-03T13:17:52.826768</t>
  </si>
  <si>
    <t>2026-09-03T13:17:52.805522</t>
  </si>
  <si>
    <t>2026-09-03T13:17:52.778407</t>
  </si>
  <si>
    <t>2026-09-03T13:17:52.762381</t>
  </si>
  <si>
    <t>2026-09-03T13:17:52.723115</t>
  </si>
  <si>
    <t>2026-09-03T13:17:52.699311</t>
  </si>
  <si>
    <t>2026-09-03T13:17:52.667626</t>
  </si>
  <si>
    <t>2026-09-03T13:17:43.911484</t>
  </si>
  <si>
    <t>2026-09-03T13:17:43.887317</t>
  </si>
  <si>
    <t>2026-09-03T13:17:43.864081</t>
  </si>
  <si>
    <t>2026-09-03T13:17:43.847909</t>
  </si>
  <si>
    <t>2026-09-03T13:17:43.831364</t>
  </si>
  <si>
    <t>2026-09-03T13:17:43.794577</t>
  </si>
  <si>
    <t>2026-09-03T13:17:43.777813</t>
  </si>
  <si>
    <t>2026-09-03T13:17:43.759314</t>
  </si>
  <si>
    <t>2026-09-03T13:17:43.732054</t>
  </si>
  <si>
    <t>2026-09-03T13:17:43.704548</t>
  </si>
  <si>
    <t>2026-09-03T13:17:43.676158</t>
  </si>
  <si>
    <t>2026-09-03T13:17:43.656729</t>
  </si>
  <si>
    <t>2026-09-03T13:17:43.615292</t>
  </si>
  <si>
    <t>2026-09-03T13:17:43.584161</t>
  </si>
  <si>
    <t>2026-09-03T13:17:43.546202</t>
  </si>
  <si>
    <t>2026-09-03T13:17:43.496127</t>
  </si>
  <si>
    <t>2026-09-03T13:17:43.462779</t>
  </si>
  <si>
    <t>2026-09-03T13:17:43.403398</t>
  </si>
  <si>
    <t>2026-09-03T13:17:43.354843</t>
  </si>
  <si>
    <t>2026-09-03T13:17:43.322377</t>
  </si>
  <si>
    <t>2026-09-03T13:17:43.252722</t>
  </si>
  <si>
    <t>2026-09-03T13:17:43.219817</t>
  </si>
  <si>
    <t>2026-09-03T13:17:43.180773</t>
  </si>
  <si>
    <t>2026-09-03T13:17:43.154789</t>
  </si>
  <si>
    <t>2026-09-03T13:17:43.132643</t>
  </si>
  <si>
    <t>2026-09-03T13:17:43.119716</t>
  </si>
  <si>
    <t>2026-09-03T13:17:43.097387</t>
  </si>
  <si>
    <t>2026-09-03T13:17:43.071542</t>
  </si>
  <si>
    <t>2026-09-03T13:17:43.057853</t>
  </si>
  <si>
    <t>2026-09-03T13:17:43.037795</t>
  </si>
  <si>
    <t>2026-09-03T13:17:43.019660</t>
  </si>
  <si>
    <t>2026-09-03T13:17:43.001637</t>
  </si>
  <si>
    <t>2026-09-03T13:17:42.980434</t>
  </si>
  <si>
    <t>2026-09-03T13:17:42.961550</t>
  </si>
  <si>
    <t>2026-09-03T13:17:42.933566</t>
  </si>
  <si>
    <t>2026-09-03T13:17:42.905670</t>
  </si>
  <si>
    <t>2026-09-03T13:17:42.878073</t>
  </si>
  <si>
    <t>2026-09-03T13:17:42.843877</t>
  </si>
  <si>
    <t>2026-09-03T13:17:42.822211</t>
  </si>
  <si>
    <t>2026-09-03T13:17:42.784436</t>
  </si>
  <si>
    <t>2026-09-03T13:17:42.765614</t>
  </si>
  <si>
    <t>2026-09-03T13:17:42.738637</t>
  </si>
  <si>
    <t>2026-09-03T13:17:42.674757</t>
  </si>
  <si>
    <t>2026-09-03T13:17:42.655350</t>
  </si>
  <si>
    <t>2026-09-03T13:17:42.620329</t>
  </si>
  <si>
    <t>2026-09-03T13:17:42.559000</t>
  </si>
  <si>
    <t>2026-09-03T13:17:42.528653</t>
  </si>
  <si>
    <t>2026-09-03T13:17:42.502718</t>
  </si>
  <si>
    <t>2026-09-03T13:17:42.447555</t>
  </si>
  <si>
    <t>2026-09-03T13:17:42.392861</t>
  </si>
  <si>
    <t>2026-09-03T13:17:42.349577</t>
  </si>
  <si>
    <t>2026-09-03T13:17:42.313327</t>
  </si>
  <si>
    <t>2026-09-03T13:17:42.260321</t>
  </si>
  <si>
    <t>2026-09-03T13:17:42.218275</t>
  </si>
  <si>
    <t>2026-09-03T13:17:42.180915</t>
  </si>
  <si>
    <t>2026-09-03T13:17:42.153441</t>
  </si>
  <si>
    <t>2026-09-03T13:17:42.123729</t>
  </si>
  <si>
    <t>2026-09-03T13:17:42.100256</t>
  </si>
  <si>
    <t>2026-09-03T13:17:42.070333</t>
  </si>
  <si>
    <t>2026-09-03T13:17:42.043343</t>
  </si>
  <si>
    <t>2026-09-03T13:17:42.019915</t>
  </si>
  <si>
    <t>2026-09-03T13:17:41.999798</t>
  </si>
  <si>
    <t>2026-09-03T13:17:41.989251</t>
  </si>
  <si>
    <t>2026-09-03T13:17:41.966903</t>
  </si>
  <si>
    <t>2026-09-03T13:17:41.934030</t>
  </si>
  <si>
    <t>2026-09-03T13:17:41.918356</t>
  </si>
  <si>
    <t>2026-09-03T13:17:41.891864</t>
  </si>
  <si>
    <t>2026-09-03T13:17:41.861502</t>
  </si>
  <si>
    <t>2026-09-03T13:17:41.839352</t>
  </si>
  <si>
    <t>2026-09-03T13:17:41.808386</t>
  </si>
  <si>
    <t>2026-09-03T13:17:41.769189</t>
  </si>
  <si>
    <t>2026-09-03T13:17:41.749962</t>
  </si>
  <si>
    <t>2026-09-03T13:17:41.730703</t>
  </si>
  <si>
    <t>2026-09-03T13:17:41.709324</t>
  </si>
  <si>
    <t>2026-09-03T13:17:41.689404</t>
  </si>
  <si>
    <t>2026-09-03T13:17:41.659631</t>
  </si>
  <si>
    <t>2026-09-03T13:17:41.640759</t>
  </si>
  <si>
    <t>2026-09-03T13:17:41.576812</t>
  </si>
  <si>
    <t>2026-09-03T13:17:41.543511</t>
  </si>
  <si>
    <t>2026-09-03T13:17:41.481438</t>
  </si>
  <si>
    <t>2026-09-03T13:17:41.426620</t>
  </si>
  <si>
    <t>2026-09-03T13:17:41.371771</t>
  </si>
  <si>
    <t>2026-09-03T13:17:41.224111</t>
  </si>
  <si>
    <t>2026-09-03T13:17:41.172875</t>
  </si>
  <si>
    <t>2026-09-03T13:17:41.154892</t>
  </si>
  <si>
    <t>2026-09-03T13:17:41.126589</t>
  </si>
  <si>
    <t>2026-09-03T13:17:41.104040</t>
  </si>
  <si>
    <t>2026-09-03T13:17:41.072495</t>
  </si>
  <si>
    <t>2026-09-03T13:17:41.044573</t>
  </si>
  <si>
    <t>2026-09-03T13:17:41.016670</t>
  </si>
  <si>
    <t>2026-09-03T13:17:40.964568</t>
  </si>
  <si>
    <t>2026-09-03T13:17:40.920473</t>
  </si>
  <si>
    <t>2026-09-03T13:17:40.891829</t>
  </si>
  <si>
    <t>2026-09-03T13:17:40.873337</t>
  </si>
  <si>
    <t>2026-09-03T13:17:40.848019</t>
  </si>
  <si>
    <t>2026-09-03T13:17:40.818777</t>
  </si>
  <si>
    <t>2026-09-03T13:17:40.793546</t>
  </si>
  <si>
    <t>2026-09-03T13:17:40.773863</t>
  </si>
  <si>
    <t>2026-09-03T13:17:40.736586</t>
  </si>
  <si>
    <t>2026-09-03T13:17:40.685334</t>
  </si>
  <si>
    <t>2026-09-03T13:17:40.622786</t>
  </si>
  <si>
    <t>2026-09-03T13:17:40.589123</t>
  </si>
  <si>
    <t>2026-09-03T13:17:40.562073</t>
  </si>
  <si>
    <t>2026-09-03T13:17:40.541215</t>
  </si>
  <si>
    <t>2026-09-03T13:17:40.511714</t>
  </si>
  <si>
    <t>2026-09-03T13:17:40.496624</t>
  </si>
  <si>
    <t>2026-09-03T13:17:40.478040</t>
  </si>
  <si>
    <t>2026-09-03T13:17:40.452342</t>
  </si>
  <si>
    <t>2026-09-03T13:17:40.434280</t>
  </si>
  <si>
    <t>2026-09-03T13:17:40.404441</t>
  </si>
  <si>
    <t>2026-09-03T13:17:40.370984</t>
  </si>
  <si>
    <t>2026-09-03T13:17:40.343895</t>
  </si>
  <si>
    <t>2026-09-03T13:17:40.329355</t>
  </si>
  <si>
    <t>2026-09-03T13:17:40.318877</t>
  </si>
  <si>
    <t>2026-09-03T13:17:40.309643</t>
  </si>
  <si>
    <t>2026-09-03T13:17:40.291974</t>
  </si>
  <si>
    <t>2026-09-03T13:17:40.267596</t>
  </si>
  <si>
    <t>2026-09-03T13:17:40.242693</t>
  </si>
  <si>
    <t>2026-09-03T13:17:40.213414</t>
  </si>
  <si>
    <t>2026-09-03T13:17:40.198455</t>
  </si>
  <si>
    <t>2026-09-03T13:17:40.173139</t>
  </si>
  <si>
    <t>2026-09-03T13:17:40.146272</t>
  </si>
  <si>
    <t>2026-09-03T13:17:40.132969</t>
  </si>
  <si>
    <t>2026-09-03T13:17:40.113195</t>
  </si>
  <si>
    <t>2026-09-03T13:17:40.097366</t>
  </si>
  <si>
    <t>2026-09-03T13:17:40.083357</t>
  </si>
  <si>
    <t>2026-09-03T13:17:40.067274</t>
  </si>
  <si>
    <t>2026-09-03T13:17:40.058085</t>
  </si>
  <si>
    <t>2026-09-03T13:17:40.038260</t>
  </si>
  <si>
    <t>2026-09-03T13:17:40.023210</t>
  </si>
  <si>
    <t>2026-09-03T13:17:40.006780</t>
  </si>
  <si>
    <t>2026-09-03T13:17:39.989544</t>
  </si>
  <si>
    <t>2026-09-03T13:17:39.964475</t>
  </si>
  <si>
    <t>2026-09-03T13:17:39.944316</t>
  </si>
  <si>
    <t>2026-09-03T13:17:39.894881</t>
  </si>
  <si>
    <t>2026-09-03T13:17:39.871734</t>
  </si>
  <si>
    <t>2026-09-03T13:17:39.855005</t>
  </si>
  <si>
    <t>2026-09-03T13:17:39.833872</t>
  </si>
  <si>
    <t>2026-09-03T13:17:39.812448</t>
  </si>
  <si>
    <t>2026-09-03T13:17:39.783701</t>
  </si>
  <si>
    <t>2026-09-03T13:17:39.724865</t>
  </si>
  <si>
    <t>2026-09-03T13:17:39.682857</t>
  </si>
  <si>
    <t>2026-09-03T13:17:39.613590</t>
  </si>
  <si>
    <t>2026-09-03T13:17:39.590076</t>
  </si>
  <si>
    <t>2026-09-03T13:17:39.502301</t>
  </si>
  <si>
    <t>2026-09-03T13:17:39.488186</t>
  </si>
  <si>
    <t>2026-09-03T13:17:39.466525</t>
  </si>
  <si>
    <t>2026-09-03T13:17:39.450839</t>
  </si>
  <si>
    <t>2026-09-03T13:17:39.425405</t>
  </si>
  <si>
    <t>2026-09-03T13:17:39.413688</t>
  </si>
  <si>
    <t>2026-09-03T13:17:39.392246</t>
  </si>
  <si>
    <t>2026-09-03T13:17:39.381104</t>
  </si>
  <si>
    <t>2026-09-03T13:17:39.366386</t>
  </si>
  <si>
    <t>2026-09-03T13:17:39.352728</t>
  </si>
  <si>
    <t>2026-09-03T13:17:39.323879</t>
  </si>
  <si>
    <t>2026-09-03T13:17:39.281989</t>
  </si>
  <si>
    <t>2026-09-03T13:17:39.231578</t>
  </si>
  <si>
    <t>2026-09-03T13:17:39.113056</t>
  </si>
  <si>
    <t>2026-09-03T13:17:39.049225</t>
  </si>
  <si>
    <t>2026-09-03T13:17:39.013265</t>
  </si>
  <si>
    <t>2026-09-03T13:17:38.996016</t>
  </si>
  <si>
    <t>2026-09-03T13:17:38.975493</t>
  </si>
  <si>
    <t>2026-09-03T13:17:38.939961</t>
  </si>
  <si>
    <t>2026-09-03T13:17:38.922820</t>
  </si>
  <si>
    <t>2026-09-03T13:17:38.897356</t>
  </si>
  <si>
    <t>2026-09-03T13:17:38.871513</t>
  </si>
  <si>
    <t>2026-09-03T13:17:38.822430</t>
  </si>
  <si>
    <t>2026-09-03T13:17:38.800434</t>
  </si>
  <si>
    <t>2026-09-03T13:17:38.779604</t>
  </si>
  <si>
    <t>2026-09-03T13:17:38.752722</t>
  </si>
  <si>
    <t>2026-09-03T13:17:38.724283</t>
  </si>
  <si>
    <t>2026-09-03T13:17:38.696571</t>
  </si>
  <si>
    <t>2026-09-03T13:17:38.673455</t>
  </si>
  <si>
    <t>2026-09-03T13:17:38.643870</t>
  </si>
  <si>
    <t>2026-09-03T13:17:38.610893</t>
  </si>
  <si>
    <t>2026-09-03T13:17:38.597743</t>
  </si>
  <si>
    <t>2026-09-03T13:17:38.565824</t>
  </si>
  <si>
    <t>2026-09-03T13:17:38.530432</t>
  </si>
  <si>
    <t>2026-09-03T13:17:38.501053</t>
  </si>
  <si>
    <t>2026-09-03T13:17:38.482122</t>
  </si>
  <si>
    <t>2026-09-03T13:17:38.454054</t>
  </si>
  <si>
    <t>2026-09-03T13:17:38.421096</t>
  </si>
  <si>
    <t>2026-09-03T13:17:38.403634</t>
  </si>
  <si>
    <t>2026-09-03T13:17:38.382693</t>
  </si>
  <si>
    <t>2026-09-03T13:17:38.363621</t>
  </si>
  <si>
    <t>2026-09-03T13:17:38.342379</t>
  </si>
  <si>
    <t>2026-09-03T13:17:38.309979</t>
  </si>
  <si>
    <t>2026-09-03T13:17:38.284434</t>
  </si>
  <si>
    <t>2026-09-03T13:17:38.267222</t>
  </si>
  <si>
    <t>2026-09-03T13:17:38.248210</t>
  </si>
  <si>
    <t>2026-09-03T13:17:38.224901</t>
  </si>
  <si>
    <t>2026-09-03T13:17:38.206914</t>
  </si>
  <si>
    <t>2026-09-03T13:17:38.190166</t>
  </si>
  <si>
    <t>2026-09-03T13:17:38.168377</t>
  </si>
  <si>
    <t>2026-09-03T13:17:38.150187</t>
  </si>
  <si>
    <t>2026-09-03T13:17:38.123660</t>
  </si>
  <si>
    <t>2026-09-03T13:17:38.093199</t>
  </si>
  <si>
    <t>2026-09-03T13:17:38.035991</t>
  </si>
  <si>
    <t>2026-09-03T13:17:38.021757</t>
  </si>
  <si>
    <t>2026-09-03T13:17:38.003967</t>
  </si>
  <si>
    <t>2026-09-03T13:17:37.976353</t>
  </si>
  <si>
    <t>2026-09-03T13:17:37.952469</t>
  </si>
  <si>
    <t>2026-09-03T13:17:37.936264</t>
  </si>
  <si>
    <t>2026-09-03T13:17:37.907020</t>
  </si>
  <si>
    <t>2026-09-03T13:17:37.878251</t>
  </si>
  <si>
    <t>2026-09-03T13:17:37.856718</t>
  </si>
  <si>
    <t>2026-09-03T13:17:37.821171</t>
  </si>
  <si>
    <t>2026-09-03T13:17:37.786284</t>
  </si>
  <si>
    <t>2026-09-03T13:17:37.768017</t>
  </si>
  <si>
    <t>2026-09-03T13:17:37.743399</t>
  </si>
  <si>
    <t>2026-09-03T13:17:37.698507</t>
  </si>
  <si>
    <t>2026-09-03T13:17:37.667899</t>
  </si>
  <si>
    <t>2026-09-03T13:17:37.646118</t>
  </si>
  <si>
    <t>2026-09-03T13:17:37.629186</t>
  </si>
  <si>
    <t>2026-09-03T13:17:37.615011</t>
  </si>
  <si>
    <t>2026-09-03T13:17:37.597146</t>
  </si>
  <si>
    <t>2026-09-03T13:17:37.579492</t>
  </si>
  <si>
    <t>2026-09-03T13:17:37.556617</t>
  </si>
  <si>
    <t>2026-09-03T13:17:37.533319</t>
  </si>
  <si>
    <t>2026-09-03T13:17:37.508057</t>
  </si>
  <si>
    <t>2026-09-03T13:17:37.485927</t>
  </si>
  <si>
    <t>2026-09-03T13:17:37.461281</t>
  </si>
  <si>
    <t>2026-09-03T13:17:37.444346</t>
  </si>
  <si>
    <t>2026-09-03T13:17:37.431536</t>
  </si>
  <si>
    <t>2026-09-03T13:17:37.412432</t>
  </si>
  <si>
    <t>2026-09-03T13:17:37.392325</t>
  </si>
  <si>
    <t>2026-09-03T13:17:37.379390</t>
  </si>
  <si>
    <t>2026-09-03T13:17:37.349798</t>
  </si>
  <si>
    <t>2026-09-03T13:17:37.333125</t>
  </si>
  <si>
    <t>2026-09-03T13:17:37.306634</t>
  </si>
  <si>
    <t>2026-09-03T13:17:37.280163</t>
  </si>
  <si>
    <t>2026-09-03T13:17:37.264568</t>
  </si>
  <si>
    <t>2026-09-03T13:17:37.243345</t>
  </si>
  <si>
    <t>2026-09-03T13:17:37.224091</t>
  </si>
  <si>
    <t>2026-09-03T13:17:37.183803</t>
  </si>
  <si>
    <t>2026-09-03T13:17:37.176126</t>
  </si>
  <si>
    <t>2026-09-03T13:17:37.148686</t>
  </si>
  <si>
    <t>2026-09-03T13:17:37.126772</t>
  </si>
  <si>
    <t>2026-09-03T13:17:37.105680</t>
  </si>
  <si>
    <t>2026-09-03T13:17:37.071833</t>
  </si>
  <si>
    <t>2026-09-03T13:17:37.050552</t>
  </si>
  <si>
    <t>2026-09-03T13:17:37.014398</t>
  </si>
  <si>
    <t>2026-09-03T13:17:37.006217</t>
  </si>
  <si>
    <t>2026-09-03T13:17:36.978138</t>
  </si>
  <si>
    <t>2026-09-03T13:17:36.969183</t>
  </si>
  <si>
    <t>2026-09-03T13:17:36.947841</t>
  </si>
  <si>
    <t>2026-09-03T13:17:36.935085</t>
  </si>
  <si>
    <t>2026-09-03T13:17:36.911893</t>
  </si>
  <si>
    <t>2026-09-03T13:17:36.893272</t>
  </si>
  <si>
    <t>2026-09-03T13:17:36.878128</t>
  </si>
  <si>
    <t>2026-09-03T13:17:36.863876</t>
  </si>
  <si>
    <t>2026-09-03T13:17:36.847511</t>
  </si>
  <si>
    <t>2026-09-03T13:17:36.828865</t>
  </si>
  <si>
    <t>2026-09-03T13:17:36.816200</t>
  </si>
  <si>
    <t>2026-09-03T13:17:36.767118</t>
  </si>
  <si>
    <t>2026-09-03T13:17:36.749081</t>
  </si>
  <si>
    <t>2026-09-03T13:17:36.736674</t>
  </si>
  <si>
    <t>2026-09-03T13:17:36.714535</t>
  </si>
  <si>
    <t>2026-09-03T13:17:36.697485</t>
  </si>
  <si>
    <t>2026-09-03T13:17:36.669187</t>
  </si>
  <si>
    <t>2026-09-03T13:17:36.653937</t>
  </si>
  <si>
    <t>2026-09-03T13:17:36.631506</t>
  </si>
  <si>
    <t>2026-09-03T13:17:36.596657</t>
  </si>
  <si>
    <t>2026-09-03T13:17:36.573374</t>
  </si>
  <si>
    <t>2026-09-03T13:17:36.543619</t>
  </si>
  <si>
    <t>2026-09-03T13:17:36.515662</t>
  </si>
  <si>
    <t>2026-09-03T13:17:36.495145</t>
  </si>
  <si>
    <t>2026-09-03T13:17:36.468884</t>
  </si>
  <si>
    <t>2026-09-03T13:17:36.448918</t>
  </si>
  <si>
    <t>2026-09-03T13:17:36.437106</t>
  </si>
  <si>
    <t>2026-09-03T13:17:36.425227</t>
  </si>
  <si>
    <t>2026-09-03T13:17:36.407370</t>
  </si>
  <si>
    <t>2026-09-03T13:17:36.392940</t>
  </si>
  <si>
    <t>2026-09-03T13:17:36.377255</t>
  </si>
  <si>
    <t>2026-09-03T13:17:36.364645</t>
  </si>
  <si>
    <t>2026-09-03T13:17:36.342455</t>
  </si>
  <si>
    <t>2026-09-03T13:17:36.325890</t>
  </si>
  <si>
    <t>2026-09-03T13:17:36.301787</t>
  </si>
  <si>
    <t>2026-09-03T13:17:36.284435</t>
  </si>
  <si>
    <t>2026-09-03T13:17:36.259787</t>
  </si>
  <si>
    <t>2026-09-03T13:17:36.243657</t>
  </si>
  <si>
    <t>2026-09-03T13:17:36.225050</t>
  </si>
  <si>
    <t>2026-09-03T13:17:36.210895</t>
  </si>
  <si>
    <t>2026-09-03T13:17:36.189192</t>
  </si>
  <si>
    <t>2026-09-03T13:17:36.169966</t>
  </si>
  <si>
    <t>2026-09-03T13:17:36.152813</t>
  </si>
  <si>
    <t>2026-09-03T13:17:36.136480</t>
  </si>
  <si>
    <t>2026-09-03T13:17:36.103543</t>
  </si>
  <si>
    <t>2026-09-03T13:17:36.084481</t>
  </si>
  <si>
    <t>2026-09-03T13:17:36.069059</t>
  </si>
  <si>
    <t>2026-09-03T13:17:36.041387</t>
  </si>
  <si>
    <t>2026-09-03T13:17:36.018440</t>
  </si>
  <si>
    <t>2026-09-03T13:17:36.003105</t>
  </si>
  <si>
    <t>2026-09-03T13:17:35.985939</t>
  </si>
  <si>
    <t>2026-09-03T13:17:35.971728</t>
  </si>
  <si>
    <t>2026-09-03T13:17:35.951185</t>
  </si>
  <si>
    <t>2026-09-03T13:17:35.941277</t>
  </si>
  <si>
    <t>2026-09-03T13:17:35.923885</t>
  </si>
  <si>
    <t>2026-09-03T13:17:35.910860</t>
  </si>
  <si>
    <t>2026-09-03T13:17:35.891081</t>
  </si>
  <si>
    <t>2026-09-03T13:17:35.875573</t>
  </si>
  <si>
    <t>2026-09-03T13:17:35.856800</t>
  </si>
  <si>
    <t>2026-09-03T13:17:35.835335</t>
  </si>
  <si>
    <t>2026-09-03T13:17:35.818034</t>
  </si>
  <si>
    <t>2026-09-03T13:17:35.794262</t>
  </si>
  <si>
    <t>2026-09-03T13:17:35.768372</t>
  </si>
  <si>
    <t>2026-09-03T13:17:35.732210</t>
  </si>
  <si>
    <t>2026-09-03T13:17:35.718950</t>
  </si>
  <si>
    <t>2026-09-03T13:17:35.697492</t>
  </si>
  <si>
    <t>2026-09-03T13:17:35.683752</t>
  </si>
  <si>
    <t>2026-09-03T13:17:35.669533</t>
  </si>
  <si>
    <t>2026-09-03T13:17:35.645723</t>
  </si>
  <si>
    <t>2026-09-03T13:17:35.633190</t>
  </si>
  <si>
    <t>2026-09-03T13:17:35.615275</t>
  </si>
  <si>
    <t>2026-09-03T13:17:35.605043</t>
  </si>
  <si>
    <t>2026-09-03T13:17:35.581028</t>
  </si>
  <si>
    <t>2026-09-03T13:17:35.565856</t>
  </si>
  <si>
    <t>2026-09-03T13:17:35.545316</t>
  </si>
  <si>
    <t>2026-09-03T13:17:35.523224</t>
  </si>
  <si>
    <t>2026-09-03T13:17:35.501979</t>
  </si>
  <si>
    <t>2026-09-03T13:17:35.481214</t>
  </si>
  <si>
    <t>2026-09-03T13:17:35.462846</t>
  </si>
  <si>
    <t>2026-09-03T13:17:35.446559</t>
  </si>
  <si>
    <t>2026-09-03T13:17:35.430448</t>
  </si>
  <si>
    <t>2026-09-03T13:17:35.419396</t>
  </si>
  <si>
    <t>2026-09-03T13:17:35.402429</t>
  </si>
  <si>
    <t>2026-09-03T13:17:35.390304</t>
  </si>
  <si>
    <t>2026-09-03T13:17:35.369004</t>
  </si>
  <si>
    <t>2026-09-03T13:17:35.351502</t>
  </si>
  <si>
    <t>2026-09-03T13:17:35.340845</t>
  </si>
  <si>
    <t>2026-09-03T13:17:35.316779</t>
  </si>
  <si>
    <t>2026-09-03T13:17:35.294210</t>
  </si>
  <si>
    <t>2026-09-03T13:17:35.275109</t>
  </si>
  <si>
    <t>2026-09-03T13:17:35.254037</t>
  </si>
  <si>
    <t>2026-09-03T13:17:35.232729</t>
  </si>
  <si>
    <t>2026-09-03T13:17:35.217956</t>
  </si>
  <si>
    <t>2026-09-03T13:17:35.202386</t>
  </si>
  <si>
    <t>2026-09-03T13:17:35.190512</t>
  </si>
  <si>
    <t>2026-09-03T13:17:35.177969</t>
  </si>
  <si>
    <t>2026-09-03T13:17:35.157064</t>
  </si>
  <si>
    <t>2026-09-03T13:17:35.140719</t>
  </si>
  <si>
    <t>2026-09-03T13:17:35.129874</t>
  </si>
  <si>
    <t>2026-09-03T13:17:35.105498</t>
  </si>
  <si>
    <t>2026-09-03T13:17:35.086932</t>
  </si>
  <si>
    <t>2026-09-03T13:17:35.053422</t>
  </si>
  <si>
    <t>2026-09-03T13:17:35.035295</t>
  </si>
  <si>
    <t>2026-09-03T13:17:35.001071</t>
  </si>
  <si>
    <t>2026-09-03T13:17:34.968376</t>
  </si>
  <si>
    <t>2026-09-03T13:17:34.949182</t>
  </si>
  <si>
    <t>2026-09-03T13:17:34.923876</t>
  </si>
  <si>
    <t>2026-09-03T13:17:34.906263</t>
  </si>
  <si>
    <t>2026-09-03T13:17:34.882801</t>
  </si>
  <si>
    <t>2026-09-03T13:17:34.856864</t>
  </si>
  <si>
    <t>2026-09-03T13:17:34.844219</t>
  </si>
  <si>
    <t>2026-09-03T13:17:34.820798</t>
  </si>
  <si>
    <t>2026-09-03T13:17:34.807590</t>
  </si>
  <si>
    <t>2026-09-03T13:17:34.788764</t>
  </si>
  <si>
    <t>2026-09-03T13:17:34.773945</t>
  </si>
  <si>
    <t>2026-09-03T13:17:34.752153</t>
  </si>
  <si>
    <t>2026-09-03T13:17:34.717551</t>
  </si>
  <si>
    <t>2026-09-03T13:17:34.696877</t>
  </si>
  <si>
    <t>2026-09-03T13:17:34.670675</t>
  </si>
  <si>
    <t>2026-09-03T13:17:34.652485</t>
  </si>
  <si>
    <t>2026-09-03T13:17:34.625489</t>
  </si>
  <si>
    <t>2026-09-03T13:17:34.600845</t>
  </si>
  <si>
    <t>2026-09-03T13:17:34.578036</t>
  </si>
  <si>
    <t>2026-09-03T13:17:34.558505</t>
  </si>
  <si>
    <t>2026-09-03T13:17:34.540500</t>
  </si>
  <si>
    <t>2026-09-03T13:17:34.512863</t>
  </si>
  <si>
    <t>2026-09-03T13:17:34.487682</t>
  </si>
  <si>
    <t>2026-09-03T13:17:34.457420</t>
  </si>
  <si>
    <t>2026-09-03T13:17:34.433263</t>
  </si>
  <si>
    <t>2026-09-03T13:17:34.412254</t>
  </si>
  <si>
    <t>2026-09-03T13:17:34.399618</t>
  </si>
  <si>
    <t>2026-09-03T13:17:34.379067</t>
  </si>
  <si>
    <t>2026-09-03T13:17:34.354126</t>
  </si>
  <si>
    <t>2026-09-03T13:17:34.340814</t>
  </si>
  <si>
    <t>2026-09-03T13:17:34.314128</t>
  </si>
  <si>
    <t>2026-09-03T13:17:34.302031</t>
  </si>
  <si>
    <t>2026-09-03T13:17:34.277990</t>
  </si>
  <si>
    <t>2026-09-03T13:17:34.259092</t>
  </si>
  <si>
    <t>2026-09-03T13:17:34.238624</t>
  </si>
  <si>
    <t>2026-09-03T13:17:34.215656</t>
  </si>
  <si>
    <t>2026-09-03T13:17:34.188349</t>
  </si>
  <si>
    <t>2026-09-03T13:17:34.156981</t>
  </si>
  <si>
    <t>2026-09-03T13:17:34.140545</t>
  </si>
  <si>
    <t>2026-09-03T13:17:34.128387</t>
  </si>
  <si>
    <t>2026-09-03T13:17:34.107624</t>
  </si>
  <si>
    <t>2026-09-03T13:17:34.085685</t>
  </si>
  <si>
    <t>2026-09-03T13:17:34.069741</t>
  </si>
  <si>
    <t>2026-09-03T13:17:34.048532</t>
  </si>
  <si>
    <t>2026-09-03T13:17:34.021266</t>
  </si>
  <si>
    <t>2026-09-03T13:17:33.988943</t>
  </si>
  <si>
    <t>2026-09-03T13:17:33.965839</t>
  </si>
  <si>
    <t>2026-09-03T13:17:33.939092</t>
  </si>
  <si>
    <t>2026-09-03T13:17:33.919647</t>
  </si>
  <si>
    <t>2026-09-03T13:17:33.902066</t>
  </si>
  <si>
    <t>2026-09-03T13:17:33.873219</t>
  </si>
  <si>
    <t>2026-09-03T13:17:33.856794</t>
  </si>
  <si>
    <t>2026-09-03T13:17:33.836369</t>
  </si>
  <si>
    <t>2026-09-03T13:17:33.819744</t>
  </si>
  <si>
    <t>2026-09-03T13:17:33.803417</t>
  </si>
  <si>
    <t>2026-09-03T13:17:33.776840</t>
  </si>
  <si>
    <t>2026-09-03T13:17:33.762812</t>
  </si>
  <si>
    <t>2026-09-03T13:17:33.745648</t>
  </si>
  <si>
    <t>2026-09-03T13:17:33.726806</t>
  </si>
  <si>
    <t>2026-09-03T13:17:33.698155</t>
  </si>
  <si>
    <t>2026-09-03T13:17:33.684134</t>
  </si>
  <si>
    <t>2026-09-03T13:17:33.661077</t>
  </si>
  <si>
    <t>2026-09-03T13:17:33.642173</t>
  </si>
  <si>
    <t>2026-09-03T13:17:33.623988</t>
  </si>
  <si>
    <t>2026-09-03T13:17:33.613328</t>
  </si>
  <si>
    <t>2026-09-03T13:17:33.600625</t>
  </si>
  <si>
    <t>2026-09-03T13:17:33.584950</t>
  </si>
  <si>
    <t>2026-09-03T13:17:33.564367</t>
  </si>
  <si>
    <t>2026-09-03T13:17:33.543398</t>
  </si>
  <si>
    <t>2026-09-03T13:17:33.526896</t>
  </si>
  <si>
    <t>2026-09-03T13:17:33.501063</t>
  </si>
  <si>
    <t>2026-09-03T13:17:33.478396</t>
  </si>
  <si>
    <t>2026-09-03T13:17:33.456130</t>
  </si>
  <si>
    <t>2026-09-03T13:17:33.441393</t>
  </si>
  <si>
    <t>2026-09-03T13:17:33.427416</t>
  </si>
  <si>
    <t>2026-09-03T13:17:33.406867</t>
  </si>
  <si>
    <t>2026-09-03T13:17:33.379680</t>
  </si>
  <si>
    <t>2026-09-03T13:17:33.364388</t>
  </si>
  <si>
    <t>2026-09-03T13:17:33.353985</t>
  </si>
  <si>
    <t>2026-09-03T13:17:33.337687</t>
  </si>
  <si>
    <t>2026-09-03T13:17:33.310137</t>
  </si>
  <si>
    <t>2026-09-03T13:17:33.289550</t>
  </si>
  <si>
    <t>2026-09-03T13:17:33.268063</t>
  </si>
  <si>
    <t>2026-09-03T13:17:33.251398</t>
  </si>
  <si>
    <t>2026-09-03T13:17:33.205416</t>
  </si>
  <si>
    <t>2026-09-03T13:17:33.155754</t>
  </si>
  <si>
    <t>2026-09-03T13:17:33.132015</t>
  </si>
  <si>
    <t>2026-09-03T13:17:33.112082</t>
  </si>
  <si>
    <t>2026-09-03T13:17:33.088494</t>
  </si>
  <si>
    <t>2026-09-03T13:17:33.070492</t>
  </si>
  <si>
    <t>2026-09-03T13:17:33.046001</t>
  </si>
  <si>
    <t>2026-09-03T13:17:33.015297</t>
  </si>
  <si>
    <t>2026-09-03T13:17:32.982417</t>
  </si>
  <si>
    <t>2026-09-03T13:17:32.960003</t>
  </si>
  <si>
    <t>2026-09-03T13:17:32.935246</t>
  </si>
  <si>
    <t>2026-09-03T13:17:32.914394</t>
  </si>
  <si>
    <t>2026-09-03T13:17:32.898788</t>
  </si>
  <si>
    <t>2026-09-03T13:17:32.885122</t>
  </si>
  <si>
    <t>2026-09-03T13:17:32.872287</t>
  </si>
  <si>
    <t>2026-09-03T13:17:32.858278</t>
  </si>
  <si>
    <t>2026-09-03T13:17:32.847293</t>
  </si>
  <si>
    <t>2026-09-03T13:17:32.833296</t>
  </si>
  <si>
    <t>2026-09-03T13:17:32.823886</t>
  </si>
  <si>
    <t>2026-09-03T13:17:32.809479</t>
  </si>
  <si>
    <t>2026-09-03T13:17:32.793355</t>
  </si>
  <si>
    <t>2026-09-03T13:17:32.769843</t>
  </si>
  <si>
    <t>2026-09-03T13:17:32.752256</t>
  </si>
  <si>
    <t>2026-09-03T13:17:32.725042</t>
  </si>
  <si>
    <t>2026-09-03T13:17:32.693591</t>
  </si>
  <si>
    <t>2026-09-03T13:17:32.677375</t>
  </si>
  <si>
    <t>2026-09-03T13:17:32.657226</t>
  </si>
  <si>
    <t>2026-09-03T13:17:32.643573</t>
  </si>
  <si>
    <t>2026-09-03T13:17:32.619804</t>
  </si>
  <si>
    <t>2026-09-03T13:17:32.578928</t>
  </si>
  <si>
    <t>2026-09-03T13:17:32.552430</t>
  </si>
  <si>
    <t>2026-09-03T13:17:32.530576</t>
  </si>
  <si>
    <t>2026-09-03T13:17:32.516089</t>
  </si>
  <si>
    <t>2026-09-03T13:17:32.495290</t>
  </si>
  <si>
    <t>2026-09-03T13:17:32.480999</t>
  </si>
  <si>
    <t>2026-09-03T13:17:32.458023</t>
  </si>
  <si>
    <t>2026-09-03T13:17:32.441972</t>
  </si>
  <si>
    <t>2026-09-03T13:17:32.413953</t>
  </si>
  <si>
    <t>2026-09-03T13:17:32.400381</t>
  </si>
  <si>
    <t>2026-09-03T13:17:32.383294</t>
  </si>
  <si>
    <t>2026-09-03T13:17:32.362271</t>
  </si>
  <si>
    <t>2026-09-03T13:17:32.336322</t>
  </si>
  <si>
    <t>2026-09-03T13:17:32.322537</t>
  </si>
  <si>
    <t>2026-09-03T13:17:32.305184</t>
  </si>
  <si>
    <t>2026-09-03T13:17:32.287291</t>
  </si>
  <si>
    <t>2026-09-03T13:17:32.272993</t>
  </si>
  <si>
    <t>2026-09-03T13:17:32.253451</t>
  </si>
  <si>
    <t>2026-09-03T13:17:32.234242</t>
  </si>
  <si>
    <t>2026-09-03T13:17:32.215809</t>
  </si>
  <si>
    <t>2026-09-03T13:17:32.196004</t>
  </si>
  <si>
    <t>2026-09-03T13:17:32.176252</t>
  </si>
  <si>
    <t>2026-09-03T13:17:32.135104</t>
  </si>
  <si>
    <t>2026-09-03T13:17:32.122559</t>
  </si>
  <si>
    <t>2026-09-03T13:17:32.107719</t>
  </si>
  <si>
    <t>2026-09-03T13:17:32.085952</t>
  </si>
  <si>
    <t>2026-09-03T13:17:32.072221</t>
  </si>
  <si>
    <t>2026-09-03T13:17:32.051570</t>
  </si>
  <si>
    <t>2026-09-03T13:17:32.030598</t>
  </si>
  <si>
    <t>2026-09-03T13:17:32.012822</t>
  </si>
  <si>
    <t>2026-09-03T13:17:31.996150</t>
  </si>
  <si>
    <t>2026-09-03T13:17:31.975232</t>
  </si>
  <si>
    <t>2026-09-03T13:17:31.961244</t>
  </si>
  <si>
    <t>2026-09-03T13:17:31.940269</t>
  </si>
  <si>
    <t>2026-09-03T13:17:31.924767</t>
  </si>
  <si>
    <t>2026-09-03T13:17:31.907739</t>
  </si>
  <si>
    <t>2026-09-03T13:17:31.889268</t>
  </si>
  <si>
    <t>2026-09-03T13:17:31.870300</t>
  </si>
  <si>
    <t>2026-09-03T13:17:31.850703</t>
  </si>
  <si>
    <t>2026-09-03T13:17:31.827304</t>
  </si>
  <si>
    <t>2026-09-03T13:17:31.803097</t>
  </si>
  <si>
    <t>2026-09-03T13:17:31.775187</t>
  </si>
  <si>
    <t>2026-09-03T13:17:31.747460</t>
  </si>
  <si>
    <t>2026-09-03T13:17:31.689785</t>
  </si>
  <si>
    <t>2026-09-03T13:17:31.655274</t>
  </si>
  <si>
    <t>2026-09-03T13:17:31.629211</t>
  </si>
  <si>
    <t>2026-09-03T13:17:31.606398</t>
  </si>
  <si>
    <t>2026-09-03T13:17:31.576461</t>
  </si>
  <si>
    <t>2026-09-03T13:17:31.540877</t>
  </si>
  <si>
    <t>2026-09-03T13:17:31.511716</t>
  </si>
  <si>
    <t>2026-09-03T13:17:31.477390</t>
  </si>
  <si>
    <t>2026-09-03T13:17:31.454314</t>
  </si>
  <si>
    <t>2026-09-03T13:17:31.440315</t>
  </si>
  <si>
    <t>2026-09-03T13:17:31.421818</t>
  </si>
  <si>
    <t>2026-09-03T13:17:31.403662</t>
  </si>
  <si>
    <t>2026-09-03T13:17:31.384641</t>
  </si>
  <si>
    <t>2026-09-03T13:17:31.369921</t>
  </si>
  <si>
    <t>2026-09-03T13:17:31.361551</t>
  </si>
  <si>
    <t>2026-09-03T13:17:31.353243</t>
  </si>
  <si>
    <t>2026-09-03T13:17:31.339536</t>
  </si>
  <si>
    <t>2026-09-03T13:17:31.323061</t>
  </si>
  <si>
    <t>2026-09-03T13:17:31.307781</t>
  </si>
  <si>
    <t>2026-09-03T13:17:31.294993</t>
  </si>
  <si>
    <t>2026-09-03T13:17:31.272044</t>
  </si>
  <si>
    <t>2026-09-03T13:17:31.247502</t>
  </si>
  <si>
    <t>2026-09-03T13:17:31.233202</t>
  </si>
  <si>
    <t>2026-09-03T13:17:31.213027</t>
  </si>
  <si>
    <t>2026-09-03T13:17:31.193908</t>
  </si>
  <si>
    <t>2026-09-03T13:17:31.174295</t>
  </si>
  <si>
    <t>2026-09-03T13:17:31.153562</t>
  </si>
  <si>
    <t>2026-09-03T13:17:31.126742</t>
  </si>
  <si>
    <t>2026-09-03T13:17:31.102891</t>
  </si>
  <si>
    <t>2026-09-03T13:17:31.084033</t>
  </si>
  <si>
    <t>2026-09-03T13:17:31.063771</t>
  </si>
  <si>
    <t>2026-09-03T13:17:31.042006</t>
  </si>
  <si>
    <t>2026-09-03T13:17:31.024147</t>
  </si>
  <si>
    <t>2026-09-03T13:17:31.009187</t>
  </si>
  <si>
    <t>2026-09-03T13:17:30.996259</t>
  </si>
  <si>
    <t>2026-09-03T13:17:30.981682</t>
  </si>
  <si>
    <t>2026-09-03T13:17:30.966235</t>
  </si>
  <si>
    <t>2026-09-03T13:17:30.949898</t>
  </si>
  <si>
    <t>2026-09-03T13:17:30.932267</t>
  </si>
  <si>
    <t>2026-09-03T13:17:30.912551</t>
  </si>
  <si>
    <t>2026-09-03T13:17:30.892072</t>
  </si>
  <si>
    <t>2026-09-03T13:17:30.879284</t>
  </si>
  <si>
    <t>2026-09-03T13:17:30.860091</t>
  </si>
  <si>
    <t>2026-09-03T13:17:30.848023</t>
  </si>
  <si>
    <t>2026-09-03T13:17:30.822364</t>
  </si>
  <si>
    <t>2026-09-03T13:17:30.803448</t>
  </si>
  <si>
    <t>2026-09-03T13:17:30.775420</t>
  </si>
  <si>
    <t>2026-09-03T13:17:30.750993</t>
  </si>
  <si>
    <t>2026-09-03T13:17:30.726101</t>
  </si>
  <si>
    <t>2026-09-03T13:17:30.683638</t>
  </si>
  <si>
    <t>2026-09-03T13:17:30.662952</t>
  </si>
  <si>
    <t>2026-09-03T13:17:30.629190</t>
  </si>
  <si>
    <t>2026-09-03T13:17:30.604701</t>
  </si>
  <si>
    <t>2026-09-03T13:17:30.580092</t>
  </si>
  <si>
    <t>2026-09-03T13:17:30.554891</t>
  </si>
  <si>
    <t>2026-09-03T13:17:30.530480</t>
  </si>
  <si>
    <t>2026-09-03T13:17:30.504704</t>
  </si>
  <si>
    <t>2026-09-03T13:17:30.479574</t>
  </si>
  <si>
    <t>2026-09-03T13:17:30.462571</t>
  </si>
  <si>
    <t>2026-09-03T13:17:30.440362</t>
  </si>
  <si>
    <t>2026-09-03T13:17:30.415040</t>
  </si>
  <si>
    <t>2026-09-03T13:17:30.398935</t>
  </si>
  <si>
    <t>2026-09-03T13:17:30.372548</t>
  </si>
  <si>
    <t>2026-09-03T13:17:30.350839</t>
  </si>
  <si>
    <t>2026-09-03T13:17:30.331690</t>
  </si>
  <si>
    <t>2026-09-03T13:17:30.310887</t>
  </si>
  <si>
    <t>2026-09-03T13:17:30.293105</t>
  </si>
  <si>
    <t>2026-09-03T13:17:30.275940</t>
  </si>
  <si>
    <t>2026-09-03T13:17:30.256117</t>
  </si>
  <si>
    <t>2026-09-03T13:17:30.239297</t>
  </si>
  <si>
    <t>2026-09-03T13:17:30.215931</t>
  </si>
  <si>
    <t>2026-09-03T13:17:30.192350</t>
  </si>
  <si>
    <t>2026-09-03T13:17:30.172728</t>
  </si>
  <si>
    <t>2026-09-03T13:17:30.149076</t>
  </si>
  <si>
    <t>2026-09-03T13:17:30.129776</t>
  </si>
  <si>
    <t>2026-09-03T13:17:30.102177</t>
  </si>
  <si>
    <t>2026-09-03T13:17:30.078739</t>
  </si>
  <si>
    <t>2026-09-03T13:17:30.057288</t>
  </si>
  <si>
    <t>2026-09-03T13:17:30.038674</t>
  </si>
  <si>
    <t>2026-09-03T13:17:30.022291</t>
  </si>
  <si>
    <t>2026-09-03T13:17:30.001800</t>
  </si>
  <si>
    <t>2026-09-03T13:17:29.987872</t>
  </si>
  <si>
    <t>2026-09-03T13:17:29.975798</t>
  </si>
  <si>
    <t>2026-09-03T13:17:29.958684</t>
  </si>
  <si>
    <t>2026-09-03T13:17:29.936836</t>
  </si>
  <si>
    <t>2026-09-03T13:17:29.921429</t>
  </si>
  <si>
    <t>2026-09-03T13:17:29.906066</t>
  </si>
  <si>
    <t>2026-09-03T13:17:29.881950</t>
  </si>
  <si>
    <t>2026-09-03T13:17:29.859479</t>
  </si>
  <si>
    <t>2026-09-03T13:17:29.842158</t>
  </si>
  <si>
    <t>2026-09-03T13:17:29.830587</t>
  </si>
  <si>
    <t>2026-09-03T13:17:29.804424</t>
  </si>
  <si>
    <t>2026-09-03T13:17:29.788193</t>
  </si>
  <si>
    <t>2026-09-03T13:17:29.772267</t>
  </si>
  <si>
    <t>2026-09-03T13:17:29.747440</t>
  </si>
  <si>
    <t>2026-09-03T13:17:29.729778</t>
  </si>
  <si>
    <t>2026-09-03T13:17:29.711263</t>
  </si>
  <si>
    <t>2026-09-03T13:17:29.692775</t>
  </si>
  <si>
    <t>2026-09-03T13:17:29.671319</t>
  </si>
  <si>
    <t>2026-09-03T13:17:29.649328</t>
  </si>
  <si>
    <t>2026-09-03T13:17:29.628481</t>
  </si>
  <si>
    <t>2026-09-03T13:17:29.608519</t>
  </si>
  <si>
    <t>2026-09-03T13:17:29.587217</t>
  </si>
  <si>
    <t>2026-09-03T13:17:29.569687</t>
  </si>
  <si>
    <t>2026-09-03T13:17:29.552058</t>
  </si>
  <si>
    <t>2026-09-03T13:17:29.531880</t>
  </si>
  <si>
    <t>2026-09-03T13:17:29.515776</t>
  </si>
  <si>
    <t>2026-09-03T13:17:29.497925</t>
  </si>
  <si>
    <t>2026-09-03T13:17:29.481799</t>
  </si>
  <si>
    <t>2026-09-03T13:17:29.467793</t>
  </si>
  <si>
    <t>2026-09-03T13:17:29.445050</t>
  </si>
  <si>
    <t>2026-09-03T13:17:29.428728</t>
  </si>
  <si>
    <t>2026-09-03T13:17:29.406387</t>
  </si>
  <si>
    <t>2026-09-03T13:17:29.390887</t>
  </si>
  <si>
    <t>2026-09-03T13:17:29.370371</t>
  </si>
  <si>
    <t>2026-09-03T13:17:29.343944</t>
  </si>
  <si>
    <t>2026-09-03T13:17:29.298760</t>
  </si>
  <si>
    <t>2026-09-03T13:17:29.255158</t>
  </si>
  <si>
    <t>2026-09-03T13:17:29.204777</t>
  </si>
  <si>
    <t>2026-09-03T13:17:29.155426</t>
  </si>
  <si>
    <t>2026-09-03T13:17:29.112027</t>
  </si>
  <si>
    <t>2026-09-03T13:17:29.093755</t>
  </si>
  <si>
    <t>2026-09-03T13:17:29.066401</t>
  </si>
  <si>
    <t>2026-09-03T13:17:29.052569</t>
  </si>
  <si>
    <t>2026-09-03T13:17:29.037470</t>
  </si>
  <si>
    <t>2026-09-03T13:17:29.024990</t>
  </si>
  <si>
    <t>2026-09-03T13:17:29.009694</t>
  </si>
  <si>
    <t>2026-09-03T13:17:28.994220</t>
  </si>
  <si>
    <t>2026-09-03T13:17:28.973682</t>
  </si>
  <si>
    <t>2026-09-03T13:17:28.962244</t>
  </si>
  <si>
    <t>2026-09-03T13:17:28.948256</t>
  </si>
  <si>
    <t>2026-09-03T13:17:28.933602</t>
  </si>
  <si>
    <t>2026-09-03T13:17:28.914373</t>
  </si>
  <si>
    <t>2026-09-03T13:17:28.899439</t>
  </si>
  <si>
    <t>2026-09-03T13:17:28.887057</t>
  </si>
  <si>
    <t>2026-09-03T13:17:28.866014</t>
  </si>
  <si>
    <t>2026-09-03T13:17:28.850297</t>
  </si>
  <si>
    <t>2026-09-03T13:17:28.834298</t>
  </si>
  <si>
    <t>2026-09-03T13:17:28.803757</t>
  </si>
  <si>
    <t>2026-09-03T13:17:28.780738</t>
  </si>
  <si>
    <t>2026-09-03T13:17:28.759756</t>
  </si>
  <si>
    <t>2026-09-03T13:17:28.739006</t>
  </si>
  <si>
    <t>2026-09-03T13:17:28.723169</t>
  </si>
  <si>
    <t>2026-09-03T13:17:28.706262</t>
  </si>
  <si>
    <t>2026-09-03T13:17:28.692468</t>
  </si>
  <si>
    <t>2026-09-03T13:17:28.670067</t>
  </si>
  <si>
    <t>2026-09-03T13:17:28.649684</t>
  </si>
  <si>
    <t>2026-09-03T13:17:28.629203</t>
  </si>
  <si>
    <t>2026-09-03T13:17:28.609159</t>
  </si>
  <si>
    <t>2026-09-03T13:17:28.587069</t>
  </si>
  <si>
    <t>2026-09-03T13:17:28.567972</t>
  </si>
  <si>
    <t>2026-09-03T13:17:28.542933</t>
  </si>
  <si>
    <t>2026-09-03T13:17:28.527500</t>
  </si>
  <si>
    <t>2026-09-03T13:17:28.509515</t>
  </si>
  <si>
    <t>2026-09-03T13:17:28.489698</t>
  </si>
  <si>
    <t>2026-09-03T13:17:28.460629</t>
  </si>
  <si>
    <t>2026-09-03T13:17:28.435401</t>
  </si>
  <si>
    <t>2026-09-03T13:17:28.419578</t>
  </si>
  <si>
    <t>2026-09-03T13:17:28.398897</t>
  </si>
  <si>
    <t>2026-09-03T13:17:28.383980</t>
  </si>
  <si>
    <t>2026-09-03T13:17:28.367022</t>
  </si>
  <si>
    <t>2026-09-03T13:17:28.351159</t>
  </si>
  <si>
    <t>2026-09-03T13:17:28.329120</t>
  </si>
  <si>
    <t>2026-09-03T13:17:28.288161</t>
  </si>
  <si>
    <t>2026-09-03T13:17:28.269707</t>
  </si>
  <si>
    <t>2026-09-03T13:17:28.240812</t>
  </si>
  <si>
    <t>2026-09-03T13:17:28.210166</t>
  </si>
  <si>
    <t>2026-09-03T13:17:28.182260</t>
  </si>
  <si>
    <t>2026-09-03T13:17:28.155817</t>
  </si>
  <si>
    <t>2026-09-03T13:17:28.113876</t>
  </si>
  <si>
    <t>2026-09-03T13:17:28.075019</t>
  </si>
  <si>
    <t>2026-09-03T13:17:28.050291</t>
  </si>
  <si>
    <t>2026-09-03T13:17:27.997238</t>
  </si>
  <si>
    <t>2026-09-03T13:17:27.965586</t>
  </si>
  <si>
    <t>2026-09-03T13:17:27.933180</t>
  </si>
  <si>
    <t>2026-09-03T13:17:27.920941</t>
  </si>
  <si>
    <t>2026-09-03T13:17:27.896614</t>
  </si>
  <si>
    <t>2026-09-03T13:17:27.887094</t>
  </si>
  <si>
    <t>2026-09-03T13:17:27.873929</t>
  </si>
  <si>
    <t>2026-09-03T13:17:27.858162</t>
  </si>
  <si>
    <t>2026-09-03T13:17:27.842672</t>
  </si>
  <si>
    <t>2026-09-03T13:17:27.824293</t>
  </si>
  <si>
    <t>2026-09-03T13:17:27.802676</t>
  </si>
  <si>
    <t>2026-09-03T13:17:27.778588</t>
  </si>
  <si>
    <t>2026-09-03T13:17:27.765777</t>
  </si>
  <si>
    <t>2026-09-03T13:17:27.727860</t>
  </si>
  <si>
    <t>2026-09-03T13:17:27.715227</t>
  </si>
  <si>
    <t>2026-09-03T13:17:27.691876</t>
  </si>
  <si>
    <t>2026-09-03T13:17:27.670841</t>
  </si>
  <si>
    <t>2026-09-03T13:17:27.656754</t>
  </si>
  <si>
    <t>2026-09-03T13:17:27.637684</t>
  </si>
  <si>
    <t>2026-09-03T13:17:27.621709</t>
  </si>
  <si>
    <t>2026-09-03T13:17:27.603889</t>
  </si>
  <si>
    <t>2026-09-03T13:17:27.592199</t>
  </si>
  <si>
    <t>2026-09-03T13:17:27.578482</t>
  </si>
  <si>
    <t>2026-09-03T13:17:27.565795</t>
  </si>
  <si>
    <t>2026-09-03T13:17:27.543299</t>
  </si>
  <si>
    <t>2026-09-03T13:17:27.521845</t>
  </si>
  <si>
    <t>2026-09-03T13:17:27.503854</t>
  </si>
  <si>
    <t>2026-09-03T13:17:27.485119</t>
  </si>
  <si>
    <t>2026-09-03T13:17:27.470480</t>
  </si>
  <si>
    <t>2026-09-03T13:17:27.454436</t>
  </si>
  <si>
    <t>2026-09-03T13:17:27.436560</t>
  </si>
  <si>
    <t>2026-09-03T13:17:27.420254</t>
  </si>
  <si>
    <t>2026-09-03T13:17:27.400317</t>
  </si>
  <si>
    <t>2026-09-03T13:17:27.380237</t>
  </si>
  <si>
    <t>2026-09-03T13:17:27.364876</t>
  </si>
  <si>
    <t>2026-09-03T13:17:27.347348</t>
  </si>
  <si>
    <t>2026-09-03T13:17:27.324845</t>
  </si>
  <si>
    <t>2026-09-03T13:17:27.302510</t>
  </si>
  <si>
    <t>2026-09-03T13:17:27.275915</t>
  </si>
  <si>
    <t>2026-09-03T13:17:27.254314</t>
  </si>
  <si>
    <t>2026-09-03T13:17:27.227916</t>
  </si>
  <si>
    <t>2026-09-03T13:17:27.209909</t>
  </si>
  <si>
    <t>2026-09-03T13:17:27.184142</t>
  </si>
  <si>
    <t>2026-09-03T13:17:27.166492</t>
  </si>
  <si>
    <t>2026-09-03T13:17:27.146328</t>
  </si>
  <si>
    <t>2026-09-03T13:17:27.128473</t>
  </si>
  <si>
    <t>2026-09-03T13:17:27.098253</t>
  </si>
  <si>
    <t>2026-09-03T13:17:27.075053</t>
  </si>
  <si>
    <t>2026-09-03T13:17:27.057910</t>
  </si>
  <si>
    <t>2026-09-03T13:17:27.033031</t>
  </si>
  <si>
    <t>2026-09-03T13:17:27.010128</t>
  </si>
  <si>
    <t>2026-09-03T13:17:26.988393</t>
  </si>
  <si>
    <t>2026-09-03T13:17:26.975636</t>
  </si>
  <si>
    <t>2026-09-03T13:17:26.957267</t>
  </si>
  <si>
    <t>2026-09-03T13:17:26.934927</t>
  </si>
  <si>
    <t>2026-09-03T13:17:26.913874</t>
  </si>
  <si>
    <t>2026-09-03T13:17:26.892128</t>
  </si>
  <si>
    <t>2026-09-03T13:17:26.880440</t>
  </si>
  <si>
    <t>2026-09-03T13:17:26.863559</t>
  </si>
  <si>
    <t>2026-09-03T13:17:26.850229</t>
  </si>
  <si>
    <t>2026-09-03T13:17:26.835500</t>
  </si>
  <si>
    <t>2026-09-03T13:17:26.816737</t>
  </si>
  <si>
    <t>2026-09-03T13:17:26.795948</t>
  </si>
  <si>
    <t>2026-09-03T13:17:26.774956</t>
  </si>
  <si>
    <t>2026-09-03T13:17:26.753741</t>
  </si>
  <si>
    <t>2026-09-03T13:17:26.734861</t>
  </si>
  <si>
    <t>2026-09-03T13:17:26.717759</t>
  </si>
  <si>
    <t>2026-09-03T13:17:26.692440</t>
  </si>
  <si>
    <t>2026-09-03T13:17:26.652291</t>
  </si>
  <si>
    <t>2026-09-03T13:17:26.597708</t>
  </si>
  <si>
    <t>2026-09-03T13:17:26.532807</t>
  </si>
  <si>
    <t>2026-09-03T13:17:26.455863</t>
  </si>
  <si>
    <t>2026-09-03T13:17:26.395056</t>
  </si>
  <si>
    <t>2026-09-03T13:17:26.340901</t>
  </si>
  <si>
    <t>2026-09-03T13:17:26.301152</t>
  </si>
  <si>
    <t>2026-09-03T13:17:26.268290</t>
  </si>
  <si>
    <t>2026-09-03T13:17:26.203745</t>
  </si>
  <si>
    <t>2026-09-03T13:17:26.124518</t>
  </si>
  <si>
    <t>2026-09-03T13:17:26.073238</t>
  </si>
  <si>
    <t>2026-09-03T13:17:25.899293</t>
  </si>
  <si>
    <t>2026-09-03T13:17:25.834260</t>
  </si>
  <si>
    <t>2026-09-03T13:17:25.787901</t>
  </si>
  <si>
    <t>2026-09-03T13:17:25.727707</t>
  </si>
  <si>
    <t>2026-09-03T13:17:25.684267</t>
  </si>
  <si>
    <t>2026-09-03T13:17:25.622298</t>
  </si>
  <si>
    <t>2026-09-03T13:17:25.565962</t>
  </si>
  <si>
    <t>2026-09-03T13:17:25.503675</t>
  </si>
  <si>
    <t>2026-09-03T13:17:25.431818</t>
  </si>
  <si>
    <t>2026-09-03T13:17:25.345957</t>
  </si>
  <si>
    <t>2026-09-03T13:17:25.273673</t>
  </si>
  <si>
    <t>2026-09-03T13:17:25.212777</t>
  </si>
  <si>
    <t>2026-09-03T13:17:25.172826</t>
  </si>
  <si>
    <t>2026-09-03T13:17:25.148571</t>
  </si>
  <si>
    <t>2026-09-03T13:17:25.115599</t>
  </si>
  <si>
    <t>2026-09-03T13:17:25.079611</t>
  </si>
  <si>
    <t>2026-09-03T13:17:25.060611</t>
  </si>
  <si>
    <t>2026-09-03T13:17:25.043287</t>
  </si>
  <si>
    <t>2026-09-03T13:17:25.015955</t>
  </si>
  <si>
    <t>2026-09-03T13:17:24.988506</t>
  </si>
  <si>
    <t>2026-09-03T13:17:24.960829</t>
  </si>
  <si>
    <t>2026-09-03T13:17:24.944844</t>
  </si>
  <si>
    <t>2026-09-03T13:17:24.916835</t>
  </si>
  <si>
    <t>2026-09-03T13:17:24.895574</t>
  </si>
  <si>
    <t>2026-09-03T13:17:24.879237</t>
  </si>
  <si>
    <t>2026-09-03T13:17:24.855746</t>
  </si>
  <si>
    <t>2026-09-03T13:17:24.832765</t>
  </si>
  <si>
    <t>2026-09-03T13:17:24.813460</t>
  </si>
  <si>
    <t>2026-09-03T13:17:24.802971</t>
  </si>
  <si>
    <t>2026-09-03T13:17:24.786985</t>
  </si>
  <si>
    <t>2026-09-03T13:17:24.775994</t>
  </si>
  <si>
    <t>2026-09-03T13:17:24.760218</t>
  </si>
  <si>
    <t>2026-09-03T13:17:24.740201</t>
  </si>
  <si>
    <t>2026-09-03T13:17:24.724682</t>
  </si>
  <si>
    <t>2026-09-03T13:17:24.708900</t>
  </si>
  <si>
    <t>2026-09-03T13:17:24.688418</t>
  </si>
  <si>
    <t>2026-09-03T13:17:24.672081</t>
  </si>
  <si>
    <t>2026-09-03T13:17:24.654511</t>
  </si>
  <si>
    <t>2026-09-03T13:17:24.627480</t>
  </si>
  <si>
    <t>2026-09-03T13:17:24.602384</t>
  </si>
  <si>
    <t>2026-09-03T13:17:24.582393</t>
  </si>
  <si>
    <t>2026-09-03T13:17:24.559682</t>
  </si>
  <si>
    <t>2026-09-03T13:17:24.538868</t>
  </si>
  <si>
    <t>2026-09-03T13:17:24.526483</t>
  </si>
  <si>
    <t>2026-09-03T13:17:24.510871</t>
  </si>
  <si>
    <t>2026-09-03T13:17:24.497857</t>
  </si>
  <si>
    <t>2026-09-03T13:17:24.476726</t>
  </si>
  <si>
    <t>2026-09-03T13:17:24.458387</t>
  </si>
  <si>
    <t>2026-09-03T13:17:24.442583</t>
  </si>
  <si>
    <t>2026-09-03T13:17:24.422700</t>
  </si>
  <si>
    <t>2026-09-03T13:17:24.412713</t>
  </si>
  <si>
    <t>2026-09-03T13:17:24.391037</t>
  </si>
  <si>
    <t>2026-09-03T13:17:24.371927</t>
  </si>
  <si>
    <t>2026-09-03T13:17:24.346481</t>
  </si>
  <si>
    <t>2026-09-03T13:17:24.329180</t>
  </si>
  <si>
    <t>2026-09-03T13:17:24.308043</t>
  </si>
  <si>
    <t>2026-09-03T13:17:24.288765</t>
  </si>
  <si>
    <t>2026-09-03T13:17:24.264488</t>
  </si>
  <si>
    <t>2026-09-03T13:17:24.247300</t>
  </si>
  <si>
    <t>2026-09-03T13:17:24.225993</t>
  </si>
  <si>
    <t>2026-09-03T13:17:24.211154</t>
  </si>
  <si>
    <t>2026-09-03T13:17:24.190634</t>
  </si>
  <si>
    <t>2026-09-03T13:17:24.176516</t>
  </si>
  <si>
    <t>2026-09-03T13:17:24.157219</t>
  </si>
  <si>
    <t>2026-09-03T13:17:24.129180</t>
  </si>
  <si>
    <t>2026-09-03T13:17:24.109291</t>
  </si>
  <si>
    <t>2026-09-03T13:17:24.082182</t>
  </si>
  <si>
    <t>2026-09-03T13:17:24.060616</t>
  </si>
  <si>
    <t>2026-09-03T13:17:24.031539</t>
  </si>
  <si>
    <t>2026-09-03T13:17:24.010444</t>
  </si>
  <si>
    <t>2026-09-03T13:17:23.984373</t>
  </si>
  <si>
    <t>2026-09-03T13:17:23.959464</t>
  </si>
  <si>
    <t>2026-09-03T13:17:23.941765</t>
  </si>
  <si>
    <t>2026-09-03T13:17:23.932031</t>
  </si>
  <si>
    <t>2026-09-03T13:17:23.920376</t>
  </si>
  <si>
    <t>2026-09-03T13:17:23.901616</t>
  </si>
  <si>
    <t>2026-09-03T13:17:23.886574</t>
  </si>
  <si>
    <t>2026-09-03T13:17:23.870898</t>
  </si>
  <si>
    <t>2026-09-03T13:17:23.848975</t>
  </si>
  <si>
    <t>2026-09-03T13:17:23.831807</t>
  </si>
  <si>
    <t>2026-09-03T13:17:23.815335</t>
  </si>
  <si>
    <t>2026-09-03T13:17:23.789033</t>
  </si>
  <si>
    <t>2026-09-03T13:17:23.769836</t>
  </si>
  <si>
    <t>2026-09-03T13:17:23.742351</t>
  </si>
  <si>
    <t>2026-09-03T13:17:23.719726</t>
  </si>
  <si>
    <t>2026-09-03T13:17:23.699481</t>
  </si>
  <si>
    <t>2026-09-03T13:17:23.671501</t>
  </si>
  <si>
    <t>2026-09-03T13:17:23.651710</t>
  </si>
  <si>
    <t>2026-09-03T13:17:23.636261</t>
  </si>
  <si>
    <t>2026-09-03T13:17:23.616126</t>
  </si>
  <si>
    <t>2026-09-03T13:17:23.592369</t>
  </si>
  <si>
    <t>2026-09-03T13:17:23.569174</t>
  </si>
  <si>
    <t>2026-09-03T13:17:23.539223</t>
  </si>
  <si>
    <t>2026-09-03T13:17:23.510111</t>
  </si>
  <si>
    <t>2026-09-03T13:17:23.490860</t>
  </si>
  <si>
    <t>2026-09-03T13:17:23.469480</t>
  </si>
  <si>
    <t>2026-09-03T13:17:23.450367</t>
  </si>
  <si>
    <t>2026-09-03T13:17:23.431284</t>
  </si>
  <si>
    <t>2026-09-03T13:17:23.407076</t>
  </si>
  <si>
    <t>2026-09-03T13:17:23.385355</t>
  </si>
  <si>
    <t>2026-09-03T13:17:23.371603</t>
  </si>
  <si>
    <t>2026-09-03T13:17:23.345482</t>
  </si>
  <si>
    <t>2026-09-03T13:17:23.330670</t>
  </si>
  <si>
    <t>2026-09-03T13:17:23.313102</t>
  </si>
  <si>
    <t>2026-09-03T13:17:23.291985</t>
  </si>
  <si>
    <t>2026-09-03T13:17:23.272655</t>
  </si>
  <si>
    <t>2026-09-03T13:17:23.252720</t>
  </si>
  <si>
    <t>2026-09-03T13:17:23.234167</t>
  </si>
  <si>
    <t>2026-09-03T13:17:23.213863</t>
  </si>
  <si>
    <t>2026-09-03T13:17:23.186910</t>
  </si>
  <si>
    <t>2026-09-03T13:17:23.163975</t>
  </si>
  <si>
    <t>2026-09-03T13:17:23.150359</t>
  </si>
  <si>
    <t>2026-09-03T13:17:23.131047</t>
  </si>
  <si>
    <t>2026-09-03T13:17:23.112296</t>
  </si>
  <si>
    <t>2026-09-03T13:17:23.096423</t>
  </si>
  <si>
    <t>2026-09-03T13:17:23.074520</t>
  </si>
  <si>
    <t>2026-09-03T13:17:23.049865</t>
  </si>
  <si>
    <t>2026-09-03T13:17:23.031744</t>
  </si>
  <si>
    <t>2026-09-03T13:17:23.004566</t>
  </si>
  <si>
    <t>2026-09-03T13:17:22.986894</t>
  </si>
  <si>
    <t>2026-09-03T13:17:22.965607</t>
  </si>
  <si>
    <t>2026-09-03T13:17:22.948140</t>
  </si>
  <si>
    <t>2026-09-03T13:17:22.927163</t>
  </si>
  <si>
    <t>2026-09-03T13:17:22.911805</t>
  </si>
  <si>
    <t>2026-09-03T13:17:22.892975</t>
  </si>
  <si>
    <t>2026-09-03T13:17:22.877887</t>
  </si>
  <si>
    <t>2026-09-03T13:17:22.855883</t>
  </si>
  <si>
    <t>2026-09-03T13:17:22.823725</t>
  </si>
  <si>
    <t>2026-09-03T13:17:22.775683</t>
  </si>
  <si>
    <t>2026-09-03T13:17:22.749155</t>
  </si>
  <si>
    <t>2026-09-03T13:17:22.733041</t>
  </si>
  <si>
    <t>2026-09-03T13:17:22.713620</t>
  </si>
  <si>
    <t>2026-09-03T13:17:22.675004</t>
  </si>
  <si>
    <t>2026-09-03T13:17:22.635935</t>
  </si>
  <si>
    <t>2026-09-03T13:17:22.600665</t>
  </si>
  <si>
    <t>2026-09-03T13:17:22.573110</t>
  </si>
  <si>
    <t>2026-09-03T13:17:22.526896</t>
  </si>
  <si>
    <t>2026-09-03T13:17:22.483783</t>
  </si>
  <si>
    <t>2026-09-03T13:17:22.450502</t>
  </si>
  <si>
    <t>2026-09-03T13:17:22.414830</t>
  </si>
  <si>
    <t>2026-09-03T13:17:22.397178</t>
  </si>
  <si>
    <t>2026-09-03T13:17:22.372552</t>
  </si>
  <si>
    <t>2026-09-03T13:17:22.356784</t>
  </si>
  <si>
    <t>2026-09-03T13:17:22.338397</t>
  </si>
  <si>
    <t>2026-09-03T13:17:22.311083</t>
  </si>
  <si>
    <t>2026-09-03T13:17:22.280573</t>
  </si>
  <si>
    <t>2026-09-03T13:17:22.259040</t>
  </si>
  <si>
    <t>2026-09-03T13:17:22.234480</t>
  </si>
  <si>
    <t>2026-09-03T13:17:22.213251</t>
  </si>
  <si>
    <t>2026-09-03T13:17:22.191253</t>
  </si>
  <si>
    <t>2026-09-03T13:17:22.167445</t>
  </si>
  <si>
    <t>2026-09-03T13:17:22.148736</t>
  </si>
  <si>
    <t>2026-09-03T13:17:22.129728</t>
  </si>
  <si>
    <t>2026-09-03T13:17:22.109733</t>
  </si>
  <si>
    <t>2026-09-03T13:17:22.088372</t>
  </si>
  <si>
    <t>2026-09-03T13:17:22.069242</t>
  </si>
  <si>
    <t>2026-09-03T13:17:22.050944</t>
  </si>
  <si>
    <t>2026-09-03T13:17:22.031805</t>
  </si>
  <si>
    <t>2026-09-03T13:17:22.006258</t>
  </si>
  <si>
    <t>2026-09-03T13:17:21.991268</t>
  </si>
  <si>
    <t>2026-09-03T13:17:21.975787</t>
  </si>
  <si>
    <t>2026-09-03T13:17:21.957394</t>
  </si>
  <si>
    <t>2026-09-03T13:17:21.934550</t>
  </si>
  <si>
    <t>2026-09-03T13:17:21.914282</t>
  </si>
  <si>
    <t>2026-09-03T13:17:21.893035</t>
  </si>
  <si>
    <t>2026-09-03T13:17:21.872969</t>
  </si>
  <si>
    <t>2026-09-03T13:17:21.858660</t>
  </si>
  <si>
    <t>2026-09-03T13:17:21.838058</t>
  </si>
  <si>
    <t>2026-09-03T13:17:21.823816</t>
  </si>
  <si>
    <t>2026-09-03T13:17:21.809763</t>
  </si>
  <si>
    <t>2026-09-03T13:17:21.796423</t>
  </si>
  <si>
    <t>2026-09-03T13:17:21.781051</t>
  </si>
  <si>
    <t>2026-09-03T13:17:21.762914</t>
  </si>
  <si>
    <t>2026-09-03T13:17:21.734088</t>
  </si>
  <si>
    <t>2026-09-03T13:17:21.712406</t>
  </si>
  <si>
    <t>2026-09-03T13:17:21.693407</t>
  </si>
  <si>
    <t>2026-09-03T13:17:21.678495</t>
  </si>
  <si>
    <t>2026-09-03T13:17:21.659151</t>
  </si>
  <si>
    <t>2026-09-03T13:17:21.636603</t>
  </si>
  <si>
    <t>2026-09-03T13:17:21.621670</t>
  </si>
  <si>
    <t>2026-09-03T13:17:21.601136</t>
  </si>
  <si>
    <t>2026-09-03T13:17:21.582825</t>
  </si>
  <si>
    <t>2026-09-03T13:17:21.564280</t>
  </si>
  <si>
    <t>2026-09-03T13:17:21.546957</t>
  </si>
  <si>
    <t>2026-09-03T13:17:21.525981</t>
  </si>
  <si>
    <t>2026-09-03T13:17:21.501911</t>
  </si>
  <si>
    <t>2026-09-03T13:17:21.478080</t>
  </si>
  <si>
    <t>2026-09-03T13:17:21.457077</t>
  </si>
  <si>
    <t>2026-09-03T13:17:21.444978</t>
  </si>
  <si>
    <t>2026-09-03T13:17:21.429484</t>
  </si>
  <si>
    <t>2026-09-03T13:17:21.408798</t>
  </si>
  <si>
    <t>2026-09-03T13:17:21.392309</t>
  </si>
  <si>
    <t>2026-09-03T13:17:21.371081</t>
  </si>
  <si>
    <t>2026-09-03T13:17:21.350219</t>
  </si>
  <si>
    <t>2026-09-03T13:17:21.331935</t>
  </si>
  <si>
    <t>2026-09-03T13:17:21.311502</t>
  </si>
  <si>
    <t>2026-09-03T13:17:21.298539</t>
  </si>
  <si>
    <t>2026-09-03T13:17:21.280705</t>
  </si>
  <si>
    <t>2026-09-03T13:17:21.255101</t>
  </si>
  <si>
    <t>2026-09-03T13:17:21.235772</t>
  </si>
  <si>
    <t>2026-09-03T13:17:21.212241</t>
  </si>
  <si>
    <t>2026-09-03T13:17:21.195075</t>
  </si>
  <si>
    <t>2026-09-03T13:17:21.178242</t>
  </si>
  <si>
    <t>2026-09-03T13:17:21.159050</t>
  </si>
  <si>
    <t>2026-09-03T13:17:21.137710</t>
  </si>
  <si>
    <t>2026-09-03T13:17:21.122127</t>
  </si>
  <si>
    <t>2026-09-03T13:17:21.107214</t>
  </si>
  <si>
    <t>2026-09-03T13:17:21.088379</t>
  </si>
  <si>
    <t>2026-09-03T13:17:21.074662</t>
  </si>
  <si>
    <t>2026-09-03T13:17:21.054704</t>
  </si>
  <si>
    <t>2026-09-03T13:17:21.039867</t>
  </si>
  <si>
    <t>2026-09-03T13:17:21.019552</t>
  </si>
  <si>
    <t>2026-09-03T13:17:20.998010</t>
  </si>
  <si>
    <t>2026-09-03T13:17:20.969221</t>
  </si>
  <si>
    <t>2026-09-03T13:17:20.942832</t>
  </si>
  <si>
    <t>2026-09-03T13:17:20.920330</t>
  </si>
  <si>
    <t>2026-09-03T13:17:20.891400</t>
  </si>
  <si>
    <t>2026-09-03T13:17:20.866203</t>
  </si>
  <si>
    <t>2026-09-03T13:17:20.844903</t>
  </si>
  <si>
    <t>2026-09-03T13:17:20.824890</t>
  </si>
  <si>
    <t>2026-09-03T13:17:20.801399</t>
  </si>
  <si>
    <t>2026-09-03T13:17:20.768794</t>
  </si>
  <si>
    <t>2026-09-03T13:17:20.755990</t>
  </si>
  <si>
    <t>2026-09-03T13:17:20.734926</t>
  </si>
  <si>
    <t>2026-09-03T13:17:20.711149</t>
  </si>
  <si>
    <t>2026-09-03T13:17:20.669380</t>
  </si>
  <si>
    <t>2026-09-03T13:17:20.648147</t>
  </si>
  <si>
    <t>2026-09-03T13:17:20.635148</t>
  </si>
  <si>
    <t>2026-09-03T13:17:20.613536</t>
  </si>
  <si>
    <t>2026-09-03T13:17:20.600332</t>
  </si>
  <si>
    <t>2026-09-03T13:17:20.575831</t>
  </si>
  <si>
    <t>2026-09-03T13:17:20.560621</t>
  </si>
  <si>
    <t>2026-09-03T13:17:20.533267</t>
  </si>
  <si>
    <t>2026-09-03T13:17:20.516966</t>
  </si>
  <si>
    <t>2026-09-03T13:17:20.497483</t>
  </si>
  <si>
    <t>2026-09-03T13:17:20.473261</t>
  </si>
  <si>
    <t>2026-09-03T13:17:20.454275</t>
  </si>
  <si>
    <t>2026-09-03T13:17:20.428724</t>
  </si>
  <si>
    <t>2026-09-03T13:17:20.402263</t>
  </si>
  <si>
    <t>2026-09-03T13:17:20.386376</t>
  </si>
  <si>
    <t>2026-09-03T13:17:20.366906</t>
  </si>
  <si>
    <t>2026-09-03T13:17:20.346661</t>
  </si>
  <si>
    <t>2026-09-03T13:17:20.330450</t>
  </si>
  <si>
    <t>2026-09-03T13:17:20.304148</t>
  </si>
  <si>
    <t>2026-09-03T13:17:20.217439</t>
  </si>
  <si>
    <t>2026-09-03T13:17:20.124554</t>
  </si>
  <si>
    <t>2026-09-03T13:17:20.063168</t>
  </si>
  <si>
    <t>2026-09-03T13:17:19.990924</t>
  </si>
  <si>
    <t>2026-09-03T13:17:19.974508</t>
  </si>
  <si>
    <t>2026-09-03T13:17:19.954223</t>
  </si>
  <si>
    <t>2026-09-03T13:17:19.931709</t>
  </si>
  <si>
    <t>2026-09-03T13:17:19.908841</t>
  </si>
  <si>
    <t>2026-09-03T13:17:19.894089</t>
  </si>
  <si>
    <t>2026-09-03T13:17:19.877675</t>
  </si>
  <si>
    <t>2026-09-03T13:17:19.856371</t>
  </si>
  <si>
    <t>2026-09-03T13:17:19.831375</t>
  </si>
  <si>
    <t>2026-09-03T13:17:19.815289</t>
  </si>
  <si>
    <t>2026-09-03T13:17:19.799853</t>
  </si>
  <si>
    <t>2026-09-03T13:17:19.774502</t>
  </si>
  <si>
    <t>2026-09-03T13:17:19.754425</t>
  </si>
  <si>
    <t>2026-09-03T13:17:19.734939</t>
  </si>
  <si>
    <t>2026-09-03T13:17:19.713469</t>
  </si>
  <si>
    <t>2026-09-03T13:17:19.704977</t>
  </si>
  <si>
    <t>2026-09-03T13:17:19.687700</t>
  </si>
  <si>
    <t>2026-09-03T13:17:19.658815</t>
  </si>
  <si>
    <t>2026-09-03T13:17:19.630188</t>
  </si>
  <si>
    <t>2026-09-03T13:17:19.580309</t>
  </si>
  <si>
    <t>2026-09-03T13:17:19.550551</t>
  </si>
  <si>
    <t>2026-09-03T13:17:19.526570</t>
  </si>
  <si>
    <t>2026-09-03T13:17:19.502829</t>
  </si>
  <si>
    <t>2026-09-03T13:17:19.470390</t>
  </si>
  <si>
    <t>2026-09-03T13:17:19.443899</t>
  </si>
  <si>
    <t>2026-09-03T13:17:19.408255</t>
  </si>
  <si>
    <t>2026-09-03T13:17:19.388792</t>
  </si>
  <si>
    <t>2026-09-03T13:17:19.370690</t>
  </si>
  <si>
    <t>2026-09-03T13:17:19.350597</t>
  </si>
  <si>
    <t>2026-09-03T13:17:19.335443</t>
  </si>
  <si>
    <t>2026-09-03T13:17:19.319408</t>
  </si>
  <si>
    <t>2026-09-03T13:17:19.304182</t>
  </si>
  <si>
    <t>2026-09-03T13:17:19.281273</t>
  </si>
  <si>
    <t>2026-09-03T13:17:19.267002</t>
  </si>
  <si>
    <t>2026-09-03T13:17:19.248146</t>
  </si>
  <si>
    <t>2026-09-03T13:17:19.226125</t>
  </si>
  <si>
    <t>2026-09-03T13:17:19.206453</t>
  </si>
  <si>
    <t>2026-09-03T13:17:19.193080</t>
  </si>
  <si>
    <t>2026-09-03T13:17:19.178217</t>
  </si>
  <si>
    <t>2026-09-03T13:17:19.158333</t>
  </si>
  <si>
    <t>2026-09-03T13:17:19.141567</t>
  </si>
  <si>
    <t>2026-09-03T13:17:19.124339</t>
  </si>
  <si>
    <t>2026-09-03T13:17:19.105222</t>
  </si>
  <si>
    <t>2026-09-03T13:17:19.088923</t>
  </si>
  <si>
    <t>2026-09-03T13:17:19.067219</t>
  </si>
  <si>
    <t>2026-09-03T13:17:19.053206</t>
  </si>
  <si>
    <t>2026-09-03T13:17:19.034768</t>
  </si>
  <si>
    <t>2026-09-03T13:17:19.023276</t>
  </si>
  <si>
    <t>2026-09-03T13:17:19.010970</t>
  </si>
  <si>
    <t>2026-09-03T13:17:18.991050</t>
  </si>
  <si>
    <t>2026-09-03T13:17:18.974450</t>
  </si>
  <si>
    <t>2026-09-03T13:17:18.955325</t>
  </si>
  <si>
    <t>2026-09-03T13:17:18.943735</t>
  </si>
  <si>
    <t>2026-09-03T13:17:18.930219</t>
  </si>
  <si>
    <t>2026-09-03T13:17:18.916751</t>
  </si>
  <si>
    <t>2026-09-03T13:17:18.901476</t>
  </si>
  <si>
    <t>2026-09-03T13:17:18.885788</t>
  </si>
  <si>
    <t>2026-09-03T13:17:18.866518</t>
  </si>
  <si>
    <t>2026-09-03T13:17:18.844279</t>
  </si>
  <si>
    <t>2026-09-03T13:17:18.828835</t>
  </si>
  <si>
    <t>2026-09-03T13:17:18.803702</t>
  </si>
  <si>
    <t>2026-09-03T13:17:18.777723</t>
  </si>
  <si>
    <t>2026-09-03T13:17:18.761994</t>
  </si>
  <si>
    <t>2026-09-03T13:17:18.750446</t>
  </si>
  <si>
    <t>2026-09-03T13:17:18.734443</t>
  </si>
  <si>
    <t>2026-09-03T13:17:18.721043</t>
  </si>
  <si>
    <t>2026-09-03T13:17:18.705083</t>
  </si>
  <si>
    <t>2026-09-03T13:17:18.679263</t>
  </si>
  <si>
    <t>2026-09-03T13:17:18.665753</t>
  </si>
  <si>
    <t>2026-09-03T13:17:18.642794</t>
  </si>
  <si>
    <t>2026-09-03T13:17:18.625148</t>
  </si>
  <si>
    <t>2026-09-03T13:17:18.597106</t>
  </si>
  <si>
    <t>2026-09-03T13:17:18.575941</t>
  </si>
  <si>
    <t>2026-09-03T13:17:18.554360</t>
  </si>
  <si>
    <t>2026-09-03T13:17:18.534016</t>
  </si>
  <si>
    <t>2026-09-03T13:17:18.516678</t>
  </si>
  <si>
    <t>2026-09-03T13:17:18.502957</t>
  </si>
  <si>
    <t>2026-09-03T13:17:18.487732</t>
  </si>
  <si>
    <t>2026-09-03T13:17:18.464288</t>
  </si>
  <si>
    <t>2026-09-03T13:17:18.436753</t>
  </si>
  <si>
    <t>2026-09-03T13:17:18.417418</t>
  </si>
  <si>
    <t>2026-09-03T13:17:18.401427</t>
  </si>
  <si>
    <t>2026-09-03T13:17:18.374401</t>
  </si>
  <si>
    <t>2026-09-03T13:17:18.359345</t>
  </si>
  <si>
    <t>2026-09-03T13:17:18.345890</t>
  </si>
  <si>
    <t>2026-09-03T13:17:18.330653</t>
  </si>
  <si>
    <t>2026-09-03T13:17:18.311384</t>
  </si>
  <si>
    <t>2026-09-03T13:17:18.291149</t>
  </si>
  <si>
    <t>2026-09-03T13:17:18.278416</t>
  </si>
  <si>
    <t>2026-09-03T13:17:18.260263</t>
  </si>
  <si>
    <t>2026-09-03T13:17:18.248727</t>
  </si>
  <si>
    <t>2026-09-03T13:17:18.237585</t>
  </si>
  <si>
    <t>2026-09-03T13:17:18.225451</t>
  </si>
  <si>
    <t>2026-09-03T13:17:18.213014</t>
  </si>
  <si>
    <t>2026-09-03T13:17:18.199845</t>
  </si>
  <si>
    <t>2026-09-03T13:17:18.181604</t>
  </si>
  <si>
    <t>2026-09-03T13:17:18.164347</t>
  </si>
  <si>
    <t>2026-09-03T13:17:18.149036</t>
  </si>
  <si>
    <t>2026-09-03T13:17:18.127153</t>
  </si>
  <si>
    <t>2026-09-03T13:17:18.102626</t>
  </si>
  <si>
    <t>2026-09-03T13:17:18.082995</t>
  </si>
  <si>
    <t>2026-09-03T13:17:18.068978</t>
  </si>
  <si>
    <t>2026-09-03T13:17:18.047656</t>
  </si>
  <si>
    <t>2026-09-03T13:17:18.018260</t>
  </si>
  <si>
    <t>2026-09-03T13:17:17.996061</t>
  </si>
  <si>
    <t>2026-09-03T13:17:17.982805</t>
  </si>
  <si>
    <t>2026-09-03T13:17:17.966340</t>
  </si>
  <si>
    <t>2026-09-03T13:17:17.946978</t>
  </si>
  <si>
    <t>2026-09-03T13:17:17.929013</t>
  </si>
  <si>
    <t>2026-09-03T13:17:17.918456</t>
  </si>
  <si>
    <t>2026-09-03T13:17:17.899629</t>
  </si>
  <si>
    <t>2026-09-03T13:17:17.883579</t>
  </si>
  <si>
    <t>2026-09-03T13:17:17.864766</t>
  </si>
  <si>
    <t>2026-09-03T13:17:17.850999</t>
  </si>
  <si>
    <t>2026-09-03T13:17:17.836047</t>
  </si>
  <si>
    <t>2026-09-03T13:17:17.817165</t>
  </si>
  <si>
    <t>2026-09-03T13:17:17.802170</t>
  </si>
  <si>
    <t>2026-09-03T13:17:17.783033</t>
  </si>
  <si>
    <t>2026-09-03T13:17:17.753354</t>
  </si>
  <si>
    <t>2026-09-03T13:17:17.732860</t>
  </si>
  <si>
    <t>2026-09-03T13:17:17.712858</t>
  </si>
  <si>
    <t>2026-09-03T13:17:17.699314</t>
  </si>
  <si>
    <t>2026-09-03T13:17:17.682726</t>
  </si>
  <si>
    <t>2026-09-03T13:17:17.659409</t>
  </si>
  <si>
    <t>2026-09-03T13:17:17.623922</t>
  </si>
  <si>
    <t>2026-09-03T13:17:17.595965</t>
  </si>
  <si>
    <t>2026-09-03T13:17:17.568218</t>
  </si>
  <si>
    <t>2026-09-03T13:17:17.546100</t>
  </si>
  <si>
    <t>2026-09-03T13:17:17.524584</t>
  </si>
  <si>
    <t>2026-09-03T13:17:17.503495</t>
  </si>
  <si>
    <t>2026-09-03T13:17:17.476396</t>
  </si>
  <si>
    <t>2026-09-03T13:17:17.457776</t>
  </si>
  <si>
    <t>2026-09-03T13:17:17.427542</t>
  </si>
  <si>
    <t>2026-09-03T13:17:17.401225</t>
  </si>
  <si>
    <t>2026-09-03T13:17:17.381310</t>
  </si>
  <si>
    <t>2026-09-03T13:17:17.367637</t>
  </si>
  <si>
    <t>2026-09-03T13:17:17.345826</t>
  </si>
  <si>
    <t>2026-09-03T13:17:17.324450</t>
  </si>
  <si>
    <t>2026-09-03T13:17:17.310586</t>
  </si>
  <si>
    <t>2026-09-03T13:17:17.290225</t>
  </si>
  <si>
    <t>2026-09-03T13:17:17.268997</t>
  </si>
  <si>
    <t>2026-09-03T13:17:17.248455</t>
  </si>
  <si>
    <t>2026-09-03T13:17:17.231968</t>
  </si>
  <si>
    <t>2026-09-03T13:17:17.210637</t>
  </si>
  <si>
    <t>2026-09-03T13:17:17.190825</t>
  </si>
  <si>
    <t>2026-09-03T13:17:17.175912</t>
  </si>
  <si>
    <t>2026-09-03T13:17:17.160690</t>
  </si>
  <si>
    <t>2026-09-03T13:17:17.148625</t>
  </si>
  <si>
    <t>2026-09-03T13:17:17.137909</t>
  </si>
  <si>
    <t>2026-09-03T13:17:17.117833</t>
  </si>
  <si>
    <t>2026-09-03T13:17:17.104091</t>
  </si>
  <si>
    <t>2026-09-03T13:17:17.088376</t>
  </si>
  <si>
    <t>2026-09-03T13:17:17.072609</t>
  </si>
  <si>
    <t>2026-09-03T13:17:17.047918</t>
  </si>
  <si>
    <t>2026-09-03T13:17:17.027942</t>
  </si>
  <si>
    <t>2026-09-03T13:17:16.998145</t>
  </si>
  <si>
    <t>2026-09-03T13:17:16.974462</t>
  </si>
  <si>
    <t>2026-09-03T13:17:16.958544</t>
  </si>
  <si>
    <t>2026-09-03T13:17:16.942695</t>
  </si>
  <si>
    <t>2026-09-03T13:17:16.929948</t>
  </si>
  <si>
    <t>2026-09-03T13:17:16.915886</t>
  </si>
  <si>
    <t>2026-09-03T13:17:16.899526</t>
  </si>
  <si>
    <t>2026-09-03T13:17:16.888815</t>
  </si>
  <si>
    <t>2026-09-03T13:17:16.872347</t>
  </si>
  <si>
    <t>2026-09-03T13:17:16.861039</t>
  </si>
  <si>
    <t>2026-09-03T13:17:16.844894</t>
  </si>
  <si>
    <t>2026-09-03T13:17:16.831589</t>
  </si>
  <si>
    <t>2026-09-03T13:17:16.815935</t>
  </si>
  <si>
    <t>2026-09-03T13:17:16.804150</t>
  </si>
  <si>
    <t>2026-09-03T13:17:16.781141</t>
  </si>
  <si>
    <t>2026-09-03T13:17:16.754933</t>
  </si>
  <si>
    <t>2026-09-03T13:17:16.720939</t>
  </si>
  <si>
    <t>2026-09-03T13:17:16.703971</t>
  </si>
  <si>
    <t>2026-09-03T13:17:16.677177</t>
  </si>
  <si>
    <t>2026-09-03T13:17:16.652249</t>
  </si>
  <si>
    <t>2026-09-03T13:17:16.619363</t>
  </si>
  <si>
    <t>2026-09-03T13:17:16.595000</t>
  </si>
  <si>
    <t>2026-09-03T13:17:16.562063</t>
  </si>
  <si>
    <t>2026-09-03T13:17:16.533895</t>
  </si>
  <si>
    <t>2026-09-03T13:17:16.513351</t>
  </si>
  <si>
    <t>2026-09-03T13:17:16.484738</t>
  </si>
  <si>
    <t>2026-09-03T13:17:16.465364</t>
  </si>
  <si>
    <t>2026-09-03T13:17:16.451599</t>
  </si>
  <si>
    <t>2026-09-03T13:17:16.429746</t>
  </si>
  <si>
    <t>2026-09-03T13:17:16.413651</t>
  </si>
  <si>
    <t>2026-09-03T13:17:16.396442</t>
  </si>
  <si>
    <t>2026-09-03T13:17:16.374704</t>
  </si>
  <si>
    <t>2026-09-03T13:17:16.360196</t>
  </si>
  <si>
    <t>2026-09-03T13:17:16.340687</t>
  </si>
  <si>
    <t>2026-09-03T13:17:16.325377</t>
  </si>
  <si>
    <t>2026-09-03T13:17:16.311046</t>
  </si>
  <si>
    <t>2026-09-03T13:17:16.294435</t>
  </si>
  <si>
    <t>2026-09-03T13:17:16.274497</t>
  </si>
  <si>
    <t>2026-09-03T13:17:16.255271</t>
  </si>
  <si>
    <t>2026-09-03T13:17:16.233650</t>
  </si>
  <si>
    <t>2026-09-03T13:17:16.218701</t>
  </si>
  <si>
    <t>2026-09-03T13:17:16.205335</t>
  </si>
  <si>
    <t>2026-09-03T13:17:16.189696</t>
  </si>
  <si>
    <t>2026-09-03T13:17:16.176761</t>
  </si>
  <si>
    <t>2026-09-03T13:17:16.156256</t>
  </si>
  <si>
    <t>2026-09-03T13:17:16.139205</t>
  </si>
  <si>
    <t>2026-09-03T13:17:16.123623</t>
  </si>
  <si>
    <t>2026-09-03T13:17:16.110180</t>
  </si>
  <si>
    <t>2026-09-03T13:17:16.098271</t>
  </si>
  <si>
    <t>2026-09-03T13:17:16.075338</t>
  </si>
  <si>
    <t>2026-09-03T13:17:16.052071</t>
  </si>
  <si>
    <t>2026-09-03T13:17:16.039720</t>
  </si>
  <si>
    <t>2026-09-03T13:17:16.019100</t>
  </si>
  <si>
    <t>2026-09-03T13:17:15.991200</t>
  </si>
  <si>
    <t>2026-09-03T13:17:15.973745</t>
  </si>
  <si>
    <t>2026-09-03T13:17:15.963056</t>
  </si>
  <si>
    <t>2026-09-03T13:17:15.950359</t>
  </si>
  <si>
    <t>2026-09-03T13:17:15.941431</t>
  </si>
  <si>
    <t>2026-09-03T13:17:15.923307</t>
  </si>
  <si>
    <t>2026-09-03T13:17:15.906417</t>
  </si>
  <si>
    <t>2026-09-03T13:17:15.888614</t>
  </si>
  <si>
    <t>2026-09-03T13:17:15.874242</t>
  </si>
  <si>
    <t>2026-09-03T13:17:15.858146</t>
  </si>
  <si>
    <t>2026-09-03T13:17:15.844056</t>
  </si>
  <si>
    <t>2026-09-03T13:17:15.826492</t>
  </si>
  <si>
    <t>2026-09-03T13:17:15.811133</t>
  </si>
  <si>
    <t>2026-09-03T13:17:15.797458</t>
  </si>
  <si>
    <t>2026-09-03T13:17:15.780429</t>
  </si>
  <si>
    <t>2026-09-03T13:17:15.764060</t>
  </si>
  <si>
    <t>2026-09-03T13:17:15.739113</t>
  </si>
  <si>
    <t>2026-09-03T13:17:15.724652</t>
  </si>
  <si>
    <t>2026-09-03T13:17:15.708932</t>
  </si>
  <si>
    <t>2026-09-03T13:17:15.694823</t>
  </si>
  <si>
    <t>2026-09-03T13:17:15.685993</t>
  </si>
  <si>
    <t>2026-09-03T13:17:15.665547</t>
  </si>
  <si>
    <t>2026-09-03T13:17:15.649262</t>
  </si>
  <si>
    <t>2026-09-03T13:17:15.631914</t>
  </si>
  <si>
    <t>2026-09-03T13:17:15.610158</t>
  </si>
  <si>
    <t>2026-09-03T13:17:15.593199</t>
  </si>
  <si>
    <t>2026-09-03T13:17:15.572092</t>
  </si>
  <si>
    <t>2026-09-03T13:17:15.551669</t>
  </si>
  <si>
    <t>2026-09-03T13:17:15.526509</t>
  </si>
  <si>
    <t>2026-09-03T13:17:15.510821</t>
  </si>
  <si>
    <t>2026-09-03T13:17:15.489915</t>
  </si>
  <si>
    <t>2026-09-03T13:17:15.457911</t>
  </si>
  <si>
    <t>2026-09-03T13:17:15.437419</t>
  </si>
  <si>
    <t>2026-09-03T13:17:15.422336</t>
  </si>
  <si>
    <t>2026-09-03T13:17:15.409036</t>
  </si>
  <si>
    <t>2026-09-03T13:17:15.393061</t>
  </si>
  <si>
    <t>2026-09-03T13:17:15.372193</t>
  </si>
  <si>
    <t>2026-09-03T13:17:15.356883</t>
  </si>
  <si>
    <t>2026-09-03T13:17:15.340565</t>
  </si>
  <si>
    <t>2026-09-03T13:17:15.319226</t>
  </si>
  <si>
    <t>2026-09-03T13:17:15.292182</t>
  </si>
  <si>
    <t>2026-09-03T13:17:15.270126</t>
  </si>
  <si>
    <t>2026-09-03T13:17:15.242440</t>
  </si>
  <si>
    <t>2026-09-03T13:17:15.227599</t>
  </si>
  <si>
    <t>2026-09-03T13:17:15.209047</t>
  </si>
  <si>
    <t>2026-09-03T13:17:15.191556</t>
  </si>
  <si>
    <t>2026-09-03T13:17:15.170325</t>
  </si>
  <si>
    <t>2026-09-03T13:17:15.146358</t>
  </si>
  <si>
    <t>2026-09-03T13:17:15.132505</t>
  </si>
  <si>
    <t>2026-09-03T13:17:15.116687</t>
  </si>
  <si>
    <t>2026-09-03T13:17:15.106594</t>
  </si>
  <si>
    <t>2026-09-03T13:17:15.097417</t>
  </si>
  <si>
    <t>2026-09-03T13:17:15.086164</t>
  </si>
  <si>
    <t>2026-09-03T13:17:15.067735</t>
  </si>
  <si>
    <t>2026-09-03T13:17:15.052516</t>
  </si>
  <si>
    <t>2026-09-03T13:17:15.041068</t>
  </si>
  <si>
    <t>2026-09-03T13:17:15.030621</t>
  </si>
  <si>
    <t>2026-09-03T13:17:15.004693</t>
  </si>
  <si>
    <t>2026-09-03T13:17:14.984851</t>
  </si>
  <si>
    <t>2026-09-03T13:17:14.964864</t>
  </si>
  <si>
    <t>2026-09-03T13:17:14.950179</t>
  </si>
  <si>
    <t>2026-09-03T13:17:14.936492</t>
  </si>
  <si>
    <t>2026-09-03T13:17:14.926301</t>
  </si>
  <si>
    <t>2026-09-03T13:17:14.908606</t>
  </si>
  <si>
    <t>2026-09-03T13:17:14.898252</t>
  </si>
  <si>
    <t>2026-09-03T13:17:14.882519</t>
  </si>
  <si>
    <t>2026-09-03T13:17:14.864096</t>
  </si>
  <si>
    <t>2026-09-03T13:17:14.845891</t>
  </si>
  <si>
    <t>2026-09-03T13:17:14.831636</t>
  </si>
  <si>
    <t>2026-09-03T13:17:14.818410</t>
  </si>
  <si>
    <t>2026-09-03T13:17:14.801683</t>
  </si>
  <si>
    <t>2026-09-03T13:17:14.787595</t>
  </si>
  <si>
    <t>2026-09-03T13:17:14.766948</t>
  </si>
  <si>
    <t>2026-09-03T13:17:14.752100</t>
  </si>
  <si>
    <t>2026-09-03T13:17:14.737537</t>
  </si>
  <si>
    <t>2026-09-03T13:17:14.714653</t>
  </si>
  <si>
    <t>2026-09-03T13:17:14.690012</t>
  </si>
  <si>
    <t>2026-09-03T13:17:14.672658</t>
  </si>
  <si>
    <t>2026-09-03T13:17:14.645946</t>
  </si>
  <si>
    <t>2026-09-03T13:17:14.622979</t>
  </si>
  <si>
    <t>2026-09-03T13:17:14.602596</t>
  </si>
  <si>
    <t>2026-09-03T13:17:14.581483</t>
  </si>
  <si>
    <t>2026-09-03T13:17:14.551465</t>
  </si>
  <si>
    <t>2026-09-03T13:17:14.534559</t>
  </si>
  <si>
    <t>2026-09-03T13:17:14.514020</t>
  </si>
  <si>
    <t>2026-09-03T13:17:14.488036</t>
  </si>
  <si>
    <t>2026-09-03T13:17:14.463933</t>
  </si>
  <si>
    <t>2026-09-03T13:17:14.444287</t>
  </si>
  <si>
    <t>2026-09-03T13:17:14.417209</t>
  </si>
  <si>
    <t>2026-09-03T13:17:14.405312</t>
  </si>
  <si>
    <t>2026-09-03T13:17:14.383496</t>
  </si>
  <si>
    <t>2026-09-03T13:17:14.368669</t>
  </si>
  <si>
    <t>2026-09-03T13:17:14.355178</t>
  </si>
  <si>
    <t>2026-09-03T13:17:14.340266</t>
  </si>
  <si>
    <t>2026-09-03T13:17:14.324708</t>
  </si>
  <si>
    <t>2026-09-03T13:17:14.312959</t>
  </si>
  <si>
    <t>2026-09-03T13:17:14.295813</t>
  </si>
  <si>
    <t>2026-09-03T13:17:14.277996</t>
  </si>
  <si>
    <t>2026-09-03T13:17:14.256741</t>
  </si>
  <si>
    <t>2026-09-03T13:17:14.240550</t>
  </si>
  <si>
    <t>2026-09-03T13:17:14.225282</t>
  </si>
  <si>
    <t>2026-09-03T13:17:14.206723</t>
  </si>
  <si>
    <t>2026-09-03T13:17:14.192603</t>
  </si>
  <si>
    <t>2026-09-03T13:17:14.178336</t>
  </si>
  <si>
    <t>2026-09-03T13:17:14.165116</t>
  </si>
  <si>
    <t>2026-09-03T13:17:14.152786</t>
  </si>
  <si>
    <t>2026-09-03T13:17:14.139029</t>
  </si>
  <si>
    <t>2026-09-03T13:17:14.127638</t>
  </si>
  <si>
    <t>2026-09-03T13:17:14.111006</t>
  </si>
  <si>
    <t>2026-09-03T13:17:14.100532</t>
  </si>
  <si>
    <t>2026-09-03T13:17:14.081549</t>
  </si>
  <si>
    <t>2026-09-03T13:17:14.067699</t>
  </si>
  <si>
    <t>2026-09-03T13:17:14.056364</t>
  </si>
  <si>
    <t>2026-09-03T13:17:14.040983</t>
  </si>
  <si>
    <t>2026-09-03T13:17:14.025442</t>
  </si>
  <si>
    <t>2026-09-03T13:17:14.010729</t>
  </si>
  <si>
    <t>2026-09-03T13:17:13.997337</t>
  </si>
  <si>
    <t>2026-09-03T13:17:13.983398</t>
  </si>
  <si>
    <t>2026-09-03T13:17:13.972080</t>
  </si>
  <si>
    <t>2026-09-03T13:17:13.956547</t>
  </si>
  <si>
    <t>2026-09-03T13:17:13.931014</t>
  </si>
  <si>
    <t>2026-09-03T13:17:13.910214</t>
  </si>
  <si>
    <t>2026-09-03T13:17:13.898331</t>
  </si>
  <si>
    <t>2026-09-03T13:17:13.886627</t>
  </si>
  <si>
    <t>2026-09-03T13:17:13.870314</t>
  </si>
  <si>
    <t>2026-09-03T13:17:13.859684</t>
  </si>
  <si>
    <t>2026-09-03T13:17:13.847700</t>
  </si>
  <si>
    <t>2026-09-03T13:17:13.826810</t>
  </si>
  <si>
    <t>2026-09-03T13:17:13.810378</t>
  </si>
  <si>
    <t>2026-09-03T13:17:13.791098</t>
  </si>
  <si>
    <t>2026-09-03T13:17:13.776153</t>
  </si>
  <si>
    <t>2026-09-03T13:17:13.757223</t>
  </si>
  <si>
    <t>2026-09-03T13:17:13.745315</t>
  </si>
  <si>
    <t>2026-09-03T13:17:13.722966</t>
  </si>
  <si>
    <t>2026-09-03T13:17:13.703506</t>
  </si>
  <si>
    <t>2026-09-03T13:17:13.685279</t>
  </si>
  <si>
    <t>2026-09-03T13:17:13.665782</t>
  </si>
  <si>
    <t>2026-09-03T13:17:13.650758</t>
  </si>
  <si>
    <t>2026-09-03T13:17:13.636810</t>
  </si>
  <si>
    <t>2026-09-03T13:17:13.619285</t>
  </si>
  <si>
    <t>2026-09-03T13:17:13.596228</t>
  </si>
  <si>
    <t>2026-09-03T13:17:13.580898</t>
  </si>
  <si>
    <t>2026-09-03T13:17:13.569221</t>
  </si>
  <si>
    <t>2026-09-03T13:17:13.550324</t>
  </si>
  <si>
    <t>2026-09-03T13:17:13.529289</t>
  </si>
  <si>
    <t>2026-09-03T13:17:13.514234</t>
  </si>
  <si>
    <t>2026-09-03T13:17:13.500264</t>
  </si>
  <si>
    <t>2026-09-03T13:17:13.478005</t>
  </si>
  <si>
    <t>2026-09-03T13:17:13.464890</t>
  </si>
  <si>
    <t>2026-09-03T13:17:13.450779</t>
  </si>
  <si>
    <t>2026-09-03T13:17:13.436383</t>
  </si>
  <si>
    <t>2026-09-03T13:17:13.412801</t>
  </si>
  <si>
    <t>2026-09-03T13:17:13.394438</t>
  </si>
  <si>
    <t>2026-09-03T13:17:13.373728</t>
  </si>
  <si>
    <t>2026-09-03T13:17:13.359162</t>
  </si>
  <si>
    <t>2026-09-03T13:17:13.347309</t>
  </si>
  <si>
    <t>2026-09-03T13:17:13.327397</t>
  </si>
  <si>
    <t>2026-09-03T13:17:13.313009</t>
  </si>
  <si>
    <t>2026-09-03T13:17:13.297464</t>
  </si>
  <si>
    <t>2026-09-03T13:17:13.285890</t>
  </si>
  <si>
    <t>2026-09-03T13:17:13.269572</t>
  </si>
  <si>
    <t>2026-09-03T13:17:13.249389</t>
  </si>
  <si>
    <t>2026-09-03T13:17:13.236443</t>
  </si>
  <si>
    <t>2026-09-03T13:17:13.221208</t>
  </si>
  <si>
    <t>2026-09-03T13:17:13.204987</t>
  </si>
  <si>
    <t>2026-09-03T13:17:13.181107</t>
  </si>
  <si>
    <t>2026-09-03T13:17:13.161037</t>
  </si>
  <si>
    <t>2026-09-03T13:17:13.144662</t>
  </si>
  <si>
    <t>2026-09-03T13:17:13.124002</t>
  </si>
  <si>
    <t>2026-09-03T13:17:13.106011</t>
  </si>
  <si>
    <t>2026-09-03T13:17:13.090807</t>
  </si>
  <si>
    <t>2026-09-03T13:17:13.076230</t>
  </si>
  <si>
    <t>2026-09-03T13:17:13.063055</t>
  </si>
  <si>
    <t>2026-09-03T13:17:13.039556</t>
  </si>
  <si>
    <t>2026-09-03T13:17:13.000169</t>
  </si>
  <si>
    <t>2026-09-03T13:17:12.970212</t>
  </si>
  <si>
    <t>2026-09-03T13:17:12.947875</t>
  </si>
  <si>
    <t>2026-09-03T13:17:12.926541</t>
  </si>
  <si>
    <t>2026-09-03T13:17:12.907938</t>
  </si>
  <si>
    <t>2026-09-03T13:17:12.887720</t>
  </si>
  <si>
    <t>2026-09-03T13:17:12.875137</t>
  </si>
  <si>
    <t>2026-09-03T13:17:12.858112</t>
  </si>
  <si>
    <t>2026-09-03T13:17:12.841260</t>
  </si>
  <si>
    <t>2026-09-03T13:17:12.826510</t>
  </si>
  <si>
    <t>2026-09-03T13:17:12.812090</t>
  </si>
  <si>
    <t>2026-09-03T13:17:12.798364</t>
  </si>
  <si>
    <t>2026-09-03T13:17:12.777888</t>
  </si>
  <si>
    <t>2026-09-03T13:17:12.756898</t>
  </si>
  <si>
    <t>2026-09-03T13:17:12.739139</t>
  </si>
  <si>
    <t>2026-09-03T13:17:12.715310</t>
  </si>
  <si>
    <t>2026-09-03T13:17:12.700833</t>
  </si>
  <si>
    <t>2026-09-03T13:17:12.673630</t>
  </si>
  <si>
    <t>2026-09-03T13:17:12.657047</t>
  </si>
  <si>
    <t>2026-09-03T13:17:12.627614</t>
  </si>
  <si>
    <t>2026-09-03T13:17:12.591150</t>
  </si>
  <si>
    <t>2026-09-03T13:17:12.561170</t>
  </si>
  <si>
    <t>2026-09-03T13:17:12.543631</t>
  </si>
  <si>
    <t>2026-09-03T13:17:12.499148</t>
  </si>
  <si>
    <t>2026-09-03T13:17:12.471382</t>
  </si>
  <si>
    <t>2026-09-03T13:17:12.443914</t>
  </si>
  <si>
    <t>2026-09-03T13:17:12.415727</t>
  </si>
  <si>
    <t>2026-09-03T13:17:12.380336</t>
  </si>
  <si>
    <t>2026-09-03T13:17:12.363836</t>
  </si>
  <si>
    <t>2026-09-03T13:17:12.344357</t>
  </si>
  <si>
    <t>2026-09-03T13:17:12.329580</t>
  </si>
  <si>
    <t>2026-09-03T13:17:12.318539</t>
  </si>
  <si>
    <t>2026-09-03T13:17:12.299633</t>
  </si>
  <si>
    <t>2026-09-03T13:17:12.281499</t>
  </si>
  <si>
    <t>2026-09-03T13:17:12.268916</t>
  </si>
  <si>
    <t>2026-09-03T13:17:12.248424</t>
  </si>
  <si>
    <t>2026-09-03T13:17:12.227183</t>
  </si>
  <si>
    <t>2026-09-03T13:17:12.211177</t>
  </si>
  <si>
    <t>2026-09-03T13:17:12.192237</t>
  </si>
  <si>
    <t>2026-09-03T13:17:12.174046</t>
  </si>
  <si>
    <t>2026-09-03T13:17:12.159527</t>
  </si>
  <si>
    <t>2026-09-03T13:17:12.138416</t>
  </si>
  <si>
    <t>2026-09-03T13:17:12.122238</t>
  </si>
  <si>
    <t>2026-09-03T13:17:12.103015</t>
  </si>
  <si>
    <t>2026-09-03T13:17:12.087245</t>
  </si>
  <si>
    <t>2026-09-03T13:17:12.075067</t>
  </si>
  <si>
    <t>2026-09-03T13:17:12.062183</t>
  </si>
  <si>
    <t>2026-09-03T13:17:12.046472</t>
  </si>
  <si>
    <t>2026-09-03T13:17:12.031410</t>
  </si>
  <si>
    <t>2026-09-03T13:17:12.018640</t>
  </si>
  <si>
    <t>2026-09-03T13:17:12.005110</t>
  </si>
  <si>
    <t>2026-09-03T13:17:11.992011</t>
  </si>
  <si>
    <t>2026-09-03T13:17:11.971632</t>
  </si>
  <si>
    <t>2026-09-03T13:17:11.955689</t>
  </si>
  <si>
    <t>2026-09-03T13:17:11.943939</t>
  </si>
  <si>
    <t>2026-09-03T13:17:11.927134</t>
  </si>
  <si>
    <t>2026-09-03T13:17:11.907808</t>
  </si>
  <si>
    <t>2026-09-03T13:17:11.892047</t>
  </si>
  <si>
    <t>2026-09-03T13:17:11.876775</t>
  </si>
  <si>
    <t>2026-09-03T13:17:11.859533</t>
  </si>
  <si>
    <t>2026-09-03T13:17:11.846456</t>
  </si>
  <si>
    <t>2026-09-03T13:17:11.830969</t>
  </si>
  <si>
    <t>2026-09-03T13:17:11.819651</t>
  </si>
  <si>
    <t>2026-09-03T13:17:11.810206</t>
  </si>
  <si>
    <t>2026-09-03T13:17:11.799981</t>
  </si>
  <si>
    <t>2026-09-03T13:17:11.775771</t>
  </si>
  <si>
    <t>2026-09-03T13:17:11.761179</t>
  </si>
  <si>
    <t>2026-09-03T13:17:11.735869</t>
  </si>
  <si>
    <t>2026-09-03T13:17:11.723495</t>
  </si>
  <si>
    <t>2026-09-03T13:17:11.698950</t>
  </si>
  <si>
    <t>2026-09-03T13:17:11.673285</t>
  </si>
  <si>
    <t>2026-09-03T13:17:11.660288</t>
  </si>
  <si>
    <t>2026-09-03T13:17:11.625192</t>
  </si>
  <si>
    <t>2026-09-03T13:17:11.594288</t>
  </si>
  <si>
    <t>2026-09-03T13:17:11.570678</t>
  </si>
  <si>
    <t>2026-09-03T13:17:11.546439</t>
  </si>
  <si>
    <t>2026-09-03T13:17:11.531341</t>
  </si>
  <si>
    <t>2026-09-03T13:17:11.510165</t>
  </si>
  <si>
    <t>2026-09-03T13:17:11.490161</t>
  </si>
  <si>
    <t>2026-09-03T13:17:11.471177</t>
  </si>
  <si>
    <t>2026-09-03T13:17:11.449872</t>
  </si>
  <si>
    <t>2026-09-03T13:17:11.422900</t>
  </si>
  <si>
    <t>2026-09-03T13:17:11.393344</t>
  </si>
  <si>
    <t>2026-09-03T13:17:11.360192</t>
  </si>
  <si>
    <t>2026-09-03T13:17:11.340964</t>
  </si>
  <si>
    <t>2026-09-03T13:17:11.321374</t>
  </si>
  <si>
    <t>2026-09-03T13:17:11.304632</t>
  </si>
  <si>
    <t>2026-09-03T13:17:11.283727</t>
  </si>
  <si>
    <t>2026-09-03T13:17:11.264919</t>
  </si>
  <si>
    <t>2026-09-03T13:17:11.246462</t>
  </si>
  <si>
    <t>2026-09-03T13:17:11.233682</t>
  </si>
  <si>
    <t>2026-09-03T13:17:11.220789</t>
  </si>
  <si>
    <t>2026-09-03T13:17:11.208133</t>
  </si>
  <si>
    <t>2026-09-03T13:17:11.181332</t>
  </si>
  <si>
    <t>2026-09-03T13:17:11.169444</t>
  </si>
  <si>
    <t>2026-09-03T13:17:11.152816</t>
  </si>
  <si>
    <t>2026-09-03T13:17:11.125424</t>
  </si>
  <si>
    <t>2026-09-03T13:17:11.103473</t>
  </si>
  <si>
    <t>2026-09-03T13:17:11.079890</t>
  </si>
  <si>
    <t>2026-09-03T13:17:11.060714</t>
  </si>
  <si>
    <t>2026-09-03T13:17:11.048304</t>
  </si>
  <si>
    <t>2026-09-03T13:17:11.025124</t>
  </si>
  <si>
    <t>2026-09-03T13:17:11.007852</t>
  </si>
  <si>
    <t>2026-09-03T13:17:10.992609</t>
  </si>
  <si>
    <t>2026-09-03T13:17:10.976980</t>
  </si>
  <si>
    <t>2026-09-03T13:17:10.956334</t>
  </si>
  <si>
    <t>2026-09-03T13:17:10.936188</t>
  </si>
  <si>
    <t>2026-09-03T13:17:10.923446</t>
  </si>
  <si>
    <t>2026-09-03T13:17:10.909229</t>
  </si>
  <si>
    <t>2026-09-03T13:17:10.890487</t>
  </si>
  <si>
    <t>2026-09-03T13:17:10.876036</t>
  </si>
  <si>
    <t>2026-09-03T13:17:10.859614</t>
  </si>
  <si>
    <t>2026-09-03T13:17:10.839730</t>
  </si>
  <si>
    <t>2026-09-03T13:17:10.814979</t>
  </si>
  <si>
    <t>2026-09-03T13:17:10.791322</t>
  </si>
  <si>
    <t>2026-09-03T13:17:10.771135</t>
  </si>
  <si>
    <t>2026-09-03T13:17:10.756164</t>
  </si>
  <si>
    <t>2026-09-03T13:17:10.736474</t>
  </si>
  <si>
    <t>2026-09-03T13:17:10.719693</t>
  </si>
  <si>
    <t>2026-09-03T13:17:10.700065</t>
  </si>
  <si>
    <t>2026-09-03T13:17:10.658320</t>
  </si>
  <si>
    <t>2026-09-03T13:17:10.629480</t>
  </si>
  <si>
    <t>2026-09-03T13:17:10.576004</t>
  </si>
  <si>
    <t>2026-09-03T13:17:10.520496</t>
  </si>
  <si>
    <t>2026-09-03T13:17:10.476377</t>
  </si>
  <si>
    <t>2026-09-03T13:17:10.429835</t>
  </si>
  <si>
    <t>2026-09-03T13:17:10.382389</t>
  </si>
  <si>
    <t>2026-09-03T13:17:10.354099</t>
  </si>
  <si>
    <t>2026-09-03T13:17:10.340602</t>
  </si>
  <si>
    <t>2026-09-03T13:17:10.318696</t>
  </si>
  <si>
    <t>2026-09-03T13:17:10.298922</t>
  </si>
  <si>
    <t>2026-09-03T13:17:10.287813</t>
  </si>
  <si>
    <t>2026-09-03T13:17:10.265488</t>
  </si>
  <si>
    <t>2026-09-03T13:17:10.250643</t>
  </si>
  <si>
    <t>2026-09-03T13:17:10.233800</t>
  </si>
  <si>
    <t>2026-09-03T13:17:10.215871</t>
  </si>
  <si>
    <t>2026-09-03T13:17:10.200287</t>
  </si>
  <si>
    <t>2026-09-03T13:17:10.185907</t>
  </si>
  <si>
    <t>2026-09-03T13:17:10.161009</t>
  </si>
  <si>
    <t>2026-09-03T13:17:10.142220</t>
  </si>
  <si>
    <t>2026-09-03T13:17:10.129858</t>
  </si>
  <si>
    <t>2026-09-03T13:17:10.103432</t>
  </si>
  <si>
    <t>2026-09-03T13:17:10.080501</t>
  </si>
  <si>
    <t>2026-09-03T13:17:10.062432</t>
  </si>
  <si>
    <t>2026-09-03T13:17:10.040770</t>
  </si>
  <si>
    <t>2026-09-03T13:17:10.020487</t>
  </si>
  <si>
    <t>2026-09-03T13:17:10.000430</t>
  </si>
  <si>
    <t>2026-09-03T13:17:09.987551</t>
  </si>
  <si>
    <t>2026-09-03T13:17:09.970743</t>
  </si>
  <si>
    <t>2026-09-03T13:17:09.951239</t>
  </si>
  <si>
    <t>2026-09-03T13:17:09.931284</t>
  </si>
  <si>
    <t>2026-09-03T13:17:09.911529</t>
  </si>
  <si>
    <t>2026-09-03T13:17:09.896307</t>
  </si>
  <si>
    <t>2026-09-03T13:17:09.885626</t>
  </si>
  <si>
    <t>2026-09-03T13:17:09.863914</t>
  </si>
  <si>
    <t>2026-09-03T13:17:09.846276</t>
  </si>
  <si>
    <t>2026-09-03T13:17:09.824647</t>
  </si>
  <si>
    <t>2026-09-03T13:17:09.805336</t>
  </si>
  <si>
    <t>2026-09-03T13:17:09.781566</t>
  </si>
  <si>
    <t>2026-09-03T13:17:09.761535</t>
  </si>
  <si>
    <t>2026-09-03T13:17:09.736954</t>
  </si>
  <si>
    <t>2026-09-03T13:17:09.720651</t>
  </si>
  <si>
    <t>2026-09-03T13:17:09.708652</t>
  </si>
  <si>
    <t>2026-09-03T13:17:09.700196</t>
  </si>
  <si>
    <t>2026-09-03T13:17:09.684061</t>
  </si>
  <si>
    <t>2026-09-03T13:17:09.673549</t>
  </si>
  <si>
    <t>2026-09-03T13:17:09.661902</t>
  </si>
  <si>
    <t>2026-09-03T13:17:09.643803</t>
  </si>
  <si>
    <t>2026-09-03T13:17:09.616206</t>
  </si>
  <si>
    <t>2026-09-03T13:17:09.599877</t>
  </si>
  <si>
    <t>2026-09-03T13:17:09.576146</t>
  </si>
  <si>
    <t>2026-09-03T13:17:09.560114</t>
  </si>
  <si>
    <t>2026-09-03T13:17:09.539238</t>
  </si>
  <si>
    <t>2026-09-03T13:17:09.519017</t>
  </si>
  <si>
    <t>2026-09-03T13:17:09.504606</t>
  </si>
  <si>
    <t>2026-09-03T13:17:09.483597</t>
  </si>
  <si>
    <t>2026-09-03T13:17:09.465540</t>
  </si>
  <si>
    <t>2026-09-03T13:17:09.445793</t>
  </si>
  <si>
    <t>2026-09-03T13:17:09.428086</t>
  </si>
  <si>
    <t>2026-09-03T13:17:09.415233</t>
  </si>
  <si>
    <t>2026-09-03T13:17:09.393034</t>
  </si>
  <si>
    <t>2026-09-03T13:17:09.377466</t>
  </si>
  <si>
    <t>2026-09-03T13:17:09.361597</t>
  </si>
  <si>
    <t>2026-09-03T13:17:09.347657</t>
  </si>
  <si>
    <t>2026-09-03T13:17:09.327209</t>
  </si>
  <si>
    <t>2026-09-03T13:17:09.312434</t>
  </si>
  <si>
    <t>2026-09-03T13:17:09.291402</t>
  </si>
  <si>
    <t>2026-09-03T13:17:09.275568</t>
  </si>
  <si>
    <t>2026-09-03T13:17:09.260692</t>
  </si>
  <si>
    <t>2026-09-03T13:17:09.249037</t>
  </si>
  <si>
    <t>2026-09-03T13:17:09.234603</t>
  </si>
  <si>
    <t>2026-09-03T13:17:09.224243</t>
  </si>
  <si>
    <t>2026-09-03T13:17:09.206549</t>
  </si>
  <si>
    <t>2026-09-03T13:17:09.187551</t>
  </si>
  <si>
    <t>2026-09-03T13:17:09.174898</t>
  </si>
  <si>
    <t>2026-09-03T13:17:09.156435</t>
  </si>
  <si>
    <t>2026-09-03T13:17:09.137163</t>
  </si>
  <si>
    <t>2026-09-03T13:17:09.117162</t>
  </si>
  <si>
    <t>2026-09-03T13:17:09.089525</t>
  </si>
  <si>
    <t>2026-09-03T13:17:09.069501</t>
  </si>
  <si>
    <t>2026-09-03T13:17:09.047433</t>
  </si>
  <si>
    <t>2026-09-03T13:17:09.028061</t>
  </si>
  <si>
    <t>2026-09-03T13:17:09.005956</t>
  </si>
  <si>
    <t>2026-09-03T13:17:08.980794</t>
  </si>
  <si>
    <t>2026-09-03T13:17:08.963054</t>
  </si>
  <si>
    <t>2026-09-03T13:17:08.943062</t>
  </si>
  <si>
    <t>2026-09-03T13:17:08.928088</t>
  </si>
  <si>
    <t>2026-09-03T13:17:08.914589</t>
  </si>
  <si>
    <t>2026-09-03T13:17:08.899299</t>
  </si>
  <si>
    <t>2026-09-03T13:17:08.878867</t>
  </si>
  <si>
    <t>2026-09-03T13:17:08.862923</t>
  </si>
  <si>
    <t>2026-09-03T13:17:08.850736</t>
  </si>
  <si>
    <t>2026-09-03T13:17:08.840643</t>
  </si>
  <si>
    <t>2026-09-03T13:17:08.827348</t>
  </si>
  <si>
    <t>2026-09-03T13:17:08.812407</t>
  </si>
  <si>
    <t>2026-09-03T13:17:08.796167</t>
  </si>
  <si>
    <t>2026-09-03T13:17:08.784113</t>
  </si>
  <si>
    <t>2026-09-03T13:17:08.772327</t>
  </si>
  <si>
    <t>2026-09-03T13:17:08.749585</t>
  </si>
  <si>
    <t>2026-09-03T13:17:08.723875</t>
  </si>
  <si>
    <t>2026-09-03T13:17:08.700000</t>
  </si>
  <si>
    <t>2026-09-03T13:17:08.679362</t>
  </si>
  <si>
    <t>2026-09-03T13:17:08.663741</t>
  </si>
  <si>
    <t>2026-09-03T13:17:08.640082</t>
  </si>
  <si>
    <t>2026-09-03T13:17:08.602448</t>
  </si>
  <si>
    <t>2026-09-03T13:17:08.591357</t>
  </si>
  <si>
    <t>2026-09-03T13:17:08.563780</t>
  </si>
  <si>
    <t>2026-09-03T13:17:08.539411</t>
  </si>
  <si>
    <t>2026-09-03T13:17:08.510960</t>
  </si>
  <si>
    <t>2026-09-03T13:17:08.486955</t>
  </si>
  <si>
    <t>2026-09-03T13:17:08.464496</t>
  </si>
  <si>
    <t>2026-09-03T13:17:08.448740</t>
  </si>
  <si>
    <t>2026-09-03T13:17:08.423041</t>
  </si>
  <si>
    <t>2026-09-03T13:17:08.406155</t>
  </si>
  <si>
    <t>2026-09-03T13:17:08.382640</t>
  </si>
  <si>
    <t>2026-09-03T13:17:08.366933</t>
  </si>
  <si>
    <t>2026-09-03T13:17:08.350517</t>
  </si>
  <si>
    <t>2026-09-03T13:17:08.333384</t>
  </si>
  <si>
    <t>2026-09-03T13:17:08.305373</t>
  </si>
  <si>
    <t>2026-09-03T13:17:08.290698</t>
  </si>
  <si>
    <t>2026-09-03T13:17:08.273773</t>
  </si>
  <si>
    <t>2026-09-03T13:17:08.256822</t>
  </si>
  <si>
    <t>2026-09-03T13:17:08.242690</t>
  </si>
  <si>
    <t>2026-09-03T13:17:08.221638</t>
  </si>
  <si>
    <t>2026-09-03T13:17:08.208255</t>
  </si>
  <si>
    <t>2026-09-03T13:17:08.194137</t>
  </si>
  <si>
    <t>2026-09-03T13:17:08.177099</t>
  </si>
  <si>
    <t>2026-09-03T13:17:08.164406</t>
  </si>
  <si>
    <t>2026-09-03T13:17:08.150004</t>
  </si>
  <si>
    <t>2026-09-03T13:17:08.132695</t>
  </si>
  <si>
    <t>2026-09-03T13:17:08.103877</t>
  </si>
  <si>
    <t>2026-09-03T13:17:08.094284</t>
  </si>
  <si>
    <t>2026-09-03T13:17:08.071210</t>
  </si>
  <si>
    <t>2026-09-03T13:17:08.054863</t>
  </si>
  <si>
    <t>2026-09-03T13:17:08.034794</t>
  </si>
  <si>
    <t>2026-09-03T13:17:08.019769</t>
  </si>
  <si>
    <t>2026-09-03T13:17:07.999198</t>
  </si>
  <si>
    <t>2026-09-03T13:17:07.985523</t>
  </si>
  <si>
    <t>2026-09-03T13:17:07.962659</t>
  </si>
  <si>
    <t>2026-09-03T13:17:07.944655</t>
  </si>
  <si>
    <t>2026-09-03T13:17:07.924473</t>
  </si>
  <si>
    <t>2026-09-03T13:17:07.910516</t>
  </si>
  <si>
    <t>2026-09-03T13:17:07.894039</t>
  </si>
  <si>
    <t>2026-09-03T13:17:07.877143</t>
  </si>
  <si>
    <t>2026-09-03T13:17:07.862635</t>
  </si>
  <si>
    <t>2026-09-03T13:17:07.837122</t>
  </si>
  <si>
    <t>2026-09-03T13:17:07.818226</t>
  </si>
  <si>
    <t>2026-09-03T13:17:07.796559</t>
  </si>
  <si>
    <t>2026-09-03T13:17:07.781549</t>
  </si>
  <si>
    <t>2026-09-03T13:17:07.765555</t>
  </si>
  <si>
    <t>2026-09-03T13:17:07.742043</t>
  </si>
  <si>
    <t>2026-09-03T13:17:07.727007</t>
  </si>
  <si>
    <t>2026-09-03T13:17:07.714474</t>
  </si>
  <si>
    <t>2026-09-03T13:17:07.701070</t>
  </si>
  <si>
    <t>2026-09-03T13:17:07.683114</t>
  </si>
  <si>
    <t>2026-09-03T13:17:07.667471</t>
  </si>
  <si>
    <t>2026-09-03T13:17:07.651679</t>
  </si>
  <si>
    <t>2026-09-03T13:17:07.637151</t>
  </si>
  <si>
    <t>2026-09-03T13:17:07.621768</t>
  </si>
  <si>
    <t>2026-09-03T13:17:07.605464</t>
  </si>
  <si>
    <t>2026-09-03T13:17:07.587297</t>
  </si>
  <si>
    <t>2026-09-03T13:17:07.567179</t>
  </si>
  <si>
    <t>2026-09-03T13:17:07.546747</t>
  </si>
  <si>
    <t>2026-09-03T13:17:07.525605</t>
  </si>
  <si>
    <t>2026-09-03T13:17:07.508661</t>
  </si>
  <si>
    <t>2026-09-03T13:17:07.487139</t>
  </si>
  <si>
    <t>2026-09-03T13:17:07.464824</t>
  </si>
  <si>
    <t>2026-09-03T13:17:07.450296</t>
  </si>
  <si>
    <t>2026-09-03T13:17:07.437404</t>
  </si>
  <si>
    <t>2026-09-03T13:17:07.424342</t>
  </si>
  <si>
    <t>2026-09-03T13:17:07.412194</t>
  </si>
  <si>
    <t>2026-09-03T13:17:07.389389</t>
  </si>
  <si>
    <t>2026-09-03T13:17:07.366503</t>
  </si>
  <si>
    <t>2026-09-03T13:17:07.347351</t>
  </si>
  <si>
    <t>2026-09-03T13:17:07.325594</t>
  </si>
  <si>
    <t>2026-09-03T13:17:07.314186</t>
  </si>
  <si>
    <t>2026-09-03T13:17:07.296744</t>
  </si>
  <si>
    <t>2026-09-03T13:17:07.277941</t>
  </si>
  <si>
    <t>2026-09-03T13:17:07.264488</t>
  </si>
  <si>
    <t>2026-09-03T13:17:07.241925</t>
  </si>
  <si>
    <t>2026-09-03T13:17:07.222662</t>
  </si>
  <si>
    <t>2026-09-03T13:17:07.206016</t>
  </si>
  <si>
    <t>2026-09-03T13:17:07.192675</t>
  </si>
  <si>
    <t>2026-09-03T13:17:07.180429</t>
  </si>
  <si>
    <t>2026-09-03T13:17:07.166717</t>
  </si>
  <si>
    <t>2026-09-03T13:17:07.152991</t>
  </si>
  <si>
    <t>2026-09-03T13:17:07.139967</t>
  </si>
  <si>
    <t>2026-09-03T13:17:07.117419</t>
  </si>
  <si>
    <t>2026-09-03T13:17:07.101095</t>
  </si>
  <si>
    <t>2026-09-03T13:17:07.090951</t>
  </si>
  <si>
    <t>2026-09-03T13:17:07.073031</t>
  </si>
  <si>
    <t>2026-09-03T13:17:07.054462</t>
  </si>
  <si>
    <t>2026-09-03T13:17:07.038929</t>
  </si>
  <si>
    <t>2026-09-03T13:17:07.027396</t>
  </si>
  <si>
    <t>2026-09-03T13:17:07.006318</t>
  </si>
  <si>
    <t>2026-09-03T13:17:06.984290</t>
  </si>
  <si>
    <t>2026-09-03T13:17:06.969405</t>
  </si>
  <si>
    <t>2026-09-03T13:17:06.957139</t>
  </si>
  <si>
    <t>2026-09-03T13:17:06.942918</t>
  </si>
  <si>
    <t>2026-09-03T13:17:06.924359</t>
  </si>
  <si>
    <t>2026-09-03T13:17:06.910051</t>
  </si>
  <si>
    <t>2026-09-03T13:17:06.894664</t>
  </si>
  <si>
    <t>2026-09-03T13:17:06.880967</t>
  </si>
  <si>
    <t>2026-09-03T13:17:06.859166</t>
  </si>
  <si>
    <t>2026-09-03T13:17:06.835196</t>
  </si>
  <si>
    <t>2026-09-03T13:17:06.819581</t>
  </si>
  <si>
    <t>2026-09-03T13:17:06.808506</t>
  </si>
  <si>
    <t>2026-09-03T13:17:06.791399</t>
  </si>
  <si>
    <t>2026-09-03T13:17:06.782345</t>
  </si>
  <si>
    <t>2026-09-03T13:17:06.760229</t>
  </si>
  <si>
    <t>2026-09-03T13:17:06.736393</t>
  </si>
  <si>
    <t>2026-09-03T13:17:06.715881</t>
  </si>
  <si>
    <t>2026-09-03T13:17:06.702533</t>
  </si>
  <si>
    <t>2026-09-03T13:17:06.686662</t>
  </si>
  <si>
    <t>2026-09-03T13:17:06.672644</t>
  </si>
  <si>
    <t>2026-09-03T13:17:06.662364</t>
  </si>
  <si>
    <t>2026-09-03T13:17:06.654027</t>
  </si>
  <si>
    <t>2026-09-03T13:17:06.636610</t>
  </si>
  <si>
    <t>2026-09-03T13:17:06.624291</t>
  </si>
  <si>
    <t>2026-09-03T13:17:06.609329</t>
  </si>
  <si>
    <t>2026-09-03T13:17:06.591569</t>
  </si>
  <si>
    <t>2026-09-03T13:17:06.576546</t>
  </si>
  <si>
    <t>2026-09-03T13:17:06.562088</t>
  </si>
  <si>
    <t>2026-09-03T13:17:06.548930</t>
  </si>
  <si>
    <t>2026-09-03T13:17:06.527024</t>
  </si>
  <si>
    <t>2026-09-03T13:17:06.508401</t>
  </si>
  <si>
    <t>2026-09-03T13:17:06.490652</t>
  </si>
  <si>
    <t>2026-09-03T13:17:06.471811</t>
  </si>
  <si>
    <t>2026-09-03T13:17:06.449279</t>
  </si>
  <si>
    <t>2026-09-03T13:17:06.424617</t>
  </si>
  <si>
    <t>2026-09-03T13:17:06.409077</t>
  </si>
  <si>
    <t>2026-09-03T13:17:06.392106</t>
  </si>
  <si>
    <t>2026-09-03T13:17:06.368409</t>
  </si>
  <si>
    <t>2026-09-03T13:17:06.342205</t>
  </si>
  <si>
    <t>2026-09-03T13:17:06.325038</t>
  </si>
  <si>
    <t>2026-09-03T13:17:06.299778</t>
  </si>
  <si>
    <t>2026-09-03T13:17:06.284442</t>
  </si>
  <si>
    <t>2026-09-03T13:17:06.264664</t>
  </si>
  <si>
    <t>2026-09-03T13:17:06.243840</t>
  </si>
  <si>
    <t>2026-09-03T13:17:06.223241</t>
  </si>
  <si>
    <t>2026-09-03T13:17:06.211265</t>
  </si>
  <si>
    <t>2026-09-03T13:17:06.195791</t>
  </si>
  <si>
    <t>2026-09-03T13:17:06.180535</t>
  </si>
  <si>
    <t>2026-09-03T13:17:06.158546</t>
  </si>
  <si>
    <t>2026-09-03T13:17:06.144955</t>
  </si>
  <si>
    <t>2026-09-03T13:17:06.126249</t>
  </si>
  <si>
    <t>2026-09-03T13:17:06.110434</t>
  </si>
  <si>
    <t>2026-09-03T13:17:06.096336</t>
  </si>
  <si>
    <t>2026-09-03T13:17:06.080524</t>
  </si>
  <si>
    <t>2026-09-03T13:17:06.064600</t>
  </si>
  <si>
    <t>2026-09-03T13:17:06.046634</t>
  </si>
  <si>
    <t>2026-09-03T13:17:06.022507</t>
  </si>
  <si>
    <t>2026-09-03T13:17:06.002847</t>
  </si>
  <si>
    <t>2026-09-03T13:17:05.958211</t>
  </si>
  <si>
    <t>2026-09-03T13:17:05.935263</t>
  </si>
  <si>
    <t>2026-09-03T13:17:05.920538</t>
  </si>
  <si>
    <t>2026-09-03T13:17:05.903842</t>
  </si>
  <si>
    <t>2026-09-03T13:17:05.889938</t>
  </si>
  <si>
    <t>2026-09-03T13:17:05.866584</t>
  </si>
  <si>
    <t>2026-09-03T13:17:05.852707</t>
  </si>
  <si>
    <t>2026-09-03T13:17:05.833981</t>
  </si>
  <si>
    <t>2026-09-03T13:17:05.812143</t>
  </si>
  <si>
    <t>2026-09-03T13:17:05.797723</t>
  </si>
  <si>
    <t>2026-09-03T13:17:05.775608</t>
  </si>
  <si>
    <t>2026-09-03T13:17:05.758083</t>
  </si>
  <si>
    <t>2026-09-03T13:17:05.743596</t>
  </si>
  <si>
    <t>2026-09-03T13:17:05.722208</t>
  </si>
  <si>
    <t>2026-09-03T13:17:05.700384</t>
  </si>
  <si>
    <t>2026-09-03T13:17:05.689042</t>
  </si>
  <si>
    <t>2026-09-03T13:17:05.671536</t>
  </si>
  <si>
    <t>2026-09-03T13:17:05.652600</t>
  </si>
  <si>
    <t>2026-09-03T13:17:05.637604</t>
  </si>
  <si>
    <t>2026-09-03T13:17:05.613008</t>
  </si>
  <si>
    <t>2026-09-03T13:17:05.601246</t>
  </si>
  <si>
    <t>2026-09-03T13:17:05.578560</t>
  </si>
  <si>
    <t>2026-09-03T13:17:05.566197</t>
  </si>
  <si>
    <t>2026-09-03T13:17:05.553698</t>
  </si>
  <si>
    <t>2026-09-03T13:17:05.535411</t>
  </si>
  <si>
    <t>2026-09-03T13:17:05.521959</t>
  </si>
  <si>
    <t>2026-09-03T13:17:05.507710</t>
  </si>
  <si>
    <t>2026-09-03T13:17:05.491990</t>
  </si>
  <si>
    <t>2026-09-03T13:17:05.476452</t>
  </si>
  <si>
    <t>2026-09-03T13:17:05.450757</t>
  </si>
  <si>
    <t>2026-09-03T13:17:05.434424</t>
  </si>
  <si>
    <t>2026-09-03T13:17:05.412452</t>
  </si>
  <si>
    <t>2026-09-03T13:17:05.397372</t>
  </si>
  <si>
    <t>2026-09-03T13:17:05.379186</t>
  </si>
  <si>
    <t>2026-09-03T13:17:05.359193</t>
  </si>
  <si>
    <t>2026-09-03T13:17:05.342088</t>
  </si>
  <si>
    <t>2026-09-03T13:17:05.327424</t>
  </si>
  <si>
    <t>2026-09-03T13:17:05.314441</t>
  </si>
  <si>
    <t>2026-09-03T13:17:05.293631</t>
  </si>
  <si>
    <t>2026-09-03T13:17:05.276023</t>
  </si>
  <si>
    <t>2026-09-03T13:17:05.256548</t>
  </si>
  <si>
    <t>2026-09-03T13:17:05.243541</t>
  </si>
  <si>
    <t>2026-09-03T13:17:05.220963</t>
  </si>
  <si>
    <t>2026-09-03T13:17:05.193135</t>
  </si>
  <si>
    <t>2026-09-03T13:17:05.168400</t>
  </si>
  <si>
    <t>2026-09-03T13:17:05.154087</t>
  </si>
  <si>
    <t>2026-09-03T13:17:05.141449</t>
  </si>
  <si>
    <t>2026-09-03T13:17:05.130166</t>
  </si>
  <si>
    <t>2026-09-03T13:17:05.105928</t>
  </si>
  <si>
    <t>2026-09-03T13:17:05.084999</t>
  </si>
  <si>
    <t>2026-09-03T13:17:05.078236</t>
  </si>
  <si>
    <t>2026-09-03T13:17:05.070516</t>
  </si>
  <si>
    <t>2026-09-03T13:17:05.053059</t>
  </si>
  <si>
    <t>2026-09-03T13:17:05.040352</t>
  </si>
  <si>
    <t>2026-09-03T13:17:05.020695</t>
  </si>
  <si>
    <t>2026-09-03T13:17:05.007087</t>
  </si>
  <si>
    <t>2026-09-03T13:17:04.990495</t>
  </si>
  <si>
    <t>2026-09-03T13:17:04.980854</t>
  </si>
  <si>
    <t>2026-09-03T13:17:04.951173</t>
  </si>
  <si>
    <t>2026-09-03T13:17:04.931393</t>
  </si>
  <si>
    <t>2026-09-03T13:17:04.913231</t>
  </si>
  <si>
    <t>2026-09-03T13:17:04.898005</t>
  </si>
  <si>
    <t>2026-09-03T13:17:04.889456</t>
  </si>
  <si>
    <t>2026-09-03T13:17:04.874721</t>
  </si>
  <si>
    <t>2026-09-03T13:17:04.854969</t>
  </si>
  <si>
    <t>2026-09-03T13:17:04.840131</t>
  </si>
  <si>
    <t>2026-09-03T13:17:04.827809</t>
  </si>
  <si>
    <t>2026-09-03T13:17:04.808727</t>
  </si>
  <si>
    <t>2026-09-03T13:17:04.791075</t>
  </si>
  <si>
    <t>2026-09-03T13:17:04.771242</t>
  </si>
  <si>
    <t>2026-09-03T13:17:04.750159</t>
  </si>
  <si>
    <t>2026-09-03T13:17:04.730512</t>
  </si>
  <si>
    <t>2026-09-03T13:17:04.715280</t>
  </si>
  <si>
    <t>2026-09-03T13:17:04.695397</t>
  </si>
  <si>
    <t>2026-09-03T13:17:04.674293</t>
  </si>
  <si>
    <t>2026-09-03T13:17:04.655025</t>
  </si>
  <si>
    <t>2026-09-03T13:17:04.636961</t>
  </si>
  <si>
    <t>2026-09-03T13:17:04.622486</t>
  </si>
  <si>
    <t>2026-09-03T13:17:04.604081</t>
  </si>
  <si>
    <t>2026-09-03T13:17:04.579966</t>
  </si>
  <si>
    <t>2026-09-03T13:17:04.563983</t>
  </si>
  <si>
    <t>2026-09-03T13:17:04.548554</t>
  </si>
  <si>
    <t>2026-09-03T13:17:04.529312</t>
  </si>
  <si>
    <t>2026-09-03T13:17:04.515596</t>
  </si>
  <si>
    <t>2026-09-03T13:17:04.503367</t>
  </si>
  <si>
    <t>2026-09-03T13:17:04.485583</t>
  </si>
  <si>
    <t>2026-09-03T13:17:04.467230</t>
  </si>
  <si>
    <t>2026-09-03T13:17:04.449855</t>
  </si>
  <si>
    <t>2026-09-03T13:17:04.428572</t>
  </si>
  <si>
    <t>2026-09-03T13:17:04.412960</t>
  </si>
  <si>
    <t>2026-09-03T13:17:04.396492</t>
  </si>
  <si>
    <t>2026-09-03T13:17:04.383120</t>
  </si>
  <si>
    <t>2026-09-03T13:17:04.369132</t>
  </si>
  <si>
    <t>2026-09-03T13:17:04.359873</t>
  </si>
  <si>
    <t>2026-09-03T13:17:04.347046</t>
  </si>
  <si>
    <t>2026-09-03T13:17:04.338439</t>
  </si>
  <si>
    <t>2026-09-03T13:17:04.320443</t>
  </si>
  <si>
    <t>2026-09-03T13:17:04.303316</t>
  </si>
  <si>
    <t>2026-09-03T13:17:04.290095</t>
  </si>
  <si>
    <t>2026-09-03T13:17:04.269426</t>
  </si>
  <si>
    <t>2026-09-03T13:17:04.254634</t>
  </si>
  <si>
    <t>2026-09-03T13:17:04.239480</t>
  </si>
  <si>
    <t>2026-09-03T13:17:04.228794</t>
  </si>
  <si>
    <t>2026-09-03T13:17:04.203858</t>
  </si>
  <si>
    <t>2026-09-03T13:17:04.192399</t>
  </si>
  <si>
    <t>2026-09-03T13:17:04.180352</t>
  </si>
  <si>
    <t>2026-09-03T13:17:04.168030</t>
  </si>
  <si>
    <t>2026-09-03T13:17:04.145940</t>
  </si>
  <si>
    <t>2026-09-03T13:17:04.126064</t>
  </si>
  <si>
    <t>2026-09-03T13:17:04.113252</t>
  </si>
  <si>
    <t>2026-09-03T13:17:04.104227</t>
  </si>
  <si>
    <t>2026-09-03T13:17:04.082057</t>
  </si>
  <si>
    <t>2026-09-03T13:17:04.071384</t>
  </si>
  <si>
    <t>2026-09-03T13:17:04.053479</t>
  </si>
  <si>
    <t>2026-09-03T13:17:04.039161</t>
  </si>
  <si>
    <t>2026-09-03T13:17:04.026520</t>
  </si>
  <si>
    <t>2026-09-03T13:17:04.006479</t>
  </si>
  <si>
    <t>2026-09-03T13:17:03.994053</t>
  </si>
  <si>
    <t>2026-09-03T13:17:03.981572</t>
  </si>
  <si>
    <t>2026-09-03T13:17:03.969000</t>
  </si>
  <si>
    <t>2026-09-03T13:17:03.954047</t>
  </si>
  <si>
    <t>2026-09-03T13:17:03.938244</t>
  </si>
  <si>
    <t>2026-09-03T13:17:03.907653</t>
  </si>
  <si>
    <t>2026-09-03T13:17:03.887309</t>
  </si>
  <si>
    <t>2026-09-03T13:17:03.867530</t>
  </si>
  <si>
    <t>2026-09-03T13:17:03.855439</t>
  </si>
  <si>
    <t>2026-09-03T13:17:03.840526</t>
  </si>
  <si>
    <t>2026-09-03T13:17:03.828137</t>
  </si>
  <si>
    <t>2026-09-03T13:17:03.816424</t>
  </si>
  <si>
    <t>2026-09-03T13:17:03.803086</t>
  </si>
  <si>
    <t>2026-09-03T13:17:03.792937</t>
  </si>
  <si>
    <t>2026-09-03T13:17:03.778699</t>
  </si>
  <si>
    <t>2026-09-03T13:17:03.765957</t>
  </si>
  <si>
    <t>2026-09-03T13:17:03.756649</t>
  </si>
  <si>
    <t>2026-09-03T13:17:03.741245</t>
  </si>
  <si>
    <t>2026-09-03T13:17:03.723997</t>
  </si>
  <si>
    <t>2026-09-03T13:17:03.706862</t>
  </si>
  <si>
    <t>2026-09-03T13:17:03.692326</t>
  </si>
  <si>
    <t>2026-09-03T13:17:03.681789</t>
  </si>
  <si>
    <t>2026-09-03T13:17:03.658304</t>
  </si>
  <si>
    <t>2026-09-03T13:17:03.638814</t>
  </si>
  <si>
    <t>2026-09-03T13:17:03.618201</t>
  </si>
  <si>
    <t>2026-09-03T13:17:03.598337</t>
  </si>
  <si>
    <t>2026-09-03T13:17:03.577112</t>
  </si>
  <si>
    <t>2026-09-03T13:17:03.563817</t>
  </si>
  <si>
    <t>2026-09-03T13:17:03.554789</t>
  </si>
  <si>
    <t>2026-09-03T13:17:03.541343</t>
  </si>
  <si>
    <t>2026-09-03T13:17:03.525968</t>
  </si>
  <si>
    <t>2026-09-03T13:17:03.505824</t>
  </si>
  <si>
    <t>2026-09-03T13:17:03.494816</t>
  </si>
  <si>
    <t>2026-09-03T13:17:03.466106</t>
  </si>
  <si>
    <t>2026-09-03T13:17:03.453659</t>
  </si>
  <si>
    <t>2026-09-03T13:17:03.437972</t>
  </si>
  <si>
    <t>2026-09-03T13:17:03.414619</t>
  </si>
  <si>
    <t>2026-09-03T13:17:03.394726</t>
  </si>
  <si>
    <t>2026-09-03T13:17:03.376548</t>
  </si>
  <si>
    <t>2026-09-03T13:17:03.352808</t>
  </si>
  <si>
    <t>2026-09-03T13:17:03.333528</t>
  </si>
  <si>
    <t>2026-09-03T13:17:03.314475</t>
  </si>
  <si>
    <t>2026-09-03T13:17:03.298731</t>
  </si>
  <si>
    <t>2026-09-03T13:17:03.283382</t>
  </si>
  <si>
    <t>2026-09-03T13:17:03.269935</t>
  </si>
  <si>
    <t>2026-09-03T13:17:03.253822</t>
  </si>
  <si>
    <t>2026-09-03T13:17:03.234336</t>
  </si>
  <si>
    <t>2026-09-03T13:17:03.220009</t>
  </si>
  <si>
    <t>2026-09-03T13:17:03.195457</t>
  </si>
  <si>
    <t>2026-09-03T13:17:03.179865</t>
  </si>
  <si>
    <t>2026-09-03T13:17:03.160855</t>
  </si>
  <si>
    <t>2026-09-03T13:17:03.144288</t>
  </si>
  <si>
    <t>2026-09-03T13:17:03.123423</t>
  </si>
  <si>
    <t>2026-09-03T13:17:03.104634</t>
  </si>
  <si>
    <t>2026-09-03T13:17:03.084774</t>
  </si>
  <si>
    <t>2026-09-03T13:17:03.071688</t>
  </si>
  <si>
    <t>2026-09-03T13:17:03.056073</t>
  </si>
  <si>
    <t>2026-09-03T13:17:03.043923</t>
  </si>
  <si>
    <t>2026-09-03T13:17:03.025327</t>
  </si>
  <si>
    <t>2026-09-03T13:17:03.004816</t>
  </si>
  <si>
    <t>2026-09-03T13:17:02.987224</t>
  </si>
  <si>
    <t>2026-09-03T13:17:02.974211</t>
  </si>
  <si>
    <t>2026-09-03T13:17:02.956008</t>
  </si>
  <si>
    <t>2026-09-03T13:17:02.943810</t>
  </si>
  <si>
    <t>2026-09-03T13:17:02.912938</t>
  </si>
  <si>
    <t>2026-09-03T13:17:02.900276</t>
  </si>
  <si>
    <t>2026-09-03T13:17:02.877546</t>
  </si>
  <si>
    <t>2026-09-03T13:17:02.855778</t>
  </si>
  <si>
    <t>2026-09-03T13:17:02.834000</t>
  </si>
  <si>
    <t>2026-09-03T13:17:02.815688</t>
  </si>
  <si>
    <t>2026-09-03T13:17:02.799167</t>
  </si>
  <si>
    <t>2026-09-03T13:17:02.779678</t>
  </si>
  <si>
    <t>2026-09-03T13:17:02.756726</t>
  </si>
  <si>
    <t>2026-09-03T13:17:02.735490</t>
  </si>
  <si>
    <t>2026-09-03T13:17:02.707013</t>
  </si>
  <si>
    <t>2026-09-03T13:17:02.674122</t>
  </si>
  <si>
    <t>2026-09-03T13:17:02.654138</t>
  </si>
  <si>
    <t>2026-09-03T13:17:02.632437</t>
  </si>
  <si>
    <t>2026-09-03T13:17:02.599285</t>
  </si>
  <si>
    <t>2026-09-03T13:17:02.577250</t>
  </si>
  <si>
    <t>2026-09-03T13:17:02.557977</t>
  </si>
  <si>
    <t>2026-09-03T13:17:02.534283</t>
  </si>
  <si>
    <t>2026-09-03T13:17:02.519271</t>
  </si>
  <si>
    <t>2026-09-03T13:17:02.494134</t>
  </si>
  <si>
    <t>2026-09-03T13:17:02.470709</t>
  </si>
  <si>
    <t>2026-09-03T13:17:02.448703</t>
  </si>
  <si>
    <t>2026-09-03T13:17:02.437169</t>
  </si>
  <si>
    <t>2026-09-03T13:17:02.414709</t>
  </si>
  <si>
    <t>2026-09-03T13:17:02.383995</t>
  </si>
  <si>
    <t>2026-09-03T13:17:02.349170</t>
  </si>
  <si>
    <t>2026-09-03T13:17:02.331777</t>
  </si>
  <si>
    <t>2026-09-03T13:17:02.310183</t>
  </si>
  <si>
    <t>2026-09-03T13:17:02.293332</t>
  </si>
  <si>
    <t>2026-09-03T13:17:02.272395</t>
  </si>
  <si>
    <t>2026-09-03T13:17:02.256677</t>
  </si>
  <si>
    <t>2026-09-03T13:17:02.237813</t>
  </si>
  <si>
    <t>2026-09-03T13:17:02.218585</t>
  </si>
  <si>
    <t>2026-09-03T13:17:02.200661</t>
  </si>
  <si>
    <t>2026-09-03T13:17:02.181145</t>
  </si>
  <si>
    <t>2026-09-03T13:17:02.161364</t>
  </si>
  <si>
    <t>2026-09-03T13:17:02.134317</t>
  </si>
  <si>
    <t>2026-09-03T13:17:02.108586</t>
  </si>
  <si>
    <t>2026-09-03T13:17:02.092090</t>
  </si>
  <si>
    <t>2026-09-03T13:17:02.063525</t>
  </si>
  <si>
    <t>2026-09-03T13:17:02.048082</t>
  </si>
  <si>
    <t>2026-09-03T13:17:02.033441</t>
  </si>
  <si>
    <t>2026-09-03T13:17:02.014712</t>
  </si>
  <si>
    <t>2026-09-03T13:17:01.999945</t>
  </si>
  <si>
    <t>2026-09-03T13:17:01.985200</t>
  </si>
  <si>
    <t>2026-09-03T13:17:01.974794</t>
  </si>
  <si>
    <t>2026-09-03T13:17:01.952428</t>
  </si>
  <si>
    <t>2026-09-03T13:17:01.932372</t>
  </si>
  <si>
    <t>2026-09-03T13:17:01.917604</t>
  </si>
  <si>
    <t>2026-09-03T13:17:01.889892</t>
  </si>
  <si>
    <t>2026-09-03T13:17:01.877533</t>
  </si>
  <si>
    <t>2026-09-03T13:17:01.855413</t>
  </si>
  <si>
    <t>2026-09-03T13:17:01.826537</t>
  </si>
  <si>
    <t>2026-09-03T13:17:01.812336</t>
  </si>
  <si>
    <t>2026-09-03T13:17:01.792322</t>
  </si>
  <si>
    <t>2026-09-03T13:17:01.764919</t>
  </si>
  <si>
    <t>2026-09-03T13:17:01.704517</t>
  </si>
  <si>
    <t>2026-09-03T13:17:01.687337</t>
  </si>
  <si>
    <t>2026-09-03T13:17:01.645139</t>
  </si>
  <si>
    <t>2026-09-03T13:17:01.578217</t>
  </si>
  <si>
    <t>2026-09-03T13:17:01.487431</t>
  </si>
  <si>
    <t>2026-09-03T13:17:01.442455</t>
  </si>
  <si>
    <t>2026-09-03T13:17:01.427629</t>
  </si>
  <si>
    <t>2026-09-03T13:17:01.406217</t>
  </si>
  <si>
    <t>2026-09-03T13:17:01.389487</t>
  </si>
  <si>
    <t>2026-09-03T13:17:01.360539</t>
  </si>
  <si>
    <t>2026-09-03T13:17:01.346959</t>
  </si>
  <si>
    <t>2026-09-03T13:17:01.331317</t>
  </si>
  <si>
    <t>2026-09-03T13:17:01.300709</t>
  </si>
  <si>
    <t>2026-09-03T13:17:01.270759</t>
  </si>
  <si>
    <t>2026-09-03T13:17:01.255903</t>
  </si>
  <si>
    <t>2026-09-03T13:17:01.237640</t>
  </si>
  <si>
    <t>2026-09-03T13:17:01.221912</t>
  </si>
  <si>
    <t>2026-09-03T13:17:01.204993</t>
  </si>
  <si>
    <t>2026-09-03T13:17:01.194827</t>
  </si>
  <si>
    <t>2026-09-03T13:17:01.173553</t>
  </si>
  <si>
    <t>2026-09-03T13:17:01.154962</t>
  </si>
  <si>
    <t>2026-09-03T13:17:01.138965</t>
  </si>
  <si>
    <t>2026-09-03T13:17:01.125260</t>
  </si>
  <si>
    <t>2026-09-03T13:17:01.105317</t>
  </si>
  <si>
    <t>2026-09-03T13:17:01.090800</t>
  </si>
  <si>
    <t>2026-09-03T13:17:01.067281</t>
  </si>
  <si>
    <t>2026-09-03T13:17:01.038056</t>
  </si>
  <si>
    <t>2026-09-03T13:17:01.018258</t>
  </si>
  <si>
    <t>2026-09-03T13:17:00.999773</t>
  </si>
  <si>
    <t>2026-09-03T13:17:00.972288</t>
  </si>
  <si>
    <t>2026-09-03T13:17:00.949859</t>
  </si>
  <si>
    <t>2026-09-03T13:17:00.931320</t>
  </si>
  <si>
    <t>2026-09-03T13:17:00.894262</t>
  </si>
  <si>
    <t>2026-09-03T13:17:00.857334</t>
  </si>
  <si>
    <t>2026-09-03T13:17:00.835695</t>
  </si>
  <si>
    <t>2026-09-03T13:17:00.811962</t>
  </si>
  <si>
    <t>2026-09-03T13:17:00.797092</t>
  </si>
  <si>
    <t>2026-09-03T13:17:00.777970</t>
  </si>
  <si>
    <t>2026-09-03T13:17:00.745839</t>
  </si>
  <si>
    <t>2026-09-03T13:17:00.730525</t>
  </si>
  <si>
    <t>2026-09-03T13:17:00.706018</t>
  </si>
  <si>
    <t>2026-09-03T13:17:00.682644</t>
  </si>
  <si>
    <t>2026-09-03T13:17:00.668731</t>
  </si>
  <si>
    <t>2026-09-03T13:17:00.653331</t>
  </si>
  <si>
    <t>2026-09-03T13:17:00.628021</t>
  </si>
  <si>
    <t>2026-09-03T13:17:00.611455</t>
  </si>
  <si>
    <t>2026-09-03T13:17:00.592430</t>
  </si>
  <si>
    <t>2026-09-03T13:17:00.575065</t>
  </si>
  <si>
    <t>2026-09-03T13:17:00.557935</t>
  </si>
  <si>
    <t>2026-09-03T13:17:00.543852</t>
  </si>
  <si>
    <t>2026-09-03T13:17:00.519183</t>
  </si>
  <si>
    <t>2026-09-03T13:17:00.498709</t>
  </si>
  <si>
    <t>2026-09-03T13:17:00.479303</t>
  </si>
  <si>
    <t>2026-09-03T13:17:00.452338</t>
  </si>
  <si>
    <t>2026-09-03T13:17:00.433168</t>
  </si>
  <si>
    <t>2026-09-03T13:17:00.419039</t>
  </si>
  <si>
    <t>2026-09-03T13:17:00.400325</t>
  </si>
  <si>
    <t>2026-09-03T13:17:00.384104</t>
  </si>
  <si>
    <t>2026-09-03T13:17:00.370560</t>
  </si>
  <si>
    <t>2026-09-03T13:17:00.360493</t>
  </si>
  <si>
    <t>2026-09-03T13:17:00.348199</t>
  </si>
  <si>
    <t>2026-09-03T13:17:00.309262</t>
  </si>
  <si>
    <t>2026-09-03T13:17:00.289864</t>
  </si>
  <si>
    <t>2026-09-03T13:17:00.265475</t>
  </si>
  <si>
    <t>2026-09-03T13:17:00.221254</t>
  </si>
  <si>
    <t>2026-09-03T13:17:00.199325</t>
  </si>
  <si>
    <t>2026-09-03T13:17:00.153613</t>
  </si>
  <si>
    <t>2026-09-03T13:17:00.112052</t>
  </si>
  <si>
    <t>2026-09-03T13:17:00.073623</t>
  </si>
  <si>
    <t>2026-09-03T13:17:00.043399</t>
  </si>
  <si>
    <t>2026-09-03T13:17:00.008291</t>
  </si>
  <si>
    <t>2026-09-03T13:16:59.992805</t>
  </si>
  <si>
    <t>2026-09-03T13:16:59.976148</t>
  </si>
  <si>
    <t>2026-09-03T13:16:59.963634</t>
  </si>
  <si>
    <t>2026-09-03T13:16:59.943810</t>
  </si>
  <si>
    <t>2026-09-03T13:16:59.923136</t>
  </si>
  <si>
    <t>2026-09-03T13:16:59.899856</t>
  </si>
  <si>
    <t>2026-09-03T13:16:59.884542</t>
  </si>
  <si>
    <t>2026-09-03T13:16:59.870606</t>
  </si>
  <si>
    <t>2026-09-03T13:16:59.855428</t>
  </si>
  <si>
    <t>2026-09-03T13:16:59.834884</t>
  </si>
  <si>
    <t>2026-09-03T13:16:59.819839</t>
  </si>
  <si>
    <t>2026-09-03T13:16:59.799429</t>
  </si>
  <si>
    <t>2026-09-03T13:16:59.779042</t>
  </si>
  <si>
    <t>2026-09-03T13:16:59.766233</t>
  </si>
  <si>
    <t>2026-09-03T13:16:59.745125</t>
  </si>
  <si>
    <t>2026-09-03T13:16:59.727567</t>
  </si>
  <si>
    <t>2026-09-03T13:16:59.706492</t>
  </si>
  <si>
    <t>2026-09-03T13:16:59.688412</t>
  </si>
  <si>
    <t>2026-09-03T13:16:59.674681</t>
  </si>
  <si>
    <t>2026-09-03T13:16:59.664029</t>
  </si>
  <si>
    <t>2026-09-03T13:16:59.644278</t>
  </si>
  <si>
    <t>2026-09-03T13:16:59.625781</t>
  </si>
  <si>
    <t>2026-09-03T13:16:59.609257</t>
  </si>
  <si>
    <t>2026-09-03T13:16:59.591641</t>
  </si>
  <si>
    <t>2026-09-03T13:16:59.564702</t>
  </si>
  <si>
    <t>2026-09-03T13:16:59.552783</t>
  </si>
  <si>
    <t>2026-09-03T13:16:59.533368</t>
  </si>
  <si>
    <t>2026-09-03T13:16:59.514366</t>
  </si>
  <si>
    <t>2026-09-03T13:16:59.492278</t>
  </si>
  <si>
    <t>2026-09-03T13:16:59.477338</t>
  </si>
  <si>
    <t>2026-09-03T13:16:59.453574</t>
  </si>
  <si>
    <t>2026-09-03T13:16:59.439073</t>
  </si>
  <si>
    <t>2026-09-03T13:16:59.418019</t>
  </si>
  <si>
    <t>2026-09-03T13:16:59.406377</t>
  </si>
  <si>
    <t>2026-09-03T13:16:59.394104</t>
  </si>
  <si>
    <t>2026-09-03T13:16:59.370205</t>
  </si>
  <si>
    <t>2026-09-03T13:16:59.356667</t>
  </si>
  <si>
    <t>2026-09-03T13:16:59.342439</t>
  </si>
  <si>
    <t>2026-09-03T13:16:59.319838</t>
  </si>
  <si>
    <t>2026-09-03T13:16:59.307032</t>
  </si>
  <si>
    <t>2026-09-03T13:16:59.288179</t>
  </si>
  <si>
    <t>2026-09-03T13:16:59.275294</t>
  </si>
  <si>
    <t>2026-09-03T13:16:59.254540</t>
  </si>
  <si>
    <t>2026-09-03T13:16:59.241452</t>
  </si>
  <si>
    <t>2026-09-03T13:16:59.215346</t>
  </si>
  <si>
    <t>2026-09-03T13:16:59.196420</t>
  </si>
  <si>
    <t>2026-09-03T13:16:59.175513</t>
  </si>
  <si>
    <t>2026-09-03T13:16:59.161056</t>
  </si>
  <si>
    <t>2026-09-03T13:16:59.147303</t>
  </si>
  <si>
    <t>2026-09-03T13:16:59.133479</t>
  </si>
  <si>
    <t>2026-09-03T13:16:59.112712</t>
  </si>
  <si>
    <t>2026-09-03T13:16:59.095258</t>
  </si>
  <si>
    <t>2026-09-03T13:16:59.073267</t>
  </si>
  <si>
    <t>2026-09-03T13:16:59.058496</t>
  </si>
  <si>
    <t>2026-09-03T13:16:59.043123</t>
  </si>
  <si>
    <t>2026-09-03T13:16:59.021927</t>
  </si>
  <si>
    <t>2026-09-03T13:16:59.002443</t>
  </si>
  <si>
    <t>2026-09-03T13:16:58.984776</t>
  </si>
  <si>
    <t>2026-09-03T13:16:58.967361</t>
  </si>
  <si>
    <t>2026-09-03T13:16:58.947192</t>
  </si>
  <si>
    <t>2026-09-03T13:16:58.931516</t>
  </si>
  <si>
    <t>2026-09-03T13:16:58.911803</t>
  </si>
  <si>
    <t>2026-09-03T13:16:58.896701</t>
  </si>
  <si>
    <t>2026-09-03T13:16:58.883563</t>
  </si>
  <si>
    <t>2026-09-03T13:16:58.868826</t>
  </si>
  <si>
    <t>2026-09-03T13:16:58.857239</t>
  </si>
  <si>
    <t>2026-09-03T13:16:58.842434</t>
  </si>
  <si>
    <t>2026-09-03T13:16:58.831681</t>
  </si>
  <si>
    <t>2026-09-03T13:16:58.813647</t>
  </si>
  <si>
    <t>2026-09-03T13:16:58.803835</t>
  </si>
  <si>
    <t>2026-09-03T13:16:58.786943</t>
  </si>
  <si>
    <t>2026-09-03T13:16:58.777853</t>
  </si>
  <si>
    <t>2026-09-03T13:16:58.760756</t>
  </si>
  <si>
    <t>2026-09-03T13:16:58.745354</t>
  </si>
  <si>
    <t>2026-09-03T13:16:58.731265</t>
  </si>
  <si>
    <t>2026-09-03T13:16:58.721708</t>
  </si>
  <si>
    <t>2026-09-03T13:16:58.701771</t>
  </si>
  <si>
    <t>2026-09-03T13:16:58.682202</t>
  </si>
  <si>
    <t>2026-09-03T13:16:58.667203</t>
  </si>
  <si>
    <t>2026-09-03T13:16:58.646318</t>
  </si>
  <si>
    <t>2026-09-03T13:16:58.635290</t>
  </si>
  <si>
    <t>2026-09-03T13:16:58.609386</t>
  </si>
  <si>
    <t>2026-09-03T13:16:58.589814</t>
  </si>
  <si>
    <t>2026-09-03T13:16:58.566542</t>
  </si>
  <si>
    <t>2026-09-03T13:16:58.528886</t>
  </si>
  <si>
    <t>2026-09-03T13:16:58.501359</t>
  </si>
  <si>
    <t>2026-09-03T13:16:58.466914</t>
  </si>
  <si>
    <t>2026-09-03T13:16:58.436363</t>
  </si>
  <si>
    <t>2026-09-03T13:16:58.415568</t>
  </si>
  <si>
    <t>2026-09-03T13:16:58.393774</t>
  </si>
  <si>
    <t>2026-09-03T13:16:58.372052</t>
  </si>
  <si>
    <t>2026-09-03T13:16:58.354455</t>
  </si>
  <si>
    <t>2026-09-03T13:16:58.333855</t>
  </si>
  <si>
    <t>2026-09-03T13:16:58.306178</t>
  </si>
  <si>
    <t>2026-09-03T13:16:58.286049</t>
  </si>
  <si>
    <t>2026-09-03T13:16:58.265721</t>
  </si>
  <si>
    <t>2026-09-03T13:16:58.245843</t>
  </si>
  <si>
    <t>2026-09-03T13:16:58.228121</t>
  </si>
  <si>
    <t>2026-09-03T13:16:58.209274</t>
  </si>
  <si>
    <t>2026-09-03T13:16:58.187456</t>
  </si>
  <si>
    <t>2026-09-03T13:16:58.173477</t>
  </si>
  <si>
    <t>2026-09-03T13:16:58.162067</t>
  </si>
  <si>
    <t>2026-09-03T13:16:58.140052</t>
  </si>
  <si>
    <t>2026-09-03T13:16:58.119770</t>
  </si>
  <si>
    <t>2026-09-03T13:16:58.106165</t>
  </si>
  <si>
    <t>2026-09-03T13:16:58.091132</t>
  </si>
  <si>
    <t>2026-09-03T13:16:58.074988</t>
  </si>
  <si>
    <t>2026-09-03T13:16:58.056936</t>
  </si>
  <si>
    <t>2026-09-03T13:16:58.045397</t>
  </si>
  <si>
    <t>2026-09-03T13:16:58.030584</t>
  </si>
  <si>
    <t>2026-09-03T13:16:58.013485</t>
  </si>
  <si>
    <t>2026-09-03T13:16:57.981336</t>
  </si>
  <si>
    <t>2026-09-03T13:16:57.964085</t>
  </si>
  <si>
    <t>2026-09-03T13:16:57.950158</t>
  </si>
  <si>
    <t>2026-09-03T13:16:57.905309</t>
  </si>
  <si>
    <t>2026-09-03T13:16:57.876844</t>
  </si>
  <si>
    <t>2026-09-03T13:16:57.860375</t>
  </si>
  <si>
    <t>2026-09-03T13:16:57.842218</t>
  </si>
  <si>
    <t>2026-09-03T13:16:57.835599</t>
  </si>
  <si>
    <t>2026-09-03T13:16:57.819307</t>
  </si>
  <si>
    <t>2026-09-03T13:16:57.803327</t>
  </si>
  <si>
    <t>2026-09-03T13:16:57.790203</t>
  </si>
  <si>
    <t>2026-09-03T13:16:57.773331</t>
  </si>
  <si>
    <t>2026-09-03T13:16:57.754531</t>
  </si>
  <si>
    <t>2026-09-03T13:16:57.743220</t>
  </si>
  <si>
    <t>2026-09-03T13:16:57.726305</t>
  </si>
  <si>
    <t>2026-09-03T13:16:57.711115</t>
  </si>
  <si>
    <t>2026-09-03T13:16:57.695166</t>
  </si>
  <si>
    <t>2026-09-03T13:16:57.640742</t>
  </si>
  <si>
    <t>2026-09-03T13:16:57.620964</t>
  </si>
  <si>
    <t>2026-09-03T13:16:57.606726</t>
  </si>
  <si>
    <t>2026-09-03T13:16:57.593655</t>
  </si>
  <si>
    <t>2026-09-03T13:16:57.562068</t>
  </si>
  <si>
    <t>2026-09-03T13:16:57.529813</t>
  </si>
  <si>
    <t>2026-09-03T13:16:57.503172</t>
  </si>
  <si>
    <t>2026-09-03T13:16:57.481044</t>
  </si>
  <si>
    <t>2026-09-03T13:16:57.445929</t>
  </si>
  <si>
    <t>2026-09-03T13:16:57.429798</t>
  </si>
  <si>
    <t>2026-09-03T13:16:57.405107</t>
  </si>
  <si>
    <t>2026-09-03T13:16:57.380786</t>
  </si>
  <si>
    <t>2026-09-03T13:16:57.348858</t>
  </si>
  <si>
    <t>2026-09-03T13:16:57.332634</t>
  </si>
  <si>
    <t>2026-09-03T13:16:57.308528</t>
  </si>
  <si>
    <t>2026-09-03T13:16:57.293761</t>
  </si>
  <si>
    <t>2026-09-03T13:16:57.274806</t>
  </si>
  <si>
    <t>2026-09-03T13:16:57.265902</t>
  </si>
  <si>
    <t>2026-09-03T13:16:57.248287</t>
  </si>
  <si>
    <t>2026-09-03T13:16:57.231084</t>
  </si>
  <si>
    <t>2026-09-03T13:16:57.219530</t>
  </si>
  <si>
    <t>2026-09-03T13:16:57.208015</t>
  </si>
  <si>
    <t>2026-09-03T13:16:57.185771</t>
  </si>
  <si>
    <t>2026-09-03T13:16:57.167173</t>
  </si>
  <si>
    <t>2026-09-03T13:16:57.147109</t>
  </si>
  <si>
    <t>2026-09-03T13:16:57.137053</t>
  </si>
  <si>
    <t>2026-09-03T13:16:57.117283</t>
  </si>
  <si>
    <t>2026-09-03T13:16:57.097582</t>
  </si>
  <si>
    <t>2026-09-03T13:16:57.079150</t>
  </si>
  <si>
    <t>2026-09-03T13:16:57.065590</t>
  </si>
  <si>
    <t>2026-09-03T13:16:57.055055</t>
  </si>
  <si>
    <t>2026-09-03T13:16:57.040745</t>
  </si>
  <si>
    <t>2026-09-03T13:16:57.021373</t>
  </si>
  <si>
    <t>2026-09-03T13:16:57.005477</t>
  </si>
  <si>
    <t>2026-09-03T13:16:56.984739</t>
  </si>
  <si>
    <t>2026-09-03T13:16:56.973735</t>
  </si>
  <si>
    <t>2026-09-03T13:16:56.956834</t>
  </si>
  <si>
    <t>2026-09-03T13:16:56.941366</t>
  </si>
  <si>
    <t>2026-09-03T13:16:56.919665</t>
  </si>
  <si>
    <t>2026-09-03T13:16:56.899550</t>
  </si>
  <si>
    <t>2026-09-03T13:16:56.876306</t>
  </si>
  <si>
    <t>2026-09-03T13:16:56.864530</t>
  </si>
  <si>
    <t>2026-09-03T13:16:56.850215</t>
  </si>
  <si>
    <t>2026-09-03T13:16:56.835749</t>
  </si>
  <si>
    <t>2026-09-03T13:16:56.813144</t>
  </si>
  <si>
    <t>2026-09-03T13:16:56.799444</t>
  </si>
  <si>
    <t>2026-09-03T13:16:56.783869</t>
  </si>
  <si>
    <t>2026-09-03T13:16:56.763071</t>
  </si>
  <si>
    <t>2026-09-03T13:16:56.745025</t>
  </si>
  <si>
    <t>2026-09-03T13:16:56.731862</t>
  </si>
  <si>
    <t>2026-09-03T13:16:56.715434</t>
  </si>
  <si>
    <t>2026-09-03T13:16:56.700473</t>
  </si>
  <si>
    <t>2026-09-03T13:16:56.689387</t>
  </si>
  <si>
    <t>2026-09-03T13:16:56.672383</t>
  </si>
  <si>
    <t>2026-09-03T13:16:56.655302</t>
  </si>
  <si>
    <t>2026-09-03T13:16:56.631683</t>
  </si>
  <si>
    <t>2026-09-03T13:16:56.612694</t>
  </si>
  <si>
    <t>2026-09-03T13:16:56.597488</t>
  </si>
  <si>
    <t>2026-09-03T13:16:56.585754</t>
  </si>
  <si>
    <t>2026-09-03T13:16:56.570017</t>
  </si>
  <si>
    <t>2026-09-03T13:16:56.556391</t>
  </si>
  <si>
    <t>2026-09-03T13:16:56.547075</t>
  </si>
  <si>
    <t>2026-09-03T13:16:56.530339</t>
  </si>
  <si>
    <t>2026-09-03T13:16:56.514624</t>
  </si>
  <si>
    <t>2026-09-03T13:16:56.501494</t>
  </si>
  <si>
    <t>2026-09-03T13:16:56.487241</t>
  </si>
  <si>
    <t>2026-09-03T13:16:56.476017</t>
  </si>
  <si>
    <t>2026-09-03T13:16:56.461268</t>
  </si>
  <si>
    <t>2026-09-03T13:16:56.446731</t>
  </si>
  <si>
    <t>2026-09-03T13:16:56.432316</t>
  </si>
  <si>
    <t>2026-09-03T13:16:56.412347</t>
  </si>
  <si>
    <t>2026-09-03T13:16:56.392221</t>
  </si>
  <si>
    <t>2026-09-03T13:16:56.377447</t>
  </si>
  <si>
    <t>2026-09-03T13:16:56.362574</t>
  </si>
  <si>
    <t>2026-09-03T13:16:56.346462</t>
  </si>
  <si>
    <t>2026-09-03T13:16:56.325739</t>
  </si>
  <si>
    <t>2026-09-03T13:16:56.313872</t>
  </si>
  <si>
    <t>2026-09-03T13:16:56.290849</t>
  </si>
  <si>
    <t>2026-09-03T13:16:56.271458</t>
  </si>
  <si>
    <t>2026-09-03T13:16:56.257432</t>
  </si>
  <si>
    <t>2026-09-03T13:16:56.235856</t>
  </si>
  <si>
    <t>2026-09-03T13:16:56.220137</t>
  </si>
  <si>
    <t>2026-09-03T13:16:56.207222</t>
  </si>
  <si>
    <t>2026-09-03T13:16:56.184892</t>
  </si>
  <si>
    <t>2026-09-03T13:16:56.170311</t>
  </si>
  <si>
    <t>2026-09-03T13:16:56.152659</t>
  </si>
  <si>
    <t>2026-09-03T13:16:56.130727</t>
  </si>
  <si>
    <t>2026-09-03T13:16:56.103395</t>
  </si>
  <si>
    <t>2026-09-03T13:16:56.085388</t>
  </si>
  <si>
    <t>2026-09-03T13:16:56.070394</t>
  </si>
  <si>
    <t>2026-09-03T13:16:56.049714</t>
  </si>
  <si>
    <t>2026-09-03T13:16:56.029187</t>
  </si>
  <si>
    <t>2026-09-03T13:16:56.005308</t>
  </si>
  <si>
    <t>2026-09-03T13:16:55.991252</t>
  </si>
  <si>
    <t>2026-09-03T13:16:55.967737</t>
  </si>
  <si>
    <t>2026-09-03T13:16:55.942573</t>
  </si>
  <si>
    <t>2026-09-03T13:16:55.924469</t>
  </si>
  <si>
    <t>2026-09-03T13:16:55.897909</t>
  </si>
  <si>
    <t>2026-09-03T13:16:55.878009</t>
  </si>
  <si>
    <t>2026-09-03T13:16:55.848956</t>
  </si>
  <si>
    <t>2026-09-03T13:16:55.832102</t>
  </si>
  <si>
    <t>2026-09-03T13:16:55.808006</t>
  </si>
  <si>
    <t>2026-09-03T13:16:55.792501</t>
  </si>
  <si>
    <t>2026-09-03T13:16:55.773548</t>
  </si>
  <si>
    <t>2026-09-03T13:16:55.758150</t>
  </si>
  <si>
    <t>2026-09-03T13:16:55.738340</t>
  </si>
  <si>
    <t>2026-09-03T13:16:55.714710</t>
  </si>
  <si>
    <t>2026-09-03T13:16:55.702496</t>
  </si>
  <si>
    <t>2026-09-03T13:16:55.679741</t>
  </si>
  <si>
    <t>2026-09-03T13:16:55.662153</t>
  </si>
  <si>
    <t>2026-09-03T13:16:55.645232</t>
  </si>
  <si>
    <t>2026-09-03T13:16:55.623705</t>
  </si>
  <si>
    <t>2026-09-03T13:16:55.603407</t>
  </si>
  <si>
    <t>2026-09-03T13:16:55.578899</t>
  </si>
  <si>
    <t>2026-09-03T13:16:55.561271</t>
  </si>
  <si>
    <t>2026-09-03T13:16:55.541931</t>
  </si>
  <si>
    <t>2026-09-03T13:16:55.525422</t>
  </si>
  <si>
    <t>2026-09-03T13:16:55.510019</t>
  </si>
  <si>
    <t>2026-09-03T13:16:55.494487</t>
  </si>
  <si>
    <t>2026-09-03T13:16:55.473915</t>
  </si>
  <si>
    <t>2026-09-03T13:16:55.463667</t>
  </si>
  <si>
    <t>2026-09-03T13:16:55.447007</t>
  </si>
  <si>
    <t>2026-09-03T13:16:55.426656</t>
  </si>
  <si>
    <t>2026-09-03T13:16:55.409704</t>
  </si>
  <si>
    <t>2026-09-03T13:16:55.386582</t>
  </si>
  <si>
    <t>2026-09-03T13:16:55.360846</t>
  </si>
  <si>
    <t>2026-09-03T13:16:55.343688</t>
  </si>
  <si>
    <t>2026-09-03T13:16:55.321591</t>
  </si>
  <si>
    <t>2026-09-03T13:16:55.304954</t>
  </si>
  <si>
    <t>2026-09-03T13:16:55.286740</t>
  </si>
  <si>
    <t>2026-09-03T13:16:55.273044</t>
  </si>
  <si>
    <t>2026-09-03T13:16:55.252906</t>
  </si>
  <si>
    <t>2026-09-03T13:16:55.238424</t>
  </si>
  <si>
    <t>2026-09-03T13:16:55.225889</t>
  </si>
  <si>
    <t>2026-09-03T13:16:55.210890</t>
  </si>
  <si>
    <t>2026-09-03T13:16:55.193749</t>
  </si>
  <si>
    <t>2026-09-03T13:16:55.180259</t>
  </si>
  <si>
    <t>2026-09-03T13:16:55.168400</t>
  </si>
  <si>
    <t>2026-09-03T13:16:55.151186</t>
  </si>
  <si>
    <t>2026-09-03T13:16:55.136826</t>
  </si>
  <si>
    <t>2026-09-03T13:16:55.069953</t>
  </si>
  <si>
    <t>2026-09-03T13:16:55.048835</t>
  </si>
  <si>
    <t>2026-09-03T13:16:55.012490</t>
  </si>
  <si>
    <t>2026-09-03T13:16:54.946285</t>
  </si>
  <si>
    <t>2026-09-03T13:16:54.913065</t>
  </si>
  <si>
    <t>2026-09-03T13:16:54.853592</t>
  </si>
  <si>
    <t>2026-09-03T13:16:54.811220</t>
  </si>
  <si>
    <t>2026-09-03T13:16:54.783979</t>
  </si>
  <si>
    <t>2026-09-03T13:16:54.769663</t>
  </si>
  <si>
    <t>2026-09-03T13:16:54.750431</t>
  </si>
  <si>
    <t>2026-09-03T13:16:54.738160</t>
  </si>
  <si>
    <t>2026-09-03T13:16:54.719136</t>
  </si>
  <si>
    <t>2026-09-03T13:16:54.707745</t>
  </si>
  <si>
    <t>2026-09-03T13:16:54.689269</t>
  </si>
  <si>
    <t>2026-09-03T13:16:54.668404</t>
  </si>
  <si>
    <t>2026-09-03T13:16:54.652441</t>
  </si>
  <si>
    <t>2026-09-03T13:16:54.630771</t>
  </si>
  <si>
    <t>2026-09-03T13:16:54.607502</t>
  </si>
  <si>
    <t>2026-09-03T13:16:54.591178</t>
  </si>
  <si>
    <t>2026-09-03T13:16:54.564863</t>
  </si>
  <si>
    <t>2026-09-03T13:16:54.543599</t>
  </si>
  <si>
    <t>2026-09-03T13:16:54.527204</t>
  </si>
  <si>
    <t>2026-09-03T13:16:54.516435</t>
  </si>
  <si>
    <t>2026-09-03T13:16:54.500484</t>
  </si>
  <si>
    <t>2026-09-03T13:16:54.488400</t>
  </si>
  <si>
    <t>2026-09-03T13:16:54.474015</t>
  </si>
  <si>
    <t>2026-09-03T13:16:54.453621</t>
  </si>
  <si>
    <t>2026-09-03T13:16:54.439408</t>
  </si>
  <si>
    <t>2026-09-03T13:16:54.419848</t>
  </si>
  <si>
    <t>2026-09-03T13:16:54.408843</t>
  </si>
  <si>
    <t>2026-09-03T13:16:54.384822</t>
  </si>
  <si>
    <t>2026-09-03T13:16:54.367597</t>
  </si>
  <si>
    <t>2026-09-03T13:16:54.353996</t>
  </si>
  <si>
    <t>2026-09-03T13:16:54.331695</t>
  </si>
  <si>
    <t>2026-09-03T13:16:54.313488</t>
  </si>
  <si>
    <t>2026-09-03T13:16:54.289928</t>
  </si>
  <si>
    <t>2026-09-03T13:16:54.279788</t>
  </si>
  <si>
    <t>2026-09-03T13:16:54.258898</t>
  </si>
  <si>
    <t>2026-09-03T13:16:54.237606</t>
  </si>
  <si>
    <t>2026-09-03T13:16:54.225474</t>
  </si>
  <si>
    <t>2026-09-03T13:16:54.210272</t>
  </si>
  <si>
    <t>2026-09-03T13:16:54.190358</t>
  </si>
  <si>
    <t>2026-09-03T13:16:54.163046</t>
  </si>
  <si>
    <t>2026-09-03T13:16:54.142108</t>
  </si>
  <si>
    <t>2026-09-03T13:16:54.113482</t>
  </si>
  <si>
    <t>2026-09-03T13:16:54.100654</t>
  </si>
  <si>
    <t>2026-09-03T13:16:54.071926</t>
  </si>
  <si>
    <t>2026-09-03T13:16:54.028221</t>
  </si>
  <si>
    <t>2026-09-03T13:16:54.005657</t>
  </si>
  <si>
    <t>2026-09-03T13:16:53.975102</t>
  </si>
  <si>
    <t>2026-09-03T13:16:53.946978</t>
  </si>
  <si>
    <t>2026-09-03T13:16:53.921422</t>
  </si>
  <si>
    <t>2026-09-03T13:16:53.872236</t>
  </si>
  <si>
    <t>2026-09-03T13:16:53.827683</t>
  </si>
  <si>
    <t>2026-09-03T13:16:53.798655</t>
  </si>
  <si>
    <t>2026-09-03T13:16:53.777716</t>
  </si>
  <si>
    <t>2026-09-03T13:16:53.752033</t>
  </si>
  <si>
    <t>2026-09-03T13:16:53.738572</t>
  </si>
  <si>
    <t>2026-09-03T13:16:53.726598</t>
  </si>
  <si>
    <t>2026-09-03T13:16:53.715498</t>
  </si>
  <si>
    <t>2026-09-03T13:16:53.696630</t>
  </si>
  <si>
    <t>2026-09-03T13:16:53.677319</t>
  </si>
  <si>
    <t>2026-09-03T13:16:53.661459</t>
  </si>
  <si>
    <t>2026-09-03T13:16:53.647795</t>
  </si>
  <si>
    <t>2026-09-03T13:16:53.625925</t>
  </si>
  <si>
    <t>2026-09-03T13:16:53.607365</t>
  </si>
  <si>
    <t>2026-09-03T13:16:53.591406</t>
  </si>
  <si>
    <t>2026-09-03T13:16:53.571239</t>
  </si>
  <si>
    <t>2026-09-03T13:16:53.544032</t>
  </si>
  <si>
    <t>2026-09-03T13:16:53.523630</t>
  </si>
  <si>
    <t>2026-09-03T13:16:53.507855</t>
  </si>
  <si>
    <t>2026-09-03T13:16:53.487754</t>
  </si>
  <si>
    <t>2026-09-03T13:16:53.470123</t>
  </si>
  <si>
    <t>2026-09-03T13:16:53.455196</t>
  </si>
  <si>
    <t>2026-09-03T13:16:53.439623</t>
  </si>
  <si>
    <t>2026-09-03T13:16:53.426188</t>
  </si>
  <si>
    <t>2026-09-03T13:16:53.408530</t>
  </si>
  <si>
    <t>2026-09-03T13:16:53.390963</t>
  </si>
  <si>
    <t>2026-09-03T13:16:53.375857</t>
  </si>
  <si>
    <t>2026-09-03T13:16:53.362127</t>
  </si>
  <si>
    <t>2026-09-03T13:16:53.342581</t>
  </si>
  <si>
    <t>2026-09-03T13:16:53.321538</t>
  </si>
  <si>
    <t>2026-09-03T13:16:53.308121</t>
  </si>
  <si>
    <t>2026-09-03T13:16:53.284763</t>
  </si>
  <si>
    <t>2026-09-03T13:16:53.266559</t>
  </si>
  <si>
    <t>2026-09-03T13:16:53.246505</t>
  </si>
  <si>
    <t>2026-09-03T13:16:53.228394</t>
  </si>
  <si>
    <t>2026-09-03T13:16:53.208841</t>
  </si>
  <si>
    <t>2026-09-03T13:16:53.186644</t>
  </si>
  <si>
    <t>2026-09-03T13:16:53.160812</t>
  </si>
  <si>
    <t>2026-09-03T13:16:53.134740</t>
  </si>
  <si>
    <t>2026-09-03T13:16:53.114620</t>
  </si>
  <si>
    <t>2026-09-03T13:16:53.086757</t>
  </si>
  <si>
    <t>2026-09-03T13:16:53.058285</t>
  </si>
  <si>
    <t>2026-09-03T13:16:53.030885</t>
  </si>
  <si>
    <t>2026-09-03T13:16:52.990771</t>
  </si>
  <si>
    <t>2026-09-03T13:16:52.964782</t>
  </si>
  <si>
    <t>2026-09-03T13:16:52.940211</t>
  </si>
  <si>
    <t>2026-09-03T13:16:52.915957</t>
  </si>
  <si>
    <t>2026-09-03T13:16:52.885462</t>
  </si>
  <si>
    <t>2026-09-03T13:16:52.845396</t>
  </si>
  <si>
    <t>2026-09-03T13:16:52.811514</t>
  </si>
  <si>
    <t>2026-09-03T13:16:52.787244</t>
  </si>
  <si>
    <t>2026-09-03T13:16:52.759339</t>
  </si>
  <si>
    <t>2026-09-03T13:16:52.746212</t>
  </si>
  <si>
    <t>2026-09-03T13:16:52.732615</t>
  </si>
  <si>
    <t>2026-09-03T13:16:52.717082</t>
  </si>
  <si>
    <t>2026-09-03T13:16:52.700841</t>
  </si>
  <si>
    <t>2026-09-03T13:16:52.674582</t>
  </si>
  <si>
    <t>2026-09-03T13:16:52.660792</t>
  </si>
  <si>
    <t>2026-09-03T13:16:52.641181</t>
  </si>
  <si>
    <t>2026-09-03T13:16:52.630062</t>
  </si>
  <si>
    <t>2026-09-03T13:16:52.607651</t>
  </si>
  <si>
    <t>2026-09-03T13:16:52.589491</t>
  </si>
  <si>
    <t>2026-09-03T13:16:52.548766</t>
  </si>
  <si>
    <t>2026-09-03T13:16:52.530149</t>
  </si>
  <si>
    <t>2026-09-03T13:16:52.511219</t>
  </si>
  <si>
    <t>2026-09-03T13:16:52.496446</t>
  </si>
  <si>
    <t>2026-09-03T13:16:52.473746</t>
  </si>
  <si>
    <t>2026-09-03T13:16:52.460112</t>
  </si>
  <si>
    <t>2026-09-03T13:16:52.446174</t>
  </si>
  <si>
    <t>2026-09-03T13:16:52.425330</t>
  </si>
  <si>
    <t>2026-09-03T13:16:52.409962</t>
  </si>
  <si>
    <t>2026-09-03T13:16:52.390062</t>
  </si>
  <si>
    <t>2026-09-03T13:16:52.371150</t>
  </si>
  <si>
    <t>2026-09-03T13:16:52.360884</t>
  </si>
  <si>
    <t>2026-09-03T13:16:52.343077</t>
  </si>
  <si>
    <t>2026-09-03T13:16:52.326081</t>
  </si>
  <si>
    <t>2026-09-03T13:16:52.309038</t>
  </si>
  <si>
    <t>2026-09-03T13:16:52.286748</t>
  </si>
  <si>
    <t>2026-09-03T13:16:52.263886</t>
  </si>
  <si>
    <t>2026-09-03T13:16:52.245150</t>
  </si>
  <si>
    <t>2026-09-03T13:16:52.224224</t>
  </si>
  <si>
    <t>2026-09-03T13:16:52.206467</t>
  </si>
  <si>
    <t>2026-09-03T13:16:52.183957</t>
  </si>
  <si>
    <t>2026-09-03T13:16:52.161405</t>
  </si>
  <si>
    <t>2026-09-03T13:16:52.148884</t>
  </si>
  <si>
    <t>2026-09-03T13:16:52.131120</t>
  </si>
  <si>
    <t>2026-09-03T13:16:52.111068</t>
  </si>
  <si>
    <t>2026-09-03T13:16:52.095546</t>
  </si>
  <si>
    <t>2026-09-03T13:16:52.079182</t>
  </si>
  <si>
    <t>2026-09-03T13:16:52.063910</t>
  </si>
  <si>
    <t>2026-09-03T13:16:52.038496</t>
  </si>
  <si>
    <t>2026-09-03T13:16:52.016653</t>
  </si>
  <si>
    <t>2026-09-03T13:16:51.995505</t>
  </si>
  <si>
    <t>2026-09-03T13:16:51.975369</t>
  </si>
  <si>
    <t>2026-09-03T13:16:51.964693</t>
  </si>
  <si>
    <t>2026-09-03T13:16:51.945002</t>
  </si>
  <si>
    <t>2026-09-03T13:16:51.931473</t>
  </si>
  <si>
    <t>2026-09-03T13:16:51.910653</t>
  </si>
  <si>
    <t>2026-09-03T13:16:51.902218</t>
  </si>
  <si>
    <t>2026-09-03T13:16:51.883769</t>
  </si>
  <si>
    <t>2026-09-03T13:16:51.870045</t>
  </si>
  <si>
    <t>2026-09-03T13:16:51.853748</t>
  </si>
  <si>
    <t>2026-09-03T13:16:51.835752</t>
  </si>
  <si>
    <t>2026-09-03T13:16:51.812213</t>
  </si>
  <si>
    <t>2026-09-03T13:16:51.794233</t>
  </si>
  <si>
    <t>2026-09-03T13:16:51.773965</t>
  </si>
  <si>
    <t>2026-09-03T13:16:51.754116</t>
  </si>
  <si>
    <t>2026-09-03T13:16:51.730426</t>
  </si>
  <si>
    <t>2026-09-03T13:16:51.707446</t>
  </si>
  <si>
    <t>2026-09-03T13:16:51.684066</t>
  </si>
  <si>
    <t>2026-09-03T13:16:51.673972</t>
  </si>
  <si>
    <t>2026-09-03T13:16:51.661130</t>
  </si>
  <si>
    <t>2026-09-03T13:16:51.642520</t>
  </si>
  <si>
    <t>2026-09-03T13:16:51.627827</t>
  </si>
  <si>
    <t>2026-09-03T13:16:51.613014</t>
  </si>
  <si>
    <t>2026-09-03T13:16:51.598015</t>
  </si>
  <si>
    <t>2026-09-03T13:16:51.584614</t>
  </si>
  <si>
    <t>2026-09-03T13:16:51.568589</t>
  </si>
  <si>
    <t>2026-09-03T13:16:51.549388</t>
  </si>
  <si>
    <t>2026-09-03T13:16:51.536957</t>
  </si>
  <si>
    <t>2026-09-03T13:16:51.517184</t>
  </si>
  <si>
    <t>2026-09-03T13:16:51.500294</t>
  </si>
  <si>
    <t>2026-09-03T13:16:51.482809</t>
  </si>
  <si>
    <t>2026-09-03T13:16:51.462157</t>
  </si>
  <si>
    <t>2026-09-03T13:16:51.449494</t>
  </si>
  <si>
    <t>2026-09-03T13:16:51.437374</t>
  </si>
  <si>
    <t>2026-09-03T13:16:51.418306</t>
  </si>
  <si>
    <t>2026-09-03T13:16:51.396011</t>
  </si>
  <si>
    <t>2026-09-03T13:16:51.379038</t>
  </si>
  <si>
    <t>2026-09-03T13:16:51.364367</t>
  </si>
  <si>
    <t>2026-09-03T13:16:51.343199</t>
  </si>
  <si>
    <t>2026-09-03T13:16:51.325760</t>
  </si>
  <si>
    <t>2026-09-03T13:16:51.305639</t>
  </si>
  <si>
    <t>2026-09-03T13:16:51.283301</t>
  </si>
  <si>
    <t>2026-09-03T13:16:51.263237</t>
  </si>
  <si>
    <t>2026-09-03T13:16:51.242703</t>
  </si>
  <si>
    <t>2026-09-03T13:16:51.224025</t>
  </si>
  <si>
    <t>2026-09-03T13:16:51.203767</t>
  </si>
  <si>
    <t>2026-09-03T13:16:51.170385</t>
  </si>
  <si>
    <t>2026-09-03T13:16:51.142688</t>
  </si>
  <si>
    <t>2026-09-03T13:16:51.128289</t>
  </si>
  <si>
    <t>2026-09-03T13:16:51.103548</t>
  </si>
  <si>
    <t>2026-09-03T13:16:51.079612</t>
  </si>
  <si>
    <t>2026-09-03T13:16:51.037955</t>
  </si>
  <si>
    <t>2026-09-03T13:16:51.002028</t>
  </si>
  <si>
    <t>2026-09-03T13:16:50.980344</t>
  </si>
  <si>
    <t>2026-09-03T13:16:50.947367</t>
  </si>
  <si>
    <t>2026-09-03T13:16:50.920555</t>
  </si>
  <si>
    <t>2026-09-03T13:16:50.886037</t>
  </si>
  <si>
    <t>2026-09-03T13:16:50.861757</t>
  </si>
  <si>
    <t>2026-09-03T13:16:50.806694</t>
  </si>
  <si>
    <t>2026-09-03T13:16:50.787557</t>
  </si>
  <si>
    <t>2026-09-03T13:16:50.764838</t>
  </si>
  <si>
    <t>2026-09-03T13:16:50.747173</t>
  </si>
  <si>
    <t>2026-09-03T13:16:50.731307</t>
  </si>
  <si>
    <t>2026-09-03T13:16:50.706667</t>
  </si>
  <si>
    <t>2026-09-03T13:16:50.687692</t>
  </si>
  <si>
    <t>2026-09-03T13:16:50.669645</t>
  </si>
  <si>
    <t>2026-09-03T13:16:50.652073</t>
  </si>
  <si>
    <t>2026-09-03T13:16:50.638837</t>
  </si>
  <si>
    <t>2026-09-03T13:16:50.621424</t>
  </si>
  <si>
    <t>2026-09-03T13:16:50.606311</t>
  </si>
  <si>
    <t>2026-09-03T13:16:50.591758</t>
  </si>
  <si>
    <t>2026-09-03T13:16:50.576355</t>
  </si>
  <si>
    <t>2026-09-03T13:16:50.558943</t>
  </si>
  <si>
    <t>2026-09-03T13:16:50.536420</t>
  </si>
  <si>
    <t>2026-09-03T13:16:50.522332</t>
  </si>
  <si>
    <t>2026-09-03T13:16:50.502011</t>
  </si>
  <si>
    <t>2026-09-03T13:16:50.487023</t>
  </si>
  <si>
    <t>2026-09-03T13:16:50.467147</t>
  </si>
  <si>
    <t>2026-09-03T13:16:50.446118</t>
  </si>
  <si>
    <t>2026-09-03T13:16:50.425162</t>
  </si>
  <si>
    <t>2026-09-03T13:16:50.411841</t>
  </si>
  <si>
    <t>2026-09-03T13:16:50.397460</t>
  </si>
  <si>
    <t>2026-09-03T13:16:50.374944</t>
  </si>
  <si>
    <t>2026-09-03T13:16:50.354188</t>
  </si>
  <si>
    <t>2026-09-03T13:16:50.342085</t>
  </si>
  <si>
    <t>2026-09-03T13:16:50.321484</t>
  </si>
  <si>
    <t>2026-09-03T13:16:50.301498</t>
  </si>
  <si>
    <t>2026-09-03T13:16:50.284007</t>
  </si>
  <si>
    <t>2026-09-03T13:16:50.270764</t>
  </si>
  <si>
    <t>2026-09-03T13:16:50.248392</t>
  </si>
  <si>
    <t>2026-09-03T13:16:50.224221</t>
  </si>
  <si>
    <t>2026-09-03T13:16:50.203577</t>
  </si>
  <si>
    <t>2026-09-03T13:16:50.189889</t>
  </si>
  <si>
    <t>2026-09-03T13:16:50.169371</t>
  </si>
  <si>
    <t>2026-09-03T13:16:50.155673</t>
  </si>
  <si>
    <t>2026-09-03T13:16:50.141413</t>
  </si>
  <si>
    <t>2026-09-03T13:16:50.127393</t>
  </si>
  <si>
    <t>2026-09-03T13:16:50.108121</t>
  </si>
  <si>
    <t>2026-09-03T13:16:50.091971</t>
  </si>
  <si>
    <t>2026-09-03T13:16:50.073415</t>
  </si>
  <si>
    <t>2026-09-03T13:16:50.057771</t>
  </si>
  <si>
    <t>2026-09-03T13:16:50.048421</t>
  </si>
  <si>
    <t>2026-09-03T13:16:50.037618</t>
  </si>
  <si>
    <t>2026-09-03T13:16:50.016733</t>
  </si>
  <si>
    <t>2026-09-03T13:16:50.002159</t>
  </si>
  <si>
    <t>2026-09-03T13:16:49.986709</t>
  </si>
  <si>
    <t>2026-09-03T13:16:49.968528</t>
  </si>
  <si>
    <t>2026-09-03T13:16:49.953629</t>
  </si>
  <si>
    <t>2026-09-03T13:16:49.936205</t>
  </si>
  <si>
    <t>2026-09-03T13:16:49.922804</t>
  </si>
  <si>
    <t>2026-09-03T13:16:49.902703</t>
  </si>
  <si>
    <t>2026-09-03T13:16:49.884439</t>
  </si>
  <si>
    <t>2026-09-03T13:16:49.870063</t>
  </si>
  <si>
    <t>2026-09-03T13:16:49.858058</t>
  </si>
  <si>
    <t>2026-09-03T13:16:49.843813</t>
  </si>
  <si>
    <t>2026-09-03T13:16:49.831862</t>
  </si>
  <si>
    <t>2026-09-03T13:16:49.812342</t>
  </si>
  <si>
    <t>2026-09-03T13:16:49.796860</t>
  </si>
  <si>
    <t>2026-09-03T13:16:49.786164</t>
  </si>
  <si>
    <t>2026-09-03T13:16:49.766553</t>
  </si>
  <si>
    <t>2026-09-03T13:16:49.739750</t>
  </si>
  <si>
    <t>2026-09-03T13:16:49.725131</t>
  </si>
  <si>
    <t>2026-09-03T13:16:49.703351</t>
  </si>
  <si>
    <t>2026-09-03T13:16:49.691205</t>
  </si>
  <si>
    <t>2026-09-03T13:16:49.674283</t>
  </si>
  <si>
    <t>2026-09-03T13:16:49.656653</t>
  </si>
  <si>
    <t>2026-09-03T13:16:49.647673</t>
  </si>
  <si>
    <t>2026-09-03T13:16:49.632368</t>
  </si>
  <si>
    <t>2026-09-03T13:16:49.613357</t>
  </si>
  <si>
    <t>2026-09-03T13:16:49.605175</t>
  </si>
  <si>
    <t>2026-09-03T13:16:49.584246</t>
  </si>
  <si>
    <t>2026-09-03T13:16:49.561286</t>
  </si>
  <si>
    <t>2026-09-03T13:16:49.548899</t>
  </si>
  <si>
    <t>2026-09-03T13:16:49.533524</t>
  </si>
  <si>
    <t>2026-09-03T13:16:49.522496</t>
  </si>
  <si>
    <t>2026-09-03T13:16:49.508699</t>
  </si>
  <si>
    <t>2026-09-03T13:16:49.488046</t>
  </si>
  <si>
    <t>2026-09-03T13:16:49.474253</t>
  </si>
  <si>
    <t>2026-09-03T13:16:49.451984</t>
  </si>
  <si>
    <t>2026-09-03T13:16:49.423888</t>
  </si>
  <si>
    <t>2026-09-03T13:16:49.413044</t>
  </si>
  <si>
    <t>2026-09-03T13:16:49.392838</t>
  </si>
  <si>
    <t>2026-09-03T13:16:49.377424</t>
  </si>
  <si>
    <t>2026-09-03T13:16:49.362539</t>
  </si>
  <si>
    <t>2026-09-03T13:16:49.349881</t>
  </si>
  <si>
    <t>2026-09-03T13:16:49.333603</t>
  </si>
  <si>
    <t>2026-09-03T13:16:49.314800</t>
  </si>
  <si>
    <t>2026-09-03T13:16:49.301001</t>
  </si>
  <si>
    <t>2026-09-03T13:16:49.287471</t>
  </si>
  <si>
    <t>2026-09-03T13:16:49.254262</t>
  </si>
  <si>
    <t>2026-09-03T13:16:49.232882</t>
  </si>
  <si>
    <t>2026-09-03T13:16:49.218867</t>
  </si>
  <si>
    <t>2026-09-03T13:16:49.205849</t>
  </si>
  <si>
    <t>2026-09-03T13:16:49.190746</t>
  </si>
  <si>
    <t>2026-09-03T13:16:49.169156</t>
  </si>
  <si>
    <t>2026-09-03T13:16:49.155806</t>
  </si>
  <si>
    <t>2026-09-03T13:16:49.140149</t>
  </si>
  <si>
    <t>2026-09-03T13:16:49.129349</t>
  </si>
  <si>
    <t>2026-09-03T13:16:49.113464</t>
  </si>
  <si>
    <t>2026-09-03T13:16:49.099422</t>
  </si>
  <si>
    <t>2026-09-03T13:16:49.086867</t>
  </si>
  <si>
    <t>2026-09-03T13:16:49.073708</t>
  </si>
  <si>
    <t>2026-09-03T13:16:49.057960</t>
  </si>
  <si>
    <t>2026-09-03T13:16:49.038292</t>
  </si>
  <si>
    <t>2026-09-03T13:16:49.022100</t>
  </si>
  <si>
    <t>2026-09-03T13:16:49.010052</t>
  </si>
  <si>
    <t>2026-09-03T13:16:48.996402</t>
  </si>
  <si>
    <t>2026-09-03T13:16:48.982414</t>
  </si>
  <si>
    <t>2026-09-03T13:16:48.966272</t>
  </si>
  <si>
    <t>2026-09-03T13:16:48.951476</t>
  </si>
  <si>
    <t>2026-09-03T13:16:48.930648</t>
  </si>
  <si>
    <t>2026-09-03T13:16:48.905712</t>
  </si>
  <si>
    <t>2026-09-03T13:16:48.893326</t>
  </si>
  <si>
    <t>2026-09-03T13:16:48.875026</t>
  </si>
  <si>
    <t>2026-09-03T13:16:48.860997</t>
  </si>
  <si>
    <t>2026-09-03T13:16:48.842116</t>
  </si>
  <si>
    <t>2026-09-03T13:16:48.823466</t>
  </si>
  <si>
    <t>2026-09-03T13:16:48.809596</t>
  </si>
  <si>
    <t>2026-09-03T13:16:48.798839</t>
  </si>
  <si>
    <t>2026-09-03T13:16:48.779459</t>
  </si>
  <si>
    <t>2026-09-03T13:16:48.760497</t>
  </si>
  <si>
    <t>2026-09-03T13:16:48.745832</t>
  </si>
  <si>
    <t>2026-09-03T13:16:48.731431</t>
  </si>
  <si>
    <t>2026-09-03T13:16:48.709810</t>
  </si>
  <si>
    <t>2026-09-03T13:16:48.695264</t>
  </si>
  <si>
    <t>2026-09-03T13:16:48.677721</t>
  </si>
  <si>
    <t>2026-09-03T13:16:48.634978</t>
  </si>
  <si>
    <t>2026-09-03T13:16:48.611673</t>
  </si>
  <si>
    <t>2026-09-03T13:16:48.593901</t>
  </si>
  <si>
    <t>2026-09-03T13:16:48.575741</t>
  </si>
  <si>
    <t>2026-09-03T13:16:48.536156</t>
  </si>
  <si>
    <t>2026-09-03T13:16:48.509337</t>
  </si>
  <si>
    <t>2026-09-03T13:16:48.475183</t>
  </si>
  <si>
    <t>2026-09-03T13:16:48.455100</t>
  </si>
  <si>
    <t>2026-09-03T13:16:48.421038</t>
  </si>
  <si>
    <t>2026-09-03T13:16:48.391877</t>
  </si>
  <si>
    <t>2026-09-03T13:16:48.370224</t>
  </si>
  <si>
    <t>2026-09-03T13:16:48.340746</t>
  </si>
  <si>
    <t>2026-09-03T13:16:48.315032</t>
  </si>
  <si>
    <t>2026-09-03T13:16:48.288781</t>
  </si>
  <si>
    <t>2026-09-03T13:16:48.268381</t>
  </si>
  <si>
    <t>2026-09-03T13:16:48.252274</t>
  </si>
  <si>
    <t>2026-09-03T13:16:48.238632</t>
  </si>
  <si>
    <t>2026-09-03T13:16:48.219102</t>
  </si>
  <si>
    <t>2026-09-03T13:16:48.201731</t>
  </si>
  <si>
    <t>2026-09-03T13:16:48.193003</t>
  </si>
  <si>
    <t>2026-09-03T13:16:48.176489</t>
  </si>
  <si>
    <t>2026-09-03T13:16:48.153418</t>
  </si>
  <si>
    <t>2026-09-03T13:16:48.140522</t>
  </si>
  <si>
    <t>2026-09-03T13:16:48.130030</t>
  </si>
  <si>
    <t>2026-09-03T13:16:48.104716</t>
  </si>
  <si>
    <t>2026-09-03T13:16:48.087094</t>
  </si>
  <si>
    <t>2026-09-03T13:16:48.031945</t>
  </si>
  <si>
    <t>2026-09-03T13:16:48.001540</t>
  </si>
  <si>
    <t>2026-09-03T13:16:47.945547</t>
  </si>
  <si>
    <t>2026-09-03T13:16:47.881439</t>
  </si>
  <si>
    <t>2026-09-03T13:16:47.819261</t>
  </si>
  <si>
    <t>2026-09-03T13:16:47.764920</t>
  </si>
  <si>
    <t>2026-09-03T13:16:47.751438</t>
  </si>
  <si>
    <t>2026-09-03T13:16:47.738175</t>
  </si>
  <si>
    <t>2026-09-03T13:16:47.721170</t>
  </si>
  <si>
    <t>2026-09-03T13:16:47.707993</t>
  </si>
  <si>
    <t>2026-09-03T13:16:47.696084</t>
  </si>
  <si>
    <t>2026-09-03T13:16:47.677602</t>
  </si>
  <si>
    <t>2026-09-03T13:16:47.656643</t>
  </si>
  <si>
    <t>2026-09-03T13:16:47.634639</t>
  </si>
  <si>
    <t>2026-09-03T13:16:47.607571</t>
  </si>
  <si>
    <t>2026-09-03T13:16:47.573589</t>
  </si>
  <si>
    <t>2026-09-03T13:16:47.559026</t>
  </si>
  <si>
    <t>2026-09-03T13:16:47.533049</t>
  </si>
  <si>
    <t>2026-09-03T13:16:47.503383</t>
  </si>
  <si>
    <t>2026-09-03T13:16:47.483106</t>
  </si>
  <si>
    <t>2026-09-03T13:16:47.455248</t>
  </si>
  <si>
    <t>2026-09-03T13:16:47.433140</t>
  </si>
  <si>
    <t>2026-09-03T13:16:47.410333</t>
  </si>
  <si>
    <t>2026-09-03T13:16:47.383594</t>
  </si>
  <si>
    <t>2026-09-03T13:16:47.364876</t>
  </si>
  <si>
    <t>2026-09-03T13:16:47.341715</t>
  </si>
  <si>
    <t>2026-09-03T13:16:47.313131</t>
  </si>
  <si>
    <t>2026-09-03T13:16:47.287767</t>
  </si>
  <si>
    <t>2026-09-03T13:16:47.267325</t>
  </si>
  <si>
    <t>2026-09-03T13:16:47.244370</t>
  </si>
  <si>
    <t>2026-09-03T13:16:47.232906</t>
  </si>
  <si>
    <t>2026-09-03T13:16:47.211964</t>
  </si>
  <si>
    <t>2026-09-03T13:16:47.197807</t>
  </si>
  <si>
    <t>2026-09-03T13:16:47.177972</t>
  </si>
  <si>
    <t>2026-09-03T13:16:47.162457</t>
  </si>
  <si>
    <t>2026-09-03T13:16:47.138662</t>
  </si>
  <si>
    <t>2026-09-03T13:16:47.114709</t>
  </si>
  <si>
    <t>2026-09-03T13:16:47.096849</t>
  </si>
  <si>
    <t>2026-09-03T13:16:47.078236</t>
  </si>
  <si>
    <t>2026-09-03T13:16:47.055126</t>
  </si>
  <si>
    <t>2026-09-03T13:16:47.041430</t>
  </si>
  <si>
    <t>2026-09-03T13:16:47.025561</t>
  </si>
  <si>
    <t>2026-09-03T13:16:47.007215</t>
  </si>
  <si>
    <t>2026-09-03T13:16:46.993283</t>
  </si>
  <si>
    <t>2026-09-03T13:16:46.981240</t>
  </si>
  <si>
    <t>2026-09-03T13:16:46.967684</t>
  </si>
  <si>
    <t>2026-09-03T13:16:46.954397</t>
  </si>
  <si>
    <t>2026-09-03T13:16:46.932000</t>
  </si>
  <si>
    <t>2026-09-03T13:16:46.917116</t>
  </si>
  <si>
    <t>2026-09-03T13:16:46.903787</t>
  </si>
  <si>
    <t>2026-09-03T13:16:46.887823</t>
  </si>
  <si>
    <t>2026-09-03T13:16:46.878818</t>
  </si>
  <si>
    <t>2026-09-03T13:16:46.863183</t>
  </si>
  <si>
    <t>2026-09-03T13:16:46.848236</t>
  </si>
  <si>
    <t>2026-09-03T13:16:46.829639</t>
  </si>
  <si>
    <t>2026-09-03T13:16:46.802307</t>
  </si>
  <si>
    <t>2026-09-03T13:16:46.789937</t>
  </si>
  <si>
    <t>2026-09-03T13:16:46.766501</t>
  </si>
  <si>
    <t>2026-09-03T13:16:46.752938</t>
  </si>
  <si>
    <t>2026-09-03T13:16:46.740198</t>
  </si>
  <si>
    <t>2026-09-03T13:16:46.719262</t>
  </si>
  <si>
    <t>2026-09-03T13:16:46.690603</t>
  </si>
  <si>
    <t>2026-09-03T13:16:00.907843</t>
  </si>
  <si>
    <t>2026-09-03T13:15:52.228865</t>
  </si>
  <si>
    <t>2026-09-03T13:15:47.084711</t>
  </si>
  <si>
    <t>2026-09-03T13:15:47.065607</t>
  </si>
  <si>
    <t>2026-09-03T13:15:47.050554</t>
  </si>
  <si>
    <t>2026-09-03T13:15:47.027858</t>
  </si>
  <si>
    <t>2026-09-03T13:15:47.019520</t>
  </si>
  <si>
    <t>2026-09-03T13:15:46.997463</t>
  </si>
  <si>
    <t>2026-09-03T13:15:46.966864</t>
  </si>
  <si>
    <t>2026-09-03T13:15:46.950349</t>
  </si>
  <si>
    <t>2026-09-03T13:15:46.921620</t>
  </si>
  <si>
    <t>2026-09-03T13:15:34.088866</t>
  </si>
  <si>
    <t>2026-09-03T13:15:09.246315</t>
  </si>
  <si>
    <t>2026-09-03T13:14:45.139492</t>
  </si>
  <si>
    <t>2026-09-03T13:14:35.220377</t>
  </si>
  <si>
    <t>2026-09-03T13:14:35.195337</t>
  </si>
  <si>
    <t>2026-09-03T13:14:35.139488</t>
  </si>
  <si>
    <t>2026-09-03T13:14:26.541986</t>
  </si>
  <si>
    <t>2026-09-03T13:14:21.073756</t>
  </si>
  <si>
    <t>2026-09-03T13:14:11.743347</t>
  </si>
  <si>
    <t>2026-09-03T13:14:11.726467</t>
  </si>
  <si>
    <t>2026-09-03T13:14:11.711398</t>
  </si>
  <si>
    <t>2026-09-03T13:14:11.700257</t>
  </si>
  <si>
    <t>2026-09-03T13:14:11.687060</t>
  </si>
  <si>
    <t>2026-09-03T13:14:11.664373</t>
  </si>
  <si>
    <t>2026-09-03T13:14:11.643707</t>
  </si>
  <si>
    <t>2026-09-03T13:14:11.621931</t>
  </si>
  <si>
    <t>2026-09-03T13:14:11.594679</t>
  </si>
  <si>
    <t>2026-09-03T13:14:11.580584</t>
  </si>
  <si>
    <t>2026-09-03T13:14:11.565128</t>
  </si>
  <si>
    <t>2026-09-03T13:14:11.542882</t>
  </si>
  <si>
    <t>2026-09-03T13:14:05.088474</t>
  </si>
  <si>
    <t>2026-09-03T13:14:05.071736</t>
  </si>
  <si>
    <t>2026-09-03T13:14:05.051364</t>
  </si>
  <si>
    <t>2026-09-03T13:14:05.029659</t>
  </si>
  <si>
    <t>2026-09-03T13:14:05.004531</t>
  </si>
  <si>
    <t>2026-09-03T13:14:04.988048</t>
  </si>
  <si>
    <t>2026-09-03T13:14:04.961860</t>
  </si>
  <si>
    <t>2026-09-03T13:14:04.946940</t>
  </si>
  <si>
    <t>2026-09-03T13:14:04.922729</t>
  </si>
  <si>
    <t>2026-09-03T13:14:04.905303</t>
  </si>
  <si>
    <t>2026-09-03T13:14:04.883496</t>
  </si>
  <si>
    <t>2026-09-03T13:14:04.858590</t>
  </si>
  <si>
    <t>2026-09-03T13:14:04.844922</t>
  </si>
  <si>
    <t>2026-09-03T13:14:04.823912</t>
  </si>
  <si>
    <t>2026-09-03T13:14:04.798310</t>
  </si>
  <si>
    <t>2026-09-03T13:14:04.782309</t>
  </si>
  <si>
    <t>2026-09-03T13:14:04.763252</t>
  </si>
  <si>
    <t>2026-09-03T13:14:04.748656</t>
  </si>
  <si>
    <t>2026-09-03T13:14:04.726946</t>
  </si>
  <si>
    <t>2026-09-03T13:14:04.711346</t>
  </si>
  <si>
    <t>2026-09-03T13:14:04.690134</t>
  </si>
  <si>
    <t>2026-09-03T13:14:04.671407</t>
  </si>
  <si>
    <t>2026-09-03T13:14:04.659444</t>
  </si>
  <si>
    <t>2026-09-03T13:14:04.644988</t>
  </si>
  <si>
    <t>2026-09-03T13:14:04.623761</t>
  </si>
  <si>
    <t>2026-09-03T13:14:04.600087</t>
  </si>
  <si>
    <t>2026-09-03T13:14:04.575671</t>
  </si>
  <si>
    <t>2026-09-03T13:14:04.554646</t>
  </si>
  <si>
    <t>2026-09-03T13:14:04.536848</t>
  </si>
  <si>
    <t>2026-09-03T13:14:04.517873</t>
  </si>
  <si>
    <t>2026-09-03T13:14:04.497374</t>
  </si>
  <si>
    <t>2026-09-03T13:14:04.478029</t>
  </si>
  <si>
    <t>2026-09-03T13:14:04.463445</t>
  </si>
  <si>
    <t>2026-09-03T13:14:04.446362</t>
  </si>
  <si>
    <t>2026-09-03T13:14:04.427436</t>
  </si>
  <si>
    <t>2026-09-03T13:14:04.407369</t>
  </si>
  <si>
    <t>2026-09-03T13:14:04.381119</t>
  </si>
  <si>
    <t>2026-09-03T13:14:04.355644</t>
  </si>
  <si>
    <t>2026-09-03T13:14:04.339107</t>
  </si>
  <si>
    <t>2026-09-03T13:14:04.320819</t>
  </si>
  <si>
    <t>2026-09-03T13:14:04.303830</t>
  </si>
  <si>
    <t>2026-09-03T13:14:04.275426</t>
  </si>
  <si>
    <t>2026-09-03T13:14:04.263130</t>
  </si>
  <si>
    <t>2026-09-03T13:14:04.243582</t>
  </si>
  <si>
    <t>2026-09-03T13:14:04.231453</t>
  </si>
  <si>
    <t>2026-09-03T13:14:04.210729</t>
  </si>
  <si>
    <t>2026-09-03T13:14:04.191851</t>
  </si>
  <si>
    <t>2026-09-03T13:14:04.173233</t>
  </si>
  <si>
    <t>2026-09-03T13:14:04.152999</t>
  </si>
  <si>
    <t>2026-09-03T13:14:04.125516</t>
  </si>
  <si>
    <t>2026-09-03T13:14:04.095784</t>
  </si>
  <si>
    <t>2026-09-03T13:14:04.082720</t>
  </si>
  <si>
    <t>2026-09-03T13:14:04.064291</t>
  </si>
  <si>
    <t>2026-09-03T13:14:04.041424</t>
  </si>
  <si>
    <t>2026-09-03T13:14:04.024273</t>
  </si>
  <si>
    <t>2026-09-03T13:14:04.015603</t>
  </si>
  <si>
    <t>2026-09-03T13:14:03.990932</t>
  </si>
  <si>
    <t>2026-09-03T13:14:03.977012</t>
  </si>
  <si>
    <t>2026-09-03T13:14:03.966861</t>
  </si>
  <si>
    <t>2026-09-03T13:14:03.948335</t>
  </si>
  <si>
    <t>2026-09-03T13:14:03.927178</t>
  </si>
  <si>
    <t>2026-09-03T13:14:03.912222</t>
  </si>
  <si>
    <t>2026-09-03T13:14:03.894550</t>
  </si>
  <si>
    <t>2026-09-03T13:14:03.872289</t>
  </si>
  <si>
    <t>2026-09-03T13:14:03.859172</t>
  </si>
  <si>
    <t>2026-09-03T13:14:03.809967</t>
  </si>
  <si>
    <t>2026-09-03T13:14:03.788221</t>
  </si>
  <si>
    <t>2026-09-03T13:14:03.748998</t>
  </si>
  <si>
    <t>2026-09-03T13:14:03.718746</t>
  </si>
  <si>
    <t>2026-09-03T13:14:03.699950</t>
  </si>
  <si>
    <t>2026-09-03T13:14:03.682288</t>
  </si>
  <si>
    <t>2026-09-03T13:14:03.628528</t>
  </si>
  <si>
    <t>2026-09-03T13:14:03.588577</t>
  </si>
  <si>
    <t>2026-09-03T13:14:03.556964</t>
  </si>
  <si>
    <t>2026-09-03T13:14:03.530018</t>
  </si>
  <si>
    <t>2026-09-03T13:14:03.506799</t>
  </si>
  <si>
    <t>2026-09-03T13:14:03.477530</t>
  </si>
  <si>
    <t>2026-09-03T13:14:03.460179</t>
  </si>
  <si>
    <t>2026-09-03T13:14:03.434509</t>
  </si>
  <si>
    <t>2026-09-03T13:14:03.408280</t>
  </si>
  <si>
    <t>2026-09-03T13:14:03.394602</t>
  </si>
  <si>
    <t>2026-09-03T13:14:03.380970</t>
  </si>
  <si>
    <t>2026-09-03T13:14:03.369081</t>
  </si>
  <si>
    <t>2026-09-03T13:14:03.359564</t>
  </si>
  <si>
    <t>2026-09-03T13:14:03.347006</t>
  </si>
  <si>
    <t>2026-09-03T13:14:03.328781</t>
  </si>
  <si>
    <t>2026-09-03T13:14:03.308787</t>
  </si>
  <si>
    <t>2026-09-03T13:14:03.284357</t>
  </si>
  <si>
    <t>2026-09-03T13:14:03.266264</t>
  </si>
  <si>
    <t>2026-09-03T13:14:03.241321</t>
  </si>
  <si>
    <t>2026-09-03T13:14:03.225278</t>
  </si>
  <si>
    <t>2026-09-03T13:14:03.203806</t>
  </si>
  <si>
    <t>2026-09-03T13:14:03.185280</t>
  </si>
  <si>
    <t>2026-09-03T13:14:03.175921</t>
  </si>
  <si>
    <t>2026-09-03T13:14:03.159574</t>
  </si>
  <si>
    <t>2026-09-03T13:14:03.137730</t>
  </si>
  <si>
    <t>2026-09-03T13:14:03.121477</t>
  </si>
  <si>
    <t>2026-09-03T13:14:03.099878</t>
  </si>
  <si>
    <t>2026-09-03T13:14:03.073369</t>
  </si>
  <si>
    <t>2026-09-03T13:14:03.052724</t>
  </si>
  <si>
    <t>2026-09-03T13:14:03.031559</t>
  </si>
  <si>
    <t>2026-09-03T13:14:03.011967</t>
  </si>
  <si>
    <t>2026-09-03T13:14:02.989677</t>
  </si>
  <si>
    <t>2026-09-03T13:14:02.971032</t>
  </si>
  <si>
    <t>2026-09-03T13:14:02.949340</t>
  </si>
  <si>
    <t>2026-09-03T13:14:02.930445</t>
  </si>
  <si>
    <t>2026-09-03T13:14:02.908896</t>
  </si>
  <si>
    <t>2026-09-03T13:14:02.881758</t>
  </si>
  <si>
    <t>2026-09-03T13:14:02.866769</t>
  </si>
  <si>
    <t>2026-09-03T13:14:02.841255</t>
  </si>
  <si>
    <t>2026-09-03T13:14:02.825966</t>
  </si>
  <si>
    <t>2026-09-03T13:14:02.798323</t>
  </si>
  <si>
    <t>2026-09-03T13:14:02.781113</t>
  </si>
  <si>
    <t>2026-09-03T13:14:02.759459</t>
  </si>
  <si>
    <t>2026-09-03T13:14:02.739091</t>
  </si>
  <si>
    <t>2026-09-03T13:14:02.727978</t>
  </si>
  <si>
    <t>2026-09-03T13:14:02.708007</t>
  </si>
  <si>
    <t>2026-09-03T13:14:02.694214</t>
  </si>
  <si>
    <t>2026-09-03T13:14:02.675124</t>
  </si>
  <si>
    <t>2026-09-03T13:14:02.657908</t>
  </si>
  <si>
    <t>2026-09-03T13:14:02.643723</t>
  </si>
  <si>
    <t>2026-09-03T13:14:02.620602</t>
  </si>
  <si>
    <t>2026-09-03T13:14:02.600785</t>
  </si>
  <si>
    <t>2026-09-03T13:14:02.578585</t>
  </si>
  <si>
    <t>2026-09-03T13:14:02.555079</t>
  </si>
  <si>
    <t>2026-09-03T13:14:02.538104</t>
  </si>
  <si>
    <t>2026-09-03T13:14:02.512147</t>
  </si>
  <si>
    <t>2026-09-03T13:14:02.492018</t>
  </si>
  <si>
    <t>2026-09-03T13:14:02.476615</t>
  </si>
  <si>
    <t>2026-09-03T13:14:02.454773</t>
  </si>
  <si>
    <t>2026-09-03T13:14:02.436460</t>
  </si>
  <si>
    <t>2026-09-03T13:14:02.415974</t>
  </si>
  <si>
    <t>2026-09-03T13:14:02.399786</t>
  </si>
  <si>
    <t>2026-09-03T13:14:02.372913</t>
  </si>
  <si>
    <t>2026-09-03T13:14:02.354349</t>
  </si>
  <si>
    <t>2026-09-03T13:14:02.335151</t>
  </si>
  <si>
    <t>2026-09-03T13:14:02.319828</t>
  </si>
  <si>
    <t>2026-09-03T13:14:02.297103</t>
  </si>
  <si>
    <t>2026-09-03T13:14:02.256743</t>
  </si>
  <si>
    <t>2026-09-03T13:14:02.221404</t>
  </si>
  <si>
    <t>2026-09-03T13:14:02.193279</t>
  </si>
  <si>
    <t>2026-09-03T13:14:02.171762</t>
  </si>
  <si>
    <t>2026-09-03T13:14:02.135978</t>
  </si>
  <si>
    <t>2026-09-03T13:14:02.108401</t>
  </si>
  <si>
    <t>2026-09-03T13:14:02.073259</t>
  </si>
  <si>
    <t>2026-09-03T13:14:02.053107</t>
  </si>
  <si>
    <t>2026-09-03T13:14:02.026067</t>
  </si>
  <si>
    <t>2026-09-03T13:14:01.998488</t>
  </si>
  <si>
    <t>2026-09-03T13:14:01.977336</t>
  </si>
  <si>
    <t>2026-09-03T13:14:01.955728</t>
  </si>
  <si>
    <t>2026-09-03T13:14:01.935664</t>
  </si>
  <si>
    <t>2026-09-03T13:14:01.913700</t>
  </si>
  <si>
    <t>2026-09-03T13:14:01.886942</t>
  </si>
  <si>
    <t>2026-09-03T13:14:01.864756</t>
  </si>
  <si>
    <t>2026-09-03T13:14:01.843050</t>
  </si>
  <si>
    <t>2026-09-03T13:14:01.824249</t>
  </si>
  <si>
    <t>2026-09-03T13:14:01.801681</t>
  </si>
  <si>
    <t>2026-09-03T13:14:01.779237</t>
  </si>
  <si>
    <t>2026-09-03T13:14:01.728751</t>
  </si>
  <si>
    <t>2026-09-03T13:14:01.694819</t>
  </si>
  <si>
    <t>2026-09-03T13:14:01.682388</t>
  </si>
  <si>
    <t>2026-09-03T13:14:01.665510</t>
  </si>
  <si>
    <t>2026-09-03T13:14:01.644760</t>
  </si>
  <si>
    <t>2026-09-03T13:14:01.623170</t>
  </si>
  <si>
    <t>2026-09-03T13:14:01.611234</t>
  </si>
  <si>
    <t>2026-09-03T13:14:01.600113</t>
  </si>
  <si>
    <t>2026-09-03T13:14:01.586891</t>
  </si>
  <si>
    <t>2026-09-03T13:14:01.579416</t>
  </si>
  <si>
    <t>2026-09-03T13:14:01.568601</t>
  </si>
  <si>
    <t>2026-09-03T13:14:01.557736</t>
  </si>
  <si>
    <t>2026-09-03T13:14:01.544621</t>
  </si>
  <si>
    <t>2026-09-03T13:14:01.527042</t>
  </si>
  <si>
    <t>2026-09-03T13:14:01.508967</t>
  </si>
  <si>
    <t>2026-09-03T13:14:01.485924</t>
  </si>
  <si>
    <t>2026-09-03T13:14:01.469861</t>
  </si>
  <si>
    <t>2026-09-03T13:14:01.454329</t>
  </si>
  <si>
    <t>2026-09-03T13:14:01.443162</t>
  </si>
  <si>
    <t>2026-09-03T13:14:01.430586</t>
  </si>
  <si>
    <t>2026-09-03T13:14:01.417556</t>
  </si>
  <si>
    <t>2026-09-03T13:14:01.407888</t>
  </si>
  <si>
    <t>2026-09-03T13:14:01.396216</t>
  </si>
  <si>
    <t>2026-09-03T13:14:01.384318</t>
  </si>
  <si>
    <t>2026-09-03T13:14:01.372594</t>
  </si>
  <si>
    <t>2026-09-03T13:14:01.359064</t>
  </si>
  <si>
    <t>2026-09-03T13:14:01.349140</t>
  </si>
  <si>
    <t>2026-09-03T13:14:01.336375</t>
  </si>
  <si>
    <t>2026-09-03T13:14:01.329970</t>
  </si>
  <si>
    <t>2026-09-03T13:14:01.317684</t>
  </si>
  <si>
    <t>2026-09-03T13:14:01.306766</t>
  </si>
  <si>
    <t>2026-09-03T13:14:01.296262</t>
  </si>
  <si>
    <t>2026-09-03T13:14:01.282654</t>
  </si>
  <si>
    <t>2026-09-03T13:14:01.270385</t>
  </si>
  <si>
    <t>2026-09-03T13:14:01.255780</t>
  </si>
  <si>
    <t>2026-09-03T13:14:01.241267</t>
  </si>
  <si>
    <t>2026-09-03T13:14:01.213260</t>
  </si>
  <si>
    <t>2026-09-03T13:14:01.176826</t>
  </si>
  <si>
    <t>2026-09-03T13:14:01.157916</t>
  </si>
  <si>
    <t>2026-09-03T13:14:01.145351</t>
  </si>
  <si>
    <t>2026-09-03T13:14:01.134805</t>
  </si>
  <si>
    <t>2026-09-03T13:14:01.117817</t>
  </si>
  <si>
    <t>2026-09-03T13:14:01.097351</t>
  </si>
  <si>
    <t>2026-09-03T13:14:01.085505</t>
  </si>
  <si>
    <t>2026-09-03T13:14:01.064929</t>
  </si>
  <si>
    <t>2026-09-03T13:14:01.054173</t>
  </si>
  <si>
    <t>2026-09-03T13:14:01.043101</t>
  </si>
  <si>
    <t>2026-09-03T13:14:01.023644</t>
  </si>
  <si>
    <t>2026-09-03T13:14:00.991476</t>
  </si>
  <si>
    <t>2026-09-03T13:14:00.968825</t>
  </si>
  <si>
    <t>2026-09-03T13:14:00.947658</t>
  </si>
  <si>
    <t>2026-09-03T13:14:00.868457</t>
  </si>
  <si>
    <t>2026-09-03T13:14:00.833316</t>
  </si>
  <si>
    <t>2026-09-03T13:14:00.677749</t>
  </si>
  <si>
    <t>2026-09-03T13:14:00.517926</t>
  </si>
  <si>
    <t>2026-09-03T13:14:00.382049</t>
  </si>
  <si>
    <t>2026-09-03T13:14:00.291634</t>
  </si>
  <si>
    <t>2026-09-03T13:14:00.269843</t>
  </si>
  <si>
    <t>2026-09-03T13:14:00.241002</t>
  </si>
  <si>
    <t>2026-09-03T13:14:00.198008</t>
  </si>
  <si>
    <t>2026-09-03T13:14:00.171770</t>
  </si>
  <si>
    <t>2026-09-03T13:14:00.110870</t>
  </si>
  <si>
    <t>2026-09-03T13:14:00.072029</t>
  </si>
  <si>
    <t>2026-09-03T13:14:00.038073</t>
  </si>
  <si>
    <t>2026-09-03T13:13:59.991354</t>
  </si>
  <si>
    <t>2026-09-03T13:13:59.975319</t>
  </si>
  <si>
    <t>2026-09-03T13:13:59.936837</t>
  </si>
  <si>
    <t>2026-09-03T13:13:59.900901</t>
  </si>
  <si>
    <t>2026-09-03T13:13:59.880513</t>
  </si>
  <si>
    <t>2026-09-03T13:13:59.860841</t>
  </si>
  <si>
    <t>2026-09-03T13:13:59.838252</t>
  </si>
  <si>
    <t>2026-09-03T13:13:59.782598</t>
  </si>
  <si>
    <t>2026-09-03T13:13:59.749474</t>
  </si>
  <si>
    <t>2026-09-03T13:13:59.738591</t>
  </si>
  <si>
    <t>2026-09-03T13:13:59.718672</t>
  </si>
  <si>
    <t>2026-09-03T13:13:59.698235</t>
  </si>
  <si>
    <t>2026-09-03T13:13:59.677072</t>
  </si>
  <si>
    <t>2026-09-03T13:13:59.659155</t>
  </si>
  <si>
    <t>2026-09-03T13:13:59.637275</t>
  </si>
  <si>
    <t>2026-09-03T13:13:59.616795</t>
  </si>
  <si>
    <t>2026-09-03T13:13:59.593205</t>
  </si>
  <si>
    <t>2026-09-03T13:13:59.565090</t>
  </si>
  <si>
    <t>2026-09-03T13:13:59.539390</t>
  </si>
  <si>
    <t>2026-09-03T13:13:59.520473</t>
  </si>
  <si>
    <t>2026-09-03T13:13:59.502802</t>
  </si>
  <si>
    <t>2026-09-03T13:13:59.484577</t>
  </si>
  <si>
    <t>2026-09-03T13:13:59.451953</t>
  </si>
  <si>
    <t>2026-09-03T13:13:59.430328</t>
  </si>
  <si>
    <t>2026-09-03T13:13:59.411073</t>
  </si>
  <si>
    <t>2026-09-03T13:13:59.392371</t>
  </si>
  <si>
    <t>2026-09-03T13:13:59.372959</t>
  </si>
  <si>
    <t>2026-09-03T13:13:59.348083</t>
  </si>
  <si>
    <t>2026-09-03T13:13:59.326421</t>
  </si>
  <si>
    <t>2026-09-03T13:13:59.288902</t>
  </si>
  <si>
    <t>2026-09-03T13:13:59.267293</t>
  </si>
  <si>
    <t>2026-09-03T13:13:59.236560</t>
  </si>
  <si>
    <t>2026-09-03T13:13:59.218882</t>
  </si>
  <si>
    <t>2026-09-03T13:13:59.203198</t>
  </si>
  <si>
    <t>2026-09-03T13:13:59.182728</t>
  </si>
  <si>
    <t>2026-09-03T13:13:59.169556</t>
  </si>
  <si>
    <t>2026-09-03T13:13:59.149783</t>
  </si>
  <si>
    <t>2026-09-03T13:13:59.116902</t>
  </si>
  <si>
    <t>2026-09-03T13:13:59.090563</t>
  </si>
  <si>
    <t>2026-09-03T13:13:59.071869</t>
  </si>
  <si>
    <t>2026-09-03T13:13:59.032136</t>
  </si>
  <si>
    <t>2026-09-03T13:13:58.993502</t>
  </si>
  <si>
    <t>2026-09-03T13:13:58.964386</t>
  </si>
  <si>
    <t>2026-09-03T13:13:58.942662</t>
  </si>
  <si>
    <t>2026-09-03T13:13:58.920280</t>
  </si>
  <si>
    <t>2026-09-03T13:13:58.894162</t>
  </si>
  <si>
    <t>2026-09-03T13:13:58.870103</t>
  </si>
  <si>
    <t>2026-09-03T13:13:58.825507</t>
  </si>
  <si>
    <t>2026-09-03T13:13:58.784326</t>
  </si>
  <si>
    <t>2026-09-03T13:13:58.755851</t>
  </si>
  <si>
    <t>2026-09-03T13:13:58.733727</t>
  </si>
  <si>
    <t>2026-09-03T13:13:58.707184</t>
  </si>
  <si>
    <t>2026-09-03T13:13:58.685460</t>
  </si>
  <si>
    <t>2026-09-03T13:13:58.667036</t>
  </si>
  <si>
    <t>2026-09-03T13:13:58.638148</t>
  </si>
  <si>
    <t>2026-09-03T13:13:58.611513</t>
  </si>
  <si>
    <t>2026-09-03T13:13:58.597047</t>
  </si>
  <si>
    <t>2026-09-03T13:13:58.556679</t>
  </si>
  <si>
    <t>2026-09-03T13:13:58.522417</t>
  </si>
  <si>
    <t>2026-09-03T13:13:58.486531</t>
  </si>
  <si>
    <t>2026-09-03T13:13:58.434773</t>
  </si>
  <si>
    <t>2026-09-03T13:13:58.380399</t>
  </si>
  <si>
    <t>2026-09-03T13:13:58.318023</t>
  </si>
  <si>
    <t>2026-09-03T13:13:58.266816</t>
  </si>
  <si>
    <t>2026-09-03T13:13:58.247208</t>
  </si>
  <si>
    <t>2026-09-03T13:13:58.220247</t>
  </si>
  <si>
    <t>2026-09-03T13:13:58.195117</t>
  </si>
  <si>
    <t>2026-09-03T13:13:58.159103</t>
  </si>
  <si>
    <t>2026-09-03T13:13:58.145038</t>
  </si>
  <si>
    <t>2026-09-03T13:13:58.121747</t>
  </si>
  <si>
    <t>2026-09-03T13:13:58.103028</t>
  </si>
  <si>
    <t>2026-09-03T13:13:58.088608</t>
  </si>
  <si>
    <t>2026-09-03T13:13:58.067969</t>
  </si>
  <si>
    <t>2026-09-03T13:13:58.052367</t>
  </si>
  <si>
    <t>2026-09-03T13:13:58.033670</t>
  </si>
  <si>
    <t>2026-09-03T13:13:58.006741</t>
  </si>
  <si>
    <t>2026-09-03T13:13:57.993514</t>
  </si>
  <si>
    <t>2026-09-03T13:13:57.971488</t>
  </si>
  <si>
    <t>2026-09-03T13:13:57.943156</t>
  </si>
  <si>
    <t>2026-09-03T13:13:57.923361</t>
  </si>
  <si>
    <t>2026-09-03T13:13:57.909573</t>
  </si>
  <si>
    <t>2026-09-03T13:13:57.893686</t>
  </si>
  <si>
    <t>2026-09-03T13:13:57.873515</t>
  </si>
  <si>
    <t>2026-09-03T13:13:57.853319</t>
  </si>
  <si>
    <t>2026-09-03T13:13:57.826498</t>
  </si>
  <si>
    <t>2026-09-03T13:13:57.815151</t>
  </si>
  <si>
    <t>2026-09-03T13:13:57.791626</t>
  </si>
  <si>
    <t>2026-09-03T13:13:57.763170</t>
  </si>
  <si>
    <t>2026-09-03T13:13:57.741552</t>
  </si>
  <si>
    <t>2026-09-03T13:13:57.728198</t>
  </si>
  <si>
    <t>2026-09-03T13:13:57.698849</t>
  </si>
  <si>
    <t>2026-09-03T13:13:57.684524</t>
  </si>
  <si>
    <t>2026-09-03T13:13:57.658618</t>
  </si>
  <si>
    <t>2026-09-03T13:13:57.637553</t>
  </si>
  <si>
    <t>2026-09-03T13:13:57.624071</t>
  </si>
  <si>
    <t>2026-09-03T13:13:57.598614</t>
  </si>
  <si>
    <t>2026-09-03T13:13:57.566795</t>
  </si>
  <si>
    <t>2026-09-03T13:13:57.541499</t>
  </si>
  <si>
    <t>2026-09-03T13:13:57.519680</t>
  </si>
  <si>
    <t>2026-09-03T13:13:57.503240</t>
  </si>
  <si>
    <t>2026-09-03T13:13:57.467851</t>
  </si>
  <si>
    <t>2026-09-03T13:13:57.436649</t>
  </si>
  <si>
    <t>2026-09-03T13:13:57.413784</t>
  </si>
  <si>
    <t>2026-09-03T13:13:57.375531</t>
  </si>
  <si>
    <t>2026-09-03T13:13:57.336496</t>
  </si>
  <si>
    <t>2026-09-03T13:13:57.304888</t>
  </si>
  <si>
    <t>2026-09-03T13:13:57.245232</t>
  </si>
  <si>
    <t>2026-09-03T13:13:57.189655</t>
  </si>
  <si>
    <t>2026-09-03T13:13:57.104835</t>
  </si>
  <si>
    <t>2026-09-03T13:13:57.013370</t>
  </si>
  <si>
    <t>2026-09-03T13:13:56.924926</t>
  </si>
  <si>
    <t>2026-09-03T13:13:56.897852</t>
  </si>
  <si>
    <t>2026-09-03T13:13:56.855563</t>
  </si>
  <si>
    <t>2026-09-03T13:13:56.798991</t>
  </si>
  <si>
    <t>2026-09-03T13:13:56.777038</t>
  </si>
  <si>
    <t>2026-09-03T13:13:56.761236</t>
  </si>
  <si>
    <t>2026-09-03T13:13:56.734523</t>
  </si>
  <si>
    <t>2026-09-03T13:13:56.709224</t>
  </si>
  <si>
    <t>2026-09-03T13:13:56.682823</t>
  </si>
  <si>
    <t>2026-09-03T13:13:56.649429</t>
  </si>
  <si>
    <t>2026-09-03T13:13:56.637441</t>
  </si>
  <si>
    <t>2026-09-03T13:13:56.621608</t>
  </si>
  <si>
    <t>2026-09-03T13:13:56.595282</t>
  </si>
  <si>
    <t>2026-09-03T13:13:56.578906</t>
  </si>
  <si>
    <t>2026-09-03T13:13:56.563105</t>
  </si>
  <si>
    <t>2026-09-03T13:13:56.549673</t>
  </si>
  <si>
    <t>2026-09-03T13:13:56.528970</t>
  </si>
  <si>
    <t>2026-09-03T13:13:56.519142</t>
  </si>
  <si>
    <t>2026-09-03T13:13:56.502507</t>
  </si>
  <si>
    <t>2026-09-03T13:13:56.486705</t>
  </si>
  <si>
    <t>2026-09-03T13:13:56.467032</t>
  </si>
  <si>
    <t>2026-09-03T13:13:56.454790</t>
  </si>
  <si>
    <t>2026-09-03T13:13:56.422820</t>
  </si>
  <si>
    <t>2026-09-03T13:13:56.409263</t>
  </si>
  <si>
    <t>2026-09-03T13:13:56.393460</t>
  </si>
  <si>
    <t>2026-09-03T13:13:56.377671</t>
  </si>
  <si>
    <t>2026-09-03T13:13:56.360698</t>
  </si>
  <si>
    <t>2026-09-03T13:13:56.338179</t>
  </si>
  <si>
    <t>2026-09-03T13:13:56.324964</t>
  </si>
  <si>
    <t>2026-09-03T13:13:56.306248</t>
  </si>
  <si>
    <t>2026-09-03T13:13:56.288701</t>
  </si>
  <si>
    <t>2026-09-03T13:13:56.269295</t>
  </si>
  <si>
    <t>2026-09-03T13:13:56.256229</t>
  </si>
  <si>
    <t>2026-09-03T13:13:56.240815</t>
  </si>
  <si>
    <t>2026-09-03T13:13:56.222920</t>
  </si>
  <si>
    <t>2026-09-03T13:13:56.204084</t>
  </si>
  <si>
    <t>2026-09-03T13:13:56.193111</t>
  </si>
  <si>
    <t>2026-09-03T13:13:56.176871</t>
  </si>
  <si>
    <t>2026-09-03T13:13:56.165719</t>
  </si>
  <si>
    <t>2026-09-03T13:13:56.138022</t>
  </si>
  <si>
    <t>2026-09-03T13:13:56.082724</t>
  </si>
  <si>
    <t>2026-09-03T13:13:56.061473</t>
  </si>
  <si>
    <t>2026-09-03T13:13:56.013802</t>
  </si>
  <si>
    <t>2026-09-03T13:13:55.992324</t>
  </si>
  <si>
    <t>2026-09-03T13:13:55.942596</t>
  </si>
  <si>
    <t>2026-09-03T13:13:55.919530</t>
  </si>
  <si>
    <t>2026-09-03T13:13:55.865279</t>
  </si>
  <si>
    <t>2026-09-03T13:13:55.833838</t>
  </si>
  <si>
    <t>2026-09-03T13:13:55.804999</t>
  </si>
  <si>
    <t>2026-09-03T13:13:55.782645</t>
  </si>
  <si>
    <t>2026-09-03T13:13:55.761113</t>
  </si>
  <si>
    <t>2026-09-03T13:13:55.738719</t>
  </si>
  <si>
    <t>2026-09-03T13:13:55.722011</t>
  </si>
  <si>
    <t>2026-09-03T13:13:55.705486</t>
  </si>
  <si>
    <t>2026-09-03T13:13:55.683892</t>
  </si>
  <si>
    <t>2026-09-03T13:13:55.626021</t>
  </si>
  <si>
    <t>2026-09-03T13:13:55.595645</t>
  </si>
  <si>
    <t>2026-09-03T13:13:55.554368</t>
  </si>
  <si>
    <t>2026-09-03T13:13:55.507229</t>
  </si>
  <si>
    <t>2026-09-03T13:13:55.441881</t>
  </si>
  <si>
    <t>2026-09-03T13:13:55.371755</t>
  </si>
  <si>
    <t>2026-09-03T13:13:55.324194</t>
  </si>
  <si>
    <t>2026-09-03T13:13:55.254453</t>
  </si>
  <si>
    <t>2026-09-03T13:13:55.227910</t>
  </si>
  <si>
    <t>2026-09-03T13:13:55.171541</t>
  </si>
  <si>
    <t>2026-09-03T13:13:55.090398</t>
  </si>
  <si>
    <t>2026-09-03T13:13:55.011702</t>
  </si>
  <si>
    <t>2026-09-03T13:13:54.955849</t>
  </si>
  <si>
    <t>2026-09-03T13:13:54.879491</t>
  </si>
  <si>
    <t>2026-09-03T13:13:54.809577</t>
  </si>
  <si>
    <t>2026-09-03T13:13:54.757526</t>
  </si>
  <si>
    <t>2026-09-03T13:13:54.681749</t>
  </si>
  <si>
    <t>2026-09-03T13:13:54.599923</t>
  </si>
  <si>
    <t>2026-09-03T13:13:54.547204</t>
  </si>
  <si>
    <t>2026-09-03T13:13:54.490453</t>
  </si>
  <si>
    <t>2026-09-03T13:13:54.417201</t>
  </si>
  <si>
    <t>2026-09-03T13:13:54.370834</t>
  </si>
  <si>
    <t>2026-09-03T13:13:54.311718</t>
  </si>
  <si>
    <t>2026-09-03T13:13:54.256127</t>
  </si>
  <si>
    <t>2026-09-03T13:13:54.216257</t>
  </si>
  <si>
    <t>2026-09-03T13:13:54.173143</t>
  </si>
  <si>
    <t>2026-09-03T13:13:54.104054</t>
  </si>
  <si>
    <t>2026-09-03T13:13:54.054883</t>
  </si>
  <si>
    <t>2026-09-03T13:13:53.978254</t>
  </si>
  <si>
    <t>2026-09-03T13:13:53.957967</t>
  </si>
  <si>
    <t>2026-09-03T13:13:53.920214</t>
  </si>
  <si>
    <t>2026-09-03T13:13:53.899304</t>
  </si>
  <si>
    <t>2026-09-03T13:13:53.860839</t>
  </si>
  <si>
    <t>2026-09-03T13:13:53.839303</t>
  </si>
  <si>
    <t>2026-09-03T13:13:53.811112</t>
  </si>
  <si>
    <t>2026-09-03T13:13:53.798701</t>
  </si>
  <si>
    <t>2026-09-03T13:13:53.777560</t>
  </si>
  <si>
    <t>2026-09-03T13:13:53.756121</t>
  </si>
  <si>
    <t>2026-09-03T13:13:53.726386</t>
  </si>
  <si>
    <t>2026-09-03T13:13:53.713662</t>
  </si>
  <si>
    <t>2026-09-03T13:13:53.694910</t>
  </si>
  <si>
    <t>2026-09-03T13:13:53.675984</t>
  </si>
  <si>
    <t>2026-09-03T13:13:53.656859</t>
  </si>
  <si>
    <t>2026-09-03T13:13:53.617114</t>
  </si>
  <si>
    <t>2026-09-03T13:13:53.602731</t>
  </si>
  <si>
    <t>2026-09-03T13:13:53.577967</t>
  </si>
  <si>
    <t>2026-09-03T13:13:53.548205</t>
  </si>
  <si>
    <t>2026-09-03T13:13:53.521632</t>
  </si>
  <si>
    <t>2026-09-03T13:13:53.499019</t>
  </si>
  <si>
    <t>2026-09-03T13:13:53.471597</t>
  </si>
  <si>
    <t>2026-09-03T13:13:53.444998</t>
  </si>
  <si>
    <t>2026-09-03T13:13:53.429155</t>
  </si>
  <si>
    <t>2026-09-03T13:13:53.403285</t>
  </si>
  <si>
    <t>2026-09-03T13:13:53.383475</t>
  </si>
  <si>
    <t>2026-09-03T13:13:53.354110</t>
  </si>
  <si>
    <t>2026-09-03T13:13:53.334264</t>
  </si>
  <si>
    <t>2026-09-03T13:13:53.320598</t>
  </si>
  <si>
    <t>2026-09-03T13:13:53.300127</t>
  </si>
  <si>
    <t>2026-09-03T13:13:53.284491</t>
  </si>
  <si>
    <t>2026-09-03T13:13:53.270605</t>
  </si>
  <si>
    <t>2026-09-03T13:13:53.242274</t>
  </si>
  <si>
    <t>2026-09-03T13:13:53.214149</t>
  </si>
  <si>
    <t>2026-09-03T13:13:53.186632</t>
  </si>
  <si>
    <t>2026-09-03T13:13:53.167419</t>
  </si>
  <si>
    <t>2026-09-03T13:13:53.124094</t>
  </si>
  <si>
    <t>2026-09-03T13:13:53.097257</t>
  </si>
  <si>
    <t>2026-09-03T13:13:53.075010</t>
  </si>
  <si>
    <t>2026-09-03T13:13:53.053657</t>
  </si>
  <si>
    <t>2026-09-03T13:13:53.042177</t>
  </si>
  <si>
    <t>2026-09-03T13:13:53.019184</t>
  </si>
  <si>
    <t>2026-09-03T13:13:53.001871</t>
  </si>
  <si>
    <t>2026-09-03T13:13:52.986096</t>
  </si>
  <si>
    <t>2026-09-03T13:13:52.962048</t>
  </si>
  <si>
    <t>2026-09-03T13:13:52.943497</t>
  </si>
  <si>
    <t>2026-09-03T13:13:52.917241</t>
  </si>
  <si>
    <t>2026-09-03T13:13:52.897495</t>
  </si>
  <si>
    <t>2026-09-03T13:13:52.877684</t>
  </si>
  <si>
    <t>2026-09-03T13:13:52.861252</t>
  </si>
  <si>
    <t>2026-09-03T13:13:52.835100</t>
  </si>
  <si>
    <t>2026-09-03T13:13:52.823321</t>
  </si>
  <si>
    <t>2026-09-03T13:13:52.798341</t>
  </si>
  <si>
    <t>2026-09-03T13:13:52.782340</t>
  </si>
  <si>
    <t>2026-09-03T13:13:52.764589</t>
  </si>
  <si>
    <t>2026-09-03T13:13:52.750583</t>
  </si>
  <si>
    <t>2026-09-03T13:13:52.738975</t>
  </si>
  <si>
    <t>2026-09-03T13:13:52.719090</t>
  </si>
  <si>
    <t>2026-09-03T13:13:52.703270</t>
  </si>
  <si>
    <t>2026-09-03T13:13:52.687450</t>
  </si>
  <si>
    <t>2026-09-03T13:13:52.665352</t>
  </si>
  <si>
    <t>2026-09-03T13:13:52.652180</t>
  </si>
  <si>
    <t>2026-09-03T13:13:52.626047</t>
  </si>
  <si>
    <t>2026-09-03T13:13:52.594424</t>
  </si>
  <si>
    <t>2026-09-03T13:13:52.577339</t>
  </si>
  <si>
    <t>2026-09-03T13:13:52.567428</t>
  </si>
  <si>
    <t>2026-09-03T13:13:52.541161</t>
  </si>
  <si>
    <t>2026-09-03T13:13:52.522358</t>
  </si>
  <si>
    <t>2026-09-03T13:13:52.503532</t>
  </si>
  <si>
    <t>2026-09-03T13:13:52.484611</t>
  </si>
  <si>
    <t>2026-09-03T13:13:52.472010</t>
  </si>
  <si>
    <t>2026-09-03T13:13:52.450529</t>
  </si>
  <si>
    <t>2026-09-03T13:13:52.437994</t>
  </si>
  <si>
    <t>2026-09-03T13:13:52.409022</t>
  </si>
  <si>
    <t>2026-09-03T13:13:52.371402</t>
  </si>
  <si>
    <t>2026-09-03T13:13:52.352909</t>
  </si>
  <si>
    <t>2026-09-03T13:13:52.333740</t>
  </si>
  <si>
    <t>2026-09-03T13:13:52.314018</t>
  </si>
  <si>
    <t>2026-09-03T13:13:52.296321</t>
  </si>
  <si>
    <t>2026-09-03T13:13:52.284837</t>
  </si>
  <si>
    <t>2026-09-03T13:13:52.221990</t>
  </si>
  <si>
    <t>2026-09-03T13:13:52.185855</t>
  </si>
  <si>
    <t>2026-09-03T13:13:52.119536</t>
  </si>
  <si>
    <t>2026-09-03T13:13:52.038000</t>
  </si>
  <si>
    <t>2026-09-03T13:13:51.966332</t>
  </si>
  <si>
    <t>2026-09-03T13:13:51.938403</t>
  </si>
  <si>
    <t>2026-09-03T13:13:51.919575</t>
  </si>
  <si>
    <t>2026-09-03T13:13:51.894102</t>
  </si>
  <si>
    <t>2026-09-03T13:13:51.883222</t>
  </si>
  <si>
    <t>2026-09-03T13:13:51.854597</t>
  </si>
  <si>
    <t>2026-09-03T13:13:51.827467</t>
  </si>
  <si>
    <t>2026-09-03T13:13:51.811006</t>
  </si>
  <si>
    <t>2026-09-03T13:13:51.797749</t>
  </si>
  <si>
    <t>2026-09-03T13:13:51.774184</t>
  </si>
  <si>
    <t>2026-09-03T13:13:51.761960</t>
  </si>
  <si>
    <t>2026-09-03T13:13:51.743736</t>
  </si>
  <si>
    <t>2026-09-03T13:13:51.720442</t>
  </si>
  <si>
    <t>2026-09-03T13:13:51.691342</t>
  </si>
  <si>
    <t>2026-09-03T13:13:51.660070</t>
  </si>
  <si>
    <t>2026-09-03T13:13:51.640428</t>
  </si>
  <si>
    <t>2026-09-03T13:13:51.606516</t>
  </si>
  <si>
    <t>2026-09-03T13:13:51.569748</t>
  </si>
  <si>
    <t>2026-09-03T13:13:51.534253</t>
  </si>
  <si>
    <t>2026-09-03T13:13:51.507777</t>
  </si>
  <si>
    <t>2026-09-03T13:13:51.491129</t>
  </si>
  <si>
    <t>2026-09-03T13:13:51.467663</t>
  </si>
  <si>
    <t>2026-09-03T13:13:51.451375</t>
  </si>
  <si>
    <t>2026-09-03T13:13:51.438931</t>
  </si>
  <si>
    <t>2026-09-03T13:13:51.420561</t>
  </si>
  <si>
    <t>2026-09-03T13:13:51.394664</t>
  </si>
  <si>
    <t>2026-09-03T13:13:51.348737</t>
  </si>
  <si>
    <t>2026-09-03T13:13:51.332054</t>
  </si>
  <si>
    <t>2026-09-03T13:13:51.305641</t>
  </si>
  <si>
    <t>2026-09-03T13:13:51.280577</t>
  </si>
  <si>
    <t>2026-09-03T13:13:51.254235</t>
  </si>
  <si>
    <t>2026-09-03T13:13:51.229810</t>
  </si>
  <si>
    <t>2026-09-03T13:13:51.213955</t>
  </si>
  <si>
    <t>2026-09-03T13:13:51.199723</t>
  </si>
  <si>
    <t>2026-09-03T13:13:51.180916</t>
  </si>
  <si>
    <t>2026-09-03T13:13:51.152501</t>
  </si>
  <si>
    <t>2026-09-03T13:13:51.124580</t>
  </si>
  <si>
    <t>2026-09-03T13:13:51.084783</t>
  </si>
  <si>
    <t>2026-09-03T13:13:51.054703</t>
  </si>
  <si>
    <t>2026-09-03T13:13:51.028575</t>
  </si>
  <si>
    <t>2026-09-03T13:13:51.010519</t>
  </si>
  <si>
    <t>2026-09-03T13:13:50.989445</t>
  </si>
  <si>
    <t>2026-09-03T13:13:50.960403</t>
  </si>
  <si>
    <t>2026-09-03T13:13:50.943855</t>
  </si>
  <si>
    <t>2026-09-03T13:13:50.934109</t>
  </si>
  <si>
    <t>2026-09-03T13:13:50.915904</t>
  </si>
  <si>
    <t>2026-09-03T13:13:50.900276</t>
  </si>
  <si>
    <t>2026-09-03T13:13:50.886048</t>
  </si>
  <si>
    <t>2026-09-03T13:13:50.865639</t>
  </si>
  <si>
    <t>2026-09-03T13:13:50.848654</t>
  </si>
  <si>
    <t>2026-09-03T13:13:50.827059</t>
  </si>
  <si>
    <t>2026-09-03T13:13:50.816113</t>
  </si>
  <si>
    <t>2026-09-03T13:13:50.790627</t>
  </si>
  <si>
    <t>2026-09-03T13:13:50.779890</t>
  </si>
  <si>
    <t>2026-09-03T13:13:50.762676</t>
  </si>
  <si>
    <t>2026-09-03T13:13:50.740739</t>
  </si>
  <si>
    <t>2026-09-03T13:13:50.722943</t>
  </si>
  <si>
    <t>2026-09-03T13:13:50.697945</t>
  </si>
  <si>
    <t>2026-09-03T13:13:50.677832</t>
  </si>
  <si>
    <t>2026-09-03T13:13:50.652786</t>
  </si>
  <si>
    <t>2026-09-03T13:13:50.639577</t>
  </si>
  <si>
    <t>2026-09-03T13:13:50.619040</t>
  </si>
  <si>
    <t>2026-09-03T13:13:50.595802</t>
  </si>
  <si>
    <t>2026-09-03T13:13:50.580353</t>
  </si>
  <si>
    <t>2026-09-03T13:13:50.565676</t>
  </si>
  <si>
    <t>2026-09-03T13:13:50.508490</t>
  </si>
  <si>
    <t>2026-09-03T13:13:50.495441</t>
  </si>
  <si>
    <t>2026-09-03T13:13:50.472913</t>
  </si>
  <si>
    <t>2026-09-03T13:13:50.456197</t>
  </si>
  <si>
    <t>2026-09-03T13:13:50.441549</t>
  </si>
  <si>
    <t>2026-09-03T13:13:50.420463</t>
  </si>
  <si>
    <t>2026-09-03T13:13:50.403910</t>
  </si>
  <si>
    <t>2026-09-03T13:13:50.393526</t>
  </si>
  <si>
    <t>2026-09-03T13:13:50.377825</t>
  </si>
  <si>
    <t>2026-09-03T13:13:50.354832</t>
  </si>
  <si>
    <t>2026-09-03T13:13:50.344100</t>
  </si>
  <si>
    <t>2026-09-03T13:13:50.316634</t>
  </si>
  <si>
    <t>2026-09-03T13:13:50.290249</t>
  </si>
  <si>
    <t>2026-09-03T13:13:50.275456</t>
  </si>
  <si>
    <t>2026-09-03T13:13:50.251541</t>
  </si>
  <si>
    <t>2026-09-03T13:13:50.212899</t>
  </si>
  <si>
    <t>2026-09-03T13:13:50.197093</t>
  </si>
  <si>
    <t>2026-09-03T13:13:50.174623</t>
  </si>
  <si>
    <t>2026-09-03T13:13:50.150852</t>
  </si>
  <si>
    <t>2026-09-03T13:13:50.133801</t>
  </si>
  <si>
    <t>2026-09-03T13:13:50.109555</t>
  </si>
  <si>
    <t>2026-09-03T13:13:50.086869</t>
  </si>
  <si>
    <t>2026-09-03T13:13:50.020972</t>
  </si>
  <si>
    <t>2026-09-03T13:13:50.000429</t>
  </si>
  <si>
    <t>2026-09-03T13:13:49.967476</t>
  </si>
  <si>
    <t>2026-09-03T13:13:49.945117</t>
  </si>
  <si>
    <t>2026-09-03T13:13:49.914646</t>
  </si>
  <si>
    <t>2026-09-03T13:13:49.883319</t>
  </si>
  <si>
    <t>2026-09-03T13:13:49.833273</t>
  </si>
  <si>
    <t>2026-09-03T13:13:49.813448</t>
  </si>
  <si>
    <t>2026-09-03T13:13:49.797067</t>
  </si>
  <si>
    <t>2026-09-03T13:13:49.775920</t>
  </si>
  <si>
    <t>2026-09-03T13:13:49.743072</t>
  </si>
  <si>
    <t>2026-09-03T13:13:49.729984</t>
  </si>
  <si>
    <t>2026-09-03T13:13:49.708447</t>
  </si>
  <si>
    <t>2026-09-03T13:13:49.694798</t>
  </si>
  <si>
    <t>2026-09-03T13:13:49.680501</t>
  </si>
  <si>
    <t>2026-09-03T13:13:49.667542</t>
  </si>
  <si>
    <t>2026-09-03T13:13:49.654313</t>
  </si>
  <si>
    <t>2026-09-03T13:13:49.644444</t>
  </si>
  <si>
    <t>2026-09-03T13:13:49.626673</t>
  </si>
  <si>
    <t>2026-09-03T13:13:49.615840</t>
  </si>
  <si>
    <t>2026-09-03T13:13:49.599036</t>
  </si>
  <si>
    <t>2026-09-03T13:13:49.576813</t>
  </si>
  <si>
    <t>2026-09-03T13:13:49.520736</t>
  </si>
  <si>
    <t>2026-09-03T13:13:49.506830</t>
  </si>
  <si>
    <t>2026-09-03T13:13:49.487220</t>
  </si>
  <si>
    <t>2026-09-03T13:13:49.458165</t>
  </si>
  <si>
    <t>2026-09-03T13:13:49.443208</t>
  </si>
  <si>
    <t>2026-09-03T13:13:49.422266</t>
  </si>
  <si>
    <t>2026-09-03T13:13:49.410549</t>
  </si>
  <si>
    <t>2026-09-03T13:13:49.388087</t>
  </si>
  <si>
    <t>2026-09-03T13:13:49.368559</t>
  </si>
  <si>
    <t>2026-09-03T13:13:49.353122</t>
  </si>
  <si>
    <t>2026-09-03T13:13:49.321381</t>
  </si>
  <si>
    <t>2026-09-03T13:13:49.300403</t>
  </si>
  <si>
    <t>2026-09-03T13:13:49.291742</t>
  </si>
  <si>
    <t>2026-09-03T13:13:49.268829</t>
  </si>
  <si>
    <t>2026-09-03T13:13:49.251028</t>
  </si>
  <si>
    <t>2026-09-03T13:13:49.237175</t>
  </si>
  <si>
    <t>2026-09-03T13:13:49.212348</t>
  </si>
  <si>
    <t>2026-09-03T13:13:49.201520</t>
  </si>
  <si>
    <t>2026-09-03T13:13:49.188601</t>
  </si>
  <si>
    <t>2026-09-03T13:13:49.179045</t>
  </si>
  <si>
    <t>2026-09-03T13:13:49.163965</t>
  </si>
  <si>
    <t>2026-09-03T13:13:49.149367</t>
  </si>
  <si>
    <t>2026-09-03T13:13:49.132602</t>
  </si>
  <si>
    <t>2026-09-03T13:13:49.109190</t>
  </si>
  <si>
    <t>2026-09-03T13:13:49.081193</t>
  </si>
  <si>
    <t>2026-09-03T13:13:49.061479</t>
  </si>
  <si>
    <t>2026-09-03T13:13:49.028435</t>
  </si>
  <si>
    <t>2026-09-03T13:13:49.008033</t>
  </si>
  <si>
    <t>2026-09-03T13:13:48.972834</t>
  </si>
  <si>
    <t>2026-09-03T13:13:48.944917</t>
  </si>
  <si>
    <t>2026-09-03T13:13:48.923853</t>
  </si>
  <si>
    <t>2026-09-03T13:13:48.907307</t>
  </si>
  <si>
    <t>2026-09-03T13:13:48.882594</t>
  </si>
  <si>
    <t>2026-09-03T13:13:48.869666</t>
  </si>
  <si>
    <t>2026-09-03T13:13:48.850888</t>
  </si>
  <si>
    <t>2026-09-03T13:13:48.808895</t>
  </si>
  <si>
    <t>2026-09-03T13:13:48.782324</t>
  </si>
  <si>
    <t>2026-09-03T13:13:48.757796</t>
  </si>
  <si>
    <t>2026-09-03T13:13:48.734773</t>
  </si>
  <si>
    <t>2026-09-03T13:13:48.713682</t>
  </si>
  <si>
    <t>2026-09-03T13:13:48.687164</t>
  </si>
  <si>
    <t>2026-09-03T13:13:48.661574</t>
  </si>
  <si>
    <t>2026-09-03T13:13:48.645934</t>
  </si>
  <si>
    <t>2026-09-03T13:13:48.631424</t>
  </si>
  <si>
    <t>2026-09-03T13:13:48.603780</t>
  </si>
  <si>
    <t>2026-09-03T13:13:48.572896</t>
  </si>
  <si>
    <t>2026-09-03T13:13:48.555842</t>
  </si>
  <si>
    <t>2026-09-03T13:13:48.541914</t>
  </si>
  <si>
    <t>2026-09-03T13:13:48.513561</t>
  </si>
  <si>
    <t>2026-09-03T13:13:48.490935</t>
  </si>
  <si>
    <t>2026-09-03T13:13:48.474116</t>
  </si>
  <si>
    <t>2026-09-03T13:13:48.455634</t>
  </si>
  <si>
    <t>2026-09-03T13:13:48.434323</t>
  </si>
  <si>
    <t>2026-09-03T13:13:48.417337</t>
  </si>
  <si>
    <t>2026-09-03T13:13:48.403468</t>
  </si>
  <si>
    <t>2026-09-03T13:13:48.380113</t>
  </si>
  <si>
    <t>2026-09-03T13:13:48.324670</t>
  </si>
  <si>
    <t>2026-09-03T13:13:48.306936</t>
  </si>
  <si>
    <t>2026-09-03T13:13:48.104176</t>
  </si>
  <si>
    <t>2026-09-03T13:13:48.083123</t>
  </si>
  <si>
    <t>2026-09-03T13:13:48.069580</t>
  </si>
  <si>
    <t>2026-09-03T13:13:48.054707</t>
  </si>
  <si>
    <t>2026-09-03T13:13:48.041787</t>
  </si>
  <si>
    <t>2026-09-03T13:13:48.027339</t>
  </si>
  <si>
    <t>2026-09-03T13:13:48.013419</t>
  </si>
  <si>
    <t>2026-09-03T13:13:47.993138</t>
  </si>
  <si>
    <t>2026-09-03T13:13:47.978003</t>
  </si>
  <si>
    <t>2026-09-03T13:13:47.965188</t>
  </si>
  <si>
    <t>2026-09-03T13:13:47.942985</t>
  </si>
  <si>
    <t>2026-09-03T13:13:47.935186</t>
  </si>
  <si>
    <t>2026-09-03T13:13:47.917719</t>
  </si>
  <si>
    <t>2026-09-03T13:13:47.902038</t>
  </si>
  <si>
    <t>2026-09-03T13:13:47.881912</t>
  </si>
  <si>
    <t>2026-09-03T13:13:47.868126</t>
  </si>
  <si>
    <t>2026-09-03T13:13:47.853125</t>
  </si>
  <si>
    <t>2026-09-03T13:13:47.840975</t>
  </si>
  <si>
    <t>2026-09-03T13:13:47.827928</t>
  </si>
  <si>
    <t>2026-09-03T13:13:47.813394</t>
  </si>
  <si>
    <t>2026-09-03T13:13:47.796844</t>
  </si>
  <si>
    <t>2026-09-03T13:13:47.778556</t>
  </si>
  <si>
    <t>2026-09-03T13:13:47.764248</t>
  </si>
  <si>
    <t>2026-09-03T13:13:47.749716</t>
  </si>
  <si>
    <t>2026-09-03T13:13:47.734991</t>
  </si>
  <si>
    <t>2026-09-03T13:13:47.710065</t>
  </si>
  <si>
    <t>2026-09-03T13:13:47.687019</t>
  </si>
  <si>
    <t>2026-09-03T13:13:47.674577</t>
  </si>
  <si>
    <t>2026-09-03T13:13:47.659307</t>
  </si>
  <si>
    <t>2026-09-03T13:13:47.626923</t>
  </si>
  <si>
    <t>2026-09-03T13:13:47.615552</t>
  </si>
  <si>
    <t>2026-09-03T13:13:47.549436</t>
  </si>
  <si>
    <t>2026-09-03T13:13:47.521672</t>
  </si>
  <si>
    <t>2026-09-03T13:13:47.492879</t>
  </si>
  <si>
    <t>2026-09-03T13:13:47.459963</t>
  </si>
  <si>
    <t>2026-09-03T13:13:47.431856</t>
  </si>
  <si>
    <t>2026-09-03T13:13:47.396409</t>
  </si>
  <si>
    <t>2026-09-03T13:13:47.377292</t>
  </si>
  <si>
    <t>2026-09-03T13:13:47.366207</t>
  </si>
  <si>
    <t>2026-09-03T13:13:47.343235</t>
  </si>
  <si>
    <t>2026-09-03T13:13:47.306332</t>
  </si>
  <si>
    <t>2026-09-03T13:13:47.282925</t>
  </si>
  <si>
    <t>2026-09-03T13:13:47.250790</t>
  </si>
  <si>
    <t>2026-09-03T13:13:47.204725</t>
  </si>
  <si>
    <t>2026-09-03T13:13:47.185765</t>
  </si>
  <si>
    <t>2026-09-03T13:13:47.083614</t>
  </si>
  <si>
    <t>2026-09-03T13:13:47.022395</t>
  </si>
  <si>
    <t>2026-09-03T13:13:46.946756</t>
  </si>
  <si>
    <t>2026-09-03T13:13:46.917869</t>
  </si>
  <si>
    <t>2026-09-03T13:13:46.891158</t>
  </si>
  <si>
    <t>2026-09-03T13:13:46.876893</t>
  </si>
  <si>
    <t>2026-09-03T13:13:46.845798</t>
  </si>
  <si>
    <t>2026-09-03T13:13:46.830940</t>
  </si>
  <si>
    <t>2026-09-03T13:13:46.808111</t>
  </si>
  <si>
    <t>2026-09-03T13:13:46.790164</t>
  </si>
  <si>
    <t>2026-09-03T13:13:46.770680</t>
  </si>
  <si>
    <t>2026-09-03T13:13:46.756457</t>
  </si>
  <si>
    <t>2026-09-03T13:13:46.742033</t>
  </si>
  <si>
    <t>2026-09-03T13:13:46.728624</t>
  </si>
  <si>
    <t>2026-09-03T13:13:46.715821</t>
  </si>
  <si>
    <t>2026-09-03T13:13:46.694548</t>
  </si>
  <si>
    <t>2026-09-03T13:13:46.683893</t>
  </si>
  <si>
    <t>2026-09-03T13:13:46.666165</t>
  </si>
  <si>
    <t>2026-09-03T13:13:46.647098</t>
  </si>
  <si>
    <t>2026-09-03T13:13:46.636575</t>
  </si>
  <si>
    <t>2026-09-03T13:13:46.574957</t>
  </si>
  <si>
    <t>2026-09-03T13:13:46.548632</t>
  </si>
  <si>
    <t>2026-09-03T13:13:46.534267</t>
  </si>
  <si>
    <t>2026-09-03T13:13:46.513961</t>
  </si>
  <si>
    <t>2026-09-03T13:13:46.497323</t>
  </si>
  <si>
    <t>2026-09-03T13:13:46.479950</t>
  </si>
  <si>
    <t>2026-09-03T13:13:46.463062</t>
  </si>
  <si>
    <t>2026-09-03T13:13:46.441777</t>
  </si>
  <si>
    <t>2026-09-03T13:13:46.423061</t>
  </si>
  <si>
    <t>2026-09-03T13:13:46.401226</t>
  </si>
  <si>
    <t>2026-09-03T13:13:46.380569</t>
  </si>
  <si>
    <t>2026-09-03T13:13:46.361465</t>
  </si>
  <si>
    <t>2026-09-03T13:13:46.341421</t>
  </si>
  <si>
    <t>2026-09-03T13:13:46.302671</t>
  </si>
  <si>
    <t>2026-09-03T13:13:46.286376</t>
  </si>
  <si>
    <t>2026-09-03T13:13:46.279013</t>
  </si>
  <si>
    <t>2026-09-03T13:13:46.265760</t>
  </si>
  <si>
    <t>2026-09-03T13:13:46.256146</t>
  </si>
  <si>
    <t>2026-09-03T13:13:46.243083</t>
  </si>
  <si>
    <t>2026-09-03T13:13:46.224651</t>
  </si>
  <si>
    <t>2026-09-03T13:13:46.202756</t>
  </si>
  <si>
    <t>2026-09-03T13:13:46.163459</t>
  </si>
  <si>
    <t>2026-09-03T13:13:46.141370</t>
  </si>
  <si>
    <t>2026-09-03T13:13:46.118626</t>
  </si>
  <si>
    <t>2026-09-03T13:13:46.098716</t>
  </si>
  <si>
    <t>2026-09-03T13:13:46.072929</t>
  </si>
  <si>
    <t>2026-09-03T13:13:46.055745</t>
  </si>
  <si>
    <t>2026-09-03T13:13:46.042765</t>
  </si>
  <si>
    <t>2026-09-03T13:13:46.021599</t>
  </si>
  <si>
    <t>2026-09-03T13:13:45.994930</t>
  </si>
  <si>
    <t>2026-09-03T13:13:45.981702</t>
  </si>
  <si>
    <t>2026-09-03T13:13:45.967002</t>
  </si>
  <si>
    <t>2026-09-03T13:13:45.953379</t>
  </si>
  <si>
    <t>2026-09-03T13:13:45.942619</t>
  </si>
  <si>
    <t>2026-09-03T13:13:45.923700</t>
  </si>
  <si>
    <t>2026-09-03T13:13:45.912005</t>
  </si>
  <si>
    <t>2026-09-03T13:13:45.894469</t>
  </si>
  <si>
    <t>2026-09-03T13:13:45.880675</t>
  </si>
  <si>
    <t>2026-09-03T13:13:45.866935</t>
  </si>
  <si>
    <t>2026-09-03T13:13:45.849294</t>
  </si>
  <si>
    <t>2026-09-03T13:13:45.834017</t>
  </si>
  <si>
    <t>2026-09-03T13:13:45.817250</t>
  </si>
  <si>
    <t>2026-09-03T13:13:45.798421</t>
  </si>
  <si>
    <t>2026-09-03T13:13:45.785256</t>
  </si>
  <si>
    <t>2026-09-03T13:13:45.775288</t>
  </si>
  <si>
    <t>2026-09-03T13:13:45.755996</t>
  </si>
  <si>
    <t>2026-09-03T13:13:45.731779</t>
  </si>
  <si>
    <t>2026-09-03T13:13:45.714774</t>
  </si>
  <si>
    <t>2026-09-03T13:13:45.693955</t>
  </si>
  <si>
    <t>2026-09-03T13:13:45.675084</t>
  </si>
  <si>
    <t>2026-09-03T13:13:45.623409</t>
  </si>
  <si>
    <t>2026-09-03T13:13:45.599270</t>
  </si>
  <si>
    <t>2026-09-03T13:13:45.570662</t>
  </si>
  <si>
    <t>2026-09-03T13:13:45.548189</t>
  </si>
  <si>
    <t>2026-09-03T13:13:45.509620</t>
  </si>
  <si>
    <t>2026-09-03T13:13:45.495193</t>
  </si>
  <si>
    <t>2026-09-03T13:13:45.467589</t>
  </si>
  <si>
    <t>2026-09-03T13:13:45.443239</t>
  </si>
  <si>
    <t>2026-09-03T13:13:45.420572</t>
  </si>
  <si>
    <t>2026-09-03T13:13:45.403437</t>
  </si>
  <si>
    <t>2026-09-03T13:13:45.381859</t>
  </si>
  <si>
    <t>2026-09-03T13:13:45.364278</t>
  </si>
  <si>
    <t>2026-09-03T13:13:45.347477</t>
  </si>
  <si>
    <t>2026-09-03T13:13:45.326343</t>
  </si>
  <si>
    <t>2026-09-03T13:13:45.316895</t>
  </si>
  <si>
    <t>2026-09-03T13:13:45.297879</t>
  </si>
  <si>
    <t>2026-09-03T13:13:45.280172</t>
  </si>
  <si>
    <t>2026-09-03T13:13:45.263494</t>
  </si>
  <si>
    <t>2026-09-03T13:13:45.253608</t>
  </si>
  <si>
    <t>2026-09-03T13:13:45.235495</t>
  </si>
  <si>
    <t>2026-09-03T13:13:45.226840</t>
  </si>
  <si>
    <t>2026-09-03T13:13:45.215502</t>
  </si>
  <si>
    <t>2026-09-03T13:13:45.201245</t>
  </si>
  <si>
    <t>2026-09-03T13:13:45.173545</t>
  </si>
  <si>
    <t>2026-09-03T13:13:45.152454</t>
  </si>
  <si>
    <t>2026-09-03T13:13:45.133244</t>
  </si>
  <si>
    <t>2026-09-03T13:13:45.118718</t>
  </si>
  <si>
    <t>2026-09-03T13:13:45.101228</t>
  </si>
  <si>
    <t>2026-09-03T13:13:45.080595</t>
  </si>
  <si>
    <t>2026-09-03T13:13:45.055223</t>
  </si>
  <si>
    <t>2026-09-03T13:13:45.035576</t>
  </si>
  <si>
    <t>2026-09-03T13:13:45.022812</t>
  </si>
  <si>
    <t>2026-09-03T13:13:45.004954</t>
  </si>
  <si>
    <t>2026-09-03T13:13:44.992394</t>
  </si>
  <si>
    <t>2026-09-03T13:13:44.978416</t>
  </si>
  <si>
    <t>2026-09-03T13:13:44.965022</t>
  </si>
  <si>
    <t>2026-09-03T13:13:44.948998</t>
  </si>
  <si>
    <t>2026-09-03T13:13:44.938822</t>
  </si>
  <si>
    <t>2026-09-03T13:13:44.920220</t>
  </si>
  <si>
    <t>2026-09-03T13:13:44.906597</t>
  </si>
  <si>
    <t>2026-09-03T13:13:44.882094</t>
  </si>
  <si>
    <t>2026-09-03T13:13:44.854535</t>
  </si>
  <si>
    <t>2026-09-03T13:13:44.831054</t>
  </si>
  <si>
    <t>2026-09-03T13:13:44.808102</t>
  </si>
  <si>
    <t>2026-09-03T13:13:44.785773</t>
  </si>
  <si>
    <t>2026-09-03T13:13:44.763475</t>
  </si>
  <si>
    <t>2026-09-03T13:13:44.744187</t>
  </si>
  <si>
    <t>2026-09-03T13:13:44.730738</t>
  </si>
  <si>
    <t>2026-09-03T13:13:44.705168</t>
  </si>
  <si>
    <t>2026-09-03T13:13:44.686124</t>
  </si>
  <si>
    <t>2026-09-03T13:13:44.668778</t>
  </si>
  <si>
    <t>2026-09-03T13:13:44.651452</t>
  </si>
  <si>
    <t>2026-09-03T13:13:44.634226</t>
  </si>
  <si>
    <t>2026-09-03T13:13:44.613856</t>
  </si>
  <si>
    <t>2026-09-03T13:13:44.591412</t>
  </si>
  <si>
    <t>2026-09-03T13:13:44.568892</t>
  </si>
  <si>
    <t>2026-09-03T13:13:44.519628</t>
  </si>
  <si>
    <t>2026-09-03T13:13:44.503373</t>
  </si>
  <si>
    <t>2026-09-03T13:13:44.487236</t>
  </si>
  <si>
    <t>2026-09-03T13:13:44.464448</t>
  </si>
  <si>
    <t>2026-09-03T13:13:44.444904</t>
  </si>
  <si>
    <t>2026-09-03T13:13:44.412006</t>
  </si>
  <si>
    <t>2026-09-03T13:13:44.387904</t>
  </si>
  <si>
    <t>2026-09-03T13:13:44.373679</t>
  </si>
  <si>
    <t>2026-09-03T13:13:44.356691</t>
  </si>
  <si>
    <t>2026-09-03T13:13:44.339314</t>
  </si>
  <si>
    <t>2026-09-03T13:13:44.319914</t>
  </si>
  <si>
    <t>2026-09-03T13:13:44.300977</t>
  </si>
  <si>
    <t>2026-09-03T13:13:44.285754</t>
  </si>
  <si>
    <t>2026-09-03T13:13:44.265035</t>
  </si>
  <si>
    <t>2026-09-03T13:13:44.222321</t>
  </si>
  <si>
    <t>2026-09-03T13:13:44.188099</t>
  </si>
  <si>
    <t>2026-09-03T13:13:44.146012</t>
  </si>
  <si>
    <t>2026-09-03T13:13:44.081286</t>
  </si>
  <si>
    <t>2026-09-03T13:13:44.026570</t>
  </si>
  <si>
    <t>2026-09-03T13:13:44.006886</t>
  </si>
  <si>
    <t>2026-09-03T13:13:43.982185</t>
  </si>
  <si>
    <t>2026-09-03T13:13:43.958641</t>
  </si>
  <si>
    <t>2026-09-03T13:13:43.945220</t>
  </si>
  <si>
    <t>2026-09-03T13:13:43.928129</t>
  </si>
  <si>
    <t>2026-09-03T13:13:43.904385</t>
  </si>
  <si>
    <t>2026-09-03T13:13:43.894036</t>
  </si>
  <si>
    <t>2026-09-03T13:13:43.863308</t>
  </si>
  <si>
    <t>2026-09-03T13:13:43.848818</t>
  </si>
  <si>
    <t>2026-09-03T13:13:43.827393</t>
  </si>
  <si>
    <t>2026-09-03T13:13:43.797709</t>
  </si>
  <si>
    <t>2026-09-03T13:13:43.765610</t>
  </si>
  <si>
    <t>2026-09-03T13:13:43.743335</t>
  </si>
  <si>
    <t>2026-09-03T13:13:43.724451</t>
  </si>
  <si>
    <t>2026-09-03T13:13:43.696650</t>
  </si>
  <si>
    <t>2026-09-03T13:13:43.671570</t>
  </si>
  <si>
    <t>2026-09-03T13:13:43.653315</t>
  </si>
  <si>
    <t>2026-09-03T13:13:43.617027</t>
  </si>
  <si>
    <t>2026-09-03T13:13:43.591703</t>
  </si>
  <si>
    <t>2026-09-03T13:13:43.571735</t>
  </si>
  <si>
    <t>2026-09-03T13:13:43.544354</t>
  </si>
  <si>
    <t>2026-09-03T13:13:43.522834</t>
  </si>
  <si>
    <t>2026-09-03T13:13:43.491827</t>
  </si>
  <si>
    <t>2026-09-03T13:13:43.467617</t>
  </si>
  <si>
    <t>2026-09-03T13:13:43.446934</t>
  </si>
  <si>
    <t>2026-09-03T13:13:43.427245</t>
  </si>
  <si>
    <t>2026-09-03T13:13:43.403935</t>
  </si>
  <si>
    <t>2026-09-03T13:13:43.389558</t>
  </si>
  <si>
    <t>2026-09-03T13:13:43.369230</t>
  </si>
  <si>
    <t>2026-09-03T13:13:43.349318</t>
  </si>
  <si>
    <t>2026-09-03T13:13:43.329842</t>
  </si>
  <si>
    <t>2026-09-03T13:13:43.314652</t>
  </si>
  <si>
    <t>2026-09-03T13:13:43.300451</t>
  </si>
  <si>
    <t>2026-09-03T13:13:43.273933</t>
  </si>
  <si>
    <t>2026-09-03T13:13:43.242983</t>
  </si>
  <si>
    <t>2026-09-03T13:13:43.222969</t>
  </si>
  <si>
    <t>2026-09-03T13:13:43.211812</t>
  </si>
  <si>
    <t>2026-09-03T13:13:43.176270</t>
  </si>
  <si>
    <t>2026-09-03T13:13:43.157843</t>
  </si>
  <si>
    <t>2026-09-03T13:13:43.146306</t>
  </si>
  <si>
    <t>2026-09-03T13:13:43.120506</t>
  </si>
  <si>
    <t>2026-09-03T13:13:43.094624</t>
  </si>
  <si>
    <t>2026-09-03T13:13:43.074410</t>
  </si>
  <si>
    <t>2026-09-03T13:13:43.047277</t>
  </si>
  <si>
    <t>2026-09-03T13:13:43.021317</t>
  </si>
  <si>
    <t>2026-09-03T13:13:42.993044</t>
  </si>
  <si>
    <t>2026-09-03T13:13:42.981280</t>
  </si>
  <si>
    <t>2026-09-03T13:13:42.967472</t>
  </si>
  <si>
    <t>2026-09-03T13:13:42.951289</t>
  </si>
  <si>
    <t>2026-09-03T13:13:42.922060</t>
  </si>
  <si>
    <t>2026-09-03T13:13:42.888557</t>
  </si>
  <si>
    <t>2026-09-03T13:13:42.876460</t>
  </si>
  <si>
    <t>2026-09-03T13:13:42.857331</t>
  </si>
  <si>
    <t>2026-09-03T13:13:42.835069</t>
  </si>
  <si>
    <t>2026-09-03T13:13:42.804080</t>
  </si>
  <si>
    <t>2026-09-03T13:13:42.769289</t>
  </si>
  <si>
    <t>2026-09-03T13:13:42.734471</t>
  </si>
  <si>
    <t>2026-09-03T13:13:42.714767</t>
  </si>
  <si>
    <t>2026-09-03T13:13:42.697234</t>
  </si>
  <si>
    <t>2026-09-03T13:13:42.652545</t>
  </si>
  <si>
    <t>2026-09-03T13:13:42.619798</t>
  </si>
  <si>
    <t>2026-09-03T13:13:42.612877</t>
  </si>
  <si>
    <t>2026-09-03T13:13:42.599263</t>
  </si>
  <si>
    <t>2026-09-03T13:13:42.563844</t>
  </si>
  <si>
    <t>2026-09-03T13:13:42.550507</t>
  </si>
  <si>
    <t>2026-09-03T13:13:42.526088</t>
  </si>
  <si>
    <t>2026-09-03T13:13:42.494778</t>
  </si>
  <si>
    <t>2026-09-03T13:13:42.479507</t>
  </si>
  <si>
    <t>2026-09-03T13:13:42.463261</t>
  </si>
  <si>
    <t>2026-09-03T13:13:42.444666</t>
  </si>
  <si>
    <t>2026-09-03T13:13:42.426275</t>
  </si>
  <si>
    <t>2026-09-03T13:13:42.406954</t>
  </si>
  <si>
    <t>2026-09-03T13:13:42.388609</t>
  </si>
  <si>
    <t>2026-09-03T13:13:42.376165</t>
  </si>
  <si>
    <t>2026-09-03T13:13:42.359566</t>
  </si>
  <si>
    <t>2026-09-03T13:13:42.341607</t>
  </si>
  <si>
    <t>2026-09-03T13:13:42.314107</t>
  </si>
  <si>
    <t>2026-09-03T13:13:42.285631</t>
  </si>
  <si>
    <t>2026-09-03T13:13:42.238906</t>
  </si>
  <si>
    <t>2026-09-03T13:13:42.189768</t>
  </si>
  <si>
    <t>2026-09-03T13:13:42.168420</t>
  </si>
  <si>
    <t>2026-09-03T13:13:42.155540</t>
  </si>
  <si>
    <t>2026-09-03T13:13:42.136835</t>
  </si>
  <si>
    <t>2026-09-03T13:13:42.115925</t>
  </si>
  <si>
    <t>2026-09-03T13:13:42.088460</t>
  </si>
  <si>
    <t>2026-09-03T13:13:42.073247</t>
  </si>
  <si>
    <t>2026-09-03T13:13:42.049234</t>
  </si>
  <si>
    <t>2026-09-03T13:13:42.026973</t>
  </si>
  <si>
    <t>2026-09-03T13:13:42.002407</t>
  </si>
  <si>
    <t>2026-09-03T13:13:41.978591</t>
  </si>
  <si>
    <t>2026-09-03T13:13:41.963547</t>
  </si>
  <si>
    <t>2026-09-03T13:13:41.938642</t>
  </si>
  <si>
    <t>2026-09-03T13:13:41.923150</t>
  </si>
  <si>
    <t>2026-09-03T13:13:41.894927</t>
  </si>
  <si>
    <t>2026-09-03T13:13:41.882067</t>
  </si>
  <si>
    <t>2026-09-03T13:13:41.863051</t>
  </si>
  <si>
    <t>2026-09-03T13:13:41.849311</t>
  </si>
  <si>
    <t>2026-09-03T13:13:41.833982</t>
  </si>
  <si>
    <t>2026-09-03T13:13:41.819176</t>
  </si>
  <si>
    <t>2026-09-03T13:13:41.798946</t>
  </si>
  <si>
    <t>2026-09-03T13:13:41.784885</t>
  </si>
  <si>
    <t>2026-09-03T13:13:41.762813</t>
  </si>
  <si>
    <t>2026-09-03T13:13:41.744379</t>
  </si>
  <si>
    <t>2026-09-03T13:13:41.730212</t>
  </si>
  <si>
    <t>2026-09-03T13:13:41.714229</t>
  </si>
  <si>
    <t>2026-09-03T13:13:41.700373</t>
  </si>
  <si>
    <t>2026-09-03T13:13:41.689776</t>
  </si>
  <si>
    <t>2026-09-03T13:13:41.673761</t>
  </si>
  <si>
    <t>2026-09-03T13:13:41.656801</t>
  </si>
  <si>
    <t>2026-09-03T13:13:41.645191</t>
  </si>
  <si>
    <t>2026-09-03T13:13:41.633505</t>
  </si>
  <si>
    <t>2026-09-03T13:13:41.625646</t>
  </si>
  <si>
    <t>2026-09-03T13:13:41.616153</t>
  </si>
  <si>
    <t>2026-09-03T13:13:41.604118</t>
  </si>
  <si>
    <t>2026-09-03T13:13:41.591541</t>
  </si>
  <si>
    <t>2026-09-03T13:13:41.574472</t>
  </si>
  <si>
    <t>2026-09-03T13:13:41.562215</t>
  </si>
  <si>
    <t>2026-09-03T13:13:41.539598</t>
  </si>
  <si>
    <t>2026-09-03T13:13:41.522061</t>
  </si>
  <si>
    <t>2026-09-03T13:13:41.507777</t>
  </si>
  <si>
    <t>2026-09-03T13:13:41.492639</t>
  </si>
  <si>
    <t>2026-09-03T13:13:41.472127</t>
  </si>
  <si>
    <t>2026-09-03T13:13:41.458876</t>
  </si>
  <si>
    <t>2026-09-03T13:13:41.436035</t>
  </si>
  <si>
    <t>2026-09-03T13:13:41.423235</t>
  </si>
  <si>
    <t>2026-09-03T13:13:41.414063</t>
  </si>
  <si>
    <t>2026-09-03T13:13:41.394348</t>
  </si>
  <si>
    <t>2026-09-03T13:13:41.382869</t>
  </si>
  <si>
    <t>2026-09-03T13:13:41.369423</t>
  </si>
  <si>
    <t>2026-09-03T13:13:41.356997</t>
  </si>
  <si>
    <t>2026-09-03T13:13:41.345313</t>
  </si>
  <si>
    <t>2026-09-03T13:13:41.329278</t>
  </si>
  <si>
    <t>2026-09-03T13:13:41.314128</t>
  </si>
  <si>
    <t>2026-09-03T13:13:41.294022</t>
  </si>
  <si>
    <t>2026-09-03T13:13:41.276227</t>
  </si>
  <si>
    <t>2026-09-03T13:13:41.252168</t>
  </si>
  <si>
    <t>2026-09-03T13:13:41.236932</t>
  </si>
  <si>
    <t>2026-09-03T13:13:41.215836</t>
  </si>
  <si>
    <t>2026-09-03T13:13:41.193376</t>
  </si>
  <si>
    <t>2026-09-03T13:13:41.174090</t>
  </si>
  <si>
    <t>2026-09-03T13:13:41.154180</t>
  </si>
  <si>
    <t>2026-09-03T13:13:41.130811</t>
  </si>
  <si>
    <t>2026-09-03T13:13:41.102359</t>
  </si>
  <si>
    <t>2026-09-03T13:13:41.079415</t>
  </si>
  <si>
    <t>2026-09-03T13:13:41.055521</t>
  </si>
  <si>
    <t>2026-09-03T13:13:41.027502</t>
  </si>
  <si>
    <t>2026-09-03T13:13:40.984527</t>
  </si>
  <si>
    <t>2026-09-03T13:13:40.967309</t>
  </si>
  <si>
    <t>2026-09-03T13:13:40.929058</t>
  </si>
  <si>
    <t>2026-09-03T13:13:40.898290</t>
  </si>
  <si>
    <t>2026-09-03T13:13:40.881761</t>
  </si>
  <si>
    <t>2026-09-03T13:13:40.867977</t>
  </si>
  <si>
    <t>2026-09-03T13:13:40.856535</t>
  </si>
  <si>
    <t>2026-09-03T13:13:40.828746</t>
  </si>
  <si>
    <t>2026-09-03T13:13:40.818230</t>
  </si>
  <si>
    <t>2026-09-03T13:13:40.803671</t>
  </si>
  <si>
    <t>2026-09-03T13:13:40.791909</t>
  </si>
  <si>
    <t>2026-09-03T13:13:40.776476</t>
  </si>
  <si>
    <t>2026-09-03T13:13:40.762915</t>
  </si>
  <si>
    <t>2026-09-03T13:13:40.741551</t>
  </si>
  <si>
    <t>2026-09-03T13:13:40.718345</t>
  </si>
  <si>
    <t>2026-09-03T13:13:40.697828</t>
  </si>
  <si>
    <t>2026-09-03T13:13:40.674677</t>
  </si>
  <si>
    <t>2026-09-03T13:13:40.648012</t>
  </si>
  <si>
    <t>2026-09-03T13:13:40.627704</t>
  </si>
  <si>
    <t>2026-09-03T13:13:40.604915</t>
  </si>
  <si>
    <t>2026-09-03T13:13:40.585228</t>
  </si>
  <si>
    <t>2026-09-03T13:13:40.577915</t>
  </si>
  <si>
    <t>2026-09-03T13:13:40.561570</t>
  </si>
  <si>
    <t>2026-09-03T13:13:40.551050</t>
  </si>
  <si>
    <t>2026-09-03T13:13:40.535852</t>
  </si>
  <si>
    <t>2026-09-03T13:13:40.513085</t>
  </si>
  <si>
    <t>2026-09-03T13:13:40.486065</t>
  </si>
  <si>
    <t>2026-09-03T13:13:40.468084</t>
  </si>
  <si>
    <t>2026-09-03T13:13:40.452222</t>
  </si>
  <si>
    <t>2026-09-03T13:13:40.424301</t>
  </si>
  <si>
    <t>2026-09-03T13:13:40.408955</t>
  </si>
  <si>
    <t>2026-09-03T13:13:40.383655</t>
  </si>
  <si>
    <t>2026-09-03T13:13:40.364017</t>
  </si>
  <si>
    <t>2026-09-03T13:13:40.347985</t>
  </si>
  <si>
    <t>2026-09-03T13:13:40.334804</t>
  </si>
  <si>
    <t>2026-09-03T13:13:40.314366</t>
  </si>
  <si>
    <t>2026-09-03T13:13:40.295710</t>
  </si>
  <si>
    <t>2026-09-03T13:13:40.276491</t>
  </si>
  <si>
    <t>2026-09-03T13:13:40.245540</t>
  </si>
  <si>
    <t>2026-09-03T13:13:40.217207</t>
  </si>
  <si>
    <t>2026-09-03T13:13:40.184721</t>
  </si>
  <si>
    <t>2026-09-03T13:13:40.135124</t>
  </si>
  <si>
    <t>2026-09-03T13:13:40.099861</t>
  </si>
  <si>
    <t>2026-09-03T13:13:40.072005</t>
  </si>
  <si>
    <t>2026-09-03T13:13:40.043770</t>
  </si>
  <si>
    <t>2026-09-03T13:13:40.001026</t>
  </si>
  <si>
    <t>2026-09-03T13:13:39.958048</t>
  </si>
  <si>
    <t>2026-09-03T13:13:39.920141</t>
  </si>
  <si>
    <t>2026-09-03T13:13:39.894676</t>
  </si>
  <si>
    <t>2026-09-03T13:13:39.876222</t>
  </si>
  <si>
    <t>2026-09-03T13:13:39.863094</t>
  </si>
  <si>
    <t>2026-09-03T13:13:39.851805</t>
  </si>
  <si>
    <t>2026-09-03T13:13:39.832373</t>
  </si>
  <si>
    <t>2026-09-03T13:13:39.808053</t>
  </si>
  <si>
    <t>2026-09-03T13:13:39.794141</t>
  </si>
  <si>
    <t>2026-09-03T13:13:39.779893</t>
  </si>
  <si>
    <t>2026-09-03T13:13:39.765174</t>
  </si>
  <si>
    <t>2026-09-03T13:13:39.743474</t>
  </si>
  <si>
    <t>2026-09-03T13:13:39.724368</t>
  </si>
  <si>
    <t>2026-09-03T13:13:39.701547</t>
  </si>
  <si>
    <t>2026-09-03T13:13:39.682837</t>
  </si>
  <si>
    <t>2026-09-03T13:13:39.654134</t>
  </si>
  <si>
    <t>2026-09-03T13:13:39.639946</t>
  </si>
  <si>
    <t>2026-09-03T13:13:39.627158</t>
  </si>
  <si>
    <t>2026-09-03T13:13:39.610376</t>
  </si>
  <si>
    <t>2026-09-03T13:13:39.597358</t>
  </si>
  <si>
    <t>2026-09-03T13:13:39.581024</t>
  </si>
  <si>
    <t>2026-09-03T13:13:39.562341</t>
  </si>
  <si>
    <t>2026-09-03T13:13:39.549709</t>
  </si>
  <si>
    <t>2026-09-03T13:13:39.530501</t>
  </si>
  <si>
    <t>2026-09-03T13:13:39.516553</t>
  </si>
  <si>
    <t>2026-09-03T13:13:39.494956</t>
  </si>
  <si>
    <t>2026-09-03T13:13:39.479660</t>
  </si>
  <si>
    <t>2026-09-03T13:13:39.463710</t>
  </si>
  <si>
    <t>2026-09-03T13:13:39.447793</t>
  </si>
  <si>
    <t>2026-09-03T13:13:39.433668</t>
  </si>
  <si>
    <t>2026-09-03T13:13:39.409825</t>
  </si>
  <si>
    <t>2026-09-03T13:13:39.390449</t>
  </si>
  <si>
    <t>2026-09-03T13:13:39.365729</t>
  </si>
  <si>
    <t>2026-09-03T13:13:39.349304</t>
  </si>
  <si>
    <t>2026-09-03T13:13:39.335222</t>
  </si>
  <si>
    <t>2026-09-03T13:13:39.313897</t>
  </si>
  <si>
    <t>2026-09-03T13:13:39.301585</t>
  </si>
  <si>
    <t>2026-09-03T13:13:39.285560</t>
  </si>
  <si>
    <t>2026-09-03T13:13:39.273709</t>
  </si>
  <si>
    <t>2026-09-03T13:13:39.252537</t>
  </si>
  <si>
    <t>2026-09-03T13:13:39.231663</t>
  </si>
  <si>
    <t>2026-09-03T13:13:39.216532</t>
  </si>
  <si>
    <t>2026-09-03T13:13:39.199578</t>
  </si>
  <si>
    <t>2026-09-03T13:13:39.148319</t>
  </si>
  <si>
    <t>2026-09-03T13:13:39.104993</t>
  </si>
  <si>
    <t>2026-09-03T13:13:39.078363</t>
  </si>
  <si>
    <t>2026-09-03T13:13:39.057614</t>
  </si>
  <si>
    <t>2026-09-03T13:13:39.037729</t>
  </si>
  <si>
    <t>2026-09-03T13:13:39.025834</t>
  </si>
  <si>
    <t>2026-09-03T13:13:39.000365</t>
  </si>
  <si>
    <t>2026-09-03T13:13:38.954152</t>
  </si>
  <si>
    <t>2026-09-03T13:13:38.939481</t>
  </si>
  <si>
    <t>2026-09-03T13:13:38.905391</t>
  </si>
  <si>
    <t>2026-09-03T13:13:38.889288</t>
  </si>
  <si>
    <t>2026-09-03T13:13:38.864526</t>
  </si>
  <si>
    <t>2026-09-03T13:13:38.843725</t>
  </si>
  <si>
    <t>2026-09-03T13:13:38.827895</t>
  </si>
  <si>
    <t>2026-09-03T13:13:38.813961</t>
  </si>
  <si>
    <t>2026-09-03T13:13:38.797596</t>
  </si>
  <si>
    <t>2026-09-03T13:13:38.779983</t>
  </si>
  <si>
    <t>2026-09-03T13:13:38.766282</t>
  </si>
  <si>
    <t>2026-09-03T13:13:38.756451</t>
  </si>
  <si>
    <t>2026-09-03T13:13:38.744460</t>
  </si>
  <si>
    <t>2026-09-03T13:13:38.729389</t>
  </si>
  <si>
    <t>2026-09-03T13:13:38.714321</t>
  </si>
  <si>
    <t>2026-09-03T13:13:38.702521</t>
  </si>
  <si>
    <t>2026-09-03T13:13:38.663203</t>
  </si>
  <si>
    <t>2026-09-03T13:13:38.644558</t>
  </si>
  <si>
    <t>2026-09-03T13:13:38.600506</t>
  </si>
  <si>
    <t>2026-09-03T13:13:38.586359</t>
  </si>
  <si>
    <t>2026-09-03T13:13:38.563723</t>
  </si>
  <si>
    <t>2026-09-03T13:13:38.551129</t>
  </si>
  <si>
    <t>2026-09-03T13:13:38.515495</t>
  </si>
  <si>
    <t>2026-09-03T13:13:38.484852</t>
  </si>
  <si>
    <t>2026-09-03T13:13:38.457265</t>
  </si>
  <si>
    <t>2026-09-03T13:13:38.443559</t>
  </si>
  <si>
    <t>2026-09-03T13:13:38.252406</t>
  </si>
  <si>
    <t>2026-09-03T13:13:38.229197</t>
  </si>
  <si>
    <t>2026-09-03T13:13:38.203018</t>
  </si>
  <si>
    <t>2026-09-03T13:13:38.170339</t>
  </si>
  <si>
    <t>2026-09-03T13:13:38.151640</t>
  </si>
  <si>
    <t>2026-09-03T13:13:38.123642</t>
  </si>
  <si>
    <t>2026-09-03T13:13:38.096773</t>
  </si>
  <si>
    <t>2026-09-03T13:13:38.072539</t>
  </si>
  <si>
    <t>2026-09-03T13:13:38.056958</t>
  </si>
  <si>
    <t>2026-09-03T13:13:38.026368</t>
  </si>
  <si>
    <t>2026-09-03T13:13:37.998628</t>
  </si>
  <si>
    <t>2026-09-03T13:13:37.975102</t>
  </si>
  <si>
    <t>2026-09-03T13:13:37.957578</t>
  </si>
  <si>
    <t>2026-09-03T13:13:37.931906</t>
  </si>
  <si>
    <t>2026-09-03T13:13:37.884328</t>
  </si>
  <si>
    <t>2026-09-03T13:13:37.867375</t>
  </si>
  <si>
    <t>2026-09-03T13:13:37.838428</t>
  </si>
  <si>
    <t>2026-09-03T13:13:37.808491</t>
  </si>
  <si>
    <t>2026-09-03T13:13:37.779146</t>
  </si>
  <si>
    <t>2026-09-03T13:13:37.766219</t>
  </si>
  <si>
    <t>2026-09-03T13:13:37.744670</t>
  </si>
  <si>
    <t>2026-09-03T13:13:37.721157</t>
  </si>
  <si>
    <t>2026-09-03T13:13:37.704733</t>
  </si>
  <si>
    <t>2026-09-03T13:13:37.602308</t>
  </si>
  <si>
    <t>2026-09-03T13:13:37.585213</t>
  </si>
  <si>
    <t>2026-09-03T13:13:37.563413</t>
  </si>
  <si>
    <t>2026-09-03T13:13:37.542921</t>
  </si>
  <si>
    <t>2026-09-03T13:13:37.529573</t>
  </si>
  <si>
    <t>2026-09-03T13:13:37.514263</t>
  </si>
  <si>
    <t>2026-09-03T13:13:37.499826</t>
  </si>
  <si>
    <t>2026-09-03T13:13:37.485710</t>
  </si>
  <si>
    <t>2026-09-03T13:13:37.472380</t>
  </si>
  <si>
    <t>2026-09-03T13:13:37.456665</t>
  </si>
  <si>
    <t>2026-09-03T13:13:37.433489</t>
  </si>
  <si>
    <t>2026-09-03T13:13:37.423471</t>
  </si>
  <si>
    <t>2026-09-03T13:13:37.404594</t>
  </si>
  <si>
    <t>2026-09-03T13:13:37.391833</t>
  </si>
  <si>
    <t>2026-09-03T13:13:37.374910</t>
  </si>
  <si>
    <t>2026-09-03T13:13:37.360858</t>
  </si>
  <si>
    <t>2026-09-03T13:13:37.346722</t>
  </si>
  <si>
    <t>2026-09-03T13:13:37.325756</t>
  </si>
  <si>
    <t>2026-09-03T13:13:37.307261</t>
  </si>
  <si>
    <t>2026-09-03T13:13:37.285430</t>
  </si>
  <si>
    <t>2026-09-03T13:13:37.269529</t>
  </si>
  <si>
    <t>2026-09-03T13:13:37.254968</t>
  </si>
  <si>
    <t>2026-09-03T13:13:37.234452</t>
  </si>
  <si>
    <t>2026-09-03T13:13:37.218783</t>
  </si>
  <si>
    <t>2026-09-03T13:13:37.196288</t>
  </si>
  <si>
    <t>2026-09-03T13:13:37.181209</t>
  </si>
  <si>
    <t>2026-09-03T13:13:37.167204</t>
  </si>
  <si>
    <t>2026-09-03T13:13:37.148334</t>
  </si>
  <si>
    <t>2026-09-03T13:13:37.123239</t>
  </si>
  <si>
    <t>2026-09-03T13:13:37.084702</t>
  </si>
  <si>
    <t>2026-09-03T13:13:37.037315</t>
  </si>
  <si>
    <t>2026-09-03T13:13:37.010805</t>
  </si>
  <si>
    <t>2026-09-03T13:13:36.977609</t>
  </si>
  <si>
    <t>2026-09-03T13:13:36.946872</t>
  </si>
  <si>
    <t>2026-09-03T13:13:36.910217</t>
  </si>
  <si>
    <t>2026-09-03T13:13:36.874376</t>
  </si>
  <si>
    <t>2026-09-03T13:13:36.855949</t>
  </si>
  <si>
    <t>2026-09-03T13:13:36.828327</t>
  </si>
  <si>
    <t>2026-09-03T13:13:36.800162</t>
  </si>
  <si>
    <t>2026-09-03T13:13:36.766992</t>
  </si>
  <si>
    <t>2026-09-03T13:13:36.745212</t>
  </si>
  <si>
    <t>2026-09-03T13:13:36.727739</t>
  </si>
  <si>
    <t>2026-09-03T13:13:36.711382</t>
  </si>
  <si>
    <t>2026-09-03T13:13:36.699291</t>
  </si>
  <si>
    <t>2026-09-03T13:13:36.674017</t>
  </si>
  <si>
    <t>2026-09-03T13:13:36.652451</t>
  </si>
  <si>
    <t>2026-09-03T13:13:36.631863</t>
  </si>
  <si>
    <t>2026-09-03T13:13:36.605694</t>
  </si>
  <si>
    <t>2026-09-03T13:13:36.588926</t>
  </si>
  <si>
    <t>2026-09-03T13:13:36.564363</t>
  </si>
  <si>
    <t>2026-09-03T13:13:36.542277</t>
  </si>
  <si>
    <t>2026-09-03T13:13:36.521652</t>
  </si>
  <si>
    <t>2026-09-03T13:13:36.500460</t>
  </si>
  <si>
    <t>2026-09-03T13:13:36.473558</t>
  </si>
  <si>
    <t>2026-09-03T13:13:36.453842</t>
  </si>
  <si>
    <t>2026-09-03T13:13:36.439090</t>
  </si>
  <si>
    <t>2026-09-03T13:13:36.419128</t>
  </si>
  <si>
    <t>2026-09-03T13:13:36.398416</t>
  </si>
  <si>
    <t>2026-09-03T13:13:36.386509</t>
  </si>
  <si>
    <t>2026-09-03T13:13:36.363189</t>
  </si>
  <si>
    <t>2026-09-03T13:13:36.340353</t>
  </si>
  <si>
    <t>2026-09-03T13:13:36.317406</t>
  </si>
  <si>
    <t>2026-09-03T13:13:36.294240</t>
  </si>
  <si>
    <t>2026-09-03T13:13:36.278688</t>
  </si>
  <si>
    <t>2026-09-03T13:13:36.252163</t>
  </si>
  <si>
    <t>2026-09-03T13:13:36.238513</t>
  </si>
  <si>
    <t>2026-09-03T13:13:36.216593</t>
  </si>
  <si>
    <t>2026-09-03T13:13:36.197260</t>
  </si>
  <si>
    <t>2026-09-03T13:13:36.181592</t>
  </si>
  <si>
    <t>2026-09-03T13:13:36.161587</t>
  </si>
  <si>
    <t>2026-09-03T13:13:36.124448</t>
  </si>
  <si>
    <t>2026-09-03T13:13:36.052030</t>
  </si>
  <si>
    <t>2026-09-03T13:13:36.016145</t>
  </si>
  <si>
    <t>2026-09-03T13:13:35.974933</t>
  </si>
  <si>
    <t>2026-09-03T13:13:35.947874</t>
  </si>
  <si>
    <t>2026-09-03T13:13:35.904227</t>
  </si>
  <si>
    <t>2026-09-03T13:13:35.887004</t>
  </si>
  <si>
    <t>2026-09-03T13:13:35.863474</t>
  </si>
  <si>
    <t>2026-09-03T13:13:35.840750</t>
  </si>
  <si>
    <t>2026-09-03T13:13:35.822643</t>
  </si>
  <si>
    <t>2026-09-03T13:13:35.806526</t>
  </si>
  <si>
    <t>2026-09-03T13:13:35.778797</t>
  </si>
  <si>
    <t>2026-09-03T13:13:35.758991</t>
  </si>
  <si>
    <t>2026-09-03T13:13:35.740005</t>
  </si>
  <si>
    <t>2026-09-03T13:13:35.716296</t>
  </si>
  <si>
    <t>2026-09-03T13:13:35.693377</t>
  </si>
  <si>
    <t>2026-09-03T13:13:35.676858</t>
  </si>
  <si>
    <t>2026-09-03T13:13:35.663545</t>
  </si>
  <si>
    <t>2026-09-03T13:13:35.647329</t>
  </si>
  <si>
    <t>2026-09-03T13:13:35.633152</t>
  </si>
  <si>
    <t>2026-09-03T13:13:35.618338</t>
  </si>
  <si>
    <t>2026-09-03T13:13:35.602644</t>
  </si>
  <si>
    <t>2026-09-03T13:13:35.586407</t>
  </si>
  <si>
    <t>2026-09-03T13:13:35.571310</t>
  </si>
  <si>
    <t>2026-09-03T13:13:35.551026</t>
  </si>
  <si>
    <t>2026-09-03T13:13:35.536447</t>
  </si>
  <si>
    <t>2026-09-03T13:13:35.521153</t>
  </si>
  <si>
    <t>2026-09-03T13:13:35.501724</t>
  </si>
  <si>
    <t>2026-09-03T13:13:35.474836</t>
  </si>
  <si>
    <t>2026-09-03T13:13:35.461009</t>
  </si>
  <si>
    <t>2026-09-03T13:13:35.442506</t>
  </si>
  <si>
    <t>2026-09-03T13:13:35.426172</t>
  </si>
  <si>
    <t>2026-09-03T13:13:35.408972</t>
  </si>
  <si>
    <t>2026-09-03T13:13:35.388843</t>
  </si>
  <si>
    <t>2026-09-03T13:13:35.370268</t>
  </si>
  <si>
    <t>2026-09-03T13:13:35.350709</t>
  </si>
  <si>
    <t>2026-09-03T13:13:35.332610</t>
  </si>
  <si>
    <t>2026-09-03T13:13:35.299999</t>
  </si>
  <si>
    <t>2026-09-03T13:13:35.269785</t>
  </si>
  <si>
    <t>2026-09-03T13:13:35.237463</t>
  </si>
  <si>
    <t>2026-09-03T13:13:35.215609</t>
  </si>
  <si>
    <t>2026-09-03T13:13:35.197737</t>
  </si>
  <si>
    <t>2026-09-03T13:13:35.176321</t>
  </si>
  <si>
    <t>2026-09-03T13:13:35.153633</t>
  </si>
  <si>
    <t>2026-09-03T13:13:35.139692</t>
  </si>
  <si>
    <t>2026-09-03T13:13:35.120494</t>
  </si>
  <si>
    <t>2026-09-03T13:13:35.104138</t>
  </si>
  <si>
    <t>2026-09-03T13:13:35.084550</t>
  </si>
  <si>
    <t>2026-09-03T13:13:35.058865</t>
  </si>
  <si>
    <t>2026-09-03T13:13:35.044706</t>
  </si>
  <si>
    <t>2026-09-03T13:13:35.030675</t>
  </si>
  <si>
    <t>2026-09-03T13:13:35.022151</t>
  </si>
  <si>
    <t>2026-09-03T13:13:35.006165</t>
  </si>
  <si>
    <t>2026-09-03T13:13:34.985455</t>
  </si>
  <si>
    <t>2026-09-03T13:13:34.961542</t>
  </si>
  <si>
    <t>2026-09-03T13:13:34.940273</t>
  </si>
  <si>
    <t>2026-09-03T13:13:34.919152</t>
  </si>
  <si>
    <t>2026-09-03T13:13:34.904026</t>
  </si>
  <si>
    <t>2026-09-03T13:13:34.882424</t>
  </si>
  <si>
    <t>2026-09-03T13:13:34.867960</t>
  </si>
  <si>
    <t>2026-09-03T13:13:34.849146</t>
  </si>
  <si>
    <t>2026-09-03T13:13:34.827520</t>
  </si>
  <si>
    <t>2026-09-03T13:13:34.806920</t>
  </si>
  <si>
    <t>2026-09-03T13:13:34.794312</t>
  </si>
  <si>
    <t>2026-09-03T13:13:34.772617</t>
  </si>
  <si>
    <t>2026-09-03T13:13:34.753463</t>
  </si>
  <si>
    <t>2026-09-03T13:13:34.731228</t>
  </si>
  <si>
    <t>2026-09-03T13:13:34.716737</t>
  </si>
  <si>
    <t>2026-09-03T13:13:34.695572</t>
  </si>
  <si>
    <t>2026-09-03T13:13:34.675887</t>
  </si>
  <si>
    <t>2026-09-03T13:13:34.662204</t>
  </si>
  <si>
    <t>2026-09-03T13:13:34.645229</t>
  </si>
  <si>
    <t>2026-09-03T13:13:34.626675</t>
  </si>
  <si>
    <t>2026-09-03T13:13:34.614829</t>
  </si>
  <si>
    <t>2026-09-03T13:13:34.595098</t>
  </si>
  <si>
    <t>2026-09-03T13:13:34.576221</t>
  </si>
  <si>
    <t>2026-09-03T13:13:34.552048</t>
  </si>
  <si>
    <t>2026-09-03T13:13:34.535028</t>
  </si>
  <si>
    <t>2026-09-03T13:13:34.518213</t>
  </si>
  <si>
    <t>2026-09-03T13:13:34.495818</t>
  </si>
  <si>
    <t>2026-09-03T13:13:34.467755</t>
  </si>
  <si>
    <t>2026-09-03T13:13:34.445717</t>
  </si>
  <si>
    <t>2026-09-03T13:13:34.431919</t>
  </si>
  <si>
    <t>2026-09-03T13:13:34.419200</t>
  </si>
  <si>
    <t>2026-09-03T13:13:34.403658</t>
  </si>
  <si>
    <t>2026-09-03T13:13:34.384641</t>
  </si>
  <si>
    <t>2026-09-03T13:13:34.364695</t>
  </si>
  <si>
    <t>2026-09-03T13:13:34.350640</t>
  </si>
  <si>
    <t>2026-09-03T13:13:34.333361</t>
  </si>
  <si>
    <t>2026-09-03T13:13:34.313856</t>
  </si>
  <si>
    <t>2026-09-03T13:13:34.301318</t>
  </si>
  <si>
    <t>2026-09-03T13:13:34.280853</t>
  </si>
  <si>
    <t>2026-09-03T13:13:34.260246</t>
  </si>
  <si>
    <t>2026-09-03T13:13:34.246153</t>
  </si>
  <si>
    <t>2026-09-03T13:13:34.235474</t>
  </si>
  <si>
    <t>2026-09-03T13:13:34.216674</t>
  </si>
  <si>
    <t>2026-09-03T13:13:34.191247</t>
  </si>
  <si>
    <t>2026-09-03T13:13:34.177953</t>
  </si>
  <si>
    <t>2026-09-03T13:13:34.158654</t>
  </si>
  <si>
    <t>2026-09-03T13:13:34.142689</t>
  </si>
  <si>
    <t>2026-09-03T13:13:34.128050</t>
  </si>
  <si>
    <t>2026-09-03T13:13:34.053114</t>
  </si>
  <si>
    <t>2026-09-03T13:13:34.005306</t>
  </si>
  <si>
    <t>2026-09-03T13:13:33.842792</t>
  </si>
  <si>
    <t>2026-09-03T13:13:33.798342</t>
  </si>
  <si>
    <t>2026-09-03T13:13:33.708971</t>
  </si>
  <si>
    <t>2026-09-03T13:13:33.675606</t>
  </si>
  <si>
    <t>2026-09-03T13:13:33.654656</t>
  </si>
  <si>
    <t>2026-09-03T13:13:33.627592</t>
  </si>
  <si>
    <t>2026-09-03T13:13:33.613259</t>
  </si>
  <si>
    <t>2026-09-03T13:13:33.597877</t>
  </si>
  <si>
    <t>2026-09-03T13:13:33.578638</t>
  </si>
  <si>
    <t>2026-09-03T13:13:33.559175</t>
  </si>
  <si>
    <t>2026-09-03T13:13:33.544366</t>
  </si>
  <si>
    <t>2026-09-03T13:13:33.530657</t>
  </si>
  <si>
    <t>2026-09-03T13:13:33.515442</t>
  </si>
  <si>
    <t>2026-09-03T13:13:33.495014</t>
  </si>
  <si>
    <t>2026-09-03T13:13:33.478716</t>
  </si>
  <si>
    <t>2026-09-03T13:13:33.454152</t>
  </si>
  <si>
    <t>2026-09-03T13:13:33.434581</t>
  </si>
  <si>
    <t>2026-09-03T13:13:33.417679</t>
  </si>
  <si>
    <t>2026-09-03T13:13:33.404279</t>
  </si>
  <si>
    <t>2026-09-03T13:13:33.390301</t>
  </si>
  <si>
    <t>2026-09-03T13:13:33.340606</t>
  </si>
  <si>
    <t>2026-09-03T13:13:33.273956</t>
  </si>
  <si>
    <t>2026-09-03T13:13:33.258994</t>
  </si>
  <si>
    <t>2026-09-03T13:13:33.246746</t>
  </si>
  <si>
    <t>2026-09-03T13:13:33.233518</t>
  </si>
  <si>
    <t>2026-09-03T13:13:33.221094</t>
  </si>
  <si>
    <t>2026-09-03T13:13:33.204877</t>
  </si>
  <si>
    <t>2026-09-03T13:13:33.190012</t>
  </si>
  <si>
    <t>2026-09-03T13:13:33.167050</t>
  </si>
  <si>
    <t>2026-09-03T13:13:33.150084</t>
  </si>
  <si>
    <t>2026-09-03T13:13:33.133877</t>
  </si>
  <si>
    <t>2026-09-03T13:13:33.112657</t>
  </si>
  <si>
    <t>2026-09-03T13:13:28.697318</t>
  </si>
  <si>
    <t>2026-09-03T13:13:28.687111</t>
  </si>
  <si>
    <t>2026-09-03T13:13:28.670273</t>
  </si>
  <si>
    <t>2026-09-03T13:13:28.633417</t>
  </si>
  <si>
    <t>2026-09-03T13:13:28.613400</t>
  </si>
  <si>
    <t>2026-09-03T13:13:28.600733</t>
  </si>
  <si>
    <t>2026-09-03T13:13:28.537958</t>
  </si>
  <si>
    <t>2026-09-03T13:13:28.522589</t>
  </si>
  <si>
    <t>2026-09-03T13:13:28.510188</t>
  </si>
  <si>
    <t>2026-09-03T13:13:28.467334</t>
  </si>
  <si>
    <t>2026-09-03T13:13:28.427330</t>
  </si>
  <si>
    <t>2026-09-03T13:13:28.342858</t>
  </si>
  <si>
    <t>2026-09-03T13:13:28.285381</t>
  </si>
  <si>
    <t>2026-09-03T13:13:28.271116</t>
  </si>
  <si>
    <t>2026-09-03T13:13:28.250599</t>
  </si>
  <si>
    <t>2026-09-03T13:13:28.225442</t>
  </si>
  <si>
    <t>2026-09-03T13:13:28.204720</t>
  </si>
  <si>
    <t>2026-09-03T13:13:28.186461</t>
  </si>
  <si>
    <t>2026-09-03T13:13:28.166795</t>
  </si>
  <si>
    <t>2026-09-03T13:13:28.146477</t>
  </si>
  <si>
    <t>2026-09-03T13:13:28.125693</t>
  </si>
  <si>
    <t>2026-09-03T13:13:28.104509</t>
  </si>
  <si>
    <t>2026-09-03T13:13:28.087671</t>
  </si>
  <si>
    <t>2026-09-03T13:13:28.067928</t>
  </si>
  <si>
    <t>2026-09-03T13:13:28.052245</t>
  </si>
  <si>
    <t>2026-09-03T13:13:28.030742</t>
  </si>
  <si>
    <t>2026-09-03T13:13:27.977739</t>
  </si>
  <si>
    <t>2026-09-03T13:13:27.960508</t>
  </si>
  <si>
    <t>2026-09-03T13:13:27.943386</t>
  </si>
  <si>
    <t>2026-09-03T13:13:27.921431</t>
  </si>
  <si>
    <t>2026-09-03T13:13:27.903434</t>
  </si>
  <si>
    <t>2026-09-03T13:13:27.883614</t>
  </si>
  <si>
    <t>2026-09-03T13:13:27.860034</t>
  </si>
  <si>
    <t>2026-09-03T13:13:27.841895</t>
  </si>
  <si>
    <t>2026-09-03T13:13:27.830043</t>
  </si>
  <si>
    <t>2026-09-03T13:13:27.811489</t>
  </si>
  <si>
    <t>2026-09-03T13:13:27.786397</t>
  </si>
  <si>
    <t>2026-09-03T13:13:27.773975</t>
  </si>
  <si>
    <t>2026-09-03T13:13:27.752931</t>
  </si>
  <si>
    <t>2026-09-03T13:13:27.742647</t>
  </si>
  <si>
    <t>2026-09-03T13:13:27.719746</t>
  </si>
  <si>
    <t>2026-09-03T13:13:27.702057</t>
  </si>
  <si>
    <t>2026-09-03T13:13:27.691459</t>
  </si>
  <si>
    <t>2026-09-03T13:13:27.676148</t>
  </si>
  <si>
    <t>2026-09-03T13:13:27.654387</t>
  </si>
  <si>
    <t>2026-09-03T13:13:27.627336</t>
  </si>
  <si>
    <t>2026-09-03T13:13:27.599840</t>
  </si>
  <si>
    <t>2026-09-03T13:13:27.580387</t>
  </si>
  <si>
    <t>2026-09-03T13:13:27.560216</t>
  </si>
  <si>
    <t>2026-09-03T13:13:27.532781</t>
  </si>
  <si>
    <t>2026-09-03T13:13:27.518391</t>
  </si>
  <si>
    <t>2026-09-03T13:13:27.495988</t>
  </si>
  <si>
    <t>2026-09-03T13:13:27.468545</t>
  </si>
  <si>
    <t>2026-09-03T13:13:27.447810</t>
  </si>
  <si>
    <t>2026-09-03T13:13:27.424544</t>
  </si>
  <si>
    <t>2026-09-03T13:13:27.384796</t>
  </si>
  <si>
    <t>2026-09-03T13:13:27.350287</t>
  </si>
  <si>
    <t>2026-09-03T13:13:27.294470</t>
  </si>
  <si>
    <t>2026-09-03T13:13:27.261851</t>
  </si>
  <si>
    <t>2026-09-03T13:13:27.238595</t>
  </si>
  <si>
    <t>2026-09-03T13:13:27.199646</t>
  </si>
  <si>
    <t>2026-09-03T13:13:27.157223</t>
  </si>
  <si>
    <t>2026-09-03T13:13:27.139632</t>
  </si>
  <si>
    <t>2026-09-03T13:13:27.111509</t>
  </si>
  <si>
    <t>2026-09-03T13:13:27.087637</t>
  </si>
  <si>
    <t>2026-09-03T13:13:27.067500</t>
  </si>
  <si>
    <t>2026-09-03T13:13:27.048648</t>
  </si>
  <si>
    <t>2026-09-03T13:13:26.979410</t>
  </si>
  <si>
    <t>2026-09-03T13:13:26.958373</t>
  </si>
  <si>
    <t>2026-09-03T13:13:26.947024</t>
  </si>
  <si>
    <t>2026-09-03T13:13:26.932882</t>
  </si>
  <si>
    <t>2026-09-03T13:13:26.912153</t>
  </si>
  <si>
    <t>2026-09-03T13:13:26.897151</t>
  </si>
  <si>
    <t>2026-09-03T13:13:26.879568</t>
  </si>
  <si>
    <t>2026-09-03T13:13:26.851591</t>
  </si>
  <si>
    <t>2026-09-03T13:13:26.835298</t>
  </si>
  <si>
    <t>2026-09-03T13:13:26.814780</t>
  </si>
  <si>
    <t>2026-09-03T13:13:26.792283</t>
  </si>
  <si>
    <t>2026-09-03T13:13:26.767818</t>
  </si>
  <si>
    <t>2026-09-03T13:13:26.751750</t>
  </si>
  <si>
    <t>2026-09-03T13:13:26.737711</t>
  </si>
  <si>
    <t>2026-09-03T13:13:26.716205</t>
  </si>
  <si>
    <t>2026-09-03T13:13:26.697337</t>
  </si>
  <si>
    <t>2026-09-03T13:13:26.678470</t>
  </si>
  <si>
    <t>2026-09-03T13:13:26.655455</t>
  </si>
  <si>
    <t>2026-09-03T13:13:26.632986</t>
  </si>
  <si>
    <t>2026-09-03T13:13:26.614196</t>
  </si>
  <si>
    <t>2026-09-03T13:13:26.595867</t>
  </si>
  <si>
    <t>2026-09-03T13:13:26.573096</t>
  </si>
  <si>
    <t>2026-09-03T13:13:26.561103</t>
  </si>
  <si>
    <t>2026-09-03T13:13:26.548006</t>
  </si>
  <si>
    <t>2026-09-03T13:13:26.525059</t>
  </si>
  <si>
    <t>2026-09-03T13:13:26.507103</t>
  </si>
  <si>
    <t>2026-09-03T13:13:26.482411</t>
  </si>
  <si>
    <t>2026-09-03T13:13:26.466827</t>
  </si>
  <si>
    <t>2026-09-03T13:13:26.447662</t>
  </si>
  <si>
    <t>2026-09-03T13:13:26.428321</t>
  </si>
  <si>
    <t>2026-09-03T13:13:26.412331</t>
  </si>
  <si>
    <t>2026-09-03T13:13:26.397398</t>
  </si>
  <si>
    <t>2026-09-03T13:13:26.377494</t>
  </si>
  <si>
    <t>2026-09-03T13:13:26.361918</t>
  </si>
  <si>
    <t>2026-09-03T13:13:26.349393</t>
  </si>
  <si>
    <t>2026-09-03T13:13:26.323530</t>
  </si>
  <si>
    <t>2026-09-03T13:13:26.309593</t>
  </si>
  <si>
    <t>2026-09-03T13:13:26.289565</t>
  </si>
  <si>
    <t>2026-09-03T13:13:26.266016</t>
  </si>
  <si>
    <t>2026-09-03T13:13:26.251100</t>
  </si>
  <si>
    <t>2026-09-03T13:13:26.230883</t>
  </si>
  <si>
    <t>2026-09-03T13:13:26.212387</t>
  </si>
  <si>
    <t>2026-09-03T13:13:26.198372</t>
  </si>
  <si>
    <t>2026-09-03T13:13:26.177256</t>
  </si>
  <si>
    <t>2026-09-03T13:13:26.159812</t>
  </si>
  <si>
    <t>2026-09-03T13:13:26.149383</t>
  </si>
  <si>
    <t>2026-09-03T13:13:26.134449</t>
  </si>
  <si>
    <t>2026-09-03T13:13:26.125861</t>
  </si>
  <si>
    <t>2026-09-03T13:13:26.103294</t>
  </si>
  <si>
    <t>2026-09-03T13:13:26.074609</t>
  </si>
  <si>
    <t>2026-09-03T13:13:26.051552</t>
  </si>
  <si>
    <t>2026-09-03T13:13:26.030305</t>
  </si>
  <si>
    <t>2026-09-03T13:13:26.007788</t>
  </si>
  <si>
    <t>2026-09-03T13:13:25.968510</t>
  </si>
  <si>
    <t>2026-09-03T13:13:25.943899</t>
  </si>
  <si>
    <t>2026-09-03T13:13:25.908774</t>
  </si>
  <si>
    <t>2026-09-03T13:13:25.876667</t>
  </si>
  <si>
    <t>2026-09-03T13:13:25.847989</t>
  </si>
  <si>
    <t>2026-09-03T13:13:25.800870</t>
  </si>
  <si>
    <t>2026-09-03T13:13:25.779738</t>
  </si>
  <si>
    <t>2026-09-03T13:13:25.762876</t>
  </si>
  <si>
    <t>2026-09-03T13:13:25.737579</t>
  </si>
  <si>
    <t>2026-09-03T13:13:25.717262</t>
  </si>
  <si>
    <t>2026-09-03T13:13:25.705131</t>
  </si>
  <si>
    <t>2026-09-03T13:13:25.689685</t>
  </si>
  <si>
    <t>2026-09-03T13:13:25.676993</t>
  </si>
  <si>
    <t>2026-09-03T13:13:25.657913</t>
  </si>
  <si>
    <t>2026-09-03T13:13:25.643934</t>
  </si>
  <si>
    <t>2026-09-03T13:13:25.632259</t>
  </si>
  <si>
    <t>2026-09-03T13:13:25.621173</t>
  </si>
  <si>
    <t>2026-09-03T13:13:25.610613</t>
  </si>
  <si>
    <t>2026-09-03T13:13:25.600093</t>
  </si>
  <si>
    <t>2026-09-03T13:13:25.583687</t>
  </si>
  <si>
    <t>2026-09-03T13:13:25.558487</t>
  </si>
  <si>
    <t>2026-09-03T13:13:25.541548</t>
  </si>
  <si>
    <t>2026-09-03T13:13:25.518859</t>
  </si>
  <si>
    <t>2026-09-03T13:13:25.503508</t>
  </si>
  <si>
    <t>2026-09-03T13:13:25.482530</t>
  </si>
  <si>
    <t>2026-09-03T13:13:25.469345</t>
  </si>
  <si>
    <t>2026-09-03T13:13:25.455026</t>
  </si>
  <si>
    <t>2026-09-03T13:13:25.440703</t>
  </si>
  <si>
    <t>2026-09-03T13:13:25.432219</t>
  </si>
  <si>
    <t>2026-09-03T13:13:25.416238</t>
  </si>
  <si>
    <t>2026-09-03T13:13:25.406747</t>
  </si>
  <si>
    <t>2026-09-03T13:13:25.393468</t>
  </si>
  <si>
    <t>2026-09-03T13:13:25.382414</t>
  </si>
  <si>
    <t>2026-09-03T13:13:25.368424</t>
  </si>
  <si>
    <t>2026-09-03T13:13:25.356871</t>
  </si>
  <si>
    <t>2026-09-03T13:13:25.348412</t>
  </si>
  <si>
    <t>2026-09-03T13:13:25.330320</t>
  </si>
  <si>
    <t>2026-09-03T13:13:25.316514</t>
  </si>
  <si>
    <t>2026-09-03T13:13:25.305421</t>
  </si>
  <si>
    <t>2026-09-03T13:13:25.294299</t>
  </si>
  <si>
    <t>2026-09-03T13:13:25.275540</t>
  </si>
  <si>
    <t>2026-09-03T13:13:25.255108</t>
  </si>
  <si>
    <t>2026-09-03T13:13:25.230605</t>
  </si>
  <si>
    <t>2026-09-03T13:13:25.209597</t>
  </si>
  <si>
    <t>2026-09-03T13:13:25.191985</t>
  </si>
  <si>
    <t>2026-09-03T13:13:25.178572</t>
  </si>
  <si>
    <t>2026-09-03T13:13:25.148421</t>
  </si>
  <si>
    <t>2026-09-03T13:13:25.129398</t>
  </si>
  <si>
    <t>2026-09-03T13:13:25.109583</t>
  </si>
  <si>
    <t>2026-09-03T13:13:25.090752</t>
  </si>
  <si>
    <t>2026-09-03T13:13:25.054310</t>
  </si>
  <si>
    <t>2026-09-03T13:13:25.029168</t>
  </si>
  <si>
    <t>2026-09-03T13:13:25.003184</t>
  </si>
  <si>
    <t>2026-09-03T13:13:24.970403</t>
  </si>
  <si>
    <t>2026-09-03T13:13:24.949278</t>
  </si>
  <si>
    <t>2026-09-03T13:13:24.937216</t>
  </si>
  <si>
    <t>2026-09-03T13:13:24.924014</t>
  </si>
  <si>
    <t>2026-09-03T13:13:24.894951</t>
  </si>
  <si>
    <t>2026-09-03T13:13:24.883227</t>
  </si>
  <si>
    <t>2026-09-03T13:13:24.857665</t>
  </si>
  <si>
    <t>2026-09-03T13:13:24.837652</t>
  </si>
  <si>
    <t>2026-09-03T13:13:24.816001</t>
  </si>
  <si>
    <t>2026-09-03T13:13:24.801077</t>
  </si>
  <si>
    <t>2026-09-03T13:13:24.782268</t>
  </si>
  <si>
    <t>2026-09-03T13:13:24.750878</t>
  </si>
  <si>
    <t>2026-09-03T13:13:24.732155</t>
  </si>
  <si>
    <t>2026-09-03T13:13:24.710922</t>
  </si>
  <si>
    <t>2026-09-03T13:13:24.697418</t>
  </si>
  <si>
    <t>2026-09-03T13:13:24.675962</t>
  </si>
  <si>
    <t>2026-09-03T13:13:24.661823</t>
  </si>
  <si>
    <t>2026-09-03T13:13:24.642550</t>
  </si>
  <si>
    <t>2026-09-03T13:13:24.633599</t>
  </si>
  <si>
    <t>2026-09-03T13:13:24.617196</t>
  </si>
  <si>
    <t>2026-09-03T13:13:24.603795</t>
  </si>
  <si>
    <t>2026-09-03T13:13:24.572832</t>
  </si>
  <si>
    <t>2026-09-03T13:13:24.560845</t>
  </si>
  <si>
    <t>2026-09-03T13:13:24.543648</t>
  </si>
  <si>
    <t>2026-09-03T13:13:24.523100</t>
  </si>
  <si>
    <t>2026-09-03T13:13:24.490098</t>
  </si>
  <si>
    <t>2026-09-03T13:13:24.476636</t>
  </si>
  <si>
    <t>2026-09-03T13:13:24.447962</t>
  </si>
  <si>
    <t>2026-09-03T13:13:24.413005</t>
  </si>
  <si>
    <t>2026-09-03T13:13:24.392250</t>
  </si>
  <si>
    <t>2026-09-03T13:13:24.370660</t>
  </si>
  <si>
    <t>2026-09-03T13:13:24.328242</t>
  </si>
  <si>
    <t>2026-09-03T13:13:24.301337</t>
  </si>
  <si>
    <t>2026-09-03T13:13:24.246708</t>
  </si>
  <si>
    <t>2026-09-03T13:13:24.209423</t>
  </si>
  <si>
    <t>2026-09-03T13:13:24.191821</t>
  </si>
  <si>
    <t>2026-09-03T13:13:24.171435</t>
  </si>
  <si>
    <t>2026-09-03T13:13:24.152594</t>
  </si>
  <si>
    <t>2026-09-03T13:13:24.138753</t>
  </si>
  <si>
    <t>2026-09-03T13:13:24.127802</t>
  </si>
  <si>
    <t>2026-09-03T13:13:24.113800</t>
  </si>
  <si>
    <t>2026-09-03T13:13:24.102307</t>
  </si>
  <si>
    <t>2026-09-03T13:13:24.087795</t>
  </si>
  <si>
    <t>2026-09-03T13:13:24.076815</t>
  </si>
  <si>
    <t>2026-09-03T13:13:24.060351</t>
  </si>
  <si>
    <t>2026-09-03T13:13:24.046194</t>
  </si>
  <si>
    <t>2026-09-03T13:13:24.030645</t>
  </si>
  <si>
    <t>2026-09-03T13:13:24.018953</t>
  </si>
  <si>
    <t>2026-09-03T13:13:24.003552</t>
  </si>
  <si>
    <t>2026-09-03T13:13:23.992081</t>
  </si>
  <si>
    <t>2026-09-03T13:13:23.974187</t>
  </si>
  <si>
    <t>2026-09-03T13:13:23.958927</t>
  </si>
  <si>
    <t>2026-09-03T13:13:23.938749</t>
  </si>
  <si>
    <t>2026-09-03T13:13:23.920171</t>
  </si>
  <si>
    <t>2026-09-03T13:13:23.900556</t>
  </si>
  <si>
    <t>2026-09-03T13:13:23.886335</t>
  </si>
  <si>
    <t>2026-09-03T13:13:23.862560</t>
  </si>
  <si>
    <t>2026-09-03T13:13:23.846969</t>
  </si>
  <si>
    <t>2026-09-03T13:13:23.825220</t>
  </si>
  <si>
    <t>2026-09-03T13:13:23.809206</t>
  </si>
  <si>
    <t>2026-09-03T13:13:23.786390</t>
  </si>
  <si>
    <t>2026-09-03T13:13:23.765977</t>
  </si>
  <si>
    <t>2026-09-03T13:13:23.750408</t>
  </si>
  <si>
    <t>2026-09-03T13:13:23.723686</t>
  </si>
  <si>
    <t>2026-09-03T13:13:23.705124</t>
  </si>
  <si>
    <t>2026-09-03T13:13:23.688584</t>
  </si>
  <si>
    <t>2026-09-03T13:13:23.657398</t>
  </si>
  <si>
    <t>2026-09-03T13:13:23.634494</t>
  </si>
  <si>
    <t>2026-09-03T13:13:23.615140</t>
  </si>
  <si>
    <t>2026-09-03T13:13:23.592950</t>
  </si>
  <si>
    <t>2026-09-03T13:13:23.577762</t>
  </si>
  <si>
    <t>2026-09-03T13:13:23.551550</t>
  </si>
  <si>
    <t>2026-09-03T13:13:23.535846</t>
  </si>
  <si>
    <t>2026-09-03T13:13:23.511319</t>
  </si>
  <si>
    <t>2026-09-03T13:13:23.490092</t>
  </si>
  <si>
    <t>2026-09-03T13:13:23.461350</t>
  </si>
  <si>
    <t>2026-09-03T13:13:23.428891</t>
  </si>
  <si>
    <t>2026-09-03T13:13:23.414697</t>
  </si>
  <si>
    <t>2026-09-03T13:13:23.392267</t>
  </si>
  <si>
    <t>2026-09-03T13:13:23.376424</t>
  </si>
  <si>
    <t>2026-09-03T13:13:23.350278</t>
  </si>
  <si>
    <t>2026-09-03T13:13:23.334192</t>
  </si>
  <si>
    <t>2026-09-03T13:13:23.316602</t>
  </si>
  <si>
    <t>2026-09-03T13:13:23.295934</t>
  </si>
  <si>
    <t>2026-09-03T13:13:23.273986</t>
  </si>
  <si>
    <t>2026-09-03T13:13:23.258306</t>
  </si>
  <si>
    <t>2026-09-03T13:13:23.233788</t>
  </si>
  <si>
    <t>2026-09-03T13:13:23.204518</t>
  </si>
  <si>
    <t>2026-09-03T13:13:23.175965</t>
  </si>
  <si>
    <t>2026-09-03T13:13:23.154071</t>
  </si>
  <si>
    <t>2026-09-03T13:13:23.135893</t>
  </si>
  <si>
    <t>2026-09-03T13:13:23.117462</t>
  </si>
  <si>
    <t>2026-09-03T13:13:23.101427</t>
  </si>
  <si>
    <t>2026-09-03T13:13:23.081140</t>
  </si>
  <si>
    <t>2026-09-03T13:13:23.063781</t>
  </si>
  <si>
    <t>2026-09-03T13:13:23.050306</t>
  </si>
  <si>
    <t>2026-09-03T13:13:23.033420</t>
  </si>
  <si>
    <t>2026-09-03T13:13:23.010921</t>
  </si>
  <si>
    <t>2026-09-03T13:13:22.988210</t>
  </si>
  <si>
    <t>2026-09-03T13:13:22.960223</t>
  </si>
  <si>
    <t>2026-09-03T13:13:22.940761</t>
  </si>
  <si>
    <t>2026-09-03T13:13:22.919080</t>
  </si>
  <si>
    <t>2026-09-03T13:13:22.894558</t>
  </si>
  <si>
    <t>2026-09-03T13:13:22.878706</t>
  </si>
  <si>
    <t>2026-09-03T13:13:22.856328</t>
  </si>
  <si>
    <t>2026-09-03T13:13:22.835659</t>
  </si>
  <si>
    <t>2026-09-03T13:13:22.809684</t>
  </si>
  <si>
    <t>2026-09-03T13:13:22.787382</t>
  </si>
  <si>
    <t>2026-09-03T13:13:22.769641</t>
  </si>
  <si>
    <t>2026-09-03T13:13:22.750900</t>
  </si>
  <si>
    <t>2026-09-03T13:13:22.729887</t>
  </si>
  <si>
    <t>2026-09-03T13:13:22.704620</t>
  </si>
  <si>
    <t>2026-09-03T13:13:22.689076</t>
  </si>
  <si>
    <t>2026-09-03T13:13:22.670134</t>
  </si>
  <si>
    <t>2026-09-03T13:13:22.653184</t>
  </si>
  <si>
    <t>2026-09-03T13:13:22.632041</t>
  </si>
  <si>
    <t>2026-09-03T13:13:22.616620</t>
  </si>
  <si>
    <t>2026-09-03T13:13:22.601444</t>
  </si>
  <si>
    <t>2026-09-03T13:13:22.591051</t>
  </si>
  <si>
    <t>2026-09-03T13:13:22.577769</t>
  </si>
  <si>
    <t>2026-09-03T13:13:22.559825</t>
  </si>
  <si>
    <t>2026-09-03T13:13:22.539341</t>
  </si>
  <si>
    <t>2026-09-03T13:13:22.513089</t>
  </si>
  <si>
    <t>2026-09-03T13:13:22.484931</t>
  </si>
  <si>
    <t>2026-09-03T13:13:22.467993</t>
  </si>
  <si>
    <t>2026-09-03T13:13:22.446537</t>
  </si>
  <si>
    <t>2026-09-03T13:13:22.429176</t>
  </si>
  <si>
    <t>2026-09-03T13:13:22.414021</t>
  </si>
  <si>
    <t>2026-09-03T13:13:22.398486</t>
  </si>
  <si>
    <t>2026-09-03T13:13:22.382570</t>
  </si>
  <si>
    <t>2026-09-03T13:13:22.359826</t>
  </si>
  <si>
    <t>2026-09-03T13:13:22.345141</t>
  </si>
  <si>
    <t>2026-09-03T13:13:22.330346</t>
  </si>
  <si>
    <t>2026-09-03T13:13:22.313592</t>
  </si>
  <si>
    <t>2026-09-03T13:13:22.294954</t>
  </si>
  <si>
    <t>2026-09-03T13:13:22.266342</t>
  </si>
  <si>
    <t>2026-09-03T13:13:22.251054</t>
  </si>
  <si>
    <t>2026-09-03T13:13:22.223395</t>
  </si>
  <si>
    <t>2026-09-03T13:13:22.193091</t>
  </si>
  <si>
    <t>2026-09-03T13:13:22.174419</t>
  </si>
  <si>
    <t>2026-09-03T13:13:22.159191</t>
  </si>
  <si>
    <t>2026-09-03T13:13:22.125837</t>
  </si>
  <si>
    <t>2026-09-03T13:13:22.102625</t>
  </si>
  <si>
    <t>2026-09-03T13:13:22.081357</t>
  </si>
  <si>
    <t>2026-09-03T13:13:22.058662</t>
  </si>
  <si>
    <t>2026-09-03T13:13:22.032817</t>
  </si>
  <si>
    <t>2026-09-03T13:13:22.010385</t>
  </si>
  <si>
    <t>2026-09-03T13:13:21.984928</t>
  </si>
  <si>
    <t>2026-09-03T13:13:21.971444</t>
  </si>
  <si>
    <t>2026-09-03T13:13:21.953399</t>
  </si>
  <si>
    <t>2026-09-03T13:13:21.931515</t>
  </si>
  <si>
    <t>2026-09-03T13:13:21.913674</t>
  </si>
  <si>
    <t>2026-09-03T13:13:21.890121</t>
  </si>
  <si>
    <t>2026-09-03T13:13:21.871823</t>
  </si>
  <si>
    <t>2026-09-03T13:13:21.857967</t>
  </si>
  <si>
    <t>2026-09-03T13:13:21.844307</t>
  </si>
  <si>
    <t>2026-09-03T13:13:21.829458</t>
  </si>
  <si>
    <t>2026-09-03T13:13:21.812617</t>
  </si>
  <si>
    <t>2026-09-03T13:13:21.801266</t>
  </si>
  <si>
    <t>2026-09-03T13:13:21.787335</t>
  </si>
  <si>
    <t>2026-09-03T13:13:21.773515</t>
  </si>
  <si>
    <t>2026-09-03T13:13:21.757580</t>
  </si>
  <si>
    <t>2026-09-03T13:13:21.737976</t>
  </si>
  <si>
    <t>2026-09-03T13:13:21.723085</t>
  </si>
  <si>
    <t>2026-09-03T13:13:21.699147</t>
  </si>
  <si>
    <t>2026-09-03T13:13:21.684729</t>
  </si>
  <si>
    <t>2026-09-03T13:13:21.663463</t>
  </si>
  <si>
    <t>2026-09-03T13:13:21.639123</t>
  </si>
  <si>
    <t>2026-09-03T13:13:21.625539</t>
  </si>
  <si>
    <t>2026-09-03T13:13:21.607116</t>
  </si>
  <si>
    <t>2026-09-03T13:13:21.589290</t>
  </si>
  <si>
    <t>2026-09-03T13:13:21.564953</t>
  </si>
  <si>
    <t>2026-09-03T13:13:21.527878</t>
  </si>
  <si>
    <t>2026-09-03T13:13:21.501352</t>
  </si>
  <si>
    <t>2026-09-03T13:13:21.482818</t>
  </si>
  <si>
    <t>2026-09-03T13:13:21.455111</t>
  </si>
  <si>
    <t>2026-09-03T13:13:21.420398</t>
  </si>
  <si>
    <t>2026-09-03T13:13:21.389879</t>
  </si>
  <si>
    <t>2026-09-03T13:13:21.359497</t>
  </si>
  <si>
    <t>2026-09-03T13:13:21.327177</t>
  </si>
  <si>
    <t>2026-09-03T13:13:21.303538</t>
  </si>
  <si>
    <t>2026-09-03T13:13:21.285555</t>
  </si>
  <si>
    <t>2026-09-03T13:13:21.233210</t>
  </si>
  <si>
    <t>2026-09-03T13:13:21.214888</t>
  </si>
  <si>
    <t>2026-09-03T13:13:21.197466</t>
  </si>
  <si>
    <t>2026-09-03T13:13:21.183373</t>
  </si>
  <si>
    <t>2026-09-03T13:13:21.163990</t>
  </si>
  <si>
    <t>2026-09-03T13:13:21.148774</t>
  </si>
  <si>
    <t>2026-09-03T13:13:21.123327</t>
  </si>
  <si>
    <t>2026-09-03T13:13:21.096316</t>
  </si>
  <si>
    <t>2026-09-03T13:13:21.081369</t>
  </si>
  <si>
    <t>2026-09-03T13:13:21.070403</t>
  </si>
  <si>
    <t>2026-09-03T13:13:21.051463</t>
  </si>
  <si>
    <t>2026-09-03T13:13:21.030087</t>
  </si>
  <si>
    <t>2026-09-03T13:13:21.010263</t>
  </si>
  <si>
    <t>2026-09-03T13:13:20.995334</t>
  </si>
  <si>
    <t>2026-09-03T13:13:20.946971</t>
  </si>
  <si>
    <t>2026-09-03T13:13:20.931754</t>
  </si>
  <si>
    <t>2026-09-03T13:13:20.917595</t>
  </si>
  <si>
    <t>2026-09-03T13:13:20.906065</t>
  </si>
  <si>
    <t>2026-09-03T13:13:20.880258</t>
  </si>
  <si>
    <t>2026-09-03T13:13:20.859845</t>
  </si>
  <si>
    <t>2026-09-03T13:13:20.845248</t>
  </si>
  <si>
    <t>2026-09-03T13:13:20.824376</t>
  </si>
  <si>
    <t>2026-09-03T13:13:20.804669</t>
  </si>
  <si>
    <t>2026-09-03T13:13:20.774299</t>
  </si>
  <si>
    <t>2026-09-03T13:13:20.754019</t>
  </si>
  <si>
    <t>2026-09-03T13:13:20.734538</t>
  </si>
  <si>
    <t>2026-09-03T13:13:20.723277</t>
  </si>
  <si>
    <t>2026-09-03T13:13:20.705607</t>
  </si>
  <si>
    <t>2026-09-03T13:13:20.690867</t>
  </si>
  <si>
    <t>2026-09-03T13:13:20.671712</t>
  </si>
  <si>
    <t>2026-09-03T13:13:20.656621</t>
  </si>
  <si>
    <t>2026-09-03T13:13:20.635736</t>
  </si>
  <si>
    <t>2026-09-03T13:13:20.616566</t>
  </si>
  <si>
    <t>2026-09-03T13:13:20.599867</t>
  </si>
  <si>
    <t>2026-09-03T13:13:20.585664</t>
  </si>
  <si>
    <t>2026-09-03T13:13:20.569323</t>
  </si>
  <si>
    <t>2026-09-03T13:13:20.553552</t>
  </si>
  <si>
    <t>2026-09-03T13:13:20.544246</t>
  </si>
  <si>
    <t>2026-09-03T13:13:20.530595</t>
  </si>
  <si>
    <t>2026-09-03T13:13:20.519130</t>
  </si>
  <si>
    <t>2026-09-03T13:13:20.504898</t>
  </si>
  <si>
    <t>2026-09-03T13:13:20.490294</t>
  </si>
  <si>
    <t>2026-09-03T13:13:20.475045</t>
  </si>
  <si>
    <t>2026-09-03T13:13:20.462245</t>
  </si>
  <si>
    <t>2026-09-03T13:13:20.449769</t>
  </si>
  <si>
    <t>2026-09-03T13:13:20.432969</t>
  </si>
  <si>
    <t>2026-09-03T13:13:20.419028</t>
  </si>
  <si>
    <t>2026-09-03T13:13:20.396666</t>
  </si>
  <si>
    <t>2026-09-03T13:13:20.376452</t>
  </si>
  <si>
    <t>2026-09-03T13:13:20.362990</t>
  </si>
  <si>
    <t>2026-09-03T13:13:20.348875</t>
  </si>
  <si>
    <t>2026-09-03T13:13:20.324908</t>
  </si>
  <si>
    <t>2026-09-03T13:13:20.273915</t>
  </si>
  <si>
    <t>2026-09-03T13:13:20.251255</t>
  </si>
  <si>
    <t>2026-09-03T13:13:20.206342</t>
  </si>
  <si>
    <t>2026-09-03T13:13:20.109786</t>
  </si>
  <si>
    <t>2026-09-03T13:13:19.954278</t>
  </si>
  <si>
    <t>2026-09-03T13:13:19.904987</t>
  </si>
  <si>
    <t>2026-09-03T13:13:19.867956</t>
  </si>
  <si>
    <t>2026-09-03T13:13:19.827736</t>
  </si>
  <si>
    <t>2026-09-03T13:13:19.796855</t>
  </si>
  <si>
    <t>2026-09-03T13:13:19.768639</t>
  </si>
  <si>
    <t>2026-09-03T13:13:19.734979</t>
  </si>
  <si>
    <t>2026-09-03T13:13:19.725397</t>
  </si>
  <si>
    <t>2026-09-03T13:13:19.711093</t>
  </si>
  <si>
    <t>2026-09-03T13:13:19.697883</t>
  </si>
  <si>
    <t>2026-09-03T13:13:19.686584</t>
  </si>
  <si>
    <t>2026-09-03T13:13:19.669204</t>
  </si>
  <si>
    <t>2026-09-03T13:13:19.652700</t>
  </si>
  <si>
    <t>2026-09-03T13:13:19.628655</t>
  </si>
  <si>
    <t>2026-09-03T13:13:19.601398</t>
  </si>
  <si>
    <t>2026-09-03T13:13:19.567477</t>
  </si>
  <si>
    <t>2026-09-03T13:13:19.539934</t>
  </si>
  <si>
    <t>2026-09-03T13:13:19.484211</t>
  </si>
  <si>
    <t>2026-09-03T13:13:19.461017</t>
  </si>
  <si>
    <t>2026-09-03T13:13:19.432462</t>
  </si>
  <si>
    <t>2026-09-03T13:13:19.411856</t>
  </si>
  <si>
    <t>2026-09-03T13:13:19.393912</t>
  </si>
  <si>
    <t>2026-09-03T13:13:19.373380</t>
  </si>
  <si>
    <t>2026-09-03T13:13:19.350827</t>
  </si>
  <si>
    <t>2026-09-03T13:13:19.324256</t>
  </si>
  <si>
    <t>2026-09-03T13:13:19.290712</t>
  </si>
  <si>
    <t>2026-09-03T13:13:19.272718</t>
  </si>
  <si>
    <t>2026-09-03T13:13:19.247329</t>
  </si>
  <si>
    <t>2026-09-03T13:13:19.220706</t>
  </si>
  <si>
    <t>2026-09-03T13:13:19.208225</t>
  </si>
  <si>
    <t>2026-09-03T13:13:19.197183</t>
  </si>
  <si>
    <t>2026-09-03T13:13:19.185199</t>
  </si>
  <si>
    <t>2026-09-03T13:13:19.169367</t>
  </si>
  <si>
    <t>2026-09-03T13:13:19.151611</t>
  </si>
  <si>
    <t>2026-09-03T13:13:19.141610</t>
  </si>
  <si>
    <t>2026-09-03T13:13:19.114287</t>
  </si>
  <si>
    <t>2026-09-03T13:13:19.094618</t>
  </si>
  <si>
    <t>2026-09-03T13:13:19.073375</t>
  </si>
  <si>
    <t>2026-09-03T13:13:19.044957</t>
  </si>
  <si>
    <t>2026-09-03T13:13:19.005003</t>
  </si>
  <si>
    <t>2026-09-03T13:13:18.981787</t>
  </si>
  <si>
    <t>2026-09-03T13:13:18.954064</t>
  </si>
  <si>
    <t>2026-09-03T13:13:18.926118</t>
  </si>
  <si>
    <t>2026-09-03T13:13:18.906454</t>
  </si>
  <si>
    <t>2026-09-03T13:13:18.878943</t>
  </si>
  <si>
    <t>2026-09-03T13:13:18.858576</t>
  </si>
  <si>
    <t>2026-09-03T13:13:18.832621</t>
  </si>
  <si>
    <t>2026-09-03T13:13:18.821687</t>
  </si>
  <si>
    <t>2026-09-03T13:13:18.810382</t>
  </si>
  <si>
    <t>2026-09-03T13:13:18.799453</t>
  </si>
  <si>
    <t>2026-09-03T13:13:18.778840</t>
  </si>
  <si>
    <t>2026-09-03T13:13:18.762181</t>
  </si>
  <si>
    <t>2026-09-03T13:13:18.751360</t>
  </si>
  <si>
    <t>2026-09-03T13:13:18.738226</t>
  </si>
  <si>
    <t>2026-09-03T13:13:18.725822</t>
  </si>
  <si>
    <t>2026-09-03T13:13:18.711367</t>
  </si>
  <si>
    <t>2026-09-03T13:13:18.699593</t>
  </si>
  <si>
    <t>2026-09-03T13:13:18.684338</t>
  </si>
  <si>
    <t>2026-09-03T13:13:18.670894</t>
  </si>
  <si>
    <t>2026-09-03T13:13:18.655006</t>
  </si>
  <si>
    <t>2026-09-03T13:13:18.638875</t>
  </si>
  <si>
    <t>2026-09-03T13:13:18.626121</t>
  </si>
  <si>
    <t>2026-09-03T13:13:18.616837</t>
  </si>
  <si>
    <t>2026-09-03T13:13:18.609134</t>
  </si>
  <si>
    <t>2026-09-03T13:13:18.592381</t>
  </si>
  <si>
    <t>2026-09-03T13:13:18.568142</t>
  </si>
  <si>
    <t>2026-09-03T13:13:18.550539</t>
  </si>
  <si>
    <t>2026-09-03T13:13:18.525672</t>
  </si>
  <si>
    <t>2026-09-03T13:13:18.486495</t>
  </si>
  <si>
    <t>2026-09-03T13:13:18.443566</t>
  </si>
  <si>
    <t>2026-09-03T13:13:18.405457</t>
  </si>
  <si>
    <t>2026-09-03T13:13:18.369617</t>
  </si>
  <si>
    <t>2026-09-03T13:13:18.349635</t>
  </si>
  <si>
    <t>2026-09-03T13:13:18.323178</t>
  </si>
  <si>
    <t>2026-09-03T13:13:18.301373</t>
  </si>
  <si>
    <t>2026-09-03T13:13:18.267823</t>
  </si>
  <si>
    <t>2026-09-03T13:13:18.239448</t>
  </si>
  <si>
    <t>2026-09-03T13:13:18.217228</t>
  </si>
  <si>
    <t>2026-09-03T13:13:18.156354</t>
  </si>
  <si>
    <t>2026-09-03T13:13:18.109604</t>
  </si>
  <si>
    <t>2026-09-03T13:13:18.064029</t>
  </si>
  <si>
    <t>2026-09-03T13:13:18.002456</t>
  </si>
  <si>
    <t>2026-09-03T13:13:17.921813</t>
  </si>
  <si>
    <t>2026-09-03T13:13:17.872476</t>
  </si>
  <si>
    <t>2026-09-03T13:13:17.810202</t>
  </si>
  <si>
    <t>2026-09-03T13:13:17.725726</t>
  </si>
  <si>
    <t>2026-09-03T13:13:17.677556</t>
  </si>
  <si>
    <t>2026-09-03T13:13:17.623992</t>
  </si>
  <si>
    <t>2026-09-03T13:13:17.582208</t>
  </si>
  <si>
    <t>2026-09-03T13:13:17.530324</t>
  </si>
  <si>
    <t>2026-09-03T13:13:17.453491</t>
  </si>
  <si>
    <t>2026-09-03T13:13:17.416064</t>
  </si>
  <si>
    <t>2026-09-03T13:13:17.393016</t>
  </si>
  <si>
    <t>2026-09-03T13:13:17.344268</t>
  </si>
  <si>
    <t>2026-09-03T13:13:17.323893</t>
  </si>
  <si>
    <t>2026-09-03T13:13:17.303870</t>
  </si>
  <si>
    <t>2026-09-03T13:13:17.280987</t>
  </si>
  <si>
    <t>2026-09-03T13:13:17.248493</t>
  </si>
  <si>
    <t>2026-09-03T13:13:17.227826</t>
  </si>
  <si>
    <t>2026-09-03T13:13:17.191097</t>
  </si>
  <si>
    <t>2026-09-03T13:13:17.169743</t>
  </si>
  <si>
    <t>2026-09-03T13:13:17.142154</t>
  </si>
  <si>
    <t>2026-09-03T13:13:17.114341</t>
  </si>
  <si>
    <t>2026-09-03T13:13:17.074705</t>
  </si>
  <si>
    <t>2026-09-03T13:13:17.040413</t>
  </si>
  <si>
    <t>2026-09-03T13:13:17.011614</t>
  </si>
  <si>
    <t>2026-09-03T13:13:16.956908</t>
  </si>
  <si>
    <t>2026-09-03T13:13:16.914188</t>
  </si>
  <si>
    <t>2026-09-03T13:13:16.896096</t>
  </si>
  <si>
    <t>2026-09-03T13:13:16.860414</t>
  </si>
  <si>
    <t>2026-09-03T13:13:16.754702</t>
  </si>
  <si>
    <t>2026-09-03T13:13:16.702015</t>
  </si>
  <si>
    <t>2026-09-03T13:13:16.681041</t>
  </si>
  <si>
    <t>2026-09-03T13:13:16.658799</t>
  </si>
  <si>
    <t>2026-09-03T13:13:16.643923</t>
  </si>
  <si>
    <t>2026-09-03T13:13:16.622222</t>
  </si>
  <si>
    <t>2026-09-03T13:13:16.607958</t>
  </si>
  <si>
    <t>2026-09-03T13:13:16.593363</t>
  </si>
  <si>
    <t>2026-09-03T13:13:16.565277</t>
  </si>
  <si>
    <t>2026-09-03T13:13:16.551587</t>
  </si>
  <si>
    <t>2026-09-03T13:13:16.540698</t>
  </si>
  <si>
    <t>2026-09-03T13:13:16.519194</t>
  </si>
  <si>
    <t>2026-09-03T13:13:16.501581</t>
  </si>
  <si>
    <t>2026-09-03T13:13:16.481551</t>
  </si>
  <si>
    <t>2026-09-03T13:13:16.467557</t>
  </si>
  <si>
    <t>2026-09-03T13:13:16.446510</t>
  </si>
  <si>
    <t>2026-09-03T13:13:16.426927</t>
  </si>
  <si>
    <t>2026-09-03T13:13:16.407349</t>
  </si>
  <si>
    <t>2026-09-03T13:13:16.384310</t>
  </si>
  <si>
    <t>2026-09-03T13:13:16.359968</t>
  </si>
  <si>
    <t>2026-09-03T13:13:16.342317</t>
  </si>
  <si>
    <t>2026-09-03T13:13:16.318151</t>
  </si>
  <si>
    <t>2026-09-03T13:13:16.289449</t>
  </si>
  <si>
    <t>2026-09-03T13:13:16.274661</t>
  </si>
  <si>
    <t>2026-09-03T13:13:16.248764</t>
  </si>
  <si>
    <t>2026-09-03T13:13:16.238150</t>
  </si>
  <si>
    <t>2026-09-03T13:13:16.216861</t>
  </si>
  <si>
    <t>2026-09-03T13:13:16.200121</t>
  </si>
  <si>
    <t>2026-09-03T13:13:16.185687</t>
  </si>
  <si>
    <t>2026-09-03T13:13:16.171614</t>
  </si>
  <si>
    <t>2026-09-03T13:13:16.154691</t>
  </si>
  <si>
    <t>2026-09-03T13:13:16.130675</t>
  </si>
  <si>
    <t>2026-09-03T13:13:16.104800</t>
  </si>
  <si>
    <t>2026-09-03T13:13:16.080697</t>
  </si>
  <si>
    <t>2026-09-03T13:13:16.053697</t>
  </si>
  <si>
    <t>2026-09-03T13:13:16.024113</t>
  </si>
  <si>
    <t>2026-09-03T13:13:16.011329</t>
  </si>
  <si>
    <t>2026-09-03T13:13:15.982426</t>
  </si>
  <si>
    <t>2026-09-03T13:13:15.963699</t>
  </si>
  <si>
    <t>2026-09-03T13:13:15.937172</t>
  </si>
  <si>
    <t>2026-09-03T13:13:15.921356</t>
  </si>
  <si>
    <t>2026-09-03T13:13:15.908392</t>
  </si>
  <si>
    <t>2026-09-03T13:13:15.888838</t>
  </si>
  <si>
    <t>2026-09-03T13:13:15.870357</t>
  </si>
  <si>
    <t>2026-09-03T13:13:15.843177</t>
  </si>
  <si>
    <t>2026-09-03T13:13:15.824897</t>
  </si>
  <si>
    <t>2026-09-03T13:13:15.807513</t>
  </si>
  <si>
    <t>2026-09-03T13:13:15.782004</t>
  </si>
  <si>
    <t>2026-09-03T13:13:15.770534</t>
  </si>
  <si>
    <t>2026-09-03T13:13:15.754680</t>
  </si>
  <si>
    <t>2026-09-03T13:13:15.746493</t>
  </si>
  <si>
    <t>2026-09-03T13:13:15.727660</t>
  </si>
  <si>
    <t>2026-09-03T13:13:15.706222</t>
  </si>
  <si>
    <t>2026-09-03T13:13:15.680193</t>
  </si>
  <si>
    <t>2026-09-03T13:13:15.649398</t>
  </si>
  <si>
    <t>2026-09-03T13:13:15.634853</t>
  </si>
  <si>
    <t>2026-09-03T13:13:15.615394</t>
  </si>
  <si>
    <t>2026-09-03T13:13:15.596243</t>
  </si>
  <si>
    <t>2026-09-03T13:13:15.585250</t>
  </si>
  <si>
    <t>2026-09-03T13:13:15.568019</t>
  </si>
  <si>
    <t>2026-09-03T13:13:15.553872</t>
  </si>
  <si>
    <t>2026-09-03T13:13:15.532290</t>
  </si>
  <si>
    <t>2026-09-03T13:13:15.512309</t>
  </si>
  <si>
    <t>2026-09-03T13:13:15.498080</t>
  </si>
  <si>
    <t>2026-09-03T13:13:15.485255</t>
  </si>
  <si>
    <t>2026-09-03T13:13:15.473660</t>
  </si>
  <si>
    <t>2026-09-03T13:13:15.464602</t>
  </si>
  <si>
    <t>2026-09-03T13:13:15.447495</t>
  </si>
  <si>
    <t>2026-09-03T13:13:15.434909</t>
  </si>
  <si>
    <t>2026-09-03T13:13:15.418963</t>
  </si>
  <si>
    <t>2026-09-03T13:13:15.404655</t>
  </si>
  <si>
    <t>2026-09-03T13:13:15.385103</t>
  </si>
  <si>
    <t>2026-09-03T13:13:15.372356</t>
  </si>
  <si>
    <t>2026-09-03T13:13:15.358845</t>
  </si>
  <si>
    <t>2026-09-03T13:13:15.332496</t>
  </si>
  <si>
    <t>2026-09-03T13:13:15.303912</t>
  </si>
  <si>
    <t>2026-09-03T13:13:15.283273</t>
  </si>
  <si>
    <t>2026-09-03T13:13:15.261002</t>
  </si>
  <si>
    <t>2026-09-03T13:13:15.245408</t>
  </si>
  <si>
    <t>2026-09-03T13:13:15.235646</t>
  </si>
  <si>
    <t>2026-09-03T13:13:15.221146</t>
  </si>
  <si>
    <t>2026-09-03T13:13:15.210356</t>
  </si>
  <si>
    <t>2026-09-03T13:13:15.189270</t>
  </si>
  <si>
    <t>2026-09-03T13:13:15.178681</t>
  </si>
  <si>
    <t>2026-09-03T13:13:15.164259</t>
  </si>
  <si>
    <t>2026-09-03T13:13:15.150589</t>
  </si>
  <si>
    <t>2026-09-03T13:13:15.141370</t>
  </si>
  <si>
    <t>2026-09-03T13:13:15.128099</t>
  </si>
  <si>
    <t>2026-09-03T13:13:15.116513</t>
  </si>
  <si>
    <t>2026-09-03T13:13:15.100831</t>
  </si>
  <si>
    <t>2026-09-03T13:13:15.086102</t>
  </si>
  <si>
    <t>2026-09-03T13:13:15.069826</t>
  </si>
  <si>
    <t>2026-09-03T13:13:15.045545</t>
  </si>
  <si>
    <t>2026-09-03T13:13:15.030542</t>
  </si>
  <si>
    <t>2026-09-03T13:13:15.012108</t>
  </si>
  <si>
    <t>2026-09-03T13:13:14.990361</t>
  </si>
  <si>
    <t>2026-09-03T13:13:14.974425</t>
  </si>
  <si>
    <t>2026-09-03T13:13:14.956262</t>
  </si>
  <si>
    <t>2026-09-03T13:13:14.943404</t>
  </si>
  <si>
    <t>2026-09-03T13:13:14.926571</t>
  </si>
  <si>
    <t>2026-09-03T13:13:14.905682</t>
  </si>
  <si>
    <t>2026-09-03T13:13:14.880510</t>
  </si>
  <si>
    <t>2026-09-03T13:13:14.867516</t>
  </si>
  <si>
    <t>2026-09-03T13:13:14.854887</t>
  </si>
  <si>
    <t>2026-09-03T13:13:14.838360</t>
  </si>
  <si>
    <t>2026-09-03T13:13:14.822266</t>
  </si>
  <si>
    <t>2026-09-03T13:13:14.801724</t>
  </si>
  <si>
    <t>2026-09-03T13:13:14.779049</t>
  </si>
  <si>
    <t>2026-09-03T13:13:14.764016</t>
  </si>
  <si>
    <t>2026-09-03T13:13:14.745319</t>
  </si>
  <si>
    <t>2026-09-03T13:13:14.734755</t>
  </si>
  <si>
    <t>2026-09-03T13:13:14.718636</t>
  </si>
  <si>
    <t>2026-09-03T13:13:14.708256</t>
  </si>
  <si>
    <t>2026-09-03T13:13:14.686383</t>
  </si>
  <si>
    <t>2026-09-03T13:13:14.677413</t>
  </si>
  <si>
    <t>2026-09-03T13:13:14.659267</t>
  </si>
  <si>
    <t>2026-09-03T13:13:14.651275</t>
  </si>
  <si>
    <t>2026-09-03T13:13:14.637552</t>
  </si>
  <si>
    <t>2026-09-03T13:13:14.615808</t>
  </si>
  <si>
    <t>2026-09-03T13:13:14.597042</t>
  </si>
  <si>
    <t>2026-09-03T13:13:14.585158</t>
  </si>
  <si>
    <t>2026-09-03T13:13:14.567425</t>
  </si>
  <si>
    <t>2026-09-03T13:13:14.547040</t>
  </si>
  <si>
    <t>2026-09-03T13:13:14.528510</t>
  </si>
  <si>
    <t>2026-09-03T13:13:14.505768</t>
  </si>
  <si>
    <t>2026-09-03T13:13:14.484960</t>
  </si>
  <si>
    <t>2026-09-03T13:13:14.455964</t>
  </si>
  <si>
    <t>2026-09-03T13:13:14.441842</t>
  </si>
  <si>
    <t>2026-09-03T13:13:14.423095</t>
  </si>
  <si>
    <t>2026-09-03T13:13:14.406530</t>
  </si>
  <si>
    <t>2026-09-03T13:13:14.387046</t>
  </si>
  <si>
    <t>2026-09-03T13:13:14.373630</t>
  </si>
  <si>
    <t>2026-09-03T13:13:14.357053</t>
  </si>
  <si>
    <t>2026-09-03T13:13:14.343557</t>
  </si>
  <si>
    <t>2026-09-03T13:13:14.318791</t>
  </si>
  <si>
    <t>2026-09-03T13:13:14.303022</t>
  </si>
  <si>
    <t>2026-09-03T13:13:14.289136</t>
  </si>
  <si>
    <t>2026-09-03T13:13:14.262883</t>
  </si>
  <si>
    <t>2026-09-03T13:13:14.240353</t>
  </si>
  <si>
    <t>2026-09-03T13:13:14.219027</t>
  </si>
  <si>
    <t>2026-09-03T13:13:14.206147</t>
  </si>
  <si>
    <t>2026-09-03T13:13:14.177241</t>
  </si>
  <si>
    <t>2026-09-03T13:13:14.156879</t>
  </si>
  <si>
    <t>2026-09-03T13:13:14.135948</t>
  </si>
  <si>
    <t>2026-09-03T13:13:14.117025</t>
  </si>
  <si>
    <t>2026-09-03T13:13:14.095311</t>
  </si>
  <si>
    <t>2026-09-03T13:13:14.080729</t>
  </si>
  <si>
    <t>2026-09-03T13:13:14.066654</t>
  </si>
  <si>
    <t>2026-09-03T13:13:14.043093</t>
  </si>
  <si>
    <t>2026-09-03T13:13:14.032100</t>
  </si>
  <si>
    <t>2026-09-03T13:13:14.011858</t>
  </si>
  <si>
    <t>2026-09-03T13:13:13.996542</t>
  </si>
  <si>
    <t>2026-09-03T13:13:13.967813</t>
  </si>
  <si>
    <t>2026-09-03T13:13:13.953492</t>
  </si>
  <si>
    <t>2026-09-03T13:13:13.933001</t>
  </si>
  <si>
    <t>2026-09-03T13:13:13.923323</t>
  </si>
  <si>
    <t>2026-09-03T13:13:13.908746</t>
  </si>
  <si>
    <t>2026-09-03T13:13:13.893855</t>
  </si>
  <si>
    <t>2026-09-03T13:13:13.873140</t>
  </si>
  <si>
    <t>2026-09-03T13:13:13.860163</t>
  </si>
  <si>
    <t>2026-09-03T13:13:13.849189</t>
  </si>
  <si>
    <t>2026-09-03T13:13:13.828198</t>
  </si>
  <si>
    <t>2026-09-03T13:13:13.810356</t>
  </si>
  <si>
    <t>2026-09-03T13:13:13.801034</t>
  </si>
  <si>
    <t>2026-09-03T13:13:13.784131</t>
  </si>
  <si>
    <t>2026-09-03T13:13:13.773654</t>
  </si>
  <si>
    <t>2026-09-03T13:13:13.754640</t>
  </si>
  <si>
    <t>2026-09-03T13:13:13.743983</t>
  </si>
  <si>
    <t>2026-09-03T13:13:13.719706</t>
  </si>
  <si>
    <t>2026-09-03T13:13:13.703595</t>
  </si>
  <si>
    <t>2026-09-03T13:13:13.691361</t>
  </si>
  <si>
    <t>2026-09-03T13:13:13.679545</t>
  </si>
  <si>
    <t>2026-09-03T13:13:13.671093</t>
  </si>
  <si>
    <t>2026-09-03T13:13:13.662302</t>
  </si>
  <si>
    <t>2026-09-03T13:13:13.648077</t>
  </si>
  <si>
    <t>2026-09-03T13:13:13.635782</t>
  </si>
  <si>
    <t>2026-09-03T13:13:13.622529</t>
  </si>
  <si>
    <t>2026-09-03T13:13:13.588155</t>
  </si>
  <si>
    <t>2026-09-03T13:13:13.569779</t>
  </si>
  <si>
    <t>2026-09-03T13:13:13.548311</t>
  </si>
  <si>
    <t>2026-09-03T13:13:13.532960</t>
  </si>
  <si>
    <t>2026-09-03T13:13:13.505048</t>
  </si>
  <si>
    <t>2026-09-03T13:13:13.448037</t>
  </si>
  <si>
    <t>2026-09-03T13:13:13.400897</t>
  </si>
  <si>
    <t>2026-09-03T13:13:13.378636</t>
  </si>
  <si>
    <t>2026-09-03T13:13:13.352711</t>
  </si>
  <si>
    <t>2026-09-03T13:13:13.297888</t>
  </si>
  <si>
    <t>2026-09-03T13:13:13.258634</t>
  </si>
  <si>
    <t>2026-09-03T13:13:13.222074</t>
  </si>
  <si>
    <t>2026-09-03T13:13:13.180979</t>
  </si>
  <si>
    <t>2026-09-03T13:13:13.165734</t>
  </si>
  <si>
    <t>2026-09-03T13:13:13.153477</t>
  </si>
  <si>
    <t>2026-09-03T13:13:13.141507</t>
  </si>
  <si>
    <t>2026-09-03T13:13:13.129254</t>
  </si>
  <si>
    <t>2026-09-03T13:13:13.116391</t>
  </si>
  <si>
    <t>2026-09-03T13:13:13.100583</t>
  </si>
  <si>
    <t>2026-09-03T13:13:13.088108</t>
  </si>
  <si>
    <t>2026-09-03T13:13:13.068443</t>
  </si>
  <si>
    <t>2026-09-03T13:13:13.052063</t>
  </si>
  <si>
    <t>2026-09-03T13:13:13.038380</t>
  </si>
  <si>
    <t>2026-09-03T13:13:13.029695</t>
  </si>
  <si>
    <t>2026-09-03T13:13:13.010846</t>
  </si>
  <si>
    <t>2026-09-03T13:13:13.002293</t>
  </si>
  <si>
    <t>2026-09-03T13:13:12.978555</t>
  </si>
  <si>
    <t>2026-09-03T13:13:12.963857</t>
  </si>
  <si>
    <t>2026-09-03T13:13:12.944040</t>
  </si>
  <si>
    <t>2026-09-03T13:13:12.919253</t>
  </si>
  <si>
    <t>2026-09-03T13:13:12.904182</t>
  </si>
  <si>
    <t>2026-09-03T13:13:12.864773</t>
  </si>
  <si>
    <t>2026-09-03T13:13:12.837953</t>
  </si>
  <si>
    <t>2026-09-03T13:13:12.781608</t>
  </si>
  <si>
    <t>2026-09-03T13:13:12.738903</t>
  </si>
  <si>
    <t>2026-09-03T13:13:12.687013</t>
  </si>
  <si>
    <t>2026-09-03T13:13:12.664025</t>
  </si>
  <si>
    <t>2026-09-03T13:13:12.649129</t>
  </si>
  <si>
    <t>2026-09-03T13:13:12.637902</t>
  </si>
  <si>
    <t>2026-09-03T13:13:12.622303</t>
  </si>
  <si>
    <t>2026-09-03T13:13:12.600656</t>
  </si>
  <si>
    <t>2026-09-03T13:13:12.582021</t>
  </si>
  <si>
    <t>2026-09-03T13:13:12.558476</t>
  </si>
  <si>
    <t>2026-09-03T13:13:12.541003</t>
  </si>
  <si>
    <t>2026-09-03T13:13:12.525727</t>
  </si>
  <si>
    <t>2026-09-03T13:13:12.504283</t>
  </si>
  <si>
    <t>2026-09-03T13:13:12.484675</t>
  </si>
  <si>
    <t>2026-09-03T13:13:12.471628</t>
  </si>
  <si>
    <t>2026-09-03T13:13:12.450585</t>
  </si>
  <si>
    <t>2026-09-03T13:13:12.434724</t>
  </si>
  <si>
    <t>2026-09-03T13:13:12.417373</t>
  </si>
  <si>
    <t>2026-09-03T13:13:12.405166</t>
  </si>
  <si>
    <t>2026-09-03T13:13:12.385648</t>
  </si>
  <si>
    <t>2026-09-03T13:13:12.374501</t>
  </si>
  <si>
    <t>2026-09-03T13:13:12.357737</t>
  </si>
  <si>
    <t>2026-09-03T13:13:12.345640</t>
  </si>
  <si>
    <t>2026-09-03T13:13:12.332093</t>
  </si>
  <si>
    <t>2026-09-03T13:13:12.320256</t>
  </si>
  <si>
    <t>2026-09-03T13:13:12.304385</t>
  </si>
  <si>
    <t>2026-09-03T13:13:12.290340</t>
  </si>
  <si>
    <t>2026-09-03T13:13:12.269430</t>
  </si>
  <si>
    <t>2026-09-03T13:13:12.247408</t>
  </si>
  <si>
    <t>2026-09-03T13:13:12.232301</t>
  </si>
  <si>
    <t>2026-09-03T13:13:12.219829</t>
  </si>
  <si>
    <t>2026-09-03T13:13:12.200884</t>
  </si>
  <si>
    <t>2026-09-03T13:13:12.179482</t>
  </si>
  <si>
    <t>2026-09-03T13:13:12.160576</t>
  </si>
  <si>
    <t>2026-09-03T13:13:12.143765</t>
  </si>
  <si>
    <t>2026-09-03T13:13:12.128123</t>
  </si>
  <si>
    <t>2026-09-03T13:13:12.108853</t>
  </si>
  <si>
    <t>2026-09-03T13:13:12.095331</t>
  </si>
  <si>
    <t>2026-09-03T13:13:12.079380</t>
  </si>
  <si>
    <t>2026-09-03T13:13:12.062237</t>
  </si>
  <si>
    <t>2026-09-03T13:13:12.048246</t>
  </si>
  <si>
    <t>2026-09-03T13:13:12.030112</t>
  </si>
  <si>
    <t>2026-09-03T13:13:12.011041</t>
  </si>
  <si>
    <t>2026-09-03T13:13:11.996117</t>
  </si>
  <si>
    <t>2026-09-03T13:13:11.986252</t>
  </si>
  <si>
    <t>2026-09-03T13:13:11.971048</t>
  </si>
  <si>
    <t>2026-09-03T13:13:11.947792</t>
  </si>
  <si>
    <t>2026-09-03T13:13:11.930663</t>
  </si>
  <si>
    <t>2026-09-03T13:13:11.920141</t>
  </si>
  <si>
    <t>2026-09-03T13:13:11.896847</t>
  </si>
  <si>
    <t>2026-09-03T13:13:11.874539</t>
  </si>
  <si>
    <t>2026-09-03T13:13:11.852567</t>
  </si>
  <si>
    <t>2026-09-03T13:13:11.838964</t>
  </si>
  <si>
    <t>2026-09-03T13:13:11.826392</t>
  </si>
  <si>
    <t>2026-09-03T13:13:11.810972</t>
  </si>
  <si>
    <t>2026-09-03T13:13:11.798009</t>
  </si>
  <si>
    <t>2026-09-03T13:13:11.788372</t>
  </si>
  <si>
    <t>2026-09-03T13:13:11.769289</t>
  </si>
  <si>
    <t>2026-09-03T13:13:11.755373</t>
  </si>
  <si>
    <t>2026-09-03T13:13:11.741498</t>
  </si>
  <si>
    <t>2026-09-03T13:13:11.721601</t>
  </si>
  <si>
    <t>2026-09-03T13:13:11.695886</t>
  </si>
  <si>
    <t>2026-09-03T13:13:11.669582</t>
  </si>
  <si>
    <t>2026-09-03T13:13:11.643925</t>
  </si>
  <si>
    <t>2026-09-03T13:13:11.623511</t>
  </si>
  <si>
    <t>2026-09-03T13:13:11.603746</t>
  </si>
  <si>
    <t>2026-09-03T13:13:11.583611</t>
  </si>
  <si>
    <t>2026-09-03T13:13:11.559525</t>
  </si>
  <si>
    <t>2026-09-03T13:13:11.546346</t>
  </si>
  <si>
    <t>2026-09-03T13:13:11.526018</t>
  </si>
  <si>
    <t>2026-09-03T13:13:11.507905</t>
  </si>
  <si>
    <t>2026-09-03T13:13:11.493035</t>
  </si>
  <si>
    <t>2026-09-03T13:13:11.472263</t>
  </si>
  <si>
    <t>2026-09-03T13:13:11.454832</t>
  </si>
  <si>
    <t>2026-09-03T13:13:11.433378</t>
  </si>
  <si>
    <t>2026-09-03T13:13:11.409719</t>
  </si>
  <si>
    <t>2026-09-03T13:13:11.389082</t>
  </si>
  <si>
    <t>2026-09-03T13:13:11.374617</t>
  </si>
  <si>
    <t>2026-09-03T13:13:11.358199</t>
  </si>
  <si>
    <t>2026-09-03T13:13:11.337666</t>
  </si>
  <si>
    <t>2026-09-03T13:13:11.318310</t>
  </si>
  <si>
    <t>2026-09-03T13:13:11.304770</t>
  </si>
  <si>
    <t>2026-09-03T13:13:11.289744</t>
  </si>
  <si>
    <t>2026-09-03T13:13:11.276610</t>
  </si>
  <si>
    <t>2026-09-03T13:13:11.260863</t>
  </si>
  <si>
    <t>2026-09-03T13:13:11.244371</t>
  </si>
  <si>
    <t>2026-09-03T13:13:11.224488</t>
  </si>
  <si>
    <t>2026-09-03T13:13:11.197668</t>
  </si>
  <si>
    <t>2026-09-03T13:13:11.174470</t>
  </si>
  <si>
    <t>2026-09-03T13:13:11.158732</t>
  </si>
  <si>
    <t>2026-09-03T13:13:11.145034</t>
  </si>
  <si>
    <t>2026-09-03T13:13:11.126896</t>
  </si>
  <si>
    <t>2026-09-03T13:13:11.111006</t>
  </si>
  <si>
    <t>2026-09-03T13:13:11.093409</t>
  </si>
  <si>
    <t>2026-09-03T13:13:11.074166</t>
  </si>
  <si>
    <t>2026-09-03T13:13:11.060504</t>
  </si>
  <si>
    <t>2026-09-03T13:13:11.049920</t>
  </si>
  <si>
    <t>2026-09-03T13:13:11.026804</t>
  </si>
  <si>
    <t>2026-09-03T13:13:11.011499</t>
  </si>
  <si>
    <t>2026-09-03T13:13:10.996243</t>
  </si>
  <si>
    <t>2026-09-03T13:13:10.984494</t>
  </si>
  <si>
    <t>2026-09-03T13:13:10.963884</t>
  </si>
  <si>
    <t>2026-09-03T13:13:10.942165</t>
  </si>
  <si>
    <t>2026-09-03T13:13:10.925186</t>
  </si>
  <si>
    <t>2026-09-03T13:13:10.901852</t>
  </si>
  <si>
    <t>2026-09-03T13:13:10.878907</t>
  </si>
  <si>
    <t>2026-09-03T13:13:10.859510</t>
  </si>
  <si>
    <t>2026-09-03T13:13:10.845203</t>
  </si>
  <si>
    <t>2026-09-03T13:13:10.831389</t>
  </si>
  <si>
    <t>2026-09-03T13:13:10.777176</t>
  </si>
  <si>
    <t>2026-09-03T13:13:10.757611</t>
  </si>
  <si>
    <t>2026-09-03T13:13:10.744418</t>
  </si>
  <si>
    <t>2026-09-03T13:13:10.728336</t>
  </si>
  <si>
    <t>2026-09-03T13:13:10.681415</t>
  </si>
  <si>
    <t>2026-09-03T13:13:10.638348</t>
  </si>
  <si>
    <t>2026-09-03T13:13:10.621161</t>
  </si>
  <si>
    <t>2026-09-03T13:13:03.931086</t>
  </si>
  <si>
    <t>2026-09-03T13:12:57.887623</t>
  </si>
  <si>
    <t>2026-09-03T13:12:57.865585</t>
  </si>
  <si>
    <t>2026-09-03T13:12:57.850091</t>
  </si>
  <si>
    <t>2026-09-03T13:12:57.835333</t>
  </si>
  <si>
    <t>2026-09-03T13:12:57.791383</t>
  </si>
  <si>
    <t>2026-09-03T13:12:57.767761</t>
  </si>
  <si>
    <t>2026-09-03T13:12:57.754496</t>
  </si>
  <si>
    <t>2026-09-03T13:12:57.725438</t>
  </si>
  <si>
    <t>2026-09-03T13:12:57.715038</t>
  </si>
  <si>
    <t>2026-09-03T13:12:57.693087</t>
  </si>
  <si>
    <t>2026-09-03T13:12:57.678241</t>
  </si>
  <si>
    <t>2026-09-03T13:12:57.658133</t>
  </si>
  <si>
    <t>2026-09-03T13:12:57.639363</t>
  </si>
  <si>
    <t>2026-09-03T13:12:57.622789</t>
  </si>
  <si>
    <t>2026-09-03T13:12:57.610276</t>
  </si>
  <si>
    <t>2026-09-03T13:12:57.591817</t>
  </si>
  <si>
    <t>2026-09-03T13:12:57.575772</t>
  </si>
  <si>
    <t>2026-09-03T13:12:57.553353</t>
  </si>
  <si>
    <t>2026-09-03T13:12:57.523880</t>
  </si>
  <si>
    <t>2026-09-03T13:12:57.492700</t>
  </si>
  <si>
    <t>2026-09-03T13:12:57.465114</t>
  </si>
  <si>
    <t>2026-09-03T13:12:57.437331</t>
  </si>
  <si>
    <t>2026-09-03T13:12:57.414486</t>
  </si>
  <si>
    <t>2026-09-03T13:12:57.398624</t>
  </si>
  <si>
    <t>2026-09-03T13:12:57.366503</t>
  </si>
  <si>
    <t>2026-09-03T13:12:57.333136</t>
  </si>
  <si>
    <t>2026-09-03T13:12:57.310853</t>
  </si>
  <si>
    <t>2026-09-03T13:12:57.289066</t>
  </si>
  <si>
    <t>2026-09-03T13:12:57.247013</t>
  </si>
  <si>
    <t>2026-09-03T13:12:57.196071</t>
  </si>
  <si>
    <t>2026-09-03T13:12:57.157335</t>
  </si>
  <si>
    <t>2026-09-03T13:12:57.137806</t>
  </si>
  <si>
    <t>2026-09-03T13:12:57.108482</t>
  </si>
  <si>
    <t>2026-09-03T13:12:57.099524</t>
  </si>
  <si>
    <t>2026-09-03T13:12:57.080075</t>
  </si>
  <si>
    <t>2026-09-03T13:12:57.070194</t>
  </si>
  <si>
    <t>2026-09-03T13:12:57.059236</t>
  </si>
  <si>
    <t>2026-09-03T13:12:57.038557</t>
  </si>
  <si>
    <t>2026-09-03T13:12:57.005420</t>
  </si>
  <si>
    <t>2026-09-03T13:12:56.972444</t>
  </si>
  <si>
    <t>2026-09-03T13:12:56.948659</t>
  </si>
  <si>
    <t>2026-09-03T13:12:56.922052</t>
  </si>
  <si>
    <t>2026-09-03T13:12:56.910704</t>
  </si>
  <si>
    <t>2026-09-03T13:12:56.900333</t>
  </si>
  <si>
    <t>2026-09-03T13:12:56.881086</t>
  </si>
  <si>
    <t>2026-09-03T13:12:56.852585</t>
  </si>
  <si>
    <t>2026-09-03T13:12:56.829600</t>
  </si>
  <si>
    <t>2026-09-03T13:12:56.812600</t>
  </si>
  <si>
    <t>2026-09-03T13:12:56.787750</t>
  </si>
  <si>
    <t>2026-09-03T13:12:56.749113</t>
  </si>
  <si>
    <t>2026-09-03T13:12:56.719109</t>
  </si>
  <si>
    <t>2026-09-03T13:12:56.649935</t>
  </si>
  <si>
    <t>2026-09-03T13:12:56.602303</t>
  </si>
  <si>
    <t>2026-09-03T13:12:56.563527</t>
  </si>
  <si>
    <t>2026-09-03T13:12:56.484205</t>
  </si>
  <si>
    <t>2026-09-03T13:12:56.446235</t>
  </si>
  <si>
    <t>2026-09-03T13:12:56.403795</t>
  </si>
  <si>
    <t>2026-09-03T13:12:56.380199</t>
  </si>
  <si>
    <t>2026-09-03T13:12:56.360964</t>
  </si>
  <si>
    <t>2026-09-03T13:12:56.342316</t>
  </si>
  <si>
    <t>2026-09-03T13:12:56.317102</t>
  </si>
  <si>
    <t>2026-09-03T13:12:56.304994</t>
  </si>
  <si>
    <t>2026-09-03T13:12:56.291013</t>
  </si>
  <si>
    <t>2026-09-03T13:12:56.274955</t>
  </si>
  <si>
    <t>2026-09-03T13:12:56.260830</t>
  </si>
  <si>
    <t>2026-09-03T13:12:56.257099</t>
  </si>
  <si>
    <t>2026-09-03T13:12:56.246279</t>
  </si>
  <si>
    <t>2026-09-03T13:12:56.158345</t>
  </si>
  <si>
    <t>2026-09-03T13:12:56.138248</t>
  </si>
  <si>
    <t>2026-09-03T13:12:56.128271</t>
  </si>
  <si>
    <t>2026-09-03T13:12:56.114307</t>
  </si>
  <si>
    <t>2026-09-03T13:12:56.093573</t>
  </si>
  <si>
    <t>2026-09-03T13:12:56.081221</t>
  </si>
  <si>
    <t>2026-09-03T13:12:56.063337</t>
  </si>
  <si>
    <t>2026-09-03T13:12:56.039550</t>
  </si>
  <si>
    <t>2026-09-03T13:12:56.028828</t>
  </si>
  <si>
    <t>2026-09-03T13:12:56.011945</t>
  </si>
  <si>
    <t>2026-09-03T13:12:55.989372</t>
  </si>
  <si>
    <t>2026-09-03T13:12:55.974430</t>
  </si>
  <si>
    <t>2026-09-03T13:12:55.959865</t>
  </si>
  <si>
    <t>2026-09-03T13:12:55.940727</t>
  </si>
  <si>
    <t>2026-09-03T13:12:55.902364</t>
  </si>
  <si>
    <t>2026-09-03T13:12:55.879564</t>
  </si>
  <si>
    <t>2026-09-03T13:12:55.852152</t>
  </si>
  <si>
    <t>2026-09-03T13:12:55.824680</t>
  </si>
  <si>
    <t>2026-09-03T13:12:55.806372</t>
  </si>
  <si>
    <t>2026-09-03T13:12:55.789112</t>
  </si>
  <si>
    <t>2026-09-03T13:12:55.774403</t>
  </si>
  <si>
    <t>2026-09-03T13:12:55.748996</t>
  </si>
  <si>
    <t>2026-09-03T13:12:55.726941</t>
  </si>
  <si>
    <t>2026-09-03T13:12:55.716211</t>
  </si>
  <si>
    <t>2026-09-03T13:12:55.702573</t>
  </si>
  <si>
    <t>2026-09-03T13:12:55.677793</t>
  </si>
  <si>
    <t>2026-09-03T13:12:55.663477</t>
  </si>
  <si>
    <t>2026-09-03T13:12:55.636698</t>
  </si>
  <si>
    <t>2026-09-03T13:12:55.626729</t>
  </si>
  <si>
    <t>2026-09-03T13:12:55.609701</t>
  </si>
  <si>
    <t>2026-09-03T13:12:55.595936</t>
  </si>
  <si>
    <t>2026-09-03T13:12:55.575889</t>
  </si>
  <si>
    <t>2026-09-03T13:12:55.561938</t>
  </si>
  <si>
    <t>2026-09-03T13:12:55.546123</t>
  </si>
  <si>
    <t>2026-09-03T13:12:55.537102</t>
  </si>
  <si>
    <t>2026-09-03T13:12:55.520951</t>
  </si>
  <si>
    <t>2026-09-03T13:12:55.506766</t>
  </si>
  <si>
    <t>2026-09-03T13:12:55.496476</t>
  </si>
  <si>
    <t>2026-09-03T13:12:55.470305</t>
  </si>
  <si>
    <t>2026-09-03T13:12:55.453943</t>
  </si>
  <si>
    <t>2026-09-03T13:12:55.436155</t>
  </si>
  <si>
    <t>2026-09-03T13:12:55.413830</t>
  </si>
  <si>
    <t>2026-09-03T13:12:55.393800</t>
  </si>
  <si>
    <t>2026-09-03T13:12:55.373574</t>
  </si>
  <si>
    <t>2026-09-03T13:12:55.362353</t>
  </si>
  <si>
    <t>2026-09-03T13:12:55.346332</t>
  </si>
  <si>
    <t>2026-09-03T13:12:55.331823</t>
  </si>
  <si>
    <t>2026-09-03T13:12:55.318625</t>
  </si>
  <si>
    <t>2026-09-03T13:12:55.305661</t>
  </si>
  <si>
    <t>2026-09-03T13:12:55.290188</t>
  </si>
  <si>
    <t>2026-09-03T13:12:55.281169</t>
  </si>
  <si>
    <t>2026-09-03T13:12:55.264695</t>
  </si>
  <si>
    <t>2026-09-03T13:12:55.252748</t>
  </si>
  <si>
    <t>2026-09-03T13:12:55.236290</t>
  </si>
  <si>
    <t>2026-09-03T13:12:55.216882</t>
  </si>
  <si>
    <t>2026-09-03T13:12:55.202705</t>
  </si>
  <si>
    <t>2026-09-03T13:12:55.182380</t>
  </si>
  <si>
    <t>2026-09-03T13:12:55.158179</t>
  </si>
  <si>
    <t>2026-09-03T13:12:55.143617</t>
  </si>
  <si>
    <t>2026-09-03T13:12:55.132730</t>
  </si>
  <si>
    <t>2026-09-03T13:12:55.115857</t>
  </si>
  <si>
    <t>2026-09-03T13:12:55.105994</t>
  </si>
  <si>
    <t>2026-09-03T13:12:55.090935</t>
  </si>
  <si>
    <t>2026-09-03T13:12:55.075470</t>
  </si>
  <si>
    <t>2026-09-03T13:12:55.060116</t>
  </si>
  <si>
    <t>2026-09-03T13:12:55.040806</t>
  </si>
  <si>
    <t>2026-09-03T13:12:55.027032</t>
  </si>
  <si>
    <t>2026-09-03T13:12:55.012192</t>
  </si>
  <si>
    <t>2026-09-03T13:12:54.991620</t>
  </si>
  <si>
    <t>2026-09-03T13:12:54.974032</t>
  </si>
  <si>
    <t>2026-09-03T13:12:54.963484</t>
  </si>
  <si>
    <t>2026-09-03T13:12:54.943000</t>
  </si>
  <si>
    <t>2026-09-03T13:12:54.926089</t>
  </si>
  <si>
    <t>2026-09-03T13:12:54.901838</t>
  </si>
  <si>
    <t>2026-09-03T13:12:54.882570</t>
  </si>
  <si>
    <t>2026-09-03T13:12:54.866814</t>
  </si>
  <si>
    <t>2026-09-03T13:12:54.847003</t>
  </si>
  <si>
    <t>2026-09-03T13:12:54.830719</t>
  </si>
  <si>
    <t>2026-09-03T13:12:54.817693</t>
  </si>
  <si>
    <t>2026-09-03T13:12:54.791110</t>
  </si>
  <si>
    <t>2026-09-03T13:12:54.776889</t>
  </si>
  <si>
    <t>2026-09-03T13:12:54.743355</t>
  </si>
  <si>
    <t>2026-09-03T13:12:54.728924</t>
  </si>
  <si>
    <t>2026-09-03T13:12:54.692000</t>
  </si>
  <si>
    <t>2026-09-03T13:12:54.675292</t>
  </si>
  <si>
    <t>2026-09-03T13:12:54.650431</t>
  </si>
  <si>
    <t>2026-09-03T13:12:54.605610</t>
  </si>
  <si>
    <t>2026-09-03T13:12:54.573586</t>
  </si>
  <si>
    <t>2026-09-03T13:12:54.561623</t>
  </si>
  <si>
    <t>2026-09-03T13:12:54.539498</t>
  </si>
  <si>
    <t>2026-09-03T13:12:54.502239</t>
  </si>
  <si>
    <t>2026-09-03T13:12:54.461850</t>
  </si>
  <si>
    <t>2026-09-03T13:12:54.433262</t>
  </si>
  <si>
    <t>2026-09-03T13:12:54.406522</t>
  </si>
  <si>
    <t>2026-09-03T13:12:54.392898</t>
  </si>
  <si>
    <t>2026-09-03T13:12:54.373210</t>
  </si>
  <si>
    <t>2026-09-03T13:12:54.347438</t>
  </si>
  <si>
    <t>2026-09-03T13:12:54.332858</t>
  </si>
  <si>
    <t>2026-09-03T13:12:54.312965</t>
  </si>
  <si>
    <t>2026-09-03T13:12:54.296838</t>
  </si>
  <si>
    <t>2026-09-03T13:12:54.282670</t>
  </si>
  <si>
    <t>2026-09-03T13:12:54.266374</t>
  </si>
  <si>
    <t>2026-09-03T13:12:54.247171</t>
  </si>
  <si>
    <t>2026-09-03T13:12:54.234171</t>
  </si>
  <si>
    <t>2026-09-03T13:12:54.219460</t>
  </si>
  <si>
    <t>2026-09-03T13:12:54.181580</t>
  </si>
  <si>
    <t>2026-09-03T13:12:54.167872</t>
  </si>
  <si>
    <t>2026-09-03T13:12:54.095089</t>
  </si>
  <si>
    <t>2026-09-03T13:12:54.059430</t>
  </si>
  <si>
    <t>2026-09-03T13:12:54.005750</t>
  </si>
  <si>
    <t>2026-09-03T13:12:53.957825</t>
  </si>
  <si>
    <t>2026-09-03T13:12:53.943276</t>
  </si>
  <si>
    <t>2026-09-03T13:12:53.918332</t>
  </si>
  <si>
    <t>2026-09-03T13:12:53.900699</t>
  </si>
  <si>
    <t>2026-09-03T13:12:53.877462</t>
  </si>
  <si>
    <t>2026-09-03T13:12:53.866052</t>
  </si>
  <si>
    <t>2026-09-03T13:12:53.844558</t>
  </si>
  <si>
    <t>2026-09-03T13:12:53.832056</t>
  </si>
  <si>
    <t>2026-09-03T13:12:53.820344</t>
  </si>
  <si>
    <t>2026-09-03T13:12:53.804990</t>
  </si>
  <si>
    <t>2026-09-03T13:12:53.795279</t>
  </si>
  <si>
    <t>2026-09-03T13:12:53.770502</t>
  </si>
  <si>
    <t>2026-09-03T13:12:53.761874</t>
  </si>
  <si>
    <t>2026-09-03T13:12:53.744456</t>
  </si>
  <si>
    <t>2026-09-03T13:12:53.722895</t>
  </si>
  <si>
    <t>2026-09-03T13:12:53.707380</t>
  </si>
  <si>
    <t>2026-09-03T13:12:53.686963</t>
  </si>
  <si>
    <t>2026-09-03T13:12:53.675574</t>
  </si>
  <si>
    <t>2026-09-03T13:12:53.657581</t>
  </si>
  <si>
    <t>2026-09-03T13:12:53.638227</t>
  </si>
  <si>
    <t>2026-09-03T13:12:53.618384</t>
  </si>
  <si>
    <t>2026-09-03T13:12:53.604179</t>
  </si>
  <si>
    <t>2026-09-03T13:12:53.580855</t>
  </si>
  <si>
    <t>2026-09-03T13:12:53.561044</t>
  </si>
  <si>
    <t>2026-09-03T13:12:53.534435</t>
  </si>
  <si>
    <t>2026-09-03T13:12:53.513486</t>
  </si>
  <si>
    <t>2026-09-03T13:12:53.498281</t>
  </si>
  <si>
    <t>2026-09-03T13:12:53.484325</t>
  </si>
  <si>
    <t>2026-09-03T13:12:53.471040</t>
  </si>
  <si>
    <t>2026-09-03T13:12:53.456175</t>
  </si>
  <si>
    <t>2026-09-03T13:12:53.445820</t>
  </si>
  <si>
    <t>2026-09-03T13:12:53.421974</t>
  </si>
  <si>
    <t>2026-09-03T13:12:53.399877</t>
  </si>
  <si>
    <t>2026-09-03T13:12:53.364746</t>
  </si>
  <si>
    <t>2026-09-03T13:12:53.359219</t>
  </si>
  <si>
    <t>2026-09-03T13:12:53.322896</t>
  </si>
  <si>
    <t>2026-09-03T13:12:53.310953</t>
  </si>
  <si>
    <t>2026-09-03T13:12:53.284947</t>
  </si>
  <si>
    <t>2026-09-03T13:12:53.263343</t>
  </si>
  <si>
    <t>2026-09-03T13:12:53.249541</t>
  </si>
  <si>
    <t>2026-09-03T13:12:53.234616</t>
  </si>
  <si>
    <t>2026-09-03T13:12:53.216284</t>
  </si>
  <si>
    <t>2026-09-03T13:12:53.199226</t>
  </si>
  <si>
    <t>2026-09-03T13:12:53.174533</t>
  </si>
  <si>
    <t>2026-09-03T13:12:53.142842</t>
  </si>
  <si>
    <t>2026-09-03T13:12:53.118900</t>
  </si>
  <si>
    <t>2026-09-03T13:12:53.097046</t>
  </si>
  <si>
    <t>2026-09-03T13:12:53.070888</t>
  </si>
  <si>
    <t>2026-09-03T13:12:53.048236</t>
  </si>
  <si>
    <t>2026-09-03T13:12:53.035438</t>
  </si>
  <si>
    <t>2026-09-03T13:12:53.013122</t>
  </si>
  <si>
    <t>2026-09-03T13:12:53.001952</t>
  </si>
  <si>
    <t>2026-09-03T13:12:52.969771</t>
  </si>
  <si>
    <t>2026-09-03T13:12:52.959666</t>
  </si>
  <si>
    <t>2026-09-03T13:12:52.939808</t>
  </si>
  <si>
    <t>2026-09-03T13:12:52.898389</t>
  </si>
  <si>
    <t>2026-09-03T13:12:52.873260</t>
  </si>
  <si>
    <t>2026-09-03T13:12:52.845998</t>
  </si>
  <si>
    <t>2026-09-03T13:12:52.831493</t>
  </si>
  <si>
    <t>2026-09-03T13:12:52.807355</t>
  </si>
  <si>
    <t>2026-09-03T13:12:52.788864</t>
  </si>
  <si>
    <t>2026-09-03T13:12:52.764508</t>
  </si>
  <si>
    <t>2026-09-03T13:12:52.743572</t>
  </si>
  <si>
    <t>2026-09-03T13:12:52.725521</t>
  </si>
  <si>
    <t>2026-09-03T13:12:52.703944</t>
  </si>
  <si>
    <t>2026-09-03T13:12:52.688349</t>
  </si>
  <si>
    <t>2026-09-03T13:12:52.665428</t>
  </si>
  <si>
    <t>2026-09-03T13:12:52.648304</t>
  </si>
  <si>
    <t>2026-09-03T13:12:52.628452</t>
  </si>
  <si>
    <t>2026-09-03T13:12:52.610166</t>
  </si>
  <si>
    <t>2026-09-03T13:12:52.557108</t>
  </si>
  <si>
    <t>2026-09-03T13:12:52.529159</t>
  </si>
  <si>
    <t>2026-09-03T13:12:52.514933</t>
  </si>
  <si>
    <t>2026-09-03T13:12:52.494054</t>
  </si>
  <si>
    <t>2026-09-03T13:12:52.477990</t>
  </si>
  <si>
    <t>2026-09-03T13:12:52.464833</t>
  </si>
  <si>
    <t>2026-09-03T13:12:52.439435</t>
  </si>
  <si>
    <t>2026-09-03T13:12:52.424660</t>
  </si>
  <si>
    <t>2026-09-03T13:12:52.404853</t>
  </si>
  <si>
    <t>2026-09-03T13:12:52.390302</t>
  </si>
  <si>
    <t>2026-09-03T13:12:52.375907</t>
  </si>
  <si>
    <t>2026-09-03T13:12:52.356363</t>
  </si>
  <si>
    <t>2026-09-03T13:12:52.338857</t>
  </si>
  <si>
    <t>2026-09-03T13:12:52.306928</t>
  </si>
  <si>
    <t>2026-09-03T13:12:52.287154</t>
  </si>
  <si>
    <t>2026-09-03T13:12:52.271481</t>
  </si>
  <si>
    <t>2026-09-03T13:12:52.248441</t>
  </si>
  <si>
    <t>2026-09-03T13:12:52.230267</t>
  </si>
  <si>
    <t>2026-09-03T13:12:52.208817</t>
  </si>
  <si>
    <t>2026-09-03T13:12:52.193380</t>
  </si>
  <si>
    <t>2026-09-03T13:12:52.168265</t>
  </si>
  <si>
    <t>2026-09-03T13:12:52.153855</t>
  </si>
  <si>
    <t>2026-09-03T13:12:52.132837</t>
  </si>
  <si>
    <t>2026-09-03T13:12:52.112503</t>
  </si>
  <si>
    <t>2026-09-03T13:12:52.102777</t>
  </si>
  <si>
    <t>2026-09-03T13:12:52.084234</t>
  </si>
  <si>
    <t>2026-09-03T13:12:52.064152</t>
  </si>
  <si>
    <t>2026-09-03T13:12:52.034180</t>
  </si>
  <si>
    <t>2026-09-03T13:12:52.014325</t>
  </si>
  <si>
    <t>2026-09-03T13:12:51.995347</t>
  </si>
  <si>
    <t>2026-09-03T13:12:51.977105</t>
  </si>
  <si>
    <t>2026-09-03T13:12:51.959951</t>
  </si>
  <si>
    <t>2026-09-03T13:12:51.937795</t>
  </si>
  <si>
    <t>2026-09-03T13:12:51.924410</t>
  </si>
  <si>
    <t>2026-09-03T13:12:51.912117</t>
  </si>
  <si>
    <t>2026-09-03T13:12:51.890978</t>
  </si>
  <si>
    <t>2026-09-03T13:12:51.878123</t>
  </si>
  <si>
    <t>2026-09-03T13:12:51.855444</t>
  </si>
  <si>
    <t>2026-09-03T13:12:51.834813</t>
  </si>
  <si>
    <t>2026-09-03T13:12:51.805026</t>
  </si>
  <si>
    <t>2026-09-03T13:12:51.774850</t>
  </si>
  <si>
    <t>2026-09-03T13:12:51.750208</t>
  </si>
  <si>
    <t>2026-09-03T13:12:51.733395</t>
  </si>
  <si>
    <t>2026-09-03T13:12:51.711027</t>
  </si>
  <si>
    <t>2026-09-03T13:12:51.680404</t>
  </si>
  <si>
    <t>2026-09-03T13:12:51.626793</t>
  </si>
  <si>
    <t>2026-09-03T13:12:51.590531</t>
  </si>
  <si>
    <t>2026-09-03T13:12:51.551704</t>
  </si>
  <si>
    <t>2026-09-03T13:12:51.521907</t>
  </si>
  <si>
    <t>2026-09-03T13:12:51.500477</t>
  </si>
  <si>
    <t>2026-09-03T13:12:51.467712</t>
  </si>
  <si>
    <t>2026-09-03T13:12:51.444304</t>
  </si>
  <si>
    <t>2026-09-03T13:12:51.418899</t>
  </si>
  <si>
    <t>2026-09-03T13:12:51.403704</t>
  </si>
  <si>
    <t>2026-09-03T13:12:51.390636</t>
  </si>
  <si>
    <t>2026-09-03T13:12:51.369429</t>
  </si>
  <si>
    <t>2026-09-03T13:12:51.355133</t>
  </si>
  <si>
    <t>2026-09-03T13:12:51.340491</t>
  </si>
  <si>
    <t>2026-09-03T13:12:51.325458</t>
  </si>
  <si>
    <t>2026-09-03T13:12:51.300678</t>
  </si>
  <si>
    <t>2026-09-03T13:12:51.263803</t>
  </si>
  <si>
    <t>2026-09-03T13:12:51.231892</t>
  </si>
  <si>
    <t>2026-09-03T13:12:51.214813</t>
  </si>
  <si>
    <t>2026-09-03T13:12:51.197744</t>
  </si>
  <si>
    <t>2026-09-03T13:12:51.184716</t>
  </si>
  <si>
    <t>2026-09-03T13:12:51.161894</t>
  </si>
  <si>
    <t>2026-09-03T13:12:51.147963</t>
  </si>
  <si>
    <t>2026-09-03T13:12:51.120790</t>
  </si>
  <si>
    <t>2026-09-03T13:12:51.090024</t>
  </si>
  <si>
    <t>2026-09-03T13:12:51.064401</t>
  </si>
  <si>
    <t>2026-09-03T13:12:51.013542</t>
  </si>
  <si>
    <t>2026-09-03T13:12:50.952710</t>
  </si>
  <si>
    <t>2026-09-03T13:12:50.904041</t>
  </si>
  <si>
    <t>2026-09-03T13:12:50.892229</t>
  </si>
  <si>
    <t>2026-09-03T13:12:50.874578</t>
  </si>
  <si>
    <t>2026-09-03T13:12:50.861629</t>
  </si>
  <si>
    <t>2026-09-03T13:12:50.841117</t>
  </si>
  <si>
    <t>2026-09-03T13:12:50.813858</t>
  </si>
  <si>
    <t>2026-09-03T13:12:50.790717</t>
  </si>
  <si>
    <t>2026-09-03T13:12:50.762501</t>
  </si>
  <si>
    <t>2026-09-03T13:12:50.741449</t>
  </si>
  <si>
    <t>2026-09-03T13:12:50.718768</t>
  </si>
  <si>
    <t>2026-09-03T13:12:50.700276</t>
  </si>
  <si>
    <t>2026-09-03T13:12:50.686231</t>
  </si>
  <si>
    <t>2026-09-03T13:12:50.662297</t>
  </si>
  <si>
    <t>2026-09-03T13:12:50.647531</t>
  </si>
  <si>
    <t>2026-09-03T13:12:50.623249</t>
  </si>
  <si>
    <t>2026-09-03T13:12:50.611981</t>
  </si>
  <si>
    <t>2026-09-03T13:12:50.597516</t>
  </si>
  <si>
    <t>2026-09-03T13:12:50.578639</t>
  </si>
  <si>
    <t>2026-09-03T13:12:50.557694</t>
  </si>
  <si>
    <t>2026-09-03T13:12:50.542916</t>
  </si>
  <si>
    <t>2026-09-03T13:12:50.528994</t>
  </si>
  <si>
    <t>2026-09-03T13:12:50.506100</t>
  </si>
  <si>
    <t>2026-09-03T13:12:50.488240</t>
  </si>
  <si>
    <t>2026-09-03T13:12:50.470900</t>
  </si>
  <si>
    <t>2026-09-03T13:12:50.453472</t>
  </si>
  <si>
    <t>2026-09-03T13:12:50.432480</t>
  </si>
  <si>
    <t>2026-09-03T13:12:50.419650</t>
  </si>
  <si>
    <t>2026-09-03T13:12:50.411843</t>
  </si>
  <si>
    <t>2026-09-03T13:12:50.391600</t>
  </si>
  <si>
    <t>2026-09-03T13:12:50.372868</t>
  </si>
  <si>
    <t>2026-09-03T13:12:50.354071</t>
  </si>
  <si>
    <t>2026-09-03T13:12:50.327736</t>
  </si>
  <si>
    <t>2026-09-03T13:12:50.311704</t>
  </si>
  <si>
    <t>2026-09-03T13:12:50.274146</t>
  </si>
  <si>
    <t>2026-09-03T13:12:50.258636</t>
  </si>
  <si>
    <t>2026-09-03T13:12:50.234483</t>
  </si>
  <si>
    <t>2026-09-03T13:12:50.225002</t>
  </si>
  <si>
    <t>2026-09-03T13:12:50.205793</t>
  </si>
  <si>
    <t>2026-09-03T13:12:50.192089</t>
  </si>
  <si>
    <t>2026-09-03T13:12:50.169991</t>
  </si>
  <si>
    <t>2026-09-03T13:12:50.144868</t>
  </si>
  <si>
    <t>2026-09-03T13:12:50.131456</t>
  </si>
  <si>
    <t>2026-09-03T13:12:50.113560</t>
  </si>
  <si>
    <t>2026-09-03T13:12:50.100246</t>
  </si>
  <si>
    <t>2026-09-03T13:12:50.083032</t>
  </si>
  <si>
    <t>2026-09-03T13:12:50.063588</t>
  </si>
  <si>
    <t>2026-09-03T13:12:50.050604</t>
  </si>
  <si>
    <t>2026-09-03T13:12:50.022092</t>
  </si>
  <si>
    <t>2026-09-03T13:12:50.005518</t>
  </si>
  <si>
    <t>2026-09-03T13:12:49.981976</t>
  </si>
  <si>
    <t>2026-09-03T13:12:49.960575</t>
  </si>
  <si>
    <t>2026-09-03T13:12:49.943063</t>
  </si>
  <si>
    <t>2026-09-03T13:12:49.921917</t>
  </si>
  <si>
    <t>2026-09-03T13:12:49.902190</t>
  </si>
  <si>
    <t>2026-09-03T13:12:49.873158</t>
  </si>
  <si>
    <t>2026-09-03T13:12:49.865298</t>
  </si>
  <si>
    <t>2026-09-03T13:12:49.844920</t>
  </si>
  <si>
    <t>2026-09-03T13:12:49.826372</t>
  </si>
  <si>
    <t>2026-09-03T13:12:40.471902</t>
  </si>
  <si>
    <t>2026-09-03T13:12:40.460127</t>
  </si>
  <si>
    <t>2026-09-03T13:12:40.441085</t>
  </si>
  <si>
    <t>2026-09-03T13:12:40.420370</t>
  </si>
  <si>
    <t>2026-09-03T13:12:40.406944</t>
  </si>
  <si>
    <t>2026-09-03T13:12:40.389935</t>
  </si>
  <si>
    <t>2026-09-03T13:12:40.362682</t>
  </si>
  <si>
    <t>2026-09-03T13:12:40.337505</t>
  </si>
  <si>
    <t>2026-09-03T13:12:40.309202</t>
  </si>
  <si>
    <t>2026-09-03T13:12:40.281677</t>
  </si>
  <si>
    <t>2026-09-03T13:12:40.266626</t>
  </si>
  <si>
    <t>2026-09-03T13:12:40.245089</t>
  </si>
  <si>
    <t>2026-09-03T13:12:40.231594</t>
  </si>
  <si>
    <t>2026-09-03T13:12:40.217551</t>
  </si>
  <si>
    <t>2026-09-03T13:12:40.197623</t>
  </si>
  <si>
    <t>2026-09-03T13:12:40.180595</t>
  </si>
  <si>
    <t>2026-09-03T13:12:40.162928</t>
  </si>
  <si>
    <t>2026-09-03T13:12:40.149999</t>
  </si>
  <si>
    <t>2026-09-03T13:12:40.125187</t>
  </si>
  <si>
    <t>2026-09-03T13:12:40.115266</t>
  </si>
  <si>
    <t>2026-09-03T13:12:40.090128</t>
  </si>
  <si>
    <t>2026-09-03T13:12:40.070176</t>
  </si>
  <si>
    <t>2026-09-03T13:12:40.052233</t>
  </si>
  <si>
    <t>2026-09-03T13:12:40.041487</t>
  </si>
  <si>
    <t>2026-09-03T13:12:40.023262</t>
  </si>
  <si>
    <t>2026-09-03T13:12:40.003196</t>
  </si>
  <si>
    <t>2026-09-03T13:12:39.986609</t>
  </si>
  <si>
    <t>2026-09-03T13:12:39.970970</t>
  </si>
  <si>
    <t>2026-09-03T13:12:39.952131</t>
  </si>
  <si>
    <t>2026-09-03T13:12:39.931963</t>
  </si>
  <si>
    <t>2026-09-03T13:12:39.920157</t>
  </si>
  <si>
    <t>2026-09-03T13:12:39.906022</t>
  </si>
  <si>
    <t>2026-09-03T13:12:39.886340</t>
  </si>
  <si>
    <t>2026-09-03T13:12:39.862557</t>
  </si>
  <si>
    <t>2026-09-03T13:12:39.837404</t>
  </si>
  <si>
    <t>2026-09-03T13:12:39.803699</t>
  </si>
  <si>
    <t>2026-09-03T13:12:39.787970</t>
  </si>
  <si>
    <t>2026-09-03T13:12:39.764729</t>
  </si>
  <si>
    <t>2026-09-03T13:12:39.745310</t>
  </si>
  <si>
    <t>2026-09-03T13:12:39.718702</t>
  </si>
  <si>
    <t>2026-09-03T13:12:39.701190</t>
  </si>
  <si>
    <t>2026-09-03T13:12:39.656414</t>
  </si>
  <si>
    <t>2026-09-03T13:12:39.629719</t>
  </si>
  <si>
    <t>2026-09-03T13:12:39.606724</t>
  </si>
  <si>
    <t>2026-09-03T13:12:39.573452</t>
  </si>
  <si>
    <t>2026-09-03T13:12:39.522803</t>
  </si>
  <si>
    <t>2026-09-03T13:12:39.485932</t>
  </si>
  <si>
    <t>2026-09-03T13:12:39.458583</t>
  </si>
  <si>
    <t>2026-09-03T13:12:39.433540</t>
  </si>
  <si>
    <t>2026-09-03T13:12:39.411860</t>
  </si>
  <si>
    <t>2026-09-03T13:12:39.390675</t>
  </si>
  <si>
    <t>2026-09-03T13:12:39.375559</t>
  </si>
  <si>
    <t>2026-09-03T13:12:39.355821</t>
  </si>
  <si>
    <t>2026-09-03T13:12:39.329703</t>
  </si>
  <si>
    <t>2026-09-03T13:12:39.303819</t>
  </si>
  <si>
    <t>2026-09-03T13:12:39.276899</t>
  </si>
  <si>
    <t>2026-09-03T13:12:39.246001</t>
  </si>
  <si>
    <t>2026-09-03T13:12:39.233046</t>
  </si>
  <si>
    <t>2026-09-03T13:12:39.216220</t>
  </si>
  <si>
    <t>2026-09-03T13:12:39.197086</t>
  </si>
  <si>
    <t>2026-09-03T13:12:39.177676</t>
  </si>
  <si>
    <t>2026-09-03T13:12:39.156292</t>
  </si>
  <si>
    <t>2026-09-03T13:12:39.135490</t>
  </si>
  <si>
    <t>2026-09-03T13:12:39.119622</t>
  </si>
  <si>
    <t>2026-09-03T13:12:39.100698</t>
  </si>
  <si>
    <t>2026-09-03T13:12:39.070550</t>
  </si>
  <si>
    <t>2026-09-03T13:12:39.045022</t>
  </si>
  <si>
    <t>2026-09-03T13:12:39.015751</t>
  </si>
  <si>
    <t>2026-09-03T13:12:38.988921</t>
  </si>
  <si>
    <t>2026-09-03T13:12:38.971944</t>
  </si>
  <si>
    <t>2026-09-03T13:12:38.943797</t>
  </si>
  <si>
    <t>2026-09-03T13:12:38.933995</t>
  </si>
  <si>
    <t>2026-09-03T13:12:38.901477</t>
  </si>
  <si>
    <t>2026-09-03T13:12:38.883770</t>
  </si>
  <si>
    <t>2026-09-03T13:12:38.862017</t>
  </si>
  <si>
    <t>2026-09-03T13:12:19.594194</t>
  </si>
  <si>
    <t>2026-09-03T13:12:19.572277</t>
  </si>
  <si>
    <t>2026-09-03T13:12:07.969696</t>
  </si>
  <si>
    <t>2026-09-03T13:12:07.957435</t>
  </si>
  <si>
    <t>2026-09-03T13:12:07.949063</t>
  </si>
  <si>
    <t>2026-09-03T13:12:07.938012</t>
  </si>
  <si>
    <t>2026-09-03T13:12:03.338526</t>
  </si>
  <si>
    <t>2026-09-03T13:12:03.325777</t>
  </si>
  <si>
    <t>2026-09-03T13:12:03.301410</t>
  </si>
  <si>
    <t>2026-09-03T13:12:03.271110</t>
  </si>
  <si>
    <t>2026-09-03T13:12:03.241367</t>
  </si>
  <si>
    <t>2026-09-03T13:12:03.220817</t>
  </si>
  <si>
    <t>2026-09-03T13:12:03.199661</t>
  </si>
  <si>
    <t>2026-09-03T13:12:03.180099</t>
  </si>
  <si>
    <t>2026-09-03T13:12:03.143389</t>
  </si>
  <si>
    <t>2026-09-03T13:12:03.134265</t>
  </si>
  <si>
    <t>2026-09-03T13:12:03.095291</t>
  </si>
  <si>
    <t>2026-09-03T13:12:03.079155</t>
  </si>
  <si>
    <t>2026-09-03T13:11:55.705743</t>
  </si>
  <si>
    <t>2026-09-03T13:11:55.690692</t>
  </si>
  <si>
    <t>2026-09-03T13:11:55.666565</t>
  </si>
  <si>
    <t>2026-09-03T13:11:46.272212</t>
  </si>
  <si>
    <t>2026-09-03T13:11:46.260859</t>
  </si>
  <si>
    <t>2026-09-03T13:11:46.244802</t>
  </si>
  <si>
    <t>2026-09-03T13:11:46.221524</t>
  </si>
  <si>
    <t>2026-09-03T13:11:46.201918</t>
  </si>
  <si>
    <t>2026-09-03T13:11:46.172857</t>
  </si>
  <si>
    <t>2026-09-03T13:11:46.159843</t>
  </si>
  <si>
    <t>2026-09-03T13:11:46.137042</t>
  </si>
  <si>
    <t>2026-09-03T13:11:46.105203</t>
  </si>
  <si>
    <t>2026-09-03T13:11:46.086490</t>
  </si>
  <si>
    <t>2026-09-03T13:11:46.056804</t>
  </si>
  <si>
    <t>2026-09-03T13:11:46.035180</t>
  </si>
  <si>
    <t>2026-09-03T13:11:46.006132</t>
  </si>
  <si>
    <t>2026-09-03T13:11:45.992833</t>
  </si>
  <si>
    <t>2026-09-03T13:11:45.965105</t>
  </si>
  <si>
    <t>2026-09-03T13:11:45.939126</t>
  </si>
  <si>
    <t>2026-09-03T13:11:45.919432</t>
  </si>
  <si>
    <t>2026-09-03T13:11:45.897545</t>
  </si>
  <si>
    <t>2026-09-03T13:11:45.873706</t>
  </si>
  <si>
    <t>2026-09-03T13:11:45.847969</t>
  </si>
  <si>
    <t>2026-09-03T13:11:45.829646</t>
  </si>
  <si>
    <t>2026-09-03T13:11:45.809591</t>
  </si>
  <si>
    <t>2026-09-03T13:11:45.786972</t>
  </si>
  <si>
    <t>2026-09-03T13:11:45.771517</t>
  </si>
  <si>
    <t>2026-09-03T13:11:45.754065</t>
  </si>
  <si>
    <t>2026-09-03T13:11:45.730653</t>
  </si>
  <si>
    <t>2026-09-03T13:11:45.714981</t>
  </si>
  <si>
    <t>2026-09-03T13:11:45.708975</t>
  </si>
  <si>
    <t>2026-09-03T13:11:45.687163</t>
  </si>
  <si>
    <t>2026-09-03T13:11:45.670442</t>
  </si>
  <si>
    <t>2026-09-03T13:11:45.648500</t>
  </si>
  <si>
    <t>2026-09-03T13:11:45.627030</t>
  </si>
  <si>
    <t>2026-09-03T13:11:45.612636</t>
  </si>
  <si>
    <t>2026-09-03T13:11:45.591747</t>
  </si>
  <si>
    <t>2026-09-03T13:11:45.571313</t>
  </si>
  <si>
    <t>2026-09-03T13:11:45.547890</t>
  </si>
  <si>
    <t>2026-09-03T13:11:45.529101</t>
  </si>
  <si>
    <t>2026-09-03T13:11:45.514540</t>
  </si>
  <si>
    <t>2026-09-03T13:11:45.492844</t>
  </si>
  <si>
    <t>2026-09-03T13:11:45.473616</t>
  </si>
  <si>
    <t>2026-09-03T13:11:45.453165</t>
  </si>
  <si>
    <t>2026-09-03T13:11:45.438639</t>
  </si>
  <si>
    <t>2026-09-03T13:11:45.412458</t>
  </si>
  <si>
    <t>2026-09-03T13:11:45.385212</t>
  </si>
  <si>
    <t>2026-09-03T13:11:45.364852</t>
  </si>
  <si>
    <t>2026-09-03T13:11:45.339883</t>
  </si>
  <si>
    <t>2026-09-03T13:11:45.326818</t>
  </si>
  <si>
    <t>2026-09-03T13:11:45.308899</t>
  </si>
  <si>
    <t>2026-09-03T13:11:45.284031</t>
  </si>
  <si>
    <t>2026-09-03T13:11:45.264052</t>
  </si>
  <si>
    <t>2026-09-03T13:11:45.253893</t>
  </si>
  <si>
    <t>2026-09-03T13:11:45.223193</t>
  </si>
  <si>
    <t>2026-09-03T13:11:45.202340</t>
  </si>
  <si>
    <t>2026-09-03T13:11:45.188511</t>
  </si>
  <si>
    <t>2026-09-03T13:11:45.164573</t>
  </si>
  <si>
    <t>2026-09-03T13:11:45.138486</t>
  </si>
  <si>
    <t>2026-09-03T13:11:45.119776</t>
  </si>
  <si>
    <t>2026-09-03T13:11:45.097744</t>
  </si>
  <si>
    <t>2026-09-03T13:11:45.083109</t>
  </si>
  <si>
    <t>2026-09-03T13:11:45.063342</t>
  </si>
  <si>
    <t>2026-09-03T13:11:45.042754</t>
  </si>
  <si>
    <t>2026-09-03T13:11:45.023065</t>
  </si>
  <si>
    <t>2026-09-03T13:11:44.999111</t>
  </si>
  <si>
    <t>2026-09-03T13:11:44.986964</t>
  </si>
  <si>
    <t>2026-09-03T13:11:44.965661</t>
  </si>
  <si>
    <t>2026-09-03T13:11:44.946110</t>
  </si>
  <si>
    <t>2026-09-03T13:11:44.921920</t>
  </si>
  <si>
    <t>2026-09-03T13:11:44.890156</t>
  </si>
  <si>
    <t>2026-09-03T13:11:44.870434</t>
  </si>
  <si>
    <t>2026-09-03T13:11:44.842332</t>
  </si>
  <si>
    <t>2026-09-03T13:11:44.809496</t>
  </si>
  <si>
    <t>2026-09-03T13:11:44.690021</t>
  </si>
  <si>
    <t>2026-09-03T13:11:44.562879</t>
  </si>
  <si>
    <t>2026-09-03T13:11:44.541819</t>
  </si>
  <si>
    <t>2026-09-03T13:11:44.504574</t>
  </si>
  <si>
    <t>2026-09-03T13:11:44.447394</t>
  </si>
  <si>
    <t>2026-09-03T13:11:44.389626</t>
  </si>
  <si>
    <t>2026-09-03T13:11:44.366554</t>
  </si>
  <si>
    <t>2026-09-03T13:11:44.335195</t>
  </si>
  <si>
    <t>2026-09-03T13:11:44.315770</t>
  </si>
  <si>
    <t>2026-09-03T13:11:44.299058</t>
  </si>
  <si>
    <t>2026-09-03T13:11:44.285447</t>
  </si>
  <si>
    <t>2026-09-03T13:11:44.265370</t>
  </si>
  <si>
    <t>2026-09-03T13:11:44.251154</t>
  </si>
  <si>
    <t>2026-09-03T13:11:44.235616</t>
  </si>
  <si>
    <t>2026-09-03T13:11:44.218260</t>
  </si>
  <si>
    <t>2026-09-03T13:11:44.201707</t>
  </si>
  <si>
    <t>2026-09-03T13:11:44.183919</t>
  </si>
  <si>
    <t>2026-09-03T13:11:44.162700</t>
  </si>
  <si>
    <t>2026-09-03T13:11:44.129771</t>
  </si>
  <si>
    <t>2026-09-03T13:11:44.112276</t>
  </si>
  <si>
    <t>2026-09-03T13:11:44.092878</t>
  </si>
  <si>
    <t>2026-09-03T13:11:44.076015</t>
  </si>
  <si>
    <t>2026-09-03T13:11:44.048020</t>
  </si>
  <si>
    <t>2026-09-03T13:11:44.029636</t>
  </si>
  <si>
    <t>2026-09-03T13:11:44.006589</t>
  </si>
  <si>
    <t>2026-09-03T13:11:43.981089</t>
  </si>
  <si>
    <t>2026-09-03T13:11:43.947495</t>
  </si>
  <si>
    <t>2026-09-03T13:11:43.902862</t>
  </si>
  <si>
    <t>2026-09-03T13:11:43.858965</t>
  </si>
  <si>
    <t>2026-09-03T13:11:43.830134</t>
  </si>
  <si>
    <t>2026-09-03T13:11:32.502211</t>
  </si>
  <si>
    <t>2026-09-03T13:11:32.490669</t>
  </si>
  <si>
    <t>2026-09-03T13:11:32.452734</t>
  </si>
  <si>
    <t>2026-09-03T13:11:32.434284</t>
  </si>
  <si>
    <t>2026-09-03T13:11:32.407069</t>
  </si>
  <si>
    <t>2026-09-03T13:11:32.386579</t>
  </si>
  <si>
    <t>2026-09-03T13:11:32.370876</t>
  </si>
  <si>
    <t>2026-09-03T13:11:32.357429</t>
  </si>
  <si>
    <t>2026-09-03T13:11:32.340393</t>
  </si>
  <si>
    <t>2026-09-03T13:11:32.323615</t>
  </si>
  <si>
    <t>2026-09-03T13:11:32.310216</t>
  </si>
  <si>
    <t>2026-09-03T13:11:32.290954</t>
  </si>
  <si>
    <t>2026-09-03T13:11:32.275513</t>
  </si>
  <si>
    <t>2026-09-03T13:11:32.258675</t>
  </si>
  <si>
    <t>2026-09-03T13:11:32.239417</t>
  </si>
  <si>
    <t>2026-09-03T13:11:32.206173</t>
  </si>
  <si>
    <t>2026-09-03T13:11:32.179514</t>
  </si>
  <si>
    <t>2026-09-03T13:11:32.154948</t>
  </si>
  <si>
    <t>2026-09-03T13:11:32.142131</t>
  </si>
  <si>
    <t>2026-09-03T13:11:32.128395</t>
  </si>
  <si>
    <t>2026-09-03T13:11:32.117165</t>
  </si>
  <si>
    <t>2026-09-03T13:11:32.099105</t>
  </si>
  <si>
    <t>2026-09-03T13:11:32.071855</t>
  </si>
  <si>
    <t>2026-09-03T13:11:32.046092</t>
  </si>
  <si>
    <t>2026-09-03T13:11:32.017185</t>
  </si>
  <si>
    <t>2026-09-03T13:11:08.159366</t>
  </si>
  <si>
    <t>2026-09-03T13:11:08.138028</t>
  </si>
  <si>
    <t>2026-09-03T13:11:08.104576</t>
  </si>
  <si>
    <t>2026-09-03T13:11:08.082037</t>
  </si>
  <si>
    <t>2026-09-03T13:11:08.052625</t>
  </si>
  <si>
    <t>2026-09-03T13:11:08.031129</t>
  </si>
  <si>
    <t>2026-09-03T13:11:08.003322</t>
  </si>
  <si>
    <t>2026-09-03T13:11:07.981573</t>
  </si>
  <si>
    <t>2026-09-03T13:11:07.955763</t>
  </si>
  <si>
    <t>2026-09-03T13:11:07.914373</t>
  </si>
  <si>
    <t>2026-09-03T13:11:07.883173</t>
  </si>
  <si>
    <t>2026-09-03T13:11:07.863948</t>
  </si>
  <si>
    <t>2026-09-03T13:11:07.837150</t>
  </si>
  <si>
    <t>2026-09-03T13:11:07.825347</t>
  </si>
  <si>
    <t>2026-09-03T13:11:07.805522</t>
  </si>
  <si>
    <t>2026-09-03T13:11:07.786822</t>
  </si>
  <si>
    <t>2026-09-03T13:11:07.764224</t>
  </si>
  <si>
    <t>2026-09-03T13:11:07.745842</t>
  </si>
  <si>
    <t>2026-09-03T13:11:07.729054</t>
  </si>
  <si>
    <t>2026-09-03T13:11:07.711271</t>
  </si>
  <si>
    <t>2026-09-03T13:11:07.684137</t>
  </si>
  <si>
    <t>2026-09-03T13:11:07.644452</t>
  </si>
  <si>
    <t>2026-09-03T13:11:07.614427</t>
  </si>
  <si>
    <t>2026-09-03T13:11:07.568152</t>
  </si>
  <si>
    <t>2026-09-03T13:11:07.523982</t>
  </si>
  <si>
    <t>2026-09-03T13:11:07.467762</t>
  </si>
  <si>
    <t>2026-09-03T13:11:07.430109</t>
  </si>
  <si>
    <t>2026-09-03T13:11:07.364408</t>
  </si>
  <si>
    <t>2026-09-03T13:11:07.312691</t>
  </si>
  <si>
    <t>2026-09-03T13:11:07.244883</t>
  </si>
  <si>
    <t>2026-09-03T13:11:07.217745</t>
  </si>
  <si>
    <t>2026-09-03T13:11:07.175072</t>
  </si>
  <si>
    <t>2026-09-03T13:11:07.142474</t>
  </si>
  <si>
    <t>2026-09-03T13:11:07.113330</t>
  </si>
  <si>
    <t>2026-09-03T13:11:07.085178</t>
  </si>
  <si>
    <t>2026-09-03T13:11:07.059663</t>
  </si>
  <si>
    <t>2026-09-03T13:11:07.034606</t>
  </si>
  <si>
    <t>2026-09-03T13:11:07.008723</t>
  </si>
  <si>
    <t>2026-09-03T13:11:06.983314</t>
  </si>
  <si>
    <t>2026-09-03T13:11:06.954933</t>
  </si>
  <si>
    <t>2026-09-03T13:11:06.920722</t>
  </si>
  <si>
    <t>2026-09-03T13:11:06.892359</t>
  </si>
  <si>
    <t>2026-09-03T13:11:06.849509</t>
  </si>
  <si>
    <t>2026-09-03T13:11:06.821397</t>
  </si>
  <si>
    <t>2026-09-03T13:11:06.798749</t>
  </si>
  <si>
    <t>2026-09-03T13:11:06.766806</t>
  </si>
  <si>
    <t>2026-09-03T13:11:06.743097</t>
  </si>
  <si>
    <t>2026-09-03T13:11:06.688965</t>
  </si>
  <si>
    <t>2026-09-03T13:11:06.648630</t>
  </si>
  <si>
    <t>2026-09-03T13:11:06.632081</t>
  </si>
  <si>
    <t>2026-09-03T13:11:06.608126</t>
  </si>
  <si>
    <t>2026-09-03T13:11:06.571488</t>
  </si>
  <si>
    <t>2026-09-03T13:11:06.557283</t>
  </si>
  <si>
    <t>2026-09-03T13:11:06.537858</t>
  </si>
  <si>
    <t>2026-09-03T13:11:06.514839</t>
  </si>
  <si>
    <t>2026-09-03T13:11:06.496363</t>
  </si>
  <si>
    <t>2026-09-03T13:11:06.473860</t>
  </si>
  <si>
    <t>2026-09-03T13:11:06.452578</t>
  </si>
  <si>
    <t>2026-09-03T13:11:06.425529</t>
  </si>
  <si>
    <t>2026-09-03T13:11:06.398319</t>
  </si>
  <si>
    <t>2026-09-03T13:11:06.363252</t>
  </si>
  <si>
    <t>2026-09-03T13:11:06.325461</t>
  </si>
  <si>
    <t>2026-09-03T13:11:06.301749</t>
  </si>
  <si>
    <t>2026-09-03T13:11:06.272990</t>
  </si>
  <si>
    <t>2026-09-03T13:11:06.246971</t>
  </si>
  <si>
    <t>2026-09-03T13:11:06.217471</t>
  </si>
  <si>
    <t>2026-09-03T13:11:06.197217</t>
  </si>
  <si>
    <t>2026-09-03T13:11:06.170809</t>
  </si>
  <si>
    <t>2026-09-03T13:11:06.132193</t>
  </si>
  <si>
    <t>2026-09-03T13:11:06.110649</t>
  </si>
  <si>
    <t>2026-09-03T13:11:06.072838</t>
  </si>
  <si>
    <t>2026-09-03T13:11:06.035004</t>
  </si>
  <si>
    <t>2026-09-03T13:11:06.007101</t>
  </si>
  <si>
    <t>2026-09-03T13:11:05.974023</t>
  </si>
  <si>
    <t>2026-09-03T13:11:05.949303</t>
  </si>
  <si>
    <t>2026-09-03T13:11:05.926798</t>
  </si>
  <si>
    <t>2026-09-03T13:11:05.899879</t>
  </si>
  <si>
    <t>2026-09-03T13:11:05.869135</t>
  </si>
  <si>
    <t>2026-09-03T13:11:05.839214</t>
  </si>
  <si>
    <t>2026-09-03T13:11:05.780230</t>
  </si>
  <si>
    <t>2026-09-03T13:11:05.737700</t>
  </si>
  <si>
    <t>2026-09-03T13:11:05.666146</t>
  </si>
  <si>
    <t>2026-09-03T13:11:05.629834</t>
  </si>
  <si>
    <t>2026-09-03T13:11:05.584573</t>
  </si>
  <si>
    <t>2026-09-03T13:11:05.551829</t>
  </si>
  <si>
    <t>2026-09-03T13:11:05.520226</t>
  </si>
  <si>
    <t>2026-09-03T13:11:05.480450</t>
  </si>
  <si>
    <t>2026-09-03T13:11:05.448712</t>
  </si>
  <si>
    <t>2026-09-03T13:11:05.426739</t>
  </si>
  <si>
    <t>2026-09-03T13:11:05.397014</t>
  </si>
  <si>
    <t>2026-09-03T13:11:05.299853</t>
  </si>
  <si>
    <t>2026-09-03T13:11:05.261042</t>
  </si>
  <si>
    <t>2026-09-03T13:11:05.231759</t>
  </si>
  <si>
    <t>2026-09-03T13:11:05.202780</t>
  </si>
  <si>
    <t>2026-09-03T13:11:05.175798</t>
  </si>
  <si>
    <t>2026-09-03T13:11:05.146570</t>
  </si>
  <si>
    <t>2026-09-03T13:11:05.117493</t>
  </si>
  <si>
    <t>2026-09-03T13:11:05.080143</t>
  </si>
  <si>
    <t>2026-09-03T13:11:05.043446</t>
  </si>
  <si>
    <t>2026-09-03T13:11:04.990083</t>
  </si>
  <si>
    <t>2026-09-03T13:11:04.965997</t>
  </si>
  <si>
    <t>2026-09-03T13:11:04.945628</t>
  </si>
  <si>
    <t>2026-09-03T13:11:04.902053</t>
  </si>
  <si>
    <t>2026-09-03T13:11:04.849507</t>
  </si>
  <si>
    <t>2026-09-03T13:11:04.765655</t>
  </si>
  <si>
    <t>2026-09-03T13:11:04.721896</t>
  </si>
  <si>
    <t>2026-09-03T13:11:04.657656</t>
  </si>
  <si>
    <t>2026-09-03T13:11:04.572312</t>
  </si>
  <si>
    <t>2026-09-03T13:11:04.495417</t>
  </si>
  <si>
    <t>2026-09-03T13:11:04.403208</t>
  </si>
  <si>
    <t>2026-09-03T13:11:04.316590</t>
  </si>
  <si>
    <t>2026-09-03T13:11:04.260818</t>
  </si>
  <si>
    <t>2026-09-03T13:11:04.236282</t>
  </si>
  <si>
    <t>2026-09-03T13:11:04.147821</t>
  </si>
  <si>
    <t>2026-09-03T13:11:04.096446</t>
  </si>
  <si>
    <t>2026-09-03T13:11:04.056984</t>
  </si>
  <si>
    <t>2026-09-03T13:11:03.984326</t>
  </si>
  <si>
    <t>2026-09-03T13:11:03.885181</t>
  </si>
  <si>
    <t>2026-09-03T13:11:03.842485</t>
  </si>
  <si>
    <t>2026-09-03T13:11:03.780996</t>
  </si>
  <si>
    <t>2026-09-03T13:11:03.745848</t>
  </si>
  <si>
    <t>2026-09-03T13:11:03.698106</t>
  </si>
  <si>
    <t>2026-09-03T13:11:03.621161</t>
  </si>
  <si>
    <t>2026-09-03T13:11:03.542673</t>
  </si>
  <si>
    <t>2026-09-03T13:11:03.482052</t>
  </si>
  <si>
    <t>2026-09-03T13:11:03.357737</t>
  </si>
  <si>
    <t>2026-09-03T13:11:03.329934</t>
  </si>
  <si>
    <t>2026-09-03T13:11:03.309669</t>
  </si>
  <si>
    <t>2026-09-03T13:11:03.293533</t>
  </si>
  <si>
    <t>2026-09-03T13:11:03.271573</t>
  </si>
  <si>
    <t>2026-09-03T13:11:03.259070</t>
  </si>
  <si>
    <t>2026-09-03T13:11:03.238667</t>
  </si>
  <si>
    <t>2026-09-03T13:11:03.223766</t>
  </si>
  <si>
    <t>2026-09-03T13:11:03.208567</t>
  </si>
  <si>
    <t>2026-09-03T13:11:03.189290</t>
  </si>
  <si>
    <t>2026-09-03T13:11:03.174446</t>
  </si>
  <si>
    <t>2026-09-03T13:11:03.156096</t>
  </si>
  <si>
    <t>2026-09-03T13:11:03.137262</t>
  </si>
  <si>
    <t>2026-09-03T13:11:03.114175</t>
  </si>
  <si>
    <t>2026-09-03T13:11:03.097143</t>
  </si>
  <si>
    <t>2026-09-03T13:11:03.073407</t>
  </si>
  <si>
    <t>2026-09-03T13:11:03.059552</t>
  </si>
  <si>
    <t>2026-09-03T13:11:03.039666</t>
  </si>
  <si>
    <t>2026-09-03T13:11:03.028014</t>
  </si>
  <si>
    <t>2026-09-03T13:11:03.009711</t>
  </si>
  <si>
    <t>2026-09-03T13:11:02.993367</t>
  </si>
  <si>
    <t>2026-09-03T13:11:02.974742</t>
  </si>
  <si>
    <t>2026-09-03T13:11:02.957161</t>
  </si>
  <si>
    <t>2026-09-03T13:11:02.939792</t>
  </si>
  <si>
    <t>2026-09-03T13:11:02.918988</t>
  </si>
  <si>
    <t>2026-09-03T13:11:02.904831</t>
  </si>
  <si>
    <t>2026-09-03T13:11:02.884398</t>
  </si>
  <si>
    <t>2026-09-03T13:11:02.860554</t>
  </si>
  <si>
    <t>2026-09-03T13:11:02.840588</t>
  </si>
  <si>
    <t>2026-09-03T13:11:02.815033</t>
  </si>
  <si>
    <t>2026-09-03T13:11:02.776779</t>
  </si>
  <si>
    <t>2026-09-03T13:11:02.740100</t>
  </si>
  <si>
    <t>2026-09-03T13:11:02.638810</t>
  </si>
  <si>
    <t>2026-09-03T13:11:02.565225</t>
  </si>
  <si>
    <t>2026-09-03T13:11:02.514845</t>
  </si>
  <si>
    <t>2026-09-03T13:11:02.494888</t>
  </si>
  <si>
    <t>2026-09-03T13:11:02.462847</t>
  </si>
  <si>
    <t>2026-09-03T13:11:02.435557</t>
  </si>
  <si>
    <t>2026-09-03T13:11:02.413190</t>
  </si>
  <si>
    <t>2026-09-03T13:11:02.397076</t>
  </si>
  <si>
    <t>2026-09-03T13:11:02.382945</t>
  </si>
  <si>
    <t>2026-09-03T13:11:02.360860</t>
  </si>
  <si>
    <t>2026-09-03T13:11:02.342859</t>
  </si>
  <si>
    <t>2026-09-03T13:11:02.315026</t>
  </si>
  <si>
    <t>2026-09-03T13:11:02.297699</t>
  </si>
  <si>
    <t>2026-09-03T13:11:02.282625</t>
  </si>
  <si>
    <t>2026-09-03T13:11:02.267848</t>
  </si>
  <si>
    <t>2026-09-03T13:11:02.252168</t>
  </si>
  <si>
    <t>2026-09-03T13:11:02.231150</t>
  </si>
  <si>
    <t>2026-09-03T13:11:02.218335</t>
  </si>
  <si>
    <t>2026-09-03T13:11:02.201916</t>
  </si>
  <si>
    <t>2026-09-03T13:11:02.184900</t>
  </si>
  <si>
    <t>2026-09-03T13:11:02.165416</t>
  </si>
  <si>
    <t>2026-09-03T13:11:02.146471</t>
  </si>
  <si>
    <t>2026-09-03T13:11:02.127811</t>
  </si>
  <si>
    <t>2026-09-03T13:11:02.110949</t>
  </si>
  <si>
    <t>2026-09-03T13:11:02.092578</t>
  </si>
  <si>
    <t>2026-09-03T13:11:02.072625</t>
  </si>
  <si>
    <t>2026-09-03T13:11:02.052329</t>
  </si>
  <si>
    <t>2026-09-03T13:11:02.030589</t>
  </si>
  <si>
    <t>2026-09-03T13:11:02.011220</t>
  </si>
  <si>
    <t>2026-09-03T13:11:01.980266</t>
  </si>
  <si>
    <t>2026-09-03T13:11:01.955503</t>
  </si>
  <si>
    <t>2026-09-03T13:11:01.939251</t>
  </si>
  <si>
    <t>2026-09-03T13:11:01.914291</t>
  </si>
  <si>
    <t>2026-09-03T13:11:01.895521</t>
  </si>
  <si>
    <t>2026-09-03T13:10:53.226554</t>
  </si>
  <si>
    <t>2026-09-03T13:10:53.207407</t>
  </si>
  <si>
    <t>2026-09-03T13:10:53.192889</t>
  </si>
  <si>
    <t>2026-09-03T13:10:53.181221</t>
  </si>
  <si>
    <t>2026-09-03T13:10:53.167943</t>
  </si>
  <si>
    <t>2026-09-03T13:10:53.154659</t>
  </si>
  <si>
    <t>2026-09-03T13:10:53.142605</t>
  </si>
  <si>
    <t>2026-09-03T13:10:53.131529</t>
  </si>
  <si>
    <t>2026-09-03T13:10:53.122559</t>
  </si>
  <si>
    <t>2026-09-03T13:10:53.108534</t>
  </si>
  <si>
    <t>2026-09-03T13:10:53.098385</t>
  </si>
  <si>
    <t>2026-09-03T13:10:53.087657</t>
  </si>
  <si>
    <t>2026-09-03T13:10:53.074803</t>
  </si>
  <si>
    <t>2026-09-03T13:10:53.060467</t>
  </si>
  <si>
    <t>2026-09-03T13:10:53.046070</t>
  </si>
  <si>
    <t>2026-09-03T13:10:53.032310</t>
  </si>
  <si>
    <t>2026-09-03T13:10:53.017603</t>
  </si>
  <si>
    <t>2026-09-03T13:10:53.005610</t>
  </si>
  <si>
    <t>2026-09-03T13:10:52.991224</t>
  </si>
  <si>
    <t>2026-09-03T13:10:52.976378</t>
  </si>
  <si>
    <t>2026-09-03T13:10:52.960953</t>
  </si>
  <si>
    <t>2026-09-03T13:10:52.947982</t>
  </si>
  <si>
    <t>2026-09-03T13:10:52.925783</t>
  </si>
  <si>
    <t>2026-09-03T13:10:52.899704</t>
  </si>
  <si>
    <t>2026-09-03T13:10:52.873848</t>
  </si>
  <si>
    <t>2026-09-03T13:10:52.861468</t>
  </si>
  <si>
    <t>2026-09-03T13:07:40.191419</t>
  </si>
  <si>
    <t>2026-09-03T13:07:32.250202</t>
  </si>
  <si>
    <t>2026-09-03T13:07:32.232199</t>
  </si>
  <si>
    <t>2026-09-03T13:07:32.214758</t>
  </si>
  <si>
    <t>2026-09-03T13:07:32.196308</t>
  </si>
  <si>
    <t>2026-09-03T13:06:07.557565</t>
  </si>
  <si>
    <t>2026-09-03T13:05:22.860892</t>
  </si>
  <si>
    <t>2026-09-03T13:05:22.842877</t>
  </si>
  <si>
    <t>2026-09-03T13:05:22.820542</t>
  </si>
  <si>
    <t>2026-09-03T13:05:22.798314</t>
  </si>
  <si>
    <t>2026-09-03T13:05:22.779744</t>
  </si>
  <si>
    <t>2026-09-03T13:05:22.766445</t>
  </si>
  <si>
    <t>2026-09-03T13:05:22.749981</t>
  </si>
  <si>
    <t>2026-09-03T13:05:22.723966</t>
  </si>
  <si>
    <t>2026-09-03T13:05:22.710956</t>
  </si>
  <si>
    <t>2026-09-03T13:05:22.678412</t>
  </si>
  <si>
    <t>2026-09-03T13:05:22.671409</t>
  </si>
  <si>
    <t>2026-09-03T13:05:22.652643</t>
  </si>
  <si>
    <t>2026-09-03T13:05:22.637393</t>
  </si>
  <si>
    <t>2026-09-03T13:05:22.605613</t>
  </si>
  <si>
    <t>2026-09-03T13:05:22.574232</t>
  </si>
  <si>
    <t>2026-09-03T13:05:22.564659</t>
  </si>
  <si>
    <t>2026-09-03T13:05:22.529488</t>
  </si>
  <si>
    <t>2026-09-03T13:05:22.513925</t>
  </si>
  <si>
    <t>2026-09-03T13:05:22.490735</t>
  </si>
  <si>
    <t>2026-09-03T13:05:22.477227</t>
  </si>
  <si>
    <t>2026-09-03T13:05:22.451997</t>
  </si>
  <si>
    <t>2026-09-03T13:05:22.431403</t>
  </si>
  <si>
    <t>2026-09-03T13:05:22.411474</t>
  </si>
  <si>
    <t>2026-09-03T13:05:22.377094</t>
  </si>
  <si>
    <t>2026-09-03T13:05:22.345664</t>
  </si>
  <si>
    <t>2026-09-03T13:05:22.328038</t>
  </si>
  <si>
    <t>2026-09-03T13:05:22.307726</t>
  </si>
  <si>
    <t>2026-09-03T13:05:22.277937</t>
  </si>
  <si>
    <t>2026-09-03T13:05:22.259378</t>
  </si>
  <si>
    <t>2026-09-03T13:05:22.240764</t>
  </si>
  <si>
    <t>2026-09-03T13:05:22.224394</t>
  </si>
  <si>
    <t>2026-09-03T13:05:22.199488</t>
  </si>
  <si>
    <t>2026-09-03T13:05:22.171438</t>
  </si>
  <si>
    <t>2026-09-03T13:05:22.152806</t>
  </si>
  <si>
    <t>2026-09-03T13:05:22.138777</t>
  </si>
  <si>
    <t>2026-09-03T13:05:22.115796</t>
  </si>
  <si>
    <t>2026-09-03T13:05:22.103844</t>
  </si>
  <si>
    <t>2026-09-03T13:05:22.083489</t>
  </si>
  <si>
    <t>2026-09-03T13:05:22.063499</t>
  </si>
  <si>
    <t>2026-09-03T13:05:22.045620</t>
  </si>
  <si>
    <t>2026-09-03T13:05:22.027807</t>
  </si>
  <si>
    <t>2026-09-03T13:05:22.012907</t>
  </si>
  <si>
    <t>2026-09-03T13:05:22.000028</t>
  </si>
  <si>
    <t>2026-09-03T13:05:21.979392</t>
  </si>
  <si>
    <t>2026-09-03T13:05:21.965563</t>
  </si>
  <si>
    <t>2026-09-03T13:05:21.951507</t>
  </si>
  <si>
    <t>2026-09-03T13:05:21.934037</t>
  </si>
  <si>
    <t>2026-09-03T13:05:21.922590</t>
  </si>
  <si>
    <t>2026-09-03T13:05:21.880724</t>
  </si>
  <si>
    <t>2026-09-03T13:05:21.869453</t>
  </si>
  <si>
    <t>2026-09-03T13:05:21.797005</t>
  </si>
  <si>
    <t>2026-09-03T13:05:21.735399</t>
  </si>
  <si>
    <t>2026-09-03T13:05:21.688535</t>
  </si>
  <si>
    <t>2026-09-03T13:05:21.672512</t>
  </si>
  <si>
    <t>2026-09-03T13:05:21.659509</t>
  </si>
  <si>
    <t>2026-09-03T13:05:21.649019</t>
  </si>
  <si>
    <t>2026-09-03T13:05:21.626412</t>
  </si>
  <si>
    <t>2026-09-03T13:05:21.611482</t>
  </si>
  <si>
    <t>2026-09-03T13:05:21.592145</t>
  </si>
  <si>
    <t>2026-09-03T13:05:21.577484</t>
  </si>
  <si>
    <t>2026-09-03T13:05:21.562833</t>
  </si>
  <si>
    <t>2026-09-03T13:05:21.541686</t>
  </si>
  <si>
    <t>2026-09-03T13:05:21.527004</t>
  </si>
  <si>
    <t>2026-09-03T13:05:21.504799</t>
  </si>
  <si>
    <t>2026-09-03T13:05:21.495914</t>
  </si>
  <si>
    <t>2026-09-03T13:05:21.479530</t>
  </si>
  <si>
    <t>2026-09-03T13:05:21.466127</t>
  </si>
  <si>
    <t>2026-09-03T13:05:21.452528</t>
  </si>
  <si>
    <t>2026-09-03T13:05:21.438557</t>
  </si>
  <si>
    <t>2026-09-03T13:05:21.423037</t>
  </si>
  <si>
    <t>2026-09-03T13:05:21.412978</t>
  </si>
  <si>
    <t>2026-09-03T13:05:21.394501</t>
  </si>
  <si>
    <t>2026-09-03T13:05:21.383505</t>
  </si>
  <si>
    <t>2026-09-03T13:05:21.364899</t>
  </si>
  <si>
    <t>2026-09-03T13:05:21.355966</t>
  </si>
  <si>
    <t>2026-09-03T13:05:21.333076</t>
  </si>
  <si>
    <t>2026-09-03T13:05:21.314934</t>
  </si>
  <si>
    <t>2026-09-03T13:05:21.282779</t>
  </si>
  <si>
    <t>2026-09-03T13:05:21.264013</t>
  </si>
  <si>
    <t>2026-09-03T13:05:21.243298</t>
  </si>
  <si>
    <t>2026-09-03T13:05:21.225862</t>
  </si>
  <si>
    <t>2026-09-03T13:05:21.208084</t>
  </si>
  <si>
    <t>2026-09-03T13:05:21.194213</t>
  </si>
  <si>
    <t>2026-09-03T13:05:21.175908</t>
  </si>
  <si>
    <t>2026-09-03T13:05:21.154547</t>
  </si>
  <si>
    <t>2026-09-03T13:05:21.119381</t>
  </si>
  <si>
    <t>2026-09-03T13:05:21.096355</t>
  </si>
  <si>
    <t>2026-09-03T13:05:21.067365</t>
  </si>
  <si>
    <t>2026-09-03T13:05:21.040781</t>
  </si>
  <si>
    <t>2026-09-03T13:05:21.020157</t>
  </si>
  <si>
    <t>2026-09-03T13:05:20.979525</t>
  </si>
  <si>
    <t>2026-09-03T13:05:20.957568</t>
  </si>
  <si>
    <t>2026-09-03T13:05:20.930464</t>
  </si>
  <si>
    <t>2026-09-03T13:05:20.881103</t>
  </si>
  <si>
    <t>2026-09-03T13:05:20.848770</t>
  </si>
  <si>
    <t>2026-09-03T13:05:20.826150</t>
  </si>
  <si>
    <t>2026-09-03T13:05:20.793199</t>
  </si>
  <si>
    <t>2026-09-03T13:05:20.771495</t>
  </si>
  <si>
    <t>2026-09-03T13:05:20.741093</t>
  </si>
  <si>
    <t>2026-09-03T13:05:20.727270</t>
  </si>
  <si>
    <t>2026-09-03T13:05:20.702015</t>
  </si>
  <si>
    <t>2026-09-03T13:05:20.679203</t>
  </si>
  <si>
    <t>2026-09-03T13:05:20.657678</t>
  </si>
  <si>
    <t>2026-09-03T13:05:20.651571</t>
  </si>
  <si>
    <t>2026-09-03T13:05:20.625614</t>
  </si>
  <si>
    <t>2026-09-03T13:05:20.604787</t>
  </si>
  <si>
    <t>2026-09-03T13:05:20.581396</t>
  </si>
  <si>
    <t>2026-09-03T13:05:20.548895</t>
  </si>
  <si>
    <t>2026-09-03T13:05:20.527349</t>
  </si>
  <si>
    <t>2026-09-03T13:05:20.502025</t>
  </si>
  <si>
    <t>2026-09-03T13:05:20.474949</t>
  </si>
  <si>
    <t>2026-09-03T13:05:20.453979</t>
  </si>
  <si>
    <t>2026-09-03T13:05:20.437982</t>
  </si>
  <si>
    <t>2026-09-03T13:05:20.421972</t>
  </si>
  <si>
    <t>2026-09-03T13:05:20.407834</t>
  </si>
  <si>
    <t>2026-09-03T13:05:20.389252</t>
  </si>
  <si>
    <t>2026-09-03T13:05:20.376591</t>
  </si>
  <si>
    <t>2026-09-03T13:05:20.345220</t>
  </si>
  <si>
    <t>2026-09-03T13:05:20.338325</t>
  </si>
  <si>
    <t>2026-09-03T13:05:20.304245</t>
  </si>
  <si>
    <t>2026-09-03T13:05:20.275997</t>
  </si>
  <si>
    <t>2026-09-03T13:05:20.247155</t>
  </si>
  <si>
    <t>2026-09-03T13:05:20.222836</t>
  </si>
  <si>
    <t>2026-09-03T13:05:15.461728</t>
  </si>
  <si>
    <t>2026-09-03T13:05:15.446706</t>
  </si>
  <si>
    <t>2026-09-03T13:05:15.427552</t>
  </si>
  <si>
    <t>2026-09-03T13:05:15.401001</t>
  </si>
  <si>
    <t>2026-09-03T13:05:15.377151</t>
  </si>
  <si>
    <t>2026-09-03T13:05:15.351007</t>
  </si>
  <si>
    <t>2026-09-03T13:05:15.340086</t>
  </si>
  <si>
    <t>2026-09-03T13:05:15.322067</t>
  </si>
  <si>
    <t>2026-09-03T13:05:15.306499</t>
  </si>
  <si>
    <t>2026-09-03T13:05:15.292884</t>
  </si>
  <si>
    <t>2026-09-03T13:05:15.272128</t>
  </si>
  <si>
    <t>2026-09-03T13:05:15.260985</t>
  </si>
  <si>
    <t>2026-09-03T13:05:15.242433</t>
  </si>
  <si>
    <t>2026-09-03T13:05:15.223037</t>
  </si>
  <si>
    <t>2026-09-03T13:05:15.197683</t>
  </si>
  <si>
    <t>2026-09-03T13:05:15.167781</t>
  </si>
  <si>
    <t>2026-09-03T13:05:15.133518</t>
  </si>
  <si>
    <t>2026-09-03T13:05:15.114146</t>
  </si>
  <si>
    <t>2026-09-03T13:05:15.092225</t>
  </si>
  <si>
    <t>2026-09-03T13:05:15.071276</t>
  </si>
  <si>
    <t>2026-09-03T13:05:15.055843</t>
  </si>
  <si>
    <t>2026-09-03T13:05:15.035017</t>
  </si>
  <si>
    <t>2026-09-03T13:05:15.016571</t>
  </si>
  <si>
    <t>2026-09-03T13:05:14.986409</t>
  </si>
  <si>
    <t>2026-09-03T13:05:14.964166</t>
  </si>
  <si>
    <t>2026-09-03T13:05:14.955241</t>
  </si>
  <si>
    <t>2026-09-03T13:05:14.938223</t>
  </si>
  <si>
    <t>2026-09-03T13:05:14.919825</t>
  </si>
  <si>
    <t>2026-09-03T13:05:14.903617</t>
  </si>
  <si>
    <t>2026-09-03T13:05:14.882264</t>
  </si>
  <si>
    <t>2026-09-03T13:05:14.862826</t>
  </si>
  <si>
    <t>2026-09-03T13:05:14.847535</t>
  </si>
  <si>
    <t>2026-09-03T13:05:14.828582</t>
  </si>
  <si>
    <t>2026-09-03T13:05:14.812824</t>
  </si>
  <si>
    <t>2026-09-03T13:05:14.792005</t>
  </si>
  <si>
    <t>2026-09-03T13:05:14.774743</t>
  </si>
  <si>
    <t>2026-09-03T13:05:14.765356</t>
  </si>
  <si>
    <t>2026-09-03T13:05:14.745502</t>
  </si>
  <si>
    <t>2026-09-03T13:05:14.729421</t>
  </si>
  <si>
    <t>2026-09-03T13:05:14.710166</t>
  </si>
  <si>
    <t>2026-09-03T13:05:14.696806</t>
  </si>
  <si>
    <t>2026-09-03T13:05:14.675667</t>
  </si>
  <si>
    <t>2026-09-03T13:05:14.655411</t>
  </si>
  <si>
    <t>2026-09-03T13:05:14.639492</t>
  </si>
  <si>
    <t>2026-09-03T13:05:14.617518</t>
  </si>
  <si>
    <t>2026-09-03T13:05:14.605609</t>
  </si>
  <si>
    <t>2026-09-03T13:05:14.584064</t>
  </si>
  <si>
    <t>2026-09-03T13:05:14.558950</t>
  </si>
  <si>
    <t>2026-09-03T13:05:14.545926</t>
  </si>
  <si>
    <t>2026-09-03T13:05:14.507263</t>
  </si>
  <si>
    <t>2026-09-03T13:05:14.502176</t>
  </si>
  <si>
    <t>2026-09-03T13:05:14.467579</t>
  </si>
  <si>
    <t>2026-09-03T13:05:14.386649</t>
  </si>
  <si>
    <t>2026-09-03T13:05:14.292368</t>
  </si>
  <si>
    <t>2026-09-03T13:05:14.218312</t>
  </si>
  <si>
    <t>2026-09-03T13:05:14.208216</t>
  </si>
  <si>
    <t>2026-09-03T13:05:14.187731</t>
  </si>
  <si>
    <t>2026-09-03T13:05:14.172914</t>
  </si>
  <si>
    <t>2026-09-03T13:05:14.164415</t>
  </si>
  <si>
    <t>2026-09-03T13:05:14.151203</t>
  </si>
  <si>
    <t>2026-09-03T13:05:14.118344</t>
  </si>
  <si>
    <t>2026-09-03T13:05:14.115931</t>
  </si>
  <si>
    <t>2026-09-03T13:05:14.083239</t>
  </si>
  <si>
    <t>2026-09-03T13:05:14.072787</t>
  </si>
  <si>
    <t>2026-09-03T13:05:14.055392</t>
  </si>
  <si>
    <t>2026-09-03T13:05:14.046029</t>
  </si>
  <si>
    <t>2026-09-03T13:05:14.025892</t>
  </si>
  <si>
    <t>2026-09-03T13:05:14.014462</t>
  </si>
  <si>
    <t>2026-09-03T13:05:14.002132</t>
  </si>
  <si>
    <t>2026-09-03T13:05:13.994270</t>
  </si>
  <si>
    <t>2026-09-03T13:05:13.983196</t>
  </si>
  <si>
    <t>2026-09-03T13:05:13.973904</t>
  </si>
  <si>
    <t>2026-09-03T13:05:13.958244</t>
  </si>
  <si>
    <t>2026-09-03T13:05:13.953641</t>
  </si>
  <si>
    <t>2026-09-03T13:05:13.942861</t>
  </si>
  <si>
    <t>2026-09-03T13:05:13.926332</t>
  </si>
  <si>
    <t>2026-09-03T13:05:13.917852</t>
  </si>
  <si>
    <t>2026-09-03T13:05:13.902665</t>
  </si>
  <si>
    <t>2026-09-03T13:05:13.892006</t>
  </si>
  <si>
    <t>2026-09-03T13:05:13.875952</t>
  </si>
  <si>
    <t>2026-09-03T13:05:13.866314</t>
  </si>
  <si>
    <t>2026-09-03T13:05:13.855825</t>
  </si>
  <si>
    <t>2026-09-03T13:05:13.832898</t>
  </si>
  <si>
    <t>2026-09-03T13:05:13.824180</t>
  </si>
  <si>
    <t>2026-09-03T13:05:13.804060</t>
  </si>
  <si>
    <t>2026-09-03T13:05:13.794173</t>
  </si>
  <si>
    <t>2026-09-03T13:05:13.755878</t>
  </si>
  <si>
    <t>2026-09-03T13:05:13.744148</t>
  </si>
  <si>
    <t>2026-09-03T13:05:13.717631</t>
  </si>
  <si>
    <t>2026-09-03T13:05:13.703664</t>
  </si>
  <si>
    <t>2026-09-03T13:05:13.686426</t>
  </si>
  <si>
    <t>2026-09-03T13:05:13.668601</t>
  </si>
  <si>
    <t>2026-09-03T13:05:13.649471</t>
  </si>
  <si>
    <t>2026-09-03T13:05:13.638539</t>
  </si>
  <si>
    <t>2026-09-03T13:05:13.626368</t>
  </si>
  <si>
    <t>2026-09-03T13:05:13.589769</t>
  </si>
  <si>
    <t>2026-09-03T13:05:13.562905</t>
  </si>
  <si>
    <t>2026-09-03T13:05:13.543282</t>
  </si>
  <si>
    <t>2026-09-03T13:05:13.510356</t>
  </si>
  <si>
    <t>2026-09-03T13:05:13.496585</t>
  </si>
  <si>
    <t>2026-09-03T13:05:13.481207</t>
  </si>
  <si>
    <t>2026-09-03T13:05:13.473653</t>
  </si>
  <si>
    <t>2026-09-03T13:05:13.459182</t>
  </si>
  <si>
    <t>2026-09-03T13:05:13.448812</t>
  </si>
  <si>
    <t>2026-09-03T13:05:13.432305</t>
  </si>
  <si>
    <t>2026-09-03T13:05:13.415766</t>
  </si>
  <si>
    <t>2026-09-03T13:05:13.398935</t>
  </si>
  <si>
    <t>2026-09-03T13:05:13.374781</t>
  </si>
  <si>
    <t>2026-09-03T13:05:13.181825</t>
  </si>
  <si>
    <t>2026-09-03T13:05:12.996443</t>
  </si>
  <si>
    <t>2026-09-03T13:05:12.967479</t>
  </si>
  <si>
    <t>2026-09-03T13:05:12.948838</t>
  </si>
  <si>
    <t>2026-09-03T13:05:12.934673</t>
  </si>
  <si>
    <t>2026-09-03T13:05:12.916469</t>
  </si>
  <si>
    <t>2026-09-03T13:05:12.906073</t>
  </si>
  <si>
    <t>2026-09-03T13:05:12.876709</t>
  </si>
  <si>
    <t>2026-09-03T13:05:12.872813</t>
  </si>
  <si>
    <t>2026-09-03T13:05:12.844099</t>
  </si>
  <si>
    <t>2026-09-03T13:05:12.821085</t>
  </si>
  <si>
    <t>2026-09-03T13:05:12.798541</t>
  </si>
  <si>
    <t>2026-09-03T13:05:12.787838</t>
  </si>
  <si>
    <t>2026-09-03T13:05:12.733252</t>
  </si>
  <si>
    <t>2026-09-03T13:05:12.704162</t>
  </si>
  <si>
    <t>2026-09-03T13:05:12.554858</t>
  </si>
  <si>
    <t>2026-09-03T13:05:12.545573</t>
  </si>
  <si>
    <t>2026-09-03T13:05:12.516655</t>
  </si>
  <si>
    <t>2026-09-03T13:05:12.486434</t>
  </si>
  <si>
    <t>2026-09-03T13:05:12.464896</t>
  </si>
  <si>
    <t>2026-09-03T13:05:12.441787</t>
  </si>
  <si>
    <t>2026-09-03T13:05:12.405343</t>
  </si>
  <si>
    <t>2026-09-03T13:05:12.355009</t>
  </si>
  <si>
    <t>2026-09-03T13:05:12.321334</t>
  </si>
  <si>
    <t>2026-09-03T13:05:12.290855</t>
  </si>
  <si>
    <t>2026-09-03T13:05:12.257255</t>
  </si>
  <si>
    <t>2026-09-03T13:05:12.239781</t>
  </si>
  <si>
    <t>2026-09-03T13:05:12.211390</t>
  </si>
  <si>
    <t>2026-09-03T13:05:12.192711</t>
  </si>
  <si>
    <t>2026-09-03T13:05:12.170674</t>
  </si>
  <si>
    <t>2026-09-03T13:05:12.142391</t>
  </si>
  <si>
    <t>2026-09-03T13:05:12.128210</t>
  </si>
  <si>
    <t>2026-09-03T13:05:12.108118</t>
  </si>
  <si>
    <t>2026-09-03T13:05:12.092461</t>
  </si>
  <si>
    <t>2026-09-03T13:05:12.082455</t>
  </si>
  <si>
    <t>2026-09-03T13:05:12.066178</t>
  </si>
  <si>
    <t>2026-09-03T13:05:12.045963</t>
  </si>
  <si>
    <t>2026-09-03T13:05:12.028926</t>
  </si>
  <si>
    <t>2026-09-03T13:05:12.016958</t>
  </si>
  <si>
    <t>2026-09-03T13:05:11.995523</t>
  </si>
  <si>
    <t>2026-09-03T13:05:11.974357</t>
  </si>
  <si>
    <t>2026-09-03T13:05:11.955183</t>
  </si>
  <si>
    <t>2026-09-03T13:05:11.935897</t>
  </si>
  <si>
    <t>2026-09-03T13:05:11.920553</t>
  </si>
  <si>
    <t>2026-09-03T13:05:11.900672</t>
  </si>
  <si>
    <t>2026-09-03T13:05:11.886910</t>
  </si>
  <si>
    <t>2026-09-03T13:05:11.865068</t>
  </si>
  <si>
    <t>2026-09-03T13:05:11.851284</t>
  </si>
  <si>
    <t>2026-09-03T13:05:11.835709</t>
  </si>
  <si>
    <t>2026-09-03T13:05:11.815876</t>
  </si>
  <si>
    <t>2026-09-03T13:05:11.802964</t>
  </si>
  <si>
    <t>2026-09-03T13:05:11.787690</t>
  </si>
  <si>
    <t>2026-09-03T13:05:11.767991</t>
  </si>
  <si>
    <t>2026-09-03T13:05:11.746974</t>
  </si>
  <si>
    <t>2026-09-03T13:05:11.726813</t>
  </si>
  <si>
    <t>2026-09-03T13:05:11.712266</t>
  </si>
  <si>
    <t>2026-09-03T13:05:11.684493</t>
  </si>
  <si>
    <t>2026-09-03T13:05:11.664142</t>
  </si>
  <si>
    <t>2026-09-03T13:05:11.637386</t>
  </si>
  <si>
    <t>2026-09-03T13:05:11.621129</t>
  </si>
  <si>
    <t>2026-09-03T13:05:11.607168</t>
  </si>
  <si>
    <t>2026-09-03T13:05:11.596889</t>
  </si>
  <si>
    <t>2026-09-03T13:05:11.578111</t>
  </si>
  <si>
    <t>2026-09-03T13:05:11.560184</t>
  </si>
  <si>
    <t>2026-09-03T13:05:11.537965</t>
  </si>
  <si>
    <t>2026-09-03T13:05:11.511123</t>
  </si>
  <si>
    <t>2026-09-03T13:05:11.491371</t>
  </si>
  <si>
    <t>2026-09-03T13:05:11.464793</t>
  </si>
  <si>
    <t>2026-09-03T13:05:11.440500</t>
  </si>
  <si>
    <t>2026-09-03T13:05:11.423117</t>
  </si>
  <si>
    <t>2026-09-03T13:05:11.398762</t>
  </si>
  <si>
    <t>2026-09-03T13:05:11.384654</t>
  </si>
  <si>
    <t>2026-09-03T13:05:11.366009</t>
  </si>
  <si>
    <t>2026-09-03T13:05:11.344569</t>
  </si>
  <si>
    <t>2026-09-03T13:05:11.326991</t>
  </si>
  <si>
    <t>2026-09-03T13:05:11.312208</t>
  </si>
  <si>
    <t>2026-09-03T13:05:11.293284</t>
  </si>
  <si>
    <t>2026-09-03T13:05:11.275537</t>
  </si>
  <si>
    <t>2026-09-03T13:05:11.247726</t>
  </si>
  <si>
    <t>2026-09-03T13:05:11.227041</t>
  </si>
  <si>
    <t>2026-09-03T13:05:11.199081</t>
  </si>
  <si>
    <t>2026-09-03T13:05:11.181107</t>
  </si>
  <si>
    <t>2026-09-03T13:05:01.243486</t>
  </si>
  <si>
    <t>2026-09-03T13:05:01.194676</t>
  </si>
  <si>
    <t>2026-09-03T13:05:01.138224</t>
  </si>
  <si>
    <t>2026-09-03T13:05:01.074348</t>
  </si>
  <si>
    <t>2026-09-03T13:05:01.010172</t>
  </si>
  <si>
    <t>2026-09-03T13:05:00.910231</t>
  </si>
  <si>
    <t>2026-09-03T13:05:00.871197</t>
  </si>
  <si>
    <t>2026-09-03T13:05:00.788979</t>
  </si>
  <si>
    <t>2026-09-03T13:05:00.588276</t>
  </si>
  <si>
    <t>2026-09-03T13:05:00.444623</t>
  </si>
  <si>
    <t>2026-09-03T13:05:00.350318</t>
  </si>
  <si>
    <t>2026-09-03T13:05:00.234405</t>
  </si>
  <si>
    <t>2026-09-03T13:05:00.201886</t>
  </si>
  <si>
    <t>2026-09-03T13:05:00.172382</t>
  </si>
  <si>
    <t>2026-09-03T13:05:00.155614</t>
  </si>
  <si>
    <t>2026-09-03T13:05:00.141891</t>
  </si>
  <si>
    <t>2026-09-03T13:05:00.096226</t>
  </si>
  <si>
    <t>2026-09-03T13:05:00.065278</t>
  </si>
  <si>
    <t>2026-09-03T13:05:00.032998</t>
  </si>
  <si>
    <t>2026-09-03T13:05:00.006030</t>
  </si>
  <si>
    <t>2026-09-03T13:04:59.993785</t>
  </si>
  <si>
    <t>2026-09-03T13:04:59.979139</t>
  </si>
  <si>
    <t>2026-09-03T13:04:59.962077</t>
  </si>
  <si>
    <t>2026-09-03T13:04:59.953232</t>
  </si>
  <si>
    <t>2026-09-03T13:04:59.937037</t>
  </si>
  <si>
    <t>2026-09-03T13:04:59.926131</t>
  </si>
  <si>
    <t>2026-09-03T13:04:59.914428</t>
  </si>
  <si>
    <t>2026-09-03T13:04:59.900290</t>
  </si>
  <si>
    <t>2026-09-03T13:04:59.884676</t>
  </si>
  <si>
    <t>2026-09-03T13:04:59.862479</t>
  </si>
  <si>
    <t>2026-09-03T13:04:59.844006</t>
  </si>
  <si>
    <t>2026-09-03T13:04:59.822575</t>
  </si>
  <si>
    <t>2026-09-03T13:04:59.803403</t>
  </si>
  <si>
    <t>2026-09-03T13:04:59.795138</t>
  </si>
  <si>
    <t>2026-09-03T13:04:59.769392</t>
  </si>
  <si>
    <t>2026-09-03T13:04:59.748129</t>
  </si>
  <si>
    <t>2026-09-03T13:04:59.738576</t>
  </si>
  <si>
    <t>2026-09-03T13:04:59.720129</t>
  </si>
  <si>
    <t>2026-09-03T13:04:59.696801</t>
  </si>
  <si>
    <t>2026-09-03T13:04:59.683421</t>
  </si>
  <si>
    <t>2026-09-03T13:04:59.672421</t>
  </si>
  <si>
    <t>2026-09-03T13:04:59.651438</t>
  </si>
  <si>
    <t>2026-09-03T13:04:59.637074</t>
  </si>
  <si>
    <t>2026-09-03T13:04:59.627456</t>
  </si>
  <si>
    <t>2026-09-03T13:04:59.606300</t>
  </si>
  <si>
    <t>2026-09-03T13:04:59.582522</t>
  </si>
  <si>
    <t>2026-09-03T13:04:59.568068</t>
  </si>
  <si>
    <t>2026-09-03T13:04:59.541734</t>
  </si>
  <si>
    <t>2026-09-03T13:04:59.517123</t>
  </si>
  <si>
    <t>2026-09-03T13:04:59.505104</t>
  </si>
  <si>
    <t>2026-09-03T13:04:59.476596</t>
  </si>
  <si>
    <t>2026-09-03T13:04:59.461955</t>
  </si>
  <si>
    <t>2026-09-03T13:04:59.430751</t>
  </si>
  <si>
    <t>2026-09-03T13:04:59.408674</t>
  </si>
  <si>
    <t>2026-09-03T13:04:59.381759</t>
  </si>
  <si>
    <t>2026-09-03T13:04:59.354082</t>
  </si>
  <si>
    <t>2026-09-03T13:04:59.329067</t>
  </si>
  <si>
    <t>2026-09-03T13:04:59.304803</t>
  </si>
  <si>
    <t>2026-09-03T13:04:59.255162</t>
  </si>
  <si>
    <t>2026-09-03T13:04:59.232264</t>
  </si>
  <si>
    <t>2026-09-03T13:04:59.193863</t>
  </si>
  <si>
    <t>2026-09-03T13:04:59.179455</t>
  </si>
  <si>
    <t>2026-09-03T13:04:59.169079</t>
  </si>
  <si>
    <t>2026-09-03T13:04:59.158712</t>
  </si>
  <si>
    <t>2026-09-03T13:04:59.143293</t>
  </si>
  <si>
    <t>2026-09-03T13:04:59.135358</t>
  </si>
  <si>
    <t>2026-09-03T13:04:59.114796</t>
  </si>
  <si>
    <t>2026-09-03T13:04:59.086559</t>
  </si>
  <si>
    <t>2026-09-03T13:04:59.057306</t>
  </si>
  <si>
    <t>2026-09-03T13:04:59.032990</t>
  </si>
  <si>
    <t>2026-09-03T13:04:59.012985</t>
  </si>
  <si>
    <t>2026-09-03T13:04:58.979456</t>
  </si>
  <si>
    <t>2026-09-03T13:04:58.944154</t>
  </si>
  <si>
    <t>2026-09-03T13:04:58.922040</t>
  </si>
  <si>
    <t>2026-09-03T13:04:52.269484</t>
  </si>
  <si>
    <t>2026-09-03T13:04:52.259273</t>
  </si>
  <si>
    <t>2026-09-03T13:04:52.233630</t>
  </si>
  <si>
    <t>2026-09-03T13:04:52.214060</t>
  </si>
  <si>
    <t>2026-09-03T13:04:52.196744</t>
  </si>
  <si>
    <t>2026-09-03T13:04:52.177326</t>
  </si>
  <si>
    <t>2026-09-03T13:04:52.157409</t>
  </si>
  <si>
    <t>2026-09-03T13:04:52.140141</t>
  </si>
  <si>
    <t>2026-09-03T13:04:52.121947</t>
  </si>
  <si>
    <t>2026-09-03T13:04:52.104728</t>
  </si>
  <si>
    <t>2026-09-03T13:04:52.086546</t>
  </si>
  <si>
    <t>2026-09-03T13:04:52.071516</t>
  </si>
  <si>
    <t>2026-09-03T13:04:52.059969</t>
  </si>
  <si>
    <t>2026-09-03T13:04:52.038406</t>
  </si>
  <si>
    <t>2026-09-03T13:04:52.021471</t>
  </si>
  <si>
    <t>2026-09-03T13:04:52.004077</t>
  </si>
  <si>
    <t>2026-09-03T13:04:51.983171</t>
  </si>
  <si>
    <t>2026-09-03T13:04:51.969512</t>
  </si>
  <si>
    <t>2026-09-03T13:04:51.949162</t>
  </si>
  <si>
    <t>2026-09-03T13:04:51.927971</t>
  </si>
  <si>
    <t>2026-09-03T13:04:51.903687</t>
  </si>
  <si>
    <t>2026-09-03T13:04:51.890947</t>
  </si>
  <si>
    <t>2026-09-03T13:04:51.872568</t>
  </si>
  <si>
    <t>2026-09-03T13:04:51.860432</t>
  </si>
  <si>
    <t>2026-09-03T13:04:51.844188</t>
  </si>
  <si>
    <t>2026-09-03T13:04:51.831988</t>
  </si>
  <si>
    <t>2026-09-03T13:04:51.817195</t>
  </si>
  <si>
    <t>2026-09-03T13:04:51.796624</t>
  </si>
  <si>
    <t>2026-09-03T13:04:51.780755</t>
  </si>
  <si>
    <t>2026-09-03T13:04:51.775771</t>
  </si>
  <si>
    <t>2026-09-03T13:04:51.752439</t>
  </si>
  <si>
    <t>2026-09-03T13:04:51.738482</t>
  </si>
  <si>
    <t>2026-09-03T13:04:51.706379</t>
  </si>
  <si>
    <t>2026-09-03T13:04:51.686043</t>
  </si>
  <si>
    <t>2026-09-03T13:04:51.662537</t>
  </si>
  <si>
    <t>2026-09-03T13:04:51.658517</t>
  </si>
  <si>
    <t>2026-09-03T13:04:51.636901</t>
  </si>
  <si>
    <t>2026-09-03T13:04:51.621232</t>
  </si>
  <si>
    <t>2026-09-03T13:04:51.591461</t>
  </si>
  <si>
    <t>2026-09-03T13:04:51.577809</t>
  </si>
  <si>
    <t>2026-09-03T13:04:51.558825</t>
  </si>
  <si>
    <t>2026-09-03T13:04:51.536250</t>
  </si>
  <si>
    <t>2026-09-03T13:04:51.513195</t>
  </si>
  <si>
    <t>2026-09-03T13:04:51.483870</t>
  </si>
  <si>
    <t>2026-09-03T13:04:51.457343</t>
  </si>
  <si>
    <t>2026-09-03T13:04:51.440675</t>
  </si>
  <si>
    <t>2026-09-03T13:04:51.420582</t>
  </si>
  <si>
    <t>2026-09-03T13:04:51.395150</t>
  </si>
  <si>
    <t>2026-09-03T13:04:51.366910</t>
  </si>
  <si>
    <t>2026-09-03T13:04:51.345734</t>
  </si>
  <si>
    <t>2026-09-03T13:04:51.324279</t>
  </si>
  <si>
    <t>2026-09-03T13:04:51.309226</t>
  </si>
  <si>
    <t>2026-09-03T13:04:51.293574</t>
  </si>
  <si>
    <t>2026-09-03T13:04:51.284084</t>
  </si>
  <si>
    <t>2026-09-03T13:04:51.268846</t>
  </si>
  <si>
    <t>2026-09-03T13:04:51.255912</t>
  </si>
  <si>
    <t>2026-09-03T13:04:51.242919</t>
  </si>
  <si>
    <t>2026-09-03T13:04:51.227148</t>
  </si>
  <si>
    <t>2026-09-03T13:04:51.214196</t>
  </si>
  <si>
    <t>2026-09-03T13:04:51.198940</t>
  </si>
  <si>
    <t>2026-09-03T13:04:51.184580</t>
  </si>
  <si>
    <t>2026-09-03T13:04:51.172639</t>
  </si>
  <si>
    <t>2026-09-03T13:04:51.155014</t>
  </si>
  <si>
    <t>2026-09-03T13:04:51.148500</t>
  </si>
  <si>
    <t>2026-09-03T13:04:51.128021</t>
  </si>
  <si>
    <t>2026-09-03T13:04:51.118316</t>
  </si>
  <si>
    <t>2026-09-03T13:04:51.097306</t>
  </si>
  <si>
    <t>2026-09-03T13:04:51.083696</t>
  </si>
  <si>
    <t>2026-09-03T13:04:51.073065</t>
  </si>
  <si>
    <t>2026-09-03T13:04:51.060627</t>
  </si>
  <si>
    <t>2026-09-03T13:04:51.046133</t>
  </si>
  <si>
    <t>2026-09-03T13:04:51.031069</t>
  </si>
  <si>
    <t>2026-09-03T13:04:51.010875</t>
  </si>
  <si>
    <t>2026-09-03T13:04:50.999824</t>
  </si>
  <si>
    <t>2026-09-03T13:04:50.991332</t>
  </si>
  <si>
    <t>2026-09-03T13:04:50.976471</t>
  </si>
  <si>
    <t>2026-09-03T13:04:50.959733</t>
  </si>
  <si>
    <t>2026-09-03T13:04:50.942456</t>
  </si>
  <si>
    <t>2026-09-03T13:04:50.929358</t>
  </si>
  <si>
    <t>2026-09-03T13:04:50.917210</t>
  </si>
  <si>
    <t>2026-09-03T13:04:50.899163</t>
  </si>
  <si>
    <t>2026-09-03T13:04:50.884820</t>
  </si>
  <si>
    <t>2026-09-03T13:04:50.879683</t>
  </si>
  <si>
    <t>2026-09-03T13:04:50.865318</t>
  </si>
  <si>
    <t>2026-09-03T13:04:50.841188</t>
  </si>
  <si>
    <t>2026-09-03T13:04:50.817742</t>
  </si>
  <si>
    <t>2026-09-03T13:04:50.756758</t>
  </si>
  <si>
    <t>2026-09-03T13:04:50.702371</t>
  </si>
  <si>
    <t>2026-09-03T13:04:50.653964</t>
  </si>
  <si>
    <t>2026-09-03T13:04:50.510195</t>
  </si>
  <si>
    <t>2026-09-03T13:04:50.488510</t>
  </si>
  <si>
    <t>2026-09-03T13:04:50.461515</t>
  </si>
  <si>
    <t>2026-09-03T13:04:50.407247</t>
  </si>
  <si>
    <t>2026-09-03T13:04:50.387043</t>
  </si>
  <si>
    <t>2026-09-03T13:04:50.348483</t>
  </si>
  <si>
    <t>2026-09-03T13:04:50.316587</t>
  </si>
  <si>
    <t>2026-09-03T13:04:50.293013</t>
  </si>
  <si>
    <t>2026-09-03T13:04:50.259017</t>
  </si>
  <si>
    <t>2026-09-03T13:04:50.248362</t>
  </si>
  <si>
    <t>2026-09-03T13:04:50.224453</t>
  </si>
  <si>
    <t>2026-09-03T13:04:50.219381</t>
  </si>
  <si>
    <t>2026-09-03T13:04:50.190648</t>
  </si>
  <si>
    <t>2026-09-03T13:04:50.179577</t>
  </si>
  <si>
    <t>2026-09-03T13:04:50.157397</t>
  </si>
  <si>
    <t>2026-09-03T13:04:50.141959</t>
  </si>
  <si>
    <t>2026-09-03T13:04:50.115055</t>
  </si>
  <si>
    <t>2026-09-03T13:04:50.109313</t>
  </si>
  <si>
    <t>2026-09-03T13:04:50.071824</t>
  </si>
  <si>
    <t>2026-09-03T13:04:50.054163</t>
  </si>
  <si>
    <t>2026-09-03T13:04:50.035580</t>
  </si>
  <si>
    <t>2026-09-03T13:04:50.013197</t>
  </si>
  <si>
    <t>2026-09-03T13:04:49.997422</t>
  </si>
  <si>
    <t>2026-09-03T13:04:49.981493</t>
  </si>
  <si>
    <t>2026-09-03T13:04:49.964860</t>
  </si>
  <si>
    <t>2026-09-03T13:04:49.936835</t>
  </si>
  <si>
    <t>2026-09-03T13:04:49.920510</t>
  </si>
  <si>
    <t>2026-09-03T13:04:49.899178</t>
  </si>
  <si>
    <t>2026-09-03T13:04:49.895038</t>
  </si>
  <si>
    <t>2026-09-03T13:04:49.864817</t>
  </si>
  <si>
    <t>2026-09-03T13:04:49.855058</t>
  </si>
  <si>
    <t>2026-09-03T13:04:49.820801</t>
  </si>
  <si>
    <t>2026-09-03T13:04:49.778044</t>
  </si>
  <si>
    <t>2026-09-03T13:04:49.768292</t>
  </si>
  <si>
    <t>2026-09-03T13:04:45.084547</t>
  </si>
  <si>
    <t>2026-09-03T13:04:45.063337</t>
  </si>
  <si>
    <t>2026-09-03T13:04:45.038338</t>
  </si>
  <si>
    <t>2026-09-03T13:04:45.012590</t>
  </si>
  <si>
    <t>2026-09-03T13:04:44.992069</t>
  </si>
  <si>
    <t>2026-09-03T13:04:44.973386</t>
  </si>
  <si>
    <t>2026-09-03T13:04:44.951465</t>
  </si>
  <si>
    <t>2026-09-03T13:04:44.939759</t>
  </si>
  <si>
    <t>2026-09-03T13:04:44.926886</t>
  </si>
  <si>
    <t>2026-09-03T13:04:40.528751</t>
  </si>
  <si>
    <t>2026-09-03T13:04:40.497299</t>
  </si>
  <si>
    <t>2026-09-03T13:04:40.494308</t>
  </si>
  <si>
    <t>2026-09-03T13:04:40.429870</t>
  </si>
  <si>
    <t>2026-09-03T13:04:40.417585</t>
  </si>
  <si>
    <t>2026-09-03T13:04:40.402449</t>
  </si>
  <si>
    <t>2026-09-03T13:04:40.385552</t>
  </si>
  <si>
    <t>2026-09-03T13:04:40.366670</t>
  </si>
  <si>
    <t>2026-09-03T13:04:40.345980</t>
  </si>
  <si>
    <t>2026-09-03T13:04:40.332819</t>
  </si>
  <si>
    <t>2026-09-03T13:04:40.310578</t>
  </si>
  <si>
    <t>2026-09-03T13:04:40.299988</t>
  </si>
  <si>
    <t>2026-09-03T13:04:40.278862</t>
  </si>
  <si>
    <t>2026-09-03T13:04:40.257766</t>
  </si>
  <si>
    <t>2026-09-03T13:04:40.236183</t>
  </si>
  <si>
    <t>2026-09-03T13:04:40.214045</t>
  </si>
  <si>
    <t>2026-09-03T13:04:40.185089</t>
  </si>
  <si>
    <t>2026-09-03T13:04:40.158804</t>
  </si>
  <si>
    <t>2026-09-03T13:04:40.142830</t>
  </si>
  <si>
    <t>2026-09-03T13:04:40.124798</t>
  </si>
  <si>
    <t>2026-09-03T13:04:40.111278</t>
  </si>
  <si>
    <t>2026-09-03T13:04:40.096149</t>
  </si>
  <si>
    <t>2026-09-03T13:04:40.071542</t>
  </si>
  <si>
    <t>2026-09-03T13:04:40.054992</t>
  </si>
  <si>
    <t>2026-09-03T13:04:40.029935</t>
  </si>
  <si>
    <t>2026-09-03T13:04:40.005859</t>
  </si>
  <si>
    <t>2026-09-03T13:04:39.969214</t>
  </si>
  <si>
    <t>2026-09-03T13:04:39.948828</t>
  </si>
  <si>
    <t>2026-09-03T13:04:33.562522</t>
  </si>
  <si>
    <t>2026-09-03T13:04:33.544860</t>
  </si>
  <si>
    <t>2026-09-03T13:04:33.529100</t>
  </si>
  <si>
    <t>2026-09-03T13:04:33.497494</t>
  </si>
  <si>
    <t>2026-09-03T13:04:33.487557</t>
  </si>
  <si>
    <t>2026-09-03T13:04:33.459625</t>
  </si>
  <si>
    <t>2026-09-03T13:04:33.428632</t>
  </si>
  <si>
    <t>2026-09-03T13:04:33.402894</t>
  </si>
  <si>
    <t>2026-09-03T13:04:26.234749</t>
  </si>
  <si>
    <t>2026-09-03T13:04:26.218890</t>
  </si>
  <si>
    <t>2026-09-03T13:04:26.189774</t>
  </si>
  <si>
    <t>2026-09-03T13:04:26.175917</t>
  </si>
  <si>
    <t>2026-09-03T13:04:21.001391</t>
  </si>
  <si>
    <t>2026-09-03T13:04:20.982397</t>
  </si>
  <si>
    <t>2026-09-03T13:04:20.955148</t>
  </si>
  <si>
    <t>2026-09-03T13:04:20.930968</t>
  </si>
  <si>
    <t>2026-09-03T13:04:13.517793</t>
  </si>
  <si>
    <t>2026-09-03T13:04:07.777811</t>
  </si>
  <si>
    <t>2026-09-03T13:04:07.757758</t>
  </si>
  <si>
    <t>2026-09-03T13:04:07.722582</t>
  </si>
  <si>
    <t>2026-09-03T13:04:02.408017</t>
  </si>
  <si>
    <t>2026-09-03T13:04:02.390154</t>
  </si>
  <si>
    <t>2026-09-03T13:04:02.378323</t>
  </si>
  <si>
    <t>2026-09-03T13:04:02.357240</t>
  </si>
  <si>
    <t>2026-09-03T13:04:02.334575</t>
  </si>
  <si>
    <t>2026-09-03T13:04:02.307085</t>
  </si>
  <si>
    <t>2026-09-03T13:04:02.290613</t>
  </si>
  <si>
    <t>2026-09-03T13:04:02.262769</t>
  </si>
  <si>
    <t>2026-09-03T13:04:02.233683</t>
  </si>
  <si>
    <t>2026-09-03T13:04:02.207744</t>
  </si>
  <si>
    <t>2026-09-03T13:04:02.176521</t>
  </si>
  <si>
    <t>2026-09-03T13:04:02.130641</t>
  </si>
  <si>
    <t>2026-09-03T13:04:02.110457</t>
  </si>
  <si>
    <t>2026-09-03T13:04:02.085542</t>
  </si>
  <si>
    <t>2026-09-03T13:04:02.047916</t>
  </si>
  <si>
    <t>2026-09-03T13:04:02.018530</t>
  </si>
  <si>
    <t>2026-09-03T13:04:01.998972</t>
  </si>
  <si>
    <t>2026-09-03T13:04:01.978206</t>
  </si>
  <si>
    <t>2026-09-03T13:04:01.945761</t>
  </si>
  <si>
    <t>2026-09-03T13:04:01.903941</t>
  </si>
  <si>
    <t>2026-09-03T13:04:01.862098</t>
  </si>
  <si>
    <t>2026-09-03T13:04:01.839725</t>
  </si>
  <si>
    <t>2026-09-03T13:04:01.819002</t>
  </si>
  <si>
    <t>2026-09-03T13:04:01.788354</t>
  </si>
  <si>
    <t>2026-09-03T13:04:01.761926</t>
  </si>
  <si>
    <t>2026-09-03T13:04:01.722475</t>
  </si>
  <si>
    <t>2026-09-03T13:04:01.691192</t>
  </si>
  <si>
    <t>2026-09-03T13:04:01.635646</t>
  </si>
  <si>
    <t>2026-09-03T13:04:01.604654</t>
  </si>
  <si>
    <t>2026-09-03T13:04:01.583568</t>
  </si>
  <si>
    <t>2026-09-03T13:04:01.553033</t>
  </si>
  <si>
    <t>2026-09-03T13:04:01.516838</t>
  </si>
  <si>
    <t>2026-09-03T13:04:01.497154</t>
  </si>
  <si>
    <t>2026-09-03T13:04:01.455109</t>
  </si>
  <si>
    <t>2026-09-03T13:04:01.422431</t>
  </si>
  <si>
    <t>2026-09-03T13:04:01.352866</t>
  </si>
  <si>
    <t>2026-09-03T13:04:01.316218</t>
  </si>
  <si>
    <t>2026-09-03T13:04:01.265933</t>
  </si>
  <si>
    <t>2026-09-03T13:04:01.214080</t>
  </si>
  <si>
    <t>2026-09-03T13:04:01.132513</t>
  </si>
  <si>
    <t>2026-09-03T13:04:01.085440</t>
  </si>
  <si>
    <t>2026-09-03T13:04:01.068211</t>
  </si>
  <si>
    <t>2026-09-03T13:04:01.053507</t>
  </si>
  <si>
    <t>2026-09-03T13:04:01.025528</t>
  </si>
  <si>
    <t>2026-09-03T13:04:01.000316</t>
  </si>
  <si>
    <t>2026-09-03T13:04:00.961610</t>
  </si>
  <si>
    <t>2026-09-03T13:04:00.907305</t>
  </si>
  <si>
    <t>2026-09-03T13:04:00.886377</t>
  </si>
  <si>
    <t>2026-09-03T13:04:00.863406</t>
  </si>
  <si>
    <t>2026-09-03T13:04:00.822553</t>
  </si>
  <si>
    <t>2026-09-03T13:04:00.789960</t>
  </si>
  <si>
    <t>2026-09-03T13:04:00.769898</t>
  </si>
  <si>
    <t>2026-09-03T13:04:00.742272</t>
  </si>
  <si>
    <t>2026-09-03T13:04:00.711085</t>
  </si>
  <si>
    <t>2026-09-03T13:04:00.691975</t>
  </si>
  <si>
    <t>2026-09-03T13:04:00.668920</t>
  </si>
  <si>
    <t>2026-09-03T13:04:00.651281</t>
  </si>
  <si>
    <t>2026-09-03T13:04:00.632344</t>
  </si>
  <si>
    <t>2026-09-03T13:04:00.617296</t>
  </si>
  <si>
    <t>2026-09-03T13:04:00.594455</t>
  </si>
  <si>
    <t>2026-09-03T13:04:00.558902</t>
  </si>
  <si>
    <t>2026-09-03T13:04:00.521503</t>
  </si>
  <si>
    <t>2026-09-03T13:04:00.503147</t>
  </si>
  <si>
    <t>2026-09-03T13:04:00.485471</t>
  </si>
  <si>
    <t>2026-09-03T13:04:00.434584</t>
  </si>
  <si>
    <t>2026-09-03T13:04:00.421220</t>
  </si>
  <si>
    <t>2026-09-03T13:04:00.398090</t>
  </si>
  <si>
    <t>2026-09-03T13:04:00.371926</t>
  </si>
  <si>
    <t>2026-09-03T13:04:00.357957</t>
  </si>
  <si>
    <t>2026-09-03T13:04:00.331242</t>
  </si>
  <si>
    <t>2026-09-03T13:04:00.304163</t>
  </si>
  <si>
    <t>2026-09-03T13:04:00.288928</t>
  </si>
  <si>
    <t>2026-09-03T13:04:00.261579</t>
  </si>
  <si>
    <t>2026-09-03T13:04:00.242497</t>
  </si>
  <si>
    <t>2026-09-03T13:04:00.220702</t>
  </si>
  <si>
    <t>2026-09-03T13:04:00.184826</t>
  </si>
  <si>
    <t>2026-09-03T13:04:00.162664</t>
  </si>
  <si>
    <t>2026-09-03T13:04:00.149884</t>
  </si>
  <si>
    <t>2026-09-03T13:04:00.121421</t>
  </si>
  <si>
    <t>2026-09-03T13:04:00.097776</t>
  </si>
  <si>
    <t>2026-09-03T13:04:00.058643</t>
  </si>
  <si>
    <t>2026-09-03T13:04:00.024631</t>
  </si>
  <si>
    <t>2026-09-03T13:03:59.989622</t>
  </si>
  <si>
    <t>2026-09-03T13:03:59.977836</t>
  </si>
  <si>
    <t>2026-09-03T13:03:59.959413</t>
  </si>
  <si>
    <t>2026-09-03T13:03:59.923904</t>
  </si>
  <si>
    <t>2026-09-03T13:03:59.908415</t>
  </si>
  <si>
    <t>2026-09-03T13:03:59.900149</t>
  </si>
  <si>
    <t>2026-09-03T13:03:59.880162</t>
  </si>
  <si>
    <t>2026-09-03T13:03:59.866351</t>
  </si>
  <si>
    <t>2026-09-03T13:03:59.851175</t>
  </si>
  <si>
    <t>2026-09-03T13:03:59.830898</t>
  </si>
  <si>
    <t>2026-09-03T13:03:59.809536</t>
  </si>
  <si>
    <t>2026-09-03T13:03:59.787420</t>
  </si>
  <si>
    <t>2026-09-03T13:03:59.771391</t>
  </si>
  <si>
    <t>2026-09-03T13:03:59.746854</t>
  </si>
  <si>
    <t>2026-09-03T13:03:59.731086</t>
  </si>
  <si>
    <t>2026-09-03T13:03:59.692683</t>
  </si>
  <si>
    <t>2026-09-03T13:03:59.677586</t>
  </si>
  <si>
    <t>2026-09-03T13:03:59.657066</t>
  </si>
  <si>
    <t>2026-09-03T13:03:59.635960</t>
  </si>
  <si>
    <t>2026-09-03T13:03:59.614544</t>
  </si>
  <si>
    <t>2026-09-03T13:03:59.594073</t>
  </si>
  <si>
    <t>2026-09-03T13:03:59.574903</t>
  </si>
  <si>
    <t>2026-09-03T13:03:59.556736</t>
  </si>
  <si>
    <t>2026-09-03T13:03:59.538714</t>
  </si>
  <si>
    <t>2026-09-03T13:03:59.519493</t>
  </si>
  <si>
    <t>2026-09-03T13:03:59.483181</t>
  </si>
  <si>
    <t>2026-09-03T13:03:59.464654</t>
  </si>
  <si>
    <t>2026-09-03T13:03:59.442932</t>
  </si>
  <si>
    <t>2026-09-03T13:03:59.418927</t>
  </si>
  <si>
    <t>2026-09-03T13:03:59.406787</t>
  </si>
  <si>
    <t>2026-09-03T13:03:59.382913</t>
  </si>
  <si>
    <t>2026-09-03T13:03:59.366241</t>
  </si>
  <si>
    <t>2026-09-03T13:03:59.348212</t>
  </si>
  <si>
    <t>2026-09-03T13:03:59.331017</t>
  </si>
  <si>
    <t>2026-09-03T13:03:59.318486</t>
  </si>
  <si>
    <t>2026-09-03T13:03:59.289913</t>
  </si>
  <si>
    <t>2026-09-03T13:03:59.284197</t>
  </si>
  <si>
    <t>2026-09-03T13:03:59.253448</t>
  </si>
  <si>
    <t>2026-09-03T13:03:59.244502</t>
  </si>
  <si>
    <t>2026-09-03T13:03:59.211409</t>
  </si>
  <si>
    <t>2026-09-03T13:03:59.193372</t>
  </si>
  <si>
    <t>2026-09-03T13:03:59.177380</t>
  </si>
  <si>
    <t>2026-09-03T13:03:59.165058</t>
  </si>
  <si>
    <t>2026-09-03T13:03:59.137853</t>
  </si>
  <si>
    <t>2026-09-03T13:03:59.121936</t>
  </si>
  <si>
    <t>2026-09-03T13:03:59.108226</t>
  </si>
  <si>
    <t>2026-09-03T13:03:59.095962</t>
  </si>
  <si>
    <t>2026-09-03T13:03:59.075044</t>
  </si>
  <si>
    <t>2026-09-03T13:03:59.060562</t>
  </si>
  <si>
    <t>2026-09-03T13:03:59.037333</t>
  </si>
  <si>
    <t>2026-09-03T13:03:59.027091</t>
  </si>
  <si>
    <t>2026-09-03T13:03:59.000307</t>
  </si>
  <si>
    <t>2026-09-03T13:03:58.978324</t>
  </si>
  <si>
    <t>2026-09-03T13:03:58.945334</t>
  </si>
  <si>
    <t>2026-09-03T13:03:58.930123</t>
  </si>
  <si>
    <t>2026-09-03T13:03:58.910415</t>
  </si>
  <si>
    <t>2026-09-03T13:03:58.889152</t>
  </si>
  <si>
    <t>2026-09-03T13:03:58.878859</t>
  </si>
  <si>
    <t>2026-09-03T13:03:58.855469</t>
  </si>
  <si>
    <t>2026-09-03T13:03:58.830690</t>
  </si>
  <si>
    <t>2026-09-03T13:03:58.808866</t>
  </si>
  <si>
    <t>2026-09-03T13:03:58.795886</t>
  </si>
  <si>
    <t>2026-09-03T13:03:58.768977</t>
  </si>
  <si>
    <t>2026-09-03T13:03:58.755788</t>
  </si>
  <si>
    <t>2026-09-03T13:03:58.724759</t>
  </si>
  <si>
    <t>2026-09-03T13:03:58.715308</t>
  </si>
  <si>
    <t>2026-09-03T13:03:58.681833</t>
  </si>
  <si>
    <t>2026-09-03T13:03:58.667500</t>
  </si>
  <si>
    <t>2026-09-03T13:03:58.644704</t>
  </si>
  <si>
    <t>2026-09-03T13:03:58.622034</t>
  </si>
  <si>
    <t>2026-09-03T13:03:58.620125</t>
  </si>
  <si>
    <t>2026-09-03T13:03:58.607038</t>
  </si>
  <si>
    <t>2026-09-03T13:03:58.579308</t>
  </si>
  <si>
    <t>2026-09-03T13:03:58.562817</t>
  </si>
  <si>
    <t>2026-09-03T13:03:58.539336</t>
  </si>
  <si>
    <t>2026-09-03T13:03:58.529368</t>
  </si>
  <si>
    <t>2026-09-03T13:03:58.510756</t>
  </si>
  <si>
    <t>2026-09-03T13:03:58.488993</t>
  </si>
  <si>
    <t>2026-09-03T13:03:58.449962</t>
  </si>
  <si>
    <t>2026-09-03T13:03:58.416957</t>
  </si>
  <si>
    <t>2026-09-03T13:03:58.403774</t>
  </si>
  <si>
    <t>2026-09-03T13:03:58.384705</t>
  </si>
  <si>
    <t>2026-09-03T13:03:58.364943</t>
  </si>
  <si>
    <t>2026-09-03T13:03:58.353207</t>
  </si>
  <si>
    <t>2026-09-03T13:03:58.333746</t>
  </si>
  <si>
    <t>2026-09-03T13:03:58.308401</t>
  </si>
  <si>
    <t>2026-09-03T13:03:58.285866</t>
  </si>
  <si>
    <t>2026-09-03T13:03:58.254042</t>
  </si>
  <si>
    <t>2026-09-03T13:03:58.226841</t>
  </si>
  <si>
    <t>2026-09-03T13:03:58.198640</t>
  </si>
  <si>
    <t>2026-09-03T13:03:58.177903</t>
  </si>
  <si>
    <t>2026-09-03T13:03:58.156370</t>
  </si>
  <si>
    <t>2026-09-03T13:03:58.137733</t>
  </si>
  <si>
    <t>2026-09-03T13:03:58.123776</t>
  </si>
  <si>
    <t>2026-09-03T13:03:58.094836</t>
  </si>
  <si>
    <t>2026-09-03T13:03:58.070741</t>
  </si>
  <si>
    <t>2026-09-03T13:03:58.047835</t>
  </si>
  <si>
    <t>2026-09-03T13:03:58.018186</t>
  </si>
  <si>
    <t>2026-09-03T13:03:58.014420</t>
  </si>
  <si>
    <t>2026-09-03T13:03:57.990407</t>
  </si>
  <si>
    <t>2026-09-03T13:03:57.977004</t>
  </si>
  <si>
    <t>2026-09-03T13:03:57.944019</t>
  </si>
  <si>
    <t>2026-09-03T13:03:57.927833</t>
  </si>
  <si>
    <t>2026-09-03T13:03:57.901095</t>
  </si>
  <si>
    <t>2026-09-03T13:03:57.875029</t>
  </si>
  <si>
    <t>2026-09-03T13:03:57.850212</t>
  </si>
  <si>
    <t>2026-09-03T13:03:57.815802</t>
  </si>
  <si>
    <t>2026-09-03T13:03:57.805230</t>
  </si>
  <si>
    <t>2026-09-03T13:03:57.782002</t>
  </si>
  <si>
    <t>2026-09-03T13:03:57.769049</t>
  </si>
  <si>
    <t>2026-09-03T13:03:57.753292</t>
  </si>
  <si>
    <t>2026-09-03T13:03:57.735516</t>
  </si>
  <si>
    <t>2026-09-03T13:03:57.715331</t>
  </si>
  <si>
    <t>2026-09-03T13:03:57.685724</t>
  </si>
  <si>
    <t>2026-09-03T13:03:57.668260</t>
  </si>
  <si>
    <t>2026-09-03T13:03:57.636887</t>
  </si>
  <si>
    <t>2026-09-03T13:03:57.629173</t>
  </si>
  <si>
    <t>2026-09-03T13:03:57.616662</t>
  </si>
  <si>
    <t>2026-09-03T13:03:57.605420</t>
  </si>
  <si>
    <t>2026-09-03T13:03:57.584296</t>
  </si>
  <si>
    <t>2026-09-03T13:03:57.564959</t>
  </si>
  <si>
    <t>2026-09-03T13:03:57.538839</t>
  </si>
  <si>
    <t>2026-09-03T13:03:57.496039</t>
  </si>
  <si>
    <t>2026-09-03T13:03:57.447622</t>
  </si>
  <si>
    <t>2026-09-03T13:03:57.415370</t>
  </si>
  <si>
    <t>2026-09-03T13:03:57.358469</t>
  </si>
  <si>
    <t>2026-09-03T13:03:57.292510</t>
  </si>
  <si>
    <t>2026-09-03T13:03:57.274889</t>
  </si>
  <si>
    <t>2026-09-03T13:03:57.261255</t>
  </si>
  <si>
    <t>2026-09-03T13:03:57.250661</t>
  </si>
  <si>
    <t>2026-09-03T13:03:57.232878</t>
  </si>
  <si>
    <t>2026-09-03T13:03:57.211500</t>
  </si>
  <si>
    <t>2026-09-03T13:03:57.192062</t>
  </si>
  <si>
    <t>2026-09-03T13:03:57.172409</t>
  </si>
  <si>
    <t>2026-09-03T13:03:57.157106</t>
  </si>
  <si>
    <t>2026-09-03T13:03:57.136106</t>
  </si>
  <si>
    <t>2026-09-03T13:03:57.115797</t>
  </si>
  <si>
    <t>2026-09-03T13:03:57.092302</t>
  </si>
  <si>
    <t>2026-09-03T13:03:57.068281</t>
  </si>
  <si>
    <t>2026-09-03T13:03:57.050126</t>
  </si>
  <si>
    <t>2026-09-03T13:03:57.026876</t>
  </si>
  <si>
    <t>2026-09-03T13:03:56.999241</t>
  </si>
  <si>
    <t>2026-09-03T13:03:56.973909</t>
  </si>
  <si>
    <t>2026-09-03T13:03:56.934771</t>
  </si>
  <si>
    <t>2026-09-03T13:03:56.909598</t>
  </si>
  <si>
    <t>2026-09-03T13:03:56.871883</t>
  </si>
  <si>
    <t>2026-09-03T13:03:56.847763</t>
  </si>
  <si>
    <t>2026-09-03T13:03:56.816300</t>
  </si>
  <si>
    <t>2026-09-03T13:03:56.802967</t>
  </si>
  <si>
    <t>2026-09-03T13:03:56.774868</t>
  </si>
  <si>
    <t>2026-09-03T13:03:56.751004</t>
  </si>
  <si>
    <t>2026-09-03T13:03:56.704584</t>
  </si>
  <si>
    <t>2026-09-03T13:03:56.673820</t>
  </si>
  <si>
    <t>2026-09-03T13:03:56.644188</t>
  </si>
  <si>
    <t>2026-09-03T13:03:56.629975</t>
  </si>
  <si>
    <t>2026-09-03T13:03:56.601308</t>
  </si>
  <si>
    <t>2026-09-03T13:03:56.565291</t>
  </si>
  <si>
    <t>2026-09-03T13:03:56.553213</t>
  </si>
  <si>
    <t>2026-09-03T13:03:56.530968</t>
  </si>
  <si>
    <t>2026-09-03T13:03:56.517905</t>
  </si>
  <si>
    <t>2026-09-03T13:03:56.496730</t>
  </si>
  <si>
    <t>2026-09-03T13:03:56.482466</t>
  </si>
  <si>
    <t>2026-09-03T13:03:56.459239</t>
  </si>
  <si>
    <t>2026-09-03T13:03:56.439925</t>
  </si>
  <si>
    <t>2026-09-03T13:03:56.415539</t>
  </si>
  <si>
    <t>2026-09-03T13:03:56.380477</t>
  </si>
  <si>
    <t>2026-09-03T13:03:56.351730</t>
  </si>
  <si>
    <t>2026-09-03T13:03:56.329352</t>
  </si>
  <si>
    <t>2026-09-03T13:03:56.318440</t>
  </si>
  <si>
    <t>2026-09-03T13:03:56.287702</t>
  </si>
  <si>
    <t>2026-09-03T13:03:56.274332</t>
  </si>
  <si>
    <t>2026-09-03T13:03:56.245992</t>
  </si>
  <si>
    <t>2026-09-03T13:03:56.234511</t>
  </si>
  <si>
    <t>2026-09-03T13:03:56.209951</t>
  </si>
  <si>
    <t>2026-09-03T13:03:56.191222</t>
  </si>
  <si>
    <t>2026-09-03T13:03:56.165474</t>
  </si>
  <si>
    <t>2026-09-03T13:03:56.153865</t>
  </si>
  <si>
    <t>2026-09-03T13:03:56.121184</t>
  </si>
  <si>
    <t>2026-09-03T13:03:56.082019</t>
  </si>
  <si>
    <t>2026-09-03T13:03:56.064118</t>
  </si>
  <si>
    <t>2026-09-03T13:03:56.045366</t>
  </si>
  <si>
    <t>2026-09-03T13:03:56.031626</t>
  </si>
  <si>
    <t>2026-09-03T13:03:56.006891</t>
  </si>
  <si>
    <t>2026-09-03T13:03:55.986968</t>
  </si>
  <si>
    <t>2026-09-03T13:03:55.976742</t>
  </si>
  <si>
    <t>2026-09-03T13:03:55.964413</t>
  </si>
  <si>
    <t>2026-09-03T13:03:55.952401</t>
  </si>
  <si>
    <t>2026-09-03T13:03:55.929751</t>
  </si>
  <si>
    <t>2026-09-03T13:03:55.900337</t>
  </si>
  <si>
    <t>2026-09-03T13:03:55.877930</t>
  </si>
  <si>
    <t>2026-09-03T13:03:55.842387</t>
  </si>
  <si>
    <t>2026-09-03T13:03:55.804899</t>
  </si>
  <si>
    <t>2026-09-03T13:03:55.790706</t>
  </si>
  <si>
    <t>2026-09-03T13:03:55.762288</t>
  </si>
  <si>
    <t>2026-09-03T13:03:55.740269</t>
  </si>
  <si>
    <t>2026-09-03T13:03:55.714246</t>
  </si>
  <si>
    <t>2026-09-03T13:03:55.704134</t>
  </si>
  <si>
    <t>2026-09-03T13:03:55.672888</t>
  </si>
  <si>
    <t>2026-09-03T13:03:55.642814</t>
  </si>
  <si>
    <t>2026-09-03T13:03:55.609842</t>
  </si>
  <si>
    <t>2026-09-03T13:03:41.221814</t>
  </si>
  <si>
    <t>2026-09-03T13:03:41.208593</t>
  </si>
  <si>
    <t>2026-09-03T13:03:41.187862</t>
  </si>
  <si>
    <t>2026-09-03T13:03:41.176232</t>
  </si>
  <si>
    <t>2026-09-03T13:03:41.159605</t>
  </si>
  <si>
    <t>2026-09-03T13:03:41.146178</t>
  </si>
  <si>
    <t>2026-09-03T13:03:41.133275</t>
  </si>
  <si>
    <t>2026-09-03T13:03:41.124524</t>
  </si>
  <si>
    <t>2026-09-03T13:03:41.110254</t>
  </si>
  <si>
    <t>2026-09-03T13:03:41.102356</t>
  </si>
  <si>
    <t>2026-09-03T13:03:41.096156</t>
  </si>
  <si>
    <t>2026-09-03T13:03:41.069349</t>
  </si>
  <si>
    <t>2026-09-03T13:03:41.047981</t>
  </si>
  <si>
    <t>2026-09-03T13:03:41.035460</t>
  </si>
  <si>
    <t>2026-09-03T13:03:41.020613</t>
  </si>
  <si>
    <t>2026-09-03T13:03:40.991037</t>
  </si>
  <si>
    <t>2026-09-03T13:03:40.975858</t>
  </si>
  <si>
    <t>2026-09-03T13:03:40.957727</t>
  </si>
  <si>
    <t>2026-09-03T13:03:40.937638</t>
  </si>
  <si>
    <t>2026-09-03T13:03:40.925417</t>
  </si>
  <si>
    <t>2026-09-03T13:03:40.911745</t>
  </si>
  <si>
    <t>2026-09-03T13:03:40.895942</t>
  </si>
  <si>
    <t>2026-09-03T13:03:40.882175</t>
  </si>
  <si>
    <t>2026-09-03T13:03:40.861454</t>
  </si>
  <si>
    <t>2026-09-03T13:03:40.846771</t>
  </si>
  <si>
    <t>2026-09-03T13:03:40.833313</t>
  </si>
  <si>
    <t>2026-09-03T13:03:40.816504</t>
  </si>
  <si>
    <t>2026-09-03T13:03:40.801313</t>
  </si>
  <si>
    <t>2026-09-03T13:03:40.783714</t>
  </si>
  <si>
    <t>2026-09-03T13:03:40.773552</t>
  </si>
  <si>
    <t>2026-09-03T13:03:40.741326</t>
  </si>
  <si>
    <t>2026-09-03T13:03:40.729010</t>
  </si>
  <si>
    <t>2026-09-03T13:03:40.708272</t>
  </si>
  <si>
    <t>2026-09-03T13:03:40.685579</t>
  </si>
  <si>
    <t>2026-09-03T13:03:40.674081</t>
  </si>
  <si>
    <t>2026-09-03T13:03:40.654458</t>
  </si>
  <si>
    <t>2026-09-03T13:03:40.614165</t>
  </si>
  <si>
    <t>2026-09-03T13:03:40.548951</t>
  </si>
  <si>
    <t>2026-09-03T13:03:40.464863</t>
  </si>
  <si>
    <t>2026-09-03T13:03:40.395537</t>
  </si>
  <si>
    <t>2026-09-03T13:03:40.300702</t>
  </si>
  <si>
    <t>2026-09-03T13:03:40.276099</t>
  </si>
  <si>
    <t>2026-09-03T13:03:40.239791</t>
  </si>
  <si>
    <t>2026-09-03T13:03:40.185654</t>
  </si>
  <si>
    <t>2026-09-03T13:03:40.177903</t>
  </si>
  <si>
    <t>2026-09-03T13:03:40.145837</t>
  </si>
  <si>
    <t>2026-09-03T13:03:40.128132</t>
  </si>
  <si>
    <t>2026-09-03T13:03:40.097961</t>
  </si>
  <si>
    <t>2026-09-03T13:03:40.067705</t>
  </si>
  <si>
    <t>2026-09-03T13:03:40.048190</t>
  </si>
  <si>
    <t>2026-09-03T13:03:40.027043</t>
  </si>
  <si>
    <t>2026-09-03T13:03:40.021032</t>
  </si>
  <si>
    <t>2026-09-03T13:03:39.987555</t>
  </si>
  <si>
    <t>2026-09-03T13:03:39.985877</t>
  </si>
  <si>
    <t>2026-09-03T13:03:39.949333</t>
  </si>
  <si>
    <t>2026-09-03T13:03:39.938186</t>
  </si>
  <si>
    <t>2026-09-03T13:03:39.908963</t>
  </si>
  <si>
    <t>2026-09-03T13:03:39.899733</t>
  </si>
  <si>
    <t>2026-09-03T13:03:39.876061</t>
  </si>
  <si>
    <t>2026-09-03T13:03:39.853785</t>
  </si>
  <si>
    <t>2026-09-03T13:03:39.840802</t>
  </si>
  <si>
    <t>2026-09-03T13:03:39.826710</t>
  </si>
  <si>
    <t>2026-09-03T13:03:39.801901</t>
  </si>
  <si>
    <t>2026-09-03T13:03:39.785706</t>
  </si>
  <si>
    <t>2026-09-03T13:03:39.766753</t>
  </si>
  <si>
    <t>2026-09-03T13:03:39.751315</t>
  </si>
  <si>
    <t>2026-09-03T13:03:39.723010</t>
  </si>
  <si>
    <t>2026-09-03T13:03:39.693686</t>
  </si>
  <si>
    <t>2026-09-03T13:03:39.669314</t>
  </si>
  <si>
    <t>2026-09-03T13:03:39.639322</t>
  </si>
  <si>
    <t>2026-09-03T13:03:39.628159</t>
  </si>
  <si>
    <t>2026-09-03T13:03:39.600303</t>
  </si>
  <si>
    <t>2026-09-03T13:03:39.577427</t>
  </si>
  <si>
    <t>2026-09-03T13:03:39.565247</t>
  </si>
  <si>
    <t>2026-09-03T13:03:39.534242</t>
  </si>
  <si>
    <t>2026-09-03T13:03:39.520697</t>
  </si>
  <si>
    <t>2026-09-03T13:03:39.506700</t>
  </si>
  <si>
    <t>2026-09-03T13:03:39.458546</t>
  </si>
  <si>
    <t>2026-09-03T13:03:39.402300</t>
  </si>
  <si>
    <t>2026-09-03T13:03:39.381086</t>
  </si>
  <si>
    <t>2026-09-03T13:03:39.362427</t>
  </si>
  <si>
    <t>2026-09-03T13:03:39.336571</t>
  </si>
  <si>
    <t>2026-09-03T13:03:39.311067</t>
  </si>
  <si>
    <t>2026-09-03T13:03:39.283161</t>
  </si>
  <si>
    <t>2026-09-03T13:03:39.248429</t>
  </si>
  <si>
    <t>2026-09-03T13:03:39.226612</t>
  </si>
  <si>
    <t>2026-09-03T13:03:39.200809</t>
  </si>
  <si>
    <t>2026-09-03T13:03:39.190192</t>
  </si>
  <si>
    <t>2026-09-03T13:03:39.156390</t>
  </si>
  <si>
    <t>2026-09-03T13:03:39.118256</t>
  </si>
  <si>
    <t>2026-09-03T13:03:39.101479</t>
  </si>
  <si>
    <t>2026-09-03T13:03:39.069837</t>
  </si>
  <si>
    <t>2026-09-03T13:03:39.055295</t>
  </si>
  <si>
    <t>2026-09-03T13:03:39.027099</t>
  </si>
  <si>
    <t>2026-09-03T13:03:39.013706</t>
  </si>
  <si>
    <t>2026-09-03T13:03:38.992604</t>
  </si>
  <si>
    <t>2026-09-03T13:03:38.965018</t>
  </si>
  <si>
    <t>2026-09-03T13:03:38.947982</t>
  </si>
  <si>
    <t>2026-09-03T13:03:38.915402</t>
  </si>
  <si>
    <t>2026-09-03T13:03:38.904558</t>
  </si>
  <si>
    <t>2026-09-03T13:03:38.878061</t>
  </si>
  <si>
    <t>2026-09-03T13:03:38.856253</t>
  </si>
  <si>
    <t>2026-09-03T13:03:38.836115</t>
  </si>
  <si>
    <t>2026-09-03T13:03:38.810951</t>
  </si>
  <si>
    <t>2026-09-03T13:03:38.792702</t>
  </si>
  <si>
    <t>2026-09-03T13:03:38.779611</t>
  </si>
  <si>
    <t>2026-09-03T13:03:38.745821</t>
  </si>
  <si>
    <t>2026-09-03T13:03:38.720583</t>
  </si>
  <si>
    <t>2026-09-03T13:03:38.675002</t>
  </si>
  <si>
    <t>2026-09-03T13:03:38.636846</t>
  </si>
  <si>
    <t>2026-09-03T13:03:33.363377</t>
  </si>
  <si>
    <t>2026-09-03T13:03:33.339456</t>
  </si>
  <si>
    <t>2026-09-03T13:03:33.308933</t>
  </si>
  <si>
    <t>2026-09-03T13:03:33.284020</t>
  </si>
  <si>
    <t>2026-09-03T13:03:33.248014</t>
  </si>
  <si>
    <t>2026-09-03T13:03:33.218253</t>
  </si>
  <si>
    <t>2026-09-03T13:03:23.738764</t>
  </si>
  <si>
    <t>2026-09-03T13:03:23.728322</t>
  </si>
  <si>
    <t>2026-09-03T13:03:23.719557</t>
  </si>
  <si>
    <t>2026-09-03T13:03:23.697658</t>
  </si>
  <si>
    <t>2026-09-03T13:03:23.677327</t>
  </si>
  <si>
    <t>2026-09-03T13:03:23.663262</t>
  </si>
  <si>
    <t>2026-09-03T13:03:23.648736</t>
  </si>
  <si>
    <t>2026-09-03T13:03:23.630409</t>
  </si>
  <si>
    <t>2026-09-03T13:03:23.620180</t>
  </si>
  <si>
    <t>2026-09-03T13:03:23.599181</t>
  </si>
  <si>
    <t>2026-09-03T13:03:23.567483</t>
  </si>
  <si>
    <t>2026-09-03T13:03:23.524146</t>
  </si>
  <si>
    <t>2026-09-03T13:03:23.486752</t>
  </si>
  <si>
    <t>2026-09-03T13:03:23.462008</t>
  </si>
  <si>
    <t>2026-09-03T13:03:14.454718</t>
  </si>
  <si>
    <t>2026-09-03T13:03:14.434123</t>
  </si>
  <si>
    <t>2026-09-03T13:03:14.416126</t>
  </si>
  <si>
    <t>2026-09-03T13:03:14.400943</t>
  </si>
  <si>
    <t>2026-09-03T13:03:14.381036</t>
  </si>
  <si>
    <t>2026-09-03T13:03:14.368236</t>
  </si>
  <si>
    <t>2026-09-03T13:03:14.332981</t>
  </si>
  <si>
    <t>2026-09-03T13:03:14.317020</t>
  </si>
  <si>
    <t>2026-09-03T13:03:14.286776</t>
  </si>
  <si>
    <t>2026-09-03T13:03:14.284830</t>
  </si>
  <si>
    <t>2026-09-03T13:03:14.254831</t>
  </si>
  <si>
    <t>2026-09-03T13:03:14.232713</t>
  </si>
  <si>
    <t>2026-09-03T13:03:05.082105</t>
  </si>
  <si>
    <t>2026-09-03T13:03:05.053211</t>
  </si>
  <si>
    <t>2026-09-03T13:03:05.026820</t>
  </si>
  <si>
    <t>2026-09-03T13:03:04.979812</t>
  </si>
  <si>
    <t>2026-09-03T13:03:04.895181</t>
  </si>
  <si>
    <t>2026-09-03T13:02:59.992271</t>
  </si>
  <si>
    <t>2026-09-03T13:02:59.933207</t>
  </si>
  <si>
    <t>2026-09-03T13:02:55.137209</t>
  </si>
  <si>
    <t>2026-09-03T13:02:55.125726</t>
  </si>
  <si>
    <t>2026-09-03T13:02:55.111643</t>
  </si>
  <si>
    <t>2026-09-03T13:02:55.102358</t>
  </si>
  <si>
    <t>2026-09-03T13:02:55.093849</t>
  </si>
  <si>
    <t>2026-09-03T13:02:55.082257</t>
  </si>
  <si>
    <t>2026-09-03T13:02:55.069126</t>
  </si>
  <si>
    <t>2026-09-03T13:02:55.053866</t>
  </si>
  <si>
    <t>2026-09-03T13:02:55.047088</t>
  </si>
  <si>
    <t>2026-09-03T13:02:55.034677</t>
  </si>
  <si>
    <t>2026-09-03T13:02:55.013310</t>
  </si>
  <si>
    <t>2026-09-03T13:02:55.001682</t>
  </si>
  <si>
    <t>2026-09-03T13:02:54.988251</t>
  </si>
  <si>
    <t>2026-09-03T13:02:54.978182</t>
  </si>
  <si>
    <t>2026-09-03T13:02:54.966483</t>
  </si>
  <si>
    <t>2026-09-03T13:02:54.957387</t>
  </si>
  <si>
    <t>2026-09-03T13:02:54.942547</t>
  </si>
  <si>
    <t>2026-09-03T13:02:54.924363</t>
  </si>
  <si>
    <t>2026-09-03T13:02:49.564083</t>
  </si>
  <si>
    <t>2026-09-03T13:02:49.547168</t>
  </si>
  <si>
    <t>2026-09-03T13:02:49.536277</t>
  </si>
  <si>
    <t>2026-09-03T13:02:49.522368</t>
  </si>
  <si>
    <t>2026-09-03T13:02:49.488805</t>
  </si>
  <si>
    <t>2026-09-03T13:02:49.445209</t>
  </si>
  <si>
    <t>2026-09-03T13:02:49.392161</t>
  </si>
  <si>
    <t>2026-09-03T13:02:49.353596</t>
  </si>
  <si>
    <t>2026-09-03T13:02:49.345758</t>
  </si>
  <si>
    <t>2026-09-03T13:02:49.336291</t>
  </si>
  <si>
    <t>2026-09-03T13:02:49.325177</t>
  </si>
  <si>
    <t>2026-09-03T13:02:49.305367</t>
  </si>
  <si>
    <t>2026-09-03T13:02:49.298674</t>
  </si>
  <si>
    <t>2026-09-03T13:02:49.285152</t>
  </si>
  <si>
    <t>2026-09-03T13:02:49.271471</t>
  </si>
  <si>
    <t>2026-09-03T13:02:49.256939</t>
  </si>
  <si>
    <t>2026-09-03T13:02:49.242335</t>
  </si>
  <si>
    <t>2026-09-03T13:02:49.222639</t>
  </si>
  <si>
    <t>2026-09-03T13:02:49.203561</t>
  </si>
  <si>
    <t>2026-09-03T13:02:49.176998</t>
  </si>
  <si>
    <t>2026-09-03T13:02:49.159462</t>
  </si>
  <si>
    <t>2026-09-03T13:02:49.134083</t>
  </si>
  <si>
    <t>2026-09-03T13:02:49.116813</t>
  </si>
  <si>
    <t>2026-09-03T13:02:49.097216</t>
  </si>
  <si>
    <t>2026-09-03T13:02:44.812504</t>
  </si>
  <si>
    <t>2026-09-03T13:02:44.805962</t>
  </si>
  <si>
    <t>2026-09-03T13:02:44.790587</t>
  </si>
  <si>
    <t>2026-09-03T13:02:44.783684</t>
  </si>
  <si>
    <t>2026-09-03T13:02:44.771733</t>
  </si>
  <si>
    <t>2026-09-03T13:02:44.764530</t>
  </si>
  <si>
    <t>2026-09-03T13:02:44.751478</t>
  </si>
  <si>
    <t>2026-09-03T13:02:44.743832</t>
  </si>
  <si>
    <t>2026-09-03T13:02:44.736779</t>
  </si>
  <si>
    <t>2026-09-03T13:02:44.728291</t>
  </si>
  <si>
    <t>2026-09-03T13:02:44.715336</t>
  </si>
  <si>
    <t>2026-09-03T13:02:44.700489</t>
  </si>
  <si>
    <t>2026-09-03T13:02:44.688109</t>
  </si>
  <si>
    <t>2026-09-03T13:02:44.674782</t>
  </si>
  <si>
    <t>2026-09-03T13:02:44.661526</t>
  </si>
  <si>
    <t>2026-09-03T13:02:44.649903</t>
  </si>
  <si>
    <t>2026-09-03T13:02:44.639373</t>
  </si>
  <si>
    <t>2026-09-03T13:02:44.626302</t>
  </si>
  <si>
    <t>2026-09-03T13:02:44.618539</t>
  </si>
  <si>
    <t>2026-09-03T13:02:44.606864</t>
  </si>
  <si>
    <t>2026-09-03T13:02:44.593402</t>
  </si>
  <si>
    <t>2026-09-03T13:02:44.577590</t>
  </si>
  <si>
    <t>2026-09-03T13:02:44.557520</t>
  </si>
  <si>
    <t>2026-09-03T13:02:44.536699</t>
  </si>
  <si>
    <t>2026-09-03T13:02:37.787031</t>
  </si>
  <si>
    <t>2026-09-03T13:02:37.780036</t>
  </si>
  <si>
    <t>2026-09-03T13:02:37.765732</t>
  </si>
  <si>
    <t>2026-09-03T13:02:37.752318</t>
  </si>
  <si>
    <t>2026-09-03T13:02:37.738036</t>
  </si>
  <si>
    <t>2026-09-03T13:02:37.724303</t>
  </si>
  <si>
    <t>2026-09-03T13:02:37.706022</t>
  </si>
  <si>
    <t>2026-09-03T13:02:37.689562</t>
  </si>
  <si>
    <t>2026-09-03T13:02:37.676067</t>
  </si>
  <si>
    <t>2026-09-03T13:02:37.662706</t>
  </si>
  <si>
    <t>2026-09-03T13:02:37.654611</t>
  </si>
  <si>
    <t>2026-09-03T13:02:37.643214</t>
  </si>
  <si>
    <t>2026-09-03T13:02:37.627088</t>
  </si>
  <si>
    <t>2026-09-03T13:02:37.613941</t>
  </si>
  <si>
    <t>2026-09-03T13:02:37.605425</t>
  </si>
  <si>
    <t>2026-09-03T13:02:37.592353</t>
  </si>
  <si>
    <t>2026-09-03T13:02:37.585070</t>
  </si>
  <si>
    <t>2026-09-03T13:02:37.574553</t>
  </si>
  <si>
    <t>2026-09-03T13:02:37.563536</t>
  </si>
  <si>
    <t>2026-09-03T13:02:37.557536</t>
  </si>
  <si>
    <t>2026-09-03T13:02:37.543252</t>
  </si>
  <si>
    <t>2026-09-03T13:02:37.537773</t>
  </si>
  <si>
    <t>2026-09-03T13:02:37.523170</t>
  </si>
  <si>
    <t>2026-09-03T13:02:37.515729</t>
  </si>
  <si>
    <t>2026-09-03T13:02:37.501559</t>
  </si>
  <si>
    <t>2026-09-03T13:02:37.487708</t>
  </si>
  <si>
    <t>2026-09-03T13:02:37.474862</t>
  </si>
  <si>
    <t>2026-09-03T13:02:37.462446</t>
  </si>
  <si>
    <t>2026-09-03T13:02:37.446514</t>
  </si>
  <si>
    <t>2026-09-03T13:02:37.432345</t>
  </si>
  <si>
    <t>2026-09-03T13:02:37.425230</t>
  </si>
  <si>
    <t>2026-09-03T13:02:37.416565</t>
  </si>
  <si>
    <t>2026-09-03T13:02:37.404097</t>
  </si>
  <si>
    <t>2026-09-03T13:02:37.398236</t>
  </si>
  <si>
    <t>2026-09-03T13:02:37.383097</t>
  </si>
  <si>
    <t>2026-09-03T13:02:37.377134</t>
  </si>
  <si>
    <t>2026-09-03T13:02:37.362628</t>
  </si>
  <si>
    <t>2026-09-03T13:02:37.356433</t>
  </si>
  <si>
    <t>2026-09-03T13:02:37.348499</t>
  </si>
  <si>
    <t>2026-09-03T13:02:37.343001</t>
  </si>
  <si>
    <t>2026-09-03T13:02:37.333624</t>
  </si>
  <si>
    <t>2026-09-03T13:02:37.321012</t>
  </si>
  <si>
    <t>2026-09-03T13:02:37.313686</t>
  </si>
  <si>
    <t>2026-09-03T13:02:37.301228</t>
  </si>
  <si>
    <t>2026-09-03T13:02:37.287108</t>
  </si>
  <si>
    <t>2026-09-03T13:02:37.282042</t>
  </si>
  <si>
    <t>2026-09-03T13:02:37.272568</t>
  </si>
  <si>
    <t>2026-09-03T13:02:37.266726</t>
  </si>
  <si>
    <t>2026-09-03T13:02:37.252649</t>
  </si>
  <si>
    <t>2026-09-03T13:02:37.245592</t>
  </si>
  <si>
    <t>2026-09-03T13:02:37.237437</t>
  </si>
  <si>
    <t>2026-09-03T13:02:37.223618</t>
  </si>
  <si>
    <t>2026-09-03T13:02:37.211309</t>
  </si>
  <si>
    <t>2026-09-03T13:02:37.197097</t>
  </si>
  <si>
    <t>2026-09-03T13:02:37.182054</t>
  </si>
  <si>
    <t>2026-09-03T13:02:37.169882</t>
  </si>
  <si>
    <t>2026-09-03T13:02:37.163160</t>
  </si>
  <si>
    <t>2026-09-03T13:02:37.154504</t>
  </si>
  <si>
    <t>2026-09-03T13:02:37.147428</t>
  </si>
  <si>
    <t>2026-09-03T13:02:37.135057</t>
  </si>
  <si>
    <t>2026-09-03T13:02:37.126417</t>
  </si>
  <si>
    <t>2026-09-03T13:02:37.119567</t>
  </si>
  <si>
    <t>2026-09-03T13:02:37.113813</t>
  </si>
  <si>
    <t>2026-09-03T13:02:37.099594</t>
  </si>
  <si>
    <t>2026-09-03T13:02:37.094019</t>
  </si>
  <si>
    <t>2026-09-03T13:02:37.086869</t>
  </si>
  <si>
    <t>2026-09-03T13:02:37.078206</t>
  </si>
  <si>
    <t>2026-09-03T13:02:37.065319</t>
  </si>
  <si>
    <t>2026-09-03T13:02:37.050964</t>
  </si>
  <si>
    <t>2026-09-03T13:02:37.042559</t>
  </si>
  <si>
    <t>2026-09-03T13:02:37.033376</t>
  </si>
  <si>
    <t>2026-09-03T13:02:37.023643</t>
  </si>
  <si>
    <t>2026-09-03T13:02:37.008815</t>
  </si>
  <si>
    <t>2026-09-03T13:02:37.001685</t>
  </si>
  <si>
    <t>2026-09-03T13:02:36.987974</t>
  </si>
  <si>
    <t>2026-09-03T13:02:36.981417</t>
  </si>
  <si>
    <t>2026-09-03T13:02:36.966920</t>
  </si>
  <si>
    <t>2026-09-03T13:02:36.959616</t>
  </si>
  <si>
    <t>2026-09-03T13:02:36.949034</t>
  </si>
  <si>
    <t>2026-09-03T13:02:36.938484</t>
  </si>
  <si>
    <t>2026-09-03T13:02:36.931153</t>
  </si>
  <si>
    <t>2026-09-03T13:02:36.914700</t>
  </si>
  <si>
    <t>2026-09-03T13:02:36.905892</t>
  </si>
  <si>
    <t>2026-09-03T13:02:36.899507</t>
  </si>
  <si>
    <t>2026-09-03T13:02:36.891050</t>
  </si>
  <si>
    <t>2026-09-03T13:02:36.882491</t>
  </si>
  <si>
    <t>2026-09-03T13:02:36.869528</t>
  </si>
  <si>
    <t>2026-09-03T13:02:36.862762</t>
  </si>
  <si>
    <t>2026-09-03T13:02:36.848494</t>
  </si>
  <si>
    <t>2026-09-03T13:02:36.835057</t>
  </si>
  <si>
    <t>2026-09-03T13:02:36.827793</t>
  </si>
  <si>
    <t>2026-09-03T13:02:36.818114</t>
  </si>
  <si>
    <t>2026-09-03T13:02:36.807320</t>
  </si>
  <si>
    <t>2026-09-03T13:02:36.794426</t>
  </si>
  <si>
    <t>2026-09-03T13:02:36.786091</t>
  </si>
  <si>
    <t>2026-09-03T13:02:36.773348</t>
  </si>
  <si>
    <t>2026-09-03T13:02:36.766593</t>
  </si>
  <si>
    <t>2026-09-03T13:02:36.759948</t>
  </si>
  <si>
    <t>2026-09-03T13:02:36.745046</t>
  </si>
  <si>
    <t>2026-09-03T13:02:36.740010</t>
  </si>
  <si>
    <t>2026-09-03T13:02:36.730500</t>
  </si>
  <si>
    <t>2026-09-03T13:02:36.716425</t>
  </si>
  <si>
    <t>2026-09-03T13:02:36.705833</t>
  </si>
  <si>
    <t>2026-09-03T13:02:36.692222</t>
  </si>
  <si>
    <t>2026-09-03T13:02:36.676385</t>
  </si>
  <si>
    <t>2026-09-03T13:02:36.663510</t>
  </si>
  <si>
    <t>2026-09-03T13:02:36.655208</t>
  </si>
  <si>
    <t>2026-09-03T13:02:36.642030</t>
  </si>
  <si>
    <t>2026-09-03T13:02:36.635795</t>
  </si>
  <si>
    <t>2026-09-03T13:02:36.628201</t>
  </si>
  <si>
    <t>2026-09-03T13:02:36.617677</t>
  </si>
  <si>
    <t>2026-09-03T13:02:36.610831</t>
  </si>
  <si>
    <t>2026-09-03T13:02:36.598927</t>
  </si>
  <si>
    <t>2026-09-03T13:02:36.584790</t>
  </si>
  <si>
    <t>2026-09-03T13:02:36.579130</t>
  </si>
  <si>
    <t>2026-09-03T13:02:36.563292</t>
  </si>
  <si>
    <t>2026-09-03T13:02:36.550306</t>
  </si>
  <si>
    <t>2026-09-03T13:02:36.542120</t>
  </si>
  <si>
    <t>2026-09-03T13:02:36.529475</t>
  </si>
  <si>
    <t>2026-09-03T13:02:36.515757</t>
  </si>
  <si>
    <t>2026-09-03T13:02:36.500218</t>
  </si>
  <si>
    <t>2026-09-03T13:02:36.495642</t>
  </si>
  <si>
    <t>2026-09-03T13:02:36.485027</t>
  </si>
  <si>
    <t>2026-09-03T13:02:36.467900</t>
  </si>
  <si>
    <t>2026-09-03T13:02:36.454183</t>
  </si>
  <si>
    <t>2026-09-03T13:02:36.442001</t>
  </si>
  <si>
    <t>2026-09-03T13:02:36.424917</t>
  </si>
  <si>
    <t>2026-09-03T13:02:36.410998</t>
  </si>
  <si>
    <t>2026-09-03T13:02:36.397911</t>
  </si>
  <si>
    <t>2026-09-03T13:02:36.389170</t>
  </si>
  <si>
    <t>2026-09-03T13:02:36.381090</t>
  </si>
  <si>
    <t>2026-09-03T13:02:36.369151</t>
  </si>
  <si>
    <t>2026-09-03T13:02:36.354387</t>
  </si>
  <si>
    <t>2026-09-03T13:02:36.350518</t>
  </si>
  <si>
    <t>2026-09-03T13:02:36.337024</t>
  </si>
  <si>
    <t>2026-09-03T13:02:36.305964</t>
  </si>
  <si>
    <t>2026-09-03T13:02:36.303980</t>
  </si>
  <si>
    <t>2026-09-03T13:02:36.258684</t>
  </si>
  <si>
    <t>2026-09-03T13:02:36.240857</t>
  </si>
  <si>
    <t>2026-09-03T13:02:36.226646</t>
  </si>
  <si>
    <t>2026-09-03T13:02:36.208654</t>
  </si>
  <si>
    <t>2026-09-03T13:02:36.187755</t>
  </si>
  <si>
    <t>2026-09-03T13:02:36.175021</t>
  </si>
  <si>
    <t>2026-09-03T13:02:36.161502</t>
  </si>
  <si>
    <t>2026-09-03T13:02:36.147926</t>
  </si>
  <si>
    <t>2026-09-03T13:02:36.140848</t>
  </si>
  <si>
    <t>2026-09-03T13:02:36.127618</t>
  </si>
  <si>
    <t>2026-09-03T13:02:36.120238</t>
  </si>
  <si>
    <t>2026-09-03T13:02:36.113338</t>
  </si>
  <si>
    <t>2026-09-03T13:02:36.105791</t>
  </si>
  <si>
    <t>2026-09-03T13:02:36.091588</t>
  </si>
  <si>
    <t>2026-09-03T13:02:36.084002</t>
  </si>
  <si>
    <t>2026-09-03T13:02:36.076546</t>
  </si>
  <si>
    <t>2026-09-03T13:02:36.068710</t>
  </si>
  <si>
    <t>2026-09-03T13:02:36.060248</t>
  </si>
  <si>
    <t>2026-09-03T13:02:36.050246</t>
  </si>
  <si>
    <t>2026-09-03T13:02:36.045082</t>
  </si>
  <si>
    <t>2026-09-03T13:02:36.030825</t>
  </si>
  <si>
    <t>2026-09-03T13:02:36.018694</t>
  </si>
  <si>
    <t>2026-09-03T13:02:36.008603</t>
  </si>
  <si>
    <t>2026-09-03T13:02:35.993132</t>
  </si>
  <si>
    <t>2026-09-03T13:02:35.990048</t>
  </si>
  <si>
    <t>2026-09-03T13:02:35.975652</t>
  </si>
  <si>
    <t>2026-09-03T13:02:35.967409</t>
  </si>
  <si>
    <t>2026-09-03T13:02:35.953395</t>
  </si>
  <si>
    <t>2026-09-03T13:02:35.946949</t>
  </si>
  <si>
    <t>2026-09-03T13:02:35.925935</t>
  </si>
  <si>
    <t>2026-09-03T13:02:35.912011</t>
  </si>
  <si>
    <t>2026-09-03T13:02:35.904936</t>
  </si>
  <si>
    <t>2026-09-03T13:02:35.890337</t>
  </si>
  <si>
    <t>2026-09-03T13:02:35.884512</t>
  </si>
  <si>
    <t>2026-09-03T13:02:35.876854</t>
  </si>
  <si>
    <t>2026-09-03T13:02:35.863615</t>
  </si>
  <si>
    <t>2026-09-03T13:02:35.856258</t>
  </si>
  <si>
    <t>2026-09-03T13:02:35.848714</t>
  </si>
  <si>
    <t>2026-09-03T13:02:35.835055</t>
  </si>
  <si>
    <t>2026-09-03T13:02:35.828849</t>
  </si>
  <si>
    <t>2026-09-03T13:02:35.815183</t>
  </si>
  <si>
    <t>2026-09-03T13:02:35.807179</t>
  </si>
  <si>
    <t>2026-09-03T13:02:35.800364</t>
  </si>
  <si>
    <t>2026-09-03T13:02:35.788427</t>
  </si>
  <si>
    <t>2026-09-03T13:02:35.772201</t>
  </si>
  <si>
    <t>2026-09-03T13:02:35.766537</t>
  </si>
  <si>
    <t>2026-09-03T13:02:35.751563</t>
  </si>
  <si>
    <t>2026-09-03T13:02:35.743330</t>
  </si>
  <si>
    <t>2026-09-03T13:02:35.737536</t>
  </si>
  <si>
    <t>2026-09-03T13:02:35.731177</t>
  </si>
  <si>
    <t>2026-09-03T13:02:35.720070</t>
  </si>
  <si>
    <t>2026-09-03T13:02:35.704444</t>
  </si>
  <si>
    <t>2026-09-03T13:02:35.689686</t>
  </si>
  <si>
    <t>2026-09-03T13:02:35.668552</t>
  </si>
  <si>
    <t>2026-09-03T13:02:35.662369</t>
  </si>
  <si>
    <t>2026-09-03T13:02:35.647554</t>
  </si>
  <si>
    <t>2026-09-03T13:02:35.641268</t>
  </si>
  <si>
    <t>2026-09-03T13:02:35.633710</t>
  </si>
  <si>
    <t>2026-09-03T13:02:35.626323</t>
  </si>
  <si>
    <t>2026-09-03T13:02:35.614753</t>
  </si>
  <si>
    <t>2026-09-03T13:02:35.606337</t>
  </si>
  <si>
    <t>2026-09-03T13:02:35.598872</t>
  </si>
  <si>
    <t>2026-09-03T13:02:35.585384</t>
  </si>
  <si>
    <t>2026-09-03T13:02:35.577823</t>
  </si>
  <si>
    <t>2026-09-03T13:02:35.567543</t>
  </si>
  <si>
    <t>2026-09-03T13:02:35.557206</t>
  </si>
  <si>
    <t>2026-09-03T13:02:35.543790</t>
  </si>
  <si>
    <t>2026-09-03T13:02:35.526772</t>
  </si>
  <si>
    <t>2026-09-03T13:02:35.521490</t>
  </si>
  <si>
    <t>2026-09-03T13:02:35.485334</t>
  </si>
  <si>
    <t>2026-09-03T13:02:35.468392</t>
  </si>
  <si>
    <t>2026-09-03T13:02:35.438904</t>
  </si>
  <si>
    <t>2026-09-03T13:02:35.378031</t>
  </si>
  <si>
    <t>2026-09-03T13:02:35.336435</t>
  </si>
  <si>
    <t>2026-09-03T13:02:35.300013</t>
  </si>
  <si>
    <t>2026-09-03T13:02:35.293518</t>
  </si>
  <si>
    <t>2026-09-03T13:02:35.286232</t>
  </si>
  <si>
    <t>2026-09-03T13:02:35.277224</t>
  </si>
  <si>
    <t>2026-09-03T13:02:35.265630</t>
  </si>
  <si>
    <t>2026-09-03T13:02:35.261510</t>
  </si>
  <si>
    <t>2026-09-03T13:02:35.251400</t>
  </si>
  <si>
    <t>2026-09-03T13:02:35.244834</t>
  </si>
  <si>
    <t>2026-09-03T13:02:35.233555</t>
  </si>
  <si>
    <t>2026-09-03T13:02:35.231232</t>
  </si>
  <si>
    <t>2026-09-03T13:02:35.224422</t>
  </si>
  <si>
    <t>2026-09-03T13:02:35.213428</t>
  </si>
  <si>
    <t>2026-09-03T13:02:35.196923</t>
  </si>
  <si>
    <t>2026-09-03T13:02:35.185579</t>
  </si>
  <si>
    <t>2026-09-03T13:02:35.175493</t>
  </si>
  <si>
    <t>2026-09-03T13:02:35.162969</t>
  </si>
  <si>
    <t>2026-09-03T13:02:35.149282</t>
  </si>
  <si>
    <t>2026-09-03T13:02:35.140642</t>
  </si>
  <si>
    <t>2026-09-03T13:02:35.129986</t>
  </si>
  <si>
    <t>2026-09-03T13:02:35.122932</t>
  </si>
  <si>
    <t>2026-09-03T13:02:35.113679</t>
  </si>
  <si>
    <t>2026-09-03T13:02:35.098972</t>
  </si>
  <si>
    <t>2026-09-03T13:02:35.093448</t>
  </si>
  <si>
    <t>2026-09-03T13:02:35.085898</t>
  </si>
  <si>
    <t>2026-09-03T13:02:35.077944</t>
  </si>
  <si>
    <t>2026-09-03T13:02:35.067079</t>
  </si>
  <si>
    <t>2026-09-03T13:02:35.061122</t>
  </si>
  <si>
    <t>2026-09-03T13:02:35.049416</t>
  </si>
  <si>
    <t>2026-09-03T13:02:35.040429</t>
  </si>
  <si>
    <t>2026-09-03T13:02:35.029832</t>
  </si>
  <si>
    <t>2026-09-03T13:02:35.024104</t>
  </si>
  <si>
    <t>2026-09-03T13:02:35.016801</t>
  </si>
  <si>
    <t>2026-09-03T13:02:35.006334</t>
  </si>
  <si>
    <t>2026-09-03T13:02:34.998366</t>
  </si>
  <si>
    <t>2026-09-03T13:02:34.986905</t>
  </si>
  <si>
    <t>2026-09-03T13:02:34.975881</t>
  </si>
  <si>
    <t>2026-09-03T13:02:34.966784</t>
  </si>
  <si>
    <t>2026-09-03T13:02:34.959144</t>
  </si>
  <si>
    <t>2026-09-03T13:02:34.951377</t>
  </si>
  <si>
    <t>2026-09-03T13:02:34.942246</t>
  </si>
  <si>
    <t>2026-09-03T13:02:34.932493</t>
  </si>
  <si>
    <t>2026-09-03T13:02:34.919490</t>
  </si>
  <si>
    <t>2026-09-03T13:02:34.910494</t>
  </si>
  <si>
    <t>2026-09-03T13:02:34.898085</t>
  </si>
  <si>
    <t>2026-09-03T13:02:34.883622</t>
  </si>
  <si>
    <t>2026-09-03T13:02:34.876863</t>
  </si>
  <si>
    <t>2026-09-03T13:02:34.868568</t>
  </si>
  <si>
    <t>2026-09-03T13:02:34.855702</t>
  </si>
  <si>
    <t>2026-09-03T13:02:34.846460</t>
  </si>
  <si>
    <t>2026-09-03T13:02:34.837730</t>
  </si>
  <si>
    <t>2026-09-03T13:02:34.827434</t>
  </si>
  <si>
    <t>2026-09-03T13:02:34.814906</t>
  </si>
  <si>
    <t>2026-09-03T13:02:34.803961</t>
  </si>
  <si>
    <t>2026-09-03T13:02:34.773560</t>
  </si>
  <si>
    <t>2026-09-03T13:02:34.755983</t>
  </si>
  <si>
    <t>2026-09-03T13:02:34.732405</t>
  </si>
  <si>
    <t>2026-09-03T13:02:30.364792</t>
  </si>
  <si>
    <t>2026-09-03T13:02:30.349459</t>
  </si>
  <si>
    <t>2026-09-03T13:02:30.342366</t>
  </si>
  <si>
    <t>2026-09-03T13:02:30.338737</t>
  </si>
  <si>
    <t>2026-09-03T13:02:30.328668</t>
  </si>
  <si>
    <t>2026-09-03T13:02:30.322034</t>
  </si>
  <si>
    <t>2026-09-03T13:02:30.313682</t>
  </si>
  <si>
    <t>2026-09-03T13:02:30.301191</t>
  </si>
  <si>
    <t>2026-09-03T13:02:30.294108</t>
  </si>
  <si>
    <t>2026-09-03T13:02:30.288349</t>
  </si>
  <si>
    <t>2026-09-03T13:02:30.280247</t>
  </si>
  <si>
    <t>2026-09-03T13:02:30.268525</t>
  </si>
  <si>
    <t>2026-09-03T13:02:30.253089</t>
  </si>
  <si>
    <t>2026-09-03T13:02:30.240861</t>
  </si>
  <si>
    <t>2026-09-03T13:02:30.226543</t>
  </si>
  <si>
    <t>2026-09-03T13:02:30.214568</t>
  </si>
  <si>
    <t>2026-09-03T13:02:30.207327</t>
  </si>
  <si>
    <t>2026-09-03T13:02:30.191966</t>
  </si>
  <si>
    <t>2026-09-03T13:02:30.185183</t>
  </si>
  <si>
    <t>2026-09-03T13:02:30.171144</t>
  </si>
  <si>
    <t>2026-09-03T13:02:30.145196</t>
  </si>
  <si>
    <t>2026-09-03T13:02:30.130696</t>
  </si>
  <si>
    <t>2026-09-03T13:02:30.108420</t>
  </si>
  <si>
    <t>2026-09-03T13:02:30.090089</t>
  </si>
  <si>
    <t>2026-09-03T13:02:30.066182</t>
  </si>
  <si>
    <t>2026-09-03T13:02:30.048946</t>
  </si>
  <si>
    <t>2026-09-03T13:02:30.016925</t>
  </si>
  <si>
    <t>2026-09-03T13:02:29.990548</t>
  </si>
  <si>
    <t>2026-09-03T13:02:29.978920</t>
  </si>
  <si>
    <t>2026-09-03T13:02:29.969348</t>
  </si>
  <si>
    <t>2026-09-03T13:02:29.955582</t>
  </si>
  <si>
    <t>2026-09-03T13:02:29.940459</t>
  </si>
  <si>
    <t>2026-09-03T13:02:29.929310</t>
  </si>
  <si>
    <t>2026-09-03T13:02:29.901248</t>
  </si>
  <si>
    <t>2026-09-03T13:02:29.886611</t>
  </si>
  <si>
    <t>2026-09-03T13:02:29.878336</t>
  </si>
  <si>
    <t>2026-09-03T13:02:29.868261</t>
  </si>
  <si>
    <t>2026-09-03T13:02:29.859210</t>
  </si>
  <si>
    <t>2026-09-03T13:02:29.847569</t>
  </si>
  <si>
    <t>2026-09-03T13:02:29.841427</t>
  </si>
  <si>
    <t>2026-09-03T13:02:29.834446</t>
  </si>
  <si>
    <t>2026-09-03T13:02:29.824849</t>
  </si>
  <si>
    <t>2026-09-03T13:02:29.817837</t>
  </si>
  <si>
    <t>2026-09-03T13:02:29.808890</t>
  </si>
  <si>
    <t>2026-09-03T13:02:29.800357</t>
  </si>
  <si>
    <t>2026-09-03T13:02:29.790144</t>
  </si>
  <si>
    <t>2026-09-03T13:02:29.777005</t>
  </si>
  <si>
    <t>2026-09-03T13:02:29.764319</t>
  </si>
  <si>
    <t>2026-09-03T13:02:29.757949</t>
  </si>
  <si>
    <t>2026-09-03T13:02:29.744837</t>
  </si>
  <si>
    <t>2026-09-03T13:02:29.736424</t>
  </si>
  <si>
    <t>2026-09-03T13:02:29.727375</t>
  </si>
  <si>
    <t>2026-09-03T13:02:29.719675</t>
  </si>
  <si>
    <t>2026-09-03T13:02:29.709935</t>
  </si>
  <si>
    <t>2026-09-03T13:02:29.698336</t>
  </si>
  <si>
    <t>2026-09-03T13:02:29.687487</t>
  </si>
  <si>
    <t>2026-09-03T13:02:29.678474</t>
  </si>
  <si>
    <t>2026-09-03T13:02:29.663342</t>
  </si>
  <si>
    <t>2026-09-03T13:02:29.651319</t>
  </si>
  <si>
    <t>2026-09-03T13:02:29.638755</t>
  </si>
  <si>
    <t>2026-09-03T13:02:29.628731</t>
  </si>
  <si>
    <t>2026-09-03T13:02:29.619310</t>
  </si>
  <si>
    <t>2026-09-03T13:02:29.610273</t>
  </si>
  <si>
    <t>2026-09-03T13:02:29.599605</t>
  </si>
  <si>
    <t>2026-09-03T13:02:29.588637</t>
  </si>
  <si>
    <t>2026-09-03T13:02:29.579713</t>
  </si>
  <si>
    <t>2026-09-03T13:02:29.571600</t>
  </si>
  <si>
    <t>2026-09-03T13:02:29.557656</t>
  </si>
  <si>
    <t>2026-09-03T13:02:29.548996</t>
  </si>
  <si>
    <t>2026-09-03T13:02:29.535430</t>
  </si>
  <si>
    <t>2026-09-03T13:02:29.527014</t>
  </si>
  <si>
    <t>2026-09-03T13:02:29.515051</t>
  </si>
  <si>
    <t>2026-09-03T13:02:29.504266</t>
  </si>
  <si>
    <t>2026-09-03T13:02:29.494249</t>
  </si>
  <si>
    <t>2026-09-03T13:02:29.484391</t>
  </si>
  <si>
    <t>2026-09-03T13:02:29.473390</t>
  </si>
  <si>
    <t>2026-09-03T13:02:29.463786</t>
  </si>
  <si>
    <t>2026-09-03T13:02:29.452525</t>
  </si>
  <si>
    <t>2026-09-03T13:02:29.438047</t>
  </si>
  <si>
    <t>2026-09-03T13:02:29.412422</t>
  </si>
  <si>
    <t>2026-09-03T13:02:29.400564</t>
  </si>
  <si>
    <t>2026-09-03T13:02:29.388246</t>
  </si>
  <si>
    <t>2026-09-03T13:02:29.373735</t>
  </si>
  <si>
    <t>2026-09-03T13:02:29.364330</t>
  </si>
  <si>
    <t>2026-09-03T13:02:29.353329</t>
  </si>
  <si>
    <t>2026-09-03T13:02:29.341121</t>
  </si>
  <si>
    <t>2026-09-03T13:02:29.331739</t>
  </si>
  <si>
    <t>2026-09-03T13:02:29.318584</t>
  </si>
  <si>
    <t>2026-09-03T13:02:29.311093</t>
  </si>
  <si>
    <t>2026-09-03T13:02:29.302972</t>
  </si>
  <si>
    <t>2026-09-03T13:02:29.291628</t>
  </si>
  <si>
    <t>2026-09-03T13:02:29.280038</t>
  </si>
  <si>
    <t>2026-09-03T13:02:29.270642</t>
  </si>
  <si>
    <t>2026-09-03T13:02:29.261786</t>
  </si>
  <si>
    <t>2026-09-03T13:02:29.251111</t>
  </si>
  <si>
    <t>2026-09-03T13:02:29.240631</t>
  </si>
  <si>
    <t>2026-09-03T13:02:29.231617</t>
  </si>
  <si>
    <t>2026-09-03T13:02:29.220897</t>
  </si>
  <si>
    <t>2026-09-03T13:02:29.212051</t>
  </si>
  <si>
    <t>2026-09-03T13:02:29.198436</t>
  </si>
  <si>
    <t>2026-09-03T13:02:29.187509</t>
  </si>
  <si>
    <t>2026-09-03T13:02:29.168832</t>
  </si>
  <si>
    <t>2026-09-03T13:02:29.158674</t>
  </si>
  <si>
    <t>2026-09-03T13:02:29.141949</t>
  </si>
  <si>
    <t>2026-09-03T13:02:29.093230</t>
  </si>
  <si>
    <t>2026-09-03T13:02:29.078596</t>
  </si>
  <si>
    <t>2026-09-03T13:02:29.048439</t>
  </si>
  <si>
    <t>2026-09-03T13:02:28.993198</t>
  </si>
  <si>
    <t>2026-09-03T13:02:28.954763</t>
  </si>
  <si>
    <t>2026-09-03T13:02:28.912725</t>
  </si>
  <si>
    <t>2026-09-03T13:02:28.904877</t>
  </si>
  <si>
    <t>2026-09-03T13:02:28.890616</t>
  </si>
  <si>
    <t>2026-09-03T13:02:28.870319</t>
  </si>
  <si>
    <t>2026-09-03T13:02:28.864269</t>
  </si>
  <si>
    <t>2026-09-03T13:02:28.850693</t>
  </si>
  <si>
    <t>2026-09-03T13:02:28.842615</t>
  </si>
  <si>
    <t>2026-09-03T13:02:28.835597</t>
  </si>
  <si>
    <t>2026-09-03T13:02:28.824433</t>
  </si>
  <si>
    <t>2026-09-03T13:02:28.814728</t>
  </si>
  <si>
    <t>2026-09-03T13:02:28.803475</t>
  </si>
  <si>
    <t>2026-09-03T13:02:28.794054</t>
  </si>
  <si>
    <t>2026-09-03T13:02:28.787149</t>
  </si>
  <si>
    <t>2026-09-03T13:02:28.780014</t>
  </si>
  <si>
    <t>2026-09-03T13:02:28.768747</t>
  </si>
  <si>
    <t>2026-09-03T13:02:28.758482</t>
  </si>
  <si>
    <t>2026-09-03T13:02:28.751632</t>
  </si>
  <si>
    <t>2026-09-03T13:02:28.741009</t>
  </si>
  <si>
    <t>2026-09-03T13:02:28.732558</t>
  </si>
  <si>
    <t>2026-09-03T13:02:28.718565</t>
  </si>
  <si>
    <t>2026-09-03T13:02:28.709770</t>
  </si>
  <si>
    <t>2026-09-03T13:02:28.699000</t>
  </si>
  <si>
    <t>2026-09-03T13:02:28.689183</t>
  </si>
  <si>
    <t>2026-09-03T13:02:28.682135</t>
  </si>
  <si>
    <t>2026-09-03T13:02:28.674039</t>
  </si>
  <si>
    <t>2026-09-03T13:02:28.665934</t>
  </si>
  <si>
    <t>2026-09-03T13:02:28.650125</t>
  </si>
  <si>
    <t>2026-09-03T13:02:28.634769</t>
  </si>
  <si>
    <t>2026-09-03T13:02:28.619875</t>
  </si>
  <si>
    <t>2026-09-03T13:02:28.611995</t>
  </si>
  <si>
    <t>2026-09-03T13:02:28.600600</t>
  </si>
  <si>
    <t>2026-09-03T13:02:28.592617</t>
  </si>
  <si>
    <t>2026-09-03T13:02:28.585288</t>
  </si>
  <si>
    <t>2026-09-03T13:02:28.576710</t>
  </si>
  <si>
    <t>2026-09-03T13:02:28.568510</t>
  </si>
  <si>
    <t>2026-09-03T13:02:28.558352</t>
  </si>
  <si>
    <t>2026-09-03T13:02:28.549861</t>
  </si>
  <si>
    <t>2026-09-03T13:02:28.540656</t>
  </si>
  <si>
    <t>2026-09-03T13:02:28.531976</t>
  </si>
  <si>
    <t>2026-09-03T13:02:28.523808</t>
  </si>
  <si>
    <t>2026-09-03T13:02:28.509451</t>
  </si>
  <si>
    <t>2026-09-03T13:02:28.502693</t>
  </si>
  <si>
    <t>2026-09-03T13:02:28.488437</t>
  </si>
  <si>
    <t>2026-09-03T13:02:28.475259</t>
  </si>
  <si>
    <t>2026-09-03T13:02:28.467580</t>
  </si>
  <si>
    <t>2026-09-03T13:02:28.460156</t>
  </si>
  <si>
    <t>2026-09-03T13:02:28.449299</t>
  </si>
  <si>
    <t>2026-09-03T13:02:28.440681</t>
  </si>
  <si>
    <t>2026-09-03T13:02:28.432033</t>
  </si>
  <si>
    <t>2026-09-03T13:02:28.418350</t>
  </si>
  <si>
    <t>2026-09-03T13:02:28.412563</t>
  </si>
  <si>
    <t>2026-09-03T13:02:28.398709</t>
  </si>
  <si>
    <t>2026-09-03T13:02:28.389149</t>
  </si>
  <si>
    <t>2026-09-03T13:02:28.371902</t>
  </si>
  <si>
    <t>2026-09-03T13:02:28.365374</t>
  </si>
  <si>
    <t>2026-09-03T13:02:28.353464</t>
  </si>
  <si>
    <t>2026-09-03T13:02:16.166779</t>
  </si>
  <si>
    <t>2026-09-03T13:02:16.150463</t>
  </si>
  <si>
    <t>2026-09-03T13:02:07.679128</t>
  </si>
  <si>
    <t>2026-09-03T13:02:07.666244</t>
  </si>
  <si>
    <t>2026-09-03T13:02:07.651619</t>
  </si>
  <si>
    <t>2026-09-03T13:02:07.637661</t>
  </si>
  <si>
    <t>2026-09-03T13:02:07.623515</t>
  </si>
  <si>
    <t>2026-09-03T13:02:07.613188</t>
  </si>
  <si>
    <t>2026-09-03T13:02:07.604301</t>
  </si>
  <si>
    <t>2026-09-03T13:02:07.588143</t>
  </si>
  <si>
    <t>2026-09-03T13:02:07.578121</t>
  </si>
  <si>
    <t>2026-09-03T13:02:07.559086</t>
  </si>
  <si>
    <t>2026-09-03T13:02:07.540203</t>
  </si>
  <si>
    <t>2026-09-03T13:02:07.520818</t>
  </si>
  <si>
    <t>2026-09-03T13:02:07.507558</t>
  </si>
  <si>
    <t>2026-09-03T13:02:07.499548</t>
  </si>
  <si>
    <t>2026-09-03T13:02:07.487247</t>
  </si>
  <si>
    <t>2026-09-03T13:02:07.472531</t>
  </si>
  <si>
    <t>2026-09-03T13:02:07.459498</t>
  </si>
  <si>
    <t>2026-09-03T13:02:07.443718</t>
  </si>
  <si>
    <t>2026-09-03T13:02:07.428121</t>
  </si>
  <si>
    <t>2026-09-03T13:02:07.408814</t>
  </si>
  <si>
    <t>2026-09-03T13:02:07.395649</t>
  </si>
  <si>
    <t>2026-09-03T13:02:07.375598</t>
  </si>
  <si>
    <t>2026-09-03T13:02:07.357886</t>
  </si>
  <si>
    <t>2026-09-03T13:01:57.103732</t>
  </si>
  <si>
    <t>2026-09-03T13:01:57.095379</t>
  </si>
  <si>
    <t>2026-09-03T13:01:57.085993</t>
  </si>
  <si>
    <t>2026-09-03T13:01:57.075328</t>
  </si>
  <si>
    <t>2026-09-03T13:01:57.063243</t>
  </si>
  <si>
    <t>2026-09-03T13:01:57.048405</t>
  </si>
  <si>
    <t>2026-09-03T13:01:57.039311</t>
  </si>
  <si>
    <t>2026-09-03T13:01:57.016125</t>
  </si>
  <si>
    <t>2026-09-03T13:01:56.990463</t>
  </si>
  <si>
    <t>2026-09-03T13:01:48.876657</t>
  </si>
  <si>
    <t>2026-09-03T13:01:48.864366</t>
  </si>
  <si>
    <t>2026-09-03T13:01:48.855744</t>
  </si>
  <si>
    <t>2026-09-03T13:01:48.848598</t>
  </si>
  <si>
    <t>2026-09-03T13:01:48.841750</t>
  </si>
  <si>
    <t>2026-09-03T13:01:48.833469</t>
  </si>
  <si>
    <t>2026-09-03T13:01:48.820874</t>
  </si>
  <si>
    <t>2026-09-03T13:01:48.812609</t>
  </si>
  <si>
    <t>2026-09-03T13:01:48.799669</t>
  </si>
  <si>
    <t>2026-09-03T13:01:48.793535</t>
  </si>
  <si>
    <t>2026-09-03T13:01:48.779266</t>
  </si>
  <si>
    <t>2026-09-03T13:01:48.771905</t>
  </si>
  <si>
    <t>2026-09-03T13:01:48.765124</t>
  </si>
  <si>
    <t>2026-09-03T13:01:48.752664</t>
  </si>
  <si>
    <t>2026-09-03T13:01:48.738582</t>
  </si>
  <si>
    <t>2026-09-03T13:01:48.730321</t>
  </si>
  <si>
    <t>2026-09-03T13:01:48.719247</t>
  </si>
  <si>
    <t>2026-09-03T13:01:48.705355</t>
  </si>
  <si>
    <t>2026-09-03T13:01:48.696185</t>
  </si>
  <si>
    <t>2026-09-03T13:01:48.683983</t>
  </si>
  <si>
    <t>2026-09-03T13:01:48.680567</t>
  </si>
  <si>
    <t>2026-09-03T13:01:48.669985</t>
  </si>
  <si>
    <t>2026-09-03T13:01:48.661012</t>
  </si>
  <si>
    <t>2026-09-03T13:01:48.648579</t>
  </si>
  <si>
    <t>2026-09-03T13:01:48.640366</t>
  </si>
  <si>
    <t>2026-09-03T13:01:48.635625</t>
  </si>
  <si>
    <t>2026-09-03T13:01:48.627813</t>
  </si>
  <si>
    <t>2026-09-03T13:01:48.612943</t>
  </si>
  <si>
    <t>2026-09-03T13:01:48.605180</t>
  </si>
  <si>
    <t>2026-09-03T13:01:48.600343</t>
  </si>
  <si>
    <t>2026-09-03T13:01:48.584863</t>
  </si>
  <si>
    <t>2026-09-03T13:01:48.578141</t>
  </si>
  <si>
    <t>2026-09-03T13:01:48.570631</t>
  </si>
  <si>
    <t>2026-09-03T13:01:48.557814</t>
  </si>
  <si>
    <t>2026-09-03T13:01:48.549973</t>
  </si>
  <si>
    <t>2026-09-03T13:01:48.541726</t>
  </si>
  <si>
    <t>2026-09-03T13:01:48.530584</t>
  </si>
  <si>
    <t>2026-09-03T13:01:48.522399</t>
  </si>
  <si>
    <t>2026-09-03T13:01:48.507026</t>
  </si>
  <si>
    <t>2026-09-03T13:01:48.494748</t>
  </si>
  <si>
    <t>2026-09-03T13:01:48.475220</t>
  </si>
  <si>
    <t>2026-09-03T13:01:48.463569</t>
  </si>
  <si>
    <t>2026-09-03T13:01:48.445547</t>
  </si>
  <si>
    <t>2026-09-03T13:01:48.434470</t>
  </si>
  <si>
    <t>2026-09-03T13:01:48.424986</t>
  </si>
  <si>
    <t>2026-09-03T13:01:48.411093</t>
  </si>
  <si>
    <t>2026-09-03T13:01:48.404928</t>
  </si>
  <si>
    <t>2026-09-03T13:01:48.390328</t>
  </si>
  <si>
    <t>2026-09-03T13:01:48.384375</t>
  </si>
  <si>
    <t>2026-09-03T13:01:48.375114</t>
  </si>
  <si>
    <t>2026-09-03T13:01:48.363862</t>
  </si>
  <si>
    <t>2026-09-03T13:01:48.355551</t>
  </si>
  <si>
    <t>2026-09-03T13:01:48.347055</t>
  </si>
  <si>
    <t>2026-09-03T13:01:48.335697</t>
  </si>
  <si>
    <t>2026-09-03T13:01:48.320742</t>
  </si>
  <si>
    <t>2026-09-03T13:01:48.306185</t>
  </si>
  <si>
    <t>2026-09-03T13:01:48.281810</t>
  </si>
  <si>
    <t>2026-09-03T13:01:48.272598</t>
  </si>
  <si>
    <t>2026-09-03T13:01:48.250746</t>
  </si>
  <si>
    <t>2026-09-03T13:01:48.245740</t>
  </si>
  <si>
    <t>2026-09-03T13:01:48.206956</t>
  </si>
  <si>
    <t>2026-09-03T13:01:48.175246</t>
  </si>
  <si>
    <t>2026-09-03T13:01:48.148010</t>
  </si>
  <si>
    <t>2026-09-03T13:01:48.102012</t>
  </si>
  <si>
    <t>2026-09-03T13:01:48.062581</t>
  </si>
  <si>
    <t>2026-09-03T13:01:48.030948</t>
  </si>
  <si>
    <t>2026-09-03T13:01:48.023009</t>
  </si>
  <si>
    <t>2026-09-03T13:01:48.011462</t>
  </si>
  <si>
    <t>2026-09-03T13:01:47.998253</t>
  </si>
  <si>
    <t>2026-09-03T13:01:47.987821</t>
  </si>
  <si>
    <t>2026-09-03T13:01:47.974184</t>
  </si>
  <si>
    <t>2026-09-03T13:01:47.960292</t>
  </si>
  <si>
    <t>2026-09-03T13:01:47.950098</t>
  </si>
  <si>
    <t>2026-09-03T13:01:47.942246</t>
  </si>
  <si>
    <t>2026-09-03T13:01:47.924831</t>
  </si>
  <si>
    <t>2026-09-03T13:01:47.918828</t>
  </si>
  <si>
    <t>2026-09-03T13:01:47.910969</t>
  </si>
  <si>
    <t>2026-09-03T13:01:47.904997</t>
  </si>
  <si>
    <t>2026-09-03T13:01:47.889519</t>
  </si>
  <si>
    <t>2026-09-03T13:01:47.882303</t>
  </si>
  <si>
    <t>2026-09-03T13:01:47.869464</t>
  </si>
  <si>
    <t>2026-09-03T13:01:47.864925</t>
  </si>
  <si>
    <t>2026-09-03T13:01:47.855328</t>
  </si>
  <si>
    <t>2026-09-03T13:01:47.841403</t>
  </si>
  <si>
    <t>2026-09-03T13:01:47.835041</t>
  </si>
  <si>
    <t>2026-09-03T13:01:47.821051</t>
  </si>
  <si>
    <t>2026-09-03T13:01:47.806386</t>
  </si>
  <si>
    <t>2026-09-03T13:01:47.798129</t>
  </si>
  <si>
    <t>2026-09-03T13:01:47.785906</t>
  </si>
  <si>
    <t>2026-09-03T13:01:47.777292</t>
  </si>
  <si>
    <t>2026-09-03T13:01:47.764686</t>
  </si>
  <si>
    <t>2026-09-03T13:01:47.756917</t>
  </si>
  <si>
    <t>2026-09-03T13:01:47.745330</t>
  </si>
  <si>
    <t>2026-09-03T13:01:47.732515</t>
  </si>
  <si>
    <t>2026-09-03T13:01:47.717928</t>
  </si>
  <si>
    <t>2026-09-03T13:01:47.703387</t>
  </si>
  <si>
    <t>2026-09-03T13:01:47.693952</t>
  </si>
  <si>
    <t>2026-09-03T13:01:47.682610</t>
  </si>
  <si>
    <t>2026-09-03T13:01:47.666986</t>
  </si>
  <si>
    <t>2026-09-03T13:01:47.654582</t>
  </si>
  <si>
    <t>2026-09-03T13:01:47.638692</t>
  </si>
  <si>
    <t>2026-09-03T13:01:47.633420</t>
  </si>
  <si>
    <t>2026-09-03T13:01:47.619711</t>
  </si>
  <si>
    <t>2026-09-03T13:01:47.605473</t>
  </si>
  <si>
    <t>2026-09-03T13:01:47.599413</t>
  </si>
  <si>
    <t>2026-09-03T13:01:47.591660</t>
  </si>
  <si>
    <t>2026-09-03T13:01:47.577777</t>
  </si>
  <si>
    <t>2026-09-03T13:01:47.557680</t>
  </si>
  <si>
    <t>2026-09-03T13:01:47.550286</t>
  </si>
  <si>
    <t>2026-09-03T13:01:47.537282</t>
  </si>
  <si>
    <t>2026-09-03T13:01:47.530359</t>
  </si>
  <si>
    <t>2026-09-03T13:01:47.516731</t>
  </si>
  <si>
    <t>2026-09-03T13:01:47.508339</t>
  </si>
  <si>
    <t>2026-09-03T13:01:47.502173</t>
  </si>
  <si>
    <t>2026-09-03T13:01:47.487826</t>
  </si>
  <si>
    <t>2026-09-03T13:01:47.480543</t>
  </si>
  <si>
    <t>2026-09-03T13:01:47.469480</t>
  </si>
  <si>
    <t>2026-09-03T13:01:47.453996</t>
  </si>
  <si>
    <t>2026-09-03T13:01:47.440265</t>
  </si>
  <si>
    <t>2026-09-03T13:01:47.432906</t>
  </si>
  <si>
    <t>2026-09-03T13:01:43.096606</t>
  </si>
  <si>
    <t>2026-09-03T13:01:43.077876</t>
  </si>
  <si>
    <t>2026-09-03T13:01:43.060157</t>
  </si>
  <si>
    <t>2026-09-03T13:01:43.023760</t>
  </si>
  <si>
    <t>2026-09-03T13:01:43.002570</t>
  </si>
  <si>
    <t>2026-09-03T13:01:34.163150</t>
  </si>
  <si>
    <t>2026-09-03T13:01:34.156322</t>
  </si>
  <si>
    <t>2026-09-03T13:01:34.142819</t>
  </si>
  <si>
    <t>2026-09-03T13:01:34.135232</t>
  </si>
  <si>
    <t>2026-09-03T13:01:34.121302</t>
  </si>
  <si>
    <t>2026-09-03T13:01:34.108715</t>
  </si>
  <si>
    <t>2026-09-03T13:01:34.102245</t>
  </si>
  <si>
    <t>2026-09-03T13:01:34.093937</t>
  </si>
  <si>
    <t>2026-09-03T13:01:34.080894</t>
  </si>
  <si>
    <t>2026-09-03T13:01:34.073361</t>
  </si>
  <si>
    <t>2026-09-03T13:01:34.064550</t>
  </si>
  <si>
    <t>2026-09-03T13:01:34.052715</t>
  </si>
  <si>
    <t>2026-09-03T13:01:34.039154</t>
  </si>
  <si>
    <t>2026-09-03T13:01:34.025274</t>
  </si>
  <si>
    <t>2026-09-03T13:01:34.018805</t>
  </si>
  <si>
    <t>2026-09-03T13:01:34.010377</t>
  </si>
  <si>
    <t>2026-09-03T13:01:34.002101</t>
  </si>
  <si>
    <t>2026-09-03T13:01:33.990449</t>
  </si>
  <si>
    <t>2026-09-03T13:01:33.976175</t>
  </si>
  <si>
    <t>2026-09-03T13:01:33.958178</t>
  </si>
  <si>
    <t>2026-09-03T13:01:33.945704</t>
  </si>
  <si>
    <t>2026-09-03T13:01:33.920281</t>
  </si>
  <si>
    <t>2026-09-03T13:01:33.905105</t>
  </si>
  <si>
    <t>2026-09-03T13:01:29.614336</t>
  </si>
  <si>
    <t>2026-09-03T13:01:29.602455</t>
  </si>
  <si>
    <t>2026-09-03T13:01:29.590681</t>
  </si>
  <si>
    <t>2026-09-03T13:01:29.580518</t>
  </si>
  <si>
    <t>2026-09-03T13:01:29.560128</t>
  </si>
  <si>
    <t>2026-09-03T13:01:29.540578</t>
  </si>
  <si>
    <t>2026-09-03T13:01:29.524664</t>
  </si>
  <si>
    <t>2026-09-03T13:01:29.494272</t>
  </si>
  <si>
    <t>2026-09-03T13:01:29.478424</t>
  </si>
  <si>
    <t>2026-09-03T13:01:21.727143</t>
  </si>
  <si>
    <t>2026-09-03T13:01:21.713889</t>
  </si>
  <si>
    <t>2026-09-03T13:01:21.706900</t>
  </si>
  <si>
    <t>2026-09-03T13:01:21.698289</t>
  </si>
  <si>
    <t>2026-09-03T13:01:21.686212</t>
  </si>
  <si>
    <t>2026-09-03T13:01:21.678898</t>
  </si>
  <si>
    <t>2026-09-03T13:01:21.664774</t>
  </si>
  <si>
    <t>2026-09-03T13:01:21.657801</t>
  </si>
  <si>
    <t>2026-09-03T13:01:21.643918</t>
  </si>
  <si>
    <t>2026-09-03T13:01:21.637493</t>
  </si>
  <si>
    <t>2026-09-03T13:01:21.623198</t>
  </si>
  <si>
    <t>2026-09-03T13:01:21.609008</t>
  </si>
  <si>
    <t>2026-09-03T13:01:21.603113</t>
  </si>
  <si>
    <t>2026-09-03T13:01:21.588708</t>
  </si>
  <si>
    <t>2026-09-03T13:01:21.581269</t>
  </si>
  <si>
    <t>2026-09-03T13:01:21.574280</t>
  </si>
  <si>
    <t>2026-09-03T13:01:21.567418</t>
  </si>
  <si>
    <t>2026-09-03T13:01:21.560952</t>
  </si>
  <si>
    <t>2026-09-03T13:01:21.547865</t>
  </si>
  <si>
    <t>2026-09-03T13:01:21.541119</t>
  </si>
  <si>
    <t>2026-09-03T13:01:21.531727</t>
  </si>
  <si>
    <t>2026-09-03T13:01:21.519330</t>
  </si>
  <si>
    <t>2026-09-03T13:01:21.505138</t>
  </si>
  <si>
    <t>2026-09-03T13:01:21.497000</t>
  </si>
  <si>
    <t>2026-09-03T13:01:21.468738</t>
  </si>
  <si>
    <t>2026-09-03T13:01:21.457683</t>
  </si>
  <si>
    <t>2026-09-03T13:01:21.442024</t>
  </si>
  <si>
    <t>2026-09-03T13:01:21.407716</t>
  </si>
  <si>
    <t>2026-09-03T13:01:21.367769</t>
  </si>
  <si>
    <t>2026-09-03T13:01:21.338487</t>
  </si>
  <si>
    <t>2026-09-03T13:01:21.325254</t>
  </si>
  <si>
    <t>2026-09-03T13:01:21.318000</t>
  </si>
  <si>
    <t>2026-09-03T13:01:21.304250</t>
  </si>
  <si>
    <t>2026-09-03T13:01:21.290672</t>
  </si>
  <si>
    <t>2026-09-03T13:01:21.269952</t>
  </si>
  <si>
    <t>2026-09-03T13:01:21.263773</t>
  </si>
  <si>
    <t>2026-09-03T13:01:21.249758</t>
  </si>
  <si>
    <t>2026-09-03T13:01:21.241226</t>
  </si>
  <si>
    <t>2026-09-03T13:01:21.234857</t>
  </si>
  <si>
    <t>2026-09-03T13:01:21.220761</t>
  </si>
  <si>
    <t>2026-09-03T13:01:21.213520</t>
  </si>
  <si>
    <t>2026-09-03T13:01:21.200669</t>
  </si>
  <si>
    <t>2026-09-03T13:01:21.192482</t>
  </si>
  <si>
    <t>2026-09-03T13:01:21.178642</t>
  </si>
  <si>
    <t>2026-09-03T13:01:21.170704</t>
  </si>
  <si>
    <t>2026-09-03T13:01:21.157961</t>
  </si>
  <si>
    <t>2026-09-03T13:01:21.145077</t>
  </si>
  <si>
    <t>2026-09-03T13:01:21.137093</t>
  </si>
  <si>
    <t>2026-09-03T13:01:21.123228</t>
  </si>
  <si>
    <t>2026-09-03T13:01:21.119343</t>
  </si>
  <si>
    <t>2026-09-03T13:01:21.109734</t>
  </si>
  <si>
    <t>2026-09-03T13:01:21.101344</t>
  </si>
  <si>
    <t>2026-09-03T13:01:21.076867</t>
  </si>
  <si>
    <t>2026-09-03T13:01:21.060908</t>
  </si>
  <si>
    <t>2026-09-03T13:01:20.951548</t>
  </si>
  <si>
    <t>2026-09-03T13:01:20.944999</t>
  </si>
  <si>
    <t>2026-09-03T13:01:20.933593</t>
  </si>
  <si>
    <t>2026-09-03T13:01:20.920672</t>
  </si>
  <si>
    <t>2026-09-03T13:01:20.909538</t>
  </si>
  <si>
    <t>2026-09-03T13:01:20.881750</t>
  </si>
  <si>
    <t>2026-09-03T13:01:20.866358</t>
  </si>
  <si>
    <t>2026-09-03T13:01:20.853386</t>
  </si>
  <si>
    <t>2026-09-03T13:01:20.846467</t>
  </si>
  <si>
    <t>2026-09-03T13:01:20.833007</t>
  </si>
  <si>
    <t>2026-09-03T13:01:20.824637</t>
  </si>
  <si>
    <t>2026-09-03T13:01:20.811650</t>
  </si>
  <si>
    <t>2026-09-03T13:01:20.802895</t>
  </si>
  <si>
    <t>2026-09-03T13:01:20.796150</t>
  </si>
  <si>
    <t>2026-09-03T13:01:20.783800</t>
  </si>
  <si>
    <t>2026-09-03T13:01:20.766575</t>
  </si>
  <si>
    <t>2026-09-03T13:01:08.278472</t>
  </si>
  <si>
    <t>2026-09-03T13:01:08.264709</t>
  </si>
  <si>
    <t>2026-09-03T13:01:08.256009</t>
  </si>
  <si>
    <t>2026-09-03T13:01:08.244177</t>
  </si>
  <si>
    <t>2026-09-03T13:01:08.227936</t>
  </si>
  <si>
    <t>2026-09-03T13:01:08.222305</t>
  </si>
  <si>
    <t>2026-09-03T13:01:08.211456</t>
  </si>
  <si>
    <t>2026-09-03T13:01:08.198375</t>
  </si>
  <si>
    <t>2026-09-03T13:01:08.184386</t>
  </si>
  <si>
    <t>2026-09-03T13:01:08.166695</t>
  </si>
  <si>
    <t>2026-09-03T13:01:08.152260</t>
  </si>
  <si>
    <t>2026-09-03T13:01:08.140957</t>
  </si>
  <si>
    <t>2026-09-03T13:01:08.125485</t>
  </si>
  <si>
    <t>2026-09-03T13:01:08.116823</t>
  </si>
  <si>
    <t>2026-09-03T13:01:08.104563</t>
  </si>
  <si>
    <t>2026-09-03T13:01:08.096126</t>
  </si>
  <si>
    <t>2026-09-03T13:01:08.084989</t>
  </si>
  <si>
    <t>2026-09-03T13:01:08.069555</t>
  </si>
  <si>
    <t>2026-09-03T13:01:08.061443</t>
  </si>
  <si>
    <t>2026-09-03T13:01:08.050007</t>
  </si>
  <si>
    <t>2026-09-03T13:01:08.035805</t>
  </si>
  <si>
    <t>2026-09-03T13:01:08.021174</t>
  </si>
  <si>
    <t>2026-09-03T13:01:08.008127</t>
  </si>
  <si>
    <t>2026-09-03T13:01:07.993449</t>
  </si>
  <si>
    <t>2026-09-03T13:01:07.979331</t>
  </si>
  <si>
    <t>2026-09-03T13:01:07.965753</t>
  </si>
  <si>
    <t>2026-09-03T13:01:07.951564</t>
  </si>
  <si>
    <t>2026-09-03T13:01:07.943327</t>
  </si>
  <si>
    <t>2026-09-03T13:01:07.930977</t>
  </si>
  <si>
    <t>2026-09-03T13:01:07.917669</t>
  </si>
  <si>
    <t>2026-09-03T13:01:07.903913</t>
  </si>
  <si>
    <t>2026-09-03T13:01:07.895335</t>
  </si>
  <si>
    <t>2026-09-03T13:01:07.882541</t>
  </si>
  <si>
    <t>2026-09-03T13:01:07.867443</t>
  </si>
  <si>
    <t>2026-09-03T13:01:07.860599</t>
  </si>
  <si>
    <t>2026-09-03T13:01:07.850707</t>
  </si>
  <si>
    <t>2026-09-03T13:01:07.832787</t>
  </si>
  <si>
    <t>2026-09-03T13:01:07.818700</t>
  </si>
  <si>
    <t>2026-09-03T13:01:07.806747</t>
  </si>
  <si>
    <t>2026-09-03T13:01:07.792909</t>
  </si>
  <si>
    <t>2026-09-03T13:01:07.786005</t>
  </si>
  <si>
    <t>2026-09-03T13:01:07.771818</t>
  </si>
  <si>
    <t>2026-09-03T13:01:07.758219</t>
  </si>
  <si>
    <t>2026-09-03T13:01:07.749101</t>
  </si>
  <si>
    <t>2026-09-03T13:01:07.735078</t>
  </si>
  <si>
    <t>2026-09-03T13:01:07.721878</t>
  </si>
  <si>
    <t>2026-09-03T13:01:07.703092</t>
  </si>
  <si>
    <t>2026-09-03T13:01:07.681109</t>
  </si>
  <si>
    <t>2026-09-03T13:01:07.665476</t>
  </si>
  <si>
    <t>2026-09-03T13:01:07.651760</t>
  </si>
  <si>
    <t>2026-09-03T13:01:07.630758</t>
  </si>
  <si>
    <t>2026-09-03T13:01:07.621353</t>
  </si>
  <si>
    <t>2026-09-03T13:01:07.604923</t>
  </si>
  <si>
    <t>2026-09-03T13:01:07.590984</t>
  </si>
  <si>
    <t>2026-09-03T13:01:07.582261</t>
  </si>
  <si>
    <t>2026-09-03T13:01:07.569913</t>
  </si>
  <si>
    <t>2026-09-03T13:01:07.556297</t>
  </si>
  <si>
    <t>2026-09-03T13:01:07.541770</t>
  </si>
  <si>
    <t>2026-09-03T13:01:07.535543</t>
  </si>
  <si>
    <t>2026-09-03T13:01:07.520977</t>
  </si>
  <si>
    <t>2026-09-03T13:01:07.512842</t>
  </si>
  <si>
    <t>2026-09-03T13:01:07.499014</t>
  </si>
  <si>
    <t>2026-09-03T13:01:07.486193</t>
  </si>
  <si>
    <t>2026-09-03T13:01:07.474104</t>
  </si>
  <si>
    <t>2026-09-03T13:01:07.464188</t>
  </si>
  <si>
    <t>2026-09-03T13:01:07.451518</t>
  </si>
  <si>
    <t>2026-09-03T13:01:07.438308</t>
  </si>
  <si>
    <t>2026-09-03T13:01:07.423536</t>
  </si>
  <si>
    <t>2026-09-03T13:01:07.410223</t>
  </si>
  <si>
    <t>2026-09-03T13:01:07.389086</t>
  </si>
  <si>
    <t>2026-09-03T13:01:07.375850</t>
  </si>
  <si>
    <t>2026-09-03T13:01:07.359955</t>
  </si>
  <si>
    <t>2026-09-03T13:01:07.355651</t>
  </si>
  <si>
    <t>2026-09-03T13:01:07.341863</t>
  </si>
  <si>
    <t>2026-09-03T13:01:07.326698</t>
  </si>
  <si>
    <t>2026-09-03T13:01:07.313312</t>
  </si>
  <si>
    <t>2026-09-03T13:01:07.299213</t>
  </si>
  <si>
    <t>2026-09-03T13:01:07.281853</t>
  </si>
  <si>
    <t>2026-09-03T13:01:07.267122</t>
  </si>
  <si>
    <t>2026-09-03T13:01:07.248943</t>
  </si>
  <si>
    <t>2026-09-03T13:01:07.243109</t>
  </si>
  <si>
    <t>2026-09-03T13:01:07.230424</t>
  </si>
  <si>
    <t>2026-09-03T13:01:07.211915</t>
  </si>
  <si>
    <t>2026-09-03T13:01:07.195481</t>
  </si>
  <si>
    <t>2026-09-03T13:01:07.181508</t>
  </si>
  <si>
    <t>2026-09-03T13:01:07.164364</t>
  </si>
  <si>
    <t>2026-09-03T13:01:07.145977</t>
  </si>
  <si>
    <t>2026-09-03T13:01:07.135195</t>
  </si>
  <si>
    <t>2026-09-03T13:01:07.118274</t>
  </si>
  <si>
    <t>2026-09-03T13:01:07.107374</t>
  </si>
  <si>
    <t>2026-09-03T13:01:07.092175</t>
  </si>
  <si>
    <t>2026-09-03T13:01:07.082826</t>
  </si>
  <si>
    <t>2026-09-03T13:01:07.070272</t>
  </si>
  <si>
    <t>2026-09-03T13:01:07.055756</t>
  </si>
  <si>
    <t>2026-09-03T13:01:07.041980</t>
  </si>
  <si>
    <t>2026-09-03T13:01:07.035474</t>
  </si>
  <si>
    <t>2026-09-03T13:01:07.022263</t>
  </si>
  <si>
    <t>2026-09-03T13:01:07.007494</t>
  </si>
  <si>
    <t>2026-09-03T13:01:06.994968</t>
  </si>
  <si>
    <t>2026-09-03T13:01:06.979280</t>
  </si>
  <si>
    <t>2026-09-03T13:01:06.964285</t>
  </si>
  <si>
    <t>2026-09-03T13:01:06.950622</t>
  </si>
  <si>
    <t>2026-09-03T13:01:06.939000</t>
  </si>
  <si>
    <t>2026-09-03T13:01:06.923709</t>
  </si>
  <si>
    <t>2026-09-03T13:01:06.910744</t>
  </si>
  <si>
    <t>2026-09-03T13:01:06.896978</t>
  </si>
  <si>
    <t>2026-09-03T13:01:06.882650</t>
  </si>
  <si>
    <t>2026-09-03T13:01:06.868795</t>
  </si>
  <si>
    <t>2026-09-03T13:01:06.856934</t>
  </si>
  <si>
    <t>2026-09-03T13:01:06.847283</t>
  </si>
  <si>
    <t>2026-09-03T13:01:06.837867</t>
  </si>
  <si>
    <t>2026-09-03T13:01:06.826392</t>
  </si>
  <si>
    <t>2026-09-03T13:01:06.818746</t>
  </si>
  <si>
    <t>2026-09-03T13:01:06.812091</t>
  </si>
  <si>
    <t>2026-09-03T13:01:06.799319</t>
  </si>
  <si>
    <t>2026-09-03T13:01:06.791168</t>
  </si>
  <si>
    <t>2026-09-03T13:01:06.779183</t>
  </si>
  <si>
    <t>2026-09-03T13:01:06.769886</t>
  </si>
  <si>
    <t>2026-09-03T13:01:06.756013</t>
  </si>
  <si>
    <t>2026-09-03T13:01:06.737116</t>
  </si>
  <si>
    <t>2026-09-03T13:01:06.729555</t>
  </si>
  <si>
    <t>2026-09-03T13:01:06.716836</t>
  </si>
  <si>
    <t>2026-09-03T13:01:06.695756</t>
  </si>
  <si>
    <t>2026-09-03T13:01:06.688522</t>
  </si>
  <si>
    <t>2026-09-03T13:01:06.667568</t>
  </si>
  <si>
    <t>2026-09-03T13:01:06.644793</t>
  </si>
  <si>
    <t>2026-09-03T13:01:06.634006</t>
  </si>
  <si>
    <t>2026-09-03T13:01:06.617453</t>
  </si>
  <si>
    <t>2026-09-03T13:01:06.604415</t>
  </si>
  <si>
    <t>2026-09-03T13:01:06.591383</t>
  </si>
  <si>
    <t>2026-09-03T13:01:06.576532</t>
  </si>
  <si>
    <t>2026-09-03T13:01:06.570315</t>
  </si>
  <si>
    <t>2026-09-03T13:01:06.556467</t>
  </si>
  <si>
    <t>2026-09-03T13:01:06.542343</t>
  </si>
  <si>
    <t>2026-09-03T13:01:06.534974</t>
  </si>
  <si>
    <t>2026-09-03T13:01:06.521123</t>
  </si>
  <si>
    <t>2026-09-03T13:01:06.507615</t>
  </si>
  <si>
    <t>2026-09-03T13:01:06.500285</t>
  </si>
  <si>
    <t>2026-09-03T13:01:06.492119</t>
  </si>
  <si>
    <t>2026-09-03T13:01:06.481663</t>
  </si>
  <si>
    <t>2026-09-03T13:01:06.471497</t>
  </si>
  <si>
    <t>2026-09-03T13:01:06.458514</t>
  </si>
  <si>
    <t>2026-09-03T13:01:06.445174</t>
  </si>
  <si>
    <t>2026-09-03T13:01:06.431448</t>
  </si>
  <si>
    <t>2026-09-03T13:01:06.417848</t>
  </si>
  <si>
    <t>2026-09-03T13:01:06.403173</t>
  </si>
  <si>
    <t>2026-09-03T13:01:06.389648</t>
  </si>
  <si>
    <t>2026-09-03T13:01:06.369860</t>
  </si>
  <si>
    <t>2026-09-03T13:01:06.354515</t>
  </si>
  <si>
    <t>2026-09-03T13:01:06.347574</t>
  </si>
  <si>
    <t>2026-09-03T13:01:06.335702</t>
  </si>
  <si>
    <t>2026-09-03T13:01:06.319839</t>
  </si>
  <si>
    <t>2026-09-03T13:01:06.306793</t>
  </si>
  <si>
    <t>2026-09-03T13:01:06.299015</t>
  </si>
  <si>
    <t>2026-09-03T13:01:06.283870</t>
  </si>
  <si>
    <t>2026-09-03T13:01:06.271270</t>
  </si>
  <si>
    <t>2026-09-03T13:01:06.257223</t>
  </si>
  <si>
    <t>2026-09-03T13:01:06.248696</t>
  </si>
  <si>
    <t>2026-09-03T13:01:06.242467</t>
  </si>
  <si>
    <t>2026-09-03T13:01:06.229554</t>
  </si>
  <si>
    <t>2026-09-03T13:01:06.222060</t>
  </si>
  <si>
    <t>2026-09-03T13:01:06.212871</t>
  </si>
  <si>
    <t>2026-09-03T13:01:06.195376</t>
  </si>
  <si>
    <t>2026-09-03T13:01:06.166019</t>
  </si>
  <si>
    <t>2026-09-03T13:01:06.141248</t>
  </si>
  <si>
    <t>2026-09-03T13:01:06.089564</t>
  </si>
  <si>
    <t>2026-09-03T13:01:06.060110</t>
  </si>
  <si>
    <t>2026-09-03T13:01:06.021741</t>
  </si>
  <si>
    <t>2026-09-03T13:01:06.007493</t>
  </si>
  <si>
    <t>2026-09-03T13:01:05.993444</t>
  </si>
  <si>
    <t>2026-09-03T13:01:05.985257</t>
  </si>
  <si>
    <t>2026-09-03T13:01:05.973328</t>
  </si>
  <si>
    <t>2026-09-03T13:01:05.959728</t>
  </si>
  <si>
    <t>2026-09-03T13:01:05.951797</t>
  </si>
  <si>
    <t>2026-09-03T13:01:05.946055</t>
  </si>
  <si>
    <t>2026-09-03T13:01:05.930930</t>
  </si>
  <si>
    <t>2026-09-03T13:01:05.922798</t>
  </si>
  <si>
    <t>2026-09-03T13:01:05.910558</t>
  </si>
  <si>
    <t>2026-09-03T13:01:05.894889</t>
  </si>
  <si>
    <t>2026-09-03T13:01:05.889026</t>
  </si>
  <si>
    <t>2026-09-03T13:01:05.875943</t>
  </si>
  <si>
    <t>2026-09-03T13:01:05.861755</t>
  </si>
  <si>
    <t>2026-09-03T13:01:05.847902</t>
  </si>
  <si>
    <t>2026-09-03T13:01:05.840916</t>
  </si>
  <si>
    <t>2026-09-03T13:01:05.826746</t>
  </si>
  <si>
    <t>2026-09-03T13:01:05.813019</t>
  </si>
  <si>
    <t>2026-09-03T13:01:05.805941</t>
  </si>
  <si>
    <t>2026-09-03T13:01:05.791983</t>
  </si>
  <si>
    <t>2026-09-03T13:01:05.783915</t>
  </si>
  <si>
    <t>2026-09-03T13:01:05.771111</t>
  </si>
  <si>
    <t>2026-09-03T13:01:05.756221</t>
  </si>
  <si>
    <t>2026-09-03T13:01:05.744098</t>
  </si>
  <si>
    <t>2026-09-03T13:01:05.731116</t>
  </si>
  <si>
    <t>2026-09-03T13:01:05.721445</t>
  </si>
  <si>
    <t>2026-09-03T13:01:05.707546</t>
  </si>
  <si>
    <t>2026-09-03T13:01:05.694916</t>
  </si>
  <si>
    <t>2026-09-03T13:01:05.682262</t>
  </si>
  <si>
    <t>2026-09-03T13:01:05.668749</t>
  </si>
  <si>
    <t>2026-09-03T13:01:05.654020</t>
  </si>
  <si>
    <t>2026-09-03T13:01:05.646312</t>
  </si>
  <si>
    <t>2026-09-03T13:01:05.626466</t>
  </si>
  <si>
    <t>2026-09-03T13:01:05.618947</t>
  </si>
  <si>
    <t>2026-09-03T13:01:05.606402</t>
  </si>
  <si>
    <t>2026-09-03T13:01:05.592019</t>
  </si>
  <si>
    <t>2026-09-03T13:01:05.580284</t>
  </si>
  <si>
    <t>2026-09-03T13:01:05.569715</t>
  </si>
  <si>
    <t>2026-09-03T13:01:05.561693</t>
  </si>
  <si>
    <t>2026-09-03T13:01:05.550097</t>
  </si>
  <si>
    <t>2026-09-03T13:01:05.534330</t>
  </si>
  <si>
    <t>2026-09-03T13:01:05.531450</t>
  </si>
  <si>
    <t>2026-09-03T13:01:05.521573</t>
  </si>
  <si>
    <t>2026-09-03T13:01:05.513145</t>
  </si>
  <si>
    <t>2026-09-03T13:01:05.501523</t>
  </si>
  <si>
    <t>2026-09-03T13:01:05.489161</t>
  </si>
  <si>
    <t>2026-09-03T13:01:05.480147</t>
  </si>
  <si>
    <t>2026-09-03T13:01:05.465954</t>
  </si>
  <si>
    <t>2026-09-03T13:01:05.451966</t>
  </si>
  <si>
    <t>2026-09-03T13:01:05.438797</t>
  </si>
  <si>
    <t>2026-09-03T13:01:05.431092</t>
  </si>
  <si>
    <t>2026-09-03T13:01:05.417280</t>
  </si>
  <si>
    <t>2026-09-03T13:01:05.410186</t>
  </si>
  <si>
    <t>2026-09-03T13:01:05.397364</t>
  </si>
  <si>
    <t>2026-09-03T13:01:05.383331</t>
  </si>
  <si>
    <t>2026-09-03T13:01:05.370609</t>
  </si>
  <si>
    <t>2026-09-03T13:01:05.355408</t>
  </si>
  <si>
    <t>2026-09-03T13:01:05.346506</t>
  </si>
  <si>
    <t>2026-09-03T13:01:05.329605</t>
  </si>
  <si>
    <t>2026-09-03T13:01:05.319735</t>
  </si>
  <si>
    <t>2026-09-03T13:01:05.307660</t>
  </si>
  <si>
    <t>2026-09-03T13:01:05.300157</t>
  </si>
  <si>
    <t>2026-09-03T13:01:05.286247</t>
  </si>
  <si>
    <t>2026-09-03T13:01:05.273973</t>
  </si>
  <si>
    <t>2026-09-03T13:01:05.258719</t>
  </si>
  <si>
    <t>2026-09-03T13:01:05.249295</t>
  </si>
  <si>
    <t>2026-09-03T13:01:05.236577</t>
  </si>
  <si>
    <t>2026-09-03T13:01:05.228416</t>
  </si>
  <si>
    <t>2026-09-03T13:01:05.215292</t>
  </si>
  <si>
    <t>2026-09-03T13:01:05.202962</t>
  </si>
  <si>
    <t>2026-09-03T13:01:05.195384</t>
  </si>
  <si>
    <t>2026-09-03T13:01:05.186892</t>
  </si>
  <si>
    <t>2026-09-03T13:01:05.167487</t>
  </si>
  <si>
    <t>2026-09-03T13:01:05.160221</t>
  </si>
  <si>
    <t>2026-09-03T13:01:05.146747</t>
  </si>
  <si>
    <t>2026-09-03T13:01:05.139464</t>
  </si>
  <si>
    <t>2026-09-03T13:01:05.125012</t>
  </si>
  <si>
    <t>2026-09-03T13:01:05.105648</t>
  </si>
  <si>
    <t>2026-09-03T13:01:05.092492</t>
  </si>
  <si>
    <t>2026-09-03T13:01:05.079599</t>
  </si>
  <si>
    <t>2026-09-03T13:01:05.063071</t>
  </si>
  <si>
    <t>2026-09-03T13:01:05.049038</t>
  </si>
  <si>
    <t>2026-09-03T13:01:05.042803</t>
  </si>
  <si>
    <t>2026-09-03T13:01:05.028705</t>
  </si>
  <si>
    <t>2026-09-03T13:01:05.015577</t>
  </si>
  <si>
    <t>2026-09-03T13:01:05.000984</t>
  </si>
  <si>
    <t>2026-09-03T13:01:04.985385</t>
  </si>
  <si>
    <t>2026-09-03T13:01:04.971959</t>
  </si>
  <si>
    <t>2026-09-03T13:01:04.952709</t>
  </si>
  <si>
    <t>2026-09-03T13:01:04.938120</t>
  </si>
  <si>
    <t>2026-09-03T13:01:04.918434</t>
  </si>
  <si>
    <t>2026-09-03T13:01:04.904509</t>
  </si>
  <si>
    <t>2026-09-03T13:01:04.888126</t>
  </si>
  <si>
    <t>2026-09-03T13:01:04.874705</t>
  </si>
  <si>
    <t>2026-09-03T13:01:04.847776</t>
  </si>
  <si>
    <t>2026-09-03T13:01:04.834077</t>
  </si>
  <si>
    <t>2026-09-03T13:01:04.813633</t>
  </si>
  <si>
    <t>2026-09-03T13:01:04.799488</t>
  </si>
  <si>
    <t>2026-09-03T13:01:04.792636</t>
  </si>
  <si>
    <t>2026-09-03T13:01:04.779435</t>
  </si>
  <si>
    <t>2026-09-03T13:01:04.764776</t>
  </si>
  <si>
    <t>2026-09-03T13:01:04.757352</t>
  </si>
  <si>
    <t>2026-09-03T13:01:04.746328</t>
  </si>
  <si>
    <t>2026-09-03T13:01:04.730872</t>
  </si>
  <si>
    <t>2026-09-03T13:01:04.715733</t>
  </si>
  <si>
    <t>2026-09-03T13:01:04.708635</t>
  </si>
  <si>
    <t>2026-09-03T13:01:04.695155</t>
  </si>
  <si>
    <t>2026-09-03T13:01:04.682051</t>
  </si>
  <si>
    <t>2026-09-03T13:01:04.667524</t>
  </si>
  <si>
    <t>2026-09-03T13:01:04.654468</t>
  </si>
  <si>
    <t>2026-09-03T13:01:04.645210</t>
  </si>
  <si>
    <t>2026-09-03T13:01:04.625815</t>
  </si>
  <si>
    <t>2026-09-03T13:01:04.614160</t>
  </si>
  <si>
    <t>2026-09-03T13:01:04.599374</t>
  </si>
  <si>
    <t>2026-09-03T13:01:04.570240</t>
  </si>
  <si>
    <t>2026-09-03T13:01:04.562965</t>
  </si>
  <si>
    <t>2026-09-03T13:01:04.549612</t>
  </si>
  <si>
    <t>2026-09-03T13:01:04.541023</t>
  </si>
  <si>
    <t>2026-09-03T13:01:04.527143</t>
  </si>
  <si>
    <t>2026-09-03T13:01:04.515115</t>
  </si>
  <si>
    <t>2026-09-03T13:01:04.500556</t>
  </si>
  <si>
    <t>2026-09-03T13:01:04.486506</t>
  </si>
  <si>
    <t>2026-09-03T13:01:04.480055</t>
  </si>
  <si>
    <t>2026-09-03T13:01:04.465823</t>
  </si>
  <si>
    <t>2026-09-03T13:01:04.452439</t>
  </si>
  <si>
    <t>2026-09-03T13:01:04.431699</t>
  </si>
  <si>
    <t>2026-09-03T13:01:04.417339</t>
  </si>
  <si>
    <t>2026-09-03T13:01:04.410718</t>
  </si>
  <si>
    <t>2026-09-03T13:01:04.397246</t>
  </si>
  <si>
    <t>2026-09-03T13:01:04.382555</t>
  </si>
  <si>
    <t>2026-09-03T13:01:04.378842</t>
  </si>
  <si>
    <t>2026-09-03T13:01:04.362149</t>
  </si>
  <si>
    <t>2026-09-03T13:01:04.347801</t>
  </si>
  <si>
    <t>2026-09-03T13:01:04.330373</t>
  </si>
  <si>
    <t>2026-09-03T13:01:04.318705</t>
  </si>
  <si>
    <t>2026-09-03T13:01:04.311217</t>
  </si>
  <si>
    <t>2026-09-03T13:01:04.300232</t>
  </si>
  <si>
    <t>2026-09-03T13:01:04.285094</t>
  </si>
  <si>
    <t>2026-09-03T13:01:04.279224</t>
  </si>
  <si>
    <t>2026-09-03T13:01:04.270483</t>
  </si>
  <si>
    <t>2026-09-03T13:01:04.263277</t>
  </si>
  <si>
    <t>2026-09-03T13:01:04.250617</t>
  </si>
  <si>
    <t>2026-09-03T13:01:04.240555</t>
  </si>
  <si>
    <t>2026-09-03T13:01:04.228607</t>
  </si>
  <si>
    <t>2026-09-03T13:01:04.216628</t>
  </si>
  <si>
    <t>2026-09-03T13:01:04.202005</t>
  </si>
  <si>
    <t>2026-09-03T13:01:04.188019</t>
  </si>
  <si>
    <t>2026-09-03T13:01:04.182109</t>
  </si>
  <si>
    <t>2026-09-03T13:01:04.170410</t>
  </si>
  <si>
    <t>2026-09-03T13:01:04.154342</t>
  </si>
  <si>
    <t>2026-09-03T13:01:04.146850</t>
  </si>
  <si>
    <t>2026-09-03T13:01:04.132578</t>
  </si>
  <si>
    <t>2026-09-03T13:01:04.112960</t>
  </si>
  <si>
    <t>2026-09-03T13:01:04.098533</t>
  </si>
  <si>
    <t>2026-09-03T13:01:04.084208</t>
  </si>
  <si>
    <t>2026-09-03T13:01:04.070557</t>
  </si>
  <si>
    <t>2026-09-03T13:01:04.055967</t>
  </si>
  <si>
    <t>2026-09-03T13:01:04.050736</t>
  </si>
  <si>
    <t>2026-09-03T13:01:04.035754</t>
  </si>
  <si>
    <t>2026-09-03T13:01:04.028231</t>
  </si>
  <si>
    <t>2026-09-03T13:01:04.020246</t>
  </si>
  <si>
    <t>2026-09-03T13:01:04.011746</t>
  </si>
  <si>
    <t>2026-09-03T13:01:03.999456</t>
  </si>
  <si>
    <t>2026-09-03T13:01:03.979836</t>
  </si>
  <si>
    <t>2026-09-03T13:01:03.972939</t>
  </si>
  <si>
    <t>2026-09-03T13:01:03.959242</t>
  </si>
  <si>
    <t>2026-09-03T13:01:03.946249</t>
  </si>
  <si>
    <t>2026-09-03T13:01:03.931767</t>
  </si>
  <si>
    <t>2026-09-03T13:01:03.917795</t>
  </si>
  <si>
    <t>2026-09-03T13:01:03.903738</t>
  </si>
  <si>
    <t>2026-09-03T13:01:03.889609</t>
  </si>
  <si>
    <t>2026-09-03T13:01:03.877435</t>
  </si>
  <si>
    <t>2026-09-03T13:01:03.869608</t>
  </si>
  <si>
    <t>2026-09-03T13:01:03.853621</t>
  </si>
  <si>
    <t>2026-09-03T13:01:03.841894</t>
  </si>
  <si>
    <t>2026-09-03T13:01:03.827941</t>
  </si>
  <si>
    <t>2026-09-03T13:01:03.816496</t>
  </si>
  <si>
    <t>2026-09-03T13:01:03.799286</t>
  </si>
  <si>
    <t>2026-09-03T13:01:03.779483</t>
  </si>
  <si>
    <t>2026-09-03T13:01:03.765342</t>
  </si>
  <si>
    <t>2026-09-03T13:01:03.753295</t>
  </si>
  <si>
    <t>2026-09-03T13:01:03.737803</t>
  </si>
  <si>
    <t>2026-09-03T13:01:03.723795</t>
  </si>
  <si>
    <t>2026-09-03T13:01:03.710306</t>
  </si>
  <si>
    <t>2026-09-03T13:01:03.699116</t>
  </si>
  <si>
    <t>2026-09-03T13:01:03.685332</t>
  </si>
  <si>
    <t>2026-09-03T13:01:03.673142</t>
  </si>
  <si>
    <t>2026-09-03T13:01:03.661719</t>
  </si>
  <si>
    <t>2026-09-03T13:01:03.654216</t>
  </si>
  <si>
    <t>2026-09-03T13:01:03.636593</t>
  </si>
  <si>
    <t>2026-09-03T13:01:03.621826</t>
  </si>
  <si>
    <t>2026-09-03T13:01:03.605378</t>
  </si>
  <si>
    <t>2026-09-03T13:01:03.591767</t>
  </si>
  <si>
    <t>2026-09-03T13:01:03.578622</t>
  </si>
  <si>
    <t>2026-09-03T13:01:03.563339</t>
  </si>
  <si>
    <t>2026-09-03T13:01:03.551067</t>
  </si>
  <si>
    <t>2026-09-03T13:01:03.536724</t>
  </si>
  <si>
    <t>2026-09-03T13:01:03.528650</t>
  </si>
  <si>
    <t>2026-09-03T13:01:03.515412</t>
  </si>
  <si>
    <t>2026-09-03T13:01:03.500563</t>
  </si>
  <si>
    <t>2026-09-03T13:01:03.487162</t>
  </si>
  <si>
    <t>2026-09-03T13:01:03.479760</t>
  </si>
  <si>
    <t>2026-09-03T13:01:03.468166</t>
  </si>
  <si>
    <t>2026-09-03T13:01:03.452726</t>
  </si>
  <si>
    <t>2026-09-03T13:01:03.445236</t>
  </si>
  <si>
    <t>2026-09-03T13:01:03.432312</t>
  </si>
  <si>
    <t>2026-09-03T13:01:03.417895</t>
  </si>
  <si>
    <t>2026-09-03T13:01:03.403463</t>
  </si>
  <si>
    <t>2026-09-03T13:01:03.399429</t>
  </si>
  <si>
    <t>2026-09-03T13:01:03.384246</t>
  </si>
  <si>
    <t>2026-09-03T13:01:03.369400</t>
  </si>
  <si>
    <t>2026-09-03T13:01:03.362046</t>
  </si>
  <si>
    <t>2026-09-03T13:01:03.348257</t>
  </si>
  <si>
    <t>2026-09-03T13:01:03.333896</t>
  </si>
  <si>
    <t>2026-09-03T13:01:03.320410</t>
  </si>
  <si>
    <t>2026-09-03T13:01:03.306639</t>
  </si>
  <si>
    <t>2026-09-03T13:01:03.293609</t>
  </si>
  <si>
    <t>2026-09-03T13:01:03.279107</t>
  </si>
  <si>
    <t>2026-09-03T13:01:03.264513</t>
  </si>
  <si>
    <t>2026-09-03T13:01:03.252221</t>
  </si>
  <si>
    <t>2026-09-03T13:01:03.237527</t>
  </si>
  <si>
    <t>2026-09-03T13:01:03.230280</t>
  </si>
  <si>
    <t>2026-09-03T13:01:03.215970</t>
  </si>
  <si>
    <t>2026-09-03T13:01:03.201985</t>
  </si>
  <si>
    <t>2026-09-03T13:01:03.195661</t>
  </si>
  <si>
    <t>2026-09-03T13:01:03.181455</t>
  </si>
  <si>
    <t>2026-09-03T13:01:03.167958</t>
  </si>
  <si>
    <t>2026-09-03T13:01:03.154184</t>
  </si>
  <si>
    <t>2026-09-03T13:01:03.147191</t>
  </si>
  <si>
    <t>2026-09-03T13:01:03.126379</t>
  </si>
  <si>
    <t>2026-09-03T13:01:03.119403</t>
  </si>
  <si>
    <t>2026-09-03T13:01:03.105441</t>
  </si>
  <si>
    <t>2026-09-03T13:01:03.084082</t>
  </si>
  <si>
    <t>2026-09-03T13:01:03.070203</t>
  </si>
  <si>
    <t>2026-09-03T13:01:03.063492</t>
  </si>
  <si>
    <t>2026-09-03T13:01:03.049807</t>
  </si>
  <si>
    <t>2026-09-03T13:01:03.035516</t>
  </si>
  <si>
    <t>2026-09-03T13:01:03.021780</t>
  </si>
  <si>
    <t>2026-09-03T13:01:03.013549</t>
  </si>
  <si>
    <t>2026-09-03T13:01:02.995232</t>
  </si>
  <si>
    <t>2026-09-03T13:01:02.980061</t>
  </si>
  <si>
    <t>2026-09-03T13:01:02.973440</t>
  </si>
  <si>
    <t>2026-09-03T13:01:02.959200</t>
  </si>
  <si>
    <t>2026-09-03T13:01:02.949081</t>
  </si>
  <si>
    <t>2026-09-03T13:01:02.937162</t>
  </si>
  <si>
    <t>2026-09-03T13:01:02.924389</t>
  </si>
  <si>
    <t>2026-09-03T13:01:02.910763</t>
  </si>
  <si>
    <t>2026-09-03T13:01:02.897007</t>
  </si>
  <si>
    <t>2026-09-03T13:01:02.882797</t>
  </si>
  <si>
    <t>2026-09-03T13:01:02.874658</t>
  </si>
  <si>
    <t>2026-09-03T13:01:02.862022</t>
  </si>
  <si>
    <t>2026-09-03T13:01:02.850701</t>
  </si>
  <si>
    <t>2026-09-03T13:01:02.832907</t>
  </si>
  <si>
    <t>2026-09-03T13:01:02.813306</t>
  </si>
  <si>
    <t>2026-09-03T13:01:02.806245</t>
  </si>
  <si>
    <t>2026-09-03T13:01:02.793729</t>
  </si>
  <si>
    <t>2026-09-03T13:01:02.784311</t>
  </si>
  <si>
    <t>2026-09-03T13:01:02.770352</t>
  </si>
  <si>
    <t>2026-09-03T13:01:02.758240</t>
  </si>
  <si>
    <t>2026-09-03T13:01:02.750842</t>
  </si>
  <si>
    <t>2026-09-03T13:01:02.737115</t>
  </si>
  <si>
    <t>2026-09-03T13:01:02.724368</t>
  </si>
  <si>
    <t>2026-09-03T13:01:02.709644</t>
  </si>
  <si>
    <t>2026-09-03T13:01:02.696986</t>
  </si>
  <si>
    <t>2026-09-03T13:01:02.681418</t>
  </si>
  <si>
    <t>2026-09-03T13:01:02.673278</t>
  </si>
  <si>
    <t>2026-09-03T13:01:02.660602</t>
  </si>
  <si>
    <t>2026-09-03T13:01:02.650052</t>
  </si>
  <si>
    <t>2026-09-03T13:01:02.639965</t>
  </si>
  <si>
    <t>2026-09-03T13:01:02.625747</t>
  </si>
  <si>
    <t>2026-09-03T13:01:02.612962</t>
  </si>
  <si>
    <t>2026-09-03T13:01:02.598846</t>
  </si>
  <si>
    <t>2026-09-03T13:01:02.584528</t>
  </si>
  <si>
    <t>2026-09-03T13:01:02.576241</t>
  </si>
  <si>
    <t>2026-09-03T13:01:02.556359</t>
  </si>
  <si>
    <t>2026-09-03T13:01:02.542515</t>
  </si>
  <si>
    <t>2026-09-03T13:01:02.536105</t>
  </si>
  <si>
    <t>2026-09-03T13:01:02.521622</t>
  </si>
  <si>
    <t>2026-09-03T13:01:02.508321</t>
  </si>
  <si>
    <t>2026-09-03T13:01:02.495548</t>
  </si>
  <si>
    <t>2026-09-03T13:01:02.490514</t>
  </si>
  <si>
    <t>2026-09-03T13:01:02.478964</t>
  </si>
  <si>
    <t>2026-09-03T13:01:02.466323</t>
  </si>
  <si>
    <t>2026-09-03T13:01:02.452757</t>
  </si>
  <si>
    <t>2026-09-03T13:01:02.438640</t>
  </si>
  <si>
    <t>2026-09-03T13:01:02.430318</t>
  </si>
  <si>
    <t>2026-09-03T13:01:02.418025</t>
  </si>
  <si>
    <t>2026-09-03T13:01:02.404156</t>
  </si>
  <si>
    <t>2026-09-03T13:01:02.389900</t>
  </si>
  <si>
    <t>2026-09-03T13:01:02.383009</t>
  </si>
  <si>
    <t>2026-09-03T13:01:02.369177</t>
  </si>
  <si>
    <t>2026-09-03T13:01:02.355204</t>
  </si>
  <si>
    <t>2026-09-03T13:01:02.339618</t>
  </si>
  <si>
    <t>2026-09-03T13:01:02.336631</t>
  </si>
  <si>
    <t>2026-09-03T13:01:02.320810</t>
  </si>
  <si>
    <t>2026-09-03T13:01:02.302371</t>
  </si>
  <si>
    <t>2026-09-03T13:01:02.289353</t>
  </si>
  <si>
    <t>2026-09-03T13:01:02.275519</t>
  </si>
  <si>
    <t>2026-09-03T13:01:02.265598</t>
  </si>
  <si>
    <t>2026-09-03T13:01:02.251450</t>
  </si>
  <si>
    <t>2026-09-03T13:01:02.238803</t>
  </si>
  <si>
    <t>2026-09-03T13:01:02.224634</t>
  </si>
  <si>
    <t>2026-09-03T13:01:02.216573</t>
  </si>
  <si>
    <t>2026-09-03T13:01:02.202310</t>
  </si>
  <si>
    <t>2026-09-03T13:01:02.184928</t>
  </si>
  <si>
    <t>2026-09-03T13:01:02.167915</t>
  </si>
  <si>
    <t>2026-09-03T13:01:02.156230</t>
  </si>
  <si>
    <t>2026-09-03T13:01:02.141660</t>
  </si>
  <si>
    <t>2026-09-03T13:01:02.127946</t>
  </si>
  <si>
    <t>2026-09-03T13:01:02.114268</t>
  </si>
  <si>
    <t>2026-09-03T13:01:02.097115</t>
  </si>
  <si>
    <t>2026-09-03T13:01:02.077899</t>
  </si>
  <si>
    <t>2026-09-03T13:01:02.056489</t>
  </si>
  <si>
    <t>2026-09-03T13:01:02.048360</t>
  </si>
  <si>
    <t>2026-09-03T13:01:02.034617</t>
  </si>
  <si>
    <t>2026-09-03T13:01:02.022100</t>
  </si>
  <si>
    <t>2026-09-03T13:01:02.008335</t>
  </si>
  <si>
    <t>2026-09-03T13:01:01.994514</t>
  </si>
  <si>
    <t>2026-09-03T13:01:01.980546</t>
  </si>
  <si>
    <t>2026-09-03T13:01:01.967062</t>
  </si>
  <si>
    <t>2026-09-03T13:01:01.953484</t>
  </si>
  <si>
    <t>2026-09-03T13:01:01.945552</t>
  </si>
  <si>
    <t>2026-09-03T13:01:01.925259</t>
  </si>
  <si>
    <t>2026-09-03T13:01:01.910823</t>
  </si>
  <si>
    <t>2026-09-03T13:01:01.896824</t>
  </si>
  <si>
    <t>2026-09-03T13:01:01.888532</t>
  </si>
  <si>
    <t>2026-09-03T13:01:01.882067</t>
  </si>
  <si>
    <t>2026-09-03T13:01:01.868343</t>
  </si>
  <si>
    <t>2026-09-03T13:01:01.860849</t>
  </si>
  <si>
    <t>2026-09-03T13:01:01.848211</t>
  </si>
  <si>
    <t>2026-09-03T13:01:01.834270</t>
  </si>
  <si>
    <t>2026-09-03T13:01:01.814191</t>
  </si>
  <si>
    <t>2026-09-03T13:01:01.799679</t>
  </si>
  <si>
    <t>2026-09-03T13:01:01.786753</t>
  </si>
  <si>
    <t>2026-09-03T13:01:01.775333</t>
  </si>
  <si>
    <t>2026-09-03T13:01:01.765299</t>
  </si>
  <si>
    <t>2026-09-03T13:01:01.751728</t>
  </si>
  <si>
    <t>2026-09-03T13:01:01.745278</t>
  </si>
  <si>
    <t>2026-09-03T13:01:01.731207</t>
  </si>
  <si>
    <t>2026-09-03T13:01:01.717499</t>
  </si>
  <si>
    <t>2026-09-03T13:01:01.708664</t>
  </si>
  <si>
    <t>2026-09-03T13:01:01.699369</t>
  </si>
  <si>
    <t>2026-09-03T13:01:01.689117</t>
  </si>
  <si>
    <t>2026-09-03T13:01:01.675423</t>
  </si>
  <si>
    <t>2026-09-03T13:01:01.661839</t>
  </si>
  <si>
    <t>2026-09-03T13:01:01.647059</t>
  </si>
  <si>
    <t>2026-09-03T13:01:01.632940</t>
  </si>
  <si>
    <t>2026-09-03T13:01:01.626395</t>
  </si>
  <si>
    <t>2026-09-03T13:01:01.612195</t>
  </si>
  <si>
    <t>2026-09-03T13:01:01.598213</t>
  </si>
  <si>
    <t>2026-09-03T13:01:01.584563</t>
  </si>
  <si>
    <t>2026-09-03T13:01:01.570749</t>
  </si>
  <si>
    <t>2026-09-03T13:01:01.556878</t>
  </si>
  <si>
    <t>2026-09-03T13:01:01.544165</t>
  </si>
  <si>
    <t>2026-09-03T13:01:01.534592</t>
  </si>
  <si>
    <t>2026-09-03T13:01:01.521930</t>
  </si>
  <si>
    <t>2026-09-03T13:01:01.508491</t>
  </si>
  <si>
    <t>2026-09-03T13:01:01.494570</t>
  </si>
  <si>
    <t>2026-09-03T13:01:01.479992</t>
  </si>
  <si>
    <t>2026-09-03T13:01:01.473211</t>
  </si>
  <si>
    <t>2026-09-03T13:01:01.459810</t>
  </si>
  <si>
    <t>2026-09-03T13:01:01.445942</t>
  </si>
  <si>
    <t>2026-09-03T13:01:01.431454</t>
  </si>
  <si>
    <t>2026-09-03T13:01:01.425355</t>
  </si>
  <si>
    <t>2026-09-03T13:01:01.410794</t>
  </si>
  <si>
    <t>2026-09-03T13:01:01.396706</t>
  </si>
  <si>
    <t>2026-09-03T13:01:01.389973</t>
  </si>
  <si>
    <t>2026-09-03T13:01:01.376248</t>
  </si>
  <si>
    <t>2026-09-03T13:01:01.363133</t>
  </si>
  <si>
    <t>2026-09-03T13:01:01.354469</t>
  </si>
  <si>
    <t>2026-09-03T13:01:01.340544</t>
  </si>
  <si>
    <t>2026-09-03T13:01:01.319916</t>
  </si>
  <si>
    <t>2026-09-03T13:01:01.306405</t>
  </si>
  <si>
    <t>2026-09-03T13:01:01.293116</t>
  </si>
  <si>
    <t>2026-09-03T13:01:01.284205</t>
  </si>
  <si>
    <t>2026-09-03T13:01:01.269910</t>
  </si>
  <si>
    <t>2026-09-03T13:01:01.258891</t>
  </si>
  <si>
    <t>2026-09-03T13:01:01.244600</t>
  </si>
  <si>
    <t>2026-09-03T13:01:01.231449</t>
  </si>
  <si>
    <t>2026-09-03T13:01:01.223931</t>
  </si>
  <si>
    <t>2026-09-03T13:01:01.210907</t>
  </si>
  <si>
    <t>2026-09-03T13:01:01.201262</t>
  </si>
  <si>
    <t>2026-09-03T13:01:01.188020</t>
  </si>
  <si>
    <t>2026-09-03T13:01:01.168823</t>
  </si>
  <si>
    <t>2026-09-03T13:01:01.149762</t>
  </si>
  <si>
    <t>2026-09-03T13:01:01.124827</t>
  </si>
  <si>
    <t>2026-09-03T13:01:01.112096</t>
  </si>
  <si>
    <t>2026-09-03T13:01:01.095910</t>
  </si>
  <si>
    <t>2026-09-03T13:01:01.077460</t>
  </si>
  <si>
    <t>2026-09-03T13:01:01.056708</t>
  </si>
  <si>
    <t>2026-09-03T13:01:01.034463</t>
  </si>
  <si>
    <t>2026-09-03T13:01:01.030004</t>
  </si>
  <si>
    <t>2026-09-03T13:01:01.020659</t>
  </si>
  <si>
    <t>2026-09-03T13:01:01.009230</t>
  </si>
  <si>
    <t>2026-09-03T13:01:00.995305</t>
  </si>
  <si>
    <t>2026-09-03T13:01:00.986477</t>
  </si>
  <si>
    <t>2026-09-03T13:01:00.977405</t>
  </si>
  <si>
    <t>2026-09-03T13:01:00.966227</t>
  </si>
  <si>
    <t>2026-09-03T13:01:00.958270</t>
  </si>
  <si>
    <t>2026-09-03T13:01:00.946585</t>
  </si>
  <si>
    <t>2026-09-03T13:01:00.931674</t>
  </si>
  <si>
    <t>2026-09-03T13:01:00.925035</t>
  </si>
  <si>
    <t>2026-09-03T13:01:00.909500</t>
  </si>
  <si>
    <t>2026-09-03T13:01:00.903605</t>
  </si>
  <si>
    <t>2026-09-03T13:01:00.891181</t>
  </si>
  <si>
    <t>2026-09-03T13:01:00.881891</t>
  </si>
  <si>
    <t>2026-09-03T13:01:00.869233</t>
  </si>
  <si>
    <t>2026-09-03T13:01:00.858591</t>
  </si>
  <si>
    <t>2026-09-03T13:01:00.843155</t>
  </si>
  <si>
    <t>2026-09-03T13:01:00.830636</t>
  </si>
  <si>
    <t>2026-09-03T13:01:00.820416</t>
  </si>
  <si>
    <t>2026-09-03T13:01:00.799759</t>
  </si>
  <si>
    <t>2026-09-03T13:01:00.788682</t>
  </si>
  <si>
    <t>2026-09-03T13:01:00.777677</t>
  </si>
  <si>
    <t>2026-09-03T13:01:00.757956</t>
  </si>
  <si>
    <t>2026-09-03T13:01:00.752147</t>
  </si>
  <si>
    <t>2026-09-03T13:01:00.737210</t>
  </si>
  <si>
    <t>2026-09-03T13:01:00.723890</t>
  </si>
  <si>
    <t>2026-09-03T13:01:00.709825</t>
  </si>
  <si>
    <t>2026-09-03T13:01:00.695942</t>
  </si>
  <si>
    <t>2026-09-03T13:01:00.682022</t>
  </si>
  <si>
    <t>2026-09-03T13:01:00.667830</t>
  </si>
  <si>
    <t>2026-09-03T13:01:00.654050</t>
  </si>
  <si>
    <t>2026-09-03T13:01:00.645756</t>
  </si>
  <si>
    <t>2026-09-03T13:01:00.634151</t>
  </si>
  <si>
    <t>2026-09-03T13:01:00.619971</t>
  </si>
  <si>
    <t>2026-09-03T13:01:00.606679</t>
  </si>
  <si>
    <t>2026-09-03T13:01:00.591583</t>
  </si>
  <si>
    <t>2026-09-03T13:01:00.578130</t>
  </si>
  <si>
    <t>2026-09-03T13:01:00.562456</t>
  </si>
  <si>
    <t>2026-09-03T13:01:00.549105</t>
  </si>
  <si>
    <t>2026-09-03T13:01:00.536539</t>
  </si>
  <si>
    <t>2026-09-03T13:01:00.522199</t>
  </si>
  <si>
    <t>2026-09-03T13:01:00.509357</t>
  </si>
  <si>
    <t>2026-09-03T13:01:00.501206</t>
  </si>
  <si>
    <t>2026-09-03T13:01:00.487611</t>
  </si>
  <si>
    <t>2026-09-03T13:01:00.466478</t>
  </si>
  <si>
    <t>2026-09-03T13:01:00.458310</t>
  </si>
  <si>
    <t>2026-09-03T13:01:00.442050</t>
  </si>
  <si>
    <t>2026-09-03T13:01:00.424841</t>
  </si>
  <si>
    <t>2026-09-03T13:01:00.413131</t>
  </si>
  <si>
    <t>2026-09-03T13:01:00.404075</t>
  </si>
  <si>
    <t>2026-09-03T13:01:00.390563</t>
  </si>
  <si>
    <t>2026-09-03T13:01:00.383145</t>
  </si>
  <si>
    <t>2026-09-03T13:01:00.369322</t>
  </si>
  <si>
    <t>2026-09-03T13:01:00.361098</t>
  </si>
  <si>
    <t>2026-09-03T13:01:00.349221</t>
  </si>
  <si>
    <t>2026-09-03T13:01:00.334530</t>
  </si>
  <si>
    <t>2026-09-03T13:01:00.318984</t>
  </si>
  <si>
    <t>2026-09-03T13:01:00.305556</t>
  </si>
  <si>
    <t>2026-09-03T13:01:00.287966</t>
  </si>
  <si>
    <t>2026-09-03T13:01:00.273761</t>
  </si>
  <si>
    <t>2026-09-03T13:01:00.259262</t>
  </si>
  <si>
    <t>2026-09-03T13:01:00.244678</t>
  </si>
  <si>
    <t>2026-09-03T13:01:00.230856</t>
  </si>
  <si>
    <t>2026-09-03T13:01:00.216978</t>
  </si>
  <si>
    <t>2026-09-03T13:01:00.197527</t>
  </si>
  <si>
    <t>2026-09-03T13:01:00.181429</t>
  </si>
  <si>
    <t>2026-09-03T13:01:00.172670</t>
  </si>
  <si>
    <t>2026-09-03T13:01:00.152767</t>
  </si>
  <si>
    <t>2026-09-03T13:01:00.136756</t>
  </si>
  <si>
    <t>2026-09-03T13:01:00.118744</t>
  </si>
  <si>
    <t>2026-09-03T13:01:00.098355</t>
  </si>
  <si>
    <t>2026-09-03T13:01:00.079077</t>
  </si>
  <si>
    <t>2026-09-03T13:01:00.055006</t>
  </si>
  <si>
    <t>2026-09-03T13:01:00.046934</t>
  </si>
  <si>
    <t>2026-09-03T13:01:00.027459</t>
  </si>
  <si>
    <t>2026-09-03T13:00:59.994059</t>
  </si>
  <si>
    <t>2026-09-03T13:00:59.987622</t>
  </si>
  <si>
    <t>2026-09-03T13:00:59.973877</t>
  </si>
  <si>
    <t>2026-09-03T13:00:59.960853</t>
  </si>
  <si>
    <t>2026-09-03T13:00:59.949012</t>
  </si>
  <si>
    <t>2026-09-03T13:00:59.938824</t>
  </si>
  <si>
    <t>2026-09-03T13:00:59.925257</t>
  </si>
  <si>
    <t>2026-09-03T13:00:59.911211</t>
  </si>
  <si>
    <t>2026-09-03T13:00:59.897514</t>
  </si>
  <si>
    <t>2026-09-03T13:00:59.883204</t>
  </si>
  <si>
    <t>2026-09-03T13:00:59.873214</t>
  </si>
  <si>
    <t>2026-09-03T13:00:59.862700</t>
  </si>
  <si>
    <t>2026-09-03T13:00:59.841430</t>
  </si>
  <si>
    <t>2026-09-03T13:00:59.833245</t>
  </si>
  <si>
    <t>2026-09-03T13:00:59.820347</t>
  </si>
  <si>
    <t>2026-09-03T13:00:59.800281</t>
  </si>
  <si>
    <t>2026-09-03T13:00:59.769562</t>
  </si>
  <si>
    <t>2026-09-03T13:00:59.723009</t>
  </si>
  <si>
    <t>2026-09-03T13:00:59.697773</t>
  </si>
  <si>
    <t>2026-09-03T13:00:59.647721</t>
  </si>
  <si>
    <t>2026-09-03T13:00:59.638924</t>
  </si>
  <si>
    <t>2026-09-03T13:00:59.626254</t>
  </si>
  <si>
    <t>2026-09-03T13:00:59.613864</t>
  </si>
  <si>
    <t>2026-09-03T13:00:59.598455</t>
  </si>
  <si>
    <t>2026-09-03T13:00:59.591974</t>
  </si>
  <si>
    <t>2026-09-03T13:00:59.578802</t>
  </si>
  <si>
    <t>2026-09-03T13:00:59.562568</t>
  </si>
  <si>
    <t>2026-09-03T13:00:59.542798</t>
  </si>
  <si>
    <t>2026-09-03T13:00:59.536115</t>
  </si>
  <si>
    <t>2026-09-03T13:00:59.522480</t>
  </si>
  <si>
    <t>2026-09-03T13:00:59.508326</t>
  </si>
  <si>
    <t>2026-09-03T13:00:59.494392</t>
  </si>
  <si>
    <t>2026-09-03T13:00:59.480305</t>
  </si>
  <si>
    <t>2026-09-03T13:00:59.467177</t>
  </si>
  <si>
    <t>2026-09-03T13:00:59.459617</t>
  </si>
  <si>
    <t>2026-09-03T13:00:59.446125</t>
  </si>
  <si>
    <t>2026-09-03T13:00:59.437815</t>
  </si>
  <si>
    <t>2026-09-03T13:00:59.425387</t>
  </si>
  <si>
    <t>2026-09-03T13:00:59.411132</t>
  </si>
  <si>
    <t>2026-09-03T13:00:59.404439</t>
  </si>
  <si>
    <t>2026-09-03T13:00:59.390607</t>
  </si>
  <si>
    <t>2026-09-03T13:00:59.377249</t>
  </si>
  <si>
    <t>2026-09-03T13:00:59.371842</t>
  </si>
  <si>
    <t>2026-09-03T13:00:59.361247</t>
  </si>
  <si>
    <t>2026-09-03T13:00:59.349716</t>
  </si>
  <si>
    <t>2026-09-03T13:00:59.334629</t>
  </si>
  <si>
    <t>2026-09-03T13:00:59.322883</t>
  </si>
  <si>
    <t>2026-09-03T13:00:59.306868</t>
  </si>
  <si>
    <t>2026-09-03T13:00:59.299860</t>
  </si>
  <si>
    <t>2026-09-03T13:00:59.286962</t>
  </si>
  <si>
    <t>2026-09-03T13:00:59.273187</t>
  </si>
  <si>
    <t>2026-09-03T13:00:59.261627</t>
  </si>
  <si>
    <t>2026-09-03T13:00:59.245865</t>
  </si>
  <si>
    <t>2026-09-03T13:00:59.231463</t>
  </si>
  <si>
    <t>2026-09-03T13:00:59.218812</t>
  </si>
  <si>
    <t>2026-09-03T13:00:59.203300</t>
  </si>
  <si>
    <t>2026-09-03T13:00:59.189179</t>
  </si>
  <si>
    <t>2026-09-03T13:00:59.175555</t>
  </si>
  <si>
    <t>2026-09-03T13:00:59.161741</t>
  </si>
  <si>
    <t>2026-09-03T13:00:59.147608</t>
  </si>
  <si>
    <t>2026-09-03T13:00:59.133131</t>
  </si>
  <si>
    <t>2026-09-03T13:00:59.127245</t>
  </si>
  <si>
    <t>2026-09-03T13:00:59.113758</t>
  </si>
  <si>
    <t>2026-09-03T13:00:59.099979</t>
  </si>
  <si>
    <t>2026-09-03T13:00:59.085985</t>
  </si>
  <si>
    <t>2026-09-03T13:00:59.077515</t>
  </si>
  <si>
    <t>2026-09-03T13:00:59.058208</t>
  </si>
  <si>
    <t>2026-09-03T13:00:59.036778</t>
  </si>
  <si>
    <t>2026-09-03T13:00:59.027966</t>
  </si>
  <si>
    <t>2026-09-03T13:00:59.015620</t>
  </si>
  <si>
    <t>2026-09-03T13:00:58.995742</t>
  </si>
  <si>
    <t>2026-09-03T13:00:58.980443</t>
  </si>
  <si>
    <t>2026-09-03T13:00:58.966992</t>
  </si>
  <si>
    <t>2026-09-03T13:00:58.958529</t>
  </si>
  <si>
    <t>2026-09-03T13:00:58.948663</t>
  </si>
  <si>
    <t>2026-09-03T13:00:58.932950</t>
  </si>
  <si>
    <t>2026-09-03T13:00:58.918336</t>
  </si>
  <si>
    <t>2026-09-03T13:00:58.903925</t>
  </si>
  <si>
    <t>2026-09-03T13:00:58.898679</t>
  </si>
  <si>
    <t>2026-09-03T13:00:58.884448</t>
  </si>
  <si>
    <t>2026-09-03T13:00:58.871371</t>
  </si>
  <si>
    <t>2026-09-03T13:00:58.862677</t>
  </si>
  <si>
    <t>2026-09-03T13:00:58.850530</t>
  </si>
  <si>
    <t>2026-09-03T13:00:58.840519</t>
  </si>
  <si>
    <t>2026-09-03T13:00:58.828336</t>
  </si>
  <si>
    <t>2026-09-03T13:00:58.814276</t>
  </si>
  <si>
    <t>2026-09-03T13:00:58.800158</t>
  </si>
  <si>
    <t>2026-09-03T13:00:58.786272</t>
  </si>
  <si>
    <t>2026-09-03T13:00:58.773345</t>
  </si>
  <si>
    <t>2026-09-03T13:00:58.758191</t>
  </si>
  <si>
    <t>2026-09-03T13:00:58.744880</t>
  </si>
  <si>
    <t>2026-09-03T13:00:58.729331</t>
  </si>
  <si>
    <t>2026-09-03T13:00:58.717068</t>
  </si>
  <si>
    <t>2026-09-03T13:00:58.701498</t>
  </si>
  <si>
    <t>2026-09-03T13:00:58.695101</t>
  </si>
  <si>
    <t>2026-09-03T13:00:58.681997</t>
  </si>
  <si>
    <t>2026-09-03T13:00:58.674136</t>
  </si>
  <si>
    <t>2026-09-03T13:00:58.661476</t>
  </si>
  <si>
    <t>2026-09-03T13:00:58.653065</t>
  </si>
  <si>
    <t>2026-09-03T13:00:58.641296</t>
  </si>
  <si>
    <t>2026-09-03T13:00:58.628347</t>
  </si>
  <si>
    <t>2026-09-03T13:00:58.619875</t>
  </si>
  <si>
    <t>2026-09-03T13:00:58.606430</t>
  </si>
  <si>
    <t>2026-09-03T13:00:58.599068</t>
  </si>
  <si>
    <t>2026-09-03T13:00:58.585827</t>
  </si>
  <si>
    <t>2026-09-03T13:00:58.576584</t>
  </si>
  <si>
    <t>2026-09-03T13:00:58.564138</t>
  </si>
  <si>
    <t>2026-09-03T13:00:58.550485</t>
  </si>
  <si>
    <t>2026-09-03T13:00:58.536415</t>
  </si>
  <si>
    <t>2026-09-03T13:00:58.524359</t>
  </si>
  <si>
    <t>2026-09-03T13:00:58.509423</t>
  </si>
  <si>
    <t>2026-09-03T13:00:58.498123</t>
  </si>
  <si>
    <t>2026-09-03T13:00:58.486333</t>
  </si>
  <si>
    <t>2026-09-03T13:00:58.474047</t>
  </si>
  <si>
    <t>2026-09-03T13:00:58.460181</t>
  </si>
  <si>
    <t>2026-09-03T13:00:58.446373</t>
  </si>
  <si>
    <t>2026-09-03T13:00:58.434711</t>
  </si>
  <si>
    <t>2026-09-03T13:00:58.418465</t>
  </si>
  <si>
    <t>2026-09-03T13:00:58.404252</t>
  </si>
  <si>
    <t>2026-09-03T13:00:58.397330</t>
  </si>
  <si>
    <t>2026-09-03T13:00:58.377842</t>
  </si>
  <si>
    <t>2026-09-03T13:00:58.368289</t>
  </si>
  <si>
    <t>2026-09-03T13:00:58.351365</t>
  </si>
  <si>
    <t>2026-09-03T13:00:58.340601</t>
  </si>
  <si>
    <t>2026-09-03T13:00:58.321515</t>
  </si>
  <si>
    <t>2026-09-03T13:00:58.301025</t>
  </si>
  <si>
    <t>2026-09-03T13:00:58.282855</t>
  </si>
  <si>
    <t>2026-09-03T13:00:58.260778</t>
  </si>
  <si>
    <t>2026-09-03T13:00:58.237896</t>
  </si>
  <si>
    <t>2026-09-03T13:00:58.212151</t>
  </si>
  <si>
    <t>2026-09-03T13:00:58.192644</t>
  </si>
  <si>
    <t>2026-09-03T13:00:58.189311</t>
  </si>
  <si>
    <t>2026-09-03T13:00:58.169460</t>
  </si>
  <si>
    <t>2026-09-03T13:00:58.149449</t>
  </si>
  <si>
    <t>2026-09-03T13:00:58.131314</t>
  </si>
  <si>
    <t>2026-09-03T13:00:58.119560</t>
  </si>
  <si>
    <t>2026-09-03T13:00:58.109734</t>
  </si>
  <si>
    <t>2026-09-03T13:00:58.099729</t>
  </si>
  <si>
    <t>2026-09-03T13:00:58.086522</t>
  </si>
  <si>
    <t>2026-09-03T13:00:58.074234</t>
  </si>
  <si>
    <t>2026-09-03T13:00:58.063681</t>
  </si>
  <si>
    <t>2026-09-03T13:00:58.050046</t>
  </si>
  <si>
    <t>2026-09-03T13:00:58.041973</t>
  </si>
  <si>
    <t>2026-09-03T13:00:58.030790</t>
  </si>
  <si>
    <t>2026-09-03T13:00:58.015935</t>
  </si>
  <si>
    <t>2026-09-03T13:00:58.002045</t>
  </si>
  <si>
    <t>2026-09-03T13:00:57.988569</t>
  </si>
  <si>
    <t>2026-09-03T13:00:57.973518</t>
  </si>
  <si>
    <t>2026-09-03T13:00:57.969462</t>
  </si>
  <si>
    <t>2026-09-03T13:00:57.954948</t>
  </si>
  <si>
    <t>2026-09-03T13:00:57.948982</t>
  </si>
  <si>
    <t>2026-09-03T13:00:57.937584</t>
  </si>
  <si>
    <t>2026-09-03T13:00:57.931145</t>
  </si>
  <si>
    <t>2026-09-03T13:00:57.918510</t>
  </si>
  <si>
    <t>2026-09-03T13:00:57.904165</t>
  </si>
  <si>
    <t>2026-09-03T13:00:57.897732</t>
  </si>
  <si>
    <t>2026-09-03T13:00:57.890157</t>
  </si>
  <si>
    <t>2026-09-03T13:00:57.876981</t>
  </si>
  <si>
    <t>2026-09-03T13:00:57.871663</t>
  </si>
  <si>
    <t>2026-09-03T13:00:57.863600</t>
  </si>
  <si>
    <t>2026-09-03T13:00:57.855913</t>
  </si>
  <si>
    <t>2026-09-03T13:00:57.846715</t>
  </si>
  <si>
    <t>2026-09-03T13:00:57.834846</t>
  </si>
  <si>
    <t>2026-09-03T13:00:57.828032</t>
  </si>
  <si>
    <t>2026-09-03T13:00:57.819639</t>
  </si>
  <si>
    <t>2026-09-03T13:00:57.807029</t>
  </si>
  <si>
    <t>2026-09-03T13:00:57.800166</t>
  </si>
  <si>
    <t>2026-09-03T13:00:57.786163</t>
  </si>
  <si>
    <t>2026-09-03T13:00:57.778096</t>
  </si>
  <si>
    <t>2026-09-03T13:00:57.758962</t>
  </si>
  <si>
    <t>2026-09-03T13:00:57.751544</t>
  </si>
  <si>
    <t>2026-09-03T13:00:57.737625</t>
  </si>
  <si>
    <t>2026-09-03T13:00:57.723787</t>
  </si>
  <si>
    <t>2026-09-03T13:00:57.715607</t>
  </si>
  <si>
    <t>2026-09-03T13:00:57.702664</t>
  </si>
  <si>
    <t>2026-09-03T13:00:57.694180</t>
  </si>
  <si>
    <t>2026-09-03T13:00:57.683551</t>
  </si>
  <si>
    <t>2026-09-03T13:00:57.671116</t>
  </si>
  <si>
    <t>2026-09-03T13:00:57.661564</t>
  </si>
  <si>
    <t>2026-09-03T13:00:57.647422</t>
  </si>
  <si>
    <t>2026-09-03T13:00:57.633397</t>
  </si>
  <si>
    <t>2026-09-03T13:00:57.620991</t>
  </si>
  <si>
    <t>2026-09-03T13:00:57.612429</t>
  </si>
  <si>
    <t>2026-09-03T13:00:57.598933</t>
  </si>
  <si>
    <t>2026-09-03T13:00:57.591761</t>
  </si>
  <si>
    <t>2026-09-03T13:00:57.577801</t>
  </si>
  <si>
    <t>2026-09-03T13:00:57.571167</t>
  </si>
  <si>
    <t>2026-09-03T13:00:57.557335</t>
  </si>
  <si>
    <t>2026-09-03T13:00:57.543329</t>
  </si>
  <si>
    <t>2026-09-03T13:00:57.530561</t>
  </si>
  <si>
    <t>2026-09-03T13:00:57.515740</t>
  </si>
  <si>
    <t>2026-09-03T13:00:57.504613</t>
  </si>
  <si>
    <t>2026-09-03T13:00:57.489474</t>
  </si>
  <si>
    <t>2026-09-03T13:00:57.473660</t>
  </si>
  <si>
    <t>2026-09-03T13:00:57.459858</t>
  </si>
  <si>
    <t>2026-09-03T13:00:57.451777</t>
  </si>
  <si>
    <t>2026-09-03T13:00:57.439097</t>
  </si>
  <si>
    <t>2026-09-03T13:00:57.425049</t>
  </si>
  <si>
    <t>2026-09-03T13:00:57.416992</t>
  </si>
  <si>
    <t>2026-09-03T13:00:57.404806</t>
  </si>
  <si>
    <t>2026-09-03T13:00:57.391209</t>
  </si>
  <si>
    <t>2026-09-03T13:00:57.389256</t>
  </si>
  <si>
    <t>2026-09-03T13:00:57.376415</t>
  </si>
  <si>
    <t>2026-09-03T13:00:57.369369</t>
  </si>
  <si>
    <t>2026-09-03T13:00:57.364570</t>
  </si>
  <si>
    <t>2026-09-03T13:00:57.350108</t>
  </si>
  <si>
    <t>2026-09-03T13:00:57.333448</t>
  </si>
  <si>
    <t>2026-09-03T13:00:57.328470</t>
  </si>
  <si>
    <t>2026-09-03T13:00:57.314718</t>
  </si>
  <si>
    <t>2026-09-03T13:00:57.300279</t>
  </si>
  <si>
    <t>2026-09-03T13:00:57.280431</t>
  </si>
  <si>
    <t>2026-09-03T13:00:57.269366</t>
  </si>
  <si>
    <t>2026-09-03T13:00:57.257757</t>
  </si>
  <si>
    <t>2026-09-03T13:00:57.248924</t>
  </si>
  <si>
    <t>2026-09-03T13:00:57.231380</t>
  </si>
  <si>
    <t>2026-09-03T13:00:57.217443</t>
  </si>
  <si>
    <t>2026-09-03T13:00:57.203349</t>
  </si>
  <si>
    <t>2026-09-03T13:00:57.195249</t>
  </si>
  <si>
    <t>2026-09-03T13:00:57.182731</t>
  </si>
  <si>
    <t>2026-09-03T13:00:57.173968</t>
  </si>
  <si>
    <t>2026-09-03T13:00:57.162615</t>
  </si>
  <si>
    <t>2026-09-03T13:00:57.154165</t>
  </si>
  <si>
    <t>2026-09-03T13:00:57.141412</t>
  </si>
  <si>
    <t>2026-09-03T13:00:57.127010</t>
  </si>
  <si>
    <t>2026-09-03T13:00:57.120023</t>
  </si>
  <si>
    <t>2026-09-03T13:00:57.111558</t>
  </si>
  <si>
    <t>2026-09-03T13:00:57.098672</t>
  </si>
  <si>
    <t>2026-09-03T13:00:57.090664</t>
  </si>
  <si>
    <t>2026-09-03T13:00:57.077912</t>
  </si>
  <si>
    <t>2026-09-03T13:00:57.065235</t>
  </si>
  <si>
    <t>2026-09-03T13:00:57.056080</t>
  </si>
  <si>
    <t>2026-09-03T13:00:57.043120</t>
  </si>
  <si>
    <t>2026-09-03T13:00:57.030874</t>
  </si>
  <si>
    <t>2026-09-03T13:00:57.023673</t>
  </si>
  <si>
    <t>2026-09-03T13:00:57.008993</t>
  </si>
  <si>
    <t>2026-09-03T13:00:56.988280</t>
  </si>
  <si>
    <t>2026-09-03T13:00:56.981129</t>
  </si>
  <si>
    <t>2026-09-03T13:00:56.969313</t>
  </si>
  <si>
    <t>2026-09-03T13:00:56.953873</t>
  </si>
  <si>
    <t>2026-09-03T13:00:56.946841</t>
  </si>
  <si>
    <t>2026-09-03T13:00:56.932144</t>
  </si>
  <si>
    <t>2026-09-03T13:00:56.918724</t>
  </si>
  <si>
    <t>2026-09-03T13:00:56.911301</t>
  </si>
  <si>
    <t>2026-09-03T13:00:56.897337</t>
  </si>
  <si>
    <t>2026-09-03T13:00:56.891406</t>
  </si>
  <si>
    <t>2026-09-03T13:00:56.882667</t>
  </si>
  <si>
    <t>2026-09-03T13:00:56.869534</t>
  </si>
  <si>
    <t>2026-09-03T13:00:56.855895</t>
  </si>
  <si>
    <t>2026-09-03T13:00:56.849024</t>
  </si>
  <si>
    <t>2026-09-03T13:00:56.842647</t>
  </si>
  <si>
    <t>2026-09-03T13:00:56.835917</t>
  </si>
  <si>
    <t>2026-09-03T13:00:56.826758</t>
  </si>
  <si>
    <t>2026-09-03T13:00:56.808153</t>
  </si>
  <si>
    <t>2026-09-03T13:00:56.796331</t>
  </si>
  <si>
    <t>2026-09-03T13:00:56.787003</t>
  </si>
  <si>
    <t>2026-09-03T13:00:56.766650</t>
  </si>
  <si>
    <t>2026-09-03T13:00:56.736480</t>
  </si>
  <si>
    <t>2026-09-03T13:00:56.710867</t>
  </si>
  <si>
    <t>2026-09-03T13:00:56.690437</t>
  </si>
  <si>
    <t>2026-09-03T13:00:56.675757</t>
  </si>
  <si>
    <t>2026-09-03T13:00:56.661239</t>
  </si>
  <si>
    <t>2026-09-03T13:00:56.655574</t>
  </si>
  <si>
    <t>2026-09-03T13:00:56.638551</t>
  </si>
  <si>
    <t>2026-09-03T13:00:56.625392</t>
  </si>
  <si>
    <t>2026-09-03T13:00:56.613562</t>
  </si>
  <si>
    <t>2026-09-03T13:00:56.603163</t>
  </si>
  <si>
    <t>2026-09-03T13:00:56.590931</t>
  </si>
  <si>
    <t>2026-09-03T13:00:56.578748</t>
  </si>
  <si>
    <t>2026-09-03T13:00:56.566753</t>
  </si>
  <si>
    <t>2026-09-03T13:00:56.550232</t>
  </si>
  <si>
    <t>2026-09-03T13:00:56.543210</t>
  </si>
  <si>
    <t>2026-09-03T13:00:56.535131</t>
  </si>
  <si>
    <t>2026-09-03T13:00:56.523559</t>
  </si>
  <si>
    <t>2026-09-03T13:00:56.512165</t>
  </si>
  <si>
    <t>2026-09-03T13:00:56.502135</t>
  </si>
  <si>
    <t>2026-09-03T13:00:56.487998</t>
  </si>
  <si>
    <t>2026-09-03T13:00:56.469689</t>
  </si>
  <si>
    <t>2026-09-03T13:00:56.454565</t>
  </si>
  <si>
    <t>2026-09-03T13:00:56.441914</t>
  </si>
  <si>
    <t>2026-09-03T13:00:56.431947</t>
  </si>
  <si>
    <t>2026-09-03T13:00:56.400338</t>
  </si>
  <si>
    <t>2026-09-03T13:00:56.383603</t>
  </si>
  <si>
    <t>2026-09-03T13:00:56.356253</t>
  </si>
  <si>
    <t>2026-09-03T13:00:56.314224</t>
  </si>
  <si>
    <t>2026-09-03T13:00:56.281124</t>
  </si>
  <si>
    <t>2026-09-03T13:00:56.251347</t>
  </si>
  <si>
    <t>2026-09-03T13:00:56.237545</t>
  </si>
  <si>
    <t>2026-09-03T13:00:56.216411</t>
  </si>
  <si>
    <t>2026-09-03T13:00:56.202760</t>
  </si>
  <si>
    <t>2026-09-03T13:00:56.195615</t>
  </si>
  <si>
    <t>2026-09-03T13:00:56.181633</t>
  </si>
  <si>
    <t>2026-09-03T13:00:56.174922</t>
  </si>
  <si>
    <t>2026-09-03T13:00:56.161020</t>
  </si>
  <si>
    <t>2026-09-03T13:00:56.149267</t>
  </si>
  <si>
    <t>2026-09-03T13:00:56.134112</t>
  </si>
  <si>
    <t>2026-09-03T13:00:56.118285</t>
  </si>
  <si>
    <t>2026-09-03T13:00:56.109931</t>
  </si>
  <si>
    <t>2026-09-03T13:00:56.097388</t>
  </si>
  <si>
    <t>2026-09-03T13:00:56.092356</t>
  </si>
  <si>
    <t>2026-09-03T13:00:56.078969</t>
  </si>
  <si>
    <t>2026-09-03T13:00:56.065786</t>
  </si>
  <si>
    <t>2026-09-03T13:00:56.050110</t>
  </si>
  <si>
    <t>2026-09-03T13:00:56.043509</t>
  </si>
  <si>
    <t>2026-09-03T13:00:56.030234</t>
  </si>
  <si>
    <t>2026-09-03T13:00:56.023654</t>
  </si>
  <si>
    <t>2026-09-03T13:00:56.001826</t>
  </si>
  <si>
    <t>2026-09-03T13:00:55.995649</t>
  </si>
  <si>
    <t>2026-09-03T13:00:55.982480</t>
  </si>
  <si>
    <t>2026-09-03T13:00:55.967214</t>
  </si>
  <si>
    <t>2026-09-03T13:00:55.953937</t>
  </si>
  <si>
    <t>2026-09-03T13:00:55.946703</t>
  </si>
  <si>
    <t>2026-09-03T13:00:55.936993</t>
  </si>
  <si>
    <t>2026-09-03T13:00:55.925828</t>
  </si>
  <si>
    <t>2026-09-03T13:00:55.917175</t>
  </si>
  <si>
    <t>2026-09-03T13:00:55.904448</t>
  </si>
  <si>
    <t>2026-09-03T13:00:55.897461</t>
  </si>
  <si>
    <t>2026-09-03T13:00:55.883595</t>
  </si>
  <si>
    <t>2026-09-03T13:00:55.876558</t>
  </si>
  <si>
    <t>2026-09-03T13:00:55.865074</t>
  </si>
  <si>
    <t>2026-09-03T13:00:55.855740</t>
  </si>
  <si>
    <t>2026-09-03T13:00:55.849115</t>
  </si>
  <si>
    <t>2026-09-03T13:00:55.835587</t>
  </si>
  <si>
    <t>2026-09-03T13:00:55.821154</t>
  </si>
  <si>
    <t>2026-09-03T13:00:55.814814</t>
  </si>
  <si>
    <t>2026-09-03T13:00:55.807661</t>
  </si>
  <si>
    <t>2026-09-03T13:00:55.793504</t>
  </si>
  <si>
    <t>2026-09-03T13:00:55.778292</t>
  </si>
  <si>
    <t>2026-09-03T13:00:55.772539</t>
  </si>
  <si>
    <t>2026-09-03T13:00:55.761643</t>
  </si>
  <si>
    <t>2026-09-03T13:00:55.745036</t>
  </si>
  <si>
    <t>2026-09-03T13:00:55.732654</t>
  </si>
  <si>
    <t>2026-09-03T13:00:55.717440</t>
  </si>
  <si>
    <t>2026-09-03T13:00:55.710570</t>
  </si>
  <si>
    <t>2026-09-03T13:00:55.701981</t>
  </si>
  <si>
    <t>2026-09-03T13:00:55.689772</t>
  </si>
  <si>
    <t>2026-09-03T13:00:55.682940</t>
  </si>
  <si>
    <t>2026-09-03T13:00:55.669677</t>
  </si>
  <si>
    <t>2026-09-03T13:00:55.661342</t>
  </si>
  <si>
    <t>2026-09-03T13:00:55.653424</t>
  </si>
  <si>
    <t>2026-09-03T13:00:55.641338</t>
  </si>
  <si>
    <t>2026-09-03T13:00:55.627256</t>
  </si>
  <si>
    <t>2026-09-03T13:00:55.619765</t>
  </si>
  <si>
    <t>2026-09-03T13:00:55.605833</t>
  </si>
  <si>
    <t>2026-09-03T13:00:55.593225</t>
  </si>
  <si>
    <t>2026-09-03T13:00:55.585675</t>
  </si>
  <si>
    <t>2026-09-03T13:00:55.578018</t>
  </si>
  <si>
    <t>2026-09-03T13:00:55.564595</t>
  </si>
  <si>
    <t>2026-09-03T13:00:55.557425</t>
  </si>
  <si>
    <t>2026-09-03T13:00:55.543887</t>
  </si>
  <si>
    <t>2026-09-03T13:00:55.536548</t>
  </si>
  <si>
    <t>2026-09-03T13:00:55.523041</t>
  </si>
  <si>
    <t>2026-09-03T13:00:55.517567</t>
  </si>
  <si>
    <t>2026-09-03T13:00:55.502970</t>
  </si>
  <si>
    <t>2026-09-03T13:00:55.494892</t>
  </si>
  <si>
    <t>2026-09-03T13:00:55.481366</t>
  </si>
  <si>
    <t>2026-09-03T13:00:55.474006</t>
  </si>
  <si>
    <t>2026-09-03T13:00:55.464248</t>
  </si>
  <si>
    <t>2026-09-03T13:00:55.447825</t>
  </si>
  <si>
    <t>2026-09-03T13:00:55.440068</t>
  </si>
  <si>
    <t>2026-09-03T13:00:55.431890</t>
  </si>
  <si>
    <t>2026-09-03T13:00:55.424734</t>
  </si>
  <si>
    <t>2026-09-03T13:00:55.412853</t>
  </si>
  <si>
    <t>2026-09-03T13:00:55.404032</t>
  </si>
  <si>
    <t>2026-09-03T13:00:55.396838</t>
  </si>
  <si>
    <t>2026-09-03T13:00:55.363929</t>
  </si>
  <si>
    <t>2026-09-03T13:00:55.307219</t>
  </si>
  <si>
    <t>2026-09-03T13:00:55.293918</t>
  </si>
  <si>
    <t>2026-09-03T13:00:55.287035</t>
  </si>
  <si>
    <t>2026-09-03T13:00:55.272650</t>
  </si>
  <si>
    <t>2026-09-03T13:00:55.257460</t>
  </si>
  <si>
    <t>2026-09-03T13:00:55.252962</t>
  </si>
  <si>
    <t>2026-09-03T13:00:55.238215</t>
  </si>
  <si>
    <t>2026-09-03T13:00:55.224265</t>
  </si>
  <si>
    <t>2026-09-03T13:00:55.205646</t>
  </si>
  <si>
    <t>2026-09-03T13:00:55.195637</t>
  </si>
  <si>
    <t>2026-09-03T13:00:55.186673</t>
  </si>
  <si>
    <t>2026-09-03T13:00:55.175745</t>
  </si>
  <si>
    <t>2026-09-03T13:00:55.156371</t>
  </si>
  <si>
    <t>2026-09-03T13:00:55.146813</t>
  </si>
  <si>
    <t>2026-09-03T13:00:55.133715</t>
  </si>
  <si>
    <t>2026-09-03T13:00:55.120566</t>
  </si>
  <si>
    <t>2026-09-03T13:00:55.113047</t>
  </si>
  <si>
    <t>2026-09-03T13:00:55.097969</t>
  </si>
  <si>
    <t>2026-09-03T13:00:55.085248</t>
  </si>
  <si>
    <t>2026-09-03T13:00:55.077076</t>
  </si>
  <si>
    <t>2026-09-03T13:00:55.067086</t>
  </si>
  <si>
    <t>2026-09-03T13:00:55.051280</t>
  </si>
  <si>
    <t>2026-09-03T13:00:55.036857</t>
  </si>
  <si>
    <t>2026-09-03T13:00:55.029563</t>
  </si>
  <si>
    <t>2026-09-03T13:00:55.016069</t>
  </si>
  <si>
    <t>2026-09-03T13:00:55.003482</t>
  </si>
  <si>
    <t>2026-09-03T13:00:54.995163</t>
  </si>
  <si>
    <t>2026-09-03T13:00:54.981113</t>
  </si>
  <si>
    <t>2026-09-03T13:00:54.965924</t>
  </si>
  <si>
    <t>2026-09-03T13:00:54.959480</t>
  </si>
  <si>
    <t>2026-09-03T13:00:54.948772</t>
  </si>
  <si>
    <t>2026-09-03T13:00:54.937013</t>
  </si>
  <si>
    <t>2026-09-03T13:00:54.926566</t>
  </si>
  <si>
    <t>2026-09-03T13:00:54.918567</t>
  </si>
  <si>
    <t>2026-09-03T13:00:54.905770</t>
  </si>
  <si>
    <t>2026-09-03T13:00:54.897714</t>
  </si>
  <si>
    <t>2026-09-03T13:00:54.891109</t>
  </si>
  <si>
    <t>2026-09-03T13:00:54.878227</t>
  </si>
  <si>
    <t>2026-09-03T13:00:54.871034</t>
  </si>
  <si>
    <t>2026-09-03T13:00:54.862857</t>
  </si>
  <si>
    <t>2026-09-03T13:00:54.848964</t>
  </si>
  <si>
    <t>2026-09-03T13:00:54.843350</t>
  </si>
  <si>
    <t>2026-09-03T13:00:54.829150</t>
  </si>
  <si>
    <t>2026-09-03T13:00:54.815055</t>
  </si>
  <si>
    <t>2026-09-03T13:00:54.801583</t>
  </si>
  <si>
    <t>2026-09-03T13:00:54.786056</t>
  </si>
  <si>
    <t>2026-09-03T13:00:54.767682</t>
  </si>
  <si>
    <t>2026-09-03T13:00:54.738960</t>
  </si>
  <si>
    <t>2026-09-03T13:00:54.713266</t>
  </si>
  <si>
    <t>2026-09-03T13:00:54.691675</t>
  </si>
  <si>
    <t>2026-09-03T13:00:54.675484</t>
  </si>
  <si>
    <t>2026-09-03T13:00:54.654994</t>
  </si>
  <si>
    <t>2026-09-03T13:00:54.641725</t>
  </si>
  <si>
    <t>2026-09-03T13:00:54.631510</t>
  </si>
  <si>
    <t>2026-09-03T13:00:54.620430</t>
  </si>
  <si>
    <t>2026-09-03T13:00:54.611931</t>
  </si>
  <si>
    <t>2026-09-03T13:00:54.601121</t>
  </si>
  <si>
    <t>2026-09-03T13:00:54.591353</t>
  </si>
  <si>
    <t>2026-09-03T13:00:54.579314</t>
  </si>
  <si>
    <t>2026-09-03T13:00:54.564446</t>
  </si>
  <si>
    <t>2026-09-03T13:00:54.550956</t>
  </si>
  <si>
    <t>2026-09-03T13:00:54.543592</t>
  </si>
  <si>
    <t>2026-09-03T13:00:54.531061</t>
  </si>
  <si>
    <t>2026-09-03T13:00:54.523864</t>
  </si>
  <si>
    <t>2026-09-03T13:00:54.509622</t>
  </si>
  <si>
    <t>2026-09-03T13:00:54.495571</t>
  </si>
  <si>
    <t>2026-09-03T13:00:54.481548</t>
  </si>
  <si>
    <t>2026-09-03T13:00:54.467326</t>
  </si>
  <si>
    <t>2026-09-03T13:00:54.452597</t>
  </si>
  <si>
    <t>2026-09-03T13:00:54.443668</t>
  </si>
  <si>
    <t>2026-09-03T13:00:54.434135</t>
  </si>
  <si>
    <t>2026-09-03T13:00:54.421527</t>
  </si>
  <si>
    <t>2026-09-03T13:00:54.411528</t>
  </si>
  <si>
    <t>2026-09-03T13:00:54.405790</t>
  </si>
  <si>
    <t>2026-09-03T13:00:54.391068</t>
  </si>
  <si>
    <t>2026-09-03T13:00:54.383774</t>
  </si>
  <si>
    <t>2026-09-03T13:00:54.370164</t>
  </si>
  <si>
    <t>2026-09-03T13:00:54.362901</t>
  </si>
  <si>
    <t>2026-09-03T13:00:54.351349</t>
  </si>
  <si>
    <t>2026-09-03T13:00:54.342237</t>
  </si>
  <si>
    <t>2026-09-03T13:00:54.336966</t>
  </si>
  <si>
    <t>2026-09-03T13:00:54.328557</t>
  </si>
  <si>
    <t>2026-09-03T13:00:54.314544</t>
  </si>
  <si>
    <t>2026-09-03T13:00:54.308697</t>
  </si>
  <si>
    <t>2026-09-03T13:00:54.293931</t>
  </si>
  <si>
    <t>2026-09-03T13:00:54.286909</t>
  </si>
  <si>
    <t>2026-09-03T13:00:54.273145</t>
  </si>
  <si>
    <t>2026-09-03T13:00:54.265771</t>
  </si>
  <si>
    <t>2026-09-03T13:00:54.252658</t>
  </si>
  <si>
    <t>2026-09-03T13:00:54.244948</t>
  </si>
  <si>
    <t>2026-09-03T13:00:54.230768</t>
  </si>
  <si>
    <t>2026-09-03T13:00:54.217377</t>
  </si>
  <si>
    <t>2026-09-03T13:00:54.203846</t>
  </si>
  <si>
    <t>2026-09-03T13:00:54.190358</t>
  </si>
  <si>
    <t>2026-09-03T13:00:54.183113</t>
  </si>
  <si>
    <t>2026-09-03T13:00:54.168643</t>
  </si>
  <si>
    <t>2026-09-03T13:00:54.154643</t>
  </si>
  <si>
    <t>2026-09-03T13:00:54.148200</t>
  </si>
  <si>
    <t>2026-09-03T13:00:54.134230</t>
  </si>
  <si>
    <t>2026-09-03T13:00:54.127153</t>
  </si>
  <si>
    <t>2026-09-03T13:00:54.120418</t>
  </si>
  <si>
    <t>2026-09-03T13:00:54.108082</t>
  </si>
  <si>
    <t>2026-09-03T13:00:54.099255</t>
  </si>
  <si>
    <t>2026-09-03T13:00:54.092063</t>
  </si>
  <si>
    <t>2026-09-03T13:00:54.085183</t>
  </si>
  <si>
    <t>2026-09-03T13:00:54.071852</t>
  </si>
  <si>
    <t>2026-09-03T13:00:54.064457</t>
  </si>
  <si>
    <t>2026-09-03T13:00:54.050691</t>
  </si>
  <si>
    <t>2026-09-03T13:00:54.043847</t>
  </si>
  <si>
    <t>2026-09-03T13:00:54.032006</t>
  </si>
  <si>
    <t>2026-09-03T13:00:54.018196</t>
  </si>
  <si>
    <t>2026-09-03T13:00:54.002088</t>
  </si>
  <si>
    <t>2026-09-03T13:00:53.989270</t>
  </si>
  <si>
    <t>2026-09-03T13:00:53.974293</t>
  </si>
  <si>
    <t>2026-09-03T13:00:53.954114</t>
  </si>
  <si>
    <t>2026-09-03T13:00:53.947201</t>
  </si>
  <si>
    <t>2026-09-03T13:00:53.932797</t>
  </si>
  <si>
    <t>2026-09-03T13:00:53.924484</t>
  </si>
  <si>
    <t>2026-09-03T13:00:53.911945</t>
  </si>
  <si>
    <t>2026-09-03T13:00:53.898213</t>
  </si>
  <si>
    <t>2026-09-03T13:00:53.890863</t>
  </si>
  <si>
    <t>2026-09-03T13:00:53.878216</t>
  </si>
  <si>
    <t>2026-09-03T13:00:53.870335</t>
  </si>
  <si>
    <t>2026-09-03T13:00:53.862974</t>
  </si>
  <si>
    <t>2026-09-03T13:00:53.849539</t>
  </si>
  <si>
    <t>2026-09-03T13:00:53.842654</t>
  </si>
  <si>
    <t>2026-09-03T13:00:53.835442</t>
  </si>
  <si>
    <t>2026-09-03T13:00:53.821993</t>
  </si>
  <si>
    <t>2026-09-03T13:00:53.814777</t>
  </si>
  <si>
    <t>2026-09-03T13:00:53.800795</t>
  </si>
  <si>
    <t>2026-09-03T13:00:53.786706</t>
  </si>
  <si>
    <t>2026-09-03T13:00:53.779720</t>
  </si>
  <si>
    <t>2026-09-03T13:00:53.769157</t>
  </si>
  <si>
    <t>2026-09-03T13:00:53.754910</t>
  </si>
  <si>
    <t>2026-09-03T13:00:53.745606</t>
  </si>
  <si>
    <t>2026-09-03T13:00:53.725331</t>
  </si>
  <si>
    <t>2026-09-03T13:00:53.717719</t>
  </si>
  <si>
    <t>2026-09-03T13:00:53.709096</t>
  </si>
  <si>
    <t>2026-09-03T13:00:53.697975</t>
  </si>
  <si>
    <t>2026-09-03T13:00:53.676365</t>
  </si>
  <si>
    <t>2026-09-03T13:00:53.661799</t>
  </si>
  <si>
    <t>2026-09-03T13:00:53.648455</t>
  </si>
  <si>
    <t>2026-09-03T13:00:53.633932</t>
  </si>
  <si>
    <t>2026-09-03T13:00:53.620644</t>
  </si>
  <si>
    <t>2026-09-03T13:00:53.606477</t>
  </si>
  <si>
    <t>2026-09-03T13:00:53.599173</t>
  </si>
  <si>
    <t>2026-09-03T13:00:53.585377</t>
  </si>
  <si>
    <t>2026-09-03T13:00:53.572169</t>
  </si>
  <si>
    <t>2026-09-03T13:00:53.560804</t>
  </si>
  <si>
    <t>2026-09-03T13:00:53.551240</t>
  </si>
  <si>
    <t>2026-09-03T13:00:53.542621</t>
  </si>
  <si>
    <t>2026-09-03T13:00:53.531301</t>
  </si>
  <si>
    <t>2026-09-03T13:00:53.522833</t>
  </si>
  <si>
    <t>2026-09-03T13:00:53.508823</t>
  </si>
  <si>
    <t>2026-09-03T13:00:53.501860</t>
  </si>
  <si>
    <t>2026-09-03T13:00:53.495099</t>
  </si>
  <si>
    <t>2026-09-03T13:00:53.480553</t>
  </si>
  <si>
    <t>2026-09-03T13:00:53.474179</t>
  </si>
  <si>
    <t>2026-09-03T13:00:53.460419</t>
  </si>
  <si>
    <t>2026-09-03T13:00:53.447073</t>
  </si>
  <si>
    <t>2026-09-03T13:00:53.440569</t>
  </si>
  <si>
    <t>2026-09-03T13:00:53.431525</t>
  </si>
  <si>
    <t>2026-09-03T13:00:53.411756</t>
  </si>
  <si>
    <t>2026-09-03T13:00:53.379204</t>
  </si>
  <si>
    <t>2026-09-03T13:00:53.363778</t>
  </si>
  <si>
    <t>2026-09-03T13:00:53.357701</t>
  </si>
  <si>
    <t>2026-09-03T13:00:53.320462</t>
  </si>
  <si>
    <t>2026-09-03T13:00:53.296457</t>
  </si>
  <si>
    <t>2026-09-03T13:00:53.259991</t>
  </si>
  <si>
    <t>2026-09-03T13:00:53.247772</t>
  </si>
  <si>
    <t>2026-09-03T13:00:53.233955</t>
  </si>
  <si>
    <t>2026-09-03T13:00:53.224469</t>
  </si>
  <si>
    <t>2026-09-03T13:00:53.204130</t>
  </si>
  <si>
    <t>2026-09-03T13:00:53.190508</t>
  </si>
  <si>
    <t>2026-09-03T13:00:53.182522</t>
  </si>
  <si>
    <t>2026-09-03T13:00:53.175559</t>
  </si>
  <si>
    <t>2026-09-03T13:00:53.162274</t>
  </si>
  <si>
    <t>2026-09-03T13:00:53.148398</t>
  </si>
  <si>
    <t>2026-09-03T13:00:53.140838</t>
  </si>
  <si>
    <t>2026-09-03T13:00:53.134814</t>
  </si>
  <si>
    <t>2026-09-03T13:00:53.120451</t>
  </si>
  <si>
    <t>2026-09-03T13:00:53.113126</t>
  </si>
  <si>
    <t>2026-09-03T13:00:53.099314</t>
  </si>
  <si>
    <t>2026-09-03T13:00:53.086484</t>
  </si>
  <si>
    <t>2026-09-03T13:00:53.078471</t>
  </si>
  <si>
    <t>2026-09-03T13:00:53.070404</t>
  </si>
  <si>
    <t>2026-09-03T13:00:53.059743</t>
  </si>
  <si>
    <t>2026-09-03T13:00:53.049586</t>
  </si>
  <si>
    <t>2026-09-03T13:00:53.039315</t>
  </si>
  <si>
    <t>2026-09-03T13:00:53.030193</t>
  </si>
  <si>
    <t>2026-09-03T13:00:53.016759</t>
  </si>
  <si>
    <t>2026-09-03T13:00:52.989565</t>
  </si>
  <si>
    <t>2026-09-03T13:00:52.981399</t>
  </si>
  <si>
    <t>2026-09-03T13:00:52.967927</t>
  </si>
  <si>
    <t>2026-09-03T13:00:52.954159</t>
  </si>
  <si>
    <t>2026-09-03T13:00:52.942210</t>
  </si>
  <si>
    <t>2026-09-03T13:00:52.931811</t>
  </si>
  <si>
    <t>2026-09-03T13:00:52.923508</t>
  </si>
  <si>
    <t>2026-09-03T13:00:52.905260</t>
  </si>
  <si>
    <t>2026-09-03T13:00:52.898257</t>
  </si>
  <si>
    <t>2026-09-03T13:00:52.891180</t>
  </si>
  <si>
    <t>2026-09-03T13:00:52.877121</t>
  </si>
  <si>
    <t>2026-09-03T13:00:52.870068</t>
  </si>
  <si>
    <t>2026-09-03T13:00:52.859516</t>
  </si>
  <si>
    <t>2026-09-03T13:00:52.851145</t>
  </si>
  <si>
    <t>2026-09-03T13:00:52.842579</t>
  </si>
  <si>
    <t>2026-09-03T13:00:52.831994</t>
  </si>
  <si>
    <t>2026-09-03T13:00:52.819034</t>
  </si>
  <si>
    <t>2026-09-03T13:00:52.800378</t>
  </si>
  <si>
    <t>2026-09-03T13:00:52.784283</t>
  </si>
  <si>
    <t>2026-09-03T13:00:52.770247</t>
  </si>
  <si>
    <t>2026-09-03T13:00:52.762237</t>
  </si>
  <si>
    <t>2026-09-03T13:00:52.748946</t>
  </si>
  <si>
    <t>2026-09-03T13:00:52.732259</t>
  </si>
  <si>
    <t>2026-09-03T13:00:52.709621</t>
  </si>
  <si>
    <t>2026-09-03T13:00:52.693859</t>
  </si>
  <si>
    <t>2026-09-03T13:00:52.678474</t>
  </si>
  <si>
    <t>2026-09-03T13:00:52.669580</t>
  </si>
  <si>
    <t>2026-09-03T13:00:52.655716</t>
  </si>
  <si>
    <t>2026-09-03T13:00:52.638609</t>
  </si>
  <si>
    <t>2026-09-03T13:00:52.625076</t>
  </si>
  <si>
    <t>2026-09-03T13:00:52.612748</t>
  </si>
  <si>
    <t>2026-09-03T13:00:52.605184</t>
  </si>
  <si>
    <t>2026-09-03T13:00:52.591543</t>
  </si>
  <si>
    <t>2026-09-03T13:00:52.578806</t>
  </si>
  <si>
    <t>2026-09-03T13:00:52.565604</t>
  </si>
  <si>
    <t>2026-09-03T13:00:52.551663</t>
  </si>
  <si>
    <t>2026-09-03T13:00:52.538094</t>
  </si>
  <si>
    <t>2026-09-03T13:00:52.531128</t>
  </si>
  <si>
    <t>2026-09-03T13:00:52.523636</t>
  </si>
  <si>
    <t>2026-09-03T13:00:52.517344</t>
  </si>
  <si>
    <t>2026-09-03T13:00:52.503381</t>
  </si>
  <si>
    <t>2026-09-03T13:00:52.488843</t>
  </si>
  <si>
    <t>2026-09-03T13:00:52.474778</t>
  </si>
  <si>
    <t>2026-09-03T13:00:52.461777</t>
  </si>
  <si>
    <t>2026-09-03T13:00:52.448009</t>
  </si>
  <si>
    <t>2026-09-03T13:00:52.433142</t>
  </si>
  <si>
    <t>2026-09-03T13:00:52.427004</t>
  </si>
  <si>
    <t>2026-09-03T13:00:52.417716</t>
  </si>
  <si>
    <t>2026-09-03T13:00:52.405957</t>
  </si>
  <si>
    <t>2026-09-03T13:00:52.398409</t>
  </si>
  <si>
    <t>2026-09-03T13:00:52.389991</t>
  </si>
  <si>
    <t>2026-09-03T13:00:52.377756</t>
  </si>
  <si>
    <t>2026-09-03T13:00:52.370195</t>
  </si>
  <si>
    <t>2026-09-03T13:00:52.362189</t>
  </si>
  <si>
    <t>2026-09-03T13:00:52.351994</t>
  </si>
  <si>
    <t>2026-09-03T13:00:52.343432</t>
  </si>
  <si>
    <t>2026-09-03T13:00:52.329572</t>
  </si>
  <si>
    <t>2026-09-03T13:00:52.321761</t>
  </si>
  <si>
    <t>2026-09-03T13:00:52.308128</t>
  </si>
  <si>
    <t>2026-09-03T13:00:52.303638</t>
  </si>
  <si>
    <t>2026-09-03T13:00:52.294002</t>
  </si>
  <si>
    <t>2026-09-03T13:00:52.279960</t>
  </si>
  <si>
    <t>2026-09-03T13:00:52.273398</t>
  </si>
  <si>
    <t>2026-09-03T13:00:52.261470</t>
  </si>
  <si>
    <t>2026-09-03T13:00:52.243807</t>
  </si>
  <si>
    <t>2026-09-03T13:00:52.231627</t>
  </si>
  <si>
    <t>2026-09-03T13:00:52.208671</t>
  </si>
  <si>
    <t>2026-09-03T13:00:52.190299</t>
  </si>
  <si>
    <t>2026-09-03T13:00:52.176003</t>
  </si>
  <si>
    <t>2026-09-03T13:00:52.169148</t>
  </si>
  <si>
    <t>2026-09-03T13:00:52.155940</t>
  </si>
  <si>
    <t>2026-09-03T13:00:52.147860</t>
  </si>
  <si>
    <t>2026-09-03T13:00:52.135669</t>
  </si>
  <si>
    <t>2026-09-03T13:00:52.128186</t>
  </si>
  <si>
    <t>2026-09-03T13:00:52.120223</t>
  </si>
  <si>
    <t>2026-09-03T13:00:52.107825</t>
  </si>
  <si>
    <t>2026-09-03T13:00:52.099467</t>
  </si>
  <si>
    <t>2026-09-03T13:00:52.086893</t>
  </si>
  <si>
    <t>2026-09-03T13:00:52.072845</t>
  </si>
  <si>
    <t>2026-09-03T13:00:52.065375</t>
  </si>
  <si>
    <t>2026-09-03T13:00:52.052197</t>
  </si>
  <si>
    <t>2026-09-03T13:00:52.037607</t>
  </si>
  <si>
    <t>2026-09-03T13:00:52.023048</t>
  </si>
  <si>
    <t>2026-09-03T13:00:52.009871</t>
  </si>
  <si>
    <t>2026-09-03T13:00:51.996901</t>
  </si>
  <si>
    <t>2026-09-03T13:00:51.970947</t>
  </si>
  <si>
    <t>2026-09-03T12:59:57.018554</t>
  </si>
  <si>
    <t>2026-09-03T12:59:57.010424</t>
  </si>
  <si>
    <t>2026-09-03T12:59:56.998856</t>
  </si>
  <si>
    <t>2026-09-03T12:59:56.989804</t>
  </si>
  <si>
    <t>2026-09-03T12:59:56.975316</t>
  </si>
  <si>
    <t>2026-09-03T12:59:56.963644</t>
  </si>
  <si>
    <t>2026-09-03T12:59:56.954953</t>
  </si>
  <si>
    <t>2026-09-03T12:59:56.946512</t>
  </si>
  <si>
    <t>2026-09-03T12:59:56.936587</t>
  </si>
  <si>
    <t>2026-09-03T12:59:56.926575</t>
  </si>
  <si>
    <t>2026-09-03T12:59:56.917792</t>
  </si>
  <si>
    <t>2026-09-03T12:59:56.907812</t>
  </si>
  <si>
    <t>2026-09-03T12:59:56.895337</t>
  </si>
  <si>
    <t>2026-09-03T12:59:56.885576</t>
  </si>
  <si>
    <t>2026-09-03T12:59:56.871439</t>
  </si>
  <si>
    <t>2026-09-03T12:59:56.857262</t>
  </si>
  <si>
    <t>2026-09-03T12:59:56.846231</t>
  </si>
  <si>
    <t>2026-09-03T12:59:56.836836</t>
  </si>
  <si>
    <t>2026-09-03T12:59:56.824163</t>
  </si>
  <si>
    <t>2026-09-03T12:59:56.815419</t>
  </si>
  <si>
    <t>2026-09-03T12:59:56.808857</t>
  </si>
  <si>
    <t>2026-09-03T12:59:56.795063</t>
  </si>
  <si>
    <t>2026-09-03T12:59:56.788100</t>
  </si>
  <si>
    <t>2026-09-03T12:59:56.775488</t>
  </si>
  <si>
    <t>2026-09-03T12:59:56.767379</t>
  </si>
  <si>
    <t>2026-09-03T12:59:56.761057</t>
  </si>
  <si>
    <t>2026-09-03T12:59:56.753581</t>
  </si>
  <si>
    <t>2026-09-03T12:59:56.740587</t>
  </si>
  <si>
    <t>2026-09-03T12:59:56.732067</t>
  </si>
  <si>
    <t>2026-09-03T12:59:56.724112</t>
  </si>
  <si>
    <t>2026-09-03T12:59:56.712529</t>
  </si>
  <si>
    <t>2026-09-03T12:59:56.698996</t>
  </si>
  <si>
    <t>2026-09-03T12:59:56.691675</t>
  </si>
  <si>
    <t>2026-09-03T12:59:56.684063</t>
  </si>
  <si>
    <t>2026-09-03T12:59:56.670460</t>
  </si>
  <si>
    <t>2026-09-03T12:59:56.664533</t>
  </si>
  <si>
    <t>2026-09-03T12:59:56.656543</t>
  </si>
  <si>
    <t>2026-09-03T12:59:56.642756</t>
  </si>
  <si>
    <t>2026-09-03T12:59:56.629871</t>
  </si>
  <si>
    <t>2026-09-03T12:59:56.625720</t>
  </si>
  <si>
    <t>2026-09-03T12:59:56.614352</t>
  </si>
  <si>
    <t>2026-09-03T12:59:56.601372</t>
  </si>
  <si>
    <t>2026-09-03T12:59:56.587000</t>
  </si>
  <si>
    <t>2026-09-03T12:59:56.572330</t>
  </si>
  <si>
    <t>2026-09-03T12:59:56.565877</t>
  </si>
  <si>
    <t>2026-09-03T12:59:56.558510</t>
  </si>
  <si>
    <t>2026-09-03T12:59:56.545219</t>
  </si>
  <si>
    <t>2026-09-03T12:59:56.538100</t>
  </si>
  <si>
    <t>2026-09-03T12:59:56.525424</t>
  </si>
  <si>
    <t>2026-09-03T12:59:56.522537</t>
  </si>
  <si>
    <t>2026-09-03T12:59:56.512289</t>
  </si>
  <si>
    <t>2026-09-03T12:59:56.503905</t>
  </si>
  <si>
    <t>2026-09-03T12:59:56.496064</t>
  </si>
  <si>
    <t>2026-09-03T12:59:56.488038</t>
  </si>
  <si>
    <t>2026-09-03T12:59:56.476534</t>
  </si>
  <si>
    <t>2026-09-03T12:59:56.464582</t>
  </si>
  <si>
    <t>2026-09-03T12:59:56.456410</t>
  </si>
  <si>
    <t>2026-09-03T12:59:56.448354</t>
  </si>
  <si>
    <t>2026-09-03T12:59:56.441066</t>
  </si>
  <si>
    <t>2026-09-03T12:59:56.426986</t>
  </si>
  <si>
    <t>2026-09-03T12:59:56.419568</t>
  </si>
  <si>
    <t>2026-09-03T12:59:56.408090</t>
  </si>
  <si>
    <t>2026-09-03T12:59:56.399008</t>
  </si>
  <si>
    <t>2026-09-03T12:59:56.392206</t>
  </si>
  <si>
    <t>2026-09-03T12:59:56.384883</t>
  </si>
  <si>
    <t>2026-09-03T12:59:56.377321</t>
  </si>
  <si>
    <t>2026-09-03T12:59:56.369942</t>
  </si>
  <si>
    <t>2026-09-03T12:59:56.357692</t>
  </si>
  <si>
    <t>2026-09-03T12:59:56.350293</t>
  </si>
  <si>
    <t>2026-09-03T12:59:56.336629</t>
  </si>
  <si>
    <t>2026-09-03T12:59:56.322946</t>
  </si>
  <si>
    <t>2026-09-03T12:59:44.360280</t>
  </si>
  <si>
    <t>2026-09-03T12:59:44.339813</t>
  </si>
  <si>
    <t>2026-09-03T12:59:44.325984</t>
  </si>
  <si>
    <t>2026-09-03T12:59:44.318231</t>
  </si>
  <si>
    <t>2026-09-03T12:59:38.141185</t>
  </si>
  <si>
    <t>2026-09-03T12:59:38.134185</t>
  </si>
  <si>
    <t>2026-09-03T12:59:38.132167</t>
  </si>
  <si>
    <t>2026-09-03T12:59:38.129119</t>
  </si>
  <si>
    <t>2026-09-03T12:59:32.861327</t>
  </si>
  <si>
    <t>2026-09-03T12:59:32.857327</t>
  </si>
  <si>
    <t>2026-09-03T12:59:32.853474</t>
  </si>
  <si>
    <t>2026-09-03T12:59:32.848185</t>
  </si>
  <si>
    <t>2026-09-03T12:59:32.840263</t>
  </si>
  <si>
    <t>2026-09-03T12:59:32.836821</t>
  </si>
  <si>
    <t>2026-09-03T12:59:32.832577</t>
  </si>
  <si>
    <t>2026-09-03T12:59:32.826908</t>
  </si>
  <si>
    <t>2026-09-03T12:59:32.822313</t>
  </si>
  <si>
    <t>2026-09-03T12:59:32.818692</t>
  </si>
  <si>
    <t>2026-09-03T12:59:32.814511</t>
  </si>
  <si>
    <t>2026-09-03T12:59:32.807812</t>
  </si>
  <si>
    <t>2026-09-03T12:59:32.805724</t>
  </si>
  <si>
    <t>2026-09-03T12:59:32.798340</t>
  </si>
  <si>
    <t>2026-09-03T12:59:32.795775</t>
  </si>
  <si>
    <t>2026-09-03T12:59:32.791623</t>
  </si>
  <si>
    <t>2026-09-03T12:59:32.786753</t>
  </si>
  <si>
    <t>2026-09-03T12:59:32.782999</t>
  </si>
  <si>
    <t>2026-09-03T12:59:32.778521</t>
  </si>
  <si>
    <t>2026-09-03T12:59:32.772974</t>
  </si>
  <si>
    <t>2026-09-03T12:59:32.770813</t>
  </si>
  <si>
    <t>2026-09-03T12:59:32.763073</t>
  </si>
  <si>
    <t>2026-09-03T12:59:32.762162</t>
  </si>
  <si>
    <t>2026-09-03T12:59:32.758549</t>
  </si>
  <si>
    <t>2026-09-03T12:59:32.751488</t>
  </si>
  <si>
    <t>2026-09-03T12:59:32.749955</t>
  </si>
  <si>
    <t>2026-09-03T12:59:32.743047</t>
  </si>
  <si>
    <t>2026-09-03T12:59:32.739282</t>
  </si>
  <si>
    <t>2026-09-03T12:59:32.728488</t>
  </si>
  <si>
    <t>2026-09-03T12:59:32.727206</t>
  </si>
  <si>
    <t>2026-09-03T12:59:32.720501</t>
  </si>
  <si>
    <t>2026-09-03T12:59:32.712169</t>
  </si>
  <si>
    <t>2026-09-03T12:59:32.705663</t>
  </si>
  <si>
    <t>2026-09-03T12:59:32.694123</t>
  </si>
  <si>
    <t>2026-09-03T12:59:32.686277</t>
  </si>
  <si>
    <t>2026-09-03T12:59:32.682235</t>
  </si>
  <si>
    <t>2026-09-03T12:59:32.645119</t>
  </si>
  <si>
    <t>2026-09-03T12:59:32.638230</t>
  </si>
  <si>
    <t>2026-09-03T12:59:32.635296</t>
  </si>
  <si>
    <t>2026-09-03T12:59:32.630294</t>
  </si>
  <si>
    <t>2026-09-03T12:59:32.624962</t>
  </si>
  <si>
    <t>2026-09-03T12:59:32.620028</t>
  </si>
  <si>
    <t>2026-09-03T12:59:32.615320</t>
  </si>
  <si>
    <t>2026-09-03T12:59:32.610639</t>
  </si>
  <si>
    <t>2026-09-03T12:59:32.605232</t>
  </si>
  <si>
    <t>2026-09-03T12:59:32.598704</t>
  </si>
  <si>
    <t>2026-09-03T12:59:32.589635</t>
  </si>
  <si>
    <t>2026-09-03T12:59:32.587551</t>
  </si>
  <si>
    <t>2026-09-03T12:59:32.581641</t>
  </si>
  <si>
    <t>2026-09-03T12:59:32.576514</t>
  </si>
  <si>
    <t>2026-09-03T12:59:32.568681</t>
  </si>
  <si>
    <t>2026-09-03T12:59:32.565679</t>
  </si>
  <si>
    <t>2026-09-03T12:59:32.555348</t>
  </si>
  <si>
    <t>2026-09-03T12:59:32.555010</t>
  </si>
  <si>
    <t>2026-09-03T12:59:32.549575</t>
  </si>
  <si>
    <t>2026-09-03T12:59:32.544797</t>
  </si>
  <si>
    <t>2026-09-03T12:59:32.540056</t>
  </si>
  <si>
    <t>2026-09-03T12:59:32.534815</t>
  </si>
  <si>
    <t>2026-09-03T12:59:32.527068</t>
  </si>
  <si>
    <t>2026-09-03T12:59:32.523969</t>
  </si>
  <si>
    <t>2026-09-03T12:59:32.514780</t>
  </si>
  <si>
    <t>2026-09-03T12:59:32.513126</t>
  </si>
  <si>
    <t>2026-09-03T12:59:32.506304</t>
  </si>
  <si>
    <t>2026-09-03T12:59:32.503351</t>
  </si>
  <si>
    <t>2026-09-03T12:59:32.499375</t>
  </si>
  <si>
    <t>2026-09-03T12:59:32.494212</t>
  </si>
  <si>
    <t>2026-09-03T12:59:32.485562</t>
  </si>
  <si>
    <t>2026-09-03T12:59:32.484561</t>
  </si>
  <si>
    <t>2026-09-03T12:59:32.478506</t>
  </si>
  <si>
    <t>2026-09-03T12:59:32.474431</t>
  </si>
  <si>
    <t>2026-09-03T12:59:32.465133</t>
  </si>
  <si>
    <t>2026-09-03T12:59:32.463123</t>
  </si>
  <si>
    <t>2026-09-03T12:59:32.457807</t>
  </si>
  <si>
    <t>2026-09-03T12:59:32.452123</t>
  </si>
  <si>
    <t>2026-09-03T12:59:32.443637</t>
  </si>
  <si>
    <t>2026-09-03T12:59:32.436792</t>
  </si>
  <si>
    <t>2026-09-03T12:59:32.430740</t>
  </si>
  <si>
    <t>2026-09-03T12:59:32.422727</t>
  </si>
  <si>
    <t>2026-09-03T12:59:32.409929</t>
  </si>
  <si>
    <t>2026-09-03T12:59:32.401646</t>
  </si>
  <si>
    <t>2026-09-03T12:59:32.391719</t>
  </si>
  <si>
    <t>2026-09-03T12:59:32.380662</t>
  </si>
  <si>
    <t>2026-09-03T12:59:32.368215</t>
  </si>
  <si>
    <t>2026-09-03T12:59:32.351546</t>
  </si>
  <si>
    <t>2026-09-03T12:59:32.333311</t>
  </si>
  <si>
    <t>2026-09-03T12:59:32.319496</t>
  </si>
  <si>
    <t>2026-09-03T12:59:29.303997</t>
  </si>
  <si>
    <t>2026-09-03T12:59:29.298417</t>
  </si>
  <si>
    <t>2026-09-03T12:59:29.294280</t>
  </si>
  <si>
    <t>2026-09-03T12:59:29.285226</t>
  </si>
  <si>
    <t>2026-09-03T12:59:29.283843</t>
  </si>
  <si>
    <t>2026-09-03T12:59:29.277521</t>
  </si>
  <si>
    <t>2026-09-03T12:59:29.274205</t>
  </si>
  <si>
    <t>2026-09-03T12:59:29.263776</t>
  </si>
  <si>
    <t>2026-09-03T12:59:29.259587</t>
  </si>
  <si>
    <t>2026-09-03T12:59:29.253010</t>
  </si>
  <si>
    <t>2026-09-03T12:59:29.249497</t>
  </si>
  <si>
    <t>2026-09-03T12:59:29.242725</t>
  </si>
  <si>
    <t>2026-09-03T12:59:29.239709</t>
  </si>
  <si>
    <t>2026-09-03T12:59:29.229979</t>
  </si>
  <si>
    <t>2026-09-03T12:59:29.226199</t>
  </si>
  <si>
    <t>2026-09-03T12:59:29.221179</t>
  </si>
  <si>
    <t>2026-09-03T12:59:29.216025</t>
  </si>
  <si>
    <t>2026-09-03T12:59:29.208727</t>
  </si>
  <si>
    <t>2026-09-03T12:59:29.204940</t>
  </si>
  <si>
    <t>2026-09-03T12:59:29.200251</t>
  </si>
  <si>
    <t>2026-09-03T12:59:29.195238</t>
  </si>
  <si>
    <t>2026-09-03T12:59:29.187982</t>
  </si>
  <si>
    <t>2026-09-03T12:59:29.180366</t>
  </si>
  <si>
    <t>2026-09-03T12:59:29.176739</t>
  </si>
  <si>
    <t>2026-09-03T12:59:29.166602</t>
  </si>
  <si>
    <t>2026-09-03T12:59:29.165599</t>
  </si>
  <si>
    <t>2026-09-03T12:59:29.154261</t>
  </si>
  <si>
    <t>2026-09-03T12:59:29.146153</t>
  </si>
  <si>
    <t>2026-09-03T12:59:29.142512</t>
  </si>
  <si>
    <t>2026-09-03T12:59:29.137598</t>
  </si>
  <si>
    <t>2026-09-03T12:59:29.132589</t>
  </si>
  <si>
    <t>2026-09-03T12:59:29.126376</t>
  </si>
  <si>
    <t>2026-09-03T12:59:29.118053</t>
  </si>
  <si>
    <t>2026-09-03T12:59:29.114053</t>
  </si>
  <si>
    <t>2026-09-03T12:59:29.110169</t>
  </si>
  <si>
    <t>2026-09-03T12:59:29.105156</t>
  </si>
  <si>
    <t>2026-09-03T12:59:29.097539</t>
  </si>
  <si>
    <t>2026-09-03T12:59:29.091067</t>
  </si>
  <si>
    <t>2026-09-03T12:59:29.089103</t>
  </si>
  <si>
    <t>2026-09-03T12:59:29.083231</t>
  </si>
  <si>
    <t>2026-09-03T12:59:29.079231</t>
  </si>
  <si>
    <t>2026-09-03T12:59:29.070888</t>
  </si>
  <si>
    <t>2026-09-03T12:59:29.069760</t>
  </si>
  <si>
    <t>2026-09-03T12:59:29.062317</t>
  </si>
  <si>
    <t>2026-09-03T12:59:29.058985</t>
  </si>
  <si>
    <t>2026-09-03T12:59:29.050362</t>
  </si>
  <si>
    <t>2026-09-03T12:59:29.048742</t>
  </si>
  <si>
    <t>2026-09-03T12:59:29.042092</t>
  </si>
  <si>
    <t>2026-09-03T12:59:29.038280</t>
  </si>
  <si>
    <t>2026-09-03T12:59:29.032028</t>
  </si>
  <si>
    <t>2026-09-03T12:59:29.027639</t>
  </si>
  <si>
    <t>2026-09-03T12:59:29.022003</t>
  </si>
  <si>
    <t>2026-09-03T12:59:29.013702</t>
  </si>
  <si>
    <t>2026-09-03T12:59:29.010757</t>
  </si>
  <si>
    <t>2026-09-03T12:59:29.001506</t>
  </si>
  <si>
    <t>2026-09-03T12:59:29.000092</t>
  </si>
  <si>
    <t>2026-09-03T12:59:28.992874</t>
  </si>
  <si>
    <t>2026-09-03T12:59:28.988962</t>
  </si>
  <si>
    <t>2026-09-03T12:59:28.979384</t>
  </si>
  <si>
    <t>2026-09-03T12:59:28.976883</t>
  </si>
  <si>
    <t>2026-09-03T12:59:28.972074</t>
  </si>
  <si>
    <t>2026-09-03T12:59:28.966085</t>
  </si>
  <si>
    <t>2026-09-03T12:59:28.958295</t>
  </si>
  <si>
    <t>2026-09-03T12:59:28.955296</t>
  </si>
  <si>
    <t>2026-09-03T12:59:28.949090</t>
  </si>
  <si>
    <t>2026-09-03T12:59:28.943269</t>
  </si>
  <si>
    <t>2026-09-03T12:59:28.937914</t>
  </si>
  <si>
    <t>2026-09-03T12:59:28.932992</t>
  </si>
  <si>
    <t>2026-09-03T12:59:28.923436</t>
  </si>
  <si>
    <t>2026-09-03T12:59:28.920516</t>
  </si>
  <si>
    <t>2026-09-03T12:59:28.912646</t>
  </si>
  <si>
    <t>2026-09-03T12:59:28.908877</t>
  </si>
  <si>
    <t>2026-09-03T12:59:28.903211</t>
  </si>
  <si>
    <t>2026-09-03T12:59:28.898763</t>
  </si>
  <si>
    <t>2026-09-03T12:59:28.888693</t>
  </si>
  <si>
    <t>2026-09-03T12:59:28.887289</t>
  </si>
  <si>
    <t>2026-09-03T12:59:28.881303</t>
  </si>
  <si>
    <t>2026-09-03T12:59:28.873897</t>
  </si>
  <si>
    <t>2026-09-03T12:59:28.869984</t>
  </si>
  <si>
    <t>2026-09-03T12:59:28.862393</t>
  </si>
  <si>
    <t>2026-09-03T12:59:28.860336</t>
  </si>
  <si>
    <t>2026-09-03T12:59:28.855821</t>
  </si>
  <si>
    <t>2026-09-03T12:59:28.851183</t>
  </si>
  <si>
    <t>2026-09-03T12:59:28.841460</t>
  </si>
  <si>
    <t>2026-09-03T12:59:28.840331</t>
  </si>
  <si>
    <t>2026-09-03T12:59:28.835706</t>
  </si>
  <si>
    <t>2026-09-03T12:59:28.828964</t>
  </si>
  <si>
    <t>2026-09-03T12:59:28.823025</t>
  </si>
  <si>
    <t>2026-09-03T12:59:28.816648</t>
  </si>
  <si>
    <t>2026-09-03T12:59:28.807411</t>
  </si>
  <si>
    <t>2026-09-03T12:59:28.806411</t>
  </si>
  <si>
    <t>2026-09-03T12:59:28.797465</t>
  </si>
  <si>
    <t>2026-09-03T12:59:28.794829</t>
  </si>
  <si>
    <t>2026-09-03T12:59:28.790913</t>
  </si>
  <si>
    <t>2026-09-03T12:59:28.784350</t>
  </si>
  <si>
    <t>2026-09-03T12:59:28.777001</t>
  </si>
  <si>
    <t>2026-09-03T12:59:28.772722</t>
  </si>
  <si>
    <t>2026-09-03T12:59:28.763384</t>
  </si>
  <si>
    <t>2026-09-03T12:59:28.760163</t>
  </si>
  <si>
    <t>2026-09-03T12:59:28.753943</t>
  </si>
  <si>
    <t>2026-09-03T12:59:28.750275</t>
  </si>
  <si>
    <t>2026-09-03T12:59:28.742380</t>
  </si>
  <si>
    <t>2026-09-03T12:59:28.736995</t>
  </si>
  <si>
    <t>2026-09-03T12:59:28.728380</t>
  </si>
  <si>
    <t>2026-09-03T12:59:28.728036</t>
  </si>
  <si>
    <t>2026-09-03T12:59:28.722456</t>
  </si>
  <si>
    <t>2026-09-03T12:59:28.714420</t>
  </si>
  <si>
    <t>2026-09-03T12:59:28.711348</t>
  </si>
  <si>
    <t>2026-09-03T12:59:28.700863</t>
  </si>
  <si>
    <t>2026-09-03T12:59:28.693663</t>
  </si>
  <si>
    <t>2026-09-03T12:59:28.687638</t>
  </si>
  <si>
    <t>2026-09-03T12:59:28.680887</t>
  </si>
  <si>
    <t>2026-09-03T12:59:28.675652</t>
  </si>
  <si>
    <t>2026-09-03T12:59:28.666220</t>
  </si>
  <si>
    <t>2026-09-03T12:59:28.665419</t>
  </si>
  <si>
    <t>2026-09-03T12:59:28.658568</t>
  </si>
  <si>
    <t>2026-09-03T12:59:28.655190</t>
  </si>
  <si>
    <t>2026-09-03T12:59:28.645655</t>
  </si>
  <si>
    <t>2026-09-03T12:59:28.645224</t>
  </si>
  <si>
    <t>2026-09-03T12:59:28.638061</t>
  </si>
  <si>
    <t>2026-09-03T12:59:28.635073</t>
  </si>
  <si>
    <t>2026-09-03T12:59:28.624368</t>
  </si>
  <si>
    <t>2026-09-03T12:59:28.617312</t>
  </si>
  <si>
    <t>2026-09-03T12:59:28.612675</t>
  </si>
  <si>
    <t>2026-09-03T12:59:28.603417</t>
  </si>
  <si>
    <t>2026-09-03T12:59:28.601430</t>
  </si>
  <si>
    <t>2026-09-03T12:59:28.596509</t>
  </si>
  <si>
    <t>2026-09-03T12:59:28.590709</t>
  </si>
  <si>
    <t>2026-09-03T12:59:28.582879</t>
  </si>
  <si>
    <t>2026-09-03T12:59:28.576649</t>
  </si>
  <si>
    <t>2026-09-03T12:59:28.568958</t>
  </si>
  <si>
    <t>2026-09-03T12:59:28.567448</t>
  </si>
  <si>
    <t>2026-09-03T12:59:28.561914</t>
  </si>
  <si>
    <t>2026-09-03T12:59:28.557118</t>
  </si>
  <si>
    <t>2026-09-03T12:59:28.548036</t>
  </si>
  <si>
    <t>2026-09-03T12:59:28.544435</t>
  </si>
  <si>
    <t>2026-09-03T12:59:28.534197</t>
  </si>
  <si>
    <t>2026-09-03T12:59:28.527299</t>
  </si>
  <si>
    <t>2026-09-03T12:59:28.521719</t>
  </si>
  <si>
    <t>2026-09-03T12:59:28.515347</t>
  </si>
  <si>
    <t>2026-09-03T12:59:28.506414</t>
  </si>
  <si>
    <t>2026-09-03T12:59:28.504592</t>
  </si>
  <si>
    <t>2026-09-03T12:59:28.496091</t>
  </si>
  <si>
    <t>2026-09-03T12:59:28.486098</t>
  </si>
  <si>
    <t>2026-09-03T12:59:28.484103</t>
  </si>
  <si>
    <t>2026-09-03T12:59:28.478699</t>
  </si>
  <si>
    <t>2026-09-03T12:59:28.472906</t>
  </si>
  <si>
    <t>2026-09-03T12:59:28.466203</t>
  </si>
  <si>
    <t>2026-09-03T12:59:28.460778</t>
  </si>
  <si>
    <t>2026-09-03T12:59:28.453388</t>
  </si>
  <si>
    <t>2026-09-03T12:59:28.444522</t>
  </si>
  <si>
    <t>2026-09-03T12:59:28.441512</t>
  </si>
  <si>
    <t>2026-09-03T12:59:28.434507</t>
  </si>
  <si>
    <t>2026-09-03T12:59:28.427168</t>
  </si>
  <si>
    <t>2026-09-03T12:59:28.421124</t>
  </si>
  <si>
    <t>2026-09-03T12:59:28.411903</t>
  </si>
  <si>
    <t>2026-09-03T12:59:28.407344</t>
  </si>
  <si>
    <t>2026-09-03T12:59:28.401718</t>
  </si>
  <si>
    <t>2026-09-03T12:59:28.396541</t>
  </si>
  <si>
    <t>2026-09-03T12:59:28.388806</t>
  </si>
  <si>
    <t>2026-09-03T12:59:28.385536</t>
  </si>
  <si>
    <t>2026-09-03T12:59:28.380828</t>
  </si>
  <si>
    <t>2026-09-03T12:59:28.375453</t>
  </si>
  <si>
    <t>2026-09-03T12:59:28.368028</t>
  </si>
  <si>
    <t>2026-09-03T12:59:28.365267</t>
  </si>
  <si>
    <t>2026-09-03T12:59:28.361000</t>
  </si>
  <si>
    <t>2026-09-03T12:59:28.356781</t>
  </si>
  <si>
    <t>2026-09-03T12:59:28.348807</t>
  </si>
  <si>
    <t>2026-09-03T12:59:28.346017</t>
  </si>
  <si>
    <t>2026-09-03T12:59:28.340128</t>
  </si>
  <si>
    <t>2026-09-03T12:59:28.336512</t>
  </si>
  <si>
    <t>2026-09-03T12:59:28.326519</t>
  </si>
  <si>
    <t>2026-09-03T12:59:28.324515</t>
  </si>
  <si>
    <t>2026-09-03T12:59:28.319758</t>
  </si>
  <si>
    <t>2026-09-03T12:59:28.316192</t>
  </si>
  <si>
    <t>2026-09-03T12:59:28.310319</t>
  </si>
  <si>
    <t>2026-09-03T12:59:28.306313</t>
  </si>
  <si>
    <t>2026-09-03T12:59:28.299281</t>
  </si>
  <si>
    <t>2026-09-03T12:59:28.297324</t>
  </si>
  <si>
    <t>2026-09-03T12:59:28.291599</t>
  </si>
  <si>
    <t>2026-09-03T12:59:28.287469</t>
  </si>
  <si>
    <t>2026-09-03T12:59:28.279461</t>
  </si>
  <si>
    <t>2026-09-03T12:59:28.278395</t>
  </si>
  <si>
    <t>2026-09-03T12:59:28.270893</t>
  </si>
  <si>
    <t>2026-09-03T12:59:28.268889</t>
  </si>
  <si>
    <t>2026-09-03T12:59:28.263860</t>
  </si>
  <si>
    <t>2026-09-03T12:59:28.258695</t>
  </si>
  <si>
    <t>2026-09-03T12:59:28.250629</t>
  </si>
  <si>
    <t>2026-09-03T12:59:28.246360</t>
  </si>
  <si>
    <t>2026-09-03T12:59:28.237939</t>
  </si>
  <si>
    <t>2026-09-03T12:59:28.235402</t>
  </si>
  <si>
    <t>2026-09-03T12:59:28.229465</t>
  </si>
  <si>
    <t>2026-09-03T12:59:28.226766</t>
  </si>
  <si>
    <t>2026-09-03T12:59:28.222407</t>
  </si>
  <si>
    <t>2026-09-03T12:59:28.217010</t>
  </si>
  <si>
    <t>2026-09-03T12:59:28.211082</t>
  </si>
  <si>
    <t>2026-09-03T12:59:28.205934</t>
  </si>
  <si>
    <t>2026-09-03T12:59:28.201351</t>
  </si>
  <si>
    <t>2026-09-03T12:59:28.195544</t>
  </si>
  <si>
    <t>2026-09-03T12:59:28.187437</t>
  </si>
  <si>
    <t>2026-09-03T12:59:28.184436</t>
  </si>
  <si>
    <t>2026-09-03T12:59:28.175499</t>
  </si>
  <si>
    <t>2026-09-03T12:59:28.173795</t>
  </si>
  <si>
    <t>2026-09-03T12:59:28.166674</t>
  </si>
  <si>
    <t>2026-09-03T12:59:28.163772</t>
  </si>
  <si>
    <t>2026-09-03T12:59:28.155078</t>
  </si>
  <si>
    <t>2026-09-03T12:59:28.154000</t>
  </si>
  <si>
    <t>2026-09-03T12:59:28.146073</t>
  </si>
  <si>
    <t>2026-09-03T12:59:28.143626</t>
  </si>
  <si>
    <t>2026-09-03T12:59:28.137829</t>
  </si>
  <si>
    <t>2026-09-03T12:59:28.132629</t>
  </si>
  <si>
    <t>2026-09-03T12:59:28.125374</t>
  </si>
  <si>
    <t>2026-09-03T12:59:28.122892</t>
  </si>
  <si>
    <t>2026-09-03T12:59:28.118014</t>
  </si>
  <si>
    <t>2026-09-03T12:59:28.111495</t>
  </si>
  <si>
    <t>2026-09-03T12:59:28.104165</t>
  </si>
  <si>
    <t>2026-09-03T12:59:28.101151</t>
  </si>
  <si>
    <t>2026-09-03T12:59:28.090959</t>
  </si>
  <si>
    <t>2026-09-03T12:59:28.083729</t>
  </si>
  <si>
    <t>2026-09-03T12:59:28.079322</t>
  </si>
  <si>
    <t>2026-09-03T12:59:28.072509</t>
  </si>
  <si>
    <t>2026-09-03T12:59:28.069996</t>
  </si>
  <si>
    <t>2026-09-03T12:59:28.064859</t>
  </si>
  <si>
    <t>2026-09-03T12:59:28.056502</t>
  </si>
  <si>
    <t>2026-09-03T12:59:28.053126</t>
  </si>
  <si>
    <t>2026-09-03T12:59:28.048612</t>
  </si>
  <si>
    <t>2026-09-03T12:59:28.039408</t>
  </si>
  <si>
    <t>2026-09-03T12:59:28.028861</t>
  </si>
  <si>
    <t>2026-09-03T12:59:28.027019</t>
  </si>
  <si>
    <t>2026-09-03T12:59:28.020956</t>
  </si>
  <si>
    <t>2026-09-03T12:59:28.013266</t>
  </si>
  <si>
    <t>2026-09-03T12:59:28.001590</t>
  </si>
  <si>
    <t>2026-09-03T12:59:27.996681</t>
  </si>
  <si>
    <t>2026-09-03T12:59:27.988142</t>
  </si>
  <si>
    <t>2026-09-03T12:59:27.982964</t>
  </si>
  <si>
    <t>2026-09-03T12:59:27.976001</t>
  </si>
  <si>
    <t>2026-09-03T12:59:27.965204</t>
  </si>
  <si>
    <t>2026-09-03T12:59:27.959921</t>
  </si>
  <si>
    <t>2026-09-03T12:59:27.955889</t>
  </si>
  <si>
    <t>2026-09-03T12:59:27.950880</t>
  </si>
  <si>
    <t>2026-09-03T12:59:27.944983</t>
  </si>
  <si>
    <t>2026-09-03T12:59:27.940515</t>
  </si>
  <si>
    <t>2026-09-03T12:59:27.932954</t>
  </si>
  <si>
    <t>2026-09-03T12:59:27.929181</t>
  </si>
  <si>
    <t>2026-09-03T12:59:27.922627</t>
  </si>
  <si>
    <t>2026-09-03T12:59:27.917465</t>
  </si>
  <si>
    <t>2026-09-03T12:59:27.910523</t>
  </si>
  <si>
    <t>2026-09-03T12:59:27.906403</t>
  </si>
  <si>
    <t>2026-09-03T12:59:27.901714</t>
  </si>
  <si>
    <t>2026-09-03T12:59:27.897439</t>
  </si>
  <si>
    <t>2026-09-03T12:59:27.889998</t>
  </si>
  <si>
    <t>2026-09-03T12:59:27.885890</t>
  </si>
  <si>
    <t>2026-09-03T12:59:27.878457</t>
  </si>
  <si>
    <t>2026-09-03T12:59:27.875407</t>
  </si>
  <si>
    <t>2026-09-03T12:59:27.868082</t>
  </si>
  <si>
    <t>2026-09-03T12:59:27.864578</t>
  </si>
  <si>
    <t>2026-09-03T12:59:27.854488</t>
  </si>
  <si>
    <t>2026-09-03T12:59:27.853490</t>
  </si>
  <si>
    <t>2026-09-03T12:59:27.847308</t>
  </si>
  <si>
    <t>2026-09-03T12:59:27.843265</t>
  </si>
  <si>
    <t>2026-09-03T12:59:27.836254</t>
  </si>
  <si>
    <t>2026-09-03T12:59:27.834176</t>
  </si>
  <si>
    <t>2026-09-03T12:59:27.826381</t>
  </si>
  <si>
    <t>2026-09-03T12:59:27.822814</t>
  </si>
  <si>
    <t>2026-09-03T12:59:27.818406</t>
  </si>
  <si>
    <t>2026-09-03T12:59:27.813255</t>
  </si>
  <si>
    <t>2026-09-03T12:59:27.805724</t>
  </si>
  <si>
    <t>2026-09-03T12:59:27.804723</t>
  </si>
  <si>
    <t>2026-09-03T12:59:27.798612</t>
  </si>
  <si>
    <t>2026-09-03T12:59:27.794873</t>
  </si>
  <si>
    <t>2026-09-03T12:59:27.785252</t>
  </si>
  <si>
    <t>2026-09-03T12:59:27.783560</t>
  </si>
  <si>
    <t>2026-09-03T12:59:27.777726</t>
  </si>
  <si>
    <t>2026-09-03T12:59:27.774567</t>
  </si>
  <si>
    <t>2026-09-03T12:59:27.764308</t>
  </si>
  <si>
    <t>2026-09-03T12:59:27.762329</t>
  </si>
  <si>
    <t>2026-09-03T12:59:27.756977</t>
  </si>
  <si>
    <t>2026-09-03T12:59:27.752683</t>
  </si>
  <si>
    <t>2026-09-03T12:59:27.744170</t>
  </si>
  <si>
    <t>2026-09-03T12:59:27.741804</t>
  </si>
  <si>
    <t>2026-09-03T12:59:27.736115</t>
  </si>
  <si>
    <t>2026-09-03T12:59:27.731853</t>
  </si>
  <si>
    <t>2026-09-03T12:59:27.723186</t>
  </si>
  <si>
    <t>2026-09-03T12:59:27.722187</t>
  </si>
  <si>
    <t>2026-09-03T12:59:27.718875</t>
  </si>
  <si>
    <t>2026-09-03T12:59:27.714332</t>
  </si>
  <si>
    <t>2026-09-03T12:59:27.705869</t>
  </si>
  <si>
    <t>2026-09-03T12:59:27.697354</t>
  </si>
  <si>
    <t>2026-09-03T12:59:27.695312</t>
  </si>
  <si>
    <t>2026-09-03T12:59:27.687729</t>
  </si>
  <si>
    <t>2026-09-03T12:59:27.685317</t>
  </si>
  <si>
    <t>2026-09-03T12:59:27.679746</t>
  </si>
  <si>
    <t>2026-09-03T12:59:27.671722</t>
  </si>
  <si>
    <t>2026-09-03T12:59:27.660714</t>
  </si>
  <si>
    <t>2026-09-03T12:59:27.660334</t>
  </si>
  <si>
    <t>2026-09-03T12:59:27.653805</t>
  </si>
  <si>
    <t>2026-09-03T12:59:27.642554</t>
  </si>
  <si>
    <t>2026-09-03T12:59:27.640505</t>
  </si>
  <si>
    <t>2026-09-03T12:59:27.634104</t>
  </si>
  <si>
    <t>2026-09-03T12:59:27.631965</t>
  </si>
  <si>
    <t>2026-09-03T12:59:27.626354</t>
  </si>
  <si>
    <t>2026-09-03T12:59:27.622851</t>
  </si>
  <si>
    <t>2026-09-03T12:59:27.618844</t>
  </si>
  <si>
    <t>2026-09-03T12:59:27.610088</t>
  </si>
  <si>
    <t>2026-09-03T12:59:27.609698</t>
  </si>
  <si>
    <t>2026-09-03T12:59:27.603156</t>
  </si>
  <si>
    <t>2026-09-03T12:59:27.598363</t>
  </si>
  <si>
    <t>2026-09-03T12:59:27.594376</t>
  </si>
  <si>
    <t>2026-09-03T12:59:27.589270</t>
  </si>
  <si>
    <t>2026-09-03T12:59:27.582690</t>
  </si>
  <si>
    <t>2026-09-03T12:59:27.581057</t>
  </si>
  <si>
    <t>2026-09-03T12:59:27.575747</t>
  </si>
  <si>
    <t>2026-09-03T12:59:27.572128</t>
  </si>
  <si>
    <t>2026-09-03T12:59:27.564283</t>
  </si>
  <si>
    <t>2026-09-03T12:59:27.562277</t>
  </si>
  <si>
    <t>2026-09-03T12:59:27.555573</t>
  </si>
  <si>
    <t>2026-09-03T12:59:27.550836</t>
  </si>
  <si>
    <t>2026-09-03T12:59:27.544623</t>
  </si>
  <si>
    <t>2026-09-03T12:59:27.539820</t>
  </si>
  <si>
    <t>2026-09-03T12:59:27.535971</t>
  </si>
  <si>
    <t>2026-09-03T12:59:27.530166</t>
  </si>
  <si>
    <t>2026-09-03T12:59:27.527666</t>
  </si>
  <si>
    <t>2026-09-03T12:59:27.520527</t>
  </si>
  <si>
    <t>2026-09-03T12:59:27.518495</t>
  </si>
  <si>
    <t>2026-09-03T12:59:27.514490</t>
  </si>
  <si>
    <t>2026-09-03T12:59:27.509608</t>
  </si>
  <si>
    <t>2026-09-03T12:59:27.505617</t>
  </si>
  <si>
    <t>2026-09-03T12:59:27.500763</t>
  </si>
  <si>
    <t>2026-09-03T12:59:27.497798</t>
  </si>
  <si>
    <t>2026-09-03T12:59:27.493567</t>
  </si>
  <si>
    <t>2026-09-03T12:59:27.485548</t>
  </si>
  <si>
    <t>2026-09-03T12:59:27.478324</t>
  </si>
  <si>
    <t>2026-09-03T12:59:27.476323</t>
  </si>
  <si>
    <t>2026-09-03T12:59:27.471540</t>
  </si>
  <si>
    <t>2026-09-03T12:59:27.466019</t>
  </si>
  <si>
    <t>2026-09-03T12:59:27.457661</t>
  </si>
  <si>
    <t>2026-09-03T12:59:27.455914</t>
  </si>
  <si>
    <t>2026-09-03T12:59:27.444527</t>
  </si>
  <si>
    <t>2026-09-03T12:59:27.442589</t>
  </si>
  <si>
    <t>2026-09-03T12:59:27.436889</t>
  </si>
  <si>
    <t>2026-09-03T12:59:27.432792</t>
  </si>
  <si>
    <t>2026-09-03T12:59:27.422984</t>
  </si>
  <si>
    <t>2026-09-03T12:59:27.418237</t>
  </si>
  <si>
    <t>2026-09-03T12:59:27.409566</t>
  </si>
  <si>
    <t>2026-09-03T12:59:27.406601</t>
  </si>
  <si>
    <t>2026-09-03T12:59:27.404606</t>
  </si>
  <si>
    <t>2026-09-03T12:59:27.397092</t>
  </si>
  <si>
    <t>2026-09-03T12:59:27.394806</t>
  </si>
  <si>
    <t>2026-09-03T12:59:27.388241</t>
  </si>
  <si>
    <t>2026-09-03T12:59:27.385099</t>
  </si>
  <si>
    <t>2026-09-03T12:59:27.377704</t>
  </si>
  <si>
    <t>2026-09-03T12:59:27.375706</t>
  </si>
  <si>
    <t>2026-09-03T12:59:27.367091</t>
  </si>
  <si>
    <t>2026-09-03T12:59:27.364401</t>
  </si>
  <si>
    <t>2026-09-03T12:59:27.360475</t>
  </si>
  <si>
    <t>2026-09-03T12:59:27.355056</t>
  </si>
  <si>
    <t>2026-09-03T12:59:27.347875</t>
  </si>
  <si>
    <t>2026-09-03T12:59:27.343167</t>
  </si>
  <si>
    <t>2026-09-03T12:59:27.342165</t>
  </si>
  <si>
    <t>2026-09-03T12:59:27.332673</t>
  </si>
  <si>
    <t>2026-09-03T12:59:27.329516</t>
  </si>
  <si>
    <t>2026-09-03T12:59:27.321513</t>
  </si>
  <si>
    <t>2026-09-03T12:59:27.320468</t>
  </si>
  <si>
    <t>2026-09-03T12:59:27.315661</t>
  </si>
  <si>
    <t>2026-09-03T12:59:27.310305</t>
  </si>
  <si>
    <t>2026-09-03T12:59:27.307794</t>
  </si>
  <si>
    <t>2026-09-03T12:59:27.297927</t>
  </si>
  <si>
    <t>2026-09-03T12:59:27.295042</t>
  </si>
  <si>
    <t>2026-09-03T12:59:27.290686</t>
  </si>
  <si>
    <t>2026-09-03T12:59:27.285396</t>
  </si>
  <si>
    <t>2026-09-03T12:59:27.281829</t>
  </si>
  <si>
    <t>2026-09-03T12:59:27.274701</t>
  </si>
  <si>
    <t>2026-09-03T12:59:27.272700</t>
  </si>
  <si>
    <t>2026-09-03T12:59:27.268638</t>
  </si>
  <si>
    <t>2026-09-03T12:59:27.260809</t>
  </si>
  <si>
    <t>2026-09-03T12:59:27.259810</t>
  </si>
  <si>
    <t>2026-09-03T12:59:27.249332</t>
  </si>
  <si>
    <t>2026-09-03T12:59:27.242632</t>
  </si>
  <si>
    <t>2026-09-03T12:59:27.237003</t>
  </si>
  <si>
    <t>2026-09-03T12:59:27.223784</t>
  </si>
  <si>
    <t>2026-09-03T12:59:27.174799</t>
  </si>
  <si>
    <t>2026-09-03T12:59:27.167191</t>
  </si>
  <si>
    <t>2026-09-03T12:59:27.163650</t>
  </si>
  <si>
    <t>2026-09-03T12:59:27.159822</t>
  </si>
  <si>
    <t>2026-09-03T12:59:27.153661</t>
  </si>
  <si>
    <t>2026-09-03T12:59:27.147232</t>
  </si>
  <si>
    <t>2026-09-03T12:59:27.143404</t>
  </si>
  <si>
    <t>2026-09-03T12:59:27.135669</t>
  </si>
  <si>
    <t>2026-09-03T12:59:27.133668</t>
  </si>
  <si>
    <t>2026-09-03T12:59:27.126798</t>
  </si>
  <si>
    <t>2026-09-03T12:59:27.120944</t>
  </si>
  <si>
    <t>2026-09-03T12:59:27.112067</t>
  </si>
  <si>
    <t>2026-09-03T12:59:27.109171</t>
  </si>
  <si>
    <t>2026-09-03T12:59:27.097452</t>
  </si>
  <si>
    <t>2026-09-03T12:59:27.096439</t>
  </si>
  <si>
    <t>2026-09-03T12:59:27.084474</t>
  </si>
  <si>
    <t>2026-09-03T12:59:27.080627</t>
  </si>
  <si>
    <t>2026-09-03T12:59:27.075310</t>
  </si>
  <si>
    <t>2026-09-03T12:59:27.068547</t>
  </si>
  <si>
    <t>2026-09-03T12:59:27.062119</t>
  </si>
  <si>
    <t>2026-09-03T12:59:27.055859</t>
  </si>
  <si>
    <t>2026-09-03T12:59:27.050076</t>
  </si>
  <si>
    <t>2026-09-03T12:59:27.044330</t>
  </si>
  <si>
    <t>2026-09-03T12:59:27.038108</t>
  </si>
  <si>
    <t>2026-09-03T12:59:27.029866</t>
  </si>
  <si>
    <t>2026-09-03T12:59:27.024816</t>
  </si>
  <si>
    <t>2026-09-03T12:59:27.014489</t>
  </si>
  <si>
    <t>2026-09-03T12:59:27.013188</t>
  </si>
  <si>
    <t>2026-09-03T12:59:27.007175</t>
  </si>
  <si>
    <t>2026-09-03T12:59:27.001632</t>
  </si>
  <si>
    <t>2026-09-03T12:59:26.993307</t>
  </si>
  <si>
    <t>2026-09-03T12:59:26.989990</t>
  </si>
  <si>
    <t>2026-09-03T12:59:26.980396</t>
  </si>
  <si>
    <t>2026-09-03T12:59:26.979395</t>
  </si>
  <si>
    <t>2026-09-03T12:59:26.972859</t>
  </si>
  <si>
    <t>2026-09-03T12:59:26.965504</t>
  </si>
  <si>
    <t>2026-09-03T12:59:26.960261</t>
  </si>
  <si>
    <t>2026-09-03T12:59:26.953830</t>
  </si>
  <si>
    <t>2026-09-03T12:59:26.949187</t>
  </si>
  <si>
    <t>2026-09-03T12:59:26.943167</t>
  </si>
  <si>
    <t>2026-09-03T12:59:26.939599</t>
  </si>
  <si>
    <t>2026-09-03T12:59:26.932609</t>
  </si>
  <si>
    <t>2026-09-03T12:59:26.928610</t>
  </si>
  <si>
    <t>2026-09-03T12:59:26.923734</t>
  </si>
  <si>
    <t>2026-09-03T12:59:26.918631</t>
  </si>
  <si>
    <t>2026-09-03T12:59:26.911029</t>
  </si>
  <si>
    <t>2026-09-03T12:59:26.903250</t>
  </si>
  <si>
    <t>2026-09-03T12:59:26.900815</t>
  </si>
  <si>
    <t>2026-09-03T12:59:26.895947</t>
  </si>
  <si>
    <t>2026-09-03T12:59:26.890748</t>
  </si>
  <si>
    <t>2026-09-03T12:59:26.883316</t>
  </si>
  <si>
    <t>2026-09-03T12:59:26.875317</t>
  </si>
  <si>
    <t>2026-09-03T12:59:26.873319</t>
  </si>
  <si>
    <t>2026-09-03T12:59:26.868244</t>
  </si>
  <si>
    <t>2026-09-03T12:59:26.863193</t>
  </si>
  <si>
    <t>2026-09-03T12:59:26.854664</t>
  </si>
  <si>
    <t>2026-09-03T12:59:26.851854</t>
  </si>
  <si>
    <t>2026-09-03T12:59:26.847383</t>
  </si>
  <si>
    <t>2026-09-03T12:59:26.842363</t>
  </si>
  <si>
    <t>2026-09-03T12:59:26.836200</t>
  </si>
  <si>
    <t>2026-09-03T12:59:26.831271</t>
  </si>
  <si>
    <t>2026-09-03T12:59:26.825513</t>
  </si>
  <si>
    <t>2026-09-03T12:59:26.821422</t>
  </si>
  <si>
    <t>2026-09-03T12:59:26.813160</t>
  </si>
  <si>
    <t>2026-09-03T12:59:26.811075</t>
  </si>
  <si>
    <t>2026-09-03T12:59:26.806303</t>
  </si>
  <si>
    <t>2026-09-03T12:59:26.801391</t>
  </si>
  <si>
    <t>2026-09-03T12:59:26.793378</t>
  </si>
  <si>
    <t>2026-09-03T12:59:26.791743</t>
  </si>
  <si>
    <t>2026-09-03T12:59:26.784840</t>
  </si>
  <si>
    <t>2026-09-03T12:59:26.781742</t>
  </si>
  <si>
    <t>2026-09-03T12:59:26.772434</t>
  </si>
  <si>
    <t>2026-09-03T12:59:26.771037</t>
  </si>
  <si>
    <t>2026-09-03T12:59:26.764023</t>
  </si>
  <si>
    <t>2026-09-03T12:59:26.757567</t>
  </si>
  <si>
    <t>2026-09-03T12:59:26.753856</t>
  </si>
  <si>
    <t>2026-09-03T12:59:26.748968</t>
  </si>
  <si>
    <t>2026-09-03T12:59:26.743164</t>
  </si>
  <si>
    <t>2026-09-03T12:59:26.737517</t>
  </si>
  <si>
    <t>2026-09-03T12:59:26.729278</t>
  </si>
  <si>
    <t>2026-09-03T12:59:26.725921</t>
  </si>
  <si>
    <t>2026-09-03T12:59:26.715619</t>
  </si>
  <si>
    <t>2026-09-03T12:59:26.714259</t>
  </si>
  <si>
    <t>2026-09-03T12:59:26.709073</t>
  </si>
  <si>
    <t>2026-09-03T12:59:26.703834</t>
  </si>
  <si>
    <t>2026-09-03T12:59:26.698716</t>
  </si>
  <si>
    <t>2026-09-03T12:59:26.693576</t>
  </si>
  <si>
    <t>2026-09-03T12:59:26.674841</t>
  </si>
  <si>
    <t>2026-09-03T12:59:26.668432</t>
  </si>
  <si>
    <t>2026-09-03T12:59:26.661441</t>
  </si>
  <si>
    <t>2026-09-03T12:59:26.651980</t>
  </si>
  <si>
    <t>2026-09-03T12:59:26.646888</t>
  </si>
  <si>
    <t>2026-09-03T12:59:26.639333</t>
  </si>
  <si>
    <t>2026-09-03T12:59:26.635128</t>
  </si>
  <si>
    <t>2026-09-03T12:59:26.632252</t>
  </si>
  <si>
    <t>2026-09-03T12:59:26.625821</t>
  </si>
  <si>
    <t>2026-09-03T12:59:26.620021</t>
  </si>
  <si>
    <t>2026-09-03T12:59:26.615157</t>
  </si>
  <si>
    <t>2026-09-03T12:59:26.608928</t>
  </si>
  <si>
    <t>2026-09-03T12:59:26.603460</t>
  </si>
  <si>
    <t>2026-09-03T12:59:26.597372</t>
  </si>
  <si>
    <t>2026-09-03T12:59:26.594163</t>
  </si>
  <si>
    <t>2026-09-03T12:59:26.585279</t>
  </si>
  <si>
    <t>2026-09-03T12:59:26.584222</t>
  </si>
  <si>
    <t>2026-09-03T12:59:26.576567</t>
  </si>
  <si>
    <t>2026-09-03T12:59:26.572426</t>
  </si>
  <si>
    <t>2026-09-03T12:59:26.568571</t>
  </si>
  <si>
    <t>2026-09-03T12:59:26.563289</t>
  </si>
  <si>
    <t>2026-09-03T12:59:26.557099</t>
  </si>
  <si>
    <t>2026-09-03T12:59:26.554099</t>
  </si>
  <si>
    <t>2026-09-03T12:59:26.546867</t>
  </si>
  <si>
    <t>2026-09-03T12:59:26.540241</t>
  </si>
  <si>
    <t>2026-09-03T12:59:26.535031</t>
  </si>
  <si>
    <t>2026-09-03T12:59:26.528827</t>
  </si>
  <si>
    <t>2026-09-03T12:59:26.521941</t>
  </si>
  <si>
    <t>2026-09-03T12:59:26.515609</t>
  </si>
  <si>
    <t>2026-09-03T12:59:26.509863</t>
  </si>
  <si>
    <t>2026-09-03T12:59:26.500936</t>
  </si>
  <si>
    <t>2026-09-03T12:59:26.497202</t>
  </si>
  <si>
    <t>2026-09-03T12:59:26.491209</t>
  </si>
  <si>
    <t>2026-09-03T12:59:26.486401</t>
  </si>
  <si>
    <t>2026-09-03T12:59:26.477469</t>
  </si>
  <si>
    <t>2026-09-03T12:59:26.473000</t>
  </si>
  <si>
    <t>2026-09-03T12:59:26.468326</t>
  </si>
  <si>
    <t>2026-09-03T12:59:26.459029</t>
  </si>
  <si>
    <t>2026-09-03T12:59:26.456549</t>
  </si>
  <si>
    <t>2026-09-03T12:59:26.446828</t>
  </si>
  <si>
    <t>2026-09-03T12:59:26.445434</t>
  </si>
  <si>
    <t>2026-09-03T12:59:26.437710</t>
  </si>
  <si>
    <t>2026-09-03T12:59:26.433839</t>
  </si>
  <si>
    <t>2026-09-03T12:59:26.426729</t>
  </si>
  <si>
    <t>2026-09-03T12:59:26.421810</t>
  </si>
  <si>
    <t>2026-09-03T12:59:26.417385</t>
  </si>
  <si>
    <t>2026-09-03T12:59:26.413280</t>
  </si>
  <si>
    <t>2026-09-03T12:59:26.403446</t>
  </si>
  <si>
    <t>2026-09-03T12:59:26.401659</t>
  </si>
  <si>
    <t>2026-09-03T12:59:26.396037</t>
  </si>
  <si>
    <t>2026-09-03T12:59:26.391888</t>
  </si>
  <si>
    <t>2026-09-03T12:59:26.383562</t>
  </si>
  <si>
    <t>2026-09-03T12:59:26.379579</t>
  </si>
  <si>
    <t>2026-09-03T12:59:26.375114</t>
  </si>
  <si>
    <t>2026-09-03T12:59:26.371112</t>
  </si>
  <si>
    <t>2026-09-03T12:59:26.363617</t>
  </si>
  <si>
    <t>2026-09-03T12:59:26.361275</t>
  </si>
  <si>
    <t>2026-09-03T12:59:26.354342</t>
  </si>
  <si>
    <t>2026-09-03T12:59:26.350161</t>
  </si>
  <si>
    <t>2026-09-03T12:59:26.342627</t>
  </si>
  <si>
    <t>2026-09-03T12:59:26.339996</t>
  </si>
  <si>
    <t>2026-09-03T12:59:26.334140</t>
  </si>
  <si>
    <t>2026-09-03T12:59:26.328628</t>
  </si>
  <si>
    <t>2026-09-03T12:59:26.320179</t>
  </si>
  <si>
    <t>2026-09-03T12:59:26.318177</t>
  </si>
  <si>
    <t>2026-09-03T12:59:26.312640</t>
  </si>
  <si>
    <t>2026-09-03T12:59:26.309693</t>
  </si>
  <si>
    <t>2026-09-03T12:59:26.299070</t>
  </si>
  <si>
    <t>2026-09-03T12:59:26.295073</t>
  </si>
  <si>
    <t>2026-09-03T12:59:26.290855</t>
  </si>
  <si>
    <t>2026-09-03T12:59:26.285573</t>
  </si>
  <si>
    <t>2026-09-03T12:59:26.277917</t>
  </si>
  <si>
    <t>2026-09-03T12:59:26.273824</t>
  </si>
  <si>
    <t>2026-09-03T12:59:26.265334</t>
  </si>
  <si>
    <t>2026-09-03T12:59:26.263411</t>
  </si>
  <si>
    <t>2026-09-03T12:59:26.257238</t>
  </si>
  <si>
    <t>2026-09-03T12:59:26.252329</t>
  </si>
  <si>
    <t>2026-09-03T12:59:26.245240</t>
  </si>
  <si>
    <t>2026-09-03T12:59:26.242684</t>
  </si>
  <si>
    <t>2026-09-03T12:59:26.236784</t>
  </si>
  <si>
    <t>2026-09-03T12:59:26.231862</t>
  </si>
  <si>
    <t>2026-09-03T12:59:26.230853</t>
  </si>
  <si>
    <t>2026-09-03T12:59:26.225609</t>
  </si>
  <si>
    <t>2026-09-03T12:59:26.219348</t>
  </si>
  <si>
    <t>2026-09-03T12:59:26.209702</t>
  </si>
  <si>
    <t>2026-09-03T12:59:26.207551</t>
  </si>
  <si>
    <t>2026-09-03T12:59:26.201779</t>
  </si>
  <si>
    <t>2026-09-03T12:59:26.195457</t>
  </si>
  <si>
    <t>2026-09-03T12:59:26.188590</t>
  </si>
  <si>
    <t>2026-09-03T12:59:26.185821</t>
  </si>
  <si>
    <t>2026-09-03T12:59:26.177079</t>
  </si>
  <si>
    <t>2026-09-03T12:59:26.176081</t>
  </si>
  <si>
    <t>2026-09-03T12:59:26.168919</t>
  </si>
  <si>
    <t>2026-09-03T12:59:26.167152</t>
  </si>
  <si>
    <t>2026-09-03T12:59:26.160858</t>
  </si>
  <si>
    <t>2026-09-03T12:59:26.156833</t>
  </si>
  <si>
    <t>2026-09-03T12:59:26.152162</t>
  </si>
  <si>
    <t>2026-09-03T12:59:26.145953</t>
  </si>
  <si>
    <t>2026-09-03T12:59:26.139653</t>
  </si>
  <si>
    <t>2026-09-03T12:59:26.133322</t>
  </si>
  <si>
    <t>2026-09-03T12:59:26.125637</t>
  </si>
  <si>
    <t>2026-09-03T12:59:26.119354</t>
  </si>
  <si>
    <t>2026-09-03T12:59:26.114755</t>
  </si>
  <si>
    <t>2026-09-03T12:59:26.108421</t>
  </si>
  <si>
    <t>2026-09-03T12:59:26.105252</t>
  </si>
  <si>
    <t>2026-09-03T12:59:26.097486</t>
  </si>
  <si>
    <t>2026-09-03T12:59:26.094486</t>
  </si>
  <si>
    <t>2026-09-03T12:59:26.085192</t>
  </si>
  <si>
    <t>2026-09-03T12:59:26.084144</t>
  </si>
  <si>
    <t>2026-09-03T12:59:26.076620</t>
  </si>
  <si>
    <t>2026-09-03T12:59:26.072521</t>
  </si>
  <si>
    <t>2026-09-03T12:59:26.064171</t>
  </si>
  <si>
    <t>2026-09-03T12:59:26.062085</t>
  </si>
  <si>
    <t>2026-09-03T12:59:26.055834</t>
  </si>
  <si>
    <t>2026-09-03T12:59:26.052954</t>
  </si>
  <si>
    <t>2026-09-03T12:59:26.050442</t>
  </si>
  <si>
    <t>2026-09-03T12:59:26.042573</t>
  </si>
  <si>
    <t>2026-09-03T12:59:26.040670</t>
  </si>
  <si>
    <t>2026-09-03T12:59:26.034968</t>
  </si>
  <si>
    <t>2026-09-03T12:59:26.032273</t>
  </si>
  <si>
    <t>2026-09-03T12:59:26.023172</t>
  </si>
  <si>
    <t>2026-09-03T12:59:26.020436</t>
  </si>
  <si>
    <t>2026-09-03T12:59:26.014092</t>
  </si>
  <si>
    <t>2026-09-03T12:59:26.010033</t>
  </si>
  <si>
    <t>2026-09-03T12:59:26.002925</t>
  </si>
  <si>
    <t>2026-09-03T12:59:26.000875</t>
  </si>
  <si>
    <t>2026-09-03T12:59:25.993744</t>
  </si>
  <si>
    <t>2026-09-03T12:59:25.990962</t>
  </si>
  <si>
    <t>2026-09-03T12:59:25.985095</t>
  </si>
  <si>
    <t>2026-09-03T12:59:25.982094</t>
  </si>
  <si>
    <t>2026-09-03T12:59:25.973933</t>
  </si>
  <si>
    <t>2026-09-03T12:59:25.972884</t>
  </si>
  <si>
    <t>2026-09-03T12:59:25.966011</t>
  </si>
  <si>
    <t>2026-09-03T12:59:25.961543</t>
  </si>
  <si>
    <t>2026-09-03T12:59:25.951884</t>
  </si>
  <si>
    <t>2026-09-03T12:59:25.950055</t>
  </si>
  <si>
    <t>2026-09-03T12:59:25.943698</t>
  </si>
  <si>
    <t>2026-09-03T12:59:25.939163</t>
  </si>
  <si>
    <t>2026-09-03T12:59:25.930919</t>
  </si>
  <si>
    <t>2026-09-03T12:59:25.926719</t>
  </si>
  <si>
    <t>2026-09-03T12:59:25.917779</t>
  </si>
  <si>
    <t>2026-09-03T12:59:25.914979</t>
  </si>
  <si>
    <t>2026-09-03T12:59:25.909941</t>
  </si>
  <si>
    <t>2026-09-03T12:59:25.904084</t>
  </si>
  <si>
    <t>2026-09-03T12:59:25.898298</t>
  </si>
  <si>
    <t>2026-09-03T12:59:25.888902</t>
  </si>
  <si>
    <t>2026-09-03T12:59:25.885024</t>
  </si>
  <si>
    <t>2026-09-03T12:59:25.875207</t>
  </si>
  <si>
    <t>2026-09-03T12:59:25.874253</t>
  </si>
  <si>
    <t>2026-09-03T12:59:25.861875</t>
  </si>
  <si>
    <t>2026-09-03T12:59:25.859395</t>
  </si>
  <si>
    <t>2026-09-03T12:59:25.851405</t>
  </si>
  <si>
    <t>2026-09-03T12:59:25.847769</t>
  </si>
  <si>
    <t>2026-09-03T12:59:25.840645</t>
  </si>
  <si>
    <t>2026-09-03T12:59:25.839850</t>
  </si>
  <si>
    <t>2026-09-03T12:59:25.835843</t>
  </si>
  <si>
    <t>2026-09-03T12:59:25.830683</t>
  </si>
  <si>
    <t>2026-09-03T12:59:25.811876</t>
  </si>
  <si>
    <t>2026-09-03T12:59:25.797447</t>
  </si>
  <si>
    <t>2026-09-03T12:59:25.792092</t>
  </si>
  <si>
    <t>2026-09-03T12:59:25.785658</t>
  </si>
  <si>
    <t>2026-09-03T12:59:25.781950</t>
  </si>
  <si>
    <t>2026-09-03T12:59:25.776048</t>
  </si>
  <si>
    <t>2026-09-03T12:59:25.770293</t>
  </si>
  <si>
    <t>2026-09-03T12:59:25.765293</t>
  </si>
  <si>
    <t>2026-09-03T12:59:25.761293</t>
  </si>
  <si>
    <t>2026-09-03T12:59:25.750240</t>
  </si>
  <si>
    <t>2026-09-03T12:59:25.749438</t>
  </si>
  <si>
    <t>2026-09-03T12:59:25.740681</t>
  </si>
  <si>
    <t>2026-09-03T12:59:25.733925</t>
  </si>
  <si>
    <t>2026-09-03T12:59:25.729250</t>
  </si>
  <si>
    <t>2026-09-03T12:59:25.721576</t>
  </si>
  <si>
    <t>2026-09-03T12:59:25.715633</t>
  </si>
  <si>
    <t>2026-09-03T12:59:25.709529</t>
  </si>
  <si>
    <t>2026-09-03T12:59:25.699331</t>
  </si>
  <si>
    <t>2026-09-03T12:59:25.688523</t>
  </si>
  <si>
    <t>2026-09-03T12:59:25.685178</t>
  </si>
  <si>
    <t>2026-09-03T12:59:25.679379</t>
  </si>
  <si>
    <t>2026-09-03T12:59:25.674367</t>
  </si>
  <si>
    <t>2026-09-03T12:59:25.666631</t>
  </si>
  <si>
    <t>2026-09-03T12:59:25.651145</t>
  </si>
  <si>
    <t>2026-09-03T12:59:25.638538</t>
  </si>
  <si>
    <t>2026-09-03T12:59:25.628263</t>
  </si>
  <si>
    <t>2026-09-03T12:59:25.620102</t>
  </si>
  <si>
    <t>2026-09-03T12:59:25.610075</t>
  </si>
  <si>
    <t>2026-09-03T12:59:25.609075</t>
  </si>
  <si>
    <t>2026-09-03T12:59:25.603653</t>
  </si>
  <si>
    <t>2026-09-03T12:59:25.596440</t>
  </si>
  <si>
    <t>2026-09-03T12:59:25.594113</t>
  </si>
  <si>
    <t>2026-09-03T12:59:25.590567</t>
  </si>
  <si>
    <t>2026-09-03T12:59:25.584083</t>
  </si>
  <si>
    <t>2026-09-03T12:59:25.575791</t>
  </si>
  <si>
    <t>2026-09-03T12:59:25.574791</t>
  </si>
  <si>
    <t>2026-09-03T12:59:25.565463</t>
  </si>
  <si>
    <t>2026-09-03T12:59:25.563454</t>
  </si>
  <si>
    <t>2026-09-03T12:59:25.555513</t>
  </si>
  <si>
    <t>2026-09-03T12:59:25.554007</t>
  </si>
  <si>
    <t>2026-09-03T12:59:25.549598</t>
  </si>
  <si>
    <t>2026-09-03T12:59:25.541845</t>
  </si>
  <si>
    <t>2026-09-03T12:59:25.534898</t>
  </si>
  <si>
    <t>2026-09-03T12:59:25.531173</t>
  </si>
  <si>
    <t>2026-09-03T12:59:25.521018</t>
  </si>
  <si>
    <t>2026-09-03T12:59:25.518653</t>
  </si>
  <si>
    <t>2026-09-03T12:59:25.514660</t>
  </si>
  <si>
    <t>2026-09-03T12:59:25.508113</t>
  </si>
  <si>
    <t>2026-09-03T12:59:25.501465</t>
  </si>
  <si>
    <t>2026-09-03T12:59:25.494025</t>
  </si>
  <si>
    <t>2026-09-03T12:59:25.484621</t>
  </si>
  <si>
    <t>2026-09-03T12:59:25.482138</t>
  </si>
  <si>
    <t>2026-09-03T12:59:25.477642</t>
  </si>
  <si>
    <t>2026-09-03T12:59:25.471627</t>
  </si>
  <si>
    <t>2026-09-03T12:59:25.464705</t>
  </si>
  <si>
    <t>2026-09-03T12:59:25.460711</t>
  </si>
  <si>
    <t>2026-09-03T12:59:25.455705</t>
  </si>
  <si>
    <t>2026-09-03T12:59:25.449597</t>
  </si>
  <si>
    <t>2026-09-03T12:59:25.444136</t>
  </si>
  <si>
    <t>2026-09-03T12:59:25.439813</t>
  </si>
  <si>
    <t>2026-09-03T12:59:25.433417</t>
  </si>
  <si>
    <t>2026-09-03T12:59:25.424647</t>
  </si>
  <si>
    <t>2026-09-03T12:59:25.422617</t>
  </si>
  <si>
    <t>2026-09-03T12:59:25.417589</t>
  </si>
  <si>
    <t>2026-09-03T12:59:25.412965</t>
  </si>
  <si>
    <t>2026-09-03T12:59:25.407945</t>
  </si>
  <si>
    <t>2026-09-03T12:59:25.401884</t>
  </si>
  <si>
    <t>2026-09-03T12:59:25.397586</t>
  </si>
  <si>
    <t>2026-09-03T12:59:25.392785</t>
  </si>
  <si>
    <t>2026-09-03T12:59:25.388212</t>
  </si>
  <si>
    <t>2026-09-03T12:59:25.381466</t>
  </si>
  <si>
    <t>2026-09-03T12:59:25.375105</t>
  </si>
  <si>
    <t>2026-09-03T12:59:25.371387</t>
  </si>
  <si>
    <t>2026-09-03T12:59:25.362996</t>
  </si>
  <si>
    <t>2026-09-03T12:59:25.359625</t>
  </si>
  <si>
    <t>2026-09-03T12:59:25.350079</t>
  </si>
  <si>
    <t>2026-09-03T12:59:25.348932</t>
  </si>
  <si>
    <t>2026-09-03T12:59:25.340591</t>
  </si>
  <si>
    <t>2026-09-03T12:59:25.338376</t>
  </si>
  <si>
    <t>2026-09-03T12:59:25.333675</t>
  </si>
  <si>
    <t>2026-09-03T12:59:25.327499</t>
  </si>
  <si>
    <t>2026-09-03T12:59:25.320878</t>
  </si>
  <si>
    <t>2026-09-03T12:59:25.313974</t>
  </si>
  <si>
    <t>2026-09-03T12:59:25.311175</t>
  </si>
  <si>
    <t>2026-09-03T12:59:25.306798</t>
  </si>
  <si>
    <t>2026-09-03T12:59:25.301800</t>
  </si>
  <si>
    <t>2026-09-03T12:59:25.291373</t>
  </si>
  <si>
    <t>2026-09-03T12:59:25.289271</t>
  </si>
  <si>
    <t>2026-09-03T12:59:25.283087</t>
  </si>
  <si>
    <t>2026-09-03T12:59:25.278090</t>
  </si>
  <si>
    <t>2026-09-03T12:59:25.271395</t>
  </si>
  <si>
    <t>2026-09-03T12:59:25.267385</t>
  </si>
  <si>
    <t>2026-09-03T12:59:25.261622</t>
  </si>
  <si>
    <t>2026-09-03T12:59:25.243406</t>
  </si>
  <si>
    <t>2026-09-03T12:59:25.241710</t>
  </si>
  <si>
    <t>2026-09-03T12:59:25.236199</t>
  </si>
  <si>
    <t>2026-09-03T12:59:25.231796</t>
  </si>
  <si>
    <t>2026-09-03T12:59:25.222467</t>
  </si>
  <si>
    <t>2026-09-03T12:59:25.218415</t>
  </si>
  <si>
    <t>2026-09-03T12:59:25.213258</t>
  </si>
  <si>
    <t>2026-09-03T12:59:25.209111</t>
  </si>
  <si>
    <t>2026-09-03T12:59:25.202878</t>
  </si>
  <si>
    <t>2026-09-03T12:59:25.197996</t>
  </si>
  <si>
    <t>2026-09-03T12:59:25.193730</t>
  </si>
  <si>
    <t>2026-09-03T12:59:25.189585</t>
  </si>
  <si>
    <t>2026-09-03T12:59:25.180909</t>
  </si>
  <si>
    <t>2026-09-03T12:59:25.179910</t>
  </si>
  <si>
    <t>2026-09-03T12:59:25.174508</t>
  </si>
  <si>
    <t>2026-09-03T12:59:25.166996</t>
  </si>
  <si>
    <t>2026-09-03T12:59:25.164577</t>
  </si>
  <si>
    <t>2026-09-03T12:59:25.159854</t>
  </si>
  <si>
    <t>2026-09-03T12:59:25.155570</t>
  </si>
  <si>
    <t>2026-09-03T12:59:25.146412</t>
  </si>
  <si>
    <t>2026-09-03T12:59:25.138974</t>
  </si>
  <si>
    <t>2026-09-03T12:59:25.135973</t>
  </si>
  <si>
    <t>2026-09-03T12:59:25.131252</t>
  </si>
  <si>
    <t>2026-09-03T12:59:25.125297</t>
  </si>
  <si>
    <t>2026-09-03T12:59:25.122515</t>
  </si>
  <si>
    <t>2026-09-03T12:59:25.118180</t>
  </si>
  <si>
    <t>2026-09-03T12:59:25.112394</t>
  </si>
  <si>
    <t>2026-09-03T12:59:25.107658</t>
  </si>
  <si>
    <t>2026-09-03T12:59:25.104250</t>
  </si>
  <si>
    <t>2026-09-03T12:59:25.097667</t>
  </si>
  <si>
    <t>2026-09-03T12:59:25.094731</t>
  </si>
  <si>
    <t>2026-09-03T12:59:25.087993</t>
  </si>
  <si>
    <t>2026-09-03T12:59:25.086030</t>
  </si>
  <si>
    <t>2026-09-03T12:59:25.077785</t>
  </si>
  <si>
    <t>2026-09-03T12:59:25.077165</t>
  </si>
  <si>
    <t>2026-09-03T12:59:25.073165</t>
  </si>
  <si>
    <t>2026-09-03T12:59:25.066046</t>
  </si>
  <si>
    <t>2026-09-03T12:59:25.064047</t>
  </si>
  <si>
    <t>2026-09-03T12:59:25.055625</t>
  </si>
  <si>
    <t>2026-09-03T12:59:25.051203</t>
  </si>
  <si>
    <t>2026-09-03T12:59:25.042405</t>
  </si>
  <si>
    <t>2026-09-03T12:59:25.040421</t>
  </si>
  <si>
    <t>2026-09-03T12:59:25.034865</t>
  </si>
  <si>
    <t>2026-09-03T12:59:25.031773</t>
  </si>
  <si>
    <t>2026-09-03T12:59:25.025203</t>
  </si>
  <si>
    <t>2026-09-03T12:59:25.020613</t>
  </si>
  <si>
    <t>2026-09-03T12:59:25.013950</t>
  </si>
  <si>
    <t>2026-09-03T12:59:25.010586</t>
  </si>
  <si>
    <t>2026-09-03T12:59:25.001697</t>
  </si>
  <si>
    <t>2026-09-03T12:59:25.000921</t>
  </si>
  <si>
    <t>2026-09-03T12:59:24.994537</t>
  </si>
  <si>
    <t>2026-09-03T12:59:24.991674</t>
  </si>
  <si>
    <t>2026-09-03T12:59:24.986377</t>
  </si>
  <si>
    <t>2026-09-03T12:59:24.979229</t>
  </si>
  <si>
    <t>2026-09-03T12:59:24.977228</t>
  </si>
  <si>
    <t>2026-09-03T12:59:24.972309</t>
  </si>
  <si>
    <t>2026-09-03T12:59:24.967975</t>
  </si>
  <si>
    <t>2026-09-03T12:59:24.961090</t>
  </si>
  <si>
    <t>2026-09-03T12:59:24.957802</t>
  </si>
  <si>
    <t>2026-09-03T12:59:24.951746</t>
  </si>
  <si>
    <t>2026-09-03T12:59:24.948716</t>
  </si>
  <si>
    <t>2026-09-03T12:59:24.943854</t>
  </si>
  <si>
    <t>2026-09-03T12:59:24.939243</t>
  </si>
  <si>
    <t>2026-09-03T12:59:24.930872</t>
  </si>
  <si>
    <t>2026-09-03T12:59:24.927871</t>
  </si>
  <si>
    <t>2026-09-03T12:59:24.918138</t>
  </si>
  <si>
    <t>2026-09-03T12:59:24.916635</t>
  </si>
  <si>
    <t>2026-09-03T12:59:24.911234</t>
  </si>
  <si>
    <t>2026-09-03T12:59:24.907227</t>
  </si>
  <si>
    <t>2026-09-03T12:59:24.902284</t>
  </si>
  <si>
    <t>2026-09-03T12:59:24.896234</t>
  </si>
  <si>
    <t>2026-09-03T12:59:24.891370</t>
  </si>
  <si>
    <t>2026-09-03T12:59:24.881873</t>
  </si>
  <si>
    <t>2026-09-03T12:59:24.881413</t>
  </si>
  <si>
    <t>2026-09-03T12:59:24.877085</t>
  </si>
  <si>
    <t>2026-09-03T12:59:24.868387</t>
  </si>
  <si>
    <t>2026-09-03T12:59:24.867382</t>
  </si>
  <si>
    <t>2026-09-03T12:59:24.863419</t>
  </si>
  <si>
    <t>2026-09-03T12:59:24.845687</t>
  </si>
  <si>
    <t>2026-09-03T12:59:20.085754</t>
  </si>
  <si>
    <t>2026-09-03T12:59:20.080808</t>
  </si>
  <si>
    <t>2026-09-03T12:59:20.070086</t>
  </si>
  <si>
    <t>2026-09-03T12:59:20.058160</t>
  </si>
  <si>
    <t>2026-09-03T12:59:20.039209</t>
  </si>
  <si>
    <t>2026-09-03T12:58:43.621167</t>
  </si>
  <si>
    <t>2026-09-03T12:58:43.608908</t>
  </si>
  <si>
    <t>2026-09-03T12:58:43.592152</t>
  </si>
  <si>
    <t>2026-09-03T12:58:43.580860</t>
  </si>
  <si>
    <t>2026-09-03T12:58:43.567214</t>
  </si>
  <si>
    <t>2026-09-03T12:58:43.557009</t>
  </si>
  <si>
    <t>2026-09-03T12:58:43.527195</t>
  </si>
  <si>
    <t>2026-09-03T12:58:43.505248</t>
  </si>
  <si>
    <t>2026-09-03T12:58:43.482279</t>
  </si>
  <si>
    <t>2026-09-03T12:58:43.461360</t>
  </si>
  <si>
    <t>2026-09-03T12:57:18.442589</t>
  </si>
  <si>
    <t>2026-09-03T12:57:18.428793</t>
  </si>
  <si>
    <t>2026-09-03T12:57:18.413656</t>
  </si>
  <si>
    <t>2026-09-03T12:57:18.396691</t>
  </si>
  <si>
    <t>2026-09-03T12:57:18.380895</t>
  </si>
  <si>
    <t>2026-09-03T12:57:18.367752</t>
  </si>
  <si>
    <t>2026-09-03T12:57:18.349061</t>
  </si>
  <si>
    <t>2026-09-03T12:57:18.333008</t>
  </si>
  <si>
    <t>2026-09-03T12:57:18.317159</t>
  </si>
  <si>
    <t>2026-09-03T12:56:48.481500</t>
  </si>
  <si>
    <t>2026-09-03T12:56:48.472497</t>
  </si>
  <si>
    <t>2026-09-03T12:56:48.456363</t>
  </si>
  <si>
    <t>2026-09-03T12:56:48.446549</t>
  </si>
  <si>
    <t>2026-09-03T12:56:48.437533</t>
  </si>
  <si>
    <t>2026-09-03T12:56:48.424716</t>
  </si>
  <si>
    <t>2026-09-03T12:56:48.408729</t>
  </si>
  <si>
    <t>2026-09-03T12:56:48.396143</t>
  </si>
  <si>
    <t>2026-09-03T12:56:48.376643</t>
  </si>
  <si>
    <t>2026-09-03T12:56:48.360920</t>
  </si>
  <si>
    <t>2026-09-03T12:56:48.344910</t>
  </si>
  <si>
    <t>2026-09-03T12:56:48.329038</t>
  </si>
  <si>
    <t>2026-09-03T12:56:48.313228</t>
  </si>
  <si>
    <t>2026-09-03T12:56:48.297080</t>
  </si>
  <si>
    <t>2026-09-03T12:53:56.157430</t>
  </si>
  <si>
    <t>2026-09-03T12:53:56.139323</t>
  </si>
  <si>
    <t>2026-09-03T12:53:56.123742</t>
  </si>
  <si>
    <t>2026-09-03T12:53:56.105213</t>
  </si>
  <si>
    <t>2026-09-03T12:53:32.919420</t>
  </si>
  <si>
    <t>2026-09-03T12:53:32.903323</t>
  </si>
  <si>
    <t>2026-09-03T12:53:32.891395</t>
  </si>
  <si>
    <t>2026-09-03T12:53:32.875042</t>
  </si>
  <si>
    <t>2026-09-03T12:53:32.863398</t>
  </si>
  <si>
    <t>2026-09-03T12:53:32.847223</t>
  </si>
  <si>
    <t>2026-09-03T12:53:32.823459</t>
  </si>
  <si>
    <t>2026-09-03T12:53:32.807359</t>
  </si>
  <si>
    <t>2026-09-03T12:53:32.801249</t>
  </si>
  <si>
    <t>2026-09-03T12:53:32.791434</t>
  </si>
  <si>
    <t>2026-09-03T12:53:32.775512</t>
  </si>
  <si>
    <t>2026-09-03T12:53:32.759410</t>
  </si>
  <si>
    <t>2026-09-03T12:53:32.743338</t>
  </si>
  <si>
    <t>2026-09-03T12:53:32.727547</t>
  </si>
  <si>
    <t>2026-09-03T12:53:32.711867</t>
  </si>
  <si>
    <t>2026-09-03T12:53:32.696140</t>
  </si>
  <si>
    <t>2026-09-03T12:53:32.690356</t>
  </si>
  <si>
    <t>2026-09-03T12:53:32.674505</t>
  </si>
  <si>
    <t>2026-09-03T12:53:32.648736</t>
  </si>
  <si>
    <t>2026-09-03T12:53:32.632970</t>
  </si>
  <si>
    <t>2026-09-03T12:53:32.617094</t>
  </si>
  <si>
    <t>2026-09-03T12:53:32.601009</t>
  </si>
  <si>
    <t>2026-09-03T12:53:32.585082</t>
  </si>
  <si>
    <t>2026-09-03T12:53:32.574517</t>
  </si>
  <si>
    <t>2026-09-03T12:53:32.558340</t>
  </si>
  <si>
    <t>2026-09-03T12:53:32.536697</t>
  </si>
  <si>
    <t>2026-09-03T12:53:32.521025</t>
  </si>
  <si>
    <t>2026-09-03T12:53:32.504815</t>
  </si>
  <si>
    <t>2026-09-03T12:53:32.489411</t>
  </si>
  <si>
    <t>2026-09-03T12:53:32.481301</t>
  </si>
  <si>
    <t>2026-09-03T12:53:32.456878</t>
  </si>
  <si>
    <t>2026-09-03T12:53:32.444640</t>
  </si>
  <si>
    <t>2026-09-03T12:53:32.424939</t>
  </si>
  <si>
    <t>2026-09-03T12:53:32.409078</t>
  </si>
  <si>
    <t>2026-09-03T12:53:32.393069</t>
  </si>
  <si>
    <t>2026-09-03T12:53:32.376955</t>
  </si>
  <si>
    <t>2026-09-03T12:53:32.361058</t>
  </si>
  <si>
    <t>2026-09-03T12:53:32.345058</t>
  </si>
  <si>
    <t>2026-09-03T12:53:32.329067</t>
  </si>
  <si>
    <t>2026-09-03T12:53:32.312898</t>
  </si>
  <si>
    <t>2026-09-03T12:53:32.300982</t>
  </si>
  <si>
    <t>2026-09-03T12:53:32.287990</t>
  </si>
  <si>
    <t>2026-09-03T12:53:32.274209</t>
  </si>
  <si>
    <t>2026-09-03T12:53:32.259305</t>
  </si>
  <si>
    <t>2026-09-03T12:53:32.248858</t>
  </si>
  <si>
    <t>2026-09-03T12:53:32.232958</t>
  </si>
  <si>
    <t>2026-09-03T12:53:32.217281</t>
  </si>
  <si>
    <t>2026-09-03T12:53:32.201318</t>
  </si>
  <si>
    <t>2026-09-03T12:53:32.196696</t>
  </si>
  <si>
    <t>2026-09-03T12:53:32.174347</t>
  </si>
  <si>
    <t>2026-09-03T12:53:32.169756</t>
  </si>
  <si>
    <t>2026-09-03T12:53:32.155617</t>
  </si>
  <si>
    <t>2026-09-03T12:53:32.138954</t>
  </si>
  <si>
    <t>2026-09-03T12:53:32.121895</t>
  </si>
  <si>
    <t>2026-09-03T12:53:32.105813</t>
  </si>
  <si>
    <t>2026-09-03T12:53:32.091489</t>
  </si>
  <si>
    <t>2026-09-03T12:53:32.079293</t>
  </si>
  <si>
    <t>2026-09-03T12:53:32.074081</t>
  </si>
  <si>
    <t>2026-09-03T12:53:32.060570</t>
  </si>
  <si>
    <t>2026-09-03T12:53:32.042949</t>
  </si>
  <si>
    <t>2026-09-03T12:53:32.027136</t>
  </si>
  <si>
    <t>2026-09-03T12:53:32.011203</t>
  </si>
  <si>
    <t>2026-09-03T12:53:32.002305</t>
  </si>
  <si>
    <t>2026-09-03T12:53:31.981450</t>
  </si>
  <si>
    <t>2026-09-03T12:53:31.979386</t>
  </si>
  <si>
    <t>2026-09-03T12:53:31.964429</t>
  </si>
  <si>
    <t>2026-09-03T12:53:31.955093</t>
  </si>
  <si>
    <t>2026-09-03T12:53:31.942791</t>
  </si>
  <si>
    <t>2026-09-03T12:53:31.931784</t>
  </si>
  <si>
    <t>2026-09-03T12:53:31.916029</t>
  </si>
  <si>
    <t>2026-09-03T12:53:31.900105</t>
  </si>
  <si>
    <t>2026-09-03T12:53:31.886499</t>
  </si>
  <si>
    <t>2026-09-03T12:53:31.877369</t>
  </si>
  <si>
    <t>2026-09-03T12:53:31.868520</t>
  </si>
  <si>
    <t>2026-09-03T12:53:31.852408</t>
  </si>
  <si>
    <t>2026-09-03T12:53:31.841937</t>
  </si>
  <si>
    <t>2026-09-03T12:53:31.820439</t>
  </si>
  <si>
    <t>2026-09-03T12:53:31.804382</t>
  </si>
  <si>
    <t>2026-09-03T12:53:31.794089</t>
  </si>
  <si>
    <t>2026-09-03T12:53:31.773831</t>
  </si>
  <si>
    <t>2026-09-03T12:53:31.756850</t>
  </si>
  <si>
    <t>2026-09-03T12:53:31.741106</t>
  </si>
  <si>
    <t>2026-09-03T12:53:31.725113</t>
  </si>
  <si>
    <t>2026-09-03T12:53:31.715380</t>
  </si>
  <si>
    <t>2026-09-03T12:53:31.711363</t>
  </si>
  <si>
    <t>2026-09-03T12:53:31.696879</t>
  </si>
  <si>
    <t>2026-09-03T12:53:31.682899</t>
  </si>
  <si>
    <t>2026-09-03T12:53:31.661876</t>
  </si>
  <si>
    <t>2026-09-03T12:53:31.648266</t>
  </si>
  <si>
    <t>2026-09-03T12:53:31.629776</t>
  </si>
  <si>
    <t>2026-09-03T12:53:31.614052</t>
  </si>
  <si>
    <t>2026-09-03T12:53:31.597868</t>
  </si>
  <si>
    <t>2026-09-03T12:53:31.582049</t>
  </si>
  <si>
    <t>2026-09-03T12:53:31.573334</t>
  </si>
  <si>
    <t>2026-09-03T12:53:31.557935</t>
  </si>
  <si>
    <t>2026-09-03T12:53:31.544121</t>
  </si>
  <si>
    <t>2026-09-03T12:53:31.518337</t>
  </si>
  <si>
    <t>2026-09-03T12:53:31.502519</t>
  </si>
  <si>
    <t>2026-09-03T12:53:31.486802</t>
  </si>
  <si>
    <t>2026-09-03T12:53:31.474971</t>
  </si>
  <si>
    <t>2026-09-03T12:53:31.460800</t>
  </si>
  <si>
    <t>2026-09-03T12:53:31.440267</t>
  </si>
  <si>
    <t>2026-09-03T12:53:31.422885</t>
  </si>
  <si>
    <t>2026-09-03T12:53:31.412183</t>
  </si>
  <si>
    <t>2026-09-03T12:53:31.390573</t>
  </si>
  <si>
    <t>2026-09-03T12:53:31.374815</t>
  </si>
  <si>
    <t>2026-09-03T12:53:31.360926</t>
  </si>
  <si>
    <t>2026-09-03T12:53:31.349759</t>
  </si>
  <si>
    <t>2026-09-03T12:53:31.327236</t>
  </si>
  <si>
    <t>2026-09-03T12:53:31.311325</t>
  </si>
  <si>
    <t>2026-09-03T12:53:31.295359</t>
  </si>
  <si>
    <t>2026-09-03T12:53:31.283360</t>
  </si>
  <si>
    <t>2026-09-03T12:53:31.279184</t>
  </si>
  <si>
    <t>2026-09-03T12:53:31.263336</t>
  </si>
  <si>
    <t>2026-09-03T12:53:31.247235</t>
  </si>
  <si>
    <t>2026-09-03T12:53:31.239212</t>
  </si>
  <si>
    <t>2026-09-03T12:53:31.215680</t>
  </si>
  <si>
    <t>2026-09-03T12:53:31.199834</t>
  </si>
  <si>
    <t>2026-09-03T12:53:31.184187</t>
  </si>
  <si>
    <t>2026-09-03T12:53:31.168089</t>
  </si>
  <si>
    <t>2026-09-03T12:53:31.152042</t>
  </si>
  <si>
    <t>2026-09-03T12:53:31.136300</t>
  </si>
  <si>
    <t>2026-09-03T12:53:31.120561</t>
  </si>
  <si>
    <t>2026-09-03T12:53:31.107013</t>
  </si>
  <si>
    <t>2026-09-03T12:53:31.089214</t>
  </si>
  <si>
    <t>2026-09-03T12:53:31.078907</t>
  </si>
  <si>
    <t>2026-09-03T12:53:31.064990</t>
  </si>
  <si>
    <t>2026-09-03T12:53:31.041582</t>
  </si>
  <si>
    <t>2026-09-03T12:53:31.030309</t>
  </si>
  <si>
    <t>2026-09-03T12:53:31.016430</t>
  </si>
  <si>
    <t>2026-09-03T12:53:31.002534</t>
  </si>
  <si>
    <t>2026-09-03T12:53:30.981584</t>
  </si>
  <si>
    <t>2026-09-03T12:53:30.972326</t>
  </si>
  <si>
    <t>2026-09-03T12:53:30.948928</t>
  </si>
  <si>
    <t>2026-09-03T12:53:30.945918</t>
  </si>
  <si>
    <t>2026-09-03T12:53:30.926107</t>
  </si>
  <si>
    <t>2026-09-03T12:53:30.912277</t>
  </si>
  <si>
    <t>2026-09-03T12:53:30.899406</t>
  </si>
  <si>
    <t>2026-09-03T12:53:30.877393</t>
  </si>
  <si>
    <t>2026-09-03T12:53:25.675857</t>
  </si>
  <si>
    <t>2026-09-03T12:53:25.656267</t>
  </si>
  <si>
    <t>2026-09-03T12:53:25.644124</t>
  </si>
  <si>
    <t>2026-09-03T12:53:25.628224</t>
  </si>
  <si>
    <t>2026-09-03T12:53:25.612571</t>
  </si>
  <si>
    <t>2026-09-03T12:53:25.596648</t>
  </si>
  <si>
    <t>2026-09-03T12:53:25.586716</t>
  </si>
  <si>
    <t>2026-09-03T12:53:25.565032</t>
  </si>
  <si>
    <t>2026-09-03T12:53:25.548947</t>
  </si>
  <si>
    <t>2026-09-03T12:53:25.533105</t>
  </si>
  <si>
    <t>2026-09-03T12:53:25.517132</t>
  </si>
  <si>
    <t>2026-09-03T12:53:25.501310</t>
  </si>
  <si>
    <t>2026-09-03T12:53:25.485501</t>
  </si>
  <si>
    <t>2026-09-03T12:53:25.469781</t>
  </si>
  <si>
    <t>2026-09-03T12:53:25.460207</t>
  </si>
  <si>
    <t>2026-09-03T12:53:25.453748</t>
  </si>
  <si>
    <t>2026-09-03T12:53:25.437856</t>
  </si>
  <si>
    <t>2026-09-03T12:53:25.422034</t>
  </si>
  <si>
    <t>2026-09-03T12:53:25.409792</t>
  </si>
  <si>
    <t>2026-09-03T12:53:25.390144</t>
  </si>
  <si>
    <t>2026-09-03T12:53:25.374327</t>
  </si>
  <si>
    <t>2026-09-03T12:53:25.359886</t>
  </si>
  <si>
    <t>2026-09-03T12:53:25.342303</t>
  </si>
  <si>
    <t>2026-09-03T12:53:25.326303</t>
  </si>
  <si>
    <t>2026-09-03T12:53:25.316034</t>
  </si>
  <si>
    <t>2026-09-03T12:53:25.294437</t>
  </si>
  <si>
    <t>2026-09-03T12:53:25.278409</t>
  </si>
  <si>
    <t>2026-09-03T12:53:25.262722</t>
  </si>
  <si>
    <t>2026-09-03T12:53:25.246772</t>
  </si>
  <si>
    <t>2026-09-03T12:53:25.230601</t>
  </si>
  <si>
    <t>2026-09-03T12:53:25.214488</t>
  </si>
  <si>
    <t>2026-09-03T12:53:25.208908</t>
  </si>
  <si>
    <t>2026-09-03T12:53:25.182726</t>
  </si>
  <si>
    <t>2026-09-03T12:53:25.166792</t>
  </si>
  <si>
    <t>2026-09-03T12:53:25.159736</t>
  </si>
  <si>
    <t>2026-09-03T12:53:25.135129</t>
  </si>
  <si>
    <t>2026-09-03T12:53:25.119251</t>
  </si>
  <si>
    <t>2026-09-03T12:53:25.115145</t>
  </si>
  <si>
    <t>2026-09-03T12:53:25.103142</t>
  </si>
  <si>
    <t>2026-09-03T12:53:25.087109</t>
  </si>
  <si>
    <t>2026-09-03T12:53:25.071116</t>
  </si>
  <si>
    <t>2026-09-03T12:53:25.059393</t>
  </si>
  <si>
    <t>2026-09-03T12:53:25.049724</t>
  </si>
  <si>
    <t>2026-09-03T12:53:25.039547</t>
  </si>
  <si>
    <t>2026-09-03T12:53:25.031197</t>
  </si>
  <si>
    <t>2026-09-03T12:53:25.008452</t>
  </si>
  <si>
    <t>2026-09-03T12:53:24.992293</t>
  </si>
  <si>
    <t>2026-09-03T12:53:24.976531</t>
  </si>
  <si>
    <t>2026-09-03T12:53:24.962498</t>
  </si>
  <si>
    <t>2026-09-03T12:53:24.950901</t>
  </si>
  <si>
    <t>2026-09-03T12:53:24.945746</t>
  </si>
  <si>
    <t>2026-09-03T12:53:24.928879</t>
  </si>
  <si>
    <t>2026-09-03T12:53:24.914109</t>
  </si>
  <si>
    <t>2026-09-03T12:53:24.897184</t>
  </si>
  <si>
    <t>2026-09-03T12:53:24.881481</t>
  </si>
  <si>
    <t>2026-09-03T12:53:24.865627</t>
  </si>
  <si>
    <t>2026-09-03T12:53:24.858788</t>
  </si>
  <si>
    <t>2026-09-03T12:53:24.849923</t>
  </si>
  <si>
    <t>2026-09-03T12:53:24.834006</t>
  </si>
  <si>
    <t>2026-09-03T12:53:24.822796</t>
  </si>
  <si>
    <t>2026-09-03T12:53:24.815774</t>
  </si>
  <si>
    <t>2026-09-03T12:53:24.802054</t>
  </si>
  <si>
    <t>2026-09-03T12:53:24.770367</t>
  </si>
  <si>
    <t>2026-09-03T12:53:24.758890</t>
  </si>
  <si>
    <t>2026-09-03T12:53:24.738448</t>
  </si>
  <si>
    <t>2026-09-03T12:53:24.722649</t>
  </si>
  <si>
    <t>2026-09-03T12:53:24.716381</t>
  </si>
  <si>
    <t>2026-09-03T12:53:24.702600</t>
  </si>
  <si>
    <t>2026-09-03T12:53:24.675130</t>
  </si>
  <si>
    <t>2026-09-03T12:53:24.659020</t>
  </si>
  <si>
    <t>2026-09-03T12:53:24.647911</t>
  </si>
  <si>
    <t>2026-09-03T12:53:24.626855</t>
  </si>
  <si>
    <t>2026-09-03T12:53:24.611017</t>
  </si>
  <si>
    <t>2026-09-03T12:53:24.600562</t>
  </si>
  <si>
    <t>2026-09-03T12:53:24.595264</t>
  </si>
  <si>
    <t>2026-09-03T12:53:24.563401</t>
  </si>
  <si>
    <t>2026-09-03T12:53:24.547267</t>
  </si>
  <si>
    <t>2026-09-03T12:53:24.515460</t>
  </si>
  <si>
    <t>2026-09-03T12:53:24.510292</t>
  </si>
  <si>
    <t>2026-09-03T12:53:24.496508</t>
  </si>
  <si>
    <t>2026-09-03T12:53:24.467498</t>
  </si>
  <si>
    <t>2026-09-03T12:53:24.458860</t>
  </si>
  <si>
    <t>2026-09-03T12:53:24.454742</t>
  </si>
  <si>
    <t>2026-09-03T12:53:24.435854</t>
  </si>
  <si>
    <t>2026-09-03T12:53:24.419727</t>
  </si>
  <si>
    <t>2026-09-03T12:53:24.405397</t>
  </si>
  <si>
    <t>2026-09-03T12:53:24.387728</t>
  </si>
  <si>
    <t>2026-09-03T12:53:24.371657</t>
  </si>
  <si>
    <t>2026-09-03T12:53:24.358744</t>
  </si>
  <si>
    <t>2026-09-03T12:53:24.339957</t>
  </si>
  <si>
    <t>2026-09-03T12:53:24.329757</t>
  </si>
  <si>
    <t>2026-09-03T12:53:24.323907</t>
  </si>
  <si>
    <t>2026-09-03T12:53:24.308245</t>
  </si>
  <si>
    <t>2026-09-03T12:53:24.292315</t>
  </si>
  <si>
    <t>2026-09-03T12:53:24.276313</t>
  </si>
  <si>
    <t>2026-09-03T12:53:24.260325</t>
  </si>
  <si>
    <t>2026-09-03T12:53:24.246426</t>
  </si>
  <si>
    <t>2026-09-03T12:53:24.229667</t>
  </si>
  <si>
    <t>2026-09-03T12:53:24.212285</t>
  </si>
  <si>
    <t>2026-09-03T12:53:24.201572</t>
  </si>
  <si>
    <t>2026-09-03T12:53:24.180807</t>
  </si>
  <si>
    <t>2026-09-03T12:53:24.175181</t>
  </si>
  <si>
    <t>2026-09-03T12:53:24.164856</t>
  </si>
  <si>
    <t>2026-09-03T12:53:24.149148</t>
  </si>
  <si>
    <t>2026-09-03T12:53:24.133361</t>
  </si>
  <si>
    <t>2026-09-03T12:53:24.117281</t>
  </si>
  <si>
    <t>2026-09-03T12:53:24.106638</t>
  </si>
  <si>
    <t>2026-09-03T12:53:24.092994</t>
  </si>
  <si>
    <t>2026-09-03T12:53:24.069651</t>
  </si>
  <si>
    <t>2026-09-03T12:53:24.058217</t>
  </si>
  <si>
    <t>2026-09-03T12:53:24.053586</t>
  </si>
  <si>
    <t>2026-09-03T12:53:24.037481</t>
  </si>
  <si>
    <t>2026-09-03T12:53:24.021731</t>
  </si>
  <si>
    <t>2026-09-03T12:53:24.017237</t>
  </si>
  <si>
    <t>2026-09-03T12:53:23.989898</t>
  </si>
  <si>
    <t>2026-09-03T12:53:23.974203</t>
  </si>
  <si>
    <t>2026-09-03T12:53:23.961650</t>
  </si>
  <si>
    <t>2026-09-03T12:53:23.959013</t>
  </si>
  <si>
    <t>2026-09-03T12:53:23.943791</t>
  </si>
  <si>
    <t>2026-09-03T12:53:23.926443</t>
  </si>
  <si>
    <t>2026-09-03T12:53:23.910591</t>
  </si>
  <si>
    <t>2026-09-03T12:53:23.898862</t>
  </si>
  <si>
    <t>2026-09-03T12:53:23.894831</t>
  </si>
  <si>
    <t>2026-09-03T12:53:23.878786</t>
  </si>
  <si>
    <t>2026-09-03T12:53:23.862791</t>
  </si>
  <si>
    <t>2026-09-03T12:53:23.858332</t>
  </si>
  <si>
    <t>2026-09-03T12:53:23.850569</t>
  </si>
  <si>
    <t>2026-09-03T12:53:23.836643</t>
  </si>
  <si>
    <t>2026-09-03T12:53:23.822849</t>
  </si>
  <si>
    <t>2026-09-03T12:53:23.815506</t>
  </si>
  <si>
    <t>2026-09-03T12:53:23.802909</t>
  </si>
  <si>
    <t>2026-09-03T12:53:23.788109</t>
  </si>
  <si>
    <t>2026-09-03T12:53:23.783903</t>
  </si>
  <si>
    <t>2026-09-03T12:53:23.768235</t>
  </si>
  <si>
    <t>2026-09-03T12:53:23.758136</t>
  </si>
  <si>
    <t>2026-09-03T12:53:23.752130</t>
  </si>
  <si>
    <t>2026-09-03T12:53:23.736130</t>
  </si>
  <si>
    <t>2026-09-03T12:53:23.705129</t>
  </si>
  <si>
    <t>2026-09-03T12:53:23.688554</t>
  </si>
  <si>
    <t>2026-09-03T12:53:23.676960</t>
  </si>
  <si>
    <t>2026-09-03T12:53:23.672589</t>
  </si>
  <si>
    <t>2026-09-03T12:53:23.658032</t>
  </si>
  <si>
    <t>2026-09-03T12:53:23.644103</t>
  </si>
  <si>
    <t>2026-09-03T12:53:23.640737</t>
  </si>
  <si>
    <t>2026-09-03T12:53:23.624783</t>
  </si>
  <si>
    <t>2026-09-03T12:53:23.613077</t>
  </si>
  <si>
    <t>2026-09-03T12:53:23.609061</t>
  </si>
  <si>
    <t>2026-09-03T12:53:23.593202</t>
  </si>
  <si>
    <t>2026-09-03T12:53:23.577426</t>
  </si>
  <si>
    <t>2026-09-03T12:53:23.561299</t>
  </si>
  <si>
    <t>2026-09-03T12:53:23.557963</t>
  </si>
  <si>
    <t>2026-09-03T12:53:23.545228</t>
  </si>
  <si>
    <t>2026-09-03T12:53:23.529278</t>
  </si>
  <si>
    <t>2026-09-03T12:53:23.513391</t>
  </si>
  <si>
    <t>2026-09-03T12:53:23.497367</t>
  </si>
  <si>
    <t>2026-09-03T12:53:23.481519</t>
  </si>
  <si>
    <t>2026-09-03T12:53:23.465564</t>
  </si>
  <si>
    <t>2026-09-03T12:53:23.457872</t>
  </si>
  <si>
    <t>2026-09-03T12:53:23.442435</t>
  </si>
  <si>
    <t>2026-09-03T12:53:23.417579</t>
  </si>
  <si>
    <t>2026-09-03T12:53:23.408294</t>
  </si>
  <si>
    <t>2026-09-03T12:53:23.385447</t>
  </si>
  <si>
    <t>2026-09-03T12:53:23.370284</t>
  </si>
  <si>
    <t>2026-09-03T12:53:23.357764</t>
  </si>
  <si>
    <t>2026-09-03T12:53:23.354617</t>
  </si>
  <si>
    <t>2026-09-03T12:53:23.340783</t>
  </si>
  <si>
    <t>2026-09-03T12:53:23.322559</t>
  </si>
  <si>
    <t>2026-09-03T12:53:23.308944</t>
  </si>
  <si>
    <t>2026-09-03T12:53:23.303469</t>
  </si>
  <si>
    <t>2026-09-03T12:53:23.290508</t>
  </si>
  <si>
    <t>2026-09-03T12:53:23.276620</t>
  </si>
  <si>
    <t>2026-09-03T12:53:23.258473</t>
  </si>
  <si>
    <t>2026-09-03T12:53:23.242643</t>
  </si>
  <si>
    <t>2026-09-03T12:53:23.218722</t>
  </si>
  <si>
    <t>2026-09-03T12:53:23.197669</t>
  </si>
  <si>
    <t>2026-09-03T12:53:23.183188</t>
  </si>
  <si>
    <t>2026-09-03T12:53:23.163277</t>
  </si>
  <si>
    <t>2026-09-03T12:53:23.157215</t>
  </si>
  <si>
    <t>2026-09-03T12:53:23.148099</t>
  </si>
  <si>
    <t>2026-09-03T12:53:23.135609</t>
  </si>
  <si>
    <t>2026-09-03T12:53:23.122844</t>
  </si>
  <si>
    <t>2026-09-03T12:53:23.102909</t>
  </si>
  <si>
    <t>2026-09-03T12:53:23.095861</t>
  </si>
  <si>
    <t>2026-09-03T12:53:23.077084</t>
  </si>
  <si>
    <t>2026-09-03T12:53:23.075055</t>
  </si>
  <si>
    <t>2026-09-03T12:53:23.057201</t>
  </si>
  <si>
    <t>2026-09-03T12:53:23.051151</t>
  </si>
  <si>
    <t>2026-09-03T12:53:23.038844</t>
  </si>
  <si>
    <t>2026-09-03T12:53:23.024885</t>
  </si>
  <si>
    <t>2026-09-03T12:53:23.006137</t>
  </si>
  <si>
    <t>2026-09-03T12:53:22.996493</t>
  </si>
  <si>
    <t>2026-09-03T12:53:22.976535</t>
  </si>
  <si>
    <t>2026-09-03T12:53:22.954885</t>
  </si>
  <si>
    <t>2026-09-03T12:53:22.926745</t>
  </si>
  <si>
    <t>2026-09-03T12:53:22.920373</t>
  </si>
  <si>
    <t>2026-09-03T12:53:22.910623</t>
  </si>
  <si>
    <t>2026-09-03T12:53:22.894553</t>
  </si>
  <si>
    <t>2026-09-03T12:53:22.878814</t>
  </si>
  <si>
    <t>2026-09-03T12:53:22.862961</t>
  </si>
  <si>
    <t>2026-09-03T12:53:22.856604</t>
  </si>
  <si>
    <t>2026-09-03T12:53:22.840230</t>
  </si>
  <si>
    <t>2026-09-03T12:53:22.831477</t>
  </si>
  <si>
    <t>2026-09-03T12:53:22.815490</t>
  </si>
  <si>
    <t>2026-09-03T12:53:22.799770</t>
  </si>
  <si>
    <t>2026-09-03T12:53:22.788320</t>
  </si>
  <si>
    <t>2026-09-03T12:53:22.776343</t>
  </si>
  <si>
    <t>2026-09-03T12:53:22.760584</t>
  </si>
  <si>
    <t>2026-09-03T12:53:22.756687</t>
  </si>
  <si>
    <t>2026-09-03T12:53:22.736895</t>
  </si>
  <si>
    <t>2026-09-03T12:53:22.725766</t>
  </si>
  <si>
    <t>2026-09-03T12:53:22.708915</t>
  </si>
  <si>
    <t>2026-09-03T12:53:22.704885</t>
  </si>
  <si>
    <t>2026-09-03T12:53:22.689027</t>
  </si>
  <si>
    <t>2026-09-03T12:53:22.673338</t>
  </si>
  <si>
    <t>2026-09-03T12:53:22.660157</t>
  </si>
  <si>
    <t>2026-09-03T12:53:22.649377</t>
  </si>
  <si>
    <t>2026-09-03T12:53:22.635751</t>
  </si>
  <si>
    <t>2026-09-03T12:53:22.612055</t>
  </si>
  <si>
    <t>2026-09-03T12:53:22.600767</t>
  </si>
  <si>
    <t>2026-09-03T12:53:22.578393</t>
  </si>
  <si>
    <t>2026-09-03T12:53:22.562427</t>
  </si>
  <si>
    <t>2026-09-03T12:53:22.552387</t>
  </si>
  <si>
    <t>2026-09-03T12:53:22.539334</t>
  </si>
  <si>
    <t>2026-09-03T12:53:22.524420</t>
  </si>
  <si>
    <t>2026-09-03T12:53:22.514843</t>
  </si>
  <si>
    <t>2026-09-03T12:53:22.503543</t>
  </si>
  <si>
    <t>2026-09-03T12:53:22.489824</t>
  </si>
  <si>
    <t>2026-09-03T12:53:22.477841</t>
  </si>
  <si>
    <t>2026-09-03T12:53:22.461951</t>
  </si>
  <si>
    <t>2026-09-03T12:53:22.436704</t>
  </si>
  <si>
    <t>2026-09-03T12:53:22.419204</t>
  </si>
  <si>
    <t>2026-09-03T12:53:22.406286</t>
  </si>
  <si>
    <t>2026-09-03T12:53:22.394448</t>
  </si>
  <si>
    <t>2026-09-03T12:53:22.371816</t>
  </si>
  <si>
    <t>2026-09-03T12:53:22.356165</t>
  </si>
  <si>
    <t>2026-09-03T12:53:22.341034</t>
  </si>
  <si>
    <t>2026-09-03T12:53:22.329892</t>
  </si>
  <si>
    <t>2026-09-03T12:53:22.309575</t>
  </si>
  <si>
    <t>2026-09-03T12:53:22.304159</t>
  </si>
  <si>
    <t>2026-09-03T12:53:22.281340</t>
  </si>
  <si>
    <t>2026-09-03T12:53:22.264082</t>
  </si>
  <si>
    <t>2026-09-03T12:53:22.256146</t>
  </si>
  <si>
    <t>2026-09-03T12:53:22.246356</t>
  </si>
  <si>
    <t>2026-09-03T12:53:22.236075</t>
  </si>
  <si>
    <t>2026-09-03T12:53:22.226154</t>
  </si>
  <si>
    <t>2026-09-03T12:53:22.214787</t>
  </si>
  <si>
    <t>2026-09-03T12:53:22.199098</t>
  </si>
  <si>
    <t>2026-09-03T12:53:22.193826</t>
  </si>
  <si>
    <t>2026-09-03T12:53:22.183094</t>
  </si>
  <si>
    <t>2026-09-03T12:53:22.177350</t>
  </si>
  <si>
    <t>2026-09-03T12:53:22.173330</t>
  </si>
  <si>
    <t>2026-09-03T12:53:22.160223</t>
  </si>
  <si>
    <t>2026-09-03T12:53:22.158211</t>
  </si>
  <si>
    <t>2026-09-03T12:53:22.151031</t>
  </si>
  <si>
    <t>2026-09-03T12:53:22.142436</t>
  </si>
  <si>
    <t>2026-09-03T12:53:22.135005</t>
  </si>
  <si>
    <t>2026-09-03T12:53:22.121615</t>
  </si>
  <si>
    <t>2026-09-03T12:53:22.114745</t>
  </si>
  <si>
    <t>2026-09-03T12:53:22.107807</t>
  </si>
  <si>
    <t>2026-09-03T12:53:22.098082</t>
  </si>
  <si>
    <t>2026-09-03T12:53:22.090165</t>
  </si>
  <si>
    <t>2026-09-03T12:53:22.079932</t>
  </si>
  <si>
    <t>2026-09-03T12:53:22.071612</t>
  </si>
  <si>
    <t>2026-09-03T12:53:22.059085</t>
  </si>
  <si>
    <t>2026-09-03T12:53:22.045349</t>
  </si>
  <si>
    <t>2026-09-03T12:53:22.039898</t>
  </si>
  <si>
    <t>2026-09-03T12:53:22.031313</t>
  </si>
  <si>
    <t>2026-09-03T12:53:22.024012</t>
  </si>
  <si>
    <t>2026-09-03T12:53:22.017479</t>
  </si>
  <si>
    <t>2026-09-03T12:53:22.008254</t>
  </si>
  <si>
    <t>2026-09-03T12:53:22.003583</t>
  </si>
  <si>
    <t>2026-09-03T12:53:21.993272</t>
  </si>
  <si>
    <t>2026-09-03T12:53:21.989700</t>
  </si>
  <si>
    <t>2026-09-03T12:53:21.982752</t>
  </si>
  <si>
    <t>2026-09-03T12:53:21.968876</t>
  </si>
  <si>
    <t>2026-09-03T12:53:21.961754</t>
  </si>
  <si>
    <t>2026-09-03T12:53:21.955856</t>
  </si>
  <si>
    <t>2026-09-03T12:53:21.949182</t>
  </si>
  <si>
    <t>2026-09-03T12:53:21.942180</t>
  </si>
  <si>
    <t>2026-09-03T12:53:21.928923</t>
  </si>
  <si>
    <t>2026-09-03T12:53:21.920317</t>
  </si>
  <si>
    <t>2026-09-03T12:53:21.913176</t>
  </si>
  <si>
    <t>2026-09-03T12:53:21.906412</t>
  </si>
  <si>
    <t>2026-09-03T12:53:21.897245</t>
  </si>
  <si>
    <t>2026-09-03T12:53:21.885639</t>
  </si>
  <si>
    <t>2026-09-03T12:53:21.881675</t>
  </si>
  <si>
    <t>2026-09-03T12:53:21.871652</t>
  </si>
  <si>
    <t>2026-09-03T12:53:21.865833</t>
  </si>
  <si>
    <t>2026-09-03T12:53:21.855623</t>
  </si>
  <si>
    <t>2026-09-03T12:53:21.849740</t>
  </si>
  <si>
    <t>2026-09-03T12:53:21.839622</t>
  </si>
  <si>
    <t>2026-09-03T12:53:21.833694</t>
  </si>
  <si>
    <t>2026-09-03T12:53:21.817575</t>
  </si>
  <si>
    <t>2026-09-03T12:53:21.808930</t>
  </si>
  <si>
    <t>2026-09-03T12:53:21.801847</t>
  </si>
  <si>
    <t>2026-09-03T12:53:21.792488</t>
  </si>
  <si>
    <t>2026-09-03T12:53:21.774457</t>
  </si>
  <si>
    <t>2026-09-03T12:53:21.767941</t>
  </si>
  <si>
    <t>2026-09-03T12:53:21.755635</t>
  </si>
  <si>
    <t>2026-09-03T12:53:21.738726</t>
  </si>
  <si>
    <t>2026-09-03T12:53:21.725920</t>
  </si>
  <si>
    <t>2026-09-03T12:53:21.722785</t>
  </si>
  <si>
    <t>2026-09-03T12:53:21.711963</t>
  </si>
  <si>
    <t>2026-09-03T12:53:21.705011</t>
  </si>
  <si>
    <t>2026-09-03T12:53:21.691119</t>
  </si>
  <si>
    <t>2026-09-03T12:53:21.684277</t>
  </si>
  <si>
    <t>2026-09-03T12:53:21.677748</t>
  </si>
  <si>
    <t>2026-09-03T12:53:21.670289</t>
  </si>
  <si>
    <t>2026-09-03T12:53:21.663343</t>
  </si>
  <si>
    <t>2026-09-03T12:53:21.649541</t>
  </si>
  <si>
    <t>2026-09-03T12:53:21.644102</t>
  </si>
  <si>
    <t>2026-09-03T12:53:21.636395</t>
  </si>
  <si>
    <t>2026-09-03T12:53:21.628068</t>
  </si>
  <si>
    <t>2026-09-03T12:53:21.621643</t>
  </si>
  <si>
    <t>2026-09-03T12:53:21.612217</t>
  </si>
  <si>
    <t>2026-09-03T12:53:21.591962</t>
  </si>
  <si>
    <t>2026-09-03T12:53:21.586960</t>
  </si>
  <si>
    <t>2026-09-03T12:53:21.564689</t>
  </si>
  <si>
    <t>2026-09-03T12:53:21.552212</t>
  </si>
  <si>
    <t>2026-09-03T12:53:21.545364</t>
  </si>
  <si>
    <t>2026-09-03T12:53:21.532900</t>
  </si>
  <si>
    <t>2026-09-03T12:53:21.517083</t>
  </si>
  <si>
    <t>2026-09-03T12:53:21.510618</t>
  </si>
  <si>
    <t>2026-09-03T12:53:21.495493</t>
  </si>
  <si>
    <t>2026-09-03T12:53:21.485375</t>
  </si>
  <si>
    <t>2026-09-03T12:53:21.469705</t>
  </si>
  <si>
    <t>2026-09-03T12:53:21.455600</t>
  </si>
  <si>
    <t>2026-09-03T12:53:21.454070</t>
  </si>
  <si>
    <t>2026-09-03T12:53:21.438265</t>
  </si>
  <si>
    <t>2026-09-03T12:53:21.422565</t>
  </si>
  <si>
    <t>2026-09-03T12:53:21.406853</t>
  </si>
  <si>
    <t>2026-09-03T12:53:21.393152</t>
  </si>
  <si>
    <t>2026-09-03T12:53:21.375367</t>
  </si>
  <si>
    <t>2026-09-03T12:53:21.364829</t>
  </si>
  <si>
    <t>2026-09-03T12:53:21.355259</t>
  </si>
  <si>
    <t>2026-09-03T12:53:21.343379</t>
  </si>
  <si>
    <t>2026-09-03T12:53:21.327746</t>
  </si>
  <si>
    <t>2026-09-03T12:53:21.312082</t>
  </si>
  <si>
    <t>2026-09-03T12:53:21.296083</t>
  </si>
  <si>
    <t>2026-09-03T12:53:21.285948</t>
  </si>
  <si>
    <t>2026-09-03T12:53:21.268386</t>
  </si>
  <si>
    <t>2026-09-03T12:53:21.255338</t>
  </si>
  <si>
    <t>2026-09-03T12:53:21.239441</t>
  </si>
  <si>
    <t>2026-09-03T12:53:21.216554</t>
  </si>
  <si>
    <t>2026-09-03T12:53:21.209445</t>
  </si>
  <si>
    <t>2026-09-03T12:53:21.200594</t>
  </si>
  <si>
    <t>2026-09-03T12:53:21.190679</t>
  </si>
  <si>
    <t>2026-09-03T12:53:21.184810</t>
  </si>
  <si>
    <t>2026-09-03T12:53:21.169145</t>
  </si>
  <si>
    <t>2026-09-03T12:53:21.160437</t>
  </si>
  <si>
    <t>2026-09-03T12:53:21.153945</t>
  </si>
  <si>
    <t>2026-09-03T12:53:21.139916</t>
  </si>
  <si>
    <t>2026-09-03T12:53:21.121923</t>
  </si>
  <si>
    <t>2026-09-03T12:53:21.105840</t>
  </si>
  <si>
    <t>2026-09-03T12:53:21.094047</t>
  </si>
  <si>
    <t>2026-09-03T12:53:21.090175</t>
  </si>
  <si>
    <t>2026-09-03T12:53:21.074405</t>
  </si>
  <si>
    <t>2026-09-03T12:53:21.058550</t>
  </si>
  <si>
    <t>2026-09-03T12:53:21.042888</t>
  </si>
  <si>
    <t>2026-09-03T12:53:21.032001</t>
  </si>
  <si>
    <t>2026-09-03T12:53:21.026864</t>
  </si>
  <si>
    <t>2026-09-03T12:53:21.011186</t>
  </si>
  <si>
    <t>2026-09-03T12:53:20.995305</t>
  </si>
  <si>
    <t>2026-09-03T12:53:20.980253</t>
  </si>
  <si>
    <t>2026-09-03T12:53:20.964880</t>
  </si>
  <si>
    <t>2026-09-03T12:53:20.954702</t>
  </si>
  <si>
    <t>2026-09-03T12:53:20.942391</t>
  </si>
  <si>
    <t>2026-09-03T12:53:20.931819</t>
  </si>
  <si>
    <t>2026-09-03T12:53:20.916120</t>
  </si>
  <si>
    <t>2026-09-03T12:53:20.900286</t>
  </si>
  <si>
    <t>2026-09-03T12:53:20.893270</t>
  </si>
  <si>
    <t>2026-09-03T12:53:20.868127</t>
  </si>
  <si>
    <t>2026-09-03T12:53:20.854498</t>
  </si>
  <si>
    <t>2026-09-03T12:53:20.852459</t>
  </si>
  <si>
    <t>2026-09-03T12:53:20.836762</t>
  </si>
  <si>
    <t>2026-09-03T12:53:20.820658</t>
  </si>
  <si>
    <t>2026-09-03T12:53:20.804808</t>
  </si>
  <si>
    <t>2026-09-03T12:53:20.789628</t>
  </si>
  <si>
    <t>2026-09-03T12:53:20.773387</t>
  </si>
  <si>
    <t>2026-09-03T12:53:20.757246</t>
  </si>
  <si>
    <t>2026-09-03T12:53:20.741419</t>
  </si>
  <si>
    <t>2026-09-03T12:53:20.727827</t>
  </si>
  <si>
    <t>2026-09-03T12:53:20.709678</t>
  </si>
  <si>
    <t>2026-09-03T12:53:20.693680</t>
  </si>
  <si>
    <t>2026-09-03T12:53:20.677648</t>
  </si>
  <si>
    <t>2026-09-03T12:53:20.661959</t>
  </si>
  <si>
    <t>2026-09-03T12:53:20.646256</t>
  </si>
  <si>
    <t>2026-09-03T12:53:20.630216</t>
  </si>
  <si>
    <t>2026-09-03T12:53:20.614852</t>
  </si>
  <si>
    <t>2026-09-03T12:53:20.599172</t>
  </si>
  <si>
    <t>2026-09-03T12:53:20.588607</t>
  </si>
  <si>
    <t>2026-09-03T12:53:20.567426</t>
  </si>
  <si>
    <t>2026-09-03T12:53:20.554139</t>
  </si>
  <si>
    <t>2026-09-03T12:53:20.535914</t>
  </si>
  <si>
    <t>2026-09-03T12:53:20.520083</t>
  </si>
  <si>
    <t>2026-09-03T12:53:20.504395</t>
  </si>
  <si>
    <t>2026-09-03T12:53:20.491867</t>
  </si>
  <si>
    <t>2026-09-03T12:53:20.472670</t>
  </si>
  <si>
    <t>2026-09-03T12:53:20.456523</t>
  </si>
  <si>
    <t>2026-09-03T12:53:20.440413</t>
  </si>
  <si>
    <t>2026-09-03T12:53:20.429485</t>
  </si>
  <si>
    <t>2026-09-03T12:53:20.424479</t>
  </si>
  <si>
    <t>2026-09-03T12:53:20.408707</t>
  </si>
  <si>
    <t>2026-09-03T12:53:20.392768</t>
  </si>
  <si>
    <t>2026-09-03T12:53:20.376926</t>
  </si>
  <si>
    <t>2026-09-03T12:53:20.361109</t>
  </si>
  <si>
    <t>2026-09-03T12:53:20.354032</t>
  </si>
  <si>
    <t>2026-09-03T12:53:20.329261</t>
  </si>
  <si>
    <t>2026-09-03T12:53:20.313507</t>
  </si>
  <si>
    <t>2026-09-03T12:53:20.297842</t>
  </si>
  <si>
    <t>2026-09-03T12:53:20.290890</t>
  </si>
  <si>
    <t>2026-09-03T12:53:20.270351</t>
  </si>
  <si>
    <t>2026-09-03T12:53:20.253793</t>
  </si>
  <si>
    <t>2026-09-03T12:53:20.250439</t>
  </si>
  <si>
    <t>2026-09-03T12:53:20.234607</t>
  </si>
  <si>
    <t>2026-09-03T12:53:20.229189</t>
  </si>
  <si>
    <t>2026-09-03T12:53:20.202471</t>
  </si>
  <si>
    <t>2026-09-03T12:53:20.186647</t>
  </si>
  <si>
    <t>2026-09-03T12:53:20.170701</t>
  </si>
  <si>
    <t>2026-09-03T12:53:20.163593</t>
  </si>
  <si>
    <t>2026-09-03T12:53:20.142555</t>
  </si>
  <si>
    <t>2026-09-03T12:53:20.128882</t>
  </si>
  <si>
    <t>2026-09-03T12:53:20.115104</t>
  </si>
  <si>
    <t>2026-09-03T12:53:20.107091</t>
  </si>
  <si>
    <t>2026-09-03T12:53:20.091435</t>
  </si>
  <si>
    <t>2026-09-03T12:53:20.075279</t>
  </si>
  <si>
    <t>2026-09-03T12:53:20.059582</t>
  </si>
  <si>
    <t>2026-09-03T12:53:20.043812</t>
  </si>
  <si>
    <t>2026-09-03T12:53:20.028097</t>
  </si>
  <si>
    <t>2026-09-03T12:53:20.012267</t>
  </si>
  <si>
    <t>2026-09-03T12:53:19.996569</t>
  </si>
  <si>
    <t>2026-09-03T12:53:19.986197</t>
  </si>
  <si>
    <t>2026-09-03T12:53:19.980670</t>
  </si>
  <si>
    <t>2026-09-03T12:53:19.964885</t>
  </si>
  <si>
    <t>2026-09-03T12:53:19.953711</t>
  </si>
  <si>
    <t>2026-09-03T12:53:19.942468</t>
  </si>
  <si>
    <t>2026-09-03T12:53:19.934907</t>
  </si>
  <si>
    <t>2026-09-03T12:53:19.916976</t>
  </si>
  <si>
    <t>2026-09-03T12:53:19.901344</t>
  </si>
  <si>
    <t>2026-09-03T12:53:19.889067</t>
  </si>
  <si>
    <t>2026-09-03T12:53:19.869419</t>
  </si>
  <si>
    <t>2026-09-03T12:53:19.858031</t>
  </si>
  <si>
    <t>2026-09-03T12:53:19.846475</t>
  </si>
  <si>
    <t>2026-09-03T12:53:19.838472</t>
  </si>
  <si>
    <t>2026-09-03T12:53:19.827366</t>
  </si>
  <si>
    <t>2026-09-03T12:53:19.807105</t>
  </si>
  <si>
    <t>2026-09-03T12:53:19.791006</t>
  </si>
  <si>
    <t>2026-09-03T12:53:19.759210</t>
  </si>
  <si>
    <t>2026-09-03T12:53:19.743441</t>
  </si>
  <si>
    <t>2026-09-03T12:53:19.727285</t>
  </si>
  <si>
    <t>2026-09-03T12:53:19.711572</t>
  </si>
  <si>
    <t>2026-09-03T12:53:19.700340</t>
  </si>
  <si>
    <t>2026-09-03T12:53:19.686523</t>
  </si>
  <si>
    <t>2026-09-03T12:53:19.673625</t>
  </si>
  <si>
    <t>2026-09-03T12:53:19.661386</t>
  </si>
  <si>
    <t>2026-09-03T12:53:19.632343</t>
  </si>
  <si>
    <t>2026-09-03T12:53:19.624664</t>
  </si>
  <si>
    <t>2026-09-03T12:53:19.600396</t>
  </si>
  <si>
    <t>2026-09-03T12:53:19.590873</t>
  </si>
  <si>
    <t>2026-09-03T12:53:19.568461</t>
  </si>
  <si>
    <t>2026-09-03T12:53:19.553428</t>
  </si>
  <si>
    <t>2026-09-03T12:53:19.532725</t>
  </si>
  <si>
    <t>2026-09-03T12:53:19.499162</t>
  </si>
  <si>
    <t>2026-09-03T12:53:19.467738</t>
  </si>
  <si>
    <t>2026-09-03T12:53:19.453465</t>
  </si>
  <si>
    <t>2026-09-03T12:53:19.424225</t>
  </si>
  <si>
    <t>2026-09-03T12:53:19.413649</t>
  </si>
  <si>
    <t>2026-09-03T12:53:19.398161</t>
  </si>
  <si>
    <t>2026-09-03T12:53:19.385921</t>
  </si>
  <si>
    <t>2026-09-03T12:53:19.375893</t>
  </si>
  <si>
    <t>2026-09-03T12:53:19.369764</t>
  </si>
  <si>
    <t>2026-09-03T12:53:19.360077</t>
  </si>
  <si>
    <t>2026-09-03T12:53:19.346372</t>
  </si>
  <si>
    <t>2026-09-03T12:53:19.328481</t>
  </si>
  <si>
    <t>2026-09-03T12:53:19.320746</t>
  </si>
  <si>
    <t>2026-09-03T12:53:19.301085</t>
  </si>
  <si>
    <t>2026-09-03T12:53:19.281054</t>
  </si>
  <si>
    <t>2026-09-03T12:53:19.271886</t>
  </si>
  <si>
    <t>2026-09-03T12:53:19.259003</t>
  </si>
  <si>
    <t>2026-09-03T12:53:19.231468</t>
  </si>
  <si>
    <t>2026-09-03T12:53:19.222452</t>
  </si>
  <si>
    <t>2026-09-03T12:53:19.211819</t>
  </si>
  <si>
    <t>2026-09-03T12:53:19.198790</t>
  </si>
  <si>
    <t>2026-09-03T12:53:19.184100</t>
  </si>
  <si>
    <t>2026-09-03T12:53:19.158240</t>
  </si>
  <si>
    <t>2026-09-03T12:53:19.142226</t>
  </si>
  <si>
    <t>2026-09-03T12:53:19.126254</t>
  </si>
  <si>
    <t>2026-09-03T12:53:19.110437</t>
  </si>
  <si>
    <t>2026-09-03T12:53:19.094521</t>
  </si>
  <si>
    <t>2026-09-03T12:53:19.079054</t>
  </si>
  <si>
    <t>2026-09-03T12:53:19.072911</t>
  </si>
  <si>
    <t>2026-09-03T12:53:19.058500</t>
  </si>
  <si>
    <t>2026-09-03T12:53:19.042287</t>
  </si>
  <si>
    <t>2026-09-03T12:53:19.026168</t>
  </si>
  <si>
    <t>2026-09-03T12:53:19.013778</t>
  </si>
  <si>
    <t>2026-09-03T12:53:18.995672</t>
  </si>
  <si>
    <t>2026-09-03T12:53:18.994670</t>
  </si>
  <si>
    <t>2026-09-03T12:53:18.983656</t>
  </si>
  <si>
    <t>2026-09-03T12:53:18.956137</t>
  </si>
  <si>
    <t>2026-09-03T12:53:18.924163</t>
  </si>
  <si>
    <t>2026-09-03T12:53:18.908402</t>
  </si>
  <si>
    <t>2026-09-03T12:53:18.892377</t>
  </si>
  <si>
    <t>2026-09-03T12:53:18.876690</t>
  </si>
  <si>
    <t>2026-09-03T12:53:18.860978</t>
  </si>
  <si>
    <t>2026-09-03T12:53:18.852303</t>
  </si>
  <si>
    <t>2026-09-03T12:53:18.847269</t>
  </si>
  <si>
    <t>2026-09-03T12:53:18.829415</t>
  </si>
  <si>
    <t>2026-09-03T12:53:18.813737</t>
  </si>
  <si>
    <t>2026-09-03T12:53:18.798077</t>
  </si>
  <si>
    <t>2026-09-03T12:53:18.782225</t>
  </si>
  <si>
    <t>2026-09-03T12:53:18.774518</t>
  </si>
  <si>
    <t>2026-09-03T12:53:18.752349</t>
  </si>
  <si>
    <t>2026-09-03T12:53:18.735115</t>
  </si>
  <si>
    <t>2026-09-03T12:53:18.719362</t>
  </si>
  <si>
    <t>2026-09-03T12:53:18.687879</t>
  </si>
  <si>
    <t>2026-09-03T12:53:18.656347</t>
  </si>
  <si>
    <t>2026-09-03T12:53:18.624277</t>
  </si>
  <si>
    <t>2026-09-03T12:53:18.611085</t>
  </si>
  <si>
    <t>2026-09-03T12:53:18.592862</t>
  </si>
  <si>
    <t>2026-09-03T12:53:18.577028</t>
  </si>
  <si>
    <t>2026-09-03T12:53:18.561312</t>
  </si>
  <si>
    <t>2026-09-03T12:53:18.529867</t>
  </si>
  <si>
    <t>2026-09-03T12:53:18.514099</t>
  </si>
  <si>
    <t>2026-09-03T12:53:18.460887</t>
  </si>
  <si>
    <t>2026-09-03T12:53:18.419311</t>
  </si>
  <si>
    <t>2026-09-03T12:53:18.388019</t>
  </si>
  <si>
    <t>2026-09-03T12:53:18.324692</t>
  </si>
  <si>
    <t>2026-09-03T12:53:18.261284</t>
  </si>
  <si>
    <t>2026-09-03T12:53:18.210727</t>
  </si>
  <si>
    <t>2026-09-03T12:53:18.071239</t>
  </si>
  <si>
    <t>2026-09-03T12:53:18.024593</t>
  </si>
  <si>
    <t>2026-09-03T12:53:17.970247</t>
  </si>
  <si>
    <t>2026-09-03T12:53:17.872795</t>
  </si>
  <si>
    <t>2026-09-03T12:53:17.826496</t>
  </si>
  <si>
    <t>2026-09-03T12:53:17.758379</t>
  </si>
  <si>
    <t>2026-09-03T12:53:17.727009</t>
  </si>
  <si>
    <t>2026-09-03T12:53:17.695166</t>
  </si>
  <si>
    <t>2026-09-03T12:53:17.637647</t>
  </si>
  <si>
    <t>2026-09-03T12:53:17.608543</t>
  </si>
  <si>
    <t>2026-09-03T12:53:17.542838</t>
  </si>
  <si>
    <t>2026-09-03T12:53:17.497294</t>
  </si>
  <si>
    <t>2026-09-03T12:53:17.427272</t>
  </si>
  <si>
    <t>2026-09-03T12:53:17.373111</t>
  </si>
  <si>
    <t>2026-09-03T12:53:17.357090</t>
  </si>
  <si>
    <t>2026-09-03T12:53:17.333183</t>
  </si>
  <si>
    <t>2026-09-03T12:53:17.317063</t>
  </si>
  <si>
    <t>2026-09-03T12:53:17.301358</t>
  </si>
  <si>
    <t>2026-09-03T12:53:17.292359</t>
  </si>
  <si>
    <t>2026-09-03T12:53:17.276551</t>
  </si>
  <si>
    <t>2026-09-03T12:53:17.256562</t>
  </si>
  <si>
    <t>2026-09-03T12:53:17.250572</t>
  </si>
  <si>
    <t>2026-09-03T12:53:17.240770</t>
  </si>
  <si>
    <t>2026-09-03T12:53:17.225066</t>
  </si>
  <si>
    <t>2026-09-03T12:53:17.210982</t>
  </si>
  <si>
    <t>2026-09-03T12:53:17.189273</t>
  </si>
  <si>
    <t>2026-09-03T12:53:17.173453</t>
  </si>
  <si>
    <t>2026-09-03T12:53:17.157553</t>
  </si>
  <si>
    <t>2026-09-03T12:53:17.155804</t>
  </si>
  <si>
    <t>2026-09-03T12:53:17.143352</t>
  </si>
  <si>
    <t>2026-09-03T12:53:17.135770</t>
  </si>
  <si>
    <t>2026-09-03T12:53:17.126132</t>
  </si>
  <si>
    <t>2026-09-03T12:53:17.109624</t>
  </si>
  <si>
    <t>2026-09-03T12:53:17.093586</t>
  </si>
  <si>
    <t>2026-09-03T12:53:17.080662</t>
  </si>
  <si>
    <t>2026-09-03T12:53:17.068189</t>
  </si>
  <si>
    <t>2026-09-03T12:53:17.053146</t>
  </si>
  <si>
    <t>2026-09-03T12:53:17.037691</t>
  </si>
  <si>
    <t>2026-09-03T12:53:17.023653</t>
  </si>
  <si>
    <t>2026-09-03T12:53:17.001167</t>
  </si>
  <si>
    <t>2026-09-03T12:53:16.988675</t>
  </si>
  <si>
    <t>2026-09-03T12:53:16.965009</t>
  </si>
  <si>
    <t>2026-09-03T12:53:16.951259</t>
  </si>
  <si>
    <t>2026-09-03T12:53:16.938251</t>
  </si>
  <si>
    <t>2026-09-03T12:53:16.926216</t>
  </si>
  <si>
    <t>2026-09-03T12:53:16.879688</t>
  </si>
  <si>
    <t>2026-09-03T12:53:16.872146</t>
  </si>
  <si>
    <t>2026-09-03T12:53:16.861711</t>
  </si>
  <si>
    <t>2026-09-03T12:53:16.829607</t>
  </si>
  <si>
    <t>2026-09-03T12:53:16.825611</t>
  </si>
  <si>
    <t>2026-09-03T12:53:16.794345</t>
  </si>
  <si>
    <t>2026-09-03T12:53:16.780811</t>
  </si>
  <si>
    <t>2026-09-03T12:53:16.762427</t>
  </si>
  <si>
    <t>2026-09-03T12:53:16.746322</t>
  </si>
  <si>
    <t>2026-09-03T12:53:16.726328</t>
  </si>
  <si>
    <t>2026-09-03T12:53:16.712167</t>
  </si>
  <si>
    <t>2026-09-03T12:53:16.697090</t>
  </si>
  <si>
    <t>2026-09-03T12:53:16.692333</t>
  </si>
  <si>
    <t>2026-09-03T12:53:16.671800</t>
  </si>
  <si>
    <t>2026-09-03T12:53:16.655681</t>
  </si>
  <si>
    <t>2026-09-03T12:53:16.650668</t>
  </si>
  <si>
    <t>2026-09-03T12:53:16.636154</t>
  </si>
  <si>
    <t>2026-09-03T12:53:16.610014</t>
  </si>
  <si>
    <t>2026-09-03T12:53:16.594311</t>
  </si>
  <si>
    <t>2026-09-03T12:53:16.582796</t>
  </si>
  <si>
    <t>2026-09-03T12:53:16.562504</t>
  </si>
  <si>
    <t>2026-09-03T12:53:16.541810</t>
  </si>
  <si>
    <t>2026-09-03T12:53:16.524852</t>
  </si>
  <si>
    <t>2026-09-03T12:53:16.505918</t>
  </si>
  <si>
    <t>2026-09-03T12:53:16.481840</t>
  </si>
  <si>
    <t>2026-09-03T12:53:16.459161</t>
  </si>
  <si>
    <t>2026-09-03T12:53:16.446422</t>
  </si>
  <si>
    <t>2026-09-03T12:53:16.422469</t>
  </si>
  <si>
    <t>2026-09-03T12:53:16.409135</t>
  </si>
  <si>
    <t>2026-09-03T12:53:16.398542</t>
  </si>
  <si>
    <t>2026-09-03T12:53:16.385601</t>
  </si>
  <si>
    <t>2026-09-03T12:53:16.372052</t>
  </si>
  <si>
    <t>2026-09-03T12:53:16.359027</t>
  </si>
  <si>
    <t>2026-09-03T12:53:16.347828</t>
  </si>
  <si>
    <t>2026-09-03T12:53:16.322177</t>
  </si>
  <si>
    <t>2026-09-03T12:53:16.310393</t>
  </si>
  <si>
    <t>2026-09-03T12:53:16.300502</t>
  </si>
  <si>
    <t>2026-09-03T12:53:16.282955</t>
  </si>
  <si>
    <t>2026-09-03T12:53:16.267124</t>
  </si>
  <si>
    <t>2026-09-03T12:53:16.254511</t>
  </si>
  <si>
    <t>2026-09-03T12:53:16.230279</t>
  </si>
  <si>
    <t>2026-09-03T12:53:16.216444</t>
  </si>
  <si>
    <t>2026-09-03T12:53:16.198558</t>
  </si>
  <si>
    <t>2026-09-03T12:53:16.182509</t>
  </si>
  <si>
    <t>2026-09-03T12:53:16.175092</t>
  </si>
  <si>
    <t>2026-09-03T12:53:16.150680</t>
  </si>
  <si>
    <t>2026-09-03T12:53:16.134697</t>
  </si>
  <si>
    <t>2026-09-03T12:53:16.119023</t>
  </si>
  <si>
    <t>2026-09-03T12:53:16.103283</t>
  </si>
  <si>
    <t>2026-09-03T12:53:16.087295</t>
  </si>
  <si>
    <t>2026-09-03T12:53:16.071345</t>
  </si>
  <si>
    <t>2026-09-03T12:53:16.055222</t>
  </si>
  <si>
    <t>2026-09-03T12:53:16.039418</t>
  </si>
  <si>
    <t>2026-09-03T12:53:16.023643</t>
  </si>
  <si>
    <t>2026-09-03T12:53:16.007522</t>
  </si>
  <si>
    <t>2026-09-03T12:53:15.994287</t>
  </si>
  <si>
    <t>2026-09-03T12:53:15.977785</t>
  </si>
  <si>
    <t>2026-09-03T12:53:15.960880</t>
  </si>
  <si>
    <t>2026-09-03T12:53:15.942358</t>
  </si>
  <si>
    <t>2026-09-03T12:53:15.928649</t>
  </si>
  <si>
    <t>2026-09-03T12:53:15.912842</t>
  </si>
  <si>
    <t>2026-09-03T12:53:15.900474</t>
  </si>
  <si>
    <t>2026-09-03T12:53:15.850889</t>
  </si>
  <si>
    <t>2026-09-03T12:53:15.835092</t>
  </si>
  <si>
    <t>2026-09-03T12:53:15.819372</t>
  </si>
  <si>
    <t>2026-09-03T12:53:15.803561</t>
  </si>
  <si>
    <t>2026-09-03T12:53:15.787803</t>
  </si>
  <si>
    <t>2026-09-03T12:53:15.773096</t>
  </si>
  <si>
    <t>2026-09-03T12:53:15.756101</t>
  </si>
  <si>
    <t>2026-09-03T12:53:15.743445</t>
  </si>
  <si>
    <t>2026-09-03T12:53:15.724610</t>
  </si>
  <si>
    <t>2026-09-03T12:53:15.708697</t>
  </si>
  <si>
    <t>2026-09-03T12:53:15.692744</t>
  </si>
  <si>
    <t>2026-09-03T12:53:15.677073</t>
  </si>
  <si>
    <t>2026-09-03T12:53:15.663201</t>
  </si>
  <si>
    <t>2026-09-03T12:53:15.648435</t>
  </si>
  <si>
    <t>2026-09-03T12:53:15.629437</t>
  </si>
  <si>
    <t>2026-09-03T12:53:15.613644</t>
  </si>
  <si>
    <t>2026-09-03T12:53:15.597502</t>
  </si>
  <si>
    <t>2026-09-03T12:53:15.572272</t>
  </si>
  <si>
    <t>2026-09-03T12:53:15.549969</t>
  </si>
  <si>
    <t>2026-09-03T12:53:15.533840</t>
  </si>
  <si>
    <t>2026-09-03T12:53:15.518064</t>
  </si>
  <si>
    <t>2026-09-03T12:53:15.502407</t>
  </si>
  <si>
    <t>2026-09-03T10:36:19.060880</t>
  </si>
  <si>
    <t>2026-09-03T10:33:36.253205</t>
  </si>
  <si>
    <t>2026-09-03T10:32:58.018217</t>
  </si>
  <si>
    <t>2026-09-03T10:32:27.953975</t>
  </si>
  <si>
    <t>2026-09-03T10:32:25.335017</t>
  </si>
  <si>
    <t>2026-09-03T10:32:22.973282</t>
  </si>
  <si>
    <t>2026-09-03T10:32:20.295845</t>
  </si>
  <si>
    <t>2026-09-03T10:31:12.700109</t>
  </si>
  <si>
    <t>2026-09-03T10:29:25.705852</t>
  </si>
  <si>
    <t>2026-09-03T10:29:15.867527</t>
  </si>
  <si>
    <t>2026-09-03T10:28:54.766465</t>
  </si>
  <si>
    <t>2026-09-03T10:28:44.128364</t>
  </si>
  <si>
    <t>2026-09-03T10:28:33.181937</t>
  </si>
  <si>
    <t>2026-09-03T10:28:30.834925</t>
  </si>
  <si>
    <t>2026-09-03T10:28:27.794949</t>
  </si>
  <si>
    <t>2026-09-03T10:28:25.182233</t>
  </si>
  <si>
    <t>2026-09-03T10:28:22.846947</t>
  </si>
  <si>
    <t>2026-09-03T10:28:20.140225</t>
  </si>
  <si>
    <t>2026-09-03T10:28:17.413784</t>
  </si>
  <si>
    <t>2026-09-03T10:28:14.878815</t>
  </si>
  <si>
    <t>2026-09-03T10:28:12.768014</t>
  </si>
  <si>
    <t>2026-09-03T10:28:01.396707</t>
  </si>
  <si>
    <t>2026-09-03T10:27:58.816780</t>
  </si>
  <si>
    <t>2026-09-03T10:27:47.014488</t>
  </si>
  <si>
    <t>2026-09-03T10:27:30.131943</t>
  </si>
  <si>
    <t>2026-09-03T10:27:27.741605</t>
  </si>
  <si>
    <t>2026-09-03T10:27:09.000606</t>
  </si>
  <si>
    <t>2026-09-03T10:27:06.354861</t>
  </si>
  <si>
    <t>2026-09-03T10:27:01.826864</t>
  </si>
  <si>
    <t>2026-09-03T10:26:59.019968</t>
  </si>
  <si>
    <t>2026-09-03T10:26:56.388747</t>
  </si>
  <si>
    <t>2026-09-03T10:26:54.233228</t>
  </si>
  <si>
    <t>2026-09-03T10:26:51.744758</t>
  </si>
  <si>
    <t>2026-09-03T10:26:48.918706</t>
  </si>
  <si>
    <t>2026-09-03T10:26:46.245771</t>
  </si>
  <si>
    <t>2026-09-03T10:25:46.566101</t>
  </si>
  <si>
    <t>2026-09-03T10:25:44.761007</t>
  </si>
  <si>
    <t>2026-09-03T10:25:42.385008</t>
  </si>
  <si>
    <t>2026-09-03T10:25:39.790314</t>
  </si>
  <si>
    <t>2026-09-03T10:25:37.732761</t>
  </si>
  <si>
    <t>2026-09-03T10:25:35.274838</t>
  </si>
  <si>
    <t>2026-09-03T10:25:32.698491</t>
  </si>
  <si>
    <t>2026-09-03T10:25:30.314935</t>
  </si>
  <si>
    <t>2026-09-03T10:25:08.167933</t>
  </si>
  <si>
    <t>2026-09-03T10:25:05.671286</t>
  </si>
  <si>
    <t>2026-09-03T10:25:04.070845</t>
  </si>
  <si>
    <t>2026-09-03T10:25:01.721791</t>
  </si>
  <si>
    <t>2026-09-03T10:24:58.176972</t>
  </si>
  <si>
    <t>2026-09-03T10:24:55.584917</t>
  </si>
  <si>
    <t>2026-09-03T10:24:52.928760</t>
  </si>
  <si>
    <t>2026-09-03T10:24:43.493212</t>
  </si>
  <si>
    <t>2026-09-03T10:24:40.911449</t>
  </si>
  <si>
    <t>2026-09-03T10:20:25.249643</t>
  </si>
  <si>
    <t>2026-09-03T10:19:30.070305</t>
  </si>
  <si>
    <t>2026-09-03T10:11:26.665697</t>
  </si>
  <si>
    <t>2026-09-03T10:11:14.835183</t>
  </si>
  <si>
    <t>2026-09-03T10:11:14.826349</t>
  </si>
  <si>
    <t>2026-09-03T10:10:53.600510</t>
  </si>
  <si>
    <t>2026-09-03T10:10:51.081937</t>
  </si>
  <si>
    <t>2026-09-03T10:10:48.402536</t>
  </si>
  <si>
    <t>2026-09-03T10:10:45.802151</t>
  </si>
  <si>
    <t>2026-09-03T10:10:43.515432</t>
  </si>
  <si>
    <t>2026-09-03T10:10:30.255053</t>
  </si>
  <si>
    <t>2026-09-03T10:10:27.816961</t>
  </si>
  <si>
    <t>2026-09-03T10:10:18.542626</t>
  </si>
  <si>
    <t>2026-09-03T10:10:16.511577</t>
  </si>
  <si>
    <t>2026-09-03T10:10:10.868267</t>
  </si>
  <si>
    <t>2026-09-03T10:10:08.881274</t>
  </si>
  <si>
    <t>2026-09-03T10:10:08.874773</t>
  </si>
  <si>
    <t>2026-09-03T10:10:08.867922</t>
  </si>
  <si>
    <t>2026-09-03T10:10:00.772676</t>
  </si>
  <si>
    <t>2026-09-03T10:09:57.914272</t>
  </si>
  <si>
    <t>2026-09-03T10:09:42.462921</t>
  </si>
  <si>
    <t>2026-09-03T10:09:42.454017</t>
  </si>
  <si>
    <t>2026-09-03T10:09:42.445705</t>
  </si>
  <si>
    <t>2026-09-03T10:09:27.728040</t>
  </si>
  <si>
    <t>2026-09-03T10:09:25.411184</t>
  </si>
  <si>
    <t>2026-09-03T10:09:22.990226</t>
  </si>
  <si>
    <t>2026-09-03T10:09:18.822719</t>
  </si>
  <si>
    <t>2026-09-03T10:09:14.445208</t>
  </si>
  <si>
    <t>2026-09-03T10:09:12.196603</t>
  </si>
  <si>
    <t>2026-09-03T10:09:09.648458</t>
  </si>
  <si>
    <t>2026-09-03T10:09:07.151978</t>
  </si>
  <si>
    <t>2026-09-03T10:09:04.198461</t>
  </si>
  <si>
    <t>2026-09-03T10:09:01.745242</t>
  </si>
  <si>
    <t>2026-09-03T10:08:48.984511</t>
  </si>
  <si>
    <t>2026-09-03T10:08:11.118015</t>
  </si>
  <si>
    <t>2026-09-03T10:07:57.298152</t>
  </si>
  <si>
    <t>2026-09-03T10:07:36.009957</t>
  </si>
  <si>
    <t>2026-09-03T10:07:33.415155</t>
  </si>
  <si>
    <t>2026-09-03T10:07:30.526990</t>
  </si>
  <si>
    <t>2026-09-03T10:07:20.602576</t>
  </si>
  <si>
    <t>2026-09-03T10:07:14.646704</t>
  </si>
  <si>
    <t>2026-09-03T10:07:12.039290</t>
  </si>
  <si>
    <t>2026-09-03T10:07:09.402708</t>
  </si>
  <si>
    <t>2026-09-03T10:07:04.015700</t>
  </si>
  <si>
    <t>2026-09-03T10:06:52.747172</t>
  </si>
  <si>
    <t>2026-09-03T10:06:50.975338</t>
  </si>
  <si>
    <t>2026-09-03T10:06:42.497543</t>
  </si>
  <si>
    <t>2026-09-03T10:06:39.815886</t>
  </si>
  <si>
    <t>2026-09-03T10:06:37.532559</t>
  </si>
  <si>
    <t>2026-09-03T10:06:35.448334</t>
  </si>
  <si>
    <t>2026-09-03T10:06:31.595680</t>
  </si>
  <si>
    <t>2026-09-03T10:06:20.606271</t>
  </si>
  <si>
    <t>2026-09-03T10:06:17.641220</t>
  </si>
  <si>
    <t>2026-09-03T10:06:15.104509</t>
  </si>
  <si>
    <t>2026-09-03T10:06:12.848276</t>
  </si>
  <si>
    <t>2026-09-03T10:05:54.323868</t>
  </si>
  <si>
    <t>2026-09-03T10:05:49.248624</t>
  </si>
  <si>
    <t>2026-09-03T10:05:46.872660</t>
  </si>
  <si>
    <t>2026-09-03T10:05:30.353889</t>
  </si>
  <si>
    <t>2026-09-03T10:05:11.199097</t>
  </si>
  <si>
    <t>2026-09-03T10:05:08.630569</t>
  </si>
  <si>
    <t>2026-09-03T10:05:05.803862</t>
  </si>
  <si>
    <t>2026-09-03T10:05:03.641682</t>
  </si>
  <si>
    <t>2026-09-03T10:05:01.141564</t>
  </si>
  <si>
    <t>2026-09-03T10:04:59.461966</t>
  </si>
  <si>
    <t>2026-09-03T10:04:57.306216</t>
  </si>
  <si>
    <t>2026-09-03T10:04:43.687153</t>
  </si>
  <si>
    <t>2026-09-03T10:04:31.657372</t>
  </si>
  <si>
    <t>2026-09-03T10:04:29.013211</t>
  </si>
  <si>
    <t>2026-09-03T10:04:26.432913</t>
  </si>
  <si>
    <t>2026-09-03T10:04:08.096450</t>
  </si>
  <si>
    <t>2026-09-03T10:04:05.325951</t>
  </si>
  <si>
    <t>2026-09-03T10:04:02.444029</t>
  </si>
  <si>
    <t>2026-09-03T10:03:59.816750</t>
  </si>
  <si>
    <t>2026-09-03T10:03:57.553504</t>
  </si>
  <si>
    <t>2026-09-03T10:03:54.913028</t>
  </si>
  <si>
    <t>2026-09-03T10:03:52.845744</t>
  </si>
  <si>
    <t>2026-09-03T10:03:50.268121</t>
  </si>
  <si>
    <t>2026-09-03T10:03:47.944776</t>
  </si>
  <si>
    <t>2026-09-03T10:03:44.206001</t>
  </si>
  <si>
    <t>2026-09-03T10:03:41.752022</t>
  </si>
  <si>
    <t>2026-09-03T10:03:39.177543</t>
  </si>
  <si>
    <t>2026-09-03T10:03:36.628155</t>
  </si>
  <si>
    <t>2026-09-03T10:03:34.294476</t>
  </si>
  <si>
    <t>2026-09-03T10:03:31.555676</t>
  </si>
  <si>
    <t>2026-09-03T10:03:29.532895</t>
  </si>
  <si>
    <t>2026-09-03T10:03:26.919459</t>
  </si>
  <si>
    <t>2026-09-03T10:03:24.616534</t>
  </si>
  <si>
    <t>2026-09-03T10:03:19.822456</t>
  </si>
  <si>
    <t>2026-09-03T10:03:16.664539</t>
  </si>
  <si>
    <t>2026-09-03T10:03:13.988608</t>
  </si>
  <si>
    <t>2026-09-03T10:03:11.592981</t>
  </si>
  <si>
    <t>2026-09-03T10:03:09.038090</t>
  </si>
  <si>
    <t>2026-09-03T10:03:00.534645</t>
  </si>
  <si>
    <t>2026-09-03T10:02:55.780979</t>
  </si>
  <si>
    <t>2026-09-03T10:02:53.128794</t>
  </si>
  <si>
    <t>2026-09-03T10:02:50.866295</t>
  </si>
  <si>
    <t>2026-09-03T10:02:48.785212</t>
  </si>
  <si>
    <t>2026-09-03T10:02:43.714923</t>
  </si>
  <si>
    <t>2026-09-03T09:58:48.327153</t>
  </si>
  <si>
    <t>2026-09-03T09:58:38.836362</t>
  </si>
  <si>
    <t>2026-09-03T09:58:36.624063</t>
  </si>
  <si>
    <t>2026-09-03T09:58:34.137218</t>
  </si>
  <si>
    <t>2026-09-03T09:58:30.743605</t>
  </si>
  <si>
    <t>2026-09-03T09:58:28.195474</t>
  </si>
  <si>
    <t>2026-09-03T09:58:25.611947</t>
  </si>
  <si>
    <t>2026-09-03T09:58:22.879186</t>
  </si>
  <si>
    <t>2026-09-03T09:58:20.456611</t>
  </si>
  <si>
    <t>2026-09-03T09:58:17.650505</t>
  </si>
  <si>
    <t>2026-09-03T09:58:15.214248</t>
  </si>
  <si>
    <t>2026-09-03T09:58:12.904317</t>
  </si>
  <si>
    <t>2026-09-03T09:58:11.051401</t>
  </si>
  <si>
    <t>2026-09-03T09:58:07.273199</t>
  </si>
  <si>
    <t>2026-09-03T09:58:04.632726</t>
  </si>
  <si>
    <t>2026-09-03T09:58:01.867274</t>
  </si>
  <si>
    <t>2026-09-03T09:57:59.214761</t>
  </si>
  <si>
    <t>2026-09-03T09:57:56.585373</t>
  </si>
  <si>
    <t>2026-09-03T09:56:58.372115</t>
  </si>
  <si>
    <t>2026-09-03T09:52:01.276444</t>
  </si>
  <si>
    <t>2026-09-03T09:48:32.260537</t>
  </si>
  <si>
    <t>2026-09-03T09:46:05.462710</t>
  </si>
  <si>
    <t>2026-09-03T09:45:39.162884</t>
  </si>
  <si>
    <t>2026-09-02T23:18:22.444519</t>
  </si>
  <si>
    <t>2026-09-02T23:17:36.251115</t>
  </si>
  <si>
    <t>2026-09-02T23:17:20.885638</t>
  </si>
  <si>
    <t>2026-09-02T23:16:57.547967</t>
  </si>
  <si>
    <t>2026-09-02T23:16:52.209234</t>
  </si>
  <si>
    <t>2026-09-02T23:16:35.970085</t>
  </si>
  <si>
    <t>2026-09-02T23:16:26.530122</t>
  </si>
  <si>
    <t>2026-09-02T23:16:09.704053</t>
  </si>
  <si>
    <t>2026-09-02T23:15:54.077338</t>
  </si>
  <si>
    <t>2026-09-02T23:15:37.439340</t>
  </si>
  <si>
    <t>2026-09-02T23:15:12.513209</t>
  </si>
  <si>
    <t>2026-09-02T23:15:03.093166</t>
  </si>
  <si>
    <t>2026-09-02T23:14:47.076024</t>
  </si>
  <si>
    <t>2026-09-02T23:14:37.343443</t>
  </si>
  <si>
    <t>2026-09-02T23:14:27.156232</t>
  </si>
  <si>
    <t>2026-09-02T23:13:27.181593</t>
  </si>
  <si>
    <t>2026-09-02T23:13:21.885631</t>
  </si>
  <si>
    <t>2026-09-02T23:13:12.534358</t>
  </si>
  <si>
    <t>2026-09-02T23:12:49.165958</t>
  </si>
  <si>
    <t>2026-09-02T23:12:18.786418</t>
  </si>
  <si>
    <t>2026-09-02T23:12:03.879728</t>
  </si>
  <si>
    <t>2026-09-02T23:11:48.853540</t>
  </si>
  <si>
    <t>2026-09-02T23:11:43.427716</t>
  </si>
  <si>
    <t>2026-09-02T23:11:37.592271</t>
  </si>
  <si>
    <t>2026-09-02T23:11:28.372217</t>
  </si>
  <si>
    <t>2026-09-02T23:11:22.885563</t>
  </si>
  <si>
    <t>2026-09-02T23:11:08.921226</t>
  </si>
  <si>
    <t>2026-09-02T23:10:51.953447</t>
  </si>
  <si>
    <t>2026-09-02T23:10:37.655619</t>
  </si>
  <si>
    <t>2026-09-02T23:10:18.722537</t>
  </si>
  <si>
    <t>2026-09-02T23:10:07.938353</t>
  </si>
  <si>
    <t>2026-09-02T23:09:53.778288</t>
  </si>
  <si>
    <t>2026-09-02T23:08:52.748874</t>
  </si>
  <si>
    <t>2026-09-02T23:08:47.438459</t>
  </si>
  <si>
    <t>2026-09-02T23:08:37.944449</t>
  </si>
  <si>
    <t>2026-09-02T23:08:13.502903</t>
  </si>
  <si>
    <t>2026-09-02T23:08:07.589107</t>
  </si>
  <si>
    <t>2026-09-02T23:07:47.555357</t>
  </si>
  <si>
    <t>2026-09-02T23:07:38.310083</t>
  </si>
  <si>
    <t>2026-09-02T23:07:32.995383</t>
  </si>
  <si>
    <t>2026-09-02T23:07:11.016639</t>
  </si>
  <si>
    <t>2026-09-02T23:07:05.628353</t>
  </si>
  <si>
    <t>2026-09-02T23:06:47.538206</t>
  </si>
  <si>
    <t>2026-09-02T23:06:21.183808</t>
  </si>
  <si>
    <t>2026-09-02T23:06:14.768744</t>
  </si>
  <si>
    <t>2026-09-02T23:05:52.868621</t>
  </si>
  <si>
    <t>2026-09-02T23:05:07.172368</t>
  </si>
  <si>
    <t>2026-09-02T23:04:39.381937</t>
  </si>
  <si>
    <t>2026-09-02T23:04:12.924478</t>
  </si>
  <si>
    <t>2026-09-02T23:04:06.924205</t>
  </si>
  <si>
    <t>2026-09-02T23:03:24.495015</t>
  </si>
  <si>
    <t>2026-09-02T23:03:07.437324</t>
  </si>
  <si>
    <t>2026-09-02T23:03:04.827584</t>
  </si>
  <si>
    <t>2026-09-02T23:02:59.168777</t>
  </si>
  <si>
    <t>2026-09-02T23:01:58.638710</t>
  </si>
  <si>
    <t>2026-09-02T23:01:53.437325</t>
  </si>
  <si>
    <t>2026-09-02T23:01:47.791726</t>
  </si>
  <si>
    <t>2026-09-02T23:01:28.055888</t>
  </si>
  <si>
    <t>2026-09-02T23:01:01.443636</t>
  </si>
  <si>
    <t>2026-09-02T23:00:13.657723</t>
  </si>
  <si>
    <t>2026-09-02T23:00:04.523331</t>
  </si>
  <si>
    <t>2026-09-02T22:59:59.486722</t>
  </si>
  <si>
    <t>2026-09-02T22:59:53.399809</t>
  </si>
  <si>
    <t>2026-09-02T22:59:36.279404</t>
  </si>
  <si>
    <t>2026-09-02T22:59:31.118414</t>
  </si>
  <si>
    <t>2026-09-02T22:59:25.747919</t>
  </si>
  <si>
    <t>2026-09-02T22:59:20.203324</t>
  </si>
  <si>
    <t>2026-09-02T22:59:12.927332</t>
  </si>
  <si>
    <t>2026-09-02T22:58:55.979434</t>
  </si>
  <si>
    <t>2026-09-02T22:58:50.753997</t>
  </si>
  <si>
    <t>2026-09-02T22:58:45.826082</t>
  </si>
  <si>
    <t>2026-09-02T22:58:25.381031</t>
  </si>
  <si>
    <t>2026-09-02T22:58:10.761598</t>
  </si>
  <si>
    <t>2026-09-02T22:57:12.682989</t>
  </si>
  <si>
    <t>2026-09-02T22:56:51.987974</t>
  </si>
  <si>
    <t>2026-09-02T22:56:46.894179</t>
  </si>
  <si>
    <t>2026-09-02T22:56:31.453698</t>
  </si>
  <si>
    <t>2026-09-02T22:56:23.297832</t>
  </si>
  <si>
    <t>2026-09-02T22:55:37.769655</t>
  </si>
  <si>
    <t>2026-09-02T22:54:24.040998</t>
  </si>
  <si>
    <t>2026-09-02T22:51:28.951068</t>
  </si>
  <si>
    <t>2026-09-02T22:50:29.207529</t>
  </si>
  <si>
    <t>2026-09-02T22:49:34.097549</t>
  </si>
  <si>
    <t>2026-09-02T22:47:14.464604</t>
  </si>
  <si>
    <t>2026-09-02T22:41:27.336696</t>
  </si>
  <si>
    <t>2026-09-02T22:36:15.008434</t>
  </si>
  <si>
    <t>2026-09-02T22:06:10.283574</t>
  </si>
  <si>
    <t>2026-09-02T22:00:01.522887</t>
  </si>
  <si>
    <t>2026-09-02T21:55:23.832241</t>
  </si>
  <si>
    <t>2026-09-02T21:53:19.196407</t>
  </si>
  <si>
    <t>2026-09-02T21:52:31.885011</t>
  </si>
  <si>
    <t>2026-09-02T21:49:57.262282</t>
  </si>
  <si>
    <t>2026-09-02T21:47:57.234131</t>
  </si>
  <si>
    <t>2026-09-02T21:46:01.568203</t>
  </si>
  <si>
    <t>2026-09-02T21:42:33.351598</t>
  </si>
  <si>
    <t>2026-09-02T21:37:50.864553</t>
  </si>
  <si>
    <t>2026-09-02T21:33:14.549235</t>
  </si>
  <si>
    <t>2026-09-02T21:31:41.686302</t>
  </si>
  <si>
    <t>2026-09-02T21:26:22.164025</t>
  </si>
  <si>
    <t>2026-09-02T21:26:16.924545</t>
  </si>
  <si>
    <t>2026-09-02T21:17:40.404156</t>
  </si>
  <si>
    <t>2026-09-02T21:01:26.681479</t>
  </si>
  <si>
    <t>2026-09-02T20:59:49.147674</t>
  </si>
  <si>
    <t>2026-09-02T20:49:52.052998</t>
  </si>
  <si>
    <t>2026-09-02T20:48:22.364823</t>
  </si>
  <si>
    <t>2026-09-02T20:46:57.267715</t>
  </si>
  <si>
    <t>2026-09-02T20:43:59.638063</t>
  </si>
  <si>
    <t>2026-09-02T20:43:54.344665</t>
  </si>
  <si>
    <t>2026-09-02T20:38:37.655470</t>
  </si>
  <si>
    <t>2026-09-02T20:38:32.615111</t>
  </si>
  <si>
    <t>2026-09-02T20:38:23.025191</t>
  </si>
  <si>
    <t>2026-09-02T20:36:56.031976</t>
  </si>
  <si>
    <t>2026-09-02T20:36:21.208661</t>
  </si>
  <si>
    <t>2026-09-02T20:35:16.730518</t>
  </si>
  <si>
    <t>2026-09-02T20:35:08.208778</t>
  </si>
  <si>
    <t>2026-09-02T20:32:02.000390</t>
  </si>
  <si>
    <t>2026-09-02T20:27:17.933827</t>
  </si>
  <si>
    <t>2026-09-02T20:22:52.595063</t>
  </si>
  <si>
    <t>2026-09-02T20:17:30.302205</t>
  </si>
  <si>
    <t>2026-09-02T20:16:41.883204</t>
  </si>
  <si>
    <t>2026-09-02T20:16:36.446607</t>
  </si>
  <si>
    <t>2026-09-02T20:16:29.094064</t>
  </si>
  <si>
    <t>2026-09-02T20:16:13.029012</t>
  </si>
  <si>
    <t>2026-09-02T20:16:02.884479</t>
  </si>
  <si>
    <t>2026-09-02T20:15:46.314856</t>
  </si>
  <si>
    <t>2026-09-02T20:15:42.440980</t>
  </si>
  <si>
    <t>2026-09-02T20:15:06.623088</t>
  </si>
  <si>
    <t>2026-09-02T20:14:32.131063</t>
  </si>
  <si>
    <t>2026-09-02T20:14:03.432840</t>
  </si>
  <si>
    <t>2026-09-02T20:13:42.702527</t>
  </si>
  <si>
    <t>2026-09-02T20:12:38.928434</t>
  </si>
  <si>
    <t>2026-09-02T20:01:38.786976</t>
  </si>
  <si>
    <t>2026-09-02T19:50:29.408292</t>
  </si>
  <si>
    <t>2026-09-02T19:38:03.793442</t>
  </si>
  <si>
    <t>2026-09-02T19:19:30.506155</t>
  </si>
  <si>
    <t>2026-09-02T19:19:09.197745</t>
  </si>
  <si>
    <t>2026-09-02T19:18:19.522858</t>
  </si>
  <si>
    <t>2026-09-02T19:15:30.486776</t>
  </si>
  <si>
    <t>2026-09-02T19:13:50.850966</t>
  </si>
  <si>
    <t>2026-09-02T19:13:45.701436</t>
  </si>
  <si>
    <t>2026-09-02T19:13:40.353500</t>
  </si>
  <si>
    <t>2026-09-02T19:13:21.560256</t>
  </si>
  <si>
    <t>2026-09-02T19:09:01.740227</t>
  </si>
  <si>
    <t>2026-09-02T19:08:46.266328</t>
  </si>
  <si>
    <t>2026-09-02T19:08:30.444873</t>
  </si>
  <si>
    <t>2026-09-02T18:07:38.177423</t>
  </si>
  <si>
    <t>2026-09-02T18:07:21.711612</t>
  </si>
  <si>
    <t>2026-09-02T18:07:05.854776</t>
  </si>
  <si>
    <t>2026-09-02T18:05:45.206285</t>
  </si>
  <si>
    <t>2026-09-02T18:05:29.737406</t>
  </si>
  <si>
    <t>2026-09-02T18:05:14.017061</t>
  </si>
  <si>
    <t>2026-09-02T18:04:58.275368</t>
  </si>
  <si>
    <t>2026-09-02T18:04:42.502670</t>
  </si>
  <si>
    <t>2026-09-02T18:04:26.787075</t>
  </si>
  <si>
    <t>2026-09-02T18:04:11.484491</t>
  </si>
  <si>
    <t>2026-09-02T18:00:55.447482</t>
  </si>
  <si>
    <t>2026-09-02T17:44:36.320538</t>
  </si>
  <si>
    <t>2026-09-02T17:44:26.518926</t>
  </si>
  <si>
    <t>2026-09-02T17:38:39.969230</t>
  </si>
  <si>
    <t>2026-09-02T17:16:45.599786</t>
  </si>
  <si>
    <t>2026-09-02T17:16:29.261877</t>
  </si>
  <si>
    <t>2026-09-02T17:16:12.710498</t>
  </si>
  <si>
    <t>2026-09-02T17:15:56.078472</t>
  </si>
  <si>
    <t>2026-09-02T17:15:38.051373</t>
  </si>
  <si>
    <t>2026-09-02T15:04:00.255764</t>
  </si>
  <si>
    <t>2026-09-02T14:43:21.633629</t>
  </si>
  <si>
    <t>2026-09-02T14:34:13.280124</t>
  </si>
  <si>
    <t>2026-09-02T14:23:34.052843</t>
  </si>
  <si>
    <t>2026-09-02T14:21:22.292422</t>
  </si>
  <si>
    <t>2026-09-02T14:18:08.684682</t>
  </si>
  <si>
    <t>2026-09-02T14:17:42.396865</t>
  </si>
  <si>
    <t>2026-09-02T14:17:26.836338</t>
  </si>
  <si>
    <t>2026-09-02T14:10:16.727484</t>
  </si>
  <si>
    <t>2026-09-02T14:09:15.204733</t>
  </si>
  <si>
    <t>2026-09-02T14:08:39.452675</t>
  </si>
  <si>
    <t>2026-09-02T14:07:39.133382</t>
  </si>
  <si>
    <t>2026-09-02T14:07:33.643549</t>
  </si>
  <si>
    <t>2026-09-02T14:07:15.929405</t>
  </si>
  <si>
    <t>2026-09-02T14:05:59.976040</t>
  </si>
  <si>
    <t>2026-09-02T14:05:00.352930</t>
  </si>
  <si>
    <t>2026-09-02T14:03:08.719759</t>
  </si>
  <si>
    <t>2026-09-02T13:42:15.534218</t>
  </si>
  <si>
    <t>2026-09-02T13:15:54.230833</t>
  </si>
  <si>
    <t>2026-09-02T13:15:03.258599</t>
  </si>
  <si>
    <t>2026-09-02T12:05:11.262030</t>
  </si>
  <si>
    <t>2026-09-02T12:01:29.929558</t>
  </si>
  <si>
    <t>2026-09-02T11:59:25.387394</t>
  </si>
  <si>
    <t>2026-09-02T11:58:14.373470</t>
  </si>
  <si>
    <t>2026-09-02T11:56:01.695182</t>
  </si>
  <si>
    <t>2026-09-02T11:39:12.314092</t>
  </si>
  <si>
    <t>2026-09-02T11:38:39.333680</t>
  </si>
  <si>
    <t>2026-09-02T11:23:42.326053</t>
  </si>
  <si>
    <t>2026-09-02T11:23:37.226338</t>
  </si>
  <si>
    <t>2026-09-02T11:23:32.055469</t>
  </si>
  <si>
    <t>2026-09-02T11:23:21.877203</t>
  </si>
  <si>
    <t>2026-09-02T10:29:07.449826</t>
  </si>
  <si>
    <t>2026-09-02T10:14:37.322602</t>
  </si>
  <si>
    <t>2026-09-02T10:10:36.763259</t>
  </si>
  <si>
    <t>2026-09-02T10:10:36.751344</t>
  </si>
  <si>
    <t>2026-09-02T10:01:28.193262</t>
  </si>
  <si>
    <t>2026-09-02T09:56:12.413778</t>
  </si>
  <si>
    <t>2026-09-02T09:39:13.521071</t>
  </si>
  <si>
    <t>2026-09-02T09:23:31.077385</t>
  </si>
  <si>
    <t>2026-09-01T15:05:41.780531</t>
  </si>
  <si>
    <t>2026-09-01T13:39:44.275508</t>
  </si>
  <si>
    <t>2026-09-01T13:03:12.870787</t>
  </si>
  <si>
    <t>2026-09-01T13:02:11.338092</t>
  </si>
  <si>
    <t>2026-09-01T13:01:29.055709</t>
  </si>
  <si>
    <t>2026-09-01T12:07:35.921420</t>
  </si>
  <si>
    <t>2026-09-01T12:07:32.551946</t>
  </si>
  <si>
    <t>2026-09-01T12:01:30.389484</t>
  </si>
  <si>
    <t>2026-09-01T12:01:26.050553</t>
  </si>
  <si>
    <t>2026-09-01T12:01:04.480050</t>
  </si>
  <si>
    <t>2026-09-01T10:47:23.166022</t>
  </si>
  <si>
    <t>2026-09-01T10:15:18.340923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</si>
</sst>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93"/>
  <sheetViews>
    <sheetView tabSelected="1" workbookViewId="0"/>
  </sheetViews>
  <sheetFormatPr defaultRowHeight="15"/>
  <cols>
    <col min="1" max="1" width="20.7109375" customWidth="1"/>
    <col min="2" max="2" width="70.7109375" customWidth="1"/>
    <col min="3" max="3" width="15.7109375" customWidth="1"/>
    <col min="4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f>HYPERLINK("C:\Users\franc\OneDrive\Documentos\ALIRO\ALIRO\KATHY\ANA LUISA 2010\POSESION EFECTIVA\AMPLIACION  POSESION EFECTIVA CATALINA PAOLINI MERELLO.doc", "Abrir Documento")</f>
        <v>0</v>
      </c>
      <c r="D2" t="s">
        <v>23499</v>
      </c>
      <c r="E2" t="s">
        <v>23502</v>
      </c>
    </row>
    <row r="3" spans="1:5">
      <c r="A3" t="s">
        <v>5</v>
      </c>
      <c r="B3" t="s">
        <v>8</v>
      </c>
      <c r="C3">
        <f>HYPERLINK("C:\Users\franc\OneDrive\Documentos\ALIRO\ALIRO\KATHY\ANA LUISA 2010\PEDIMENTOS\URANO.doc", "Abrir Documento")</f>
        <v>0</v>
      </c>
      <c r="D3" t="s">
        <v>23499</v>
      </c>
      <c r="E3" t="s">
        <v>23503</v>
      </c>
    </row>
    <row r="4" spans="1:5">
      <c r="A4" t="s">
        <v>5</v>
      </c>
      <c r="B4" t="s">
        <v>9</v>
      </c>
      <c r="C4">
        <f>HYPERLINK("C:\Users\franc\OneDrive\Documentos\ALIRO\ALIRO\KATHY\ANA LUISA 2010\PEDIMENTOS\TOQUI 58.doc", "Abrir Documento")</f>
        <v>0</v>
      </c>
      <c r="D4" t="s">
        <v>23499</v>
      </c>
      <c r="E4" t="s">
        <v>23504</v>
      </c>
    </row>
    <row r="5" spans="1:5">
      <c r="A5" t="s">
        <v>5</v>
      </c>
      <c r="B5" t="s">
        <v>10</v>
      </c>
      <c r="C5">
        <f>HYPERLINK("C:\Users\franc\OneDrive\Documentos\ALIRO\ALIRO\KATHY\ANA LUISA 2010\PEDIMENTOS\TOQUI 57.doc", "Abrir Documento")</f>
        <v>0</v>
      </c>
      <c r="D5" t="s">
        <v>23499</v>
      </c>
      <c r="E5" t="s">
        <v>23505</v>
      </c>
    </row>
    <row r="6" spans="1:5">
      <c r="A6" t="s">
        <v>5</v>
      </c>
      <c r="B6" t="s">
        <v>11</v>
      </c>
      <c r="C6">
        <f>HYPERLINK("C:\Users\franc\OneDrive\Documentos\ALIRO\ALIRO\KATHY\ANA LUISA 2010\PEDIMENTOS\TOQUI 53.doc", "Abrir Documento")</f>
        <v>0</v>
      </c>
      <c r="D6" t="s">
        <v>23499</v>
      </c>
      <c r="E6" t="s">
        <v>23506</v>
      </c>
    </row>
    <row r="7" spans="1:5">
      <c r="A7" t="s">
        <v>5</v>
      </c>
      <c r="B7" t="s">
        <v>12</v>
      </c>
      <c r="C7">
        <f>HYPERLINK("C:\Users\franc\OneDrive\Documentos\ALIRO\ALIRO\KATHY\ANA LUISA 2010\PEDIMENTOS\TOQUI 52.doc", "Abrir Documento")</f>
        <v>0</v>
      </c>
      <c r="D7" t="s">
        <v>23499</v>
      </c>
      <c r="E7" t="s">
        <v>23507</v>
      </c>
    </row>
    <row r="8" spans="1:5">
      <c r="A8" t="s">
        <v>5</v>
      </c>
      <c r="B8" t="s">
        <v>13</v>
      </c>
      <c r="C8">
        <f>HYPERLINK("C:\Users\franc\OneDrive\Documentos\ALIRO\ALIRO\KATHY\ANA LUISA 2010\PEDIMENTOS\TOQUI 51.doc", "Abrir Documento")</f>
        <v>0</v>
      </c>
      <c r="D8" t="s">
        <v>23499</v>
      </c>
      <c r="E8" t="s">
        <v>23508</v>
      </c>
    </row>
    <row r="9" spans="1:5">
      <c r="A9" t="s">
        <v>5</v>
      </c>
      <c r="B9" t="s">
        <v>14</v>
      </c>
      <c r="C9">
        <f>HYPERLINK("C:\Users\franc\OneDrive\Documentos\ALIRO\ALIRO\KATHY\ANA LUISA 2010\PEDIMENTOS\TOQUI 45.doc", "Abrir Documento")</f>
        <v>0</v>
      </c>
      <c r="D9" t="s">
        <v>23499</v>
      </c>
      <c r="E9" t="s">
        <v>23509</v>
      </c>
    </row>
    <row r="10" spans="1:5">
      <c r="A10" t="s">
        <v>5</v>
      </c>
      <c r="B10" t="s">
        <v>15</v>
      </c>
      <c r="C10">
        <f>HYPERLINK("C:\Users\franc\OneDrive\Documentos\ALIRO\ALIRO\KATHY\ANA LUISA 2010\PEDIMENTOS\TOQUI 44.doc", "Abrir Documento")</f>
        <v>0</v>
      </c>
      <c r="D10" t="s">
        <v>23499</v>
      </c>
      <c r="E10" t="s">
        <v>23510</v>
      </c>
    </row>
    <row r="11" spans="1:5">
      <c r="A11" t="s">
        <v>5</v>
      </c>
      <c r="B11" t="s">
        <v>16</v>
      </c>
      <c r="C11">
        <f>HYPERLINK("C:\Users\franc\OneDrive\Documentos\ALIRO\ALIRO\KATHY\ANA LUISA 2010\PEDIMENTOS\TOQUI 43.doc", "Abrir Documento")</f>
        <v>0</v>
      </c>
      <c r="D11" t="s">
        <v>23499</v>
      </c>
      <c r="E11" t="s">
        <v>23511</v>
      </c>
    </row>
    <row r="12" spans="1:5">
      <c r="A12" t="s">
        <v>5</v>
      </c>
      <c r="B12" t="s">
        <v>17</v>
      </c>
      <c r="C12">
        <f>HYPERLINK("C:\Users\franc\OneDrive\Documentos\ALIRO\ALIRO\KATHY\ANA LUISA 2010\PEDIMENTOS\TOQUI 42.doc", "Abrir Documento")</f>
        <v>0</v>
      </c>
      <c r="D12" t="s">
        <v>23499</v>
      </c>
      <c r="E12" t="s">
        <v>23512</v>
      </c>
    </row>
    <row r="13" spans="1:5">
      <c r="A13" t="s">
        <v>5</v>
      </c>
      <c r="B13" t="s">
        <v>18</v>
      </c>
      <c r="C13">
        <f>HYPERLINK("C:\Users\franc\OneDrive\Documentos\ALIRO\ALIRO\KATHY\ANA LUISA 2010\PEDIMENTOS\TOQUI 41.doc", "Abrir Documento")</f>
        <v>0</v>
      </c>
      <c r="D13" t="s">
        <v>23499</v>
      </c>
      <c r="E13" t="s">
        <v>23513</v>
      </c>
    </row>
    <row r="14" spans="1:5">
      <c r="A14" t="s">
        <v>5</v>
      </c>
      <c r="B14" t="s">
        <v>19</v>
      </c>
      <c r="C14">
        <f>HYPERLINK("C:\Users\franc\OneDrive\Documentos\ALIRO\ALIRO\KATHY\ANA LUISA 2010\PEDIMENTOS\TOQUI 40.doc", "Abrir Documento")</f>
        <v>0</v>
      </c>
      <c r="D14" t="s">
        <v>23499</v>
      </c>
      <c r="E14" t="s">
        <v>23514</v>
      </c>
    </row>
    <row r="15" spans="1:5">
      <c r="A15" t="s">
        <v>5</v>
      </c>
      <c r="B15" t="s">
        <v>20</v>
      </c>
      <c r="C15">
        <f>HYPERLINK("C:\Users\franc\OneDrive\Documentos\ALIRO\ALIRO\KATHY\ANA LUISA 2010\PEDIMENTOS\TOQUI 39.doc", "Abrir Documento")</f>
        <v>0</v>
      </c>
      <c r="D15" t="s">
        <v>23499</v>
      </c>
      <c r="E15" t="s">
        <v>23515</v>
      </c>
    </row>
    <row r="16" spans="1:5">
      <c r="A16" t="s">
        <v>5</v>
      </c>
      <c r="B16" t="s">
        <v>21</v>
      </c>
      <c r="C16">
        <f>HYPERLINK("C:\Users\franc\OneDrive\Documentos\ALIRO\ALIRO\KATHY\ANA LUISA 2010\PEDIMENTOS\TOQUI 38.doc", "Abrir Documento")</f>
        <v>0</v>
      </c>
      <c r="D16" t="s">
        <v>23499</v>
      </c>
      <c r="E16" t="s">
        <v>23516</v>
      </c>
    </row>
    <row r="17" spans="1:5">
      <c r="A17" t="s">
        <v>5</v>
      </c>
      <c r="B17" t="s">
        <v>22</v>
      </c>
      <c r="C17">
        <f>HYPERLINK("C:\Users\franc\OneDrive\Documentos\ALIRO\ALIRO\KATHY\ANA LUISA 2010\PEDIMENTOS\TOQUI 37.doc", "Abrir Documento")</f>
        <v>0</v>
      </c>
      <c r="D17" t="s">
        <v>23499</v>
      </c>
      <c r="E17" t="s">
        <v>23517</v>
      </c>
    </row>
    <row r="18" spans="1:5">
      <c r="A18" t="s">
        <v>5</v>
      </c>
      <c r="B18" t="s">
        <v>23</v>
      </c>
      <c r="C18">
        <f>HYPERLINK("C:\Users\franc\OneDrive\Documentos\ALIRO\ALIRO\KATHY\ANA LUISA 2010\PEDIMENTOS\TOQUI 36.doc", "Abrir Documento")</f>
        <v>0</v>
      </c>
      <c r="D18" t="s">
        <v>23499</v>
      </c>
      <c r="E18" t="s">
        <v>23518</v>
      </c>
    </row>
    <row r="19" spans="1:5">
      <c r="A19" t="s">
        <v>5</v>
      </c>
      <c r="B19" t="s">
        <v>24</v>
      </c>
      <c r="C19">
        <f>HYPERLINK("C:\Users\franc\OneDrive\Documentos\ALIRO\ALIRO\KATHY\ANA LUISA 2010\PEDIMENTOS\TOQUI 35.doc", "Abrir Documento")</f>
        <v>0</v>
      </c>
      <c r="D19" t="s">
        <v>23499</v>
      </c>
      <c r="E19" t="s">
        <v>23519</v>
      </c>
    </row>
    <row r="20" spans="1:5">
      <c r="A20" t="s">
        <v>5</v>
      </c>
      <c r="B20" t="s">
        <v>25</v>
      </c>
      <c r="C20">
        <f>HYPERLINK("C:\Users\franc\OneDrive\Documentos\ALIRO\ALIRO\KATHY\ANA LUISA 2010\PEDIMENTOS\TOQUI 34.doc", "Abrir Documento")</f>
        <v>0</v>
      </c>
      <c r="D20" t="s">
        <v>23499</v>
      </c>
      <c r="E20" t="s">
        <v>23520</v>
      </c>
    </row>
    <row r="21" spans="1:5">
      <c r="A21" t="s">
        <v>5</v>
      </c>
      <c r="B21" t="s">
        <v>26</v>
      </c>
      <c r="C21">
        <f>HYPERLINK("C:\Users\franc\OneDrive\Documentos\ALIRO\ALIRO\KATHY\ANA LUISA 2010\PEDIMENTOS\TOQUI 33.doc", "Abrir Documento")</f>
        <v>0</v>
      </c>
      <c r="D21" t="s">
        <v>23499</v>
      </c>
      <c r="E21" t="s">
        <v>23521</v>
      </c>
    </row>
    <row r="22" spans="1:5">
      <c r="A22" t="s">
        <v>5</v>
      </c>
      <c r="B22" t="s">
        <v>27</v>
      </c>
      <c r="C22">
        <f>HYPERLINK("C:\Users\franc\OneDrive\Documentos\ALIRO\ALIRO\KATHY\ANA LUISA 2010\PEDIMENTOS\TOQUI 32.doc", "Abrir Documento")</f>
        <v>0</v>
      </c>
      <c r="D22" t="s">
        <v>23499</v>
      </c>
      <c r="E22" t="s">
        <v>23522</v>
      </c>
    </row>
    <row r="23" spans="1:5">
      <c r="A23" t="s">
        <v>5</v>
      </c>
      <c r="B23" t="s">
        <v>28</v>
      </c>
      <c r="C23">
        <f>HYPERLINK("C:\Users\franc\OneDrive\Documentos\ALIRO\ALIRO\KATHY\ANA LUISA 2010\PEDIMENTOS\TOQUI 31.doc", "Abrir Documento")</f>
        <v>0</v>
      </c>
      <c r="D23" t="s">
        <v>23499</v>
      </c>
      <c r="E23" t="s">
        <v>23523</v>
      </c>
    </row>
    <row r="24" spans="1:5">
      <c r="A24" t="s">
        <v>5</v>
      </c>
      <c r="B24" t="s">
        <v>29</v>
      </c>
      <c r="C24">
        <f>HYPERLINK("C:\Users\franc\OneDrive\Documentos\ALIRO\ALIRO\KATHY\ANA LUISA 2010\PEDIMENTOS\TOQUI 30.doc", "Abrir Documento")</f>
        <v>0</v>
      </c>
      <c r="D24" t="s">
        <v>23499</v>
      </c>
      <c r="E24" t="s">
        <v>23524</v>
      </c>
    </row>
    <row r="25" spans="1:5">
      <c r="A25" t="s">
        <v>5</v>
      </c>
      <c r="B25" t="s">
        <v>30</v>
      </c>
      <c r="C25">
        <f>HYPERLINK("C:\Users\franc\OneDrive\Documentos\ALIRO\ALIRO\KATHY\ANA LUISA 2010\PEDIMENTOS\TOQUI 29.doc", "Abrir Documento")</f>
        <v>0</v>
      </c>
      <c r="D25" t="s">
        <v>23499</v>
      </c>
      <c r="E25" t="s">
        <v>23525</v>
      </c>
    </row>
    <row r="26" spans="1:5">
      <c r="A26" t="s">
        <v>5</v>
      </c>
      <c r="B26" t="s">
        <v>31</v>
      </c>
      <c r="C26">
        <f>HYPERLINK("C:\Users\franc\OneDrive\Documentos\ALIRO\ALIRO\KATHY\ANA LUISA 2010\PEDIMENTOS\TOQUI 28.doc", "Abrir Documento")</f>
        <v>0</v>
      </c>
      <c r="D26" t="s">
        <v>23499</v>
      </c>
      <c r="E26" t="s">
        <v>23526</v>
      </c>
    </row>
    <row r="27" spans="1:5">
      <c r="A27" t="s">
        <v>5</v>
      </c>
      <c r="B27" t="s">
        <v>32</v>
      </c>
      <c r="C27">
        <f>HYPERLINK("C:\Users\franc\OneDrive\Documentos\ALIRO\ALIRO\KATHY\ANA LUISA 2010\PEDIMENTOS\TOQUI 27.doc", "Abrir Documento")</f>
        <v>0</v>
      </c>
      <c r="D27" t="s">
        <v>23499</v>
      </c>
      <c r="E27" t="s">
        <v>23527</v>
      </c>
    </row>
    <row r="28" spans="1:5">
      <c r="A28" t="s">
        <v>5</v>
      </c>
      <c r="B28" t="s">
        <v>33</v>
      </c>
      <c r="C28">
        <f>HYPERLINK("C:\Users\franc\OneDrive\Documentos\ALIRO\ALIRO\KATHY\ANA LUISA 2010\PEDIMENTOS\TOQUI 26.doc", "Abrir Documento")</f>
        <v>0</v>
      </c>
      <c r="D28" t="s">
        <v>23499</v>
      </c>
      <c r="E28" t="s">
        <v>23528</v>
      </c>
    </row>
    <row r="29" spans="1:5">
      <c r="A29" t="s">
        <v>5</v>
      </c>
      <c r="B29" t="s">
        <v>34</v>
      </c>
      <c r="C29">
        <f>HYPERLINK("C:\Users\franc\OneDrive\Documentos\ALIRO\ALIRO\KATHY\ANA LUISA 2010\PEDIMENTOS\TOQUI 25.doc", "Abrir Documento")</f>
        <v>0</v>
      </c>
      <c r="D29" t="s">
        <v>23499</v>
      </c>
      <c r="E29" t="s">
        <v>23529</v>
      </c>
    </row>
    <row r="30" spans="1:5">
      <c r="A30" t="s">
        <v>5</v>
      </c>
      <c r="B30" t="s">
        <v>35</v>
      </c>
      <c r="C30">
        <f>HYPERLINK("C:\Users\franc\OneDrive\Documentos\ALIRO\ALIRO\KATHY\ANA LUISA 2010\PEDIMENTOS\TOQUI 24.doc", "Abrir Documento")</f>
        <v>0</v>
      </c>
      <c r="D30" t="s">
        <v>23499</v>
      </c>
      <c r="E30" t="s">
        <v>23530</v>
      </c>
    </row>
    <row r="31" spans="1:5">
      <c r="A31" t="s">
        <v>5</v>
      </c>
      <c r="B31" t="s">
        <v>36</v>
      </c>
      <c r="C31">
        <f>HYPERLINK("C:\Users\franc\OneDrive\Documentos\ALIRO\ALIRO\KATHY\ANA LUISA 2010\PEDIMENTOS\TOQUI 23.doc", "Abrir Documento")</f>
        <v>0</v>
      </c>
      <c r="D31" t="s">
        <v>23499</v>
      </c>
      <c r="E31" t="s">
        <v>23531</v>
      </c>
    </row>
    <row r="32" spans="1:5">
      <c r="A32" t="s">
        <v>5</v>
      </c>
      <c r="B32" t="s">
        <v>37</v>
      </c>
      <c r="C32">
        <f>HYPERLINK("C:\Users\franc\OneDrive\Documentos\ALIRO\ALIRO\KATHY\ANA LUISA 2010\PEDIMENTOS\TOQUI 22.doc", "Abrir Documento")</f>
        <v>0</v>
      </c>
      <c r="D32" t="s">
        <v>23499</v>
      </c>
      <c r="E32" t="s">
        <v>23532</v>
      </c>
    </row>
    <row r="33" spans="1:5">
      <c r="A33" t="s">
        <v>5</v>
      </c>
      <c r="B33" t="s">
        <v>38</v>
      </c>
      <c r="C33">
        <f>HYPERLINK("C:\Users\franc\OneDrive\Documentos\ALIRO\ALIRO\KATHY\ANA LUISA 2010\PEDIMENTOS\TOQUI 21.doc", "Abrir Documento")</f>
        <v>0</v>
      </c>
      <c r="D33" t="s">
        <v>23499</v>
      </c>
      <c r="E33" t="s">
        <v>23533</v>
      </c>
    </row>
    <row r="34" spans="1:5">
      <c r="A34" t="s">
        <v>5</v>
      </c>
      <c r="B34" t="s">
        <v>39</v>
      </c>
      <c r="C34">
        <f>HYPERLINK("C:\Users\franc\OneDrive\Documentos\ALIRO\ALIRO\KATHY\ANA LUISA 2010\PEDIMENTOS\TOQUI 20.doc", "Abrir Documento")</f>
        <v>0</v>
      </c>
      <c r="D34" t="s">
        <v>23499</v>
      </c>
      <c r="E34" t="s">
        <v>23534</v>
      </c>
    </row>
    <row r="35" spans="1:5">
      <c r="A35" t="s">
        <v>5</v>
      </c>
      <c r="B35" t="s">
        <v>40</v>
      </c>
      <c r="C35">
        <f>HYPERLINK("C:\Users\franc\OneDrive\Documentos\ALIRO\ALIRO\KATHY\ANA LUISA 2010\PEDIMENTOS\TOQUI 19.doc", "Abrir Documento")</f>
        <v>0</v>
      </c>
      <c r="D35" t="s">
        <v>23499</v>
      </c>
      <c r="E35" t="s">
        <v>23535</v>
      </c>
    </row>
    <row r="36" spans="1:5">
      <c r="A36" t="s">
        <v>5</v>
      </c>
      <c r="B36" t="s">
        <v>41</v>
      </c>
      <c r="C36">
        <f>HYPERLINK("C:\Users\franc\OneDrive\Documentos\ALIRO\ALIRO\KATHY\ANA LUISA 2010\PEDIMENTOS\TOQUI 18.doc", "Abrir Documento")</f>
        <v>0</v>
      </c>
      <c r="D36" t="s">
        <v>23499</v>
      </c>
      <c r="E36" t="s">
        <v>23536</v>
      </c>
    </row>
    <row r="37" spans="1:5">
      <c r="A37" t="s">
        <v>5</v>
      </c>
      <c r="B37" t="s">
        <v>42</v>
      </c>
      <c r="C37">
        <f>HYPERLINK("C:\Users\franc\OneDrive\Documentos\ALIRO\ALIRO\KATHY\ANA LUISA 2010\PEDIMENTOS\TOQUI 17.doc", "Abrir Documento")</f>
        <v>0</v>
      </c>
      <c r="D37" t="s">
        <v>23499</v>
      </c>
      <c r="E37" t="s">
        <v>23537</v>
      </c>
    </row>
    <row r="38" spans="1:5">
      <c r="A38" t="s">
        <v>5</v>
      </c>
      <c r="B38" t="s">
        <v>43</v>
      </c>
      <c r="C38">
        <f>HYPERLINK("C:\Users\franc\OneDrive\Documentos\ALIRO\ALIRO\KATHY\ANA LUISA 2010\PEDIMENTOS\TOQUI 16.doc", "Abrir Documento")</f>
        <v>0</v>
      </c>
      <c r="D38" t="s">
        <v>23499</v>
      </c>
      <c r="E38" t="s">
        <v>23538</v>
      </c>
    </row>
    <row r="39" spans="1:5">
      <c r="A39" t="s">
        <v>5</v>
      </c>
      <c r="B39" t="s">
        <v>44</v>
      </c>
      <c r="C39">
        <f>HYPERLINK("C:\Users\franc\OneDrive\Documentos\ALIRO\ALIRO\KATHY\ANA LUISA 2010\PEDIMENTOS\TOQUI 15.doc", "Abrir Documento")</f>
        <v>0</v>
      </c>
      <c r="D39" t="s">
        <v>23499</v>
      </c>
      <c r="E39" t="s">
        <v>23539</v>
      </c>
    </row>
    <row r="40" spans="1:5">
      <c r="A40" t="s">
        <v>5</v>
      </c>
      <c r="B40" t="s">
        <v>45</v>
      </c>
      <c r="C40">
        <f>HYPERLINK("C:\Users\franc\OneDrive\Documentos\ALIRO\ALIRO\KATHY\ANA LUISA 2010\PEDIMENTOS\TOQUI 14.doc", "Abrir Documento")</f>
        <v>0</v>
      </c>
      <c r="D40" t="s">
        <v>23499</v>
      </c>
      <c r="E40" t="s">
        <v>23540</v>
      </c>
    </row>
    <row r="41" spans="1:5">
      <c r="A41" t="s">
        <v>5</v>
      </c>
      <c r="B41" t="s">
        <v>46</v>
      </c>
      <c r="C41">
        <f>HYPERLINK("C:\Users\franc\OneDrive\Documentos\ALIRO\ALIRO\KATHY\ANA LUISA 2010\PEDIMENTOS\TOQUI 13.doc", "Abrir Documento")</f>
        <v>0</v>
      </c>
      <c r="D41" t="s">
        <v>23499</v>
      </c>
      <c r="E41" t="s">
        <v>23541</v>
      </c>
    </row>
    <row r="42" spans="1:5">
      <c r="A42" t="s">
        <v>5</v>
      </c>
      <c r="B42" t="s">
        <v>47</v>
      </c>
      <c r="C42">
        <f>HYPERLINK("C:\Users\franc\OneDrive\Documentos\ALIRO\ALIRO\KATHY\ANA LUISA 2010\PEDIMENTOS\TOQUI 12.doc", "Abrir Documento")</f>
        <v>0</v>
      </c>
      <c r="D42" t="s">
        <v>23499</v>
      </c>
      <c r="E42" t="s">
        <v>23542</v>
      </c>
    </row>
    <row r="43" spans="1:5">
      <c r="A43" t="s">
        <v>5</v>
      </c>
      <c r="B43" t="s">
        <v>48</v>
      </c>
      <c r="C43">
        <f>HYPERLINK("C:\Users\franc\OneDrive\Documentos\ALIRO\ALIRO\KATHY\ANA LUISA 2010\PEDIMENTOS\TOQUI 11.doc", "Abrir Documento")</f>
        <v>0</v>
      </c>
      <c r="D43" t="s">
        <v>23499</v>
      </c>
      <c r="E43" t="s">
        <v>23543</v>
      </c>
    </row>
    <row r="44" spans="1:5">
      <c r="A44" t="s">
        <v>5</v>
      </c>
      <c r="B44" t="s">
        <v>49</v>
      </c>
      <c r="C44">
        <f>HYPERLINK("C:\Users\franc\OneDrive\Documentos\ALIRO\ALIRO\KATHY\ANA LUISA 2010\PEDIMENTOS\SECA 9  -    PRIMER JUZGADO.doc", "Abrir Documento")</f>
        <v>0</v>
      </c>
      <c r="D44" t="s">
        <v>23499</v>
      </c>
      <c r="E44" t="s">
        <v>23544</v>
      </c>
    </row>
    <row r="45" spans="1:5">
      <c r="A45" t="s">
        <v>5</v>
      </c>
      <c r="B45" t="s">
        <v>50</v>
      </c>
      <c r="C45">
        <f>HYPERLINK("C:\Users\franc\OneDrive\Documentos\ALIRO\ALIRO\KATHY\ANA LUISA 2010\PEDIMENTOS\SECA 8  -    PRIMER JUZGADO.doc", "Abrir Documento")</f>
        <v>0</v>
      </c>
      <c r="D45" t="s">
        <v>23499</v>
      </c>
      <c r="E45" t="s">
        <v>23545</v>
      </c>
    </row>
    <row r="46" spans="1:5">
      <c r="A46" t="s">
        <v>5</v>
      </c>
      <c r="B46" t="s">
        <v>51</v>
      </c>
      <c r="C46">
        <f>HYPERLINK("C:\Users\franc\OneDrive\Documentos\ALIRO\ALIRO\KATHY\ANA LUISA 2010\PEDIMENTOS\SECA 7  -    PRIMER JUZGADO.doc", "Abrir Documento")</f>
        <v>0</v>
      </c>
      <c r="D46" t="s">
        <v>23499</v>
      </c>
      <c r="E46" t="s">
        <v>23546</v>
      </c>
    </row>
    <row r="47" spans="1:5">
      <c r="A47" t="s">
        <v>5</v>
      </c>
      <c r="B47" t="s">
        <v>52</v>
      </c>
      <c r="C47">
        <f>HYPERLINK("C:\Users\franc\OneDrive\Documentos\ALIRO\ALIRO\KATHY\ANA LUISA 2010\PEDIMENTOS\SECA 6  -    PRIMER JUZGADO.doc", "Abrir Documento")</f>
        <v>0</v>
      </c>
      <c r="D47" t="s">
        <v>23499</v>
      </c>
      <c r="E47" t="s">
        <v>23547</v>
      </c>
    </row>
    <row r="48" spans="1:5">
      <c r="A48" t="s">
        <v>5</v>
      </c>
      <c r="B48" t="s">
        <v>53</v>
      </c>
      <c r="C48">
        <f>HYPERLINK("C:\Users\franc\OneDrive\Documentos\ALIRO\ALIRO\KATHY\ANA LUISA 2010\PEDIMENTOS\SECA 5  -    PRIMER JUZGADO.doc", "Abrir Documento")</f>
        <v>0</v>
      </c>
      <c r="D48" t="s">
        <v>23499</v>
      </c>
      <c r="E48" t="s">
        <v>23548</v>
      </c>
    </row>
    <row r="49" spans="1:5">
      <c r="A49" t="s">
        <v>5</v>
      </c>
      <c r="B49" t="s">
        <v>54</v>
      </c>
      <c r="C49">
        <f>HYPERLINK("C:\Users\franc\OneDrive\Documentos\ALIRO\ALIRO\KATHY\ANA LUISA 2010\PEDIMENTOS\SECA 4  -    PRIMER JUZGADO.doc", "Abrir Documento")</f>
        <v>0</v>
      </c>
      <c r="D49" t="s">
        <v>23499</v>
      </c>
      <c r="E49" t="s">
        <v>23549</v>
      </c>
    </row>
    <row r="50" spans="1:5">
      <c r="A50" t="s">
        <v>5</v>
      </c>
      <c r="B50" t="s">
        <v>55</v>
      </c>
      <c r="C50">
        <f>HYPERLINK("C:\Users\franc\OneDrive\Documentos\ALIRO\ALIRO\KATHY\ANA LUISA 2010\PEDIMENTOS\SECA 33  -    1º JUZGADO.doc", "Abrir Documento")</f>
        <v>0</v>
      </c>
      <c r="D50" t="s">
        <v>23499</v>
      </c>
      <c r="E50" t="s">
        <v>23550</v>
      </c>
    </row>
    <row r="51" spans="1:5">
      <c r="A51" t="s">
        <v>5</v>
      </c>
      <c r="B51" t="s">
        <v>56</v>
      </c>
      <c r="C51">
        <f>HYPERLINK("C:\Users\franc\OneDrive\Documentos\ALIRO\ALIRO\KATHY\ANA LUISA 2010\PEDIMENTOS\SECA 32  -    1º JUZGADO.doc", "Abrir Documento")</f>
        <v>0</v>
      </c>
      <c r="D51" t="s">
        <v>23499</v>
      </c>
      <c r="E51" t="s">
        <v>23551</v>
      </c>
    </row>
    <row r="52" spans="1:5">
      <c r="A52" t="s">
        <v>5</v>
      </c>
      <c r="B52" t="s">
        <v>57</v>
      </c>
      <c r="C52">
        <f>HYPERLINK("C:\Users\franc\OneDrive\Documentos\ALIRO\ALIRO\KATHY\ANA LUISA 2010\PEDIMENTOS\SECA 31  -    1º JUZGADO.doc", "Abrir Documento")</f>
        <v>0</v>
      </c>
      <c r="D52" t="s">
        <v>23499</v>
      </c>
      <c r="E52" t="s">
        <v>23552</v>
      </c>
    </row>
    <row r="53" spans="1:5">
      <c r="A53" t="s">
        <v>5</v>
      </c>
      <c r="B53" t="s">
        <v>58</v>
      </c>
      <c r="C53">
        <f>HYPERLINK("C:\Users\franc\OneDrive\Documentos\ALIRO\ALIRO\KATHY\ANA LUISA 2010\PEDIMENTOS\SECA 30  -    1º JUZGADO.doc", "Abrir Documento")</f>
        <v>0</v>
      </c>
      <c r="D53" t="s">
        <v>23499</v>
      </c>
      <c r="E53" t="s">
        <v>23553</v>
      </c>
    </row>
    <row r="54" spans="1:5">
      <c r="A54" t="s">
        <v>5</v>
      </c>
      <c r="B54" t="s">
        <v>59</v>
      </c>
      <c r="C54">
        <f>HYPERLINK("C:\Users\franc\OneDrive\Documentos\ALIRO\ALIRO\KATHY\ANA LUISA 2010\PEDIMENTOS\SECA 3  -    PRIMER JUZGADO.doc", "Abrir Documento")</f>
        <v>0</v>
      </c>
      <c r="D54" t="s">
        <v>23499</v>
      </c>
      <c r="E54" t="s">
        <v>23554</v>
      </c>
    </row>
    <row r="55" spans="1:5">
      <c r="A55" t="s">
        <v>5</v>
      </c>
      <c r="B55" t="s">
        <v>60</v>
      </c>
      <c r="C55">
        <f>HYPERLINK("C:\Users\franc\OneDrive\Documentos\ALIRO\ALIRO\KATHY\ANA LUISA 2010\PEDIMENTOS\SECA 29  -    1º JUZGADO.doc", "Abrir Documento")</f>
        <v>0</v>
      </c>
      <c r="D55" t="s">
        <v>23499</v>
      </c>
      <c r="E55" t="s">
        <v>23555</v>
      </c>
    </row>
    <row r="56" spans="1:5">
      <c r="A56" t="s">
        <v>5</v>
      </c>
      <c r="B56" t="s">
        <v>61</v>
      </c>
      <c r="C56">
        <f>HYPERLINK("C:\Users\franc\OneDrive\Documentos\ALIRO\ALIRO\KATHY\ANA LUISA 2010\PEDIMENTOS\SECA 28  -    1º JUZGADO.doc", "Abrir Documento")</f>
        <v>0</v>
      </c>
      <c r="D56" t="s">
        <v>23499</v>
      </c>
      <c r="E56" t="s">
        <v>23556</v>
      </c>
    </row>
    <row r="57" spans="1:5">
      <c r="A57" t="s">
        <v>5</v>
      </c>
      <c r="B57" t="s">
        <v>62</v>
      </c>
      <c r="C57">
        <f>HYPERLINK("C:\Users\franc\OneDrive\Documentos\ALIRO\ALIRO\KATHY\ANA LUISA 2010\PEDIMENTOS\SECA 27  -    1º JUZGADO.doc", "Abrir Documento")</f>
        <v>0</v>
      </c>
      <c r="D57" t="s">
        <v>23499</v>
      </c>
      <c r="E57" t="s">
        <v>23557</v>
      </c>
    </row>
    <row r="58" spans="1:5">
      <c r="A58" t="s">
        <v>5</v>
      </c>
      <c r="B58" t="s">
        <v>63</v>
      </c>
      <c r="C58">
        <f>HYPERLINK("C:\Users\franc\OneDrive\Documentos\ALIRO\ALIRO\KATHY\ANA LUISA 2010\PEDIMENTOS\SECA 26  -    1º JUZGADO.doc", "Abrir Documento")</f>
        <v>0</v>
      </c>
      <c r="D58" t="s">
        <v>23499</v>
      </c>
      <c r="E58" t="s">
        <v>23558</v>
      </c>
    </row>
    <row r="59" spans="1:5">
      <c r="A59" t="s">
        <v>5</v>
      </c>
      <c r="B59" t="s">
        <v>64</v>
      </c>
      <c r="C59">
        <f>HYPERLINK("C:\Users\franc\OneDrive\Documentos\ALIRO\ALIRO\KATHY\ANA LUISA 2010\PEDIMENTOS\SECA 25  -    1º JUZGADO.doc", "Abrir Documento")</f>
        <v>0</v>
      </c>
      <c r="D59" t="s">
        <v>23499</v>
      </c>
      <c r="E59" t="s">
        <v>23559</v>
      </c>
    </row>
    <row r="60" spans="1:5">
      <c r="A60" t="s">
        <v>5</v>
      </c>
      <c r="B60" t="s">
        <v>65</v>
      </c>
      <c r="C60">
        <f>HYPERLINK("C:\Users\franc\OneDrive\Documentos\ALIRO\ALIRO\KATHY\ANA LUISA 2010\PEDIMENTOS\SECA 24  -    1º JUZGADO.doc", "Abrir Documento")</f>
        <v>0</v>
      </c>
      <c r="D60" t="s">
        <v>23499</v>
      </c>
      <c r="E60" t="s">
        <v>23560</v>
      </c>
    </row>
    <row r="61" spans="1:5">
      <c r="A61" t="s">
        <v>5</v>
      </c>
      <c r="B61" t="s">
        <v>66</v>
      </c>
      <c r="C61">
        <f>HYPERLINK("C:\Users\franc\OneDrive\Documentos\ALIRO\ALIRO\KATHY\ANA LUISA 2010\PEDIMENTOS\SECA 23  -    1º JUZGADO.doc", "Abrir Documento")</f>
        <v>0</v>
      </c>
      <c r="D61" t="s">
        <v>23499</v>
      </c>
      <c r="E61" t="s">
        <v>23561</v>
      </c>
    </row>
    <row r="62" spans="1:5">
      <c r="A62" t="s">
        <v>5</v>
      </c>
      <c r="B62" t="s">
        <v>67</v>
      </c>
      <c r="C62">
        <f>HYPERLINK("C:\Users\franc\OneDrive\Documentos\ALIRO\ALIRO\KATHY\ANA LUISA 2010\PEDIMENTOS\SECA 22  -    1º JUZGADO.doc", "Abrir Documento")</f>
        <v>0</v>
      </c>
      <c r="D62" t="s">
        <v>23499</v>
      </c>
      <c r="E62" t="s">
        <v>23562</v>
      </c>
    </row>
    <row r="63" spans="1:5">
      <c r="A63" t="s">
        <v>5</v>
      </c>
      <c r="B63" t="s">
        <v>68</v>
      </c>
      <c r="C63">
        <f>HYPERLINK("C:\Users\franc\OneDrive\Documentos\ALIRO\ALIRO\KATHY\ANA LUISA 2010\PEDIMENTOS\SECA 21  (PRIMER JUZGADO).doc", "Abrir Documento")</f>
        <v>0</v>
      </c>
      <c r="D63" t="s">
        <v>23499</v>
      </c>
      <c r="E63" t="s">
        <v>23563</v>
      </c>
    </row>
    <row r="64" spans="1:5">
      <c r="A64" t="s">
        <v>5</v>
      </c>
      <c r="B64" t="s">
        <v>69</v>
      </c>
      <c r="C64">
        <f>HYPERLINK("C:\Users\franc\OneDrive\Documentos\ALIRO\ALIRO\KATHY\ANA LUISA 2010\PEDIMENTOS\SECA 2  -    PRIMER JUZGADO.doc", "Abrir Documento")</f>
        <v>0</v>
      </c>
      <c r="D64" t="s">
        <v>23499</v>
      </c>
      <c r="E64" t="s">
        <v>23564</v>
      </c>
    </row>
    <row r="65" spans="1:5">
      <c r="A65" t="s">
        <v>5</v>
      </c>
      <c r="B65" t="s">
        <v>70</v>
      </c>
      <c r="C65">
        <f>HYPERLINK("C:\Users\franc\OneDrive\Documentos\ALIRO\ALIRO\KATHY\ANA LUISA 2010\PEDIMENTOS\SECA 18  -    1º JUZGADO.doc", "Abrir Documento")</f>
        <v>0</v>
      </c>
      <c r="D65" t="s">
        <v>23500</v>
      </c>
      <c r="E65" t="s">
        <v>23565</v>
      </c>
    </row>
    <row r="66" spans="1:5">
      <c r="A66" t="s">
        <v>5</v>
      </c>
      <c r="B66" t="s">
        <v>71</v>
      </c>
      <c r="C66">
        <f>HYPERLINK("C:\Users\franc\OneDrive\Documentos\ALIRO\ALIRO\KATHY\ANA LUISA 2010\PEDIMENTOS\SECA 17  -    1º JUZGADO.doc", "Abrir Documento")</f>
        <v>0</v>
      </c>
      <c r="D66" t="s">
        <v>23499</v>
      </c>
      <c r="E66" t="s">
        <v>23566</v>
      </c>
    </row>
    <row r="67" spans="1:5">
      <c r="A67" t="s">
        <v>5</v>
      </c>
      <c r="B67" t="s">
        <v>72</v>
      </c>
      <c r="C67">
        <f>HYPERLINK("C:\Users\franc\OneDrive\Documentos\ALIRO\ALIRO\KATHY\ANA LUISA 2010\PEDIMENTOS\SECA 16  -    1º JUZGADO.doc", "Abrir Documento")</f>
        <v>0</v>
      </c>
      <c r="D67" t="s">
        <v>23499</v>
      </c>
      <c r="E67" t="s">
        <v>23567</v>
      </c>
    </row>
    <row r="68" spans="1:5">
      <c r="A68" t="s">
        <v>5</v>
      </c>
      <c r="B68" t="s">
        <v>73</v>
      </c>
      <c r="C68">
        <f>HYPERLINK("C:\Users\franc\OneDrive\Documentos\ALIRO\ALIRO\KATHY\ANA LUISA 2010\PEDIMENTOS\SECA 15  -    1º JUZGADO.doc", "Abrir Documento")</f>
        <v>0</v>
      </c>
      <c r="D68" t="s">
        <v>23499</v>
      </c>
      <c r="E68" t="s">
        <v>23568</v>
      </c>
    </row>
    <row r="69" spans="1:5">
      <c r="A69" t="s">
        <v>5</v>
      </c>
      <c r="B69" t="s">
        <v>74</v>
      </c>
      <c r="C69">
        <f>HYPERLINK("C:\Users\franc\OneDrive\Documentos\ALIRO\ALIRO\KATHY\ANA LUISA 2010\PEDIMENTOS\SECA 14  -    1º JUZGADO.doc", "Abrir Documento")</f>
        <v>0</v>
      </c>
      <c r="D69" t="s">
        <v>23499</v>
      </c>
      <c r="E69" t="s">
        <v>23569</v>
      </c>
    </row>
    <row r="70" spans="1:5">
      <c r="A70" t="s">
        <v>5</v>
      </c>
      <c r="B70" t="s">
        <v>75</v>
      </c>
      <c r="C70">
        <f>HYPERLINK("C:\Users\franc\OneDrive\Documentos\ALIRO\ALIRO\KATHY\ANA LUISA 2010\PEDIMENTOS\SECA 13  -    PRIMER JUZGADO.doc", "Abrir Documento")</f>
        <v>0</v>
      </c>
      <c r="D70" t="s">
        <v>23500</v>
      </c>
      <c r="E70" t="s">
        <v>23570</v>
      </c>
    </row>
    <row r="71" spans="1:5">
      <c r="A71" t="s">
        <v>5</v>
      </c>
      <c r="B71" t="s">
        <v>76</v>
      </c>
      <c r="C71">
        <f>HYPERLINK("C:\Users\franc\OneDrive\Documentos\ALIRO\ALIRO\KATHY\ANA LUISA 2010\PEDIMENTOS\SECA 13  -    1º JUZGADO.doc", "Abrir Documento")</f>
        <v>0</v>
      </c>
      <c r="D71" t="s">
        <v>23499</v>
      </c>
      <c r="E71" t="s">
        <v>23571</v>
      </c>
    </row>
    <row r="72" spans="1:5">
      <c r="A72" t="s">
        <v>5</v>
      </c>
      <c r="B72" t="s">
        <v>77</v>
      </c>
      <c r="C72">
        <f>HYPERLINK("C:\Users\franc\OneDrive\Documentos\ALIRO\ALIRO\KATHY\ANA LUISA 2010\PEDIMENTOS\SECA 12  -    PRIMER JUZGADO.doc", "Abrir Documento")</f>
        <v>0</v>
      </c>
      <c r="D72" t="s">
        <v>23499</v>
      </c>
      <c r="E72" t="s">
        <v>23572</v>
      </c>
    </row>
    <row r="73" spans="1:5">
      <c r="A73" t="s">
        <v>5</v>
      </c>
      <c r="B73" t="s">
        <v>78</v>
      </c>
      <c r="C73">
        <f>HYPERLINK("C:\Users\franc\OneDrive\Documentos\ALIRO\ALIRO\KATHY\ANA LUISA 2010\PEDIMENTOS\SECA 11  -    PRIMER JUZGADO.doc", "Abrir Documento")</f>
        <v>0</v>
      </c>
      <c r="D73" t="s">
        <v>23499</v>
      </c>
      <c r="E73" t="s">
        <v>23573</v>
      </c>
    </row>
    <row r="74" spans="1:5">
      <c r="A74" t="s">
        <v>5</v>
      </c>
      <c r="B74" t="s">
        <v>79</v>
      </c>
      <c r="C74">
        <f>HYPERLINK("C:\Users\franc\OneDrive\Documentos\ALIRO\ALIRO\KATHY\ANA LUISA 2010\PEDIMENTOS\SECA 10  -    PRIMER JUZGADO.doc", "Abrir Documento")</f>
        <v>0</v>
      </c>
      <c r="D74" t="s">
        <v>23499</v>
      </c>
      <c r="E74" t="s">
        <v>23574</v>
      </c>
    </row>
    <row r="75" spans="1:5">
      <c r="A75" t="s">
        <v>5</v>
      </c>
      <c r="B75" t="s">
        <v>80</v>
      </c>
      <c r="C75">
        <f>HYPERLINK("C:\Users\franc\OneDrive\Documentos\ALIRO\ALIRO\KATHY\ANA LUISA 2010\PEDIMENTOS\SECA 1  -    PRIMER JUZGADO.doc", "Abrir Documento")</f>
        <v>0</v>
      </c>
      <c r="D75" t="s">
        <v>23499</v>
      </c>
      <c r="E75" t="s">
        <v>23575</v>
      </c>
    </row>
    <row r="76" spans="1:5">
      <c r="A76" t="s">
        <v>5</v>
      </c>
      <c r="B76" t="s">
        <v>81</v>
      </c>
      <c r="C76">
        <f>HYPERLINK("C:\Users\franc\OneDrive\Documentos\ALIRO\ALIRO\KATHY\ANA LUISA 2010\PEDIMENTOS\SAUCE 25.doc", "Abrir Documento")</f>
        <v>0</v>
      </c>
      <c r="D76" t="s">
        <v>23499</v>
      </c>
      <c r="E76" t="s">
        <v>23576</v>
      </c>
    </row>
    <row r="77" spans="1:5">
      <c r="A77" t="s">
        <v>5</v>
      </c>
      <c r="B77" t="s">
        <v>82</v>
      </c>
      <c r="C77">
        <f>HYPERLINK("C:\Users\franc\OneDrive\Documentos\ALIRO\ALIRO\KATHY\ANA LUISA 2010\PEDIMENTOS\SAUCE 24.doc", "Abrir Documento")</f>
        <v>0</v>
      </c>
      <c r="D77" t="s">
        <v>23499</v>
      </c>
      <c r="E77" t="s">
        <v>23577</v>
      </c>
    </row>
    <row r="78" spans="1:5">
      <c r="A78" t="s">
        <v>5</v>
      </c>
      <c r="B78" t="s">
        <v>83</v>
      </c>
      <c r="C78">
        <f>HYPERLINK("C:\Users\franc\OneDrive\Documentos\ALIRO\ALIRO\KATHY\ANA LUISA 2010\PEDIMENTOS\SAUCE 23.doc", "Abrir Documento")</f>
        <v>0</v>
      </c>
      <c r="D78" t="s">
        <v>23499</v>
      </c>
      <c r="E78" t="s">
        <v>23578</v>
      </c>
    </row>
    <row r="79" spans="1:5">
      <c r="A79" t="s">
        <v>5</v>
      </c>
      <c r="B79" t="s">
        <v>84</v>
      </c>
      <c r="C79">
        <f>HYPERLINK("C:\Users\franc\OneDrive\Documentos\ALIRO\ALIRO\KATHY\ANA LUISA 2010\PEDIMENTOS\SAUCE 22.doc", "Abrir Documento")</f>
        <v>0</v>
      </c>
      <c r="D79" t="s">
        <v>23499</v>
      </c>
      <c r="E79" t="s">
        <v>23579</v>
      </c>
    </row>
    <row r="80" spans="1:5">
      <c r="A80" t="s">
        <v>5</v>
      </c>
      <c r="B80" t="s">
        <v>85</v>
      </c>
      <c r="C80">
        <f>HYPERLINK("C:\Users\franc\OneDrive\Documentos\ALIRO\ALIRO\KATHY\ANA LUISA 2010\PEDIMENTOS\SAUCE 21.doc", "Abrir Documento")</f>
        <v>0</v>
      </c>
      <c r="D80" t="s">
        <v>23499</v>
      </c>
      <c r="E80" t="s">
        <v>23580</v>
      </c>
    </row>
    <row r="81" spans="1:5">
      <c r="A81" t="s">
        <v>5</v>
      </c>
      <c r="B81" t="s">
        <v>86</v>
      </c>
      <c r="C81">
        <f>HYPERLINK("C:\Users\franc\OneDrive\Documentos\ALIRO\ALIRO\KATHY\ANA LUISA 2010\PEDIMENTOS\SAUCE 20.doc", "Abrir Documento")</f>
        <v>0</v>
      </c>
      <c r="D81" t="s">
        <v>23499</v>
      </c>
      <c r="E81" t="s">
        <v>23581</v>
      </c>
    </row>
    <row r="82" spans="1:5">
      <c r="A82" t="s">
        <v>5</v>
      </c>
      <c r="B82" t="s">
        <v>87</v>
      </c>
      <c r="C82">
        <f>HYPERLINK("C:\Users\franc\OneDrive\Documentos\ALIRO\ALIRO\KATHY\ANA LUISA 2010\PEDIMENTOS\SAUCE 19.doc", "Abrir Documento")</f>
        <v>0</v>
      </c>
      <c r="D82" t="s">
        <v>23499</v>
      </c>
      <c r="E82" t="s">
        <v>23582</v>
      </c>
    </row>
    <row r="83" spans="1:5">
      <c r="A83" t="s">
        <v>5</v>
      </c>
      <c r="B83" t="s">
        <v>88</v>
      </c>
      <c r="C83">
        <f>HYPERLINK("C:\Users\franc\OneDrive\Documentos\ALIRO\ALIRO\KATHY\ANA LUISA 2010\PEDIMENTOS\SAUCE 18.doc", "Abrir Documento")</f>
        <v>0</v>
      </c>
      <c r="D83" t="s">
        <v>23499</v>
      </c>
      <c r="E83" t="s">
        <v>23583</v>
      </c>
    </row>
    <row r="84" spans="1:5">
      <c r="A84" t="s">
        <v>5</v>
      </c>
      <c r="B84" t="s">
        <v>89</v>
      </c>
      <c r="C84">
        <f>HYPERLINK("C:\Users\franc\OneDrive\Documentos\ALIRO\ALIRO\KATHY\ANA LUISA 2010\PEDIMENTOS\SAUCE 17.doc", "Abrir Documento")</f>
        <v>0</v>
      </c>
      <c r="D84" t="s">
        <v>23499</v>
      </c>
      <c r="E84" t="s">
        <v>23584</v>
      </c>
    </row>
    <row r="85" spans="1:5">
      <c r="A85" t="s">
        <v>5</v>
      </c>
      <c r="B85" t="s">
        <v>90</v>
      </c>
      <c r="C85">
        <f>HYPERLINK("C:\Users\franc\OneDrive\Documentos\ALIRO\ALIRO\KATHY\ANA LUISA 2010\PEDIMENTOS\SAUCE 16.doc", "Abrir Documento")</f>
        <v>0</v>
      </c>
      <c r="D85" t="s">
        <v>23499</v>
      </c>
      <c r="E85" t="s">
        <v>23585</v>
      </c>
    </row>
    <row r="86" spans="1:5">
      <c r="A86" t="s">
        <v>5</v>
      </c>
      <c r="B86" t="s">
        <v>91</v>
      </c>
      <c r="C86">
        <f>HYPERLINK("C:\Users\franc\OneDrive\Documentos\ALIRO\ALIRO\KATHY\ANA LUISA 2010\PEDIMENTOS\SANTA ROSA 9 (PRIMER JUZGADO).doc", "Abrir Documento")</f>
        <v>0</v>
      </c>
      <c r="D86" t="s">
        <v>23499</v>
      </c>
      <c r="E86" t="s">
        <v>23586</v>
      </c>
    </row>
    <row r="87" spans="1:5">
      <c r="A87" t="s">
        <v>5</v>
      </c>
      <c r="B87" t="s">
        <v>92</v>
      </c>
      <c r="C87">
        <f>HYPERLINK("C:\Users\franc\OneDrive\Documentos\ALIRO\ALIRO\KATHY\ANA LUISA 2010\PEDIMENTOS\SANTA ROSA 8 (PRIMER JUZGADO).doc", "Abrir Documento")</f>
        <v>0</v>
      </c>
      <c r="D87" t="s">
        <v>23499</v>
      </c>
      <c r="E87" t="s">
        <v>23587</v>
      </c>
    </row>
    <row r="88" spans="1:5">
      <c r="A88" t="s">
        <v>5</v>
      </c>
      <c r="B88" t="s">
        <v>93</v>
      </c>
      <c r="C88">
        <f>HYPERLINK("C:\Users\franc\OneDrive\Documentos\ALIRO\ALIRO\KATHY\ANA LUISA 2010\PEDIMENTOS\SANTA ROSA 7 (PRIMER JUZGADO).doc", "Abrir Documento")</f>
        <v>0</v>
      </c>
      <c r="D88" t="s">
        <v>23499</v>
      </c>
      <c r="E88" t="s">
        <v>23588</v>
      </c>
    </row>
    <row r="89" spans="1:5">
      <c r="A89" t="s">
        <v>5</v>
      </c>
      <c r="B89" t="s">
        <v>94</v>
      </c>
      <c r="C89">
        <f>HYPERLINK("C:\Users\franc\OneDrive\Documentos\ALIRO\ALIRO\KATHY\ANA LUISA 2010\PEDIMENTOS\SANTA ROSA 6 (PRIMER JUZGADO).doc", "Abrir Documento")</f>
        <v>0</v>
      </c>
      <c r="D89" t="s">
        <v>23499</v>
      </c>
      <c r="E89" t="s">
        <v>23589</v>
      </c>
    </row>
    <row r="90" spans="1:5">
      <c r="A90" t="s">
        <v>5</v>
      </c>
      <c r="B90" t="s">
        <v>95</v>
      </c>
      <c r="C90">
        <f>HYPERLINK("C:\Users\franc\OneDrive\Documentos\ALIRO\ALIRO\KATHY\ANA LUISA 2010\PEDIMENTOS\SANTA ROSA 5 (PRIMER JUZGADO).doc", "Abrir Documento")</f>
        <v>0</v>
      </c>
      <c r="D90" t="s">
        <v>23499</v>
      </c>
      <c r="E90" t="s">
        <v>23590</v>
      </c>
    </row>
    <row r="91" spans="1:5">
      <c r="A91" t="s">
        <v>5</v>
      </c>
      <c r="B91" t="s">
        <v>96</v>
      </c>
      <c r="C91">
        <f>HYPERLINK("C:\Users\franc\OneDrive\Documentos\ALIRO\ALIRO\KATHY\ANA LUISA 2010\PEDIMENTOS\SANTA ROSA 4 (PRIMER JUZGADO).doc", "Abrir Documento")</f>
        <v>0</v>
      </c>
      <c r="D91" t="s">
        <v>23499</v>
      </c>
      <c r="E91" t="s">
        <v>23591</v>
      </c>
    </row>
    <row r="92" spans="1:5">
      <c r="A92" t="s">
        <v>5</v>
      </c>
      <c r="B92" t="s">
        <v>97</v>
      </c>
      <c r="C92">
        <f>HYPERLINK("C:\Users\franc\OneDrive\Documentos\ALIRO\ALIRO\KATHY\ANA LUISA 2010\PEDIMENTOS\SANTA ROSA 3 (PRIMER JUZGADO).doc", "Abrir Documento")</f>
        <v>0</v>
      </c>
      <c r="D92" t="s">
        <v>23499</v>
      </c>
      <c r="E92" t="s">
        <v>23592</v>
      </c>
    </row>
    <row r="93" spans="1:5">
      <c r="A93" t="s">
        <v>5</v>
      </c>
      <c r="B93" t="s">
        <v>98</v>
      </c>
      <c r="C93">
        <f>HYPERLINK("C:\Users\franc\OneDrive\Documentos\ALIRO\ALIRO\KATHY\ANA LUISA 2010\PEDIMENTOS\SANTA ROSA 2 (PRIMER JUZGADO).doc", "Abrir Documento")</f>
        <v>0</v>
      </c>
      <c r="D93" t="s">
        <v>23499</v>
      </c>
      <c r="E93" t="s">
        <v>23593</v>
      </c>
    </row>
    <row r="94" spans="1:5">
      <c r="A94" t="s">
        <v>5</v>
      </c>
      <c r="B94" t="s">
        <v>99</v>
      </c>
      <c r="C94">
        <f>HYPERLINK("C:\Users\franc\OneDrive\Documentos\ALIRO\ALIRO\KATHY\ANA LUISA 2010\PEDIMENTOS\SANTA ROSA 1 (PRIMER JUZGADO).doc", "Abrir Documento")</f>
        <v>0</v>
      </c>
      <c r="D94" t="s">
        <v>23499</v>
      </c>
      <c r="E94" t="s">
        <v>23594</v>
      </c>
    </row>
    <row r="95" spans="1:5">
      <c r="A95" t="s">
        <v>5</v>
      </c>
      <c r="B95" t="s">
        <v>100</v>
      </c>
      <c r="C95">
        <f>HYPERLINK("C:\Users\franc\OneDrive\Documentos\ALIRO\ALIRO\KATHY\ANA LUISA 2010\PEDIMENTOS\SAN AGUSTIN 47 -  MIGUEL NENADOVICH  - 3º  JUZGADO.doc", "Abrir Documento")</f>
        <v>0</v>
      </c>
      <c r="D95" t="s">
        <v>23499</v>
      </c>
      <c r="E95" t="s">
        <v>23595</v>
      </c>
    </row>
    <row r="96" spans="1:5">
      <c r="A96" t="s">
        <v>5</v>
      </c>
      <c r="B96" t="s">
        <v>101</v>
      </c>
      <c r="C96">
        <f>HYPERLINK("C:\Users\franc\OneDrive\Documentos\ALIRO\ALIRO\KATHY\ANA LUISA 2010\PEDIMENTOS\SAN AGUSTIN 46 -  MIGUEL NENADOVICH  - 3º  JUZGADO.doc", "Abrir Documento")</f>
        <v>0</v>
      </c>
      <c r="D96" t="s">
        <v>23499</v>
      </c>
      <c r="E96" t="s">
        <v>23596</v>
      </c>
    </row>
    <row r="97" spans="1:5">
      <c r="A97" t="s">
        <v>5</v>
      </c>
      <c r="B97" t="s">
        <v>102</v>
      </c>
      <c r="C97">
        <f>HYPERLINK("C:\Users\franc\OneDrive\Documentos\ALIRO\ALIRO\KATHY\ANA LUISA 2010\PEDIMENTOS\SAN AGUSTIN 45 -  MIGUEL NENADOVICH  - 3º  JUZGADO.doc", "Abrir Documento")</f>
        <v>0</v>
      </c>
      <c r="D97" t="s">
        <v>23499</v>
      </c>
      <c r="E97" t="s">
        <v>23597</v>
      </c>
    </row>
    <row r="98" spans="1:5">
      <c r="A98" t="s">
        <v>5</v>
      </c>
      <c r="B98" t="s">
        <v>103</v>
      </c>
      <c r="C98">
        <f>HYPERLINK("C:\Users\franc\OneDrive\Documentos\ALIRO\ALIRO\KATHY\ANA LUISA 2010\PEDIMENTOS\SAN AGUSTIN 44 -  MIGUEL NENADOVICH  - 3º  JUZGADO.doc", "Abrir Documento")</f>
        <v>0</v>
      </c>
      <c r="D98" t="s">
        <v>23499</v>
      </c>
      <c r="E98" t="s">
        <v>23598</v>
      </c>
    </row>
    <row r="99" spans="1:5">
      <c r="A99" t="s">
        <v>5</v>
      </c>
      <c r="B99" t="s">
        <v>104</v>
      </c>
      <c r="C99">
        <f>HYPERLINK("C:\Users\franc\OneDrive\Documentos\ALIRO\ALIRO\KATHY\ANA LUISA 2010\PEDIMENTOS\SAN AGUSTIN 43 -  MIGUEL NENADOVICH  - 3º  JUZGADO.doc", "Abrir Documento")</f>
        <v>0</v>
      </c>
      <c r="D99" t="s">
        <v>23499</v>
      </c>
      <c r="E99" t="s">
        <v>23599</v>
      </c>
    </row>
    <row r="100" spans="1:5">
      <c r="A100" t="s">
        <v>5</v>
      </c>
      <c r="B100" t="s">
        <v>105</v>
      </c>
      <c r="C100">
        <f>HYPERLINK("C:\Users\franc\OneDrive\Documentos\ALIRO\ALIRO\KATHY\ANA LUISA 2010\PEDIMENTOS\SAN AGUSTIN 42 -  MIGUEL NENADOVICH  - 3º  JUZGADO.doc", "Abrir Documento")</f>
        <v>0</v>
      </c>
      <c r="D100" t="s">
        <v>23499</v>
      </c>
      <c r="E100" t="s">
        <v>23600</v>
      </c>
    </row>
    <row r="101" spans="1:5">
      <c r="A101" t="s">
        <v>5</v>
      </c>
      <c r="B101" t="s">
        <v>106</v>
      </c>
      <c r="C101">
        <f>HYPERLINK("C:\Users\franc\OneDrive\Documentos\ALIRO\ALIRO\KATHY\ANA LUISA 2010\PEDIMENTOS\SAN AGUSTIN 41 -  MIGUEL NENADOVICH  - 3º  JUZGADO.doc", "Abrir Documento")</f>
        <v>0</v>
      </c>
      <c r="D101" t="s">
        <v>23499</v>
      </c>
      <c r="E101" t="s">
        <v>23601</v>
      </c>
    </row>
    <row r="102" spans="1:5">
      <c r="A102" t="s">
        <v>5</v>
      </c>
      <c r="B102" t="s">
        <v>107</v>
      </c>
      <c r="C102">
        <f>HYPERLINK("C:\Users\franc\OneDrive\Documentos\ALIRO\ALIRO\KATHY\ANA LUISA 2010\PEDIMENTOS\SALALA UF - 9.doc", "Abrir Documento")</f>
        <v>0</v>
      </c>
      <c r="D102" t="s">
        <v>23499</v>
      </c>
      <c r="E102" t="s">
        <v>23602</v>
      </c>
    </row>
    <row r="103" spans="1:5">
      <c r="A103" t="s">
        <v>5</v>
      </c>
      <c r="B103" t="s">
        <v>108</v>
      </c>
      <c r="C103">
        <f>HYPERLINK("C:\Users\franc\OneDrive\Documentos\ALIRO\ALIRO\KATHY\ANA LUISA 2010\PEDIMENTOS\SALALA UF - 8.doc", "Abrir Documento")</f>
        <v>0</v>
      </c>
      <c r="D103" t="s">
        <v>23499</v>
      </c>
      <c r="E103" t="s">
        <v>23603</v>
      </c>
    </row>
    <row r="104" spans="1:5">
      <c r="A104" t="s">
        <v>5</v>
      </c>
      <c r="B104" t="s">
        <v>109</v>
      </c>
      <c r="C104">
        <f>HYPERLINK("C:\Users\franc\OneDrive\Documentos\ALIRO\ALIRO\KATHY\ANA LUISA 2010\PEDIMENTOS\SALALA UF - 7.doc", "Abrir Documento")</f>
        <v>0</v>
      </c>
      <c r="D104" t="s">
        <v>23499</v>
      </c>
      <c r="E104" t="s">
        <v>23604</v>
      </c>
    </row>
    <row r="105" spans="1:5">
      <c r="A105" t="s">
        <v>5</v>
      </c>
      <c r="B105" t="s">
        <v>110</v>
      </c>
      <c r="C105">
        <f>HYPERLINK("C:\Users\franc\OneDrive\Documentos\ALIRO\ALIRO\KATHY\ANA LUISA 2010\PEDIMENTOS\SALALA UF - 6.doc", "Abrir Documento")</f>
        <v>0</v>
      </c>
      <c r="D105" t="s">
        <v>23499</v>
      </c>
      <c r="E105" t="s">
        <v>23605</v>
      </c>
    </row>
    <row r="106" spans="1:5">
      <c r="A106" t="s">
        <v>5</v>
      </c>
      <c r="B106" t="s">
        <v>111</v>
      </c>
      <c r="C106">
        <f>HYPERLINK("C:\Users\franc\OneDrive\Documentos\ALIRO\ALIRO\KATHY\ANA LUISA 2010\PEDIMENTOS\SALALA UF - 5.doc", "Abrir Documento")</f>
        <v>0</v>
      </c>
      <c r="D106" t="s">
        <v>23499</v>
      </c>
      <c r="E106" t="s">
        <v>23606</v>
      </c>
    </row>
    <row r="107" spans="1:5">
      <c r="A107" t="s">
        <v>5</v>
      </c>
      <c r="B107" t="s">
        <v>112</v>
      </c>
      <c r="C107">
        <f>HYPERLINK("C:\Users\franc\OneDrive\Documentos\ALIRO\ALIRO\KATHY\ANA LUISA 2010\PEDIMENTOS\SALALA UF - 4.doc", "Abrir Documento")</f>
        <v>0</v>
      </c>
      <c r="D107" t="s">
        <v>23499</v>
      </c>
      <c r="E107" t="s">
        <v>23607</v>
      </c>
    </row>
    <row r="108" spans="1:5">
      <c r="A108" t="s">
        <v>5</v>
      </c>
      <c r="B108" t="s">
        <v>113</v>
      </c>
      <c r="C108">
        <f>HYPERLINK("C:\Users\franc\OneDrive\Documentos\ALIRO\ALIRO\KATHY\ANA LUISA 2010\PEDIMENTOS\SALALA UF - 3.doc", "Abrir Documento")</f>
        <v>0</v>
      </c>
      <c r="D108" t="s">
        <v>23499</v>
      </c>
      <c r="E108" t="s">
        <v>23608</v>
      </c>
    </row>
    <row r="109" spans="1:5">
      <c r="A109" t="s">
        <v>5</v>
      </c>
      <c r="B109" t="s">
        <v>114</v>
      </c>
      <c r="C109">
        <f>HYPERLINK("C:\Users\franc\OneDrive\Documentos\ALIRO\ALIRO\KATHY\ANA LUISA 2010\PEDIMENTOS\SALALA UF - 2.doc", "Abrir Documento")</f>
        <v>0</v>
      </c>
      <c r="D109" t="s">
        <v>23499</v>
      </c>
      <c r="E109" t="s">
        <v>23609</v>
      </c>
    </row>
    <row r="110" spans="1:5">
      <c r="A110" t="s">
        <v>5</v>
      </c>
      <c r="B110" t="s">
        <v>115</v>
      </c>
      <c r="C110">
        <f>HYPERLINK("C:\Users\franc\OneDrive\Documentos\ALIRO\ALIRO\KATHY\ANA LUISA 2010\PEDIMENTOS\SALALA UF - 12.doc", "Abrir Documento")</f>
        <v>0</v>
      </c>
      <c r="D110" t="s">
        <v>23499</v>
      </c>
      <c r="E110" t="s">
        <v>23610</v>
      </c>
    </row>
    <row r="111" spans="1:5">
      <c r="A111" t="s">
        <v>5</v>
      </c>
      <c r="B111" t="s">
        <v>116</v>
      </c>
      <c r="C111">
        <f>HYPERLINK("C:\Users\franc\OneDrive\Documentos\ALIRO\ALIRO\KATHY\ANA LUISA 2010\PEDIMENTOS\SALALA UF - 11.doc", "Abrir Documento")</f>
        <v>0</v>
      </c>
      <c r="D111" t="s">
        <v>23499</v>
      </c>
      <c r="E111" t="s">
        <v>23611</v>
      </c>
    </row>
    <row r="112" spans="1:5">
      <c r="A112" t="s">
        <v>5</v>
      </c>
      <c r="B112" t="s">
        <v>117</v>
      </c>
      <c r="C112">
        <f>HYPERLINK("C:\Users\franc\OneDrive\Documentos\ALIRO\ALIRO\KATHY\ANA LUISA 2010\PEDIMENTOS\SALALA UF - 10.doc", "Abrir Documento")</f>
        <v>0</v>
      </c>
      <c r="D112" t="s">
        <v>23499</v>
      </c>
      <c r="E112" t="s">
        <v>23612</v>
      </c>
    </row>
    <row r="113" spans="1:5">
      <c r="A113" t="s">
        <v>5</v>
      </c>
      <c r="B113" t="s">
        <v>118</v>
      </c>
      <c r="C113">
        <f>HYPERLINK("C:\Users\franc\OneDrive\Documentos\ALIRO\ALIRO\KATHY\ANA LUISA 2010\PEDIMENTOS\SALALA UF - 1.doc", "Abrir Documento")</f>
        <v>0</v>
      </c>
      <c r="D113" t="s">
        <v>23499</v>
      </c>
      <c r="E113" t="s">
        <v>23613</v>
      </c>
    </row>
    <row r="114" spans="1:5">
      <c r="A114" t="s">
        <v>5</v>
      </c>
      <c r="B114" t="s">
        <v>119</v>
      </c>
      <c r="C114">
        <f>HYPERLINK("C:\Users\franc\OneDrive\Documentos\ALIRO\ALIRO\KATHY\ANA LUISA 2010\PEDIMENTOS\ROSA 2.doc", "Abrir Documento")</f>
        <v>0</v>
      </c>
      <c r="D114" t="s">
        <v>23499</v>
      </c>
      <c r="E114" t="s">
        <v>23614</v>
      </c>
    </row>
    <row r="115" spans="1:5">
      <c r="A115" t="s">
        <v>5</v>
      </c>
      <c r="B115" t="s">
        <v>120</v>
      </c>
      <c r="C115">
        <f>HYPERLINK("C:\Users\franc\OneDrive\Documentos\ALIRO\ALIRO\KATHY\ANA LUISA 2010\PEDIMENTOS\ROSA 1.doc", "Abrir Documento")</f>
        <v>0</v>
      </c>
      <c r="D115" t="s">
        <v>23499</v>
      </c>
      <c r="E115" t="s">
        <v>23615</v>
      </c>
    </row>
    <row r="116" spans="1:5">
      <c r="A116" t="s">
        <v>5</v>
      </c>
      <c r="B116" t="s">
        <v>121</v>
      </c>
      <c r="C116">
        <f>HYPERLINK("C:\Users\franc\OneDrive\Documentos\ALIRO\ALIRO\KATHY\ANA LUISA 2010\PEDIMENTOS\ROCIO UNO.doc", "Abrir Documento")</f>
        <v>0</v>
      </c>
      <c r="D116" t="s">
        <v>23499</v>
      </c>
      <c r="E116" t="s">
        <v>23616</v>
      </c>
    </row>
    <row r="117" spans="1:5">
      <c r="A117" t="s">
        <v>5</v>
      </c>
      <c r="B117" t="s">
        <v>122</v>
      </c>
      <c r="C117">
        <f>HYPERLINK("C:\Users\franc\OneDrive\Documentos\ALIRO\ALIRO\KATHY\ANA LUISA 2010\PEDIMENTOS\RATONES TRES.doc", "Abrir Documento")</f>
        <v>0</v>
      </c>
      <c r="D117" t="s">
        <v>23499</v>
      </c>
      <c r="E117" t="s">
        <v>23617</v>
      </c>
    </row>
    <row r="118" spans="1:5">
      <c r="A118" t="s">
        <v>5</v>
      </c>
      <c r="B118" t="s">
        <v>123</v>
      </c>
      <c r="C118">
        <f>HYPERLINK("C:\Users\franc\OneDrive\Documentos\ALIRO\ALIRO\KATHY\ANA LUISA 2010\PEDIMENTOS\QUISCO 44.doc", "Abrir Documento")</f>
        <v>0</v>
      </c>
      <c r="D118" t="s">
        <v>23499</v>
      </c>
      <c r="E118" t="s">
        <v>23618</v>
      </c>
    </row>
    <row r="119" spans="1:5">
      <c r="A119" t="s">
        <v>5</v>
      </c>
      <c r="B119" t="s">
        <v>124</v>
      </c>
      <c r="C119">
        <f>HYPERLINK("C:\Users\franc\OneDrive\Documentos\ALIRO\ALIRO\KATHY\ANA LUISA 2010\PEDIMENTOS\QUISCO 43.doc", "Abrir Documento")</f>
        <v>0</v>
      </c>
      <c r="D119" t="s">
        <v>23499</v>
      </c>
      <c r="E119" t="s">
        <v>23619</v>
      </c>
    </row>
    <row r="120" spans="1:5">
      <c r="A120" t="s">
        <v>5</v>
      </c>
      <c r="B120" t="s">
        <v>125</v>
      </c>
      <c r="C120">
        <f>HYPERLINK("C:\Users\franc\OneDrive\Documentos\ALIRO\ALIRO\KATHY\ANA LUISA 2010\PEDIMENTOS\QUISCO 42.doc", "Abrir Documento")</f>
        <v>0</v>
      </c>
      <c r="D120" t="s">
        <v>23499</v>
      </c>
      <c r="E120" t="s">
        <v>23620</v>
      </c>
    </row>
    <row r="121" spans="1:5">
      <c r="A121" t="s">
        <v>5</v>
      </c>
      <c r="B121" t="s">
        <v>126</v>
      </c>
      <c r="C121">
        <f>HYPERLINK("C:\Users\franc\OneDrive\Documentos\ALIRO\ALIRO\KATHY\ANA LUISA 2010\PEDIMENTOS\QUISCO 41.doc", "Abrir Documento")</f>
        <v>0</v>
      </c>
      <c r="D121" t="s">
        <v>23499</v>
      </c>
      <c r="E121" t="s">
        <v>23621</v>
      </c>
    </row>
    <row r="122" spans="1:5">
      <c r="A122" t="s">
        <v>5</v>
      </c>
      <c r="B122" t="s">
        <v>127</v>
      </c>
      <c r="C122">
        <f>HYPERLINK("C:\Users\franc\OneDrive\Documentos\ALIRO\ALIRO\KATHY\ANA LUISA 2010\PEDIMENTOS\QUISCO 40.doc", "Abrir Documento")</f>
        <v>0</v>
      </c>
      <c r="D122" t="s">
        <v>23499</v>
      </c>
      <c r="E122" t="s">
        <v>23622</v>
      </c>
    </row>
    <row r="123" spans="1:5">
      <c r="A123" t="s">
        <v>5</v>
      </c>
      <c r="B123" t="s">
        <v>128</v>
      </c>
      <c r="C123">
        <f>HYPERLINK("C:\Users\franc\OneDrive\Documentos\ALIRO\ALIRO\KATHY\ANA LUISA 2010\PEDIMENTOS\QUISCO 39.doc", "Abrir Documento")</f>
        <v>0</v>
      </c>
      <c r="D123" t="s">
        <v>23499</v>
      </c>
      <c r="E123" t="s">
        <v>23623</v>
      </c>
    </row>
    <row r="124" spans="1:5">
      <c r="A124" t="s">
        <v>5</v>
      </c>
      <c r="B124" t="s">
        <v>129</v>
      </c>
      <c r="C124">
        <f>HYPERLINK("C:\Users\franc\OneDrive\Documentos\ALIRO\ALIRO\KATHY\ANA LUISA 2010\PEDIMENTOS\QUISCO 38.doc", "Abrir Documento")</f>
        <v>0</v>
      </c>
      <c r="D124" t="s">
        <v>23499</v>
      </c>
      <c r="E124" t="s">
        <v>23624</v>
      </c>
    </row>
    <row r="125" spans="1:5">
      <c r="A125" t="s">
        <v>5</v>
      </c>
      <c r="B125" t="s">
        <v>130</v>
      </c>
      <c r="C125">
        <f>HYPERLINK("C:\Users\franc\OneDrive\Documentos\ALIRO\ALIRO\KATHY\ANA LUISA 2010\PEDIMENTOS\QUISCO 37.doc", "Abrir Documento")</f>
        <v>0</v>
      </c>
      <c r="D125" t="s">
        <v>23499</v>
      </c>
      <c r="E125" t="s">
        <v>23625</v>
      </c>
    </row>
    <row r="126" spans="1:5">
      <c r="A126" t="s">
        <v>5</v>
      </c>
      <c r="B126" t="s">
        <v>131</v>
      </c>
      <c r="C126">
        <f>HYPERLINK("C:\Users\franc\OneDrive\Documentos\ALIRO\ALIRO\KATHY\ANA LUISA 2010\PEDIMENTOS\QUISCO 36.doc", "Abrir Documento")</f>
        <v>0</v>
      </c>
      <c r="D126" t="s">
        <v>23499</v>
      </c>
      <c r="E126" t="s">
        <v>23626</v>
      </c>
    </row>
    <row r="127" spans="1:5">
      <c r="A127" t="s">
        <v>5</v>
      </c>
      <c r="B127" t="s">
        <v>132</v>
      </c>
      <c r="C127">
        <f>HYPERLINK("C:\Users\franc\OneDrive\Documentos\ALIRO\ALIRO\KATHY\ANA LUISA 2010\PEDIMENTOS\QUISCO 35.doc", "Abrir Documento")</f>
        <v>0</v>
      </c>
      <c r="D127" t="s">
        <v>23499</v>
      </c>
      <c r="E127" t="s">
        <v>23627</v>
      </c>
    </row>
    <row r="128" spans="1:5">
      <c r="A128" t="s">
        <v>5</v>
      </c>
      <c r="B128" t="s">
        <v>133</v>
      </c>
      <c r="C128">
        <f>HYPERLINK("C:\Users\franc\OneDrive\Documentos\ALIRO\ALIRO\KATHY\ANA LUISA 2010\PEDIMENTOS\QUISCO 34.doc", "Abrir Documento")</f>
        <v>0</v>
      </c>
      <c r="D128" t="s">
        <v>23499</v>
      </c>
      <c r="E128" t="s">
        <v>23628</v>
      </c>
    </row>
    <row r="129" spans="1:5">
      <c r="A129" t="s">
        <v>5</v>
      </c>
      <c r="B129" t="s">
        <v>134</v>
      </c>
      <c r="C129">
        <f>HYPERLINK("C:\Users\franc\OneDrive\Documentos\ALIRO\ALIRO\KATHY\ANA LUISA 2010\PEDIMENTOS\QUISCO 33.doc", "Abrir Documento")</f>
        <v>0</v>
      </c>
      <c r="D129" t="s">
        <v>23499</v>
      </c>
      <c r="E129" t="s">
        <v>23629</v>
      </c>
    </row>
    <row r="130" spans="1:5">
      <c r="A130" t="s">
        <v>5</v>
      </c>
      <c r="B130" t="s">
        <v>135</v>
      </c>
      <c r="C130">
        <f>HYPERLINK("C:\Users\franc\OneDrive\Documentos\ALIRO\ALIRO\KATHY\ANA LUISA 2010\PEDIMENTOS\QUISCO 32.doc", "Abrir Documento")</f>
        <v>0</v>
      </c>
      <c r="D130" t="s">
        <v>23499</v>
      </c>
      <c r="E130" t="s">
        <v>23630</v>
      </c>
    </row>
    <row r="131" spans="1:5">
      <c r="A131" t="s">
        <v>5</v>
      </c>
      <c r="B131" t="s">
        <v>136</v>
      </c>
      <c r="C131">
        <f>HYPERLINK("C:\Users\franc\OneDrive\Documentos\ALIRO\ALIRO\KATHY\ANA LUISA 2010\PEDIMENTOS\QUISCO 31.doc", "Abrir Documento")</f>
        <v>0</v>
      </c>
      <c r="D131" t="s">
        <v>23499</v>
      </c>
      <c r="E131" t="s">
        <v>23631</v>
      </c>
    </row>
    <row r="132" spans="1:5">
      <c r="A132" t="s">
        <v>5</v>
      </c>
      <c r="B132" t="s">
        <v>137</v>
      </c>
      <c r="C132">
        <f>HYPERLINK("C:\Users\franc\OneDrive\Documentos\ALIRO\ALIRO\KATHY\ANA LUISA 2010\PEDIMENTOS\QUISCO 12.doc", "Abrir Documento")</f>
        <v>0</v>
      </c>
      <c r="D132" t="s">
        <v>23499</v>
      </c>
      <c r="E132" t="s">
        <v>23632</v>
      </c>
    </row>
    <row r="133" spans="1:5">
      <c r="A133" t="s">
        <v>5</v>
      </c>
      <c r="B133" t="s">
        <v>138</v>
      </c>
      <c r="C133">
        <f>HYPERLINK("C:\Users\franc\OneDrive\Documentos\ALIRO\ALIRO\KATHY\ANA LUISA 2010\PEDIMENTOS\PLUTON.doc", "Abrir Documento")</f>
        <v>0</v>
      </c>
      <c r="D133" t="s">
        <v>23499</v>
      </c>
      <c r="E133" t="s">
        <v>23633</v>
      </c>
    </row>
    <row r="134" spans="1:5">
      <c r="A134" t="s">
        <v>5</v>
      </c>
      <c r="B134" t="s">
        <v>139</v>
      </c>
      <c r="C134">
        <f>HYPERLINK("C:\Users\franc\OneDrive\Documentos\ALIRO\ALIRO\KATHY\ANA LUISA 2010\PEDIMENTOS\PLAYA 8.doc", "Abrir Documento")</f>
        <v>0</v>
      </c>
      <c r="D134" t="s">
        <v>23499</v>
      </c>
      <c r="E134" t="s">
        <v>23634</v>
      </c>
    </row>
    <row r="135" spans="1:5">
      <c r="A135" t="s">
        <v>5</v>
      </c>
      <c r="B135" t="s">
        <v>140</v>
      </c>
      <c r="C135">
        <f>HYPERLINK("C:\Users\franc\OneDrive\Documentos\ALIRO\ALIRO\KATHY\ANA LUISA 2010\PEDIMENTOS\PLAYA 7.doc", "Abrir Documento")</f>
        <v>0</v>
      </c>
      <c r="D135" t="s">
        <v>23499</v>
      </c>
      <c r="E135" t="s">
        <v>23635</v>
      </c>
    </row>
    <row r="136" spans="1:5">
      <c r="A136" t="s">
        <v>5</v>
      </c>
      <c r="B136" t="s">
        <v>141</v>
      </c>
      <c r="C136">
        <f>HYPERLINK("C:\Users\franc\OneDrive\Documentos\ALIRO\ALIRO\KATHY\ANA LUISA 2010\PEDIMENTOS\PLAYA 3.doc", "Abrir Documento")</f>
        <v>0</v>
      </c>
      <c r="D136" t="s">
        <v>23499</v>
      </c>
      <c r="E136" t="s">
        <v>23636</v>
      </c>
    </row>
    <row r="137" spans="1:5">
      <c r="A137" t="s">
        <v>5</v>
      </c>
      <c r="B137" t="s">
        <v>142</v>
      </c>
      <c r="C137">
        <f>HYPERLINK("C:\Users\franc\OneDrive\Documentos\ALIRO\ALIRO\KATHY\ANA LUISA 2010\PEDIMENTOS\PLAYA 2.doc", "Abrir Documento")</f>
        <v>0</v>
      </c>
      <c r="D137" t="s">
        <v>23499</v>
      </c>
      <c r="E137" t="s">
        <v>23637</v>
      </c>
    </row>
    <row r="138" spans="1:5">
      <c r="A138" t="s">
        <v>5</v>
      </c>
      <c r="B138" t="s">
        <v>143</v>
      </c>
      <c r="C138">
        <f>HYPERLINK("C:\Users\franc\OneDrive\Documentos\ALIRO\ALIRO\KATHY\ANA LUISA 2010\PEDIMENTOS\PLAYA 18.doc", "Abrir Documento")</f>
        <v>0</v>
      </c>
      <c r="D138" t="s">
        <v>23499</v>
      </c>
      <c r="E138" t="s">
        <v>23638</v>
      </c>
    </row>
    <row r="139" spans="1:5">
      <c r="A139" t="s">
        <v>5</v>
      </c>
      <c r="B139" t="s">
        <v>144</v>
      </c>
      <c r="C139">
        <f>HYPERLINK("C:\Users\franc\OneDrive\Documentos\ALIRO\ALIRO\KATHY\ANA LUISA 2010\PEDIMENTOS\PLAYA 17.doc", "Abrir Documento")</f>
        <v>0</v>
      </c>
      <c r="D139" t="s">
        <v>23499</v>
      </c>
      <c r="E139" t="s">
        <v>23639</v>
      </c>
    </row>
    <row r="140" spans="1:5">
      <c r="A140" t="s">
        <v>5</v>
      </c>
      <c r="B140" t="s">
        <v>145</v>
      </c>
      <c r="C140">
        <f>HYPERLINK("C:\Users\franc\OneDrive\Documentos\ALIRO\ALIRO\KATHY\ANA LUISA 2010\PEDIMENTOS\PLAYA 16.doc", "Abrir Documento")</f>
        <v>0</v>
      </c>
      <c r="D140" t="s">
        <v>23499</v>
      </c>
      <c r="E140" t="s">
        <v>23640</v>
      </c>
    </row>
    <row r="141" spans="1:5">
      <c r="A141" t="s">
        <v>5</v>
      </c>
      <c r="B141" t="s">
        <v>146</v>
      </c>
      <c r="C141">
        <f>HYPERLINK("C:\Users\franc\OneDrive\Documentos\ALIRO\ALIRO\KATHY\ANA LUISA 2010\PEDIMENTOS\PLAYA 15.doc", "Abrir Documento")</f>
        <v>0</v>
      </c>
      <c r="D141" t="s">
        <v>23499</v>
      </c>
      <c r="E141" t="s">
        <v>23641</v>
      </c>
    </row>
    <row r="142" spans="1:5">
      <c r="A142" t="s">
        <v>5</v>
      </c>
      <c r="B142" t="s">
        <v>147</v>
      </c>
      <c r="C142">
        <f>HYPERLINK("C:\Users\franc\OneDrive\Documentos\ALIRO\ALIRO\KATHY\ANA LUISA 2010\PEDIMENTOS\PLAYA 14.doc", "Abrir Documento")</f>
        <v>0</v>
      </c>
      <c r="D142" t="s">
        <v>23499</v>
      </c>
      <c r="E142" t="s">
        <v>23642</v>
      </c>
    </row>
    <row r="143" spans="1:5">
      <c r="A143" t="s">
        <v>5</v>
      </c>
      <c r="B143" t="s">
        <v>148</v>
      </c>
      <c r="C143">
        <f>HYPERLINK("C:\Users\franc\OneDrive\Documentos\ALIRO\ALIRO\KATHY\ANA LUISA 2010\PEDIMENTOS\PLAYA 13.doc", "Abrir Documento")</f>
        <v>0</v>
      </c>
      <c r="D143" t="s">
        <v>23499</v>
      </c>
      <c r="E143" t="s">
        <v>23643</v>
      </c>
    </row>
    <row r="144" spans="1:5">
      <c r="A144" t="s">
        <v>5</v>
      </c>
      <c r="B144" t="s">
        <v>149</v>
      </c>
      <c r="C144">
        <f>HYPERLINK("C:\Users\franc\OneDrive\Documentos\ALIRO\ALIRO\KATHY\ANA LUISA 2010\PEDIMENTOS\PLAYA 12.doc", "Abrir Documento")</f>
        <v>0</v>
      </c>
      <c r="D144" t="s">
        <v>23499</v>
      </c>
      <c r="E144" t="s">
        <v>23644</v>
      </c>
    </row>
    <row r="145" spans="1:5">
      <c r="A145" t="s">
        <v>5</v>
      </c>
      <c r="B145" t="s">
        <v>150</v>
      </c>
      <c r="C145">
        <f>HYPERLINK("C:\Users\franc\OneDrive\Documentos\ALIRO\ALIRO\KATHY\ANA LUISA 2010\PEDIMENTOS\PLAYA 11.doc", "Abrir Documento")</f>
        <v>0</v>
      </c>
      <c r="D145" t="s">
        <v>23499</v>
      </c>
      <c r="E145" t="s">
        <v>23645</v>
      </c>
    </row>
    <row r="146" spans="1:5">
      <c r="A146" t="s">
        <v>5</v>
      </c>
      <c r="B146" t="s">
        <v>151</v>
      </c>
      <c r="C146">
        <f>HYPERLINK("C:\Users\franc\OneDrive\Documentos\ALIRO\ALIRO\KATHY\ANA LUISA 2010\PEDIMENTOS\PLAYA 1.doc", "Abrir Documento")</f>
        <v>0</v>
      </c>
      <c r="D146" t="s">
        <v>23499</v>
      </c>
      <c r="E146" t="s">
        <v>23646</v>
      </c>
    </row>
    <row r="147" spans="1:5">
      <c r="A147" t="s">
        <v>5</v>
      </c>
      <c r="B147" t="s">
        <v>152</v>
      </c>
      <c r="C147">
        <f>HYPERLINK("C:\Users\franc\OneDrive\Documentos\ALIRO\ALIRO\KATHY\ANA LUISA 2010\PEDIMENTOS\PABLO.doc", "Abrir Documento")</f>
        <v>0</v>
      </c>
      <c r="D147" t="s">
        <v>23499</v>
      </c>
      <c r="E147" t="s">
        <v>23647</v>
      </c>
    </row>
    <row r="148" spans="1:5">
      <c r="A148" t="s">
        <v>5</v>
      </c>
      <c r="B148" t="s">
        <v>153</v>
      </c>
      <c r="C148">
        <f>HYPERLINK("C:\Users\franc\OneDrive\Documentos\ALIRO\ALIRO\KATHY\ANA LUISA 2010\PEDIMENTOS\NOLANA SEGUNDA  (PRIMER JUZGADO).doc", "Abrir Documento")</f>
        <v>0</v>
      </c>
      <c r="D148" t="s">
        <v>23499</v>
      </c>
      <c r="E148" t="s">
        <v>23648</v>
      </c>
    </row>
    <row r="149" spans="1:5">
      <c r="A149" t="s">
        <v>5</v>
      </c>
      <c r="B149" t="s">
        <v>154</v>
      </c>
      <c r="C149">
        <f>HYPERLINK("C:\Users\franc\OneDrive\Documentos\ALIRO\ALIRO\KATHY\ANA LUISA 2010\PEDIMENTOS\NOLANA PRIMERA  (PRIMER JUZGADO).doc", "Abrir Documento")</f>
        <v>0</v>
      </c>
      <c r="D149" t="s">
        <v>23500</v>
      </c>
      <c r="E149" t="s">
        <v>23649</v>
      </c>
    </row>
    <row r="150" spans="1:5">
      <c r="A150" t="s">
        <v>5</v>
      </c>
      <c r="B150" t="s">
        <v>155</v>
      </c>
      <c r="C150">
        <f>HYPERLINK("C:\Users\franc\OneDrive\Documentos\ALIRO\ALIRO\KATHY\ANA LUISA 2010\PEDIMENTOS\NATALIA UNO.doc", "Abrir Documento")</f>
        <v>0</v>
      </c>
      <c r="D150" t="s">
        <v>23500</v>
      </c>
      <c r="E150" t="s">
        <v>23650</v>
      </c>
    </row>
    <row r="151" spans="1:5">
      <c r="A151" t="s">
        <v>5</v>
      </c>
      <c r="B151" t="s">
        <v>156</v>
      </c>
      <c r="C151">
        <f>HYPERLINK("C:\Users\franc\OneDrive\Documentos\ALIRO\ALIRO\KATHY\ANA LUISA 2010\PEDIMENTOS\NATALIA TRES.doc", "Abrir Documento")</f>
        <v>0</v>
      </c>
      <c r="D151" t="s">
        <v>23500</v>
      </c>
      <c r="E151" t="s">
        <v>23651</v>
      </c>
    </row>
    <row r="152" spans="1:5">
      <c r="A152" t="s">
        <v>5</v>
      </c>
      <c r="B152" t="s">
        <v>157</v>
      </c>
      <c r="C152">
        <f>HYPERLINK("C:\Users\franc\OneDrive\Documentos\ALIRO\ALIRO\KATHY\ANA LUISA 2010\PEDIMENTOS\NATALIA SIETE.doc", "Abrir Documento")</f>
        <v>0</v>
      </c>
      <c r="D152" t="s">
        <v>23500</v>
      </c>
      <c r="E152" t="s">
        <v>23652</v>
      </c>
    </row>
    <row r="153" spans="1:5">
      <c r="A153" t="s">
        <v>5</v>
      </c>
      <c r="B153" t="s">
        <v>158</v>
      </c>
      <c r="C153">
        <f>HYPERLINK("C:\Users\franc\OneDrive\Documentos\ALIRO\ALIRO\KATHY\ANA LUISA 2010\PEDIMENTOS\NATALIA SEIS.doc", "Abrir Documento")</f>
        <v>0</v>
      </c>
      <c r="D153" t="s">
        <v>23500</v>
      </c>
      <c r="E153" t="s">
        <v>23653</v>
      </c>
    </row>
    <row r="154" spans="1:5">
      <c r="A154" t="s">
        <v>5</v>
      </c>
      <c r="B154" t="s">
        <v>159</v>
      </c>
      <c r="C154">
        <f>HYPERLINK("C:\Users\franc\OneDrive\Documentos\ALIRO\ALIRO\KATHY\ANA LUISA 2010\PEDIMENTOS\NATALIA OCHO.doc", "Abrir Documento")</f>
        <v>0</v>
      </c>
      <c r="D154" t="s">
        <v>23500</v>
      </c>
      <c r="E154" t="s">
        <v>23654</v>
      </c>
    </row>
    <row r="155" spans="1:5">
      <c r="A155" t="s">
        <v>5</v>
      </c>
      <c r="B155" t="s">
        <v>160</v>
      </c>
      <c r="C155">
        <f>HYPERLINK("C:\Users\franc\OneDrive\Documentos\ALIRO\ALIRO\KATHY\ANA LUISA 2010\PEDIMENTOS\NATALIA DOS.doc", "Abrir Documento")</f>
        <v>0</v>
      </c>
      <c r="D155" t="s">
        <v>23500</v>
      </c>
      <c r="E155" t="s">
        <v>23655</v>
      </c>
    </row>
    <row r="156" spans="1:5">
      <c r="A156" t="s">
        <v>5</v>
      </c>
      <c r="B156" t="s">
        <v>161</v>
      </c>
      <c r="C156">
        <f>HYPERLINK("C:\Users\franc\OneDrive\Documentos\ALIRO\ALIRO\KATHY\ANA LUISA 2010\PEDIMENTOS\NATALIA CUATRO.doc", "Abrir Documento")</f>
        <v>0</v>
      </c>
      <c r="D156" t="s">
        <v>23500</v>
      </c>
      <c r="E156" t="s">
        <v>23656</v>
      </c>
    </row>
    <row r="157" spans="1:5">
      <c r="A157" t="s">
        <v>5</v>
      </c>
      <c r="B157" t="s">
        <v>162</v>
      </c>
      <c r="C157">
        <f>HYPERLINK("C:\Users\franc\OneDrive\Documentos\ALIRO\ALIRO\KATHY\ANA LUISA 2010\PEDIMENTOS\NATALIA CINCO.doc", "Abrir Documento")</f>
        <v>0</v>
      </c>
      <c r="D157" t="s">
        <v>23500</v>
      </c>
      <c r="E157" t="s">
        <v>23657</v>
      </c>
    </row>
    <row r="158" spans="1:5">
      <c r="A158" t="s">
        <v>5</v>
      </c>
      <c r="B158" t="s">
        <v>163</v>
      </c>
      <c r="C158">
        <f>HYPERLINK("C:\Users\franc\OneDrive\Documentos\ALIRO\ALIRO\KATHY\ANA LUISA 2010\PEDIMENTOS\MONICA II 9.doc", "Abrir Documento")</f>
        <v>0</v>
      </c>
      <c r="D158" t="s">
        <v>23500</v>
      </c>
      <c r="E158" t="s">
        <v>23658</v>
      </c>
    </row>
    <row r="159" spans="1:5">
      <c r="A159" t="s">
        <v>5</v>
      </c>
      <c r="B159" t="s">
        <v>164</v>
      </c>
      <c r="C159">
        <f>HYPERLINK("C:\Users\franc\OneDrive\Documentos\ALIRO\ALIRO\KATHY\ANA LUISA 2010\PEDIMENTOS\MONICA II 13.doc", "Abrir Documento")</f>
        <v>0</v>
      </c>
      <c r="D159" t="s">
        <v>23500</v>
      </c>
      <c r="E159" t="s">
        <v>23659</v>
      </c>
    </row>
    <row r="160" spans="1:5">
      <c r="A160" t="s">
        <v>5</v>
      </c>
      <c r="B160" t="s">
        <v>165</v>
      </c>
      <c r="C160">
        <f>HYPERLINK("C:\Users\franc\OneDrive\Documentos\ALIRO\ALIRO\KATHY\ANA LUISA 2010\PEDIMENTOS\marte.doc", "Abrir Documento")</f>
        <v>0</v>
      </c>
      <c r="D160" t="s">
        <v>23500</v>
      </c>
      <c r="E160" t="s">
        <v>23660</v>
      </c>
    </row>
    <row r="161" spans="1:5">
      <c r="A161" t="s">
        <v>5</v>
      </c>
      <c r="B161" t="s">
        <v>166</v>
      </c>
      <c r="C161">
        <f>HYPERLINK("C:\Users\franc\OneDrive\Documentos\ALIRO\ALIRO\KATHY\ANA LUISA 2010\PEDIMENTOS\MARIA PAULA I.doc", "Abrir Documento")</f>
        <v>0</v>
      </c>
      <c r="D161" t="s">
        <v>23500</v>
      </c>
      <c r="E161" t="s">
        <v>23661</v>
      </c>
    </row>
    <row r="162" spans="1:5">
      <c r="A162" t="s">
        <v>5</v>
      </c>
      <c r="B162" t="s">
        <v>167</v>
      </c>
      <c r="C162">
        <f>HYPERLINK("C:\Users\franc\OneDrive\Documentos\ALIRO\ALIRO\KATHY\ANA LUISA 2010\PEDIMENTOS\MANGANESO SANTA BARBARA.doc", "Abrir Documento")</f>
        <v>0</v>
      </c>
      <c r="D162" t="s">
        <v>23500</v>
      </c>
      <c r="E162" t="s">
        <v>23662</v>
      </c>
    </row>
    <row r="163" spans="1:5">
      <c r="A163" t="s">
        <v>5</v>
      </c>
      <c r="B163" t="s">
        <v>168</v>
      </c>
      <c r="C163">
        <f>HYPERLINK("C:\Users\franc\OneDrive\Documentos\ALIRO\ALIRO\KATHY\ANA LUISA 2010\PEDIMENTOS\MADURO 9.doc", "Abrir Documento")</f>
        <v>0</v>
      </c>
      <c r="D163" t="s">
        <v>23500</v>
      </c>
      <c r="E163" t="s">
        <v>23663</v>
      </c>
    </row>
    <row r="164" spans="1:5">
      <c r="A164" t="s">
        <v>5</v>
      </c>
      <c r="B164" t="s">
        <v>169</v>
      </c>
      <c r="C164">
        <f>HYPERLINK("C:\Users\franc\OneDrive\Documentos\ALIRO\ALIRO\KATHY\ANA LUISA 2010\PEDIMENTOS\MADURO 8.doc", "Abrir Documento")</f>
        <v>0</v>
      </c>
      <c r="D164" t="s">
        <v>23500</v>
      </c>
      <c r="E164" t="s">
        <v>23664</v>
      </c>
    </row>
    <row r="165" spans="1:5">
      <c r="A165" t="s">
        <v>5</v>
      </c>
      <c r="B165" t="s">
        <v>170</v>
      </c>
      <c r="C165">
        <f>HYPERLINK("C:\Users\franc\OneDrive\Documentos\ALIRO\ALIRO\KATHY\ANA LUISA 2010\PEDIMENTOS\MADURO 14.doc", "Abrir Documento")</f>
        <v>0</v>
      </c>
      <c r="D165" t="s">
        <v>23500</v>
      </c>
      <c r="E165" t="s">
        <v>23665</v>
      </c>
    </row>
    <row r="166" spans="1:5">
      <c r="A166" t="s">
        <v>5</v>
      </c>
      <c r="B166" t="s">
        <v>171</v>
      </c>
      <c r="C166">
        <f>HYPERLINK("C:\Users\franc\OneDrive\Documentos\ALIRO\ALIRO\KATHY\ANA LUISA 2010\PEDIMENTOS\MADURO 13.doc", "Abrir Documento")</f>
        <v>0</v>
      </c>
      <c r="D166" t="s">
        <v>23500</v>
      </c>
      <c r="E166" t="s">
        <v>23666</v>
      </c>
    </row>
    <row r="167" spans="1:5">
      <c r="A167" t="s">
        <v>5</v>
      </c>
      <c r="B167" t="s">
        <v>172</v>
      </c>
      <c r="C167">
        <f>HYPERLINK("C:\Users\franc\OneDrive\Documentos\ALIRO\ALIRO\KATHY\ANA LUISA 2010\PEDIMENTOS\MADURO 12.doc", "Abrir Documento")</f>
        <v>0</v>
      </c>
      <c r="D167" t="s">
        <v>23500</v>
      </c>
      <c r="E167" t="s">
        <v>23667</v>
      </c>
    </row>
    <row r="168" spans="1:5">
      <c r="A168" t="s">
        <v>5</v>
      </c>
      <c r="B168" t="s">
        <v>173</v>
      </c>
      <c r="C168">
        <f>HYPERLINK("C:\Users\franc\OneDrive\Documentos\ALIRO\ALIRO\KATHY\ANA LUISA 2010\PEDIMENTOS\MADURO 11.doc", "Abrir Documento")</f>
        <v>0</v>
      </c>
      <c r="D168" t="s">
        <v>23500</v>
      </c>
      <c r="E168" t="s">
        <v>23668</v>
      </c>
    </row>
    <row r="169" spans="1:5">
      <c r="A169" t="s">
        <v>5</v>
      </c>
      <c r="B169" t="s">
        <v>174</v>
      </c>
      <c r="C169">
        <f>HYPERLINK("C:\Users\franc\OneDrive\Documentos\ALIRO\ALIRO\KATHY\ANA LUISA 2010\PEDIMENTOS\MADURO 10.doc", "Abrir Documento")</f>
        <v>0</v>
      </c>
      <c r="D169" t="s">
        <v>23500</v>
      </c>
      <c r="E169" t="s">
        <v>23669</v>
      </c>
    </row>
    <row r="170" spans="1:5">
      <c r="A170" t="s">
        <v>5</v>
      </c>
      <c r="B170" t="s">
        <v>175</v>
      </c>
      <c r="C170">
        <f>HYPERLINK("C:\Users\franc\OneDrive\Documentos\ALIRO\ALIRO\KATHY\ANA LUISA 2010\PEDIMENTOS\LOS PISCOLEROS UNO.doc", "Abrir Documento")</f>
        <v>0</v>
      </c>
      <c r="D170" t="s">
        <v>23500</v>
      </c>
      <c r="E170" t="s">
        <v>23670</v>
      </c>
    </row>
    <row r="171" spans="1:5">
      <c r="A171" t="s">
        <v>5</v>
      </c>
      <c r="B171" t="s">
        <v>176</v>
      </c>
      <c r="C171">
        <f>HYPERLINK("C:\Users\franc\OneDrive\Documentos\ALIRO\ALIRO\KATHY\ANA LUISA 2010\PEDIMENTOS\LOS PISCOLEROS 2.doc", "Abrir Documento")</f>
        <v>0</v>
      </c>
      <c r="D171" t="s">
        <v>23500</v>
      </c>
      <c r="E171" t="s">
        <v>23671</v>
      </c>
    </row>
    <row r="172" spans="1:5">
      <c r="A172" t="s">
        <v>5</v>
      </c>
      <c r="B172" t="s">
        <v>177</v>
      </c>
      <c r="C172">
        <f>HYPERLINK("C:\Users\franc\OneDrive\Documentos\ALIRO\ALIRO\KATHY\ANA LUISA 2010\PEDIMENTOS\LOS PISCOLEROS 1.doc", "Abrir Documento")</f>
        <v>0</v>
      </c>
      <c r="D172" t="s">
        <v>23500</v>
      </c>
      <c r="E172" t="s">
        <v>23672</v>
      </c>
    </row>
    <row r="173" spans="1:5">
      <c r="A173" t="s">
        <v>5</v>
      </c>
      <c r="B173" t="s">
        <v>178</v>
      </c>
      <c r="C173">
        <f>HYPERLINK("C:\Users\franc\OneDrive\Documentos\ALIRO\ALIRO\KATHY\ANA LUISA 2010\PEDIMENTOS\LOMAS VIII  -    PRIMER JUZGADO.doc", "Abrir Documento")</f>
        <v>0</v>
      </c>
      <c r="D173" t="s">
        <v>23500</v>
      </c>
      <c r="E173" t="s">
        <v>23673</v>
      </c>
    </row>
    <row r="174" spans="1:5">
      <c r="A174" t="s">
        <v>5</v>
      </c>
      <c r="B174" t="s">
        <v>179</v>
      </c>
      <c r="C174">
        <f>HYPERLINK("C:\Users\franc\OneDrive\Documentos\ALIRO\ALIRO\KATHY\ANA LUISA 2010\PEDIMENTOS\LOMAS VII  -    PRIMER JUZGADO.doc", "Abrir Documento")</f>
        <v>0</v>
      </c>
      <c r="D174" t="s">
        <v>23500</v>
      </c>
      <c r="E174" t="s">
        <v>23674</v>
      </c>
    </row>
    <row r="175" spans="1:5">
      <c r="A175" t="s">
        <v>5</v>
      </c>
      <c r="B175" t="s">
        <v>180</v>
      </c>
      <c r="C175">
        <f>HYPERLINK("C:\Users\franc\OneDrive\Documentos\ALIRO\ALIRO\KATHY\ANA LUISA 2010\PEDIMENTOS\LOMAS VI  -    PRIMER JUZGADO.doc", "Abrir Documento")</f>
        <v>0</v>
      </c>
      <c r="D175" t="s">
        <v>23500</v>
      </c>
      <c r="E175" t="s">
        <v>23675</v>
      </c>
    </row>
    <row r="176" spans="1:5">
      <c r="A176" t="s">
        <v>5</v>
      </c>
      <c r="B176" t="s">
        <v>181</v>
      </c>
      <c r="C176">
        <f>HYPERLINK("C:\Users\franc\OneDrive\Documentos\ALIRO\ALIRO\KATHY\ANA LUISA 2010\PEDIMENTOS\LOMAS V  -    PRIMER JUZGADO.doc", "Abrir Documento")</f>
        <v>0</v>
      </c>
      <c r="D176" t="s">
        <v>23500</v>
      </c>
      <c r="E176" t="s">
        <v>23676</v>
      </c>
    </row>
    <row r="177" spans="1:5">
      <c r="A177" t="s">
        <v>5</v>
      </c>
      <c r="B177" t="s">
        <v>182</v>
      </c>
      <c r="C177">
        <f>HYPERLINK("C:\Users\franc\OneDrive\Documentos\ALIRO\ALIRO\KATHY\ANA LUISA 2010\PEDIMENTOS\LOMAS IV  -    PRIMER JUZGADO.doc", "Abrir Documento")</f>
        <v>0</v>
      </c>
      <c r="D177" t="s">
        <v>23500</v>
      </c>
      <c r="E177" t="s">
        <v>23677</v>
      </c>
    </row>
    <row r="178" spans="1:5">
      <c r="A178" t="s">
        <v>5</v>
      </c>
      <c r="B178" t="s">
        <v>183</v>
      </c>
      <c r="C178">
        <f>HYPERLINK("C:\Users\franc\OneDrive\Documentos\ALIRO\ALIRO\KATHY\ANA LUISA 2010\PEDIMENTOS\LOMAS III  -    PRIMER JUZGADO.doc", "Abrir Documento")</f>
        <v>0</v>
      </c>
      <c r="D178" t="s">
        <v>23500</v>
      </c>
      <c r="E178" t="s">
        <v>23678</v>
      </c>
    </row>
    <row r="179" spans="1:5">
      <c r="A179" t="s">
        <v>5</v>
      </c>
      <c r="B179" t="s">
        <v>184</v>
      </c>
      <c r="C179">
        <f>HYPERLINK("C:\Users\franc\OneDrive\Documentos\ALIRO\ALIRO\KATHY\ANA LUISA 2010\PEDIMENTOS\LOMAS II  -    PRIMER JUZGADO.doc", "Abrir Documento")</f>
        <v>0</v>
      </c>
      <c r="D179" t="s">
        <v>23500</v>
      </c>
      <c r="E179" t="s">
        <v>23679</v>
      </c>
    </row>
    <row r="180" spans="1:5">
      <c r="A180" t="s">
        <v>5</v>
      </c>
      <c r="B180" t="s">
        <v>185</v>
      </c>
      <c r="C180">
        <f>HYPERLINK("C:\Users\franc\OneDrive\Documentos\ALIRO\ALIRO\KATHY\ANA LUISA 2010\PEDIMENTOS\LOMAS I  -    PRIMER JUZGADO.doc", "Abrir Documento")</f>
        <v>0</v>
      </c>
      <c r="D180" t="s">
        <v>23500</v>
      </c>
      <c r="E180" t="s">
        <v>23680</v>
      </c>
    </row>
    <row r="181" spans="1:5">
      <c r="A181" t="s">
        <v>5</v>
      </c>
      <c r="B181" t="s">
        <v>186</v>
      </c>
      <c r="C181">
        <f>HYPERLINK("C:\Users\franc\OneDrive\Documentos\ALIRO\ALIRO\KATHY\ANA LUISA 2010\PEDIMENTOS\LLANOS 6 -    PRIMER JUZGADO.doc", "Abrir Documento")</f>
        <v>0</v>
      </c>
      <c r="D181" t="s">
        <v>23500</v>
      </c>
      <c r="E181" t="s">
        <v>23681</v>
      </c>
    </row>
    <row r="182" spans="1:5">
      <c r="A182" t="s">
        <v>5</v>
      </c>
      <c r="B182" t="s">
        <v>187</v>
      </c>
      <c r="C182">
        <f>HYPERLINK("C:\Users\franc\OneDrive\Documentos\ALIRO\ALIRO\KATHY\ANA LUISA 2010\PEDIMENTOS\LLANOS 5 -    PRIMER JUZGADO.doc", "Abrir Documento")</f>
        <v>0</v>
      </c>
      <c r="D182" t="s">
        <v>23500</v>
      </c>
      <c r="E182" t="s">
        <v>23682</v>
      </c>
    </row>
    <row r="183" spans="1:5">
      <c r="A183" t="s">
        <v>5</v>
      </c>
      <c r="B183" t="s">
        <v>188</v>
      </c>
      <c r="C183">
        <f>HYPERLINK("C:\Users\franc\OneDrive\Documentos\ALIRO\ALIRO\KATHY\ANA LUISA 2010\PEDIMENTOS\LLANOS 4 -    PRIMER JUZGADO.doc", "Abrir Documento")</f>
        <v>0</v>
      </c>
      <c r="D183" t="s">
        <v>23500</v>
      </c>
      <c r="E183" t="s">
        <v>23683</v>
      </c>
    </row>
    <row r="184" spans="1:5">
      <c r="A184" t="s">
        <v>5</v>
      </c>
      <c r="B184" t="s">
        <v>189</v>
      </c>
      <c r="C184">
        <f>HYPERLINK("C:\Users\franc\OneDrive\Documentos\ALIRO\ALIRO\KATHY\ANA LUISA 2010\PEDIMENTOS\LLANOS 3 -    PRIMER JUZGADO.doc", "Abrir Documento")</f>
        <v>0</v>
      </c>
      <c r="D184" t="s">
        <v>23500</v>
      </c>
      <c r="E184" t="s">
        <v>23684</v>
      </c>
    </row>
    <row r="185" spans="1:5">
      <c r="A185" t="s">
        <v>5</v>
      </c>
      <c r="B185" t="s">
        <v>190</v>
      </c>
      <c r="C185">
        <f>HYPERLINK("C:\Users\franc\OneDrive\Documentos\ALIRO\ALIRO\KATHY\ANA LUISA 2010\PEDIMENTOS\LLANOS 2 -    PRIMER JUZGADO.doc", "Abrir Documento")</f>
        <v>0</v>
      </c>
      <c r="D185" t="s">
        <v>23500</v>
      </c>
      <c r="E185" t="s">
        <v>23685</v>
      </c>
    </row>
    <row r="186" spans="1:5">
      <c r="A186" t="s">
        <v>5</v>
      </c>
      <c r="B186" t="s">
        <v>191</v>
      </c>
      <c r="C186">
        <f>HYPERLINK("C:\Users\franc\OneDrive\Documentos\ALIRO\ALIRO\KATHY\ANA LUISA 2010\PEDIMENTOS\LLANOS 1 -    PRIMER JUZGADO.doc", "Abrir Documento")</f>
        <v>0</v>
      </c>
      <c r="D186" t="s">
        <v>23500</v>
      </c>
      <c r="E186" t="s">
        <v>23686</v>
      </c>
    </row>
    <row r="187" spans="1:5">
      <c r="A187" t="s">
        <v>5</v>
      </c>
      <c r="B187" t="s">
        <v>192</v>
      </c>
      <c r="C187">
        <f>HYPERLINK("C:\Users\franc\OneDrive\Documentos\ALIRO\ALIRO\KATHY\ANA LUISA 2010\PEDIMENTOS\LANGOSTA 7   TERCER JUZGADO.doc", "Abrir Documento")</f>
        <v>0</v>
      </c>
      <c r="D187" t="s">
        <v>23500</v>
      </c>
      <c r="E187" t="s">
        <v>23687</v>
      </c>
    </row>
    <row r="188" spans="1:5">
      <c r="A188" t="s">
        <v>5</v>
      </c>
      <c r="B188" t="s">
        <v>193</v>
      </c>
      <c r="C188">
        <f>HYPERLINK("C:\Users\franc\OneDrive\Documentos\ALIRO\ALIRO\KATHY\ANA LUISA 2010\PEDIMENTOS\LANGOSTA 6   TERCER JUZGADO.doc", "Abrir Documento")</f>
        <v>0</v>
      </c>
      <c r="D188" t="s">
        <v>23500</v>
      </c>
      <c r="E188" t="s">
        <v>23688</v>
      </c>
    </row>
    <row r="189" spans="1:5">
      <c r="A189" t="s">
        <v>5</v>
      </c>
      <c r="B189" t="s">
        <v>194</v>
      </c>
      <c r="C189">
        <f>HYPERLINK("C:\Users\franc\OneDrive\Documentos\ALIRO\ALIRO\KATHY\ANA LUISA 2010\PEDIMENTOS\LANGOSTA 5   TERCER JUZGADO.doc", "Abrir Documento")</f>
        <v>0</v>
      </c>
      <c r="D189" t="s">
        <v>23500</v>
      </c>
      <c r="E189" t="s">
        <v>23689</v>
      </c>
    </row>
    <row r="190" spans="1:5">
      <c r="A190" t="s">
        <v>5</v>
      </c>
      <c r="B190" t="s">
        <v>195</v>
      </c>
      <c r="C190">
        <f>HYPERLINK("C:\Users\franc\OneDrive\Documentos\ALIRO\ALIRO\KATHY\ANA LUISA 2010\PEDIMENTOS\LANGOSTA 4   TERCER JUZGADO.doc", "Abrir Documento")</f>
        <v>0</v>
      </c>
      <c r="D190" t="s">
        <v>23500</v>
      </c>
      <c r="E190" t="s">
        <v>23690</v>
      </c>
    </row>
    <row r="191" spans="1:5">
      <c r="A191" t="s">
        <v>5</v>
      </c>
      <c r="B191" t="s">
        <v>196</v>
      </c>
      <c r="C191">
        <f>HYPERLINK("C:\Users\franc\OneDrive\Documentos\ALIRO\ALIRO\KATHY\ANA LUISA 2010\PEDIMENTOS\LANGOSTA 3    TERCER JUZGADO.doc", "Abrir Documento")</f>
        <v>0</v>
      </c>
      <c r="D191" t="s">
        <v>23500</v>
      </c>
      <c r="E191" t="s">
        <v>23691</v>
      </c>
    </row>
    <row r="192" spans="1:5">
      <c r="A192" t="s">
        <v>5</v>
      </c>
      <c r="B192" t="s">
        <v>197</v>
      </c>
      <c r="C192">
        <f>HYPERLINK("C:\Users\franc\OneDrive\Documentos\ALIRO\ALIRO\KATHY\ANA LUISA 2010\PEDIMENTOS\LANGOSTA 2    TERCER JUZGADO.doc", "Abrir Documento")</f>
        <v>0</v>
      </c>
      <c r="D192" t="s">
        <v>23500</v>
      </c>
      <c r="E192" t="s">
        <v>23692</v>
      </c>
    </row>
    <row r="193" spans="1:5">
      <c r="A193" t="s">
        <v>5</v>
      </c>
      <c r="B193" t="s">
        <v>198</v>
      </c>
      <c r="C193">
        <f>HYPERLINK("C:\Users\franc\OneDrive\Documentos\ALIRO\ALIRO\KATHY\ANA LUISA 2010\PEDIMENTOS\LA TOTORA.doc", "Abrir Documento")</f>
        <v>0</v>
      </c>
      <c r="D193" t="s">
        <v>23500</v>
      </c>
      <c r="E193" t="s">
        <v>23693</v>
      </c>
    </row>
    <row r="194" spans="1:5">
      <c r="A194" t="s">
        <v>5</v>
      </c>
      <c r="B194" t="s">
        <v>199</v>
      </c>
      <c r="C194">
        <f>HYPERLINK("C:\Users\franc\OneDrive\Documentos\ALIRO\ALIRO\KATHY\ANA LUISA 2010\PEDIMENTOS\LA PUNTA UNA.doc", "Abrir Documento")</f>
        <v>0</v>
      </c>
      <c r="D194" t="s">
        <v>23500</v>
      </c>
      <c r="E194" t="s">
        <v>23694</v>
      </c>
    </row>
    <row r="195" spans="1:5">
      <c r="A195" t="s">
        <v>5</v>
      </c>
      <c r="B195" t="s">
        <v>200</v>
      </c>
      <c r="C195">
        <f>HYPERLINK("C:\Users\franc\OneDrive\Documentos\ALIRO\ALIRO\KATHY\ANA LUISA 2010\PEDIMENTOS\KASANDRA II  9.doc", "Abrir Documento")</f>
        <v>0</v>
      </c>
      <c r="D195" t="s">
        <v>23500</v>
      </c>
      <c r="E195" t="s">
        <v>23695</v>
      </c>
    </row>
    <row r="196" spans="1:5">
      <c r="A196" t="s">
        <v>5</v>
      </c>
      <c r="B196" t="s">
        <v>201</v>
      </c>
      <c r="C196">
        <f>HYPERLINK("C:\Users\franc\OneDrive\Documentos\ALIRO\ALIRO\KATHY\ANA LUISA 2010\PEDIMENTOS\KASANDRA II  6.doc", "Abrir Documento")</f>
        <v>0</v>
      </c>
      <c r="D196" t="s">
        <v>23500</v>
      </c>
      <c r="E196" t="s">
        <v>23696</v>
      </c>
    </row>
    <row r="197" spans="1:5">
      <c r="A197" t="s">
        <v>5</v>
      </c>
      <c r="B197" t="s">
        <v>202</v>
      </c>
      <c r="C197">
        <f>HYPERLINK("C:\Users\franc\OneDrive\Documentos\ALIRO\ALIRO\KATHY\ANA LUISA 2010\PEDIMENTOS\KASANDRA II  5.doc", "Abrir Documento")</f>
        <v>0</v>
      </c>
      <c r="D197" t="s">
        <v>23500</v>
      </c>
      <c r="E197" t="s">
        <v>23697</v>
      </c>
    </row>
    <row r="198" spans="1:5">
      <c r="A198" t="s">
        <v>5</v>
      </c>
      <c r="B198" t="s">
        <v>203</v>
      </c>
      <c r="C198">
        <f>HYPERLINK("C:\Users\franc\OneDrive\Documentos\ALIRO\ALIRO\KATHY\ANA LUISA 2010\PEDIMENTOS\KASANDRA II  4.doc", "Abrir Documento")</f>
        <v>0</v>
      </c>
      <c r="D198" t="s">
        <v>23500</v>
      </c>
      <c r="E198" t="s">
        <v>23698</v>
      </c>
    </row>
    <row r="199" spans="1:5">
      <c r="A199" t="s">
        <v>5</v>
      </c>
      <c r="B199" t="s">
        <v>204</v>
      </c>
      <c r="C199">
        <f>HYPERLINK("C:\Users\franc\OneDrive\Documentos\ALIRO\ALIRO\KATHY\ANA LUISA 2010\PEDIMENTOS\KASANDRA II  3.doc", "Abrir Documento")</f>
        <v>0</v>
      </c>
      <c r="D199" t="s">
        <v>23500</v>
      </c>
      <c r="E199" t="s">
        <v>23699</v>
      </c>
    </row>
    <row r="200" spans="1:5">
      <c r="A200" t="s">
        <v>5</v>
      </c>
      <c r="B200" t="s">
        <v>205</v>
      </c>
      <c r="C200">
        <f>HYPERLINK("C:\Users\franc\OneDrive\Documentos\ALIRO\ALIRO\KATHY\ANA LUISA 2010\PEDIMENTOS\KASANDRA II  2.doc", "Abrir Documento")</f>
        <v>0</v>
      </c>
      <c r="D200" t="s">
        <v>23500</v>
      </c>
      <c r="E200" t="s">
        <v>23700</v>
      </c>
    </row>
    <row r="201" spans="1:5">
      <c r="A201" t="s">
        <v>5</v>
      </c>
      <c r="B201" t="s">
        <v>206</v>
      </c>
      <c r="C201">
        <f>HYPERLINK("C:\Users\franc\OneDrive\Documentos\ALIRO\ALIRO\KATHY\ANA LUISA 2010\PEDIMENTOS\KASANDRA II  14.doc", "Abrir Documento")</f>
        <v>0</v>
      </c>
      <c r="D201" t="s">
        <v>23500</v>
      </c>
      <c r="E201" t="s">
        <v>23701</v>
      </c>
    </row>
    <row r="202" spans="1:5">
      <c r="A202" t="s">
        <v>5</v>
      </c>
      <c r="B202" t="s">
        <v>207</v>
      </c>
      <c r="C202">
        <f>HYPERLINK("C:\Users\franc\OneDrive\Documentos\ALIRO\ALIRO\KATHY\ANA LUISA 2010\PEDIMENTOS\KASANDRA II  13.doc", "Abrir Documento")</f>
        <v>0</v>
      </c>
      <c r="D202" t="s">
        <v>23500</v>
      </c>
      <c r="E202" t="s">
        <v>23702</v>
      </c>
    </row>
    <row r="203" spans="1:5">
      <c r="A203" t="s">
        <v>5</v>
      </c>
      <c r="B203" t="s">
        <v>208</v>
      </c>
      <c r="C203">
        <f>HYPERLINK("C:\Users\franc\OneDrive\Documentos\ALIRO\ALIRO\KATHY\ANA LUISA 2010\PEDIMENTOS\KASANDRA II  11.doc", "Abrir Documento")</f>
        <v>0</v>
      </c>
      <c r="D203" t="s">
        <v>23500</v>
      </c>
      <c r="E203" t="s">
        <v>23703</v>
      </c>
    </row>
    <row r="204" spans="1:5">
      <c r="A204" t="s">
        <v>5</v>
      </c>
      <c r="B204" t="s">
        <v>209</v>
      </c>
      <c r="C204">
        <f>HYPERLINK("C:\Users\franc\OneDrive\Documentos\ALIRO\ALIRO\KATHY\ANA LUISA 2010\PEDIMENTOS\KASANDRA II  1.doc", "Abrir Documento")</f>
        <v>0</v>
      </c>
      <c r="D204" t="s">
        <v>23500</v>
      </c>
      <c r="E204" t="s">
        <v>23704</v>
      </c>
    </row>
    <row r="205" spans="1:5">
      <c r="A205" t="s">
        <v>5</v>
      </c>
      <c r="B205" t="s">
        <v>210</v>
      </c>
      <c r="C205">
        <f>HYPERLINK("C:\Users\franc\OneDrive\Documentos\ALIRO\ALIRO\KATHY\ANA LUISA 2010\PEDIMENTOS\JAVIERA UNO.doc", "Abrir Documento")</f>
        <v>0</v>
      </c>
      <c r="D205" t="s">
        <v>23500</v>
      </c>
      <c r="E205" t="s">
        <v>23705</v>
      </c>
    </row>
    <row r="206" spans="1:5">
      <c r="A206" t="s">
        <v>5</v>
      </c>
      <c r="B206" t="s">
        <v>211</v>
      </c>
      <c r="C206">
        <f>HYPERLINK("C:\Users\franc\OneDrive\Documentos\ALIRO\ALIRO\KATHY\ANA LUISA 2010\PEDIMENTOS\JAVIERA 9.doc", "Abrir Documento")</f>
        <v>0</v>
      </c>
      <c r="D206" t="s">
        <v>23500</v>
      </c>
      <c r="E206" t="s">
        <v>23706</v>
      </c>
    </row>
    <row r="207" spans="1:5">
      <c r="A207" t="s">
        <v>5</v>
      </c>
      <c r="B207" t="s">
        <v>212</v>
      </c>
      <c r="C207">
        <f>HYPERLINK("C:\Users\franc\OneDrive\Documentos\ALIRO\ALIRO\KATHY\ANA LUISA 2010\PEDIMENTOS\JAVIERA 8.doc", "Abrir Documento")</f>
        <v>0</v>
      </c>
      <c r="D207" t="s">
        <v>23500</v>
      </c>
      <c r="E207" t="s">
        <v>23707</v>
      </c>
    </row>
    <row r="208" spans="1:5">
      <c r="A208" t="s">
        <v>5</v>
      </c>
      <c r="B208" t="s">
        <v>213</v>
      </c>
      <c r="C208">
        <f>HYPERLINK("C:\Users\franc\OneDrive\Documentos\ALIRO\ALIRO\KATHY\ANA LUISA 2010\PEDIMENTOS\JAVIERA 7.doc", "Abrir Documento")</f>
        <v>0</v>
      </c>
      <c r="D208" t="s">
        <v>23500</v>
      </c>
      <c r="E208" t="s">
        <v>23708</v>
      </c>
    </row>
    <row r="209" spans="1:5">
      <c r="A209" t="s">
        <v>5</v>
      </c>
      <c r="B209" t="s">
        <v>214</v>
      </c>
      <c r="C209">
        <f>HYPERLINK("C:\Users\franc\OneDrive\Documentos\ALIRO\ALIRO\KATHY\ANA LUISA 2010\PEDIMENTOS\JAVIERA 6.doc", "Abrir Documento")</f>
        <v>0</v>
      </c>
      <c r="D209" t="s">
        <v>23500</v>
      </c>
      <c r="E209" t="s">
        <v>23709</v>
      </c>
    </row>
    <row r="210" spans="1:5">
      <c r="A210" t="s">
        <v>5</v>
      </c>
      <c r="B210" t="s">
        <v>215</v>
      </c>
      <c r="C210">
        <f>HYPERLINK("C:\Users\franc\OneDrive\Documentos\ALIRO\ALIRO\KATHY\ANA LUISA 2010\PEDIMENTOS\JAVIERA 5.doc", "Abrir Documento")</f>
        <v>0</v>
      </c>
      <c r="D210" t="s">
        <v>23500</v>
      </c>
      <c r="E210" t="s">
        <v>23710</v>
      </c>
    </row>
    <row r="211" spans="1:5">
      <c r="A211" t="s">
        <v>5</v>
      </c>
      <c r="B211" t="s">
        <v>216</v>
      </c>
      <c r="C211">
        <f>HYPERLINK("C:\Users\franc\OneDrive\Documentos\ALIRO\ALIRO\KATHY\ANA LUISA 2010\PEDIMENTOS\JAVIERA 42.doc", "Abrir Documento")</f>
        <v>0</v>
      </c>
      <c r="D211" t="s">
        <v>23500</v>
      </c>
      <c r="E211" t="s">
        <v>23711</v>
      </c>
    </row>
    <row r="212" spans="1:5">
      <c r="A212" t="s">
        <v>5</v>
      </c>
      <c r="B212" t="s">
        <v>217</v>
      </c>
      <c r="C212">
        <f>HYPERLINK("C:\Users\franc\OneDrive\Documentos\ALIRO\ALIRO\KATHY\ANA LUISA 2010\PEDIMENTOS\JAVIERA 41.doc", "Abrir Documento")</f>
        <v>0</v>
      </c>
      <c r="D212" t="s">
        <v>23500</v>
      </c>
      <c r="E212" t="s">
        <v>23712</v>
      </c>
    </row>
    <row r="213" spans="1:5">
      <c r="A213" t="s">
        <v>5</v>
      </c>
      <c r="B213" t="s">
        <v>218</v>
      </c>
      <c r="C213">
        <f>HYPERLINK("C:\Users\franc\OneDrive\Documentos\ALIRO\ALIRO\KATHY\ANA LUISA 2010\PEDIMENTOS\JAVIERA 40.doc", "Abrir Documento")</f>
        <v>0</v>
      </c>
      <c r="D213" t="s">
        <v>23500</v>
      </c>
      <c r="E213" t="s">
        <v>23713</v>
      </c>
    </row>
    <row r="214" spans="1:5">
      <c r="A214" t="s">
        <v>5</v>
      </c>
      <c r="B214" t="s">
        <v>219</v>
      </c>
      <c r="C214">
        <f>HYPERLINK("C:\Users\franc\OneDrive\Documentos\ALIRO\ALIRO\KATHY\ANA LUISA 2010\PEDIMENTOS\JAVIERA 4.doc", "Abrir Documento")</f>
        <v>0</v>
      </c>
      <c r="D214" t="s">
        <v>23500</v>
      </c>
      <c r="E214" t="s">
        <v>23714</v>
      </c>
    </row>
    <row r="215" spans="1:5">
      <c r="A215" t="s">
        <v>5</v>
      </c>
      <c r="B215" t="s">
        <v>220</v>
      </c>
      <c r="C215">
        <f>HYPERLINK("C:\Users\franc\OneDrive\Documentos\ALIRO\ALIRO\KATHY\ANA LUISA 2010\PEDIMENTOS\JAVIERA 39.doc", "Abrir Documento")</f>
        <v>0</v>
      </c>
      <c r="D215" t="s">
        <v>23500</v>
      </c>
      <c r="E215" t="s">
        <v>23715</v>
      </c>
    </row>
    <row r="216" spans="1:5">
      <c r="A216" t="s">
        <v>5</v>
      </c>
      <c r="B216" t="s">
        <v>221</v>
      </c>
      <c r="C216">
        <f>HYPERLINK("C:\Users\franc\OneDrive\Documentos\ALIRO\ALIRO\KATHY\ANA LUISA 2010\PEDIMENTOS\JAVIERA 38.doc", "Abrir Documento")</f>
        <v>0</v>
      </c>
      <c r="D216" t="s">
        <v>23500</v>
      </c>
      <c r="E216" t="s">
        <v>23716</v>
      </c>
    </row>
    <row r="217" spans="1:5">
      <c r="A217" t="s">
        <v>5</v>
      </c>
      <c r="B217" t="s">
        <v>222</v>
      </c>
      <c r="C217">
        <f>HYPERLINK("C:\Users\franc\OneDrive\Documentos\ALIRO\ALIRO\KATHY\ANA LUISA 2010\PEDIMENTOS\JAVIERA 37.doc", "Abrir Documento")</f>
        <v>0</v>
      </c>
      <c r="D217" t="s">
        <v>23500</v>
      </c>
      <c r="E217" t="s">
        <v>23717</v>
      </c>
    </row>
    <row r="218" spans="1:5">
      <c r="A218" t="s">
        <v>5</v>
      </c>
      <c r="B218" t="s">
        <v>223</v>
      </c>
      <c r="C218">
        <f>HYPERLINK("C:\Users\franc\OneDrive\Documentos\ALIRO\ALIRO\KATHY\ANA LUISA 2010\PEDIMENTOS\JAVIERA 36.doc", "Abrir Documento")</f>
        <v>0</v>
      </c>
      <c r="D218" t="s">
        <v>23500</v>
      </c>
      <c r="E218" t="s">
        <v>23718</v>
      </c>
    </row>
    <row r="219" spans="1:5">
      <c r="A219" t="s">
        <v>5</v>
      </c>
      <c r="B219" t="s">
        <v>224</v>
      </c>
      <c r="C219">
        <f>HYPERLINK("C:\Users\franc\OneDrive\Documentos\ALIRO\ALIRO\KATHY\ANA LUISA 2010\PEDIMENTOS\JAVIERA 35.doc", "Abrir Documento")</f>
        <v>0</v>
      </c>
      <c r="D219" t="s">
        <v>23500</v>
      </c>
      <c r="E219" t="s">
        <v>23719</v>
      </c>
    </row>
    <row r="220" spans="1:5">
      <c r="A220" t="s">
        <v>5</v>
      </c>
      <c r="B220" t="s">
        <v>225</v>
      </c>
      <c r="C220">
        <f>HYPERLINK("C:\Users\franc\OneDrive\Documentos\ALIRO\ALIRO\KATHY\ANA LUISA 2010\PEDIMENTOS\JAVIERA 34.doc", "Abrir Documento")</f>
        <v>0</v>
      </c>
      <c r="D220" t="s">
        <v>23500</v>
      </c>
      <c r="E220" t="s">
        <v>23720</v>
      </c>
    </row>
    <row r="221" spans="1:5">
      <c r="A221" t="s">
        <v>5</v>
      </c>
      <c r="B221" t="s">
        <v>226</v>
      </c>
      <c r="C221">
        <f>HYPERLINK("C:\Users\franc\OneDrive\Documentos\ALIRO\ALIRO\KATHY\ANA LUISA 2010\PEDIMENTOS\JAVIERA 33.doc", "Abrir Documento")</f>
        <v>0</v>
      </c>
      <c r="D221" t="s">
        <v>23500</v>
      </c>
      <c r="E221" t="s">
        <v>23721</v>
      </c>
    </row>
    <row r="222" spans="1:5">
      <c r="A222" t="s">
        <v>5</v>
      </c>
      <c r="B222" t="s">
        <v>227</v>
      </c>
      <c r="C222">
        <f>HYPERLINK("C:\Users\franc\OneDrive\Documentos\ALIRO\ALIRO\KATHY\ANA LUISA 2010\PEDIMENTOS\JAVIERA 32.doc", "Abrir Documento")</f>
        <v>0</v>
      </c>
      <c r="D222" t="s">
        <v>23500</v>
      </c>
      <c r="E222" t="s">
        <v>23722</v>
      </c>
    </row>
    <row r="223" spans="1:5">
      <c r="A223" t="s">
        <v>5</v>
      </c>
      <c r="B223" t="s">
        <v>228</v>
      </c>
      <c r="C223">
        <f>HYPERLINK("C:\Users\franc\OneDrive\Documentos\ALIRO\ALIRO\KATHY\ANA LUISA 2010\PEDIMENTOS\JAVIERA 31.doc", "Abrir Documento")</f>
        <v>0</v>
      </c>
      <c r="D223" t="s">
        <v>23500</v>
      </c>
      <c r="E223" t="s">
        <v>23723</v>
      </c>
    </row>
    <row r="224" spans="1:5">
      <c r="A224" t="s">
        <v>5</v>
      </c>
      <c r="B224" t="s">
        <v>229</v>
      </c>
      <c r="C224">
        <f>HYPERLINK("C:\Users\franc\OneDrive\Documentos\ALIRO\ALIRO\KATHY\ANA LUISA 2010\PEDIMENTOS\JAVIERA 30.doc", "Abrir Documento")</f>
        <v>0</v>
      </c>
      <c r="D224" t="s">
        <v>23500</v>
      </c>
      <c r="E224" t="s">
        <v>23724</v>
      </c>
    </row>
    <row r="225" spans="1:5">
      <c r="A225" t="s">
        <v>5</v>
      </c>
      <c r="B225" t="s">
        <v>230</v>
      </c>
      <c r="C225">
        <f>HYPERLINK("C:\Users\franc\OneDrive\Documentos\ALIRO\ALIRO\KATHY\ANA LUISA 2010\PEDIMENTOS\JAVIERA 3.doc", "Abrir Documento")</f>
        <v>0</v>
      </c>
      <c r="D225" t="s">
        <v>23500</v>
      </c>
      <c r="E225" t="s">
        <v>23725</v>
      </c>
    </row>
    <row r="226" spans="1:5">
      <c r="A226" t="s">
        <v>5</v>
      </c>
      <c r="B226" t="s">
        <v>231</v>
      </c>
      <c r="C226">
        <f>HYPERLINK("C:\Users\franc\OneDrive\Documentos\ALIRO\ALIRO\KATHY\ANA LUISA 2010\PEDIMENTOS\JAVIERA 29.doc", "Abrir Documento")</f>
        <v>0</v>
      </c>
      <c r="D226" t="s">
        <v>23500</v>
      </c>
      <c r="E226" t="s">
        <v>23726</v>
      </c>
    </row>
    <row r="227" spans="1:5">
      <c r="A227" t="s">
        <v>5</v>
      </c>
      <c r="B227" t="s">
        <v>232</v>
      </c>
      <c r="C227">
        <f>HYPERLINK("C:\Users\franc\OneDrive\Documentos\ALIRO\ALIRO\KATHY\ANA LUISA 2010\PEDIMENTOS\JAVIERA 28.doc", "Abrir Documento")</f>
        <v>0</v>
      </c>
      <c r="D227" t="s">
        <v>23500</v>
      </c>
      <c r="E227" t="s">
        <v>23727</v>
      </c>
    </row>
    <row r="228" spans="1:5">
      <c r="A228" t="s">
        <v>5</v>
      </c>
      <c r="B228" t="s">
        <v>233</v>
      </c>
      <c r="C228">
        <f>HYPERLINK("C:\Users\franc\OneDrive\Documentos\ALIRO\ALIRO\KATHY\ANA LUISA 2010\PEDIMENTOS\JAVIERA 27.doc", "Abrir Documento")</f>
        <v>0</v>
      </c>
      <c r="D228" t="s">
        <v>23500</v>
      </c>
      <c r="E228" t="s">
        <v>23728</v>
      </c>
    </row>
    <row r="229" spans="1:5">
      <c r="A229" t="s">
        <v>5</v>
      </c>
      <c r="B229" t="s">
        <v>234</v>
      </c>
      <c r="C229">
        <f>HYPERLINK("C:\Users\franc\OneDrive\Documentos\ALIRO\ALIRO\KATHY\ANA LUISA 2010\PEDIMENTOS\JAVIERA 26.doc", "Abrir Documento")</f>
        <v>0</v>
      </c>
      <c r="D229" t="s">
        <v>23500</v>
      </c>
      <c r="E229" t="s">
        <v>23729</v>
      </c>
    </row>
    <row r="230" spans="1:5">
      <c r="A230" t="s">
        <v>5</v>
      </c>
      <c r="B230" t="s">
        <v>235</v>
      </c>
      <c r="C230">
        <f>HYPERLINK("C:\Users\franc\OneDrive\Documentos\ALIRO\ALIRO\KATHY\ANA LUISA 2010\PEDIMENTOS\JAVIERA 25.doc", "Abrir Documento")</f>
        <v>0</v>
      </c>
      <c r="D230" t="s">
        <v>23500</v>
      </c>
      <c r="E230" t="s">
        <v>23730</v>
      </c>
    </row>
    <row r="231" spans="1:5">
      <c r="A231" t="s">
        <v>5</v>
      </c>
      <c r="B231" t="s">
        <v>236</v>
      </c>
      <c r="C231">
        <f>HYPERLINK("C:\Users\franc\OneDrive\Documentos\ALIRO\ALIRO\KATHY\ANA LUISA 2010\PEDIMENTOS\JAVIERA 24.doc", "Abrir Documento")</f>
        <v>0</v>
      </c>
      <c r="D231" t="s">
        <v>23500</v>
      </c>
      <c r="E231" t="s">
        <v>23731</v>
      </c>
    </row>
    <row r="232" spans="1:5">
      <c r="A232" t="s">
        <v>5</v>
      </c>
      <c r="B232" t="s">
        <v>237</v>
      </c>
      <c r="C232">
        <f>HYPERLINK("C:\Users\franc\OneDrive\Documentos\ALIRO\ALIRO\KATHY\ANA LUISA 2010\PEDIMENTOS\JAVIERA 23.doc", "Abrir Documento")</f>
        <v>0</v>
      </c>
      <c r="D232" t="s">
        <v>23500</v>
      </c>
      <c r="E232" t="s">
        <v>23732</v>
      </c>
    </row>
    <row r="233" spans="1:5">
      <c r="A233" t="s">
        <v>5</v>
      </c>
      <c r="B233" t="s">
        <v>238</v>
      </c>
      <c r="C233">
        <f>HYPERLINK("C:\Users\franc\OneDrive\Documentos\ALIRO\ALIRO\KATHY\ANA LUISA 2010\PEDIMENTOS\JAVIERA 22.doc", "Abrir Documento")</f>
        <v>0</v>
      </c>
      <c r="D233" t="s">
        <v>23500</v>
      </c>
      <c r="E233" t="s">
        <v>23733</v>
      </c>
    </row>
    <row r="234" spans="1:5">
      <c r="A234" t="s">
        <v>5</v>
      </c>
      <c r="B234" t="s">
        <v>239</v>
      </c>
      <c r="C234">
        <f>HYPERLINK("C:\Users\franc\OneDrive\Documentos\ALIRO\ALIRO\KATHY\ANA LUISA 2010\PEDIMENTOS\JAVIERA 21.doc", "Abrir Documento")</f>
        <v>0</v>
      </c>
      <c r="D234" t="s">
        <v>23500</v>
      </c>
      <c r="E234" t="s">
        <v>23734</v>
      </c>
    </row>
    <row r="235" spans="1:5">
      <c r="A235" t="s">
        <v>5</v>
      </c>
      <c r="B235" t="s">
        <v>240</v>
      </c>
      <c r="C235">
        <f>HYPERLINK("C:\Users\franc\OneDrive\Documentos\ALIRO\ALIRO\KATHY\ANA LUISA 2010\PEDIMENTOS\JAVIERA 20.doc", "Abrir Documento")</f>
        <v>0</v>
      </c>
      <c r="D235" t="s">
        <v>23500</v>
      </c>
      <c r="E235" t="s">
        <v>23735</v>
      </c>
    </row>
    <row r="236" spans="1:5">
      <c r="A236" t="s">
        <v>5</v>
      </c>
      <c r="B236" t="s">
        <v>241</v>
      </c>
      <c r="C236">
        <f>HYPERLINK("C:\Users\franc\OneDrive\Documentos\ALIRO\ALIRO\KATHY\ANA LUISA 2010\PEDIMENTOS\JAVIERA 2.doc", "Abrir Documento")</f>
        <v>0</v>
      </c>
      <c r="D236" t="s">
        <v>23500</v>
      </c>
      <c r="E236" t="s">
        <v>23736</v>
      </c>
    </row>
    <row r="237" spans="1:5">
      <c r="A237" t="s">
        <v>5</v>
      </c>
      <c r="B237" t="s">
        <v>242</v>
      </c>
      <c r="C237">
        <f>HYPERLINK("C:\Users\franc\OneDrive\Documentos\ALIRO\ALIRO\KATHY\ANA LUISA 2010\PEDIMENTOS\JAVIERA 19.doc", "Abrir Documento")</f>
        <v>0</v>
      </c>
      <c r="D237" t="s">
        <v>23500</v>
      </c>
      <c r="E237" t="s">
        <v>23737</v>
      </c>
    </row>
    <row r="238" spans="1:5">
      <c r="A238" t="s">
        <v>5</v>
      </c>
      <c r="B238" t="s">
        <v>243</v>
      </c>
      <c r="C238">
        <f>HYPERLINK("C:\Users\franc\OneDrive\Documentos\ALIRO\ALIRO\KATHY\ANA LUISA 2010\PEDIMENTOS\JAVIERA 18.doc", "Abrir Documento")</f>
        <v>0</v>
      </c>
      <c r="D238" t="s">
        <v>23500</v>
      </c>
      <c r="E238" t="s">
        <v>23738</v>
      </c>
    </row>
    <row r="239" spans="1:5">
      <c r="A239" t="s">
        <v>5</v>
      </c>
      <c r="B239" t="s">
        <v>244</v>
      </c>
      <c r="C239">
        <f>HYPERLINK("C:\Users\franc\OneDrive\Documentos\ALIRO\ALIRO\KATHY\ANA LUISA 2010\PEDIMENTOS\JAVIERA 17.doc", "Abrir Documento")</f>
        <v>0</v>
      </c>
      <c r="D239" t="s">
        <v>23500</v>
      </c>
      <c r="E239" t="s">
        <v>23739</v>
      </c>
    </row>
    <row r="240" spans="1:5">
      <c r="A240" t="s">
        <v>5</v>
      </c>
      <c r="B240" t="s">
        <v>245</v>
      </c>
      <c r="C240">
        <f>HYPERLINK("C:\Users\franc\OneDrive\Documentos\ALIRO\ALIRO\KATHY\ANA LUISA 2010\PEDIMENTOS\JAVIERA 16.doc", "Abrir Documento")</f>
        <v>0</v>
      </c>
      <c r="D240" t="s">
        <v>23500</v>
      </c>
      <c r="E240" t="s">
        <v>23740</v>
      </c>
    </row>
    <row r="241" spans="1:5">
      <c r="A241" t="s">
        <v>5</v>
      </c>
      <c r="B241" t="s">
        <v>246</v>
      </c>
      <c r="C241">
        <f>HYPERLINK("C:\Users\franc\OneDrive\Documentos\ALIRO\ALIRO\KATHY\ANA LUISA 2010\PEDIMENTOS\JAVIERA 15.doc", "Abrir Documento")</f>
        <v>0</v>
      </c>
      <c r="D241" t="s">
        <v>23500</v>
      </c>
      <c r="E241" t="s">
        <v>23741</v>
      </c>
    </row>
    <row r="242" spans="1:5">
      <c r="A242" t="s">
        <v>5</v>
      </c>
      <c r="B242" t="s">
        <v>247</v>
      </c>
      <c r="C242">
        <f>HYPERLINK("C:\Users\franc\OneDrive\Documentos\ALIRO\ALIRO\KATHY\ANA LUISA 2010\PEDIMENTOS\JAVIERA 14.doc", "Abrir Documento")</f>
        <v>0</v>
      </c>
      <c r="D242" t="s">
        <v>23500</v>
      </c>
      <c r="E242" t="s">
        <v>23742</v>
      </c>
    </row>
    <row r="243" spans="1:5">
      <c r="A243" t="s">
        <v>5</v>
      </c>
      <c r="B243" t="s">
        <v>248</v>
      </c>
      <c r="C243">
        <f>HYPERLINK("C:\Users\franc\OneDrive\Documentos\ALIRO\ALIRO\KATHY\ANA LUISA 2010\PEDIMENTOS\JAVIERA 13.doc", "Abrir Documento")</f>
        <v>0</v>
      </c>
      <c r="D243" t="s">
        <v>23500</v>
      </c>
      <c r="E243" t="s">
        <v>23743</v>
      </c>
    </row>
    <row r="244" spans="1:5">
      <c r="A244" t="s">
        <v>5</v>
      </c>
      <c r="B244" t="s">
        <v>249</v>
      </c>
      <c r="C244">
        <f>HYPERLINK("C:\Users\franc\OneDrive\Documentos\ALIRO\ALIRO\KATHY\ANA LUISA 2010\PEDIMENTOS\JAVIERA 12.doc", "Abrir Documento")</f>
        <v>0</v>
      </c>
      <c r="D244" t="s">
        <v>23500</v>
      </c>
      <c r="E244" t="s">
        <v>23744</v>
      </c>
    </row>
    <row r="245" spans="1:5">
      <c r="A245" t="s">
        <v>5</v>
      </c>
      <c r="B245" t="s">
        <v>250</v>
      </c>
      <c r="C245">
        <f>HYPERLINK("C:\Users\franc\OneDrive\Documentos\ALIRO\ALIRO\KATHY\ANA LUISA 2010\PEDIMENTOS\JAVIERA 11.doc", "Abrir Documento")</f>
        <v>0</v>
      </c>
      <c r="D245" t="s">
        <v>23500</v>
      </c>
      <c r="E245" t="s">
        <v>23745</v>
      </c>
    </row>
    <row r="246" spans="1:5">
      <c r="A246" t="s">
        <v>5</v>
      </c>
      <c r="B246" t="s">
        <v>251</v>
      </c>
      <c r="C246">
        <f>HYPERLINK("C:\Users\franc\OneDrive\Documentos\ALIRO\ALIRO\KATHY\ANA LUISA 2010\PEDIMENTOS\JAVIERA 10.doc", "Abrir Documento")</f>
        <v>0</v>
      </c>
      <c r="D246" t="s">
        <v>23500</v>
      </c>
      <c r="E246" t="s">
        <v>23746</v>
      </c>
    </row>
    <row r="247" spans="1:5">
      <c r="A247" t="s">
        <v>5</v>
      </c>
      <c r="B247" t="s">
        <v>252</v>
      </c>
      <c r="C247">
        <f>HYPERLINK("C:\Users\franc\OneDrive\Documentos\ALIRO\ALIRO\KATHY\ANA LUISA 2010\PEDIMENTOS\JAVIERA 1.doc", "Abrir Documento")</f>
        <v>0</v>
      </c>
      <c r="D247" t="s">
        <v>23500</v>
      </c>
      <c r="E247" t="s">
        <v>23747</v>
      </c>
    </row>
    <row r="248" spans="1:5">
      <c r="A248" t="s">
        <v>5</v>
      </c>
      <c r="B248" t="s">
        <v>253</v>
      </c>
      <c r="C248">
        <f>HYPERLINK("C:\Users\franc\OneDrive\Documentos\ALIRO\ALIRO\KATHY\ANA LUISA 2010\PEDIMENTOS\JANE PRIMERA (PRIMER JUZGADO).doc", "Abrir Documento")</f>
        <v>0</v>
      </c>
      <c r="D248" t="s">
        <v>23500</v>
      </c>
      <c r="E248" t="s">
        <v>23748</v>
      </c>
    </row>
    <row r="249" spans="1:5">
      <c r="A249" t="s">
        <v>5</v>
      </c>
      <c r="B249" t="s">
        <v>254</v>
      </c>
      <c r="C249">
        <f>HYPERLINK("C:\Users\franc\OneDrive\Documentos\ALIRO\ALIRO\KATHY\ANA LUISA 2010\PEDIMENTOS\INCA VI.doc", "Abrir Documento")</f>
        <v>0</v>
      </c>
      <c r="D249" t="s">
        <v>23500</v>
      </c>
      <c r="E249" t="s">
        <v>23749</v>
      </c>
    </row>
    <row r="250" spans="1:5">
      <c r="A250" t="s">
        <v>5</v>
      </c>
      <c r="B250" t="s">
        <v>255</v>
      </c>
      <c r="C250">
        <f>HYPERLINK("C:\Users\franc\OneDrive\Documentos\ALIRO\ALIRO\KATHY\ANA LUISA 2010\PEDIMENTOS\INCA V.doc", "Abrir Documento")</f>
        <v>0</v>
      </c>
      <c r="D250" t="s">
        <v>23500</v>
      </c>
      <c r="E250" t="s">
        <v>23750</v>
      </c>
    </row>
    <row r="251" spans="1:5">
      <c r="A251" t="s">
        <v>5</v>
      </c>
      <c r="B251" t="s">
        <v>256</v>
      </c>
      <c r="C251">
        <f>HYPERLINK("C:\Users\franc\OneDrive\Documentos\ALIRO\ALIRO\KATHY\ANA LUISA 2010\PEDIMENTOS\INCA TERCERO.doc", "Abrir Documento")</f>
        <v>0</v>
      </c>
      <c r="D251" t="s">
        <v>23500</v>
      </c>
      <c r="E251" t="s">
        <v>23751</v>
      </c>
    </row>
    <row r="252" spans="1:5">
      <c r="A252" t="s">
        <v>5</v>
      </c>
      <c r="B252" t="s">
        <v>257</v>
      </c>
      <c r="C252">
        <f>HYPERLINK("C:\Users\franc\OneDrive\Documentos\ALIRO\ALIRO\KATHY\ANA LUISA 2010\PEDIMENTOS\INCA SEGUNDO.doc", "Abrir Documento")</f>
        <v>0</v>
      </c>
      <c r="D252" t="s">
        <v>23500</v>
      </c>
      <c r="E252" t="s">
        <v>23752</v>
      </c>
    </row>
    <row r="253" spans="1:5">
      <c r="A253" t="s">
        <v>5</v>
      </c>
      <c r="B253" t="s">
        <v>258</v>
      </c>
      <c r="C253">
        <f>HYPERLINK("C:\Users\franc\OneDrive\Documentos\ALIRO\ALIRO\KATHY\ANA LUISA 2010\PEDIMENTOS\INCA IV.doc", "Abrir Documento")</f>
        <v>0</v>
      </c>
      <c r="D253" t="s">
        <v>23500</v>
      </c>
      <c r="E253" t="s">
        <v>23753</v>
      </c>
    </row>
    <row r="254" spans="1:5">
      <c r="A254" t="s">
        <v>5</v>
      </c>
      <c r="B254" t="s">
        <v>259</v>
      </c>
      <c r="C254">
        <f>HYPERLINK("C:\Users\franc\OneDrive\Documentos\ALIRO\ALIRO\KATHY\ANA LUISA 2010\PEDIMENTOS\INCA III.doc", "Abrir Documento")</f>
        <v>0</v>
      </c>
      <c r="D254" t="s">
        <v>23500</v>
      </c>
      <c r="E254" t="s">
        <v>23754</v>
      </c>
    </row>
    <row r="255" spans="1:5">
      <c r="A255" t="s">
        <v>5</v>
      </c>
      <c r="B255" t="s">
        <v>260</v>
      </c>
      <c r="C255">
        <f>HYPERLINK("C:\Users\franc\OneDrive\Documentos\ALIRO\ALIRO\KATHY\ANA LUISA 2010\PEDIMENTOS\INCA II.doc", "Abrir Documento")</f>
        <v>0</v>
      </c>
      <c r="D255" t="s">
        <v>23500</v>
      </c>
      <c r="E255" t="s">
        <v>23755</v>
      </c>
    </row>
    <row r="256" spans="1:5">
      <c r="A256" t="s">
        <v>5</v>
      </c>
      <c r="B256" t="s">
        <v>261</v>
      </c>
      <c r="C256">
        <f>HYPERLINK("C:\Users\franc\OneDrive\Documentos\ALIRO\ALIRO\KATHY\ANA LUISA 2010\PEDIMENTOS\INCA I.doc", "Abrir Documento")</f>
        <v>0</v>
      </c>
      <c r="D256" t="s">
        <v>23500</v>
      </c>
      <c r="E256" t="s">
        <v>23756</v>
      </c>
    </row>
    <row r="257" spans="1:5">
      <c r="A257" t="s">
        <v>5</v>
      </c>
      <c r="B257" t="s">
        <v>262</v>
      </c>
      <c r="C257">
        <f>HYPERLINK("C:\Users\franc\OneDrive\Documentos\ALIRO\ALIRO\KATHY\ANA LUISA 2010\PEDIMENTOS\INCA CUARTO.doc", "Abrir Documento")</f>
        <v>0</v>
      </c>
      <c r="D257" t="s">
        <v>23500</v>
      </c>
      <c r="E257" t="s">
        <v>23757</v>
      </c>
    </row>
    <row r="258" spans="1:5">
      <c r="A258" t="s">
        <v>5</v>
      </c>
      <c r="B258" t="s">
        <v>263</v>
      </c>
      <c r="C258">
        <f>HYPERLINK("C:\Users\franc\OneDrive\Documentos\ALIRO\ALIRO\KATHY\ANA LUISA 2010\PEDIMENTOS\INCA 2.doc", "Abrir Documento")</f>
        <v>0</v>
      </c>
      <c r="D258" t="s">
        <v>23500</v>
      </c>
      <c r="E258" t="s">
        <v>23758</v>
      </c>
    </row>
    <row r="259" spans="1:5">
      <c r="A259" t="s">
        <v>5</v>
      </c>
      <c r="B259" t="s">
        <v>264</v>
      </c>
      <c r="C259">
        <f>HYPERLINK("C:\Users\franc\OneDrive\Documentos\ALIRO\ALIRO\KATHY\ANA LUISA 2010\PEDIMENTOS\HURTADO 41.doc", "Abrir Documento")</f>
        <v>0</v>
      </c>
      <c r="D259" t="s">
        <v>23500</v>
      </c>
      <c r="E259" t="s">
        <v>23759</v>
      </c>
    </row>
    <row r="260" spans="1:5">
      <c r="A260" t="s">
        <v>5</v>
      </c>
      <c r="B260" t="s">
        <v>265</v>
      </c>
      <c r="C260">
        <f>HYPERLINK("C:\Users\franc\OneDrive\Documentos\ALIRO\ALIRO\KATHY\ANA LUISA 2010\PEDIMENTOS\HURTADO  9.doc", "Abrir Documento")</f>
        <v>0</v>
      </c>
      <c r="D260" t="s">
        <v>23500</v>
      </c>
      <c r="E260" t="s">
        <v>23760</v>
      </c>
    </row>
    <row r="261" spans="1:5">
      <c r="A261" t="s">
        <v>5</v>
      </c>
      <c r="B261" t="s">
        <v>266</v>
      </c>
      <c r="C261">
        <f>HYPERLINK("C:\Users\franc\OneDrive\Documentos\ALIRO\ALIRO\KATHY\ANA LUISA 2010\PEDIMENTOS\HURTADO  8.doc", "Abrir Documento")</f>
        <v>0</v>
      </c>
      <c r="D261" t="s">
        <v>23500</v>
      </c>
      <c r="E261" t="s">
        <v>23761</v>
      </c>
    </row>
    <row r="262" spans="1:5">
      <c r="A262" t="s">
        <v>5</v>
      </c>
      <c r="B262" t="s">
        <v>267</v>
      </c>
      <c r="C262">
        <f>HYPERLINK("C:\Users\franc\OneDrive\Documentos\ALIRO\ALIRO\KATHY\ANA LUISA 2010\PEDIMENTOS\HURTADO  7.doc", "Abrir Documento")</f>
        <v>0</v>
      </c>
      <c r="D262" t="s">
        <v>23500</v>
      </c>
      <c r="E262" t="s">
        <v>23762</v>
      </c>
    </row>
    <row r="263" spans="1:5">
      <c r="A263" t="s">
        <v>5</v>
      </c>
      <c r="B263" t="s">
        <v>268</v>
      </c>
      <c r="C263">
        <f>HYPERLINK("C:\Users\franc\OneDrive\Documentos\ALIRO\ALIRO\KATHY\ANA LUISA 2010\PEDIMENTOS\HURTADO  6.doc", "Abrir Documento")</f>
        <v>0</v>
      </c>
      <c r="D263" t="s">
        <v>23500</v>
      </c>
      <c r="E263" t="s">
        <v>23763</v>
      </c>
    </row>
    <row r="264" spans="1:5">
      <c r="A264" t="s">
        <v>5</v>
      </c>
      <c r="B264" t="s">
        <v>269</v>
      </c>
      <c r="C264">
        <f>HYPERLINK("C:\Users\franc\OneDrive\Documentos\ALIRO\ALIRO\KATHY\ANA LUISA 2010\PEDIMENTOS\HURTADO  56.doc", "Abrir Documento")</f>
        <v>0</v>
      </c>
      <c r="D264" t="s">
        <v>23500</v>
      </c>
      <c r="E264" t="s">
        <v>23764</v>
      </c>
    </row>
    <row r="265" spans="1:5">
      <c r="A265" t="s">
        <v>5</v>
      </c>
      <c r="B265" t="s">
        <v>270</v>
      </c>
      <c r="C265">
        <f>HYPERLINK("C:\Users\franc\OneDrive\Documentos\ALIRO\ALIRO\KATHY\ANA LUISA 2010\PEDIMENTOS\HURTADO  55.doc", "Abrir Documento")</f>
        <v>0</v>
      </c>
      <c r="D265" t="s">
        <v>23500</v>
      </c>
      <c r="E265" t="s">
        <v>23765</v>
      </c>
    </row>
    <row r="266" spans="1:5">
      <c r="A266" t="s">
        <v>5</v>
      </c>
      <c r="B266" t="s">
        <v>271</v>
      </c>
      <c r="C266">
        <f>HYPERLINK("C:\Users\franc\OneDrive\Documentos\ALIRO\ALIRO\KATHY\ANA LUISA 2010\PEDIMENTOS\HURTADO  54.doc", "Abrir Documento")</f>
        <v>0</v>
      </c>
      <c r="D266" t="s">
        <v>23500</v>
      </c>
      <c r="E266" t="s">
        <v>23766</v>
      </c>
    </row>
    <row r="267" spans="1:5">
      <c r="A267" t="s">
        <v>5</v>
      </c>
      <c r="B267" t="s">
        <v>272</v>
      </c>
      <c r="C267">
        <f>HYPERLINK("C:\Users\franc\OneDrive\Documentos\ALIRO\ALIRO\KATHY\ANA LUISA 2010\PEDIMENTOS\HURTADO  53.doc", "Abrir Documento")</f>
        <v>0</v>
      </c>
      <c r="D267" t="s">
        <v>23500</v>
      </c>
      <c r="E267" t="s">
        <v>23767</v>
      </c>
    </row>
    <row r="268" spans="1:5">
      <c r="A268" t="s">
        <v>5</v>
      </c>
      <c r="B268" t="s">
        <v>273</v>
      </c>
      <c r="C268">
        <f>HYPERLINK("C:\Users\franc\OneDrive\Documentos\ALIRO\ALIRO\KATHY\ANA LUISA 2010\PEDIMENTOS\HURTADO  52.doc", "Abrir Documento")</f>
        <v>0</v>
      </c>
      <c r="D268" t="s">
        <v>23500</v>
      </c>
      <c r="E268" t="s">
        <v>23768</v>
      </c>
    </row>
    <row r="269" spans="1:5">
      <c r="A269" t="s">
        <v>5</v>
      </c>
      <c r="B269" t="s">
        <v>274</v>
      </c>
      <c r="C269">
        <f>HYPERLINK("C:\Users\franc\OneDrive\Documentos\ALIRO\ALIRO\KATHY\ANA LUISA 2010\PEDIMENTOS\HURTADO  51.doc", "Abrir Documento")</f>
        <v>0</v>
      </c>
      <c r="D269" t="s">
        <v>23500</v>
      </c>
      <c r="E269" t="s">
        <v>23769</v>
      </c>
    </row>
    <row r="270" spans="1:5">
      <c r="A270" t="s">
        <v>5</v>
      </c>
      <c r="B270" t="s">
        <v>275</v>
      </c>
      <c r="C270">
        <f>HYPERLINK("C:\Users\franc\OneDrive\Documentos\ALIRO\ALIRO\KATHY\ANA LUISA 2010\PEDIMENTOS\HURTADO  50.doc", "Abrir Documento")</f>
        <v>0</v>
      </c>
      <c r="D270" t="s">
        <v>23500</v>
      </c>
      <c r="E270" t="s">
        <v>23770</v>
      </c>
    </row>
    <row r="271" spans="1:5">
      <c r="A271" t="s">
        <v>5</v>
      </c>
      <c r="B271" t="s">
        <v>276</v>
      </c>
      <c r="C271">
        <f>HYPERLINK("C:\Users\franc\OneDrive\Documentos\ALIRO\ALIRO\KATHY\ANA LUISA 2010\PEDIMENTOS\HURTADO  5.doc", "Abrir Documento")</f>
        <v>0</v>
      </c>
      <c r="D271" t="s">
        <v>23500</v>
      </c>
      <c r="E271" t="s">
        <v>23771</v>
      </c>
    </row>
    <row r="272" spans="1:5">
      <c r="A272" t="s">
        <v>5</v>
      </c>
      <c r="B272" t="s">
        <v>277</v>
      </c>
      <c r="C272">
        <f>HYPERLINK("C:\Users\franc\OneDrive\Documentos\ALIRO\ALIRO\KATHY\ANA LUISA 2010\PEDIMENTOS\HURTADO  49.doc", "Abrir Documento")</f>
        <v>0</v>
      </c>
      <c r="D272" t="s">
        <v>23500</v>
      </c>
      <c r="E272" t="s">
        <v>23772</v>
      </c>
    </row>
    <row r="273" spans="1:5">
      <c r="A273" t="s">
        <v>5</v>
      </c>
      <c r="B273" t="s">
        <v>278</v>
      </c>
      <c r="C273">
        <f>HYPERLINK("C:\Users\franc\OneDrive\Documentos\ALIRO\ALIRO\KATHY\ANA LUISA 2010\PEDIMENTOS\HURTADO  48.doc", "Abrir Documento")</f>
        <v>0</v>
      </c>
      <c r="D273" t="s">
        <v>23500</v>
      </c>
      <c r="E273" t="s">
        <v>23773</v>
      </c>
    </row>
    <row r="274" spans="1:5">
      <c r="A274" t="s">
        <v>5</v>
      </c>
      <c r="B274" t="s">
        <v>279</v>
      </c>
      <c r="C274">
        <f>HYPERLINK("C:\Users\franc\OneDrive\Documentos\ALIRO\ALIRO\KATHY\ANA LUISA 2010\PEDIMENTOS\HURTADO  47.doc", "Abrir Documento")</f>
        <v>0</v>
      </c>
      <c r="D274" t="s">
        <v>23500</v>
      </c>
      <c r="E274" t="s">
        <v>23774</v>
      </c>
    </row>
    <row r="275" spans="1:5">
      <c r="A275" t="s">
        <v>5</v>
      </c>
      <c r="B275" t="s">
        <v>280</v>
      </c>
      <c r="C275">
        <f>HYPERLINK("C:\Users\franc\OneDrive\Documentos\ALIRO\ALIRO\KATHY\ANA LUISA 2010\PEDIMENTOS\HURTADO  46.doc", "Abrir Documento")</f>
        <v>0</v>
      </c>
      <c r="D275" t="s">
        <v>23500</v>
      </c>
      <c r="E275" t="s">
        <v>23775</v>
      </c>
    </row>
    <row r="276" spans="1:5">
      <c r="A276" t="s">
        <v>5</v>
      </c>
      <c r="B276" t="s">
        <v>281</v>
      </c>
      <c r="C276">
        <f>HYPERLINK("C:\Users\franc\OneDrive\Documentos\ALIRO\ALIRO\KATHY\ANA LUISA 2010\PEDIMENTOS\HURTADO  45.doc", "Abrir Documento")</f>
        <v>0</v>
      </c>
      <c r="D276" t="s">
        <v>23500</v>
      </c>
      <c r="E276" t="s">
        <v>23776</v>
      </c>
    </row>
    <row r="277" spans="1:5">
      <c r="A277" t="s">
        <v>5</v>
      </c>
      <c r="B277" t="s">
        <v>282</v>
      </c>
      <c r="C277">
        <f>HYPERLINK("C:\Users\franc\OneDrive\Documentos\ALIRO\ALIRO\KATHY\ANA LUISA 2010\PEDIMENTOS\HURTADO  44.doc", "Abrir Documento")</f>
        <v>0</v>
      </c>
      <c r="D277" t="s">
        <v>23500</v>
      </c>
      <c r="E277" t="s">
        <v>23777</v>
      </c>
    </row>
    <row r="278" spans="1:5">
      <c r="A278" t="s">
        <v>5</v>
      </c>
      <c r="B278" t="s">
        <v>283</v>
      </c>
      <c r="C278">
        <f>HYPERLINK("C:\Users\franc\OneDrive\Documentos\ALIRO\ALIRO\KATHY\ANA LUISA 2010\PEDIMENTOS\HURTADO  43.doc", "Abrir Documento")</f>
        <v>0</v>
      </c>
      <c r="D278" t="s">
        <v>23500</v>
      </c>
      <c r="E278" t="s">
        <v>23778</v>
      </c>
    </row>
    <row r="279" spans="1:5">
      <c r="A279" t="s">
        <v>5</v>
      </c>
      <c r="B279" t="s">
        <v>284</v>
      </c>
      <c r="C279">
        <f>HYPERLINK("C:\Users\franc\OneDrive\Documentos\ALIRO\ALIRO\KATHY\ANA LUISA 2010\PEDIMENTOS\HURTADO  42.doc", "Abrir Documento")</f>
        <v>0</v>
      </c>
      <c r="D279" t="s">
        <v>23500</v>
      </c>
      <c r="E279" t="s">
        <v>23779</v>
      </c>
    </row>
    <row r="280" spans="1:5">
      <c r="A280" t="s">
        <v>5</v>
      </c>
      <c r="B280" t="s">
        <v>285</v>
      </c>
      <c r="C280">
        <f>HYPERLINK("C:\Users\franc\OneDrive\Documentos\ALIRO\ALIRO\KATHY\ANA LUISA 2010\PEDIMENTOS\HURTADO  41.doc", "Abrir Documento")</f>
        <v>0</v>
      </c>
      <c r="D280" t="s">
        <v>23500</v>
      </c>
      <c r="E280" t="s">
        <v>23780</v>
      </c>
    </row>
    <row r="281" spans="1:5">
      <c r="A281" t="s">
        <v>5</v>
      </c>
      <c r="B281" t="s">
        <v>286</v>
      </c>
      <c r="C281">
        <f>HYPERLINK("C:\Users\franc\OneDrive\Documentos\ALIRO\ALIRO\KATHY\ANA LUISA 2010\PEDIMENTOS\HURTADO  40.doc", "Abrir Documento")</f>
        <v>0</v>
      </c>
      <c r="D281" t="s">
        <v>23500</v>
      </c>
      <c r="E281" t="s">
        <v>23781</v>
      </c>
    </row>
    <row r="282" spans="1:5">
      <c r="A282" t="s">
        <v>5</v>
      </c>
      <c r="B282" t="s">
        <v>287</v>
      </c>
      <c r="C282">
        <f>HYPERLINK("C:\Users\franc\OneDrive\Documentos\ALIRO\ALIRO\KATHY\ANA LUISA 2010\PEDIMENTOS\HURTADO  4.doc", "Abrir Documento")</f>
        <v>0</v>
      </c>
      <c r="D282" t="s">
        <v>23500</v>
      </c>
      <c r="E282" t="s">
        <v>23782</v>
      </c>
    </row>
    <row r="283" spans="1:5">
      <c r="A283" t="s">
        <v>5</v>
      </c>
      <c r="B283" t="s">
        <v>288</v>
      </c>
      <c r="C283">
        <f>HYPERLINK("C:\Users\franc\OneDrive\Documentos\ALIRO\ALIRO\KATHY\ANA LUISA 2010\PEDIMENTOS\HURTADO  39.doc", "Abrir Documento")</f>
        <v>0</v>
      </c>
      <c r="D283" t="s">
        <v>23500</v>
      </c>
      <c r="E283" t="s">
        <v>23783</v>
      </c>
    </row>
    <row r="284" spans="1:5">
      <c r="A284" t="s">
        <v>5</v>
      </c>
      <c r="B284" t="s">
        <v>289</v>
      </c>
      <c r="C284">
        <f>HYPERLINK("C:\Users\franc\OneDrive\Documentos\ALIRO\ALIRO\KATHY\ANA LUISA 2010\PEDIMENTOS\HURTADO  38.doc", "Abrir Documento")</f>
        <v>0</v>
      </c>
      <c r="D284" t="s">
        <v>23500</v>
      </c>
      <c r="E284" t="s">
        <v>23784</v>
      </c>
    </row>
    <row r="285" spans="1:5">
      <c r="A285" t="s">
        <v>5</v>
      </c>
      <c r="B285" t="s">
        <v>290</v>
      </c>
      <c r="C285">
        <f>HYPERLINK("C:\Users\franc\OneDrive\Documentos\ALIRO\ALIRO\KATHY\ANA LUISA 2010\PEDIMENTOS\HURTADO  37.doc", "Abrir Documento")</f>
        <v>0</v>
      </c>
      <c r="D285" t="s">
        <v>23500</v>
      </c>
      <c r="E285" t="s">
        <v>23785</v>
      </c>
    </row>
    <row r="286" spans="1:5">
      <c r="A286" t="s">
        <v>5</v>
      </c>
      <c r="B286" t="s">
        <v>291</v>
      </c>
      <c r="C286">
        <f>HYPERLINK("C:\Users\franc\OneDrive\Documentos\ALIRO\ALIRO\KATHY\ANA LUISA 2010\PEDIMENTOS\HURTADO  36.doc", "Abrir Documento")</f>
        <v>0</v>
      </c>
      <c r="D286" t="s">
        <v>23500</v>
      </c>
      <c r="E286" t="s">
        <v>23786</v>
      </c>
    </row>
    <row r="287" spans="1:5">
      <c r="A287" t="s">
        <v>5</v>
      </c>
      <c r="B287" t="s">
        <v>292</v>
      </c>
      <c r="C287">
        <f>HYPERLINK("C:\Users\franc\OneDrive\Documentos\ALIRO\ALIRO\KATHY\ANA LUISA 2010\PEDIMENTOS\HURTADO  35.doc", "Abrir Documento")</f>
        <v>0</v>
      </c>
      <c r="D287" t="s">
        <v>23500</v>
      </c>
      <c r="E287" t="s">
        <v>23787</v>
      </c>
    </row>
    <row r="288" spans="1:5">
      <c r="A288" t="s">
        <v>5</v>
      </c>
      <c r="B288" t="s">
        <v>293</v>
      </c>
      <c r="C288">
        <f>HYPERLINK("C:\Users\franc\OneDrive\Documentos\ALIRO\ALIRO\KATHY\ANA LUISA 2010\PEDIMENTOS\HURTADO  34.doc", "Abrir Documento")</f>
        <v>0</v>
      </c>
      <c r="D288" t="s">
        <v>23500</v>
      </c>
      <c r="E288" t="s">
        <v>23788</v>
      </c>
    </row>
    <row r="289" spans="1:5">
      <c r="A289" t="s">
        <v>5</v>
      </c>
      <c r="B289" t="s">
        <v>294</v>
      </c>
      <c r="C289">
        <f>HYPERLINK("C:\Users\franc\OneDrive\Documentos\ALIRO\ALIRO\KATHY\ANA LUISA 2010\PEDIMENTOS\HURTADO  33.doc", "Abrir Documento")</f>
        <v>0</v>
      </c>
      <c r="D289" t="s">
        <v>23500</v>
      </c>
      <c r="E289" t="s">
        <v>23789</v>
      </c>
    </row>
    <row r="290" spans="1:5">
      <c r="A290" t="s">
        <v>5</v>
      </c>
      <c r="B290" t="s">
        <v>295</v>
      </c>
      <c r="C290">
        <f>HYPERLINK("C:\Users\franc\OneDrive\Documentos\ALIRO\ALIRO\KATHY\ANA LUISA 2010\PEDIMENTOS\HURTADO  32.doc", "Abrir Documento")</f>
        <v>0</v>
      </c>
      <c r="D290" t="s">
        <v>23500</v>
      </c>
      <c r="E290" t="s">
        <v>23790</v>
      </c>
    </row>
    <row r="291" spans="1:5">
      <c r="A291" t="s">
        <v>5</v>
      </c>
      <c r="B291" t="s">
        <v>296</v>
      </c>
      <c r="C291">
        <f>HYPERLINK("C:\Users\franc\OneDrive\Documentos\ALIRO\ALIRO\KATHY\ANA LUISA 2010\PEDIMENTOS\HURTADO  31.doc", "Abrir Documento")</f>
        <v>0</v>
      </c>
      <c r="D291" t="s">
        <v>23500</v>
      </c>
      <c r="E291" t="s">
        <v>23791</v>
      </c>
    </row>
    <row r="292" spans="1:5">
      <c r="A292" t="s">
        <v>5</v>
      </c>
      <c r="B292" t="s">
        <v>297</v>
      </c>
      <c r="C292">
        <f>HYPERLINK("C:\Users\franc\OneDrive\Documentos\ALIRO\ALIRO\KATHY\ANA LUISA 2010\PEDIMENTOS\HURTADO  30.doc", "Abrir Documento")</f>
        <v>0</v>
      </c>
      <c r="D292" t="s">
        <v>23500</v>
      </c>
      <c r="E292" t="s">
        <v>23792</v>
      </c>
    </row>
    <row r="293" spans="1:5">
      <c r="A293" t="s">
        <v>5</v>
      </c>
      <c r="B293" t="s">
        <v>298</v>
      </c>
      <c r="C293">
        <f>HYPERLINK("C:\Users\franc\OneDrive\Documentos\ALIRO\ALIRO\KATHY\ANA LUISA 2010\PEDIMENTOS\HURTADO  3      TERCER JUZGADO.doc", "Abrir Documento")</f>
        <v>0</v>
      </c>
      <c r="D293" t="s">
        <v>23500</v>
      </c>
      <c r="E293" t="s">
        <v>23793</v>
      </c>
    </row>
    <row r="294" spans="1:5">
      <c r="A294" t="s">
        <v>5</v>
      </c>
      <c r="B294" t="s">
        <v>299</v>
      </c>
      <c r="C294">
        <f>HYPERLINK("C:\Users\franc\OneDrive\Documentos\ALIRO\ALIRO\KATHY\ANA LUISA 2010\PEDIMENTOS\HURTADO  29.doc", "Abrir Documento")</f>
        <v>0</v>
      </c>
      <c r="D294" t="s">
        <v>23500</v>
      </c>
      <c r="E294" t="s">
        <v>23794</v>
      </c>
    </row>
    <row r="295" spans="1:5">
      <c r="A295" t="s">
        <v>5</v>
      </c>
      <c r="B295" t="s">
        <v>300</v>
      </c>
      <c r="C295">
        <f>HYPERLINK("C:\Users\franc\OneDrive\Documentos\ALIRO\ALIRO\KATHY\ANA LUISA 2010\PEDIMENTOS\HURTADO  28.doc", "Abrir Documento")</f>
        <v>0</v>
      </c>
      <c r="D295" t="s">
        <v>23500</v>
      </c>
      <c r="E295" t="s">
        <v>23795</v>
      </c>
    </row>
    <row r="296" spans="1:5">
      <c r="A296" t="s">
        <v>5</v>
      </c>
      <c r="B296" t="s">
        <v>301</v>
      </c>
      <c r="C296">
        <f>HYPERLINK("C:\Users\franc\OneDrive\Documentos\ALIRO\ALIRO\KATHY\ANA LUISA 2010\PEDIMENTOS\HURTADO  27.doc", "Abrir Documento")</f>
        <v>0</v>
      </c>
      <c r="D296" t="s">
        <v>23500</v>
      </c>
      <c r="E296" t="s">
        <v>23796</v>
      </c>
    </row>
    <row r="297" spans="1:5">
      <c r="A297" t="s">
        <v>5</v>
      </c>
      <c r="B297" t="s">
        <v>302</v>
      </c>
      <c r="C297">
        <f>HYPERLINK("C:\Users\franc\OneDrive\Documentos\ALIRO\ALIRO\KATHY\ANA LUISA 2010\PEDIMENTOS\HURTADO  26.doc", "Abrir Documento")</f>
        <v>0</v>
      </c>
      <c r="D297" t="s">
        <v>23500</v>
      </c>
      <c r="E297" t="s">
        <v>23797</v>
      </c>
    </row>
    <row r="298" spans="1:5">
      <c r="A298" t="s">
        <v>5</v>
      </c>
      <c r="B298" t="s">
        <v>303</v>
      </c>
      <c r="C298">
        <f>HYPERLINK("C:\Users\franc\OneDrive\Documentos\ALIRO\ALIRO\KATHY\ANA LUISA 2010\PEDIMENTOS\HURTADO  25.doc", "Abrir Documento")</f>
        <v>0</v>
      </c>
      <c r="D298" t="s">
        <v>23500</v>
      </c>
      <c r="E298" t="s">
        <v>23798</v>
      </c>
    </row>
    <row r="299" spans="1:5">
      <c r="A299" t="s">
        <v>5</v>
      </c>
      <c r="B299" t="s">
        <v>304</v>
      </c>
      <c r="C299">
        <f>HYPERLINK("C:\Users\franc\OneDrive\Documentos\ALIRO\ALIRO\KATHY\ANA LUISA 2010\PEDIMENTOS\HURTADO  24.doc", "Abrir Documento")</f>
        <v>0</v>
      </c>
      <c r="D299" t="s">
        <v>23500</v>
      </c>
      <c r="E299" t="s">
        <v>23799</v>
      </c>
    </row>
    <row r="300" spans="1:5">
      <c r="A300" t="s">
        <v>5</v>
      </c>
      <c r="B300" t="s">
        <v>305</v>
      </c>
      <c r="C300">
        <f>HYPERLINK("C:\Users\franc\OneDrive\Documentos\ALIRO\ALIRO\KATHY\ANA LUISA 2010\PEDIMENTOS\HURTADO  22.doc", "Abrir Documento")</f>
        <v>0</v>
      </c>
      <c r="D300" t="s">
        <v>23500</v>
      </c>
      <c r="E300" t="s">
        <v>23800</v>
      </c>
    </row>
    <row r="301" spans="1:5">
      <c r="A301" t="s">
        <v>5</v>
      </c>
      <c r="B301" t="s">
        <v>306</v>
      </c>
      <c r="C301">
        <f>HYPERLINK("C:\Users\franc\OneDrive\Documentos\ALIRO\ALIRO\KATHY\ANA LUISA 2010\PEDIMENTOS\HURTADO  23.doc", "Abrir Documento")</f>
        <v>0</v>
      </c>
      <c r="D301" t="s">
        <v>23500</v>
      </c>
      <c r="E301" t="s">
        <v>23800</v>
      </c>
    </row>
    <row r="302" spans="1:5">
      <c r="A302" t="s">
        <v>5</v>
      </c>
      <c r="B302" t="s">
        <v>307</v>
      </c>
      <c r="C302">
        <f>HYPERLINK("C:\Users\franc\OneDrive\Documentos\ALIRO\ALIRO\KATHY\ANA LUISA 2010\PEDIMENTOS\HURTADO  21.doc", "Abrir Documento")</f>
        <v>0</v>
      </c>
      <c r="D302" t="s">
        <v>23500</v>
      </c>
      <c r="E302" t="s">
        <v>23801</v>
      </c>
    </row>
    <row r="303" spans="1:5">
      <c r="A303" t="s">
        <v>5</v>
      </c>
      <c r="B303" t="s">
        <v>308</v>
      </c>
      <c r="C303">
        <f>HYPERLINK("C:\Users\franc\OneDrive\Documentos\ALIRO\ALIRO\KATHY\ANA LUISA 2010\PEDIMENTOS\HURTADO  20.doc", "Abrir Documento")</f>
        <v>0</v>
      </c>
      <c r="D303" t="s">
        <v>23500</v>
      </c>
      <c r="E303" t="s">
        <v>23802</v>
      </c>
    </row>
    <row r="304" spans="1:5">
      <c r="A304" t="s">
        <v>5</v>
      </c>
      <c r="B304" t="s">
        <v>309</v>
      </c>
      <c r="C304">
        <f>HYPERLINK("C:\Users\franc\OneDrive\Documentos\ALIRO\ALIRO\KATHY\ANA LUISA 2010\PEDIMENTOS\HURTADO  2      TERCER JUZGADO.doc", "Abrir Documento")</f>
        <v>0</v>
      </c>
      <c r="D304" t="s">
        <v>23500</v>
      </c>
      <c r="E304" t="s">
        <v>23803</v>
      </c>
    </row>
    <row r="305" spans="1:5">
      <c r="A305" t="s">
        <v>5</v>
      </c>
      <c r="B305" t="s">
        <v>310</v>
      </c>
      <c r="C305">
        <f>HYPERLINK("C:\Users\franc\OneDrive\Documentos\ALIRO\ALIRO\KATHY\ANA LUISA 2010\PEDIMENTOS\HURTADO  19.doc", "Abrir Documento")</f>
        <v>0</v>
      </c>
      <c r="D305" t="s">
        <v>23500</v>
      </c>
      <c r="E305" t="s">
        <v>23804</v>
      </c>
    </row>
    <row r="306" spans="1:5">
      <c r="A306" t="s">
        <v>5</v>
      </c>
      <c r="B306" t="s">
        <v>311</v>
      </c>
      <c r="C306">
        <f>HYPERLINK("C:\Users\franc\OneDrive\Documentos\ALIRO\ALIRO\KATHY\ANA LUISA 2010\PEDIMENTOS\HURTADO  18.doc", "Abrir Documento")</f>
        <v>0</v>
      </c>
      <c r="D306" t="s">
        <v>23500</v>
      </c>
      <c r="E306" t="s">
        <v>23805</v>
      </c>
    </row>
    <row r="307" spans="1:5">
      <c r="A307" t="s">
        <v>5</v>
      </c>
      <c r="B307" t="s">
        <v>312</v>
      </c>
      <c r="C307">
        <f>HYPERLINK("C:\Users\franc\OneDrive\Documentos\ALIRO\ALIRO\KATHY\ANA LUISA 2010\PEDIMENTOS\HURTADO  17.doc", "Abrir Documento")</f>
        <v>0</v>
      </c>
      <c r="D307" t="s">
        <v>23500</v>
      </c>
      <c r="E307" t="s">
        <v>23806</v>
      </c>
    </row>
    <row r="308" spans="1:5">
      <c r="A308" t="s">
        <v>5</v>
      </c>
      <c r="B308" t="s">
        <v>313</v>
      </c>
      <c r="C308">
        <f>HYPERLINK("C:\Users\franc\OneDrive\Documentos\ALIRO\ALIRO\KATHY\ANA LUISA 2010\PEDIMENTOS\HURTADO  16.doc", "Abrir Documento")</f>
        <v>0</v>
      </c>
      <c r="D308" t="s">
        <v>23500</v>
      </c>
      <c r="E308" t="s">
        <v>23807</v>
      </c>
    </row>
    <row r="309" spans="1:5">
      <c r="A309" t="s">
        <v>5</v>
      </c>
      <c r="B309" t="s">
        <v>314</v>
      </c>
      <c r="C309">
        <f>HYPERLINK("C:\Users\franc\OneDrive\Documentos\ALIRO\ALIRO\KATHY\ANA LUISA 2010\PEDIMENTOS\HURTADO  15.doc", "Abrir Documento")</f>
        <v>0</v>
      </c>
      <c r="D309" t="s">
        <v>23500</v>
      </c>
      <c r="E309" t="s">
        <v>23808</v>
      </c>
    </row>
    <row r="310" spans="1:5">
      <c r="A310" t="s">
        <v>5</v>
      </c>
      <c r="B310" t="s">
        <v>315</v>
      </c>
      <c r="C310">
        <f>HYPERLINK("C:\Users\franc\OneDrive\Documentos\ALIRO\ALIRO\KATHY\ANA LUISA 2010\PEDIMENTOS\HURTADO  14.doc", "Abrir Documento")</f>
        <v>0</v>
      </c>
      <c r="D310" t="s">
        <v>23500</v>
      </c>
      <c r="E310" t="s">
        <v>23809</v>
      </c>
    </row>
    <row r="311" spans="1:5">
      <c r="A311" t="s">
        <v>5</v>
      </c>
      <c r="B311" t="s">
        <v>316</v>
      </c>
      <c r="C311">
        <f>HYPERLINK("C:\Users\franc\OneDrive\Documentos\ALIRO\ALIRO\KATHY\ANA LUISA 2010\PEDIMENTOS\HURTADO  13.doc", "Abrir Documento")</f>
        <v>0</v>
      </c>
      <c r="D311" t="s">
        <v>23500</v>
      </c>
      <c r="E311" t="s">
        <v>23810</v>
      </c>
    </row>
    <row r="312" spans="1:5">
      <c r="A312" t="s">
        <v>5</v>
      </c>
      <c r="B312" t="s">
        <v>317</v>
      </c>
      <c r="C312">
        <f>HYPERLINK("C:\Users\franc\OneDrive\Documentos\ALIRO\ALIRO\KATHY\ANA LUISA 2010\PEDIMENTOS\HURTADO  12.doc", "Abrir Documento")</f>
        <v>0</v>
      </c>
      <c r="D312" t="s">
        <v>23500</v>
      </c>
      <c r="E312" t="s">
        <v>23811</v>
      </c>
    </row>
    <row r="313" spans="1:5">
      <c r="A313" t="s">
        <v>5</v>
      </c>
      <c r="B313" t="s">
        <v>318</v>
      </c>
      <c r="C313">
        <f>HYPERLINK("C:\Users\franc\OneDrive\Documentos\ALIRO\ALIRO\KATHY\ANA LUISA 2010\PEDIMENTOS\HURTADO  11.doc", "Abrir Documento")</f>
        <v>0</v>
      </c>
      <c r="D313" t="s">
        <v>23500</v>
      </c>
      <c r="E313" t="s">
        <v>23812</v>
      </c>
    </row>
    <row r="314" spans="1:5">
      <c r="A314" t="s">
        <v>5</v>
      </c>
      <c r="B314" t="s">
        <v>319</v>
      </c>
      <c r="C314">
        <f>HYPERLINK("C:\Users\franc\OneDrive\Documentos\ALIRO\ALIRO\KATHY\ANA LUISA 2010\PEDIMENTOS\HURTADO  10.doc", "Abrir Documento")</f>
        <v>0</v>
      </c>
      <c r="D314" t="s">
        <v>23500</v>
      </c>
      <c r="E314" t="s">
        <v>23813</v>
      </c>
    </row>
    <row r="315" spans="1:5">
      <c r="A315" t="s">
        <v>5</v>
      </c>
      <c r="B315" t="s">
        <v>320</v>
      </c>
      <c r="C315">
        <f>HYPERLINK("C:\Users\franc\OneDrive\Documentos\ALIRO\ALIRO\KATHY\ANA LUISA 2010\PEDIMENTOS\HURTADO  1.doc", "Abrir Documento")</f>
        <v>0</v>
      </c>
      <c r="D315" t="s">
        <v>23500</v>
      </c>
      <c r="E315" t="s">
        <v>23814</v>
      </c>
    </row>
    <row r="316" spans="1:5">
      <c r="A316" t="s">
        <v>5</v>
      </c>
      <c r="B316" t="s">
        <v>321</v>
      </c>
      <c r="C316">
        <f>HYPERLINK("C:\Users\franc\OneDrive\Documentos\ALIRO\ALIRO\KATHY\ANA LUISA 2010\PEDIMENTOS\HAPI II 16.doc", "Abrir Documento")</f>
        <v>0</v>
      </c>
      <c r="D316" t="s">
        <v>23500</v>
      </c>
      <c r="E316" t="s">
        <v>23815</v>
      </c>
    </row>
    <row r="317" spans="1:5">
      <c r="A317" t="s">
        <v>5</v>
      </c>
      <c r="B317" t="s">
        <v>322</v>
      </c>
      <c r="C317">
        <f>HYPERLINK("C:\Users\franc\OneDrive\Documentos\ALIRO\ALIRO\KATHY\ANA LUISA 2010\PEDIMENTOS\HAPI 18 B.doc", "Abrir Documento")</f>
        <v>0</v>
      </c>
      <c r="D317" t="s">
        <v>23500</v>
      </c>
      <c r="E317" t="s">
        <v>23816</v>
      </c>
    </row>
    <row r="318" spans="1:5">
      <c r="A318" t="s">
        <v>5</v>
      </c>
      <c r="B318" t="s">
        <v>323</v>
      </c>
      <c r="C318">
        <f>HYPERLINK("C:\Users\franc\OneDrive\Documentos\ALIRO\ALIRO\KATHY\ANA LUISA 2010\PEDIMENTOS\GRIMPAZ.doc", "Abrir Documento")</f>
        <v>0</v>
      </c>
      <c r="D318" t="s">
        <v>23500</v>
      </c>
      <c r="E318" t="s">
        <v>23817</v>
      </c>
    </row>
    <row r="319" spans="1:5">
      <c r="A319" t="s">
        <v>5</v>
      </c>
      <c r="B319" t="s">
        <v>324</v>
      </c>
      <c r="C319">
        <f>HYPERLINK("C:\Users\franc\OneDrive\Documentos\ALIRO\ALIRO\KATHY\ANA LUISA 2010\PEDIMENTOS\EVELYN 7 -  JESUS ROJAS PATIÑO.doc", "Abrir Documento")</f>
        <v>0</v>
      </c>
      <c r="D319" t="s">
        <v>23500</v>
      </c>
      <c r="E319" t="s">
        <v>23818</v>
      </c>
    </row>
    <row r="320" spans="1:5">
      <c r="A320" t="s">
        <v>5</v>
      </c>
      <c r="B320" t="s">
        <v>325</v>
      </c>
      <c r="C320">
        <f>HYPERLINK("C:\Users\franc\OneDrive\Documentos\ALIRO\ALIRO\KATHY\ANA LUISA 2010\PEDIMENTOS\EVELYN 6 -  JESUS ROJAS PATIÑO.doc", "Abrir Documento")</f>
        <v>0</v>
      </c>
      <c r="D320" t="s">
        <v>23500</v>
      </c>
      <c r="E320" t="s">
        <v>23819</v>
      </c>
    </row>
    <row r="321" spans="1:5">
      <c r="A321" t="s">
        <v>5</v>
      </c>
      <c r="B321" t="s">
        <v>326</v>
      </c>
      <c r="C321">
        <f>HYPERLINK("C:\Users\franc\OneDrive\Documentos\ALIRO\ALIRO\KATHY\ANA LUISA 2010\PEDIMENTOS\EVELYN 5 -  JESUS ROJAS PATIÑO.doc", "Abrir Documento")</f>
        <v>0</v>
      </c>
      <c r="D321" t="s">
        <v>23500</v>
      </c>
      <c r="E321" t="s">
        <v>23820</v>
      </c>
    </row>
    <row r="322" spans="1:5">
      <c r="A322" t="s">
        <v>5</v>
      </c>
      <c r="B322" t="s">
        <v>327</v>
      </c>
      <c r="C322">
        <f>HYPERLINK("C:\Users\franc\OneDrive\Documentos\ALIRO\ALIRO\KATHY\ANA LUISA 2010\PEDIMENTOS\EVELYN 4 -  JESUS ROJAS PATIÑO.doc", "Abrir Documento")</f>
        <v>0</v>
      </c>
      <c r="D322" t="s">
        <v>23500</v>
      </c>
      <c r="E322" t="s">
        <v>23821</v>
      </c>
    </row>
    <row r="323" spans="1:5">
      <c r="A323" t="s">
        <v>5</v>
      </c>
      <c r="B323" t="s">
        <v>328</v>
      </c>
      <c r="C323">
        <f>HYPERLINK("C:\Users\franc\OneDrive\Documentos\ALIRO\ALIRO\KATHY\ANA LUISA 2010\PEDIMENTOS\EVELYN 3 -  JESUS ROJAS PATIÑO.doc", "Abrir Documento")</f>
        <v>0</v>
      </c>
      <c r="D323" t="s">
        <v>23500</v>
      </c>
      <c r="E323" t="s">
        <v>23822</v>
      </c>
    </row>
    <row r="324" spans="1:5">
      <c r="A324" t="s">
        <v>5</v>
      </c>
      <c r="B324" t="s">
        <v>329</v>
      </c>
      <c r="C324">
        <f>HYPERLINK("C:\Users\franc\OneDrive\Documentos\ALIRO\ALIRO\KATHY\ANA LUISA 2010\PEDIMENTOS\EVELYN 2 -  JESUS ROJAS PATIÑO.doc", "Abrir Documento")</f>
        <v>0</v>
      </c>
      <c r="D324" t="s">
        <v>23500</v>
      </c>
      <c r="E324" t="s">
        <v>23823</v>
      </c>
    </row>
    <row r="325" spans="1:5">
      <c r="A325" t="s">
        <v>5</v>
      </c>
      <c r="B325" t="s">
        <v>330</v>
      </c>
      <c r="C325">
        <f>HYPERLINK("C:\Users\franc\OneDrive\Documentos\ALIRO\ALIRO\KATHY\ANA LUISA 2010\PEDIMENTOS\EVELYN 1 -  JESUS ROJAS PATIÑO.doc", "Abrir Documento")</f>
        <v>0</v>
      </c>
      <c r="D325" t="s">
        <v>23500</v>
      </c>
      <c r="E325" t="s">
        <v>23824</v>
      </c>
    </row>
    <row r="326" spans="1:5">
      <c r="A326" t="s">
        <v>5</v>
      </c>
      <c r="B326" t="s">
        <v>331</v>
      </c>
      <c r="C326">
        <f>HYPERLINK("C:\Users\franc\OneDrive\Documentos\ALIRO\ALIRO\KATHY\ANA LUISA 2010\PEDIMENTOS\ELQUI UNO.doc", "Abrir Documento")</f>
        <v>0</v>
      </c>
      <c r="D326" t="s">
        <v>23500</v>
      </c>
      <c r="E326" t="s">
        <v>23825</v>
      </c>
    </row>
    <row r="327" spans="1:5">
      <c r="A327" t="s">
        <v>5</v>
      </c>
      <c r="B327" t="s">
        <v>332</v>
      </c>
      <c r="C327">
        <f>HYPERLINK("C:\Users\franc\OneDrive\Documentos\ALIRO\ALIRO\KATHY\ANA LUISA 2010\PEDIMENTOS\ELQUI TRES.doc", "Abrir Documento")</f>
        <v>0</v>
      </c>
      <c r="D327" t="s">
        <v>23500</v>
      </c>
      <c r="E327" t="s">
        <v>23826</v>
      </c>
    </row>
    <row r="328" spans="1:5">
      <c r="A328" t="s">
        <v>5</v>
      </c>
      <c r="B328" t="s">
        <v>333</v>
      </c>
      <c r="C328">
        <f>HYPERLINK("C:\Users\franc\OneDrive\Documentos\ALIRO\ALIRO\KATHY\ANA LUISA 2010\PEDIMENTOS\ELQUI SIETE.doc", "Abrir Documento")</f>
        <v>0</v>
      </c>
      <c r="D328" t="s">
        <v>23500</v>
      </c>
      <c r="E328" t="s">
        <v>23827</v>
      </c>
    </row>
    <row r="329" spans="1:5">
      <c r="A329" t="s">
        <v>5</v>
      </c>
      <c r="B329" t="s">
        <v>334</v>
      </c>
      <c r="C329">
        <f>HYPERLINK("C:\Users\franc\OneDrive\Documentos\ALIRO\ALIRO\KATHY\ANA LUISA 2010\PEDIMENTOS\ELQUI SEIS.doc", "Abrir Documento")</f>
        <v>0</v>
      </c>
      <c r="D329" t="s">
        <v>23500</v>
      </c>
      <c r="E329" t="s">
        <v>23828</v>
      </c>
    </row>
    <row r="330" spans="1:5">
      <c r="A330" t="s">
        <v>5</v>
      </c>
      <c r="B330" t="s">
        <v>335</v>
      </c>
      <c r="C330">
        <f>HYPERLINK("C:\Users\franc\OneDrive\Documentos\ALIRO\ALIRO\KATHY\ANA LUISA 2010\PEDIMENTOS\ELQUI OCHO.doc", "Abrir Documento")</f>
        <v>0</v>
      </c>
      <c r="D330" t="s">
        <v>23500</v>
      </c>
      <c r="E330" t="s">
        <v>23829</v>
      </c>
    </row>
    <row r="331" spans="1:5">
      <c r="A331" t="s">
        <v>5</v>
      </c>
      <c r="B331" t="s">
        <v>336</v>
      </c>
      <c r="C331">
        <f>HYPERLINK("C:\Users\franc\OneDrive\Documentos\ALIRO\ALIRO\KATHY\ANA LUISA 2010\PEDIMENTOS\ELQUI DOS.doc", "Abrir Documento")</f>
        <v>0</v>
      </c>
      <c r="D331" t="s">
        <v>23500</v>
      </c>
      <c r="E331" t="s">
        <v>23830</v>
      </c>
    </row>
    <row r="332" spans="1:5">
      <c r="A332" t="s">
        <v>5</v>
      </c>
      <c r="B332" t="s">
        <v>337</v>
      </c>
      <c r="C332">
        <f>HYPERLINK("C:\Users\franc\OneDrive\Documentos\ALIRO\ALIRO\KATHY\ANA LUISA 2010\PEDIMENTOS\ELQUI CUATRO.doc", "Abrir Documento")</f>
        <v>0</v>
      </c>
      <c r="D332" t="s">
        <v>23500</v>
      </c>
      <c r="E332" t="s">
        <v>23831</v>
      </c>
    </row>
    <row r="333" spans="1:5">
      <c r="A333" t="s">
        <v>5</v>
      </c>
      <c r="B333" t="s">
        <v>338</v>
      </c>
      <c r="C333">
        <f>HYPERLINK("C:\Users\franc\OneDrive\Documentos\ALIRO\ALIRO\KATHY\ANA LUISA 2010\PEDIMENTOS\ELQUI CINCO.doc", "Abrir Documento")</f>
        <v>0</v>
      </c>
      <c r="D333" t="s">
        <v>23500</v>
      </c>
      <c r="E333" t="s">
        <v>23832</v>
      </c>
    </row>
    <row r="334" spans="1:5">
      <c r="A334" t="s">
        <v>5</v>
      </c>
      <c r="B334" t="s">
        <v>339</v>
      </c>
      <c r="C334">
        <f>HYPERLINK("C:\Users\franc\OneDrive\Documentos\ALIRO\ALIRO\KATHY\ANA LUISA 2010\PEDIMENTOS\DIVISADERO F.doc", "Abrir Documento")</f>
        <v>0</v>
      </c>
      <c r="D334" t="s">
        <v>23500</v>
      </c>
      <c r="E334" t="s">
        <v>23833</v>
      </c>
    </row>
    <row r="335" spans="1:5">
      <c r="A335" t="s">
        <v>5</v>
      </c>
      <c r="B335" t="s">
        <v>340</v>
      </c>
      <c r="C335">
        <f>HYPERLINK("C:\Users\franc\OneDrive\Documentos\ALIRO\ALIRO\KATHY\ANA LUISA 2010\PEDIMENTOS\DIVISADERO E.doc", "Abrir Documento")</f>
        <v>0</v>
      </c>
      <c r="D335" t="s">
        <v>23500</v>
      </c>
      <c r="E335" t="s">
        <v>23834</v>
      </c>
    </row>
    <row r="336" spans="1:5">
      <c r="A336" t="s">
        <v>5</v>
      </c>
      <c r="B336" t="s">
        <v>341</v>
      </c>
      <c r="C336">
        <f>HYPERLINK("C:\Users\franc\OneDrive\Documentos\ALIRO\ALIRO\KATHY\ANA LUISA 2010\PEDIMENTOS\DIVISADERO D.doc", "Abrir Documento")</f>
        <v>0</v>
      </c>
      <c r="D336" t="s">
        <v>23500</v>
      </c>
      <c r="E336" t="s">
        <v>23835</v>
      </c>
    </row>
    <row r="337" spans="1:5">
      <c r="A337" t="s">
        <v>5</v>
      </c>
      <c r="B337" t="s">
        <v>342</v>
      </c>
      <c r="C337">
        <f>HYPERLINK("C:\Users\franc\OneDrive\Documentos\ALIRO\ALIRO\KATHY\ANA LUISA 2010\PEDIMENTOS\DIVISADERO C.doc", "Abrir Documento")</f>
        <v>0</v>
      </c>
      <c r="D337" t="s">
        <v>23500</v>
      </c>
      <c r="E337" t="s">
        <v>23836</v>
      </c>
    </row>
    <row r="338" spans="1:5">
      <c r="A338" t="s">
        <v>5</v>
      </c>
      <c r="B338" t="s">
        <v>343</v>
      </c>
      <c r="C338">
        <f>HYPERLINK("C:\Users\franc\OneDrive\Documentos\ALIRO\ALIRO\KATHY\ANA LUISA 2010\PEDIMENTOS\DIVISADERO B.doc", "Abrir Documento")</f>
        <v>0</v>
      </c>
      <c r="D338" t="s">
        <v>23500</v>
      </c>
      <c r="E338" t="s">
        <v>23837</v>
      </c>
    </row>
    <row r="339" spans="1:5">
      <c r="A339" t="s">
        <v>5</v>
      </c>
      <c r="B339" t="s">
        <v>344</v>
      </c>
      <c r="C339">
        <f>HYPERLINK("C:\Users\franc\OneDrive\Documentos\ALIRO\ALIRO\KATHY\ANA LUISA 2010\PEDIMENTOS\DIVISADERO A.doc", "Abrir Documento")</f>
        <v>0</v>
      </c>
      <c r="D339" t="s">
        <v>23500</v>
      </c>
      <c r="E339" t="s">
        <v>23838</v>
      </c>
    </row>
    <row r="340" spans="1:5">
      <c r="A340" t="s">
        <v>5</v>
      </c>
      <c r="B340" t="s">
        <v>345</v>
      </c>
      <c r="C340">
        <f>HYPERLINK("C:\Users\franc\OneDrive\Documentos\ALIRO\ALIRO\KATHY\ANA LUISA 2010\PEDIMENTOS\CHIVAS UNO.doc", "Abrir Documento")</f>
        <v>0</v>
      </c>
      <c r="D340" t="s">
        <v>23500</v>
      </c>
      <c r="E340" t="s">
        <v>23839</v>
      </c>
    </row>
    <row r="341" spans="1:5">
      <c r="A341" t="s">
        <v>5</v>
      </c>
      <c r="B341" t="s">
        <v>346</v>
      </c>
      <c r="C341">
        <f>HYPERLINK("C:\Users\franc\OneDrive\Documentos\ALIRO\ALIRO\KATHY\ANA LUISA 2010\PEDIMENTOS\CHIVAS TRES.doc", "Abrir Documento")</f>
        <v>0</v>
      </c>
      <c r="D341" t="s">
        <v>23500</v>
      </c>
      <c r="E341" t="s">
        <v>23840</v>
      </c>
    </row>
    <row r="342" spans="1:5">
      <c r="A342" t="s">
        <v>5</v>
      </c>
      <c r="B342" t="s">
        <v>347</v>
      </c>
      <c r="C342">
        <f>HYPERLINK("C:\Users\franc\OneDrive\Documentos\ALIRO\ALIRO\KATHY\ANA LUISA 2010\PEDIMENTOS\CHIVAS DOS.doc", "Abrir Documento")</f>
        <v>0</v>
      </c>
      <c r="D342" t="s">
        <v>23500</v>
      </c>
      <c r="E342" t="s">
        <v>23841</v>
      </c>
    </row>
    <row r="343" spans="1:5">
      <c r="A343" t="s">
        <v>5</v>
      </c>
      <c r="B343" t="s">
        <v>348</v>
      </c>
      <c r="C343">
        <f>HYPERLINK("C:\Users\franc\OneDrive\Documentos\ALIRO\ALIRO\KATHY\ANA LUISA 2010\PEDIMENTOS\CHIVAS CUATRO.doc", "Abrir Documento")</f>
        <v>0</v>
      </c>
      <c r="D343" t="s">
        <v>23500</v>
      </c>
      <c r="E343" t="s">
        <v>23842</v>
      </c>
    </row>
    <row r="344" spans="1:5">
      <c r="A344" t="s">
        <v>5</v>
      </c>
      <c r="B344" t="s">
        <v>349</v>
      </c>
      <c r="C344">
        <f>HYPERLINK("C:\Users\franc\OneDrive\Documentos\ALIRO\ALIRO\KATHY\ANA LUISA 2010\PEDIMENTOS\CHAGUAL UNO (PRIMER JUZGADO).doc", "Abrir Documento")</f>
        <v>0</v>
      </c>
      <c r="D344" t="s">
        <v>23500</v>
      </c>
      <c r="E344" t="s">
        <v>23843</v>
      </c>
    </row>
    <row r="345" spans="1:5">
      <c r="A345" t="s">
        <v>5</v>
      </c>
      <c r="B345" t="s">
        <v>350</v>
      </c>
      <c r="C345">
        <f>HYPERLINK("C:\Users\franc\OneDrive\Documentos\ALIRO\ALIRO\KATHY\ANA LUISA 2010\PEDIMENTOS\CHAGUAL TRES  (PRIMER JUZGADO).doc", "Abrir Documento")</f>
        <v>0</v>
      </c>
      <c r="D345" t="s">
        <v>23500</v>
      </c>
      <c r="E345" t="s">
        <v>23844</v>
      </c>
    </row>
    <row r="346" spans="1:5">
      <c r="A346" t="s">
        <v>5</v>
      </c>
      <c r="B346" t="s">
        <v>351</v>
      </c>
      <c r="C346">
        <f>HYPERLINK("C:\Users\franc\OneDrive\Documentos\ALIRO\ALIRO\KATHY\ANA LUISA 2010\PEDIMENTOS\CHAGUAL DOS  (PRIMER JUZGADO).doc", "Abrir Documento")</f>
        <v>0</v>
      </c>
      <c r="D346" t="s">
        <v>23500</v>
      </c>
      <c r="E346" t="s">
        <v>23845</v>
      </c>
    </row>
    <row r="347" spans="1:5">
      <c r="A347" t="s">
        <v>5</v>
      </c>
      <c r="B347" t="s">
        <v>352</v>
      </c>
      <c r="C347">
        <f>HYPERLINK("C:\Users\franc\OneDrive\Documentos\ALIRO\ALIRO\KATHY\ANA LUISA 2010\PEDIMENTOS\CERRO PAZ 1.doc", "Abrir Documento")</f>
        <v>0</v>
      </c>
      <c r="D347" t="s">
        <v>23500</v>
      </c>
      <c r="E347" t="s">
        <v>23846</v>
      </c>
    </row>
    <row r="348" spans="1:5">
      <c r="A348" t="s">
        <v>5</v>
      </c>
      <c r="B348" t="s">
        <v>353</v>
      </c>
      <c r="C348">
        <f>HYPERLINK("C:\Users\franc\OneDrive\Documentos\ALIRO\ALIRO\KATHY\ANA LUISA 2010\PEDIMENTOS\CENTAUREA I  -    PRIMER JUZGADO.doc", "Abrir Documento")</f>
        <v>0</v>
      </c>
      <c r="D348" t="s">
        <v>23500</v>
      </c>
      <c r="E348" t="s">
        <v>23847</v>
      </c>
    </row>
    <row r="349" spans="1:5">
      <c r="A349" t="s">
        <v>5</v>
      </c>
      <c r="B349" t="s">
        <v>354</v>
      </c>
      <c r="C349">
        <f>HYPERLINK("C:\Users\franc\OneDrive\Documentos\ALIRO\ALIRO\KATHY\ANA LUISA 2010\PEDIMENTOS\CAPRIL.doc", "Abrir Documento")</f>
        <v>0</v>
      </c>
      <c r="D349" t="s">
        <v>23500</v>
      </c>
      <c r="E349" t="s">
        <v>23848</v>
      </c>
    </row>
    <row r="350" spans="1:5">
      <c r="A350" t="s">
        <v>5</v>
      </c>
      <c r="B350" t="s">
        <v>355</v>
      </c>
      <c r="C350">
        <f>HYPERLINK("C:\Users\franc\OneDrive\Documentos\ALIRO\ALIRO\KATHY\ANA LUISA 2010\PEDIMENTOS\BRILLADOR.doc", "Abrir Documento")</f>
        <v>0</v>
      </c>
      <c r="D350" t="s">
        <v>23500</v>
      </c>
      <c r="E350" t="s">
        <v>23849</v>
      </c>
    </row>
    <row r="351" spans="1:5">
      <c r="A351" t="s">
        <v>5</v>
      </c>
      <c r="B351" t="s">
        <v>356</v>
      </c>
      <c r="C351">
        <f>HYPERLINK("C:\Users\franc\OneDrive\Documentos\ALIRO\ALIRO\KATHY\ANA LUISA 2010\PEDIMENTOS\AMELITA 24 -  2º JUZGADO.doc", "Abrir Documento")</f>
        <v>0</v>
      </c>
      <c r="D351" t="s">
        <v>23500</v>
      </c>
      <c r="E351" t="s">
        <v>23850</v>
      </c>
    </row>
    <row r="352" spans="1:5">
      <c r="A352" t="s">
        <v>5</v>
      </c>
      <c r="B352" t="s">
        <v>357</v>
      </c>
      <c r="C352">
        <f>HYPERLINK("C:\Users\franc\OneDrive\Documentos\ALIRO\ALIRO\KATHY\ANA LUISA 2010\PEDIMENTOS\ALEX 9  -    HECTOR DE LAS PEÑAS SALINAS  -  2º JUZGADO.doc", "Abrir Documento")</f>
        <v>0</v>
      </c>
      <c r="D352" t="s">
        <v>23500</v>
      </c>
      <c r="E352" t="s">
        <v>23851</v>
      </c>
    </row>
    <row r="353" spans="1:5">
      <c r="A353" t="s">
        <v>5</v>
      </c>
      <c r="B353" t="s">
        <v>358</v>
      </c>
      <c r="C353">
        <f>HYPERLINK("C:\Users\franc\OneDrive\Documentos\ALIRO\ALIRO\KATHY\ANA LUISA 2010\PEDIMENTOS\ALEX 8  -    HECTOR DE LAS PEÑAS SALINAS  -  2º JUZGADO.doc", "Abrir Documento")</f>
        <v>0</v>
      </c>
      <c r="D353" t="s">
        <v>23500</v>
      </c>
      <c r="E353" t="s">
        <v>23852</v>
      </c>
    </row>
    <row r="354" spans="1:5">
      <c r="A354" t="s">
        <v>5</v>
      </c>
      <c r="B354" t="s">
        <v>359</v>
      </c>
      <c r="C354">
        <f>HYPERLINK("C:\Users\franc\OneDrive\Documentos\ALIRO\ALIRO\KATHY\ANA LUISA 2010\PEDIMENTOS\ALEX 7  -    HECTOR DE LAS PEÑAS SALINAS  -  2º JUZGADO.doc", "Abrir Documento")</f>
        <v>0</v>
      </c>
      <c r="D354" t="s">
        <v>23500</v>
      </c>
      <c r="E354" t="s">
        <v>23853</v>
      </c>
    </row>
    <row r="355" spans="1:5">
      <c r="A355" t="s">
        <v>5</v>
      </c>
      <c r="B355" t="s">
        <v>360</v>
      </c>
      <c r="C355">
        <f>HYPERLINK("C:\Users\franc\OneDrive\Documentos\ALIRO\ALIRO\KATHY\ANA LUISA 2010\PEDIMENTOS\ALEX 6  -    HECTOR DE LAS PEÑAS SALINAS  -  2º JUZGADO.doc", "Abrir Documento")</f>
        <v>0</v>
      </c>
      <c r="D355" t="s">
        <v>23500</v>
      </c>
      <c r="E355" t="s">
        <v>23854</v>
      </c>
    </row>
    <row r="356" spans="1:5">
      <c r="A356" t="s">
        <v>5</v>
      </c>
      <c r="B356" t="s">
        <v>361</v>
      </c>
      <c r="C356">
        <f>HYPERLINK("C:\Users\franc\OneDrive\Documentos\ALIRO\ALIRO\KATHY\ANA LUISA 2010\PEDIMENTOS\ALEX 5  -    HECTOR DE LAS PEÑAS SALINAS  -  2º JUZGADO.doc", "Abrir Documento")</f>
        <v>0</v>
      </c>
      <c r="D356" t="s">
        <v>23500</v>
      </c>
      <c r="E356" t="s">
        <v>23855</v>
      </c>
    </row>
    <row r="357" spans="1:5">
      <c r="A357" t="s">
        <v>5</v>
      </c>
      <c r="B357" t="s">
        <v>362</v>
      </c>
      <c r="C357">
        <f>HYPERLINK("C:\Users\franc\OneDrive\Documentos\ALIRO\ALIRO\KATHY\ANA LUISA 2010\PEDIMENTOS\ALEX 4  -    HECTOR DE LAS PEÑAS SALINAS  -  2º JUZGADO.doc", "Abrir Documento")</f>
        <v>0</v>
      </c>
      <c r="D357" t="s">
        <v>23500</v>
      </c>
      <c r="E357" t="s">
        <v>23856</v>
      </c>
    </row>
    <row r="358" spans="1:5">
      <c r="A358" t="s">
        <v>5</v>
      </c>
      <c r="B358" t="s">
        <v>363</v>
      </c>
      <c r="C358">
        <f>HYPERLINK("C:\Users\franc\OneDrive\Documentos\ALIRO\ALIRO\KATHY\ANA LUISA 2010\PEDIMENTOS\ALEX 3  -    HECTOR DE LAS PEÑAS SALINAS  -  2º JUZGADO.doc", "Abrir Documento")</f>
        <v>0</v>
      </c>
      <c r="D358" t="s">
        <v>23500</v>
      </c>
      <c r="E358" t="s">
        <v>23857</v>
      </c>
    </row>
    <row r="359" spans="1:5">
      <c r="A359" t="s">
        <v>5</v>
      </c>
      <c r="B359" t="s">
        <v>364</v>
      </c>
      <c r="C359">
        <f>HYPERLINK("C:\Users\franc\OneDrive\Documentos\ALIRO\ALIRO\KATHY\ANA LUISA 2010\PEDIMENTOS\ALEX 2  -    HECTOR DE LAS PEÑAS SALINAS  -  2º JUZGADO.doc", "Abrir Documento")</f>
        <v>0</v>
      </c>
      <c r="D359" t="s">
        <v>23500</v>
      </c>
      <c r="E359" t="s">
        <v>23858</v>
      </c>
    </row>
    <row r="360" spans="1:5">
      <c r="A360" t="s">
        <v>5</v>
      </c>
      <c r="B360" t="s">
        <v>365</v>
      </c>
      <c r="C360">
        <f>HYPERLINK("C:\Users\franc\OneDrive\Documentos\ALIRO\ALIRO\KATHY\ANA LUISA 2010\PEDIMENTOS\ALEX 18  -    HECTOR DE LAS PEÑAS SALINAS  -  2º JUZGADO.doc", "Abrir Documento")</f>
        <v>0</v>
      </c>
      <c r="D360" t="s">
        <v>23500</v>
      </c>
      <c r="E360" t="s">
        <v>23859</v>
      </c>
    </row>
    <row r="361" spans="1:5">
      <c r="A361" t="s">
        <v>5</v>
      </c>
      <c r="B361" t="s">
        <v>366</v>
      </c>
      <c r="C361">
        <f>HYPERLINK("C:\Users\franc\OneDrive\Documentos\ALIRO\ALIRO\KATHY\ANA LUISA 2010\PEDIMENTOS\ALEX 17  -    HECTOR DE LAS PEÑAS SALINAS  -  2º JUZGADO.doc", "Abrir Documento")</f>
        <v>0</v>
      </c>
      <c r="D361" t="s">
        <v>23500</v>
      </c>
      <c r="E361" t="s">
        <v>23860</v>
      </c>
    </row>
    <row r="362" spans="1:5">
      <c r="A362" t="s">
        <v>5</v>
      </c>
      <c r="B362" t="s">
        <v>367</v>
      </c>
      <c r="C362">
        <f>HYPERLINK("C:\Users\franc\OneDrive\Documentos\ALIRO\ALIRO\KATHY\ANA LUISA 2010\PEDIMENTOS\ALEX 16  -    HECTOR DE LAS PEÑAS SALINAS  -  2º JUZGADO.doc", "Abrir Documento")</f>
        <v>0</v>
      </c>
      <c r="D362" t="s">
        <v>23500</v>
      </c>
      <c r="E362" t="s">
        <v>23861</v>
      </c>
    </row>
    <row r="363" spans="1:5">
      <c r="A363" t="s">
        <v>5</v>
      </c>
      <c r="B363" t="s">
        <v>368</v>
      </c>
      <c r="C363">
        <f>HYPERLINK("C:\Users\franc\OneDrive\Documentos\ALIRO\ALIRO\KATHY\ANA LUISA 2010\PEDIMENTOS\ALEX 15  -    HECTOR DE LAS PEÑAS SALINAS  -  2º JUZGADO.doc", "Abrir Documento")</f>
        <v>0</v>
      </c>
      <c r="D363" t="s">
        <v>23500</v>
      </c>
      <c r="E363" t="s">
        <v>23862</v>
      </c>
    </row>
    <row r="364" spans="1:5">
      <c r="A364" t="s">
        <v>5</v>
      </c>
      <c r="B364" t="s">
        <v>369</v>
      </c>
      <c r="C364">
        <f>HYPERLINK("C:\Users\franc\OneDrive\Documentos\ALIRO\ALIRO\KATHY\ANA LUISA 2010\PEDIMENTOS\ALEX 14  -    HECTOR DE LAS PEÑAS SALINAS  -  2º JUZGADO.doc", "Abrir Documento")</f>
        <v>0</v>
      </c>
      <c r="D364" t="s">
        <v>23500</v>
      </c>
      <c r="E364" t="s">
        <v>23863</v>
      </c>
    </row>
    <row r="365" spans="1:5">
      <c r="A365" t="s">
        <v>5</v>
      </c>
      <c r="B365" t="s">
        <v>370</v>
      </c>
      <c r="C365">
        <f>HYPERLINK("C:\Users\franc\OneDrive\Documentos\ALIRO\ALIRO\KATHY\ANA LUISA 2010\PEDIMENTOS\ALEX 13  -    HECTOR DE LAS PEÑAS SALINAS  -  2º JUZGADO.doc", "Abrir Documento")</f>
        <v>0</v>
      </c>
      <c r="D365" t="s">
        <v>23500</v>
      </c>
      <c r="E365" t="s">
        <v>23864</v>
      </c>
    </row>
    <row r="366" spans="1:5">
      <c r="A366" t="s">
        <v>5</v>
      </c>
      <c r="B366" t="s">
        <v>371</v>
      </c>
      <c r="C366">
        <f>HYPERLINK("C:\Users\franc\OneDrive\Documentos\ALIRO\ALIRO\KATHY\ANA LUISA 2010\PEDIMENTOS\ALEX 12  -    HECTOR DE LAS PEÑAS SALINAS  -  2º JUZGADO.doc", "Abrir Documento")</f>
        <v>0</v>
      </c>
      <c r="D366" t="s">
        <v>23500</v>
      </c>
      <c r="E366" t="s">
        <v>23865</v>
      </c>
    </row>
    <row r="367" spans="1:5">
      <c r="A367" t="s">
        <v>5</v>
      </c>
      <c r="B367" t="s">
        <v>372</v>
      </c>
      <c r="C367">
        <f>HYPERLINK("C:\Users\franc\OneDrive\Documentos\ALIRO\ALIRO\KATHY\ANA LUISA 2010\PEDIMENTOS\ALEX 11  -    HECTOR DE LAS PEÑAS SALINAS  -  2º JUZGADO.doc", "Abrir Documento")</f>
        <v>0</v>
      </c>
      <c r="D367" t="s">
        <v>23500</v>
      </c>
      <c r="E367" t="s">
        <v>23866</v>
      </c>
    </row>
    <row r="368" spans="1:5">
      <c r="A368" t="s">
        <v>5</v>
      </c>
      <c r="B368" t="s">
        <v>373</v>
      </c>
      <c r="C368">
        <f>HYPERLINK("C:\Users\franc\OneDrive\Documentos\ALIRO\ALIRO\KATHY\ANA LUISA 2010\PEDIMENTOS\ALEX 10  -    HECTOR DE LAS PEÑAS SALINAS  -  2º JUZGADO.doc", "Abrir Documento")</f>
        <v>0</v>
      </c>
      <c r="D368" t="s">
        <v>23500</v>
      </c>
      <c r="E368" t="s">
        <v>23867</v>
      </c>
    </row>
    <row r="369" spans="1:5">
      <c r="A369" t="s">
        <v>5</v>
      </c>
      <c r="B369" t="s">
        <v>374</v>
      </c>
      <c r="C369">
        <f>HYPERLINK("C:\Users\franc\OneDrive\Documentos\ALIRO\ALIRO\KATHY\ANA LUISA 2010\PEDIMENTOS\ALEX 1  -    HECTOR DE LAS PEÑAS SALINAS  -  2º JUZGADO.doc", "Abrir Documento")</f>
        <v>0</v>
      </c>
      <c r="D369" t="s">
        <v>23500</v>
      </c>
      <c r="E369" t="s">
        <v>23868</v>
      </c>
    </row>
    <row r="370" spans="1:5">
      <c r="A370" t="s">
        <v>5</v>
      </c>
      <c r="B370" t="s">
        <v>375</v>
      </c>
      <c r="C370">
        <f>HYPERLINK("C:\Users\franc\OneDrive\Documentos\ALIRO\ALIRO\KATHY\ANA LUISA 2010\PEDIMENTOS\ALEJA 9.doc", "Abrir Documento")</f>
        <v>0</v>
      </c>
      <c r="D370" t="s">
        <v>23500</v>
      </c>
      <c r="E370" t="s">
        <v>23869</v>
      </c>
    </row>
    <row r="371" spans="1:5">
      <c r="A371" t="s">
        <v>5</v>
      </c>
      <c r="B371" t="s">
        <v>376</v>
      </c>
      <c r="C371">
        <f>HYPERLINK("C:\Users\franc\OneDrive\Documentos\ALIRO\ALIRO\KATHY\ANA LUISA 2010\PEDIMENTOS\ALEJA 8.doc", "Abrir Documento")</f>
        <v>0</v>
      </c>
      <c r="D371" t="s">
        <v>23500</v>
      </c>
      <c r="E371" t="s">
        <v>23870</v>
      </c>
    </row>
    <row r="372" spans="1:5">
      <c r="A372" t="s">
        <v>5</v>
      </c>
      <c r="B372" t="s">
        <v>377</v>
      </c>
      <c r="C372">
        <f>HYPERLINK("C:\Users\franc\OneDrive\Documentos\ALIRO\ALIRO\KATHY\ANA LUISA 2010\PEDIMENTOS\ALEJA 7.doc", "Abrir Documento")</f>
        <v>0</v>
      </c>
      <c r="D372" t="s">
        <v>23500</v>
      </c>
      <c r="E372" t="s">
        <v>23871</v>
      </c>
    </row>
    <row r="373" spans="1:5">
      <c r="A373" t="s">
        <v>5</v>
      </c>
      <c r="B373" t="s">
        <v>378</v>
      </c>
      <c r="C373">
        <f>HYPERLINK("C:\Users\franc\OneDrive\Documentos\ALIRO\ALIRO\KATHY\ANA LUISA 2010\PEDIMENTOS\ALEJA 6.doc", "Abrir Documento")</f>
        <v>0</v>
      </c>
      <c r="D373" t="s">
        <v>23500</v>
      </c>
      <c r="E373" t="s">
        <v>23872</v>
      </c>
    </row>
    <row r="374" spans="1:5">
      <c r="A374" t="s">
        <v>5</v>
      </c>
      <c r="B374" t="s">
        <v>379</v>
      </c>
      <c r="C374">
        <f>HYPERLINK("C:\Users\franc\OneDrive\Documentos\ALIRO\ALIRO\KATHY\ANA LUISA 2010\PEDIMENTOS\ALEJA 5.doc", "Abrir Documento")</f>
        <v>0</v>
      </c>
      <c r="D374" t="s">
        <v>23500</v>
      </c>
      <c r="E374" t="s">
        <v>23873</v>
      </c>
    </row>
    <row r="375" spans="1:5">
      <c r="A375" t="s">
        <v>5</v>
      </c>
      <c r="B375" t="s">
        <v>380</v>
      </c>
      <c r="C375">
        <f>HYPERLINK("C:\Users\franc\OneDrive\Documentos\ALIRO\ALIRO\KATHY\ANA LUISA 2010\PEDIMENTOS\ALEJA 4.doc", "Abrir Documento")</f>
        <v>0</v>
      </c>
      <c r="D375" t="s">
        <v>23500</v>
      </c>
      <c r="E375" t="s">
        <v>23874</v>
      </c>
    </row>
    <row r="376" spans="1:5">
      <c r="A376" t="s">
        <v>5</v>
      </c>
      <c r="B376" t="s">
        <v>381</v>
      </c>
      <c r="C376">
        <f>HYPERLINK("C:\Users\franc\OneDrive\Documentos\ALIRO\ALIRO\KATHY\ANA LUISA 2010\PEDIMENTOS\ALEJA 3.doc", "Abrir Documento")</f>
        <v>0</v>
      </c>
      <c r="D376" t="s">
        <v>23500</v>
      </c>
      <c r="E376" t="s">
        <v>23875</v>
      </c>
    </row>
    <row r="377" spans="1:5">
      <c r="A377" t="s">
        <v>5</v>
      </c>
      <c r="B377" t="s">
        <v>382</v>
      </c>
      <c r="C377">
        <f>HYPERLINK("C:\Users\franc\OneDrive\Documentos\ALIRO\ALIRO\KATHY\ANA LUISA 2010\PEDIMENTOS\ALEJA 2.doc", "Abrir Documento")</f>
        <v>0</v>
      </c>
      <c r="D377" t="s">
        <v>23500</v>
      </c>
      <c r="E377" t="s">
        <v>23876</v>
      </c>
    </row>
    <row r="378" spans="1:5">
      <c r="A378" t="s">
        <v>5</v>
      </c>
      <c r="B378" t="s">
        <v>383</v>
      </c>
      <c r="C378">
        <f>HYPERLINK("C:\Users\franc\OneDrive\Documentos\ALIRO\ALIRO\KATHY\ANA LUISA 2010\PEDIMENTOS\ALEJA 18.doc", "Abrir Documento")</f>
        <v>0</v>
      </c>
      <c r="D378" t="s">
        <v>23500</v>
      </c>
      <c r="E378" t="s">
        <v>23877</v>
      </c>
    </row>
    <row r="379" spans="1:5">
      <c r="A379" t="s">
        <v>5</v>
      </c>
      <c r="B379" t="s">
        <v>384</v>
      </c>
      <c r="C379">
        <f>HYPERLINK("C:\Users\franc\OneDrive\Documentos\ALIRO\ALIRO\KATHY\ANA LUISA 2010\PEDIMENTOS\ALEJA 17.doc", "Abrir Documento")</f>
        <v>0</v>
      </c>
      <c r="D379" t="s">
        <v>23500</v>
      </c>
      <c r="E379" t="s">
        <v>23878</v>
      </c>
    </row>
    <row r="380" spans="1:5">
      <c r="A380" t="s">
        <v>5</v>
      </c>
      <c r="B380" t="s">
        <v>385</v>
      </c>
      <c r="C380">
        <f>HYPERLINK("C:\Users\franc\OneDrive\Documentos\ALIRO\ALIRO\KATHY\ANA LUISA 2010\PEDIMENTOS\ALEJA 16.doc", "Abrir Documento")</f>
        <v>0</v>
      </c>
      <c r="D380" t="s">
        <v>23500</v>
      </c>
      <c r="E380" t="s">
        <v>23879</v>
      </c>
    </row>
    <row r="381" spans="1:5">
      <c r="A381" t="s">
        <v>5</v>
      </c>
      <c r="B381" t="s">
        <v>386</v>
      </c>
      <c r="C381">
        <f>HYPERLINK("C:\Users\franc\OneDrive\Documentos\ALIRO\ALIRO\KATHY\ANA LUISA 2010\PEDIMENTOS\ALEJA 15.doc", "Abrir Documento")</f>
        <v>0</v>
      </c>
      <c r="D381" t="s">
        <v>23500</v>
      </c>
      <c r="E381" t="s">
        <v>23880</v>
      </c>
    </row>
    <row r="382" spans="1:5">
      <c r="A382" t="s">
        <v>5</v>
      </c>
      <c r="B382" t="s">
        <v>387</v>
      </c>
      <c r="C382">
        <f>HYPERLINK("C:\Users\franc\OneDrive\Documentos\ALIRO\ALIRO\KATHY\ANA LUISA 2010\PEDIMENTOS\ALEJA 14.doc", "Abrir Documento")</f>
        <v>0</v>
      </c>
      <c r="D382" t="s">
        <v>23500</v>
      </c>
      <c r="E382" t="s">
        <v>23881</v>
      </c>
    </row>
    <row r="383" spans="1:5">
      <c r="A383" t="s">
        <v>5</v>
      </c>
      <c r="B383" t="s">
        <v>388</v>
      </c>
      <c r="C383">
        <f>HYPERLINK("C:\Users\franc\OneDrive\Documentos\ALIRO\ALIRO\KATHY\ANA LUISA 2010\PEDIMENTOS\ALEJA 13.doc", "Abrir Documento")</f>
        <v>0</v>
      </c>
      <c r="D383" t="s">
        <v>23500</v>
      </c>
      <c r="E383" t="s">
        <v>23882</v>
      </c>
    </row>
    <row r="384" spans="1:5">
      <c r="A384" t="s">
        <v>5</v>
      </c>
      <c r="B384" t="s">
        <v>389</v>
      </c>
      <c r="C384">
        <f>HYPERLINK("C:\Users\franc\OneDrive\Documentos\ALIRO\ALIRO\KATHY\ANA LUISA 2010\PEDIMENTOS\ALEJA 12.doc", "Abrir Documento")</f>
        <v>0</v>
      </c>
      <c r="D384" t="s">
        <v>23500</v>
      </c>
      <c r="E384" t="s">
        <v>23883</v>
      </c>
    </row>
    <row r="385" spans="1:5">
      <c r="A385" t="s">
        <v>5</v>
      </c>
      <c r="B385" t="s">
        <v>390</v>
      </c>
      <c r="C385">
        <f>HYPERLINK("C:\Users\franc\OneDrive\Documentos\ALIRO\ALIRO\KATHY\ANA LUISA 2010\PEDIMENTOS\ALEJA 11.doc", "Abrir Documento")</f>
        <v>0</v>
      </c>
      <c r="D385" t="s">
        <v>23500</v>
      </c>
      <c r="E385" t="s">
        <v>23884</v>
      </c>
    </row>
    <row r="386" spans="1:5">
      <c r="A386" t="s">
        <v>5</v>
      </c>
      <c r="B386" t="s">
        <v>391</v>
      </c>
      <c r="C386">
        <f>HYPERLINK("C:\Users\franc\OneDrive\Documentos\ALIRO\ALIRO\KATHY\ANA LUISA 2010\PEDIMENTOS\ALEJA 10.doc", "Abrir Documento")</f>
        <v>0</v>
      </c>
      <c r="D386" t="s">
        <v>23500</v>
      </c>
      <c r="E386" t="s">
        <v>23885</v>
      </c>
    </row>
    <row r="387" spans="1:5">
      <c r="A387" t="s">
        <v>5</v>
      </c>
      <c r="B387" t="s">
        <v>392</v>
      </c>
      <c r="C387">
        <f>HYPERLINK("C:\Users\franc\OneDrive\Documentos\ALIRO\ALIRO\KATHY\ANA LUISA 2010\PEDIMENTOS\ALEJA 1.doc", "Abrir Documento")</f>
        <v>0</v>
      </c>
      <c r="D387" t="s">
        <v>23500</v>
      </c>
      <c r="E387" t="s">
        <v>23886</v>
      </c>
    </row>
    <row r="388" spans="1:5">
      <c r="A388" t="s">
        <v>5</v>
      </c>
      <c r="B388" t="s">
        <v>393</v>
      </c>
      <c r="C388">
        <f>HYPERLINK("C:\Users\franc\OneDrive\Documentos\ALIRO\ALIRO\KATHY\ANA LUISA 2010\PEDIMENTOS\ADULTO 7 -  TECK EXPLORACIONES MRAS CHILE LTDA -  2º JUZGADO.doc", "Abrir Documento")</f>
        <v>0</v>
      </c>
      <c r="D388" t="s">
        <v>23500</v>
      </c>
      <c r="E388" t="s">
        <v>23887</v>
      </c>
    </row>
    <row r="389" spans="1:5">
      <c r="A389" t="s">
        <v>5</v>
      </c>
      <c r="B389" t="s">
        <v>394</v>
      </c>
      <c r="C389">
        <f>HYPERLINK("C:\Users\franc\OneDrive\Documentos\ALIRO\ALIRO\KATHY\ANA LUISA 2010\PEDIMENTOS\ADULTO 6 -  TECK EXPLORACIONES MRAS CHILE LTDA -  2º JUZGADO.doc", "Abrir Documento")</f>
        <v>0</v>
      </c>
      <c r="D389" t="s">
        <v>23500</v>
      </c>
      <c r="E389" t="s">
        <v>23888</v>
      </c>
    </row>
    <row r="390" spans="1:5">
      <c r="A390" t="s">
        <v>5</v>
      </c>
      <c r="B390" t="s">
        <v>395</v>
      </c>
      <c r="C390">
        <f>HYPERLINK("C:\Users\franc\OneDrive\Documentos\ALIRO\ALIRO\KATHY\ANA LUISA 2010\PEDIMENTOS\ADULTO 5 -  TECK EXPLORACIONES MRAS CHILE LTDA -  2º JUZGADO.doc", "Abrir Documento")</f>
        <v>0</v>
      </c>
      <c r="D390" t="s">
        <v>23500</v>
      </c>
      <c r="E390" t="s">
        <v>23889</v>
      </c>
    </row>
    <row r="391" spans="1:5">
      <c r="A391" t="s">
        <v>5</v>
      </c>
      <c r="B391" t="s">
        <v>396</v>
      </c>
      <c r="C391">
        <f>HYPERLINK("C:\Users\franc\OneDrive\Documentos\ALIRO\ALIRO\KATHY\ANA LUISA 2010\PEDIMENTOS\ADULTO 4 -  TECK EXPLORACIONES MRAS CHILE LTDA -  2º JUZGADO.doc", "Abrir Documento")</f>
        <v>0</v>
      </c>
      <c r="D391" t="s">
        <v>23500</v>
      </c>
      <c r="E391" t="s">
        <v>23890</v>
      </c>
    </row>
    <row r="392" spans="1:5">
      <c r="A392" t="s">
        <v>5</v>
      </c>
      <c r="B392" t="s">
        <v>397</v>
      </c>
      <c r="C392">
        <f>HYPERLINK("C:\Users\franc\OneDrive\Documentos\ALIRO\ALIRO\KATHY\ANA LUISA 2010\PEDIMENTOS\ADULTO 3 -  TECK EXPLORACIONES MRAS CHILE LTDA -  2º JUZGADO.doc", "Abrir Documento")</f>
        <v>0</v>
      </c>
      <c r="D392" t="s">
        <v>23500</v>
      </c>
      <c r="E392" t="s">
        <v>23891</v>
      </c>
    </row>
    <row r="393" spans="1:5">
      <c r="A393" t="s">
        <v>5</v>
      </c>
      <c r="B393" t="s">
        <v>398</v>
      </c>
      <c r="C393">
        <f>HYPERLINK("C:\Users\franc\OneDrive\Documentos\ALIRO\ALIRO\KATHY\ANA LUISA 2010\PEDIMENTOS\ADULTO 2 -  TECK EXPLORACIONES MRAS CHILE LTDA -  2º JUZGADO.doc", "Abrir Documento")</f>
        <v>0</v>
      </c>
      <c r="D393" t="s">
        <v>23500</v>
      </c>
      <c r="E393" t="s">
        <v>23892</v>
      </c>
    </row>
    <row r="394" spans="1:5">
      <c r="A394" t="s">
        <v>5</v>
      </c>
      <c r="B394" t="s">
        <v>399</v>
      </c>
      <c r="C394">
        <f>HYPERLINK("C:\Users\franc\OneDrive\Documentos\ALIRO\ALIRO\KATHY\ANA LUISA 2010\PEDIMENTOS\ADULTO 1 -  TECK EXPLORACIONES MRAS CHILE LTDA -  2º JUZGADO.doc", "Abrir Documento")</f>
        <v>0</v>
      </c>
      <c r="D394" t="s">
        <v>23500</v>
      </c>
      <c r="E394" t="s">
        <v>23893</v>
      </c>
    </row>
    <row r="395" spans="1:5">
      <c r="A395" t="s">
        <v>5</v>
      </c>
      <c r="B395" t="s">
        <v>400</v>
      </c>
      <c r="C395">
        <f>HYPERLINK("C:\Users\franc\OneDrive\Documentos\ALIRO\ALIRO\KATHY\ANA LUISA 2010\MENSURAS\VINCHUCAS 1 AL 10.doc", "Abrir Documento")</f>
        <v>0</v>
      </c>
      <c r="D395" t="s">
        <v>23500</v>
      </c>
      <c r="E395" t="s">
        <v>23894</v>
      </c>
    </row>
    <row r="396" spans="1:5">
      <c r="A396" t="s">
        <v>5</v>
      </c>
      <c r="B396" t="s">
        <v>401</v>
      </c>
      <c r="C396">
        <f>HYPERLINK("C:\Users\franc\OneDrive\Documentos\ALIRO\ALIRO\KATHY\ANA LUISA 2010\MENSURAS\VINCHUCAS 1 AL 10  - PRIMER JDO - CARLOS ARAVENA.doc", "Abrir Documento")</f>
        <v>0</v>
      </c>
      <c r="D396" t="s">
        <v>23500</v>
      </c>
      <c r="E396" t="s">
        <v>23895</v>
      </c>
    </row>
    <row r="397" spans="1:5">
      <c r="A397" t="s">
        <v>5</v>
      </c>
      <c r="B397" t="s">
        <v>402</v>
      </c>
      <c r="C397">
        <f>HYPERLINK("C:\Users\franc\OneDrive\Documentos\ALIRO\ALIRO\KATHY\ANA LUISA 2010\MENSURAS\VICTORIA V, 1 AL 258 VICTOR OLGUIN (TERCER JUZGADO).doc", "Abrir Documento")</f>
        <v>0</v>
      </c>
      <c r="D397" t="s">
        <v>23500</v>
      </c>
      <c r="E397" t="s">
        <v>23896</v>
      </c>
    </row>
    <row r="398" spans="1:5">
      <c r="A398" t="s">
        <v>5</v>
      </c>
      <c r="B398" t="s">
        <v>403</v>
      </c>
      <c r="C398">
        <f>HYPERLINK("C:\Users\franc\OneDrive\Documentos\ALIRO\ALIRO\KATHY\ANA LUISA 2010\MENSURAS\SULFURO 1 A 8.doc", "Abrir Documento")</f>
        <v>0</v>
      </c>
      <c r="D398" t="s">
        <v>23500</v>
      </c>
      <c r="E398" t="s">
        <v>23897</v>
      </c>
    </row>
    <row r="399" spans="1:5">
      <c r="A399" t="s">
        <v>5</v>
      </c>
      <c r="B399" t="s">
        <v>404</v>
      </c>
      <c r="C399">
        <f>HYPERLINK("C:\Users\franc\OneDrive\Documentos\ALIRO\ALIRO\KATHY\ANA LUISA 2010\MENSURAS\SULFURO 1 A 8.  2.doc", "Abrir Documento")</f>
        <v>0</v>
      </c>
      <c r="D399" t="s">
        <v>23500</v>
      </c>
      <c r="E399" t="s">
        <v>23898</v>
      </c>
    </row>
    <row r="400" spans="1:5">
      <c r="A400" t="s">
        <v>5</v>
      </c>
      <c r="B400" t="s">
        <v>405</v>
      </c>
      <c r="C400">
        <f>HYPERLINK("C:\Users\franc\OneDrive\Documentos\ALIRO\ALIRO\KATHY\ANA LUISA 2010\MENSURAS\SCARLETH 1 AL 2   TERCER JDO     JUAN CARLOS ARAVENA.doc", "Abrir Documento")</f>
        <v>0</v>
      </c>
      <c r="D400" t="s">
        <v>23500</v>
      </c>
      <c r="E400" t="s">
        <v>23899</v>
      </c>
    </row>
    <row r="401" spans="1:5">
      <c r="A401" t="s">
        <v>5</v>
      </c>
      <c r="B401" t="s">
        <v>406</v>
      </c>
      <c r="C401">
        <f>HYPERLINK("C:\Users\franc\OneDrive\Documentos\ALIRO\ALIRO\KATHY\ANA LUISA 2010\MENSURAS\santa_rita_uno_al_treinta_TERCER_JUZGADO.doc", "Abrir Documento")</f>
        <v>0</v>
      </c>
      <c r="D401" t="s">
        <v>23500</v>
      </c>
      <c r="E401" t="s">
        <v>23900</v>
      </c>
    </row>
    <row r="402" spans="1:5">
      <c r="A402" t="s">
        <v>5</v>
      </c>
      <c r="B402" t="s">
        <v>407</v>
      </c>
      <c r="C402">
        <f>HYPERLINK("C:\Users\franc\OneDrive\Documentos\ALIRO\ALIRO\KATHY\ANA LUISA 2010\MENSURAS\SANTA MARIA 1 AL 4  -  CATALINO ALBANEZ  -  SEGUNDO JUZGADO.doc", "Abrir Documento")</f>
        <v>0</v>
      </c>
      <c r="D402" t="s">
        <v>23500</v>
      </c>
      <c r="E402" t="s">
        <v>23901</v>
      </c>
    </row>
    <row r="403" spans="1:5">
      <c r="A403" t="s">
        <v>5</v>
      </c>
      <c r="B403" t="s">
        <v>408</v>
      </c>
      <c r="C403">
        <f>HYPERLINK("C:\Users\franc\OneDrive\Documentos\ALIRO\ALIRO\KATHY\ANA LUISA 2010\MENSURAS\SANTA HELENA II 1 AL 5.doc", "Abrir Documento")</f>
        <v>0</v>
      </c>
      <c r="D403" t="s">
        <v>23500</v>
      </c>
      <c r="E403" t="s">
        <v>23902</v>
      </c>
    </row>
    <row r="404" spans="1:5">
      <c r="A404" t="s">
        <v>5</v>
      </c>
      <c r="B404" t="s">
        <v>409</v>
      </c>
      <c r="C404">
        <f>HYPERLINK("C:\Users\franc\OneDrive\Documentos\ALIRO\ALIRO\KATHY\ANA LUISA 2010\MENSURAS\SANTA HELENA II 1 AL 5    LUIS DAN ROJAS    PRIMER JDO.doc", "Abrir Documento")</f>
        <v>0</v>
      </c>
      <c r="D404" t="s">
        <v>23500</v>
      </c>
      <c r="E404" t="s">
        <v>23903</v>
      </c>
    </row>
    <row r="405" spans="1:5">
      <c r="A405" t="s">
        <v>5</v>
      </c>
      <c r="B405" t="s">
        <v>410</v>
      </c>
      <c r="C405">
        <f>HYPERLINK("C:\Users\franc\OneDrive\Documentos\ALIRO\ALIRO\KATHY\ANA LUISA 2010\MENSURAS\SAN MIGUEL UNO AL VEINTE -   3º JUZGADO.doc", "Abrir Documento")</f>
        <v>0</v>
      </c>
      <c r="D405" t="s">
        <v>23500</v>
      </c>
      <c r="E405" t="s">
        <v>23904</v>
      </c>
    </row>
    <row r="406" spans="1:5">
      <c r="A406" t="s">
        <v>5</v>
      </c>
      <c r="B406" t="s">
        <v>411</v>
      </c>
      <c r="C406">
        <f>HYPERLINK("C:\Users\franc\OneDrive\Documentos\ALIRO\ALIRO\KATHY\ANA LUISA 2010\MENSURAS\SAN MIGUEL 1 AL 20.doc", "Abrir Documento")</f>
        <v>0</v>
      </c>
      <c r="D406" t="s">
        <v>23500</v>
      </c>
      <c r="E406" t="s">
        <v>23905</v>
      </c>
    </row>
    <row r="407" spans="1:5">
      <c r="A407" t="s">
        <v>5</v>
      </c>
      <c r="B407" t="s">
        <v>412</v>
      </c>
      <c r="C407">
        <f>HYPERLINK("C:\Users\franc\OneDrive\Documentos\ALIRO\ALIRO\KATHY\ANA LUISA 2010\MENSURAS\SAN FELIX 1 AL 8  -    2º JUZGADO  -   LUIS DAN ROJAS.doc", "Abrir Documento")</f>
        <v>0</v>
      </c>
      <c r="D407" t="s">
        <v>23500</v>
      </c>
      <c r="E407" t="s">
        <v>23906</v>
      </c>
    </row>
    <row r="408" spans="1:5">
      <c r="A408" t="s">
        <v>5</v>
      </c>
      <c r="B408" t="s">
        <v>413</v>
      </c>
      <c r="C408">
        <f>HYPERLINK("C:\Users\franc\OneDrive\Documentos\ALIRO\ALIRO\KATHY\ANA LUISA 2010\MENSURAS\SAN ANDRES 1 AL 10.doc", "Abrir Documento")</f>
        <v>0</v>
      </c>
      <c r="D408" t="s">
        <v>23500</v>
      </c>
      <c r="E408" t="s">
        <v>23907</v>
      </c>
    </row>
    <row r="409" spans="1:5">
      <c r="A409" t="s">
        <v>5</v>
      </c>
      <c r="B409" t="s">
        <v>414</v>
      </c>
      <c r="C409">
        <f>HYPERLINK("C:\Users\franc\OneDrive\Documentos\ALIRO\ALIRO\KATHY\ANA LUISA 2010\MENSURAS\SAN ANDRES 1 AL 10..doc", "Abrir Documento")</f>
        <v>0</v>
      </c>
      <c r="D409" t="s">
        <v>23500</v>
      </c>
      <c r="E409" t="s">
        <v>23908</v>
      </c>
    </row>
    <row r="410" spans="1:5">
      <c r="A410" t="s">
        <v>5</v>
      </c>
      <c r="B410" t="s">
        <v>415</v>
      </c>
      <c r="C410">
        <f>HYPERLINK("C:\Users\franc\OneDrive\Documentos\ALIRO\ALIRO\KATHY\ANA LUISA 2010\MENSURAS\ROCIO 1 AL 20  -  1º JUZGADO  -  CATALINO ALBANEZ.doc", "Abrir Documento")</f>
        <v>0</v>
      </c>
      <c r="D410" t="s">
        <v>23500</v>
      </c>
      <c r="E410" t="s">
        <v>23909</v>
      </c>
    </row>
    <row r="411" spans="1:5">
      <c r="A411" t="s">
        <v>5</v>
      </c>
      <c r="B411" t="s">
        <v>416</v>
      </c>
      <c r="C411">
        <f>HYPERLINK("C:\Users\franc\OneDrive\Documentos\ALIRO\ALIRO\KATHY\ANA LUISA 2010\MENSURAS\RAICES DEL UNO AL CATORCE.doc", "Abrir Documento")</f>
        <v>0</v>
      </c>
      <c r="D411" t="s">
        <v>23500</v>
      </c>
      <c r="E411" t="s">
        <v>23910</v>
      </c>
    </row>
    <row r="412" spans="1:5">
      <c r="A412" t="s">
        <v>5</v>
      </c>
      <c r="B412" t="s">
        <v>417</v>
      </c>
      <c r="C412">
        <f>HYPERLINK("C:\Users\franc\OneDrive\Documentos\ALIRO\ALIRO\KATHY\ANA LUISA 2010\MENSURAS\RAICES DEL 1 AL 14.doc", "Abrir Documento")</f>
        <v>0</v>
      </c>
      <c r="D412" t="s">
        <v>23500</v>
      </c>
      <c r="E412" t="s">
        <v>23911</v>
      </c>
    </row>
    <row r="413" spans="1:5">
      <c r="A413" t="s">
        <v>5</v>
      </c>
      <c r="B413" t="s">
        <v>418</v>
      </c>
      <c r="C413">
        <f>HYPERLINK("C:\Users\franc\OneDrive\Documentos\ALIRO\ALIRO\KATHY\ANA LUISA 2010\MENSURAS\PUCARINA 1 AL 20.doc", "Abrir Documento")</f>
        <v>0</v>
      </c>
      <c r="D413" t="s">
        <v>23500</v>
      </c>
      <c r="E413" t="s">
        <v>23912</v>
      </c>
    </row>
    <row r="414" spans="1:5">
      <c r="A414" t="s">
        <v>5</v>
      </c>
      <c r="B414" t="s">
        <v>419</v>
      </c>
      <c r="C414">
        <f>HYPERLINK("C:\Users\franc\OneDrive\Documentos\ALIRO\ALIRO\KATHY\ANA LUISA 2010\MENSURAS\PIRULA 1 AL 10    PRIMER JDO     LUIS DAN ROJAS.doc", "Abrir Documento")</f>
        <v>0</v>
      </c>
      <c r="D414" t="s">
        <v>23500</v>
      </c>
      <c r="E414" t="s">
        <v>23913</v>
      </c>
    </row>
    <row r="415" spans="1:5">
      <c r="A415" t="s">
        <v>5</v>
      </c>
      <c r="B415" t="s">
        <v>420</v>
      </c>
      <c r="C415">
        <f>HYPERLINK("C:\Users\franc\OneDrive\Documentos\ALIRO\ALIRO\KATHY\ANA LUISA 2010\MENSURAS\PAOLA UNO 1 AL 6.doc", "Abrir Documento")</f>
        <v>0</v>
      </c>
      <c r="D415" t="s">
        <v>23500</v>
      </c>
      <c r="E415" t="s">
        <v>23914</v>
      </c>
    </row>
    <row r="416" spans="1:5">
      <c r="A416" t="s">
        <v>5</v>
      </c>
      <c r="B416" t="s">
        <v>421</v>
      </c>
      <c r="C416">
        <f>HYPERLINK("C:\Users\franc\OneDrive\Documentos\ALIRO\ALIRO\KATHY\ANA LUISA 2010\MENSURAS\PANULSUR 18   1 AL 15.doc", "Abrir Documento")</f>
        <v>0</v>
      </c>
      <c r="D416" t="s">
        <v>23500</v>
      </c>
      <c r="E416" t="s">
        <v>23915</v>
      </c>
    </row>
    <row r="417" spans="1:5">
      <c r="A417" t="s">
        <v>5</v>
      </c>
      <c r="B417" t="s">
        <v>422</v>
      </c>
      <c r="C417">
        <f>HYPERLINK("C:\Users\franc\OneDrive\Documentos\ALIRO\ALIRO\KATHY\ANA LUISA 2010\MENSURAS\PANULSUR 17 1 AL 30.doc", "Abrir Documento")</f>
        <v>0</v>
      </c>
      <c r="D417" t="s">
        <v>23500</v>
      </c>
      <c r="E417" t="s">
        <v>23916</v>
      </c>
    </row>
    <row r="418" spans="1:5">
      <c r="A418" t="s">
        <v>5</v>
      </c>
      <c r="B418" t="s">
        <v>423</v>
      </c>
      <c r="C418">
        <f>HYPERLINK("C:\Users\franc\OneDrive\Documentos\ALIRO\ALIRO\KATHY\ANA LUISA 2010\MENSURAS\PALM SPRINGS 1 AL 25 - PRIMER JDO - JUAN CARLOS ARAVENA.doc", "Abrir Documento")</f>
        <v>0</v>
      </c>
      <c r="D418" t="s">
        <v>23500</v>
      </c>
      <c r="E418" t="s">
        <v>23917</v>
      </c>
    </row>
    <row r="419" spans="1:5">
      <c r="A419" t="s">
        <v>5</v>
      </c>
      <c r="B419" t="s">
        <v>424</v>
      </c>
      <c r="C419">
        <f>HYPERLINK("C:\Users\franc\OneDrive\Documentos\ALIRO\ALIRO\KATHY\ANA LUISA 2010\MENSURAS\OLIVIA PRIMERA ¿SEGUNDO JUZGADO ISRAEL PEREIRA MARIN.doc", "Abrir Documento")</f>
        <v>0</v>
      </c>
      <c r="D419" t="s">
        <v>23500</v>
      </c>
      <c r="E419" t="s">
        <v>23918</v>
      </c>
    </row>
    <row r="420" spans="1:5">
      <c r="A420" t="s">
        <v>5</v>
      </c>
      <c r="B420" t="s">
        <v>425</v>
      </c>
      <c r="C420">
        <f>HYPERLINK("C:\Users\franc\OneDrive\Documentos\ALIRO\ALIRO\KATHY\ANA LUISA 2010\MENSURAS\NRO.doc", "Abrir Documento")</f>
        <v>0</v>
      </c>
      <c r="D420" t="s">
        <v>23500</v>
      </c>
      <c r="E420" t="s">
        <v>23919</v>
      </c>
    </row>
    <row r="421" spans="1:5">
      <c r="A421" t="s">
        <v>5</v>
      </c>
      <c r="B421" t="s">
        <v>426</v>
      </c>
      <c r="C421">
        <f>HYPERLINK("C:\Users\franc\OneDrive\Documentos\ALIRO\ALIRO\KATHY\ANA LUISA 2010\MENSURAS\NANITA MARIANA 3 1 AL 120.doc", "Abrir Documento")</f>
        <v>0</v>
      </c>
      <c r="D421" t="s">
        <v>23500</v>
      </c>
      <c r="E421" t="s">
        <v>23920</v>
      </c>
    </row>
    <row r="422" spans="1:5">
      <c r="A422" t="s">
        <v>5</v>
      </c>
      <c r="B422" t="s">
        <v>427</v>
      </c>
      <c r="C422">
        <f>HYPERLINK("C:\Users\franc\OneDrive\Documentos\ALIRO\ALIRO\KATHY\ANA LUISA 2010\MENSURAS\NANITA MARIANA 2  1 AL 150.doc", "Abrir Documento")</f>
        <v>0</v>
      </c>
      <c r="D422" t="s">
        <v>23500</v>
      </c>
      <c r="E422" t="s">
        <v>23921</v>
      </c>
    </row>
    <row r="423" spans="1:5">
      <c r="A423" t="s">
        <v>5</v>
      </c>
      <c r="B423" t="s">
        <v>428</v>
      </c>
      <c r="C423">
        <f>HYPERLINK("C:\Users\franc\OneDrive\Documentos\ALIRO\ALIRO\KATHY\ANA LUISA 2010\MENSURAS\NANITA MARIANA 1  1 AL 150.doc", "Abrir Documento")</f>
        <v>0</v>
      </c>
      <c r="D423" t="s">
        <v>23500</v>
      </c>
      <c r="E423" t="s">
        <v>23922</v>
      </c>
    </row>
    <row r="424" spans="1:5">
      <c r="A424" t="s">
        <v>5</v>
      </c>
      <c r="B424" t="s">
        <v>429</v>
      </c>
      <c r="C424">
        <f>HYPERLINK("C:\Users\franc\OneDrive\Documentos\ALIRO\ALIRO\KATHY\ANA LUISA 2010\MENSURAS\MISS 1 AL 20.doc", "Abrir Documento")</f>
        <v>0</v>
      </c>
      <c r="D424" t="s">
        <v>23500</v>
      </c>
      <c r="E424" t="s">
        <v>23923</v>
      </c>
    </row>
    <row r="425" spans="1:5">
      <c r="A425" t="s">
        <v>5</v>
      </c>
      <c r="B425" t="s">
        <v>430</v>
      </c>
      <c r="C425">
        <f>HYPERLINK("C:\Users\franc\OneDrive\Documentos\ALIRO\ALIRO\KATHY\ANA LUISA 2010\MENSURAS\MINA SAN ANTONIO 1 AL 10 -  JUAN CARLOS ARAVENA - 3º JUZGADO.doc", "Abrir Documento")</f>
        <v>0</v>
      </c>
      <c r="D425" t="s">
        <v>23500</v>
      </c>
      <c r="E425" t="s">
        <v>23924</v>
      </c>
    </row>
    <row r="426" spans="1:5">
      <c r="A426" t="s">
        <v>5</v>
      </c>
      <c r="B426" t="s">
        <v>431</v>
      </c>
      <c r="C426">
        <f>HYPERLINK("C:\Users\franc\OneDrive\Documentos\ALIRO\ALIRO\KATHY\ANA LUISA 2010\MENSURAS\MINA LA ROMY 1 AL 5 -  JUAN ARAVENA  -  TERCER JUZGADO.doc", "Abrir Documento")</f>
        <v>0</v>
      </c>
      <c r="D426" t="s">
        <v>23500</v>
      </c>
      <c r="E426" t="s">
        <v>23925</v>
      </c>
    </row>
    <row r="427" spans="1:5">
      <c r="A427" t="s">
        <v>5</v>
      </c>
      <c r="B427" t="s">
        <v>432</v>
      </c>
      <c r="C427">
        <f>HYPERLINK("C:\Users\franc\OneDrive\Documentos\ALIRO\ALIRO\KATHY\ANA LUISA 2010\MENSURAS\MINA LA CORTADERA 1 AL 5.doc", "Abrir Documento")</f>
        <v>0</v>
      </c>
      <c r="D427" t="s">
        <v>23500</v>
      </c>
      <c r="E427" t="s">
        <v>23926</v>
      </c>
    </row>
    <row r="428" spans="1:5">
      <c r="A428" t="s">
        <v>5</v>
      </c>
      <c r="B428" t="s">
        <v>433</v>
      </c>
      <c r="C428">
        <f>HYPERLINK("C:\Users\franc\OneDrive\Documentos\ALIRO\ALIRO\KATHY\ANA LUISA 2010\MENSURAS\MINA LA CARMELITA 1 AL 20   -   JUAN CARLOS ARAVENA   -   3º JUZGADO.doc", "Abrir Documento")</f>
        <v>0</v>
      </c>
      <c r="D428" t="s">
        <v>23500</v>
      </c>
      <c r="E428" t="s">
        <v>23927</v>
      </c>
    </row>
    <row r="429" spans="1:5">
      <c r="A429" t="s">
        <v>5</v>
      </c>
      <c r="B429" t="s">
        <v>434</v>
      </c>
      <c r="C429">
        <f>HYPERLINK("C:\Users\franc\OneDrive\Documentos\ALIRO\ALIRO\KATHY\ANA LUISA 2010\MENSURAS\MINA COLORADA UNO AL DIEZ.doc", "Abrir Documento")</f>
        <v>0</v>
      </c>
      <c r="D429" t="s">
        <v>23500</v>
      </c>
      <c r="E429" t="s">
        <v>23928</v>
      </c>
    </row>
    <row r="430" spans="1:5">
      <c r="A430" t="s">
        <v>5</v>
      </c>
      <c r="B430" t="s">
        <v>435</v>
      </c>
      <c r="C430">
        <f>HYPERLINK("C:\Users\franc\OneDrive\Documentos\ALIRO\ALIRO\KATHY\ANA LUISA 2010\MENSURAS\MINA COLORADA 1 AL 10.doc", "Abrir Documento")</f>
        <v>0</v>
      </c>
      <c r="D430" t="s">
        <v>23500</v>
      </c>
      <c r="E430" t="s">
        <v>23929</v>
      </c>
    </row>
    <row r="431" spans="1:5">
      <c r="A431" t="s">
        <v>5</v>
      </c>
      <c r="B431" t="s">
        <v>436</v>
      </c>
      <c r="C431">
        <f>HYPERLINK("C:\Users\franc\OneDrive\Documentos\ALIRO\ALIRO\KATHY\ANA LUISA 2010\MENSURAS\MERCEDITA VIGESIMA QUINTA 1 AL 9 - JUAN CARLOS ARAVENA - 2º JUZGADO.doc", "Abrir Documento")</f>
        <v>0</v>
      </c>
      <c r="D431" t="s">
        <v>23500</v>
      </c>
      <c r="E431" t="s">
        <v>23930</v>
      </c>
    </row>
    <row r="432" spans="1:5">
      <c r="A432" t="s">
        <v>5</v>
      </c>
      <c r="B432" t="s">
        <v>437</v>
      </c>
      <c r="C432">
        <f>HYPERLINK("C:\Users\franc\OneDrive\Documentos\ALIRO\ALIRO\KATHY\ANA LUISA 2010\MENSURAS\MENSURA LOS DOS AMIGOS 1-6.doc", "Abrir Documento")</f>
        <v>0</v>
      </c>
      <c r="D432" t="s">
        <v>23500</v>
      </c>
      <c r="E432" t="s">
        <v>23931</v>
      </c>
    </row>
    <row r="433" spans="1:5">
      <c r="A433" t="s">
        <v>5</v>
      </c>
      <c r="B433" t="s">
        <v>438</v>
      </c>
      <c r="C433">
        <f>HYPERLINK("C:\Users\franc\OneDrive\Documentos\ALIRO\ALIRO\KATHY\ANA LUISA 2010\MENSURAS\MANUELITO 1 AL 15   CATALINO ALBANEZ    TERCER JDO.doc", "Abrir Documento")</f>
        <v>0</v>
      </c>
      <c r="D433" t="s">
        <v>23500</v>
      </c>
      <c r="E433" t="s">
        <v>23932</v>
      </c>
    </row>
    <row r="434" spans="1:5">
      <c r="A434" t="s">
        <v>5</v>
      </c>
      <c r="B434" t="s">
        <v>439</v>
      </c>
      <c r="C434">
        <f>HYPERLINK("C:\Users\franc\OneDrive\Documentos\ALIRO\ALIRO\KATHY\ANA LUISA 2010\MENSURAS\MANUELITA SEGUNDA 1 AL 12   MARCELO BENAVENTE   SEGUNDO JDO.doc", "Abrir Documento")</f>
        <v>0</v>
      </c>
      <c r="D434" t="s">
        <v>23500</v>
      </c>
      <c r="E434" t="s">
        <v>23933</v>
      </c>
    </row>
    <row r="435" spans="1:5">
      <c r="A435" t="s">
        <v>5</v>
      </c>
      <c r="B435" t="s">
        <v>440</v>
      </c>
      <c r="C435">
        <f>HYPERLINK("C:\Users\franc\OneDrive\Documentos\ALIRO\ALIRO\KATHY\ANA LUISA 2010\MENSURAS\MANTOS VERDES 1 AL 20 - JORGE CIFUENTES - TERCER JUZGADO.doc", "Abrir Documento")</f>
        <v>0</v>
      </c>
      <c r="D435" t="s">
        <v>23500</v>
      </c>
      <c r="E435" t="s">
        <v>23934</v>
      </c>
    </row>
    <row r="436" spans="1:5">
      <c r="A436" t="s">
        <v>5</v>
      </c>
      <c r="B436" t="s">
        <v>441</v>
      </c>
      <c r="C436">
        <f>HYPERLINK("C:\Users\franc\OneDrive\Documentos\ALIRO\ALIRO\KATHY\ANA LUISA 2010\MENSURAS\MALAQUITA I 1 AL 10     SEGUNDO JDO     CATALINO ALBANEZ.doc", "Abrir Documento")</f>
        <v>0</v>
      </c>
      <c r="D436" t="s">
        <v>23500</v>
      </c>
      <c r="E436" t="s">
        <v>23935</v>
      </c>
    </row>
    <row r="437" spans="1:5">
      <c r="A437" t="s">
        <v>5</v>
      </c>
      <c r="B437" t="s">
        <v>442</v>
      </c>
      <c r="C437">
        <f>HYPERLINK("C:\Users\franc\OneDrive\Documentos\ALIRO\ALIRO\KATHY\ANA LUISA 2010\MENSURAS\LOS MANTOS DE LA CORTADERA 1 AL 14.doc", "Abrir Documento")</f>
        <v>0</v>
      </c>
      <c r="D437" t="s">
        <v>23500</v>
      </c>
      <c r="E437" t="s">
        <v>23936</v>
      </c>
    </row>
    <row r="438" spans="1:5">
      <c r="A438" t="s">
        <v>5</v>
      </c>
      <c r="B438" t="s">
        <v>443</v>
      </c>
      <c r="C438">
        <f>HYPERLINK("C:\Users\franc\OneDrive\Documentos\ALIRO\ALIRO\KATHY\ANA LUISA 2010\MENSURAS\logo.doc", "Abrir Documento")</f>
        <v>0</v>
      </c>
      <c r="D438" t="s">
        <v>23500</v>
      </c>
      <c r="E438" t="s">
        <v>23937</v>
      </c>
    </row>
    <row r="439" spans="1:5">
      <c r="A439" t="s">
        <v>5</v>
      </c>
      <c r="B439" t="s">
        <v>444</v>
      </c>
      <c r="C439">
        <f>HYPERLINK("C:\Users\franc\OneDrive\Documentos\ALIRO\ALIRO\KATHY\ANA LUISA 2010\MENSURAS\lLA CARZA GRANDE 1 AL CINCO.doc", "Abrir Documento")</f>
        <v>0</v>
      </c>
      <c r="D439" t="s">
        <v>23500</v>
      </c>
      <c r="E439" t="s">
        <v>23938</v>
      </c>
    </row>
    <row r="440" spans="1:5">
      <c r="A440" t="s">
        <v>5</v>
      </c>
      <c r="B440" t="s">
        <v>445</v>
      </c>
      <c r="C440">
        <f>HYPERLINK("C:\Users\franc\OneDrive\Documentos\ALIRO\ALIRO\KATHY\ANA LUISA 2010\MENSURAS\lLA CARZA GRANDE 1 AL 5.doc", "Abrir Documento")</f>
        <v>0</v>
      </c>
      <c r="D440" t="s">
        <v>23500</v>
      </c>
      <c r="E440" t="s">
        <v>23939</v>
      </c>
    </row>
    <row r="441" spans="1:5">
      <c r="A441" t="s">
        <v>5</v>
      </c>
      <c r="B441" t="s">
        <v>446</v>
      </c>
      <c r="C441">
        <f>HYPERLINK("C:\Users\franc\OneDrive\Documentos\ALIRO\ALIRO\KATHY\ANA LUISA 2010\MENSURAS\LIPA 1 A 10    LUIS LORCA SANDOVAL     TERCER JUZGADO.doc", "Abrir Documento")</f>
        <v>0</v>
      </c>
      <c r="D441" t="s">
        <v>23500</v>
      </c>
      <c r="E441" t="s">
        <v>23940</v>
      </c>
    </row>
    <row r="442" spans="1:5">
      <c r="A442" t="s">
        <v>5</v>
      </c>
      <c r="B442" t="s">
        <v>447</v>
      </c>
      <c r="C442">
        <f>HYPERLINK("C:\Users\franc\OneDrive\Documentos\ALIRO\ALIRO\KATHY\ANA LUISA 2010\MENSURAS\lARCO IRIS 1 AL 30   TERCER JUZGADO   HUGO GARRIDO.doc", "Abrir Documento")</f>
        <v>0</v>
      </c>
      <c r="D442" t="s">
        <v>23500</v>
      </c>
      <c r="E442" t="s">
        <v>23941</v>
      </c>
    </row>
    <row r="443" spans="1:5">
      <c r="A443" t="s">
        <v>5</v>
      </c>
      <c r="B443" t="s">
        <v>448</v>
      </c>
      <c r="C443">
        <f>HYPERLINK("C:\Users\franc\OneDrive\Documentos\ALIRO\ALIRO\KATHY\ANA LUISA 2010\MENSURAS\LA VERDOSA 1 al 3  TERCER JDO-  ANGELA SUCKEL.doc", "Abrir Documento")</f>
        <v>0</v>
      </c>
      <c r="D443" t="s">
        <v>23500</v>
      </c>
      <c r="E443" t="s">
        <v>23942</v>
      </c>
    </row>
    <row r="444" spans="1:5">
      <c r="A444" t="s">
        <v>5</v>
      </c>
      <c r="B444" t="s">
        <v>449</v>
      </c>
      <c r="C444">
        <f>HYPERLINK("C:\Users\franc\OneDrive\Documentos\ALIRO\ALIRO\KATHY\ANA LUISA 2010\MENSURAS\LA VERDOSA 1 A 3.doc", "Abrir Documento")</f>
        <v>0</v>
      </c>
      <c r="D444" t="s">
        <v>23500</v>
      </c>
      <c r="E444" t="s">
        <v>23943</v>
      </c>
    </row>
    <row r="445" spans="1:5">
      <c r="A445" t="s">
        <v>5</v>
      </c>
      <c r="B445" t="s">
        <v>450</v>
      </c>
      <c r="C445">
        <f>HYPERLINK("C:\Users\franc\OneDrive\Documentos\ALIRO\ALIRO\KATHY\ANA LUISA 2010\MENSURAS\LA ROSICLER PRIMERA UNO AL CINCO.doc", "Abrir Documento")</f>
        <v>0</v>
      </c>
      <c r="D445" t="s">
        <v>23500</v>
      </c>
      <c r="E445" t="s">
        <v>23944</v>
      </c>
    </row>
    <row r="446" spans="1:5">
      <c r="A446" t="s">
        <v>5</v>
      </c>
      <c r="B446" t="s">
        <v>451</v>
      </c>
      <c r="C446">
        <f>HYPERLINK("C:\Users\franc\OneDrive\Documentos\ALIRO\ALIRO\KATHY\ANA LUISA 2010\MENSURAS\LA ROSICLER PRIMERA 1 AL 5.doc", "Abrir Documento")</f>
        <v>0</v>
      </c>
      <c r="D446" t="s">
        <v>23500</v>
      </c>
      <c r="E446" t="s">
        <v>23945</v>
      </c>
    </row>
    <row r="447" spans="1:5">
      <c r="A447" t="s">
        <v>5</v>
      </c>
      <c r="B447" t="s">
        <v>452</v>
      </c>
      <c r="C447">
        <f>HYPERLINK("C:\Users\franc\OneDrive\Documentos\ALIRO\ALIRO\KATHY\ANA LUISA 2010\MENSURAS\LA NORTINA.doc", "Abrir Documento")</f>
        <v>0</v>
      </c>
      <c r="D447" t="s">
        <v>23500</v>
      </c>
      <c r="E447" t="s">
        <v>23946</v>
      </c>
    </row>
    <row r="448" spans="1:5">
      <c r="A448" t="s">
        <v>5</v>
      </c>
      <c r="B448" t="s">
        <v>453</v>
      </c>
      <c r="C448">
        <f>HYPERLINK("C:\Users\franc\OneDrive\Documentos\ALIRO\ALIRO\KATHY\ANA LUISA 2010\MENSURAS\LA NORTINA 1 AL 5.doc", "Abrir Documento")</f>
        <v>0</v>
      </c>
      <c r="D448" t="s">
        <v>23500</v>
      </c>
      <c r="E448" t="s">
        <v>23947</v>
      </c>
    </row>
    <row r="449" spans="1:5">
      <c r="A449" t="s">
        <v>5</v>
      </c>
      <c r="B449" t="s">
        <v>454</v>
      </c>
      <c r="C449">
        <f>HYPERLINK("C:\Users\franc\OneDrive\Documentos\ALIRO\ALIRO\KATHY\ANA LUISA 2010\MENSURAS\LA MISS 1 AL 20    CATALINO ALBANEZ    PRIMER JUZGADO.doc", "Abrir Documento")</f>
        <v>0</v>
      </c>
      <c r="D449" t="s">
        <v>23500</v>
      </c>
      <c r="E449" t="s">
        <v>23948</v>
      </c>
    </row>
    <row r="450" spans="1:5">
      <c r="A450" t="s">
        <v>5</v>
      </c>
      <c r="B450" t="s">
        <v>455</v>
      </c>
      <c r="C450">
        <f>HYPERLINK("C:\Users\franc\OneDrive\Documentos\ALIRO\ALIRO\KATHY\ANA LUISA 2010\MENSURAS\LA FRONTERA UNO DE ESTANCIA DE MINILLAS.doc", "Abrir Documento")</f>
        <v>0</v>
      </c>
      <c r="D450" t="s">
        <v>23500</v>
      </c>
      <c r="E450" t="s">
        <v>23949</v>
      </c>
    </row>
    <row r="451" spans="1:5">
      <c r="A451" t="s">
        <v>5</v>
      </c>
      <c r="B451" t="s">
        <v>456</v>
      </c>
      <c r="C451">
        <f>HYPERLINK("C:\Users\franc\OneDrive\Documentos\ALIRO\ALIRO\KATHY\ANA LUISA 2010\MENSURAS\LA ESTRELLA 1 AL 10     LUIS DAN ROJAS     TERCER JDO.doc", "Abrir Documento")</f>
        <v>0</v>
      </c>
      <c r="D451" t="s">
        <v>23500</v>
      </c>
      <c r="E451" t="s">
        <v>23950</v>
      </c>
    </row>
    <row r="452" spans="1:5">
      <c r="A452" t="s">
        <v>5</v>
      </c>
      <c r="B452" t="s">
        <v>457</v>
      </c>
      <c r="C452">
        <f>HYPERLINK("C:\Users\franc\OneDrive\Documentos\ALIRO\ALIRO\KATHY\ANA LUISA 2010\MENSURAS\LA ESCONDIDA 1 AL 10 -  CATALINO ALBANEZ - TERCER JDO.doc", "Abrir Documento")</f>
        <v>0</v>
      </c>
      <c r="D452" t="s">
        <v>23500</v>
      </c>
      <c r="E452" t="s">
        <v>23951</v>
      </c>
    </row>
    <row r="453" spans="1:5">
      <c r="A453" t="s">
        <v>5</v>
      </c>
      <c r="B453" t="s">
        <v>458</v>
      </c>
      <c r="C453">
        <f>HYPERLINK("C:\Users\franc\OneDrive\Documentos\ALIRO\ALIRO\KATHY\ANA LUISA 2010\MENSURAS\LA ENCANTADA 1 AL 16.doc", "Abrir Documento")</f>
        <v>0</v>
      </c>
      <c r="D453" t="s">
        <v>23500</v>
      </c>
      <c r="E453" t="s">
        <v>23952</v>
      </c>
    </row>
    <row r="454" spans="1:5">
      <c r="A454" t="s">
        <v>5</v>
      </c>
      <c r="B454" t="s">
        <v>459</v>
      </c>
      <c r="C454">
        <f>HYPERLINK("C:\Users\franc\OneDrive\Documentos\ALIRO\ALIRO\KATHY\ANA LUISA 2010\MENSURAS\LA ENCANTADA 1 AL 16 II doc.doc", "Abrir Documento")</f>
        <v>0</v>
      </c>
      <c r="D454" t="s">
        <v>23500</v>
      </c>
      <c r="E454" t="s">
        <v>23953</v>
      </c>
    </row>
    <row r="455" spans="1:5">
      <c r="A455" t="s">
        <v>5</v>
      </c>
      <c r="B455" t="s">
        <v>460</v>
      </c>
      <c r="C455">
        <f>HYPERLINK("C:\Users\franc\OneDrive\Documentos\ALIRO\ALIRO\KATHY\ANA LUISA 2010\MENSURAS\LA DIVINA UNA AL CINCO.doc", "Abrir Documento")</f>
        <v>0</v>
      </c>
      <c r="D455" t="s">
        <v>23500</v>
      </c>
      <c r="E455" t="s">
        <v>23954</v>
      </c>
    </row>
    <row r="456" spans="1:5">
      <c r="A456" t="s">
        <v>5</v>
      </c>
      <c r="B456" t="s">
        <v>461</v>
      </c>
      <c r="C456">
        <f>HYPERLINK("C:\Users\franc\OneDrive\Documentos\ALIRO\ALIRO\KATHY\ANA LUISA 2010\MENSURAS\LA DESPRECIADA UNO AL CINCO   3º JUZGADO  JORGE ROMO.doc", "Abrir Documento")</f>
        <v>0</v>
      </c>
      <c r="D456" t="s">
        <v>23500</v>
      </c>
      <c r="E456" t="s">
        <v>23955</v>
      </c>
    </row>
    <row r="457" spans="1:5">
      <c r="A457" t="s">
        <v>5</v>
      </c>
      <c r="B457" t="s">
        <v>462</v>
      </c>
      <c r="C457">
        <f>HYPERLINK("C:\Users\franc\OneDrive\Documentos\ALIRO\ALIRO\KATHY\ANA LUISA 2010\MENSURAS\la despreciada definitiva.doc", "Abrir Documento")</f>
        <v>0</v>
      </c>
      <c r="D457" t="s">
        <v>23500</v>
      </c>
      <c r="E457" t="s">
        <v>23956</v>
      </c>
    </row>
    <row r="458" spans="1:5">
      <c r="A458" t="s">
        <v>5</v>
      </c>
      <c r="B458" t="s">
        <v>463</v>
      </c>
      <c r="C458">
        <f>HYPERLINK("C:\Users\franc\OneDrive\Documentos\ALIRO\ALIRO\KATHY\ANA LUISA 2010\MENSURAS\LA DESPRECIADA 1 AL 5     TERCER JDO   JORGE ROMO.doc", "Abrir Documento")</f>
        <v>0</v>
      </c>
      <c r="D458" t="s">
        <v>23500</v>
      </c>
      <c r="E458" t="s">
        <v>23957</v>
      </c>
    </row>
    <row r="459" spans="1:5">
      <c r="A459" t="s">
        <v>5</v>
      </c>
      <c r="B459" t="s">
        <v>464</v>
      </c>
      <c r="C459">
        <f>HYPERLINK("C:\Users\franc\OneDrive\Documentos\ALIRO\ALIRO\KATHY\ANA LUISA 2010\MENSURAS\LA CAÑA 11 A LA CAÑA 20 - PABLO CORTES A MARTIN MARAMBIO.doc", "Abrir Documento")</f>
        <v>0</v>
      </c>
      <c r="D459" t="s">
        <v>23500</v>
      </c>
      <c r="E459" t="s">
        <v>23958</v>
      </c>
    </row>
    <row r="460" spans="1:5">
      <c r="A460" t="s">
        <v>5</v>
      </c>
      <c r="B460" t="s">
        <v>465</v>
      </c>
      <c r="C460">
        <f>HYPERLINK("C:\Users\franc\OneDrive\Documentos\ALIRO\ALIRO\KATHY\ANA LUISA 2010\MENSURAS\LA CARZA GRANDE 1 AL CINCO CON LOGO.doc", "Abrir Documento")</f>
        <v>0</v>
      </c>
      <c r="D460" t="s">
        <v>23500</v>
      </c>
      <c r="E460" t="s">
        <v>23959</v>
      </c>
    </row>
    <row r="461" spans="1:5">
      <c r="A461" t="s">
        <v>5</v>
      </c>
      <c r="B461" t="s">
        <v>466</v>
      </c>
      <c r="C461">
        <f>HYPERLINK("C:\Users\franc\OneDrive\Documentos\ALIRO\ALIRO\KATHY\ANA LUISA 2010\MENSURAS\JUANITA DEL 1 AL 6     SEGUNDO JDO     ANGELA SUCKEL.doc", "Abrir Documento")</f>
        <v>0</v>
      </c>
      <c r="D461" t="s">
        <v>23500</v>
      </c>
      <c r="E461" t="s">
        <v>23960</v>
      </c>
    </row>
    <row r="462" spans="1:5">
      <c r="A462" t="s">
        <v>5</v>
      </c>
      <c r="B462" t="s">
        <v>467</v>
      </c>
      <c r="C462">
        <f>HYPERLINK("C:\Users\franc\OneDrive\Documentos\ALIRO\ALIRO\KATHY\ANA LUISA 2010\MENSURAS\JUAN NACHITO 4  1 AL 30.doc", "Abrir Documento")</f>
        <v>0</v>
      </c>
      <c r="D462" t="s">
        <v>23500</v>
      </c>
      <c r="E462" t="s">
        <v>23961</v>
      </c>
    </row>
    <row r="463" spans="1:5">
      <c r="A463" t="s">
        <v>5</v>
      </c>
      <c r="B463" t="s">
        <v>468</v>
      </c>
      <c r="C463">
        <f>HYPERLINK("C:\Users\franc\OneDrive\Documentos\ALIRO\ALIRO\KATHY\ANA LUISA 2010\MENSURAS\JUAN NACHITO 3 1 AL 10.doc", "Abrir Documento")</f>
        <v>0</v>
      </c>
      <c r="D463" t="s">
        <v>23500</v>
      </c>
      <c r="E463" t="s">
        <v>23962</v>
      </c>
    </row>
    <row r="464" spans="1:5">
      <c r="A464" t="s">
        <v>5</v>
      </c>
      <c r="B464" t="s">
        <v>469</v>
      </c>
      <c r="C464">
        <f>HYPERLINK("C:\Users\franc\OneDrive\Documentos\ALIRO\ALIRO\KATHY\ANA LUISA 2010\MENSURAS\JUAN NACHITO 3  UNO AL DIEZ.doc", "Abrir Documento")</f>
        <v>0</v>
      </c>
      <c r="D464" t="s">
        <v>23500</v>
      </c>
      <c r="E464" t="s">
        <v>23963</v>
      </c>
    </row>
    <row r="465" spans="1:5">
      <c r="A465" t="s">
        <v>5</v>
      </c>
      <c r="B465" t="s">
        <v>470</v>
      </c>
      <c r="C465">
        <f>HYPERLINK("C:\Users\franc\OneDrive\Documentos\ALIRO\ALIRO\KATHY\ANA LUISA 2010\MENSURAS\JUAN NACHITO 3  1 AL 10.doc", "Abrir Documento")</f>
        <v>0</v>
      </c>
      <c r="D465" t="s">
        <v>23500</v>
      </c>
      <c r="E465" t="s">
        <v>23964</v>
      </c>
    </row>
    <row r="466" spans="1:5">
      <c r="A466" t="s">
        <v>5</v>
      </c>
      <c r="B466" t="s">
        <v>471</v>
      </c>
      <c r="C466">
        <f>HYPERLINK("C:\Users\franc\OneDrive\Documentos\ALIRO\ALIRO\KATHY\ANA LUISA 2010\MENSURAS\JUAN NACHITO 2  1 AL 10.doc", "Abrir Documento")</f>
        <v>0</v>
      </c>
      <c r="D466" t="s">
        <v>23500</v>
      </c>
      <c r="E466" t="s">
        <v>23965</v>
      </c>
    </row>
    <row r="467" spans="1:5">
      <c r="A467" t="s">
        <v>5</v>
      </c>
      <c r="B467" t="s">
        <v>472</v>
      </c>
      <c r="C467">
        <f>HYPERLINK("C:\Users\franc\OneDrive\Documentos\ALIRO\ALIRO\KATHY\ANA LUISA 2010\MENSURAS\JUAN NACHITO 1  1 al 20.doc", "Abrir Documento")</f>
        <v>0</v>
      </c>
      <c r="D467" t="s">
        <v>23500</v>
      </c>
      <c r="E467" t="s">
        <v>23966</v>
      </c>
    </row>
    <row r="468" spans="1:5">
      <c r="A468" t="s">
        <v>5</v>
      </c>
      <c r="B468" t="s">
        <v>473</v>
      </c>
      <c r="C468">
        <f>HYPERLINK("C:\Users\franc\OneDrive\Documentos\ALIRO\ALIRO\KATHY\ANA LUISA 2010\MENSURAS\finiquito.doc", "Abrir Documento")</f>
        <v>0</v>
      </c>
      <c r="D468" t="s">
        <v>23500</v>
      </c>
      <c r="E468" t="s">
        <v>23967</v>
      </c>
    </row>
    <row r="469" spans="1:5">
      <c r="A469" t="s">
        <v>5</v>
      </c>
      <c r="B469" t="s">
        <v>474</v>
      </c>
      <c r="C469">
        <f>HYPERLINK("C:\Users\franc\OneDrive\Documentos\ALIRO\ALIRO\KATHY\ANA LUISA 2010\MENSURAS\ESPINAL 1 AL 20.doc", "Abrir Documento")</f>
        <v>0</v>
      </c>
      <c r="D469" t="s">
        <v>23500</v>
      </c>
      <c r="E469" t="s">
        <v>23968</v>
      </c>
    </row>
    <row r="470" spans="1:5">
      <c r="A470" t="s">
        <v>5</v>
      </c>
      <c r="B470" t="s">
        <v>475</v>
      </c>
      <c r="C470">
        <f>HYPERLINK("C:\Users\franc\OneDrive\Documentos\ALIRO\ALIRO\KATHY\ANA LUISA 2010\MENSURAS\ESCONDIDA 1 AL 24  ANGELA SUCKEL   PRIMER JDO.doc", "Abrir Documento")</f>
        <v>0</v>
      </c>
      <c r="D470" t="s">
        <v>23500</v>
      </c>
      <c r="E470" t="s">
        <v>23969</v>
      </c>
    </row>
    <row r="471" spans="1:5">
      <c r="A471" t="s">
        <v>5</v>
      </c>
      <c r="B471" t="s">
        <v>476</v>
      </c>
      <c r="C471">
        <f>HYPERLINK("C:\Users\franc\OneDrive\Documentos\ALIRO\ALIRO\KATHY\ANA LUISA 2010\MENSURAS\EL INGENIO 1 AL 3      PRIMER JUZGADO     JORGE ROMO.doc", "Abrir Documento")</f>
        <v>0</v>
      </c>
      <c r="D471" t="s">
        <v>23500</v>
      </c>
      <c r="E471" t="s">
        <v>23970</v>
      </c>
    </row>
    <row r="472" spans="1:5">
      <c r="A472" t="s">
        <v>5</v>
      </c>
      <c r="B472" t="s">
        <v>477</v>
      </c>
      <c r="C472">
        <f>HYPERLINK("C:\Users\franc\OneDrive\Documentos\ALIRO\ALIRO\KATHY\ANA LUISA 2010\MENSURAS\EL ALGARROBITO UNA A VEINTE ANGELA SUCKEL   PRIMER JDO.doc", "Abrir Documento")</f>
        <v>0</v>
      </c>
      <c r="D472" t="s">
        <v>23500</v>
      </c>
      <c r="E472" t="s">
        <v>23971</v>
      </c>
    </row>
    <row r="473" spans="1:5">
      <c r="A473" t="s">
        <v>5</v>
      </c>
      <c r="B473" t="s">
        <v>478</v>
      </c>
      <c r="C473">
        <f>HYPERLINK("C:\Users\franc\OneDrive\Documentos\ALIRO\ALIRO\KATHY\ANA LUISA 2010\MENSURAS\EL ALGARROBITO UNA A VEINTE  LUIS DAN ROJAS    PRIMER JDO.doc", "Abrir Documento")</f>
        <v>0</v>
      </c>
      <c r="D473" t="s">
        <v>23500</v>
      </c>
      <c r="E473" t="s">
        <v>23972</v>
      </c>
    </row>
    <row r="474" spans="1:5">
      <c r="A474" t="s">
        <v>5</v>
      </c>
      <c r="B474" t="s">
        <v>479</v>
      </c>
      <c r="C474">
        <f>HYPERLINK("C:\Users\franc\OneDrive\Documentos\ALIRO\ALIRO\KATHY\ANA LUISA 2010\MENSURAS\DESIERTO 1 AL 24  ANGELA SUCKEL   PRIMER JDO.doc", "Abrir Documento")</f>
        <v>0</v>
      </c>
      <c r="D474" t="s">
        <v>23500</v>
      </c>
      <c r="E474" t="s">
        <v>23973</v>
      </c>
    </row>
    <row r="475" spans="1:5">
      <c r="A475" t="s">
        <v>5</v>
      </c>
      <c r="B475" t="s">
        <v>480</v>
      </c>
      <c r="C475">
        <f>HYPERLINK("C:\Users\franc\OneDrive\Documentos\ALIRO\ALIRO\KATHY\ANA LUISA 2010\MENSURAS\CAMINO REAL 1 AL 8.doc", "Abrir Documento")</f>
        <v>0</v>
      </c>
      <c r="D475" t="s">
        <v>23500</v>
      </c>
      <c r="E475" t="s">
        <v>23974</v>
      </c>
    </row>
    <row r="476" spans="1:5">
      <c r="A476" t="s">
        <v>5</v>
      </c>
      <c r="B476" t="s">
        <v>481</v>
      </c>
      <c r="C476">
        <f>HYPERLINK("C:\Users\franc\OneDrive\Documentos\ALIRO\ALIRO\KATHY\ANA LUISA 2010\MENSURAS\CAMINO REAL  ULTIMA.doc", "Abrir Documento")</f>
        <v>0</v>
      </c>
      <c r="D476" t="s">
        <v>23500</v>
      </c>
      <c r="E476" t="s">
        <v>23975</v>
      </c>
    </row>
    <row r="477" spans="1:5">
      <c r="A477" t="s">
        <v>5</v>
      </c>
      <c r="B477" t="s">
        <v>482</v>
      </c>
      <c r="C477">
        <f>HYPERLINK("C:\Users\franc\OneDrive\Documentos\ALIRO\ALIRO\KATHY\ANA LUISA 2010\MENSURAS\CALCITA 1 AL 10    CATALINO ALBANEZ    SEGUNDO JDO.doc", "Abrir Documento")</f>
        <v>0</v>
      </c>
      <c r="D477" t="s">
        <v>23500</v>
      </c>
      <c r="E477" t="s">
        <v>23976</v>
      </c>
    </row>
    <row r="478" spans="1:5">
      <c r="A478" t="s">
        <v>5</v>
      </c>
      <c r="B478" t="s">
        <v>483</v>
      </c>
      <c r="C478">
        <f>HYPERLINK("C:\Users\franc\OneDrive\Documentos\ALIRO\ALIRO\KATHY\ANA LUISA 2010\MENSURAS\BONIE UNO AL CINCO.doc", "Abrir Documento")</f>
        <v>0</v>
      </c>
      <c r="D478" t="s">
        <v>23500</v>
      </c>
      <c r="E478" t="s">
        <v>23977</v>
      </c>
    </row>
    <row r="479" spans="1:5">
      <c r="A479" t="s">
        <v>5</v>
      </c>
      <c r="B479" t="s">
        <v>484</v>
      </c>
      <c r="C479">
        <f>HYPERLINK("C:\Users\franc\OneDrive\Documentos\ALIRO\ALIRO\KATHY\ANA LUISA 2010\MENSURAS\BONIE UNO AL CINCO   TERCER JUZGADO   LUIS DAN ROJAS.doc", "Abrir Documento")</f>
        <v>0</v>
      </c>
      <c r="D479" t="s">
        <v>23500</v>
      </c>
      <c r="E479" t="s">
        <v>23978</v>
      </c>
    </row>
    <row r="480" spans="1:5">
      <c r="A480" t="s">
        <v>5</v>
      </c>
      <c r="B480" t="s">
        <v>485</v>
      </c>
      <c r="C480">
        <f>HYPERLINK("C:\Users\franc\OneDrive\Documentos\ALIRO\ALIRO\KATHY\ANA LUISA 2010\MENSURAS\BONIE 1 AL 5.doc", "Abrir Documento")</f>
        <v>0</v>
      </c>
      <c r="D480" t="s">
        <v>23500</v>
      </c>
      <c r="E480" t="s">
        <v>23979</v>
      </c>
    </row>
    <row r="481" spans="1:5">
      <c r="A481" t="s">
        <v>5</v>
      </c>
      <c r="B481" t="s">
        <v>486</v>
      </c>
      <c r="C481">
        <f>HYPERLINK("C:\Users\franc\OneDrive\Documentos\ALIRO\ALIRO\KATHY\ANA LUISA 2010\MENSURAS\ATILA 2  1 AL 60.doc", "Abrir Documento")</f>
        <v>0</v>
      </c>
      <c r="D481" t="s">
        <v>23500</v>
      </c>
      <c r="E481" t="s">
        <v>23980</v>
      </c>
    </row>
    <row r="482" spans="1:5">
      <c r="A482" t="s">
        <v>5</v>
      </c>
      <c r="B482" t="s">
        <v>487</v>
      </c>
      <c r="C482">
        <f>HYPERLINK("C:\Users\franc\OneDrive\Documentos\ALIRO\ALIRO\KATHY\ANA LUISA 2010\MENSURAS\ANITA 1 AL 12 - JORGE CIFUENTES - TERCER JUZGADO.doc", "Abrir Documento")</f>
        <v>0</v>
      </c>
      <c r="D482" t="s">
        <v>23500</v>
      </c>
      <c r="E482" t="s">
        <v>23981</v>
      </c>
    </row>
    <row r="483" spans="1:5">
      <c r="A483" t="s">
        <v>5</v>
      </c>
      <c r="B483" t="s">
        <v>488</v>
      </c>
      <c r="C483">
        <f>HYPERLINK("C:\Users\franc\OneDrive\Documentos\ALIRO\ALIRO\KATHY\ANA LUISA 2010\MENSURAS\ANDREA CUATRO 1 AL 300 - BASILIO DIEZ SANTIBAÑEZ - PRIMER JDO.doc", "Abrir Documento")</f>
        <v>0</v>
      </c>
      <c r="D483" t="s">
        <v>23500</v>
      </c>
      <c r="E483" t="s">
        <v>23982</v>
      </c>
    </row>
    <row r="484" spans="1:5">
      <c r="A484" t="s">
        <v>5</v>
      </c>
      <c r="B484" t="s">
        <v>489</v>
      </c>
      <c r="C484">
        <f>HYPERLINK("C:\Users\franc\OneDrive\Documentos\ALIRO\ALIRO\KATHY\ANA LUISA 2010\MENSURAS\ANA LUISA II 1 AL 68.docx", "Abrir Documento")</f>
        <v>0</v>
      </c>
      <c r="D484" t="s">
        <v>23499</v>
      </c>
      <c r="E484" t="s">
        <v>23983</v>
      </c>
    </row>
    <row r="485" spans="1:5">
      <c r="A485" t="s">
        <v>5</v>
      </c>
      <c r="B485" t="s">
        <v>490</v>
      </c>
      <c r="C485">
        <f>HYPERLINK("C:\Users\franc\OneDrive\Documentos\ALIRO\ALIRO\KATHY\ANA LUISA 2010\MENSURAS\ANA LUISA II 1 AL 140 CIA MINERA PUNITAQUI, VICTOR OLGUIN (TERCER JUZGADO).docx", "Abrir Documento")</f>
        <v>0</v>
      </c>
      <c r="D485" t="s">
        <v>23499</v>
      </c>
      <c r="E485" t="s">
        <v>23984</v>
      </c>
    </row>
    <row r="486" spans="1:5">
      <c r="A486" t="s">
        <v>5</v>
      </c>
      <c r="B486" t="s">
        <v>491</v>
      </c>
      <c r="C486">
        <f>HYPERLINK("C:\Users\franc\OneDrive\Documentos\ALIRO\ALIRO\KATHY\ANA LUISA 2010\MENSURAS\ANA LUISA II 1 AL 140 CIA MINERA PUNITAQUI, VICTOR OLGUIN (TERCER JUZGADO).doc", "Abrir Documento")</f>
        <v>0</v>
      </c>
      <c r="D486" t="s">
        <v>23500</v>
      </c>
      <c r="E486" t="s">
        <v>23985</v>
      </c>
    </row>
    <row r="487" spans="1:5">
      <c r="A487" t="s">
        <v>5</v>
      </c>
      <c r="B487" t="s">
        <v>492</v>
      </c>
      <c r="C487">
        <f>HYPERLINK("C:\Users\franc\OneDrive\Documentos\ALIRO\ALIRO\KATHY\ANA LUISA 2010\MENSURAS\ANA LUISA I 1 AL 140 CIA MINERA PUNITAQUI, VICTOR OLGUIN (TERCER JUZGADO).docx", "Abrir Documento")</f>
        <v>0</v>
      </c>
      <c r="D487" t="s">
        <v>23499</v>
      </c>
      <c r="E487" t="s">
        <v>23986</v>
      </c>
    </row>
    <row r="488" spans="1:5">
      <c r="A488" t="s">
        <v>5</v>
      </c>
      <c r="B488" t="s">
        <v>493</v>
      </c>
      <c r="C488">
        <f>HYPERLINK("C:\Users\franc\OneDrive\Documentos\ALIRO\ALIRO\KATHY\ANA LUISA 2010\MENSURAS\ALFA BETA PRIMERA 1 AL 5  - ALBERTO CERDA- 1º JDO.doc", "Abrir Documento")</f>
        <v>0</v>
      </c>
      <c r="D488" t="s">
        <v>23500</v>
      </c>
      <c r="E488" t="s">
        <v>23987</v>
      </c>
    </row>
    <row r="489" spans="1:5">
      <c r="A489" t="s">
        <v>5</v>
      </c>
      <c r="B489" t="s">
        <v>494</v>
      </c>
      <c r="C489">
        <f>HYPERLINK("C:\Users\franc\OneDrive\Documentos\ALIRO\ALIRO\KATHY\ANA LUISA 2010\MENSURAS\AGUA DEL INCA VIII    CATALINO ALBANEZ    PRIMER JDO.doc", "Abrir Documento")</f>
        <v>0</v>
      </c>
      <c r="D489" t="s">
        <v>23500</v>
      </c>
      <c r="E489" t="s">
        <v>23988</v>
      </c>
    </row>
    <row r="490" spans="1:5">
      <c r="A490" t="s">
        <v>5</v>
      </c>
      <c r="B490" t="s">
        <v>495</v>
      </c>
      <c r="C490">
        <f>HYPERLINK("C:\Users\franc\OneDrive\Documentos\ALIRO\ALIRO\KATHY\ANA LUISA 2010\MENSURAS\AGUA DEL INCA VII    CATALINO ALBANEZ     PRIMER JDO.doc", "Abrir Documento")</f>
        <v>0</v>
      </c>
      <c r="D490" t="s">
        <v>23500</v>
      </c>
      <c r="E490" t="s">
        <v>23989</v>
      </c>
    </row>
    <row r="491" spans="1:5">
      <c r="A491" t="s">
        <v>5</v>
      </c>
      <c r="B491" t="s">
        <v>496</v>
      </c>
      <c r="C491">
        <f>HYPERLINK("C:\Users\franc\OneDrive\Documentos\ALIRO\ALIRO\KATHY\ANA LUISA 2010\MENSURAS\AGUA DEL INCA VI  CATALINO ALBANEZ   PRIMER JDO.doc", "Abrir Documento")</f>
        <v>0</v>
      </c>
      <c r="D491" t="s">
        <v>23500</v>
      </c>
      <c r="E491" t="s">
        <v>23990</v>
      </c>
    </row>
    <row r="492" spans="1:5">
      <c r="A492" t="s">
        <v>5</v>
      </c>
      <c r="B492" t="s">
        <v>497</v>
      </c>
      <c r="C492">
        <f>HYPERLINK("C:\Users\franc\OneDrive\Documentos\ALIRO\ALIRO\KATHY\ANA LUISA 2010\MENSURAS\AGUA DEL INCA IV 1 AL 60   CATALINO ALBANEZ   PRIMER JDO.doc", "Abrir Documento")</f>
        <v>0</v>
      </c>
      <c r="D492" t="s">
        <v>23500</v>
      </c>
      <c r="E492" t="s">
        <v>23991</v>
      </c>
    </row>
    <row r="493" spans="1:5">
      <c r="A493" t="s">
        <v>5</v>
      </c>
      <c r="B493" t="s">
        <v>498</v>
      </c>
      <c r="C493">
        <f>HYPERLINK("C:\Users\franc\OneDrive\Documentos\ALIRO\ALIRO\KATHY\ANA LUISA 2010\MENSURAS\AGUA DEL INCA II 1 AL 40   CATALINO ALBANEZ   PRIMER JDO.doc", "Abrir Documento")</f>
        <v>0</v>
      </c>
      <c r="D493" t="s">
        <v>23500</v>
      </c>
      <c r="E493" t="s">
        <v>23992</v>
      </c>
    </row>
    <row r="494" spans="1:5">
      <c r="A494" t="s">
        <v>5</v>
      </c>
      <c r="B494" t="s">
        <v>499</v>
      </c>
      <c r="C494">
        <f>HYPERLINK("C:\Users\franc\OneDrive\Documentos\ALIRO\ALIRO\KATHY\ANA LUISA 2010\MENSURAS\AGUA DEL INCA 1I  1 AL 40   CATALINO ALBANEZ   PRIMER JDO.doc", "Abrir Documento")</f>
        <v>0</v>
      </c>
      <c r="D494" t="s">
        <v>23500</v>
      </c>
      <c r="E494" t="s">
        <v>23993</v>
      </c>
    </row>
    <row r="495" spans="1:5">
      <c r="A495" t="s">
        <v>5</v>
      </c>
      <c r="B495" t="s">
        <v>500</v>
      </c>
      <c r="C495">
        <f>HYPERLINK("C:\Users\franc\OneDrive\Documentos\ALIRO\ALIRO\KATHY\ANA LUISA 2010\MENSURAS\AGUA DEL INCA 1 AL 40   CATALINO ALBANEZ  PRIMER JDO.doc", "Abrir Documento")</f>
        <v>0</v>
      </c>
      <c r="D495" t="s">
        <v>23500</v>
      </c>
      <c r="E495" t="s">
        <v>23994</v>
      </c>
    </row>
    <row r="496" spans="1:5">
      <c r="A496" t="s">
        <v>5</v>
      </c>
      <c r="B496" t="s">
        <v>501</v>
      </c>
      <c r="C496">
        <f>HYPERLINK("C:\Users\franc\OneDrive\Documentos\ALIRO\ALIRO\KATHY\ANA LUISA 2010\MANIFESTACIONES\victoria.doc", "Abrir Documento")</f>
        <v>0</v>
      </c>
      <c r="D496" t="s">
        <v>23500</v>
      </c>
      <c r="E496" t="s">
        <v>23995</v>
      </c>
    </row>
    <row r="497" spans="1:5">
      <c r="A497" t="s">
        <v>5</v>
      </c>
      <c r="B497" t="s">
        <v>502</v>
      </c>
      <c r="C497">
        <f>HYPERLINK("C:\Users\franc\OneDrive\Documentos\ALIRO\ALIRO\KATHY\ANA LUISA 2010\MANIFESTACIONES\VETARRON UNA AL VEINTEc.doc", "Abrir Documento")</f>
        <v>0</v>
      </c>
      <c r="D497" t="s">
        <v>23500</v>
      </c>
      <c r="E497" t="s">
        <v>23996</v>
      </c>
    </row>
    <row r="498" spans="1:5">
      <c r="A498" t="s">
        <v>5</v>
      </c>
      <c r="B498" t="s">
        <v>503</v>
      </c>
      <c r="C498">
        <f>HYPERLINK("C:\Users\franc\OneDrive\Documentos\ALIRO\ALIRO\KATHY\ANA LUISA 2010\MANIFESTACIONES\TOBRUC ONCE A DIECINUEVE.doc", "Abrir Documento")</f>
        <v>0</v>
      </c>
      <c r="D498" t="s">
        <v>23500</v>
      </c>
      <c r="E498" t="s">
        <v>23997</v>
      </c>
    </row>
    <row r="499" spans="1:5">
      <c r="A499" t="s">
        <v>5</v>
      </c>
      <c r="B499" t="s">
        <v>504</v>
      </c>
      <c r="C499">
        <f>HYPERLINK("C:\Users\franc\OneDrive\Documentos\ALIRO\ALIRO\KATHY\ANA LUISA 2010\MANIFESTACIONES\TAHUINEO 1 AL 15 (SEGUNDO JUZGADO).doc", "Abrir Documento")</f>
        <v>0</v>
      </c>
      <c r="D499" t="s">
        <v>23500</v>
      </c>
      <c r="E499" t="s">
        <v>23998</v>
      </c>
    </row>
    <row r="500" spans="1:5">
      <c r="A500" t="s">
        <v>5</v>
      </c>
      <c r="B500" t="s">
        <v>505</v>
      </c>
      <c r="C500">
        <f>HYPERLINK("C:\Users\franc\OneDrive\Documentos\ALIRO\ALIRO\KATHY\ANA LUISA 2010\MANIFESTACIONES\SEBASTIAN TERCERO 1 AL 10.doc", "Abrir Documento")</f>
        <v>0</v>
      </c>
      <c r="D500" t="s">
        <v>23500</v>
      </c>
      <c r="E500" t="s">
        <v>23999</v>
      </c>
    </row>
    <row r="501" spans="1:5">
      <c r="A501" t="s">
        <v>5</v>
      </c>
      <c r="B501" t="s">
        <v>506</v>
      </c>
      <c r="C501">
        <f>HYPERLINK("C:\Users\franc\OneDrive\Documentos\ALIRO\ALIRO\KATHY\ANA LUISA 2010\MANIFESTACIONES\SEBASTIAN SEXTO 1 AL 10.doc", "Abrir Documento")</f>
        <v>0</v>
      </c>
      <c r="D501" t="s">
        <v>23500</v>
      </c>
      <c r="E501" t="s">
        <v>24000</v>
      </c>
    </row>
    <row r="502" spans="1:5">
      <c r="A502" t="s">
        <v>5</v>
      </c>
      <c r="B502" t="s">
        <v>507</v>
      </c>
      <c r="C502">
        <f>HYPERLINK("C:\Users\franc\OneDrive\Documentos\ALIRO\ALIRO\KATHY\ANA LUISA 2010\MANIFESTACIONES\SEBASTIAN SEPTIMO 1 AL 10.doc", "Abrir Documento")</f>
        <v>0</v>
      </c>
      <c r="D502" t="s">
        <v>23500</v>
      </c>
      <c r="E502" t="s">
        <v>24001</v>
      </c>
    </row>
    <row r="503" spans="1:5">
      <c r="A503" t="s">
        <v>5</v>
      </c>
      <c r="B503" t="s">
        <v>508</v>
      </c>
      <c r="C503">
        <f>HYPERLINK("C:\Users\franc\OneDrive\Documentos\ALIRO\ALIRO\KATHY\ANA LUISA 2010\MANIFESTACIONES\SEBASTIAN SEGUNDO 1 AL 10.doc", "Abrir Documento")</f>
        <v>0</v>
      </c>
      <c r="D503" t="s">
        <v>23500</v>
      </c>
      <c r="E503" t="s">
        <v>24002</v>
      </c>
    </row>
    <row r="504" spans="1:5">
      <c r="A504" t="s">
        <v>5</v>
      </c>
      <c r="B504" t="s">
        <v>509</v>
      </c>
      <c r="C504">
        <f>HYPERLINK("C:\Users\franc\OneDrive\Documentos\ALIRO\ALIRO\KATHY\ANA LUISA 2010\MANIFESTACIONES\SEBASTIAN QUINTO 1 AL 10.doc", "Abrir Documento")</f>
        <v>0</v>
      </c>
      <c r="D504" t="s">
        <v>23500</v>
      </c>
      <c r="E504" t="s">
        <v>24003</v>
      </c>
    </row>
    <row r="505" spans="1:5">
      <c r="A505" t="s">
        <v>5</v>
      </c>
      <c r="B505" t="s">
        <v>510</v>
      </c>
      <c r="C505">
        <f>HYPERLINK("C:\Users\franc\OneDrive\Documentos\ALIRO\ALIRO\KATHY\ANA LUISA 2010\MANIFESTACIONES\SEBASTIAN PRIMERO 1 AL 10.doc", "Abrir Documento")</f>
        <v>0</v>
      </c>
      <c r="D505" t="s">
        <v>23500</v>
      </c>
      <c r="E505" t="s">
        <v>24004</v>
      </c>
    </row>
    <row r="506" spans="1:5">
      <c r="A506" t="s">
        <v>5</v>
      </c>
      <c r="B506" t="s">
        <v>511</v>
      </c>
      <c r="C506">
        <f>HYPERLINK("C:\Users\franc\OneDrive\Documentos\ALIRO\ALIRO\KATHY\ANA LUISA 2010\MANIFESTACIONES\SEBASTIAN OCTAVO 1 AL 4.doc", "Abrir Documento")</f>
        <v>0</v>
      </c>
      <c r="D506" t="s">
        <v>23500</v>
      </c>
      <c r="E506" t="s">
        <v>24005</v>
      </c>
    </row>
    <row r="507" spans="1:5">
      <c r="A507" t="s">
        <v>5</v>
      </c>
      <c r="B507" t="s">
        <v>512</v>
      </c>
      <c r="C507">
        <f>HYPERLINK("C:\Users\franc\OneDrive\Documentos\ALIRO\ALIRO\KATHY\ANA LUISA 2010\MANIFESTACIONES\SEBASTIAN CUARTO 1 AL 10.doc", "Abrir Documento")</f>
        <v>0</v>
      </c>
      <c r="D507" t="s">
        <v>23500</v>
      </c>
      <c r="E507" t="s">
        <v>24006</v>
      </c>
    </row>
    <row r="508" spans="1:5">
      <c r="A508" t="s">
        <v>5</v>
      </c>
      <c r="B508" t="s">
        <v>513</v>
      </c>
      <c r="C508">
        <f>HYPERLINK("C:\Users\franc\OneDrive\Documentos\ALIRO\ALIRO\KATHY\ANA LUISA 2010\MANIFESTACIONES\SANTA LUCIA CINCUENTA Y TRES 1 AL 30 (SEGUNDO JUZGADO).doc", "Abrir Documento")</f>
        <v>0</v>
      </c>
      <c r="D508" t="s">
        <v>23500</v>
      </c>
      <c r="E508" t="s">
        <v>24007</v>
      </c>
    </row>
    <row r="509" spans="1:5">
      <c r="A509" t="s">
        <v>5</v>
      </c>
      <c r="B509" t="s">
        <v>514</v>
      </c>
      <c r="C509">
        <f>HYPERLINK("C:\Users\franc\OneDrive\Documentos\ALIRO\ALIRO\KATHY\ANA LUISA 2010\MANIFESTACIONES\SANTA ISABEL UNA AL VEINTE.doc", "Abrir Documento")</f>
        <v>0</v>
      </c>
      <c r="D509" t="s">
        <v>23500</v>
      </c>
      <c r="E509" t="s">
        <v>24008</v>
      </c>
    </row>
    <row r="510" spans="1:5">
      <c r="A510" t="s">
        <v>5</v>
      </c>
      <c r="B510" t="s">
        <v>515</v>
      </c>
      <c r="C510">
        <f>HYPERLINK("C:\Users\franc\OneDrive\Documentos\ALIRO\ALIRO\KATHY\ANA LUISA 2010\MANIFESTACIONES\SANTA ELENA 1 AL 50 (SEGUNDO JUZGADO).doc", "Abrir Documento")</f>
        <v>0</v>
      </c>
      <c r="D510" t="s">
        <v>23500</v>
      </c>
      <c r="E510" t="s">
        <v>24009</v>
      </c>
    </row>
    <row r="511" spans="1:5">
      <c r="A511" t="s">
        <v>5</v>
      </c>
      <c r="B511" t="s">
        <v>516</v>
      </c>
      <c r="C511">
        <f>HYPERLINK("C:\Users\franc\OneDrive\Documentos\ALIRO\ALIRO\KATHY\ANA LUISA 2010\MANIFESTACIONES\SANTA ANITA 1 AL 10.doc", "Abrir Documento")</f>
        <v>0</v>
      </c>
      <c r="D511" t="s">
        <v>23500</v>
      </c>
      <c r="E511" t="s">
        <v>24010</v>
      </c>
    </row>
    <row r="512" spans="1:5">
      <c r="A512" t="s">
        <v>5</v>
      </c>
      <c r="B512" t="s">
        <v>517</v>
      </c>
      <c r="C512">
        <f>HYPERLINK("C:\Users\franc\OneDrive\Documentos\ALIRO\ALIRO\KATHY\ANA LUISA 2010\MANIFESTACIONES\SAN JUAN 1 - 10 (SEGUNDO JUZGADO).doc", "Abrir Documento")</f>
        <v>0</v>
      </c>
      <c r="D512" t="s">
        <v>23500</v>
      </c>
      <c r="E512" t="s">
        <v>24011</v>
      </c>
    </row>
    <row r="513" spans="1:5">
      <c r="A513" t="s">
        <v>5</v>
      </c>
      <c r="B513" t="s">
        <v>518</v>
      </c>
      <c r="C513">
        <f>HYPERLINK("C:\Users\franc\OneDrive\Documentos\ALIRO\ALIRO\KATHY\ANA LUISA 2010\MANIFESTACIONES\SAN JOSE 1 AL 10 (SEGUNDO JUZGADO).doc", "Abrir Documento")</f>
        <v>0</v>
      </c>
      <c r="D513" t="s">
        <v>23500</v>
      </c>
      <c r="E513" t="s">
        <v>24012</v>
      </c>
    </row>
    <row r="514" spans="1:5">
      <c r="A514" t="s">
        <v>5</v>
      </c>
      <c r="B514" t="s">
        <v>519</v>
      </c>
      <c r="C514">
        <f>HYPERLINK("C:\Users\franc\OneDrive\Documentos\ALIRO\ALIRO\KATHY\ANA LUISA 2010\MANIFESTACIONES\ROSITA DOS 1 AL 20.doc", "Abrir Documento")</f>
        <v>0</v>
      </c>
      <c r="D514" t="s">
        <v>23500</v>
      </c>
      <c r="E514" t="s">
        <v>24013</v>
      </c>
    </row>
    <row r="515" spans="1:5">
      <c r="A515" t="s">
        <v>5</v>
      </c>
      <c r="B515" t="s">
        <v>520</v>
      </c>
      <c r="C515">
        <f>HYPERLINK("C:\Users\franc\OneDrive\Documentos\ALIRO\ALIRO\KATHY\ANA LUISA 2010\MANIFESTACIONES\ROCIO 1 AL 15.doc", "Abrir Documento")</f>
        <v>0</v>
      </c>
      <c r="D515" t="s">
        <v>23500</v>
      </c>
      <c r="E515" t="s">
        <v>24014</v>
      </c>
    </row>
    <row r="516" spans="1:5">
      <c r="A516" t="s">
        <v>5</v>
      </c>
      <c r="B516" t="s">
        <v>521</v>
      </c>
      <c r="C516">
        <f>HYPERLINK("C:\Users\franc\OneDrive\Documentos\ALIRO\ALIRO\KATHY\ANA LUISA 2010\MANIFESTACIONES\QUEBRADA  DEL MOLLE UNO AL VEINTE (SEGUNDO JUZGADO).doc", "Abrir Documento")</f>
        <v>0</v>
      </c>
      <c r="D516" t="s">
        <v>23500</v>
      </c>
      <c r="E516" t="s">
        <v>24015</v>
      </c>
    </row>
    <row r="517" spans="1:5">
      <c r="A517" t="s">
        <v>5</v>
      </c>
      <c r="B517" t="s">
        <v>522</v>
      </c>
      <c r="C517">
        <f>HYPERLINK("C:\Users\franc\OneDrive\Documentos\ALIRO\ALIRO\KATHY\ANA LUISA 2010\MANIFESTACIONES\PEDESTAL UNA AL DIEZ.doc", "Abrir Documento")</f>
        <v>0</v>
      </c>
      <c r="D517" t="s">
        <v>23500</v>
      </c>
      <c r="E517" t="s">
        <v>24016</v>
      </c>
    </row>
    <row r="518" spans="1:5">
      <c r="A518" t="s">
        <v>5</v>
      </c>
      <c r="B518" t="s">
        <v>523</v>
      </c>
      <c r="C518">
        <f>HYPERLINK("C:\Users\franc\OneDrive\Documentos\ALIRO\ALIRO\KATHY\ANA LUISA 2010\MANIFESTACIONES\PASO AL FRENTE 1 AL 14.doc", "Abrir Documento")</f>
        <v>0</v>
      </c>
      <c r="D518" t="s">
        <v>23500</v>
      </c>
      <c r="E518" t="s">
        <v>24017</v>
      </c>
    </row>
    <row r="519" spans="1:5">
      <c r="A519" t="s">
        <v>5</v>
      </c>
      <c r="B519" t="s">
        <v>524</v>
      </c>
      <c r="C519">
        <f>HYPERLINK("C:\Users\franc\OneDrive\Documentos\ALIRO\ALIRO\KATHY\ANA LUISA 2010\MANIFESTACIONES\PARA EL FUTURO DEL 1 AL 15 SEGUNDO JUZGADO).doc", "Abrir Documento")</f>
        <v>0</v>
      </c>
      <c r="D519" t="s">
        <v>23500</v>
      </c>
      <c r="E519" t="s">
        <v>24018</v>
      </c>
    </row>
    <row r="520" spans="1:5">
      <c r="A520" t="s">
        <v>5</v>
      </c>
      <c r="B520" t="s">
        <v>525</v>
      </c>
      <c r="C520">
        <f>HYPERLINK("C:\Users\franc\OneDrive\Documentos\ALIRO\ALIRO\KATHY\ANA LUISA 2010\MANIFESTACIONES\PALOMA INFIEL 1 AL 20.doc", "Abrir Documento")</f>
        <v>0</v>
      </c>
      <c r="D520" t="s">
        <v>23500</v>
      </c>
      <c r="E520" t="s">
        <v>24019</v>
      </c>
    </row>
    <row r="521" spans="1:5">
      <c r="A521" t="s">
        <v>5</v>
      </c>
      <c r="B521" t="s">
        <v>526</v>
      </c>
      <c r="C521">
        <f>HYPERLINK("C:\Users\franc\OneDrive\Documentos\ALIRO\ALIRO\KATHY\ANA LUISA 2010\MANIFESTACIONES\PALOMA INFIEL  PAGINA 2.doc", "Abrir Documento")</f>
        <v>0</v>
      </c>
      <c r="D521" t="s">
        <v>23500</v>
      </c>
      <c r="E521" t="s">
        <v>24020</v>
      </c>
    </row>
    <row r="522" spans="1:5">
      <c r="A522" t="s">
        <v>5</v>
      </c>
      <c r="B522" t="s">
        <v>527</v>
      </c>
      <c r="C522">
        <f>HYPERLINK("C:\Users\franc\OneDrive\Documentos\ALIRO\ALIRO\KATHY\ANA LUISA 2010\MANIFESTACIONES\PALOMA INFIEL    PAGINA 3.doc", "Abrir Documento")</f>
        <v>0</v>
      </c>
      <c r="D522" t="s">
        <v>23500</v>
      </c>
      <c r="E522" t="s">
        <v>24021</v>
      </c>
    </row>
    <row r="523" spans="1:5">
      <c r="A523" t="s">
        <v>5</v>
      </c>
      <c r="B523" t="s">
        <v>528</v>
      </c>
      <c r="C523">
        <f>HYPERLINK("C:\Users\franc\OneDrive\Documentos\ALIRO\ALIRO\KATHY\ANA LUISA 2010\MANIFESTACIONES\OMI 1 AL 20.doc", "Abrir Documento")</f>
        <v>0</v>
      </c>
      <c r="D523" t="s">
        <v>23500</v>
      </c>
      <c r="E523" t="s">
        <v>24022</v>
      </c>
    </row>
    <row r="524" spans="1:5">
      <c r="A524" t="s">
        <v>5</v>
      </c>
      <c r="B524" t="s">
        <v>529</v>
      </c>
      <c r="C524">
        <f>HYPERLINK("C:\Users\franc\OneDrive\Documentos\ALIRO\ALIRO\KATHY\ANA LUISA 2010\MANIFESTACIONES\MINA SANTA ISABEL 1 AL 5.doc", "Abrir Documento")</f>
        <v>0</v>
      </c>
      <c r="D524" t="s">
        <v>23500</v>
      </c>
      <c r="E524" t="s">
        <v>24023</v>
      </c>
    </row>
    <row r="525" spans="1:5">
      <c r="A525" t="s">
        <v>5</v>
      </c>
      <c r="B525" t="s">
        <v>530</v>
      </c>
      <c r="C525">
        <f>HYPERLINK("C:\Users\franc\OneDrive\Documentos\ALIRO\ALIRO\KATHY\ANA LUISA 2010\MANIFESTACIONES\MINA ORTIGA UNA AL CINCO.doc", "Abrir Documento")</f>
        <v>0</v>
      </c>
      <c r="D525" t="s">
        <v>23500</v>
      </c>
      <c r="E525" t="s">
        <v>24024</v>
      </c>
    </row>
    <row r="526" spans="1:5">
      <c r="A526" t="s">
        <v>5</v>
      </c>
      <c r="B526" t="s">
        <v>531</v>
      </c>
      <c r="C526">
        <f>HYPERLINK("C:\Users\franc\OneDrive\Documentos\ALIRO\ALIRO\KATHY\ANA LUISA 2010\MANIFESTACIONES\MINA LULI 1 AL 5 (SEGUNDO JUZGADO).doc", "Abrir Documento")</f>
        <v>0</v>
      </c>
      <c r="D526" t="s">
        <v>23500</v>
      </c>
      <c r="E526" t="s">
        <v>24025</v>
      </c>
    </row>
    <row r="527" spans="1:5">
      <c r="A527" t="s">
        <v>5</v>
      </c>
      <c r="B527" t="s">
        <v>532</v>
      </c>
      <c r="C527">
        <f>HYPERLINK("C:\Users\franc\OneDrive\Documentos\ALIRO\ALIRO\KATHY\ANA LUISA 2010\MANIFESTACIONES\MINA ESPERANZA UNA AL CINCO.doc", "Abrir Documento")</f>
        <v>0</v>
      </c>
      <c r="D527" t="s">
        <v>23500</v>
      </c>
      <c r="E527" t="s">
        <v>24026</v>
      </c>
    </row>
    <row r="528" spans="1:5">
      <c r="A528" t="s">
        <v>5</v>
      </c>
      <c r="B528" t="s">
        <v>533</v>
      </c>
      <c r="C528">
        <f>HYPERLINK("C:\Users\franc\OneDrive\Documentos\ALIRO\ALIRO\KATHY\ANA LUISA 2010\MANIFESTACIONES\MINA EL SOL 1 AL 100 (SEGUNDO JUZGADO).doc", "Abrir Documento")</f>
        <v>0</v>
      </c>
      <c r="D528" t="s">
        <v>23500</v>
      </c>
      <c r="E528" t="s">
        <v>24027</v>
      </c>
    </row>
    <row r="529" spans="1:5">
      <c r="A529" t="s">
        <v>5</v>
      </c>
      <c r="B529" t="s">
        <v>534</v>
      </c>
      <c r="C529">
        <f>HYPERLINK("C:\Users\franc\OneDrive\Documentos\ALIRO\ALIRO\KATHY\ANA LUISA 2010\MANIFESTACIONES\MERCEDITA VIGESIMA SEGUNDA 1 AL 30.doc", "Abrir Documento")</f>
        <v>0</v>
      </c>
      <c r="D529" t="s">
        <v>23500</v>
      </c>
      <c r="E529" t="s">
        <v>24028</v>
      </c>
    </row>
    <row r="530" spans="1:5">
      <c r="A530" t="s">
        <v>5</v>
      </c>
      <c r="B530" t="s">
        <v>535</v>
      </c>
      <c r="C530">
        <f>HYPERLINK("C:\Users\franc\OneDrive\Documentos\ALIRO\ALIRO\KATHY\ANA LUISA 2010\MANIFESTACIONES\MERCEDITA VIGESIMA PRIMERA 1 AL 10.doc", "Abrir Documento")</f>
        <v>0</v>
      </c>
      <c r="D530" t="s">
        <v>23500</v>
      </c>
      <c r="E530" t="s">
        <v>24029</v>
      </c>
    </row>
    <row r="531" spans="1:5">
      <c r="A531" t="s">
        <v>5</v>
      </c>
      <c r="B531" t="s">
        <v>536</v>
      </c>
      <c r="C531">
        <f>HYPERLINK("C:\Users\franc\OneDrive\Documentos\ALIRO\ALIRO\KATHY\ANA LUISA 2010\MANIFESTACIONES\MERCEDITA DIECISIETE 1 AL 10.doc", "Abrir Documento")</f>
        <v>0</v>
      </c>
      <c r="D531" t="s">
        <v>23500</v>
      </c>
      <c r="E531" t="s">
        <v>24030</v>
      </c>
    </row>
    <row r="532" spans="1:5">
      <c r="A532" t="s">
        <v>5</v>
      </c>
      <c r="B532" t="s">
        <v>537</v>
      </c>
      <c r="C532">
        <f>HYPERLINK("C:\Users\franc\OneDrive\Documentos\ALIRO\ALIRO\KATHY\ANA LUISA 2010\MANIFESTACIONES\MERCEDITA DECIMO SEPTIMA 1 AL 40.doc", "Abrir Documento")</f>
        <v>0</v>
      </c>
      <c r="D532" t="s">
        <v>23500</v>
      </c>
      <c r="E532" t="s">
        <v>24031</v>
      </c>
    </row>
    <row r="533" spans="1:5">
      <c r="A533" t="s">
        <v>5</v>
      </c>
      <c r="B533" t="s">
        <v>538</v>
      </c>
      <c r="C533">
        <f>HYPERLINK("C:\Users\franc\OneDrive\Documentos\ALIRO\ALIRO\KATHY\ANA LUISA 2010\MANIFESTACIONES\MERCEDITA DECIMO PRIMERA 1 AL 20.doc", "Abrir Documento")</f>
        <v>0</v>
      </c>
      <c r="D533" t="s">
        <v>23500</v>
      </c>
      <c r="E533" t="s">
        <v>24032</v>
      </c>
    </row>
    <row r="534" spans="1:5">
      <c r="A534" t="s">
        <v>5</v>
      </c>
      <c r="B534" t="s">
        <v>539</v>
      </c>
      <c r="C534">
        <f>HYPERLINK("C:\Users\franc\OneDrive\Documentos\ALIRO\ALIRO\KATHY\ANA LUISA 2010\MANIFESTACIONES\MERCEDITA DECIMO CUARTA 1 AL 20       ENAMI.doc", "Abrir Documento")</f>
        <v>0</v>
      </c>
      <c r="D534" t="s">
        <v>23500</v>
      </c>
      <c r="E534" t="s">
        <v>24033</v>
      </c>
    </row>
    <row r="535" spans="1:5">
      <c r="A535" t="s">
        <v>5</v>
      </c>
      <c r="B535" t="s">
        <v>540</v>
      </c>
      <c r="C535">
        <f>HYPERLINK("C:\Users\franc\OneDrive\Documentos\ALIRO\ALIRO\KATHY\ANA LUISA 2010\MANIFESTACIONES\MERCEDES DOS 1-10.doc", "Abrir Documento")</f>
        <v>0</v>
      </c>
      <c r="D535" t="s">
        <v>23500</v>
      </c>
      <c r="E535" t="s">
        <v>24034</v>
      </c>
    </row>
    <row r="536" spans="1:5">
      <c r="A536" t="s">
        <v>5</v>
      </c>
      <c r="B536" t="s">
        <v>541</v>
      </c>
      <c r="C536">
        <f>HYPERLINK("C:\Users\franc\OneDrive\Documentos\ALIRO\ALIRO\KATHY\ANA LUISA 2010\MANIFESTACIONES\MERCEDES 1-10.doc", "Abrir Documento")</f>
        <v>0</v>
      </c>
      <c r="D536" t="s">
        <v>23500</v>
      </c>
      <c r="E536" t="s">
        <v>24035</v>
      </c>
    </row>
    <row r="537" spans="1:5">
      <c r="A537" t="s">
        <v>5</v>
      </c>
      <c r="B537" t="s">
        <v>542</v>
      </c>
      <c r="C537">
        <f>HYPERLINK("C:\Users\franc\OneDrive\Documentos\ALIRO\ALIRO\KATHY\ANA LUISA 2010\MANIFESTACIONES\MAR 1 A 10.doc", "Abrir Documento")</f>
        <v>0</v>
      </c>
      <c r="D537" t="s">
        <v>23500</v>
      </c>
      <c r="E537" t="s">
        <v>24036</v>
      </c>
    </row>
    <row r="538" spans="1:5">
      <c r="A538" t="s">
        <v>5</v>
      </c>
      <c r="B538" t="s">
        <v>543</v>
      </c>
      <c r="C538">
        <f>HYPERLINK("C:\Users\franc\OneDrive\Documentos\ALIRO\ALIRO\KATHY\ANA LUISA 2010\MANIFESTACIONES\MANTOS DE ORO UNO 1 AL 30 (SEGUNDO JUZGADO).doc", "Abrir Documento")</f>
        <v>0</v>
      </c>
      <c r="D538" t="s">
        <v>23500</v>
      </c>
      <c r="E538" t="s">
        <v>24037</v>
      </c>
    </row>
    <row r="539" spans="1:5">
      <c r="A539" t="s">
        <v>5</v>
      </c>
      <c r="B539" t="s">
        <v>544</v>
      </c>
      <c r="C539">
        <f>HYPERLINK("C:\Users\franc\OneDrive\Documentos\ALIRO\ALIRO\KATHY\ANA LUISA 2010\MANIFESTACIONES\MANTOS DE ORO TRES 1 AL 30 (SEGUNDO JUZGADO)..doc", "Abrir Documento")</f>
        <v>0</v>
      </c>
      <c r="D539" t="s">
        <v>23500</v>
      </c>
      <c r="E539" t="s">
        <v>24038</v>
      </c>
    </row>
    <row r="540" spans="1:5">
      <c r="A540" t="s">
        <v>5</v>
      </c>
      <c r="B540" t="s">
        <v>545</v>
      </c>
      <c r="C540">
        <f>HYPERLINK("C:\Users\franc\OneDrive\Documentos\ALIRO\ALIRO\KATHY\ANA LUISA 2010\MANIFESTACIONES\MANTOS DE ORO DOS 1 AL 30 (SEGUNDO JUZGADO).doc", "Abrir Documento")</f>
        <v>0</v>
      </c>
      <c r="D540" t="s">
        <v>23500</v>
      </c>
      <c r="E540" t="s">
        <v>24039</v>
      </c>
    </row>
    <row r="541" spans="1:5">
      <c r="A541" t="s">
        <v>5</v>
      </c>
      <c r="B541" t="s">
        <v>546</v>
      </c>
      <c r="C541">
        <f>HYPERLINK("C:\Users\franc\OneDrive\Documentos\ALIRO\ALIRO\KATHY\ANA LUISA 2010\MANIFESTACIONES\MANTOS DE ORO CUATRO 1 AL 30 (SEGUNDO JUZGADO).doc", "Abrir Documento")</f>
        <v>0</v>
      </c>
      <c r="D541" t="s">
        <v>23500</v>
      </c>
      <c r="E541" t="s">
        <v>24040</v>
      </c>
    </row>
    <row r="542" spans="1:5">
      <c r="A542" t="s">
        <v>5</v>
      </c>
      <c r="B542" t="s">
        <v>547</v>
      </c>
      <c r="C542">
        <f>HYPERLINK("C:\Users\franc\OneDrive\Documentos\ALIRO\ALIRO\KATHY\ANA LUISA 2010\MANIFESTACIONES\MANTOS DE ORO CINCO 1 AL 30 (SEGUNDO JUZGADO).doc", "Abrir Documento")</f>
        <v>0</v>
      </c>
      <c r="D542" t="s">
        <v>23500</v>
      </c>
      <c r="E542" t="s">
        <v>24041</v>
      </c>
    </row>
    <row r="543" spans="1:5">
      <c r="A543" t="s">
        <v>5</v>
      </c>
      <c r="B543" t="s">
        <v>548</v>
      </c>
      <c r="C543">
        <f>HYPERLINK("C:\Users\franc\OneDrive\Documentos\ALIRO\ALIRO\KATHY\ANA LUISA 2010\MANIFESTACIONES\MANTO DE LA PIEDRA 1 AL 5 SEGUNDO JUZGADO).doc", "Abrir Documento")</f>
        <v>0</v>
      </c>
      <c r="D543" t="s">
        <v>23500</v>
      </c>
      <c r="E543" t="s">
        <v>24042</v>
      </c>
    </row>
    <row r="544" spans="1:5">
      <c r="A544" t="s">
        <v>5</v>
      </c>
      <c r="B544" t="s">
        <v>549</v>
      </c>
      <c r="C544">
        <f>HYPERLINK("C:\Users\franc\OneDrive\Documentos\ALIRO\ALIRO\KATHY\ANA LUISA 2010\MANIFESTACIONES\manifestacion.doc", "Abrir Documento")</f>
        <v>0</v>
      </c>
      <c r="D544" t="s">
        <v>23500</v>
      </c>
      <c r="E544" t="s">
        <v>24043</v>
      </c>
    </row>
    <row r="545" spans="1:5">
      <c r="A545" t="s">
        <v>5</v>
      </c>
      <c r="B545" t="s">
        <v>550</v>
      </c>
      <c r="C545">
        <f>HYPERLINK("C:\Users\franc\OneDrive\Documentos\ALIRO\ALIRO\KATHY\ANA LUISA 2010\MANIFESTACIONES\MANGANESO SANTA BARBARA TRES 1 AL 20 (SEGUNDO JUZGADO).doc", "Abrir Documento")</f>
        <v>0</v>
      </c>
      <c r="D545" t="s">
        <v>23500</v>
      </c>
      <c r="E545" t="s">
        <v>24044</v>
      </c>
    </row>
    <row r="546" spans="1:5">
      <c r="A546" t="s">
        <v>5</v>
      </c>
      <c r="B546" t="s">
        <v>551</v>
      </c>
      <c r="C546">
        <f>HYPERLINK("C:\Users\franc\OneDrive\Documentos\ALIRO\ALIRO\KATHY\ANA LUISA 2010\MANIFESTACIONES\LOS TEOS CINCUENTA Y SEIS 1 AL 30(SEGUNDO JUZGADO).doc", "Abrir Documento")</f>
        <v>0</v>
      </c>
      <c r="D546" t="s">
        <v>23500</v>
      </c>
      <c r="E546" t="s">
        <v>24045</v>
      </c>
    </row>
    <row r="547" spans="1:5">
      <c r="A547" t="s">
        <v>5</v>
      </c>
      <c r="B547" t="s">
        <v>552</v>
      </c>
      <c r="C547">
        <f>HYPERLINK("C:\Users\franc\OneDrive\Documentos\ALIRO\ALIRO\KATHY\ANA LUISA 2010\MANIFESTACIONES\LOS BUEYTES CINCUENTA Y CINCO 1 AL 30 (SEGUNDO JUZGADO).doc", "Abrir Documento")</f>
        <v>0</v>
      </c>
      <c r="D547" t="s">
        <v>23500</v>
      </c>
      <c r="E547" t="s">
        <v>24046</v>
      </c>
    </row>
    <row r="548" spans="1:5">
      <c r="A548" t="s">
        <v>5</v>
      </c>
      <c r="B548" t="s">
        <v>553</v>
      </c>
      <c r="C548">
        <f>HYPERLINK("C:\Users\franc\OneDrive\Documentos\ALIRO\ALIRO\KATHY\ANA LUISA 2010\MANIFESTACIONES\LOS BUEYES CINCUENTA Y CUATRO 1 AL 30 (SEGUNDO JUZGADO).doc", "Abrir Documento")</f>
        <v>0</v>
      </c>
      <c r="D548" t="s">
        <v>23500</v>
      </c>
      <c r="E548" t="s">
        <v>24047</v>
      </c>
    </row>
    <row r="549" spans="1:5">
      <c r="A549" t="s">
        <v>5</v>
      </c>
      <c r="B549" t="s">
        <v>554</v>
      </c>
      <c r="C549">
        <f>HYPERLINK("C:\Users\franc\OneDrive\Documentos\ALIRO\ALIRO\KATHY\ANA LUISA 2010\MANIFESTACIONES\LOS AROMOS 1 AL 20 SEGUNDO JUZGADO).doc", "Abrir Documento")</f>
        <v>0</v>
      </c>
      <c r="D549" t="s">
        <v>23500</v>
      </c>
      <c r="E549" t="s">
        <v>24048</v>
      </c>
    </row>
    <row r="550" spans="1:5">
      <c r="A550" t="s">
        <v>5</v>
      </c>
      <c r="B550" t="s">
        <v>555</v>
      </c>
      <c r="C550">
        <f>HYPERLINK("C:\Users\franc\OneDrive\Documentos\ALIRO\ALIRO\KATHY\ANA LUISA 2010\MANIFESTACIONES\LIRIMO UNO 1 AL 30 (SEGUNDO JUZGADO).doc", "Abrir Documento")</f>
        <v>0</v>
      </c>
      <c r="D550" t="s">
        <v>23500</v>
      </c>
      <c r="E550" t="s">
        <v>24049</v>
      </c>
    </row>
    <row r="551" spans="1:5">
      <c r="A551" t="s">
        <v>5</v>
      </c>
      <c r="B551" t="s">
        <v>556</v>
      </c>
      <c r="C551">
        <f>HYPERLINK("C:\Users\franc\OneDrive\Documentos\ALIRO\ALIRO\KATHY\ANA LUISA 2010\MANIFESTACIONES\LIRIMO TRES 1 AL 30 (SEGUNDO JUZGADO).doc", "Abrir Documento")</f>
        <v>0</v>
      </c>
      <c r="D551" t="s">
        <v>23500</v>
      </c>
      <c r="E551" t="s">
        <v>24050</v>
      </c>
    </row>
    <row r="552" spans="1:5">
      <c r="A552" t="s">
        <v>5</v>
      </c>
      <c r="B552" t="s">
        <v>557</v>
      </c>
      <c r="C552">
        <f>HYPERLINK("C:\Users\franc\OneDrive\Documentos\ALIRO\ALIRO\KATHY\ANA LUISA 2010\MANIFESTACIONES\LIRIMO DOS 1 AL 30 (SEGUNDO JUZGADO).doc", "Abrir Documento")</f>
        <v>0</v>
      </c>
      <c r="D552" t="s">
        <v>23500</v>
      </c>
      <c r="E552" t="s">
        <v>24051</v>
      </c>
    </row>
    <row r="553" spans="1:5">
      <c r="A553" t="s">
        <v>5</v>
      </c>
      <c r="B553" t="s">
        <v>558</v>
      </c>
      <c r="C553">
        <f>HYPERLINK("C:\Users\franc\OneDrive\Documentos\ALIRO\ALIRO\KATHY\ANA LUISA 2010\MANIFESTACIONES\LIRIMO CINCO 1 AL 30 (SEGUNDO JUZGADO).doc", "Abrir Documento")</f>
        <v>0</v>
      </c>
      <c r="D553" t="s">
        <v>23500</v>
      </c>
      <c r="E553" t="s">
        <v>24052</v>
      </c>
    </row>
    <row r="554" spans="1:5">
      <c r="A554" t="s">
        <v>5</v>
      </c>
      <c r="B554" t="s">
        <v>559</v>
      </c>
      <c r="C554">
        <f>HYPERLINK("C:\Users\franc\OneDrive\Documentos\ALIRO\ALIRO\KATHY\ANA LUISA 2010\MANIFESTACIONES\LA SECA CINCUENTA Y OCHO 1 AL 30(SEGUNDO JUZGADO).doc", "Abrir Documento")</f>
        <v>0</v>
      </c>
      <c r="D554" t="s">
        <v>23500</v>
      </c>
      <c r="E554" t="s">
        <v>24053</v>
      </c>
    </row>
    <row r="555" spans="1:5">
      <c r="A555" t="s">
        <v>5</v>
      </c>
      <c r="B555" t="s">
        <v>560</v>
      </c>
      <c r="C555">
        <f>HYPERLINK("C:\Users\franc\OneDrive\Documentos\ALIRO\ALIRO\KATHY\ANA LUISA 2010\MANIFESTACIONES\LA SECA CINCUENTA Y NUEVE 1 AL 30(SEGUNDO JUZGADO).doc", "Abrir Documento")</f>
        <v>0</v>
      </c>
      <c r="D555" t="s">
        <v>23500</v>
      </c>
      <c r="E555" t="s">
        <v>24054</v>
      </c>
    </row>
    <row r="556" spans="1:5">
      <c r="A556" t="s">
        <v>5</v>
      </c>
      <c r="B556" t="s">
        <v>561</v>
      </c>
      <c r="C556">
        <f>HYPERLINK("C:\Users\franc\OneDrive\Documentos\ALIRO\ALIRO\KATHY\ANA LUISA 2010\MANIFESTACIONES\LA SALVACION UNO AL SIETE(SEGUNDO JUZGADO).doc", "Abrir Documento")</f>
        <v>0</v>
      </c>
      <c r="D556" t="s">
        <v>23500</v>
      </c>
      <c r="E556" t="s">
        <v>24055</v>
      </c>
    </row>
    <row r="557" spans="1:5">
      <c r="A557" t="s">
        <v>5</v>
      </c>
      <c r="B557" t="s">
        <v>562</v>
      </c>
      <c r="C557">
        <f>HYPERLINK("C:\Users\franc\OneDrive\Documentos\ALIRO\ALIRO\KATHY\ANA LUISA 2010\MANIFESTACIONES\La Salvacion 1 al 5 (PRIMER JUZGADO).doc", "Abrir Documento")</f>
        <v>0</v>
      </c>
      <c r="D557" t="s">
        <v>23500</v>
      </c>
      <c r="E557" t="s">
        <v>24056</v>
      </c>
    </row>
    <row r="558" spans="1:5">
      <c r="A558" t="s">
        <v>5</v>
      </c>
      <c r="B558" t="s">
        <v>563</v>
      </c>
      <c r="C558">
        <f>HYPERLINK("C:\Users\franc\OneDrive\Documentos\ALIRO\ALIRO\KATHY\ANA LUISA 2010\MANIFESTACIONES\la poderosa.doc", "Abrir Documento")</f>
        <v>0</v>
      </c>
      <c r="D558" t="s">
        <v>23500</v>
      </c>
      <c r="E558" t="s">
        <v>24057</v>
      </c>
    </row>
    <row r="559" spans="1:5">
      <c r="A559" t="s">
        <v>5</v>
      </c>
      <c r="B559" t="s">
        <v>564</v>
      </c>
      <c r="C559">
        <f>HYPERLINK("C:\Users\franc\OneDrive\Documentos\ALIRO\ALIRO\KATHY\ANA LUISA 2010\MANIFESTACIONES\LA HIGUERITA UNA AL CINCO.doc", "Abrir Documento")</f>
        <v>0</v>
      </c>
      <c r="D559" t="s">
        <v>23500</v>
      </c>
      <c r="E559" t="s">
        <v>24058</v>
      </c>
    </row>
    <row r="560" spans="1:5">
      <c r="A560" t="s">
        <v>5</v>
      </c>
      <c r="B560" t="s">
        <v>565</v>
      </c>
      <c r="C560">
        <f>HYPERLINK("C:\Users\franc\OneDrive\Documentos\ALIRO\ALIRO\KATHY\ANA LUISA 2010\MANIFESTACIONES\LA FORTUNA 1 AL 24.doc", "Abrir Documento")</f>
        <v>0</v>
      </c>
      <c r="D560" t="s">
        <v>23500</v>
      </c>
      <c r="E560" t="s">
        <v>24059</v>
      </c>
    </row>
    <row r="561" spans="1:5">
      <c r="A561" t="s">
        <v>5</v>
      </c>
      <c r="B561" t="s">
        <v>566</v>
      </c>
      <c r="C561">
        <f>HYPERLINK("C:\Users\franc\OneDrive\Documentos\ALIRO\ALIRO\KATHY\ANA LUISA 2010\MANIFESTACIONES\LA DICHOSA 1 AL 48.doc", "Abrir Documento")</f>
        <v>0</v>
      </c>
      <c r="D561" t="s">
        <v>23500</v>
      </c>
      <c r="E561" t="s">
        <v>24060</v>
      </c>
    </row>
    <row r="562" spans="1:5">
      <c r="A562" t="s">
        <v>5</v>
      </c>
      <c r="B562" t="s">
        <v>567</v>
      </c>
      <c r="C562">
        <f>HYPERLINK("C:\Users\franc\OneDrive\Documentos\ALIRO\ALIRO\KATHY\ANA LUISA 2010\MANIFESTACIONES\LA COTA VEINTINUEVE 1 AL 30.doc", "Abrir Documento")</f>
        <v>0</v>
      </c>
      <c r="D562" t="s">
        <v>23500</v>
      </c>
      <c r="E562" t="s">
        <v>24061</v>
      </c>
    </row>
    <row r="563" spans="1:5">
      <c r="A563" t="s">
        <v>5</v>
      </c>
      <c r="B563" t="s">
        <v>568</v>
      </c>
      <c r="C563">
        <f>HYPERLINK("C:\Users\franc\OneDrive\Documentos\ALIRO\ALIRO\KATHY\ANA LUISA 2010\MANIFESTACIONES\LA COTA TREINTA Y NUEVE 1 AL 30.doc", "Abrir Documento")</f>
        <v>0</v>
      </c>
      <c r="D563" t="s">
        <v>23500</v>
      </c>
      <c r="E563" t="s">
        <v>24062</v>
      </c>
    </row>
    <row r="564" spans="1:5">
      <c r="A564" t="s">
        <v>5</v>
      </c>
      <c r="B564" t="s">
        <v>569</v>
      </c>
      <c r="C564">
        <f>HYPERLINK("C:\Users\franc\OneDrive\Documentos\ALIRO\ALIRO\KATHY\ANA LUISA 2010\MANIFESTACIONES\LA COTA SESENTA 1 AL 20 (SEGUNDO JUZGADO).doc", "Abrir Documento")</f>
        <v>0</v>
      </c>
      <c r="D564" t="s">
        <v>23500</v>
      </c>
      <c r="E564" t="s">
        <v>24063</v>
      </c>
    </row>
    <row r="565" spans="1:5">
      <c r="A565" t="s">
        <v>5</v>
      </c>
      <c r="B565" t="s">
        <v>570</v>
      </c>
      <c r="C565">
        <f>HYPERLINK("C:\Users\franc\OneDrive\Documentos\ALIRO\ALIRO\KATHY\ANA LUISA 2010\MANIFESTACIONES\LA COTA CUARENTA Y UNO 1 AL 30.doc", "Abrir Documento")</f>
        <v>0</v>
      </c>
      <c r="D565" t="s">
        <v>23500</v>
      </c>
      <c r="E565" t="s">
        <v>24064</v>
      </c>
    </row>
    <row r="566" spans="1:5">
      <c r="A566" t="s">
        <v>5</v>
      </c>
      <c r="B566" t="s">
        <v>571</v>
      </c>
      <c r="C566">
        <f>HYPERLINK("C:\Users\franc\OneDrive\Documentos\ALIRO\ALIRO\KATHY\ANA LUISA 2010\MANIFESTACIONES\LA COTA CUARENTA Y SIETE 1 AL 30 (SEGUNDO JUZGADO).doc", "Abrir Documento")</f>
        <v>0</v>
      </c>
      <c r="D566" t="s">
        <v>23500</v>
      </c>
      <c r="E566" t="s">
        <v>24065</v>
      </c>
    </row>
    <row r="567" spans="1:5">
      <c r="A567" t="s">
        <v>5</v>
      </c>
      <c r="B567" t="s">
        <v>572</v>
      </c>
      <c r="C567">
        <f>HYPERLINK("C:\Users\franc\OneDrive\Documentos\ALIRO\ALIRO\KATHY\ANA LUISA 2010\MANIFESTACIONES\LA COTA CINCUENTA Y SIETE 1 AL 30(SEGUNDO JUZGADO).doc", "Abrir Documento")</f>
        <v>0</v>
      </c>
      <c r="D567" t="s">
        <v>23500</v>
      </c>
      <c r="E567" t="s">
        <v>24066</v>
      </c>
    </row>
    <row r="568" spans="1:5">
      <c r="A568" t="s">
        <v>5</v>
      </c>
      <c r="B568" t="s">
        <v>573</v>
      </c>
      <c r="C568">
        <f>HYPERLINK("C:\Users\franc\OneDrive\Documentos\ALIRO\ALIRO\KATHY\ANA LUISA 2010\MANIFESTACIONES\LA COTA CINCUENTA Y NUEVE 1 AL 30(SEGUNDO JUZGADO).doc", "Abrir Documento")</f>
        <v>0</v>
      </c>
      <c r="D568" t="s">
        <v>23500</v>
      </c>
      <c r="E568" t="s">
        <v>24067</v>
      </c>
    </row>
    <row r="569" spans="1:5">
      <c r="A569" t="s">
        <v>5</v>
      </c>
      <c r="B569" t="s">
        <v>574</v>
      </c>
      <c r="C569">
        <f>HYPERLINK("C:\Users\franc\OneDrive\Documentos\ALIRO\ALIRO\KATHY\ANA LUISA 2010\MANIFESTACIONES\LA BANDOLERA 1 AL 20.doc", "Abrir Documento")</f>
        <v>0</v>
      </c>
      <c r="D569" t="s">
        <v>23500</v>
      </c>
      <c r="E569" t="s">
        <v>24068</v>
      </c>
    </row>
    <row r="570" spans="1:5">
      <c r="A570" t="s">
        <v>5</v>
      </c>
      <c r="B570" t="s">
        <v>575</v>
      </c>
      <c r="C570">
        <f>HYPERLINK("C:\Users\franc\OneDrive\Documentos\ALIRO\ALIRO\KATHY\ANA LUISA 2010\MANIFESTACIONES\LA ALMENDRA 1 AL 10.doc", "Abrir Documento")</f>
        <v>0</v>
      </c>
      <c r="D570" t="s">
        <v>23500</v>
      </c>
      <c r="E570" t="s">
        <v>24069</v>
      </c>
    </row>
    <row r="571" spans="1:5">
      <c r="A571" t="s">
        <v>5</v>
      </c>
      <c r="B571" t="s">
        <v>576</v>
      </c>
      <c r="C571">
        <f>HYPERLINK("C:\Users\franc\OneDrive\Documentos\ALIRO\ALIRO\KATHY\ANA LUISA 2010\MANIFESTACIONES\JUANITA Y YO UNO 1 AL 20.doc", "Abrir Documento")</f>
        <v>0</v>
      </c>
      <c r="D571" t="s">
        <v>23500</v>
      </c>
      <c r="E571" t="s">
        <v>24070</v>
      </c>
    </row>
    <row r="572" spans="1:5">
      <c r="A572" t="s">
        <v>5</v>
      </c>
      <c r="B572" t="s">
        <v>577</v>
      </c>
      <c r="C572">
        <f>HYPERLINK("C:\Users\franc\OneDrive\Documentos\ALIRO\ALIRO\KATHY\ANA LUISA 2010\MANIFESTACIONES\i.doc", "Abrir Documento")</f>
        <v>0</v>
      </c>
      <c r="D572" t="s">
        <v>23500</v>
      </c>
      <c r="E572" t="s">
        <v>24071</v>
      </c>
    </row>
    <row r="573" spans="1:5">
      <c r="A573" t="s">
        <v>5</v>
      </c>
      <c r="B573" t="s">
        <v>578</v>
      </c>
      <c r="C573">
        <f>HYPERLINK("C:\Users\franc\OneDrive\Documentos\ALIRO\ALIRO\KATHY\ANA LUISA 2010\MANIFESTACIONES\HAPI C 9  1 AL 20  -   SEGUNDO JUZGADO OVALLE.doc", "Abrir Documento")</f>
        <v>0</v>
      </c>
      <c r="D573" t="s">
        <v>23500</v>
      </c>
      <c r="E573" t="s">
        <v>24072</v>
      </c>
    </row>
    <row r="574" spans="1:5">
      <c r="A574" t="s">
        <v>5</v>
      </c>
      <c r="B574" t="s">
        <v>579</v>
      </c>
      <c r="C574">
        <f>HYPERLINK("C:\Users\franc\OneDrive\Documentos\ALIRO\ALIRO\KATHY\ANA LUISA 2010\MANIFESTACIONES\HAPI C 8  1 AL 10  -   SEGUNDO JUZGADO OVALLE.doc", "Abrir Documento")</f>
        <v>0</v>
      </c>
      <c r="D574" t="s">
        <v>23500</v>
      </c>
      <c r="E574" t="s">
        <v>24073</v>
      </c>
    </row>
    <row r="575" spans="1:5">
      <c r="A575" t="s">
        <v>5</v>
      </c>
      <c r="B575" t="s">
        <v>580</v>
      </c>
      <c r="C575">
        <f>HYPERLINK("C:\Users\franc\OneDrive\Documentos\ALIRO\ALIRO\KATHY\ANA LUISA 2010\MANIFESTACIONES\HAPI C 6  1 AL 30  -   SEGUNDO JUZGADO OVALLE.doc", "Abrir Documento")</f>
        <v>0</v>
      </c>
      <c r="D575" t="s">
        <v>23500</v>
      </c>
      <c r="E575" t="s">
        <v>24074</v>
      </c>
    </row>
    <row r="576" spans="1:5">
      <c r="A576" t="s">
        <v>5</v>
      </c>
      <c r="B576" t="s">
        <v>581</v>
      </c>
      <c r="C576">
        <f>HYPERLINK("C:\Users\franc\OneDrive\Documentos\ALIRO\ALIRO\KATHY\ANA LUISA 2010\MANIFESTACIONES\HAPI C 14  1 AL 30  -   SEGUNDO JUZGADO OVALLE.doc", "Abrir Documento")</f>
        <v>0</v>
      </c>
      <c r="D576" t="s">
        <v>23500</v>
      </c>
      <c r="E576" t="s">
        <v>24075</v>
      </c>
    </row>
    <row r="577" spans="1:5">
      <c r="A577" t="s">
        <v>5</v>
      </c>
      <c r="B577" t="s">
        <v>582</v>
      </c>
      <c r="C577">
        <f>HYPERLINK("C:\Users\franc\OneDrive\Documentos\ALIRO\ALIRO\KATHY\ANA LUISA 2010\MANIFESTACIONES\HAPI C 12  1 AL 20  -   SEGUNDO JUZGADO OVALLE.doc", "Abrir Documento")</f>
        <v>0</v>
      </c>
      <c r="D577" t="s">
        <v>23500</v>
      </c>
      <c r="E577" t="s">
        <v>24076</v>
      </c>
    </row>
    <row r="578" spans="1:5">
      <c r="A578" t="s">
        <v>5</v>
      </c>
      <c r="B578" t="s">
        <v>583</v>
      </c>
      <c r="C578">
        <f>HYPERLINK("C:\Users\franc\OneDrive\Documentos\ALIRO\ALIRO\KATHY\ANA LUISA 2010\MANIFESTACIONES\HAPI 20  O 1 AL 20  -  SEGUNDO JUZGADO.doc", "Abrir Documento")</f>
        <v>0</v>
      </c>
      <c r="D578" t="s">
        <v>23500</v>
      </c>
      <c r="E578" t="s">
        <v>24077</v>
      </c>
    </row>
    <row r="579" spans="1:5">
      <c r="A579" t="s">
        <v>5</v>
      </c>
      <c r="B579" t="s">
        <v>584</v>
      </c>
      <c r="C579">
        <f>HYPERLINK("C:\Users\franc\OneDrive\Documentos\ALIRO\ALIRO\KATHY\ANA LUISA 2010\MANIFESTACIONES\HAPI 19 O 1 AL 20  -  SEGUNDO JUZGADO.doc", "Abrir Documento")</f>
        <v>0</v>
      </c>
      <c r="D579" t="s">
        <v>23500</v>
      </c>
      <c r="E579" t="s">
        <v>24078</v>
      </c>
    </row>
    <row r="580" spans="1:5">
      <c r="A580" t="s">
        <v>5</v>
      </c>
      <c r="B580" t="s">
        <v>585</v>
      </c>
      <c r="C580">
        <f>HYPERLINK("C:\Users\franc\OneDrive\Documentos\ALIRO\ALIRO\KATHY\ANA LUISA 2010\MANIFESTACIONES\HAPI 17 O 1 AL 20  Segundo Juzgado.doc", "Abrir Documento")</f>
        <v>0</v>
      </c>
      <c r="D580" t="s">
        <v>23500</v>
      </c>
      <c r="E580" t="s">
        <v>24079</v>
      </c>
    </row>
    <row r="581" spans="1:5">
      <c r="A581" t="s">
        <v>5</v>
      </c>
      <c r="B581" t="s">
        <v>586</v>
      </c>
      <c r="C581">
        <f>HYPERLINK("C:\Users\franc\OneDrive\Documentos\ALIRO\ALIRO\KATHY\ANA LUISA 2010\MANIFESTACIONES\GISSEL 1 AL 5    PRIMER JDO.doc", "Abrir Documento")</f>
        <v>0</v>
      </c>
      <c r="D581" t="s">
        <v>23500</v>
      </c>
      <c r="E581" t="s">
        <v>24080</v>
      </c>
    </row>
    <row r="582" spans="1:5">
      <c r="A582" t="s">
        <v>5</v>
      </c>
      <c r="B582" t="s">
        <v>587</v>
      </c>
      <c r="C582">
        <f>HYPERLINK("C:\Users\franc\OneDrive\Documentos\ALIRO\ALIRO\KATHY\ANA LUISA 2010\MANIFESTACIONES\GABRIEL VI, 1 AL 200.doc", "Abrir Documento")</f>
        <v>0</v>
      </c>
      <c r="D582" t="s">
        <v>23500</v>
      </c>
      <c r="E582" t="s">
        <v>24081</v>
      </c>
    </row>
    <row r="583" spans="1:5">
      <c r="A583" t="s">
        <v>5</v>
      </c>
      <c r="B583" t="s">
        <v>588</v>
      </c>
      <c r="C583">
        <f>HYPERLINK("C:\Users\franc\OneDrive\Documentos\ALIRO\ALIRO\KATHY\ANA LUISA 2010\MANIFESTACIONES\GABRIEL V, 1 AL 300.doc", "Abrir Documento")</f>
        <v>0</v>
      </c>
      <c r="D583" t="s">
        <v>23500</v>
      </c>
      <c r="E583" t="s">
        <v>24082</v>
      </c>
    </row>
    <row r="584" spans="1:5">
      <c r="A584" t="s">
        <v>5</v>
      </c>
      <c r="B584" t="s">
        <v>589</v>
      </c>
      <c r="C584">
        <f>HYPERLINK("C:\Users\franc\OneDrive\Documentos\ALIRO\ALIRO\KATHY\ANA LUISA 2010\MANIFESTACIONES\GABRIEL IV, 1 AL 300.doc", "Abrir Documento")</f>
        <v>0</v>
      </c>
      <c r="D584" t="s">
        <v>23500</v>
      </c>
      <c r="E584" t="s">
        <v>24083</v>
      </c>
    </row>
    <row r="585" spans="1:5">
      <c r="A585" t="s">
        <v>5</v>
      </c>
      <c r="B585" t="s">
        <v>590</v>
      </c>
      <c r="C585">
        <f>HYPERLINK("C:\Users\franc\OneDrive\Documentos\ALIRO\ALIRO\KATHY\ANA LUISA 2010\MANIFESTACIONES\FRAGATA UNO A FRAGATA VEINTE.doc", "Abrir Documento")</f>
        <v>0</v>
      </c>
      <c r="D585" t="s">
        <v>23500</v>
      </c>
      <c r="E585" t="s">
        <v>24084</v>
      </c>
    </row>
    <row r="586" spans="1:5">
      <c r="A586" t="s">
        <v>5</v>
      </c>
      <c r="B586" t="s">
        <v>591</v>
      </c>
      <c r="C586">
        <f>HYPERLINK("C:\Users\franc\OneDrive\Documentos\ALIRO\ALIRO\KATHY\ANA LUISA 2010\MANIFESTACIONES\FLOR DEL CERRO 1 AL 100  (SEGUNDO JUZGADO).doc", "Abrir Documento")</f>
        <v>0</v>
      </c>
      <c r="D586" t="s">
        <v>23500</v>
      </c>
      <c r="E586" t="s">
        <v>24085</v>
      </c>
    </row>
    <row r="587" spans="1:5">
      <c r="A587" t="s">
        <v>5</v>
      </c>
      <c r="B587" t="s">
        <v>592</v>
      </c>
      <c r="C587">
        <f>HYPERLINK("C:\Users\franc\OneDrive\Documentos\ALIRO\ALIRO\KATHY\ANA LUISA 2010\MANIFESTACIONES\ESCOBA UNO 1 AL 13.doc", "Abrir Documento")</f>
        <v>0</v>
      </c>
      <c r="D587" t="s">
        <v>23500</v>
      </c>
      <c r="E587" t="s">
        <v>24086</v>
      </c>
    </row>
    <row r="588" spans="1:5">
      <c r="A588" t="s">
        <v>5</v>
      </c>
      <c r="B588" t="s">
        <v>593</v>
      </c>
      <c r="C588">
        <f>HYPERLINK("C:\Users\franc\OneDrive\Documentos\ALIRO\ALIRO\KATHY\ANA LUISA 2010\MANIFESTACIONES\ESCOBA TRES 1 AL 13.doc", "Abrir Documento")</f>
        <v>0</v>
      </c>
      <c r="D588" t="s">
        <v>23500</v>
      </c>
      <c r="E588" t="s">
        <v>24087</v>
      </c>
    </row>
    <row r="589" spans="1:5">
      <c r="A589" t="s">
        <v>5</v>
      </c>
      <c r="B589" t="s">
        <v>594</v>
      </c>
      <c r="C589">
        <f>HYPERLINK("C:\Users\franc\OneDrive\Documentos\ALIRO\ALIRO\KATHY\ANA LUISA 2010\MANIFESTACIONES\ESCOBA TRECE 1 AL 13.doc", "Abrir Documento")</f>
        <v>0</v>
      </c>
      <c r="D589" t="s">
        <v>23500</v>
      </c>
      <c r="E589" t="s">
        <v>24088</v>
      </c>
    </row>
    <row r="590" spans="1:5">
      <c r="A590" t="s">
        <v>5</v>
      </c>
      <c r="B590" t="s">
        <v>595</v>
      </c>
      <c r="C590">
        <f>HYPERLINK("C:\Users\franc\OneDrive\Documentos\ALIRO\ALIRO\KATHY\ANA LUISA 2010\MANIFESTACIONES\ESCOBA SIETE 1 AL 13.doc", "Abrir Documento")</f>
        <v>0</v>
      </c>
      <c r="D590" t="s">
        <v>23500</v>
      </c>
      <c r="E590" t="s">
        <v>24089</v>
      </c>
    </row>
    <row r="591" spans="1:5">
      <c r="A591" t="s">
        <v>5</v>
      </c>
      <c r="B591" t="s">
        <v>596</v>
      </c>
      <c r="C591">
        <f>HYPERLINK("C:\Users\franc\OneDrive\Documentos\ALIRO\ALIRO\KATHY\ANA LUISA 2010\MANIFESTACIONES\ESCOBA SEIS 1 AL 13.doc", "Abrir Documento")</f>
        <v>0</v>
      </c>
      <c r="D591" t="s">
        <v>23500</v>
      </c>
      <c r="E591" t="s">
        <v>24090</v>
      </c>
    </row>
    <row r="592" spans="1:5">
      <c r="A592" t="s">
        <v>5</v>
      </c>
      <c r="B592" t="s">
        <v>597</v>
      </c>
      <c r="C592">
        <f>HYPERLINK("C:\Users\franc\OneDrive\Documentos\ALIRO\ALIRO\KATHY\ANA LUISA 2010\MANIFESTACIONES\ESCOBA ONCE 1 AL 13.doc", "Abrir Documento")</f>
        <v>0</v>
      </c>
      <c r="D592" t="s">
        <v>23500</v>
      </c>
      <c r="E592" t="s">
        <v>24091</v>
      </c>
    </row>
    <row r="593" spans="1:5">
      <c r="A593" t="s">
        <v>5</v>
      </c>
      <c r="B593" t="s">
        <v>598</v>
      </c>
      <c r="C593">
        <f>HYPERLINK("C:\Users\franc\OneDrive\Documentos\ALIRO\ALIRO\KATHY\ANA LUISA 2010\MANIFESTACIONES\ESCOBA OCHO 1 AL 13.doc", "Abrir Documento")</f>
        <v>0</v>
      </c>
      <c r="D593" t="s">
        <v>23500</v>
      </c>
      <c r="E593" t="s">
        <v>24092</v>
      </c>
    </row>
    <row r="594" spans="1:5">
      <c r="A594" t="s">
        <v>5</v>
      </c>
      <c r="B594" t="s">
        <v>599</v>
      </c>
      <c r="C594">
        <f>HYPERLINK("C:\Users\franc\OneDrive\Documentos\ALIRO\ALIRO\KATHY\ANA LUISA 2010\MANIFESTACIONES\ESCOBA NUEVE 1 AL 5.doc", "Abrir Documento")</f>
        <v>0</v>
      </c>
      <c r="D594" t="s">
        <v>23500</v>
      </c>
      <c r="E594" t="s">
        <v>24093</v>
      </c>
    </row>
    <row r="595" spans="1:5">
      <c r="A595" t="s">
        <v>5</v>
      </c>
      <c r="B595" t="s">
        <v>600</v>
      </c>
      <c r="C595">
        <f>HYPERLINK("C:\Users\franc\OneDrive\Documentos\ALIRO\ALIRO\KATHY\ANA LUISA 2010\MANIFESTACIONES\ESCOBA DOS 1 AL 5.doc", "Abrir Documento")</f>
        <v>0</v>
      </c>
      <c r="D595" t="s">
        <v>23500</v>
      </c>
      <c r="E595" t="s">
        <v>24094</v>
      </c>
    </row>
    <row r="596" spans="1:5">
      <c r="A596" t="s">
        <v>5</v>
      </c>
      <c r="B596" t="s">
        <v>601</v>
      </c>
      <c r="C596">
        <f>HYPERLINK("C:\Users\franc\OneDrive\Documentos\ALIRO\ALIRO\KATHY\ANA LUISA 2010\MANIFESTACIONES\ESCOBA DOCE 1 AL 13.doc", "Abrir Documento")</f>
        <v>0</v>
      </c>
      <c r="D596" t="s">
        <v>23500</v>
      </c>
      <c r="E596" t="s">
        <v>24095</v>
      </c>
    </row>
    <row r="597" spans="1:5">
      <c r="A597" t="s">
        <v>5</v>
      </c>
      <c r="B597" t="s">
        <v>602</v>
      </c>
      <c r="C597">
        <f>HYPERLINK("C:\Users\franc\OneDrive\Documentos\ALIRO\ALIRO\KATHY\ANA LUISA 2010\MANIFESTACIONES\ESCOBA DIEZ 1 AL 13.doc", "Abrir Documento")</f>
        <v>0</v>
      </c>
      <c r="D597" t="s">
        <v>23500</v>
      </c>
      <c r="E597" t="s">
        <v>24096</v>
      </c>
    </row>
    <row r="598" spans="1:5">
      <c r="A598" t="s">
        <v>5</v>
      </c>
      <c r="B598" t="s">
        <v>603</v>
      </c>
      <c r="C598">
        <f>HYPERLINK("C:\Users\franc\OneDrive\Documentos\ALIRO\ALIRO\KATHY\ANA LUISA 2010\MANIFESTACIONES\ESCOBA CUATRO 1 AL 13.doc", "Abrir Documento")</f>
        <v>0</v>
      </c>
      <c r="D598" t="s">
        <v>23500</v>
      </c>
      <c r="E598" t="s">
        <v>24097</v>
      </c>
    </row>
    <row r="599" spans="1:5">
      <c r="A599" t="s">
        <v>5</v>
      </c>
      <c r="B599" t="s">
        <v>604</v>
      </c>
      <c r="C599">
        <f>HYPERLINK("C:\Users\franc\OneDrive\Documentos\ALIRO\ALIRO\KATHY\ANA LUISA 2010\MANIFESTACIONES\ESCOBA CINCO 1 AL 13.doc", "Abrir Documento")</f>
        <v>0</v>
      </c>
      <c r="D599" t="s">
        <v>23500</v>
      </c>
      <c r="E599" t="s">
        <v>24098</v>
      </c>
    </row>
    <row r="600" spans="1:5">
      <c r="A600" t="s">
        <v>5</v>
      </c>
      <c r="B600" t="s">
        <v>605</v>
      </c>
      <c r="C600">
        <f>HYPERLINK("C:\Users\franc\OneDrive\Documentos\ALIRO\ALIRO\KATHY\ANA LUISA 2010\MANIFESTACIONES\ESCOBA CATORCE 1 AL 13.doc", "Abrir Documento")</f>
        <v>0</v>
      </c>
      <c r="D600" t="s">
        <v>23500</v>
      </c>
      <c r="E600" t="s">
        <v>24099</v>
      </c>
    </row>
    <row r="601" spans="1:5">
      <c r="A601" t="s">
        <v>5</v>
      </c>
      <c r="B601" t="s">
        <v>606</v>
      </c>
      <c r="C601">
        <f>HYPERLINK("C:\Users\franc\OneDrive\Documentos\ALIRO\ALIRO\KATHY\ANA LUISA 2010\MANIFESTACIONES\EL ACIERTO 7  (PEDIMENTO).doc", "Abrir Documento")</f>
        <v>0</v>
      </c>
      <c r="D601" t="s">
        <v>23500</v>
      </c>
      <c r="E601" t="s">
        <v>24100</v>
      </c>
    </row>
    <row r="602" spans="1:5">
      <c r="A602" t="s">
        <v>5</v>
      </c>
      <c r="B602" t="s">
        <v>607</v>
      </c>
      <c r="C602">
        <f>HYPERLINK("C:\Users\franc\OneDrive\Documentos\ALIRO\ALIRO\KATHY\ANA LUISA 2010\MANIFESTACIONES\EL ACIERTO 6 (PEDIMENTO).doc", "Abrir Documento")</f>
        <v>0</v>
      </c>
      <c r="D602" t="s">
        <v>23500</v>
      </c>
      <c r="E602" t="s">
        <v>24101</v>
      </c>
    </row>
    <row r="603" spans="1:5">
      <c r="A603" t="s">
        <v>5</v>
      </c>
      <c r="B603" t="s">
        <v>608</v>
      </c>
      <c r="C603">
        <f>HYPERLINK("C:\Users\franc\OneDrive\Documentos\ALIRO\ALIRO\KATHY\ANA LUISA 2010\MANIFESTACIONES\DON MARIO.doc", "Abrir Documento")</f>
        <v>0</v>
      </c>
      <c r="D603" t="s">
        <v>23500</v>
      </c>
      <c r="E603" t="s">
        <v>24102</v>
      </c>
    </row>
    <row r="604" spans="1:5">
      <c r="A604" t="s">
        <v>5</v>
      </c>
      <c r="B604" t="s">
        <v>609</v>
      </c>
      <c r="C604">
        <f>HYPERLINK("C:\Users\franc\OneDrive\Documentos\ALIRO\ALIRO\KATHY\ANA LUISA 2010\MANIFESTACIONES\DON MARIO 1 AL 100.doc", "Abrir Documento")</f>
        <v>0</v>
      </c>
      <c r="D604" t="s">
        <v>23500</v>
      </c>
      <c r="E604" t="s">
        <v>24103</v>
      </c>
    </row>
    <row r="605" spans="1:5">
      <c r="A605" t="s">
        <v>5</v>
      </c>
      <c r="B605" t="s">
        <v>610</v>
      </c>
      <c r="C605">
        <f>HYPERLINK("C:\Users\franc\OneDrive\Documentos\ALIRO\ALIRO\KATHY\ANA LUISA 2010\MANIFESTACIONES\DESIERTO 1 AL 24.doc", "Abrir Documento")</f>
        <v>0</v>
      </c>
      <c r="D605" t="s">
        <v>23500</v>
      </c>
      <c r="E605" t="s">
        <v>24104</v>
      </c>
    </row>
    <row r="606" spans="1:5">
      <c r="A606" t="s">
        <v>5</v>
      </c>
      <c r="B606" t="s">
        <v>611</v>
      </c>
      <c r="C606">
        <f>HYPERLINK("C:\Users\franc\OneDrive\Documentos\ALIRO\ALIRO\KATHY\ANA LUISA 2010\MANIFESTACIONES\DADIN CUARENTA Y CUATRO 1 AL 30 .(SEGUNDO JUZGADO).doc", "Abrir Documento")</f>
        <v>0</v>
      </c>
      <c r="D606" t="s">
        <v>23500</v>
      </c>
      <c r="E606" t="s">
        <v>24105</v>
      </c>
    </row>
    <row r="607" spans="1:5">
      <c r="A607" t="s">
        <v>5</v>
      </c>
      <c r="B607" t="s">
        <v>612</v>
      </c>
      <c r="C607">
        <f>HYPERLINK("C:\Users\franc\OneDrive\Documentos\ALIRO\ALIRO\KATHY\ANA LUISA 2010\MANIFESTACIONES\CUNACO UNO, DEL 1 AL 100 (SEGUNDO JUZGADO).doc", "Abrir Documento")</f>
        <v>0</v>
      </c>
      <c r="D607" t="s">
        <v>23500</v>
      </c>
      <c r="E607" t="s">
        <v>24106</v>
      </c>
    </row>
    <row r="608" spans="1:5">
      <c r="A608" t="s">
        <v>5</v>
      </c>
      <c r="B608" t="s">
        <v>613</v>
      </c>
      <c r="C608">
        <f>HYPERLINK("C:\Users\franc\OneDrive\Documentos\ALIRO\ALIRO\KATHY\ANA LUISA 2010\MANIFESTACIONES\CUNACO CUATRO, DEL 1 AL 20 (SEGUNDO JUZGADO).doc", "Abrir Documento")</f>
        <v>0</v>
      </c>
      <c r="D608" t="s">
        <v>23500</v>
      </c>
      <c r="E608" t="s">
        <v>24107</v>
      </c>
    </row>
    <row r="609" spans="1:5">
      <c r="A609" t="s">
        <v>5</v>
      </c>
      <c r="B609" t="s">
        <v>614</v>
      </c>
      <c r="C609">
        <f>HYPERLINK("C:\Users\franc\OneDrive\Documentos\ALIRO\ALIRO\KATHY\ANA LUISA 2010\MANIFESTACIONES\CUMBRE VIII DEL 1 AL 10.doc", "Abrir Documento")</f>
        <v>0</v>
      </c>
      <c r="D609" t="s">
        <v>23500</v>
      </c>
      <c r="E609" t="s">
        <v>24108</v>
      </c>
    </row>
    <row r="610" spans="1:5">
      <c r="A610" t="s">
        <v>5</v>
      </c>
      <c r="B610" t="s">
        <v>615</v>
      </c>
      <c r="C610">
        <f>HYPERLINK("C:\Users\franc\OneDrive\Documentos\ALIRO\ALIRO\KATHY\ANA LUISA 2010\MANIFESTACIONES\CUMBRE III DEL 1 AL 10.doc", "Abrir Documento")</f>
        <v>0</v>
      </c>
      <c r="D610" t="s">
        <v>23500</v>
      </c>
      <c r="E610" t="s">
        <v>24109</v>
      </c>
    </row>
    <row r="611" spans="1:5">
      <c r="A611" t="s">
        <v>5</v>
      </c>
      <c r="B611" t="s">
        <v>616</v>
      </c>
      <c r="C611">
        <f>HYPERLINK("C:\Users\franc\OneDrive\Documentos\ALIRO\ALIRO\KATHY\ANA LUISA 2010\MANIFESTACIONES\CRISOCOLA 1 A 10.doc", "Abrir Documento")</f>
        <v>0</v>
      </c>
      <c r="D611" t="s">
        <v>23500</v>
      </c>
      <c r="E611" t="s">
        <v>24110</v>
      </c>
    </row>
    <row r="612" spans="1:5">
      <c r="A612" t="s">
        <v>5</v>
      </c>
      <c r="B612" t="s">
        <v>617</v>
      </c>
      <c r="C612">
        <f>HYPERLINK("C:\Users\franc\OneDrive\Documentos\ALIRO\ALIRO\KATHY\ANA LUISA 2010\MANIFESTACIONES\COLORADA 1 AL 21.doc", "Abrir Documento")</f>
        <v>0</v>
      </c>
      <c r="D612" t="s">
        <v>23500</v>
      </c>
      <c r="E612" t="s">
        <v>24111</v>
      </c>
    </row>
    <row r="613" spans="1:5">
      <c r="A613" t="s">
        <v>5</v>
      </c>
      <c r="B613" t="s">
        <v>618</v>
      </c>
      <c r="C613">
        <f>HYPERLINK("C:\Users\franc\OneDrive\Documentos\ALIRO\ALIRO\KATHY\ANA LUISA 2010\MANIFESTACIONES\CARMEN II 1 AL 10.doc", "Abrir Documento")</f>
        <v>0</v>
      </c>
      <c r="D613" t="s">
        <v>23500</v>
      </c>
      <c r="E613" t="s">
        <v>24112</v>
      </c>
    </row>
    <row r="614" spans="1:5">
      <c r="A614" t="s">
        <v>5</v>
      </c>
      <c r="B614" t="s">
        <v>619</v>
      </c>
      <c r="C614">
        <f>HYPERLINK("C:\Users\franc\OneDrive\Documentos\ALIRO\ALIRO\KATHY\ANA LUISA 2010\MANIFESTACIONES\BULRREME UNO 1 AL 20(SEGUNDO JUZGADO).doc", "Abrir Documento")</f>
        <v>0</v>
      </c>
      <c r="D614" t="s">
        <v>23500</v>
      </c>
      <c r="E614" t="s">
        <v>24113</v>
      </c>
    </row>
    <row r="615" spans="1:5">
      <c r="A615" t="s">
        <v>5</v>
      </c>
      <c r="B615" t="s">
        <v>620</v>
      </c>
      <c r="C615">
        <f>HYPERLINK("C:\Users\franc\OneDrive\Documentos\ALIRO\ALIRO\KATHY\ANA LUISA 2010\MANIFESTACIONES\BULRREME TRES 1 AL 20(SEGUNDO JUZGADO).doc", "Abrir Documento")</f>
        <v>0</v>
      </c>
      <c r="D615" t="s">
        <v>23500</v>
      </c>
      <c r="E615" t="s">
        <v>24114</v>
      </c>
    </row>
    <row r="616" spans="1:5">
      <c r="A616" t="s">
        <v>5</v>
      </c>
      <c r="B616" t="s">
        <v>621</v>
      </c>
      <c r="C616">
        <f>HYPERLINK("C:\Users\franc\OneDrive\Documentos\ALIRO\ALIRO\KATHY\ANA LUISA 2010\MANIFESTACIONES\BARTOLA 1 A 5.doc", "Abrir Documento")</f>
        <v>0</v>
      </c>
      <c r="D616" t="s">
        <v>23500</v>
      </c>
      <c r="E616" t="s">
        <v>24115</v>
      </c>
    </row>
    <row r="617" spans="1:5">
      <c r="A617" t="s">
        <v>5</v>
      </c>
      <c r="B617" t="s">
        <v>622</v>
      </c>
      <c r="C617">
        <f>HYPERLINK("C:\Users\franc\OneDrive\Documentos\ALIRO\ALIRO\KATHY\ANA LUISA 2010\MANIFESTACIONES\BANDURRIAS IV DEL 1 AL 20.doc", "Abrir Documento")</f>
        <v>0</v>
      </c>
      <c r="D617" t="s">
        <v>23500</v>
      </c>
      <c r="E617" t="s">
        <v>24116</v>
      </c>
    </row>
    <row r="618" spans="1:5">
      <c r="A618" t="s">
        <v>5</v>
      </c>
      <c r="B618" t="s">
        <v>623</v>
      </c>
      <c r="C618">
        <f>HYPERLINK("C:\Users\franc\OneDrive\Documentos\ALIRO\ALIRO\KATHY\ANA LUISA 2010\MANIFESTACIONES\BANDURRIAS III DEL 1 AL 20.doc", "Abrir Documento")</f>
        <v>0</v>
      </c>
      <c r="D618" t="s">
        <v>23500</v>
      </c>
      <c r="E618" t="s">
        <v>24117</v>
      </c>
    </row>
    <row r="619" spans="1:5">
      <c r="A619" t="s">
        <v>5</v>
      </c>
      <c r="B619" t="s">
        <v>624</v>
      </c>
      <c r="C619">
        <f>HYPERLINK("C:\Users\franc\OneDrive\Documentos\ALIRO\ALIRO\KATHY\ANA LUISA 2010\MANIFESTACIONES\BANDURRIAS II DEL 1 AL 20.doc", "Abrir Documento")</f>
        <v>0</v>
      </c>
      <c r="D619" t="s">
        <v>23500</v>
      </c>
      <c r="E619" t="s">
        <v>24118</v>
      </c>
    </row>
    <row r="620" spans="1:5">
      <c r="A620" t="s">
        <v>5</v>
      </c>
      <c r="B620" t="s">
        <v>625</v>
      </c>
      <c r="C620">
        <f>HYPERLINK("C:\Users\franc\OneDrive\Documentos\ALIRO\ALIRO\KATHY\ANA LUISA 2010\HIPOTECAS\SERVIDUMBRE COMPAÑIA MINERA PUNITAQUI SCM - CINABRIO 28-50.doc", "Abrir Documento")</f>
        <v>0</v>
      </c>
      <c r="D620" t="s">
        <v>23500</v>
      </c>
      <c r="E620" t="s">
        <v>24119</v>
      </c>
    </row>
    <row r="621" spans="1:5">
      <c r="A621" t="s">
        <v>5</v>
      </c>
      <c r="B621" t="s">
        <v>626</v>
      </c>
      <c r="C621">
        <f>HYPERLINK("C:\Users\franc\OneDrive\Documentos\ALIRO\ALIRO\KATHY\ANA LUISA 2010\MANIFESTACIONES\BANDURRIAS I DEL 1 AL 20.doc", "Abrir Documento")</f>
        <v>0</v>
      </c>
      <c r="D621" t="s">
        <v>23500</v>
      </c>
      <c r="E621" t="s">
        <v>24120</v>
      </c>
    </row>
    <row r="622" spans="1:5">
      <c r="A622" t="s">
        <v>5</v>
      </c>
      <c r="B622" t="s">
        <v>627</v>
      </c>
      <c r="C622">
        <f>HYPERLINK("C:\Users\franc\OneDrive\Documentos\ALIRO\ALIRO\KATHY\ANA LUISA 2010\MANIFESTACIONES\ATILA C 3  1 AL 20  -   SEGUNDO JUZGADO OVALLE.doc", "Abrir Documento")</f>
        <v>0</v>
      </c>
      <c r="D622" t="s">
        <v>23500</v>
      </c>
      <c r="E622" t="s">
        <v>24121</v>
      </c>
    </row>
    <row r="623" spans="1:5">
      <c r="A623" t="s">
        <v>5</v>
      </c>
      <c r="B623" t="s">
        <v>628</v>
      </c>
      <c r="C623">
        <f>HYPERLINK("C:\Users\franc\OneDrive\Documentos\ALIRO\ALIRO\KATHY\ANA LUISA 2010\MANIFESTACIONES\ATILA 1 AL 5.doc", "Abrir Documento")</f>
        <v>0</v>
      </c>
      <c r="D623" t="s">
        <v>23500</v>
      </c>
      <c r="E623" t="s">
        <v>24122</v>
      </c>
    </row>
    <row r="624" spans="1:5">
      <c r="A624" t="s">
        <v>5</v>
      </c>
      <c r="B624" t="s">
        <v>629</v>
      </c>
      <c r="C624">
        <f>HYPERLINK("C:\Users\franc\OneDrive\Documentos\ALIRO\ALIRO\KATHY\ANA LUISA 2010\MANIFESTACIONES\ATILA 1 0  1 AL 20  -  SEGUNDO JUZGADO.doc", "Abrir Documento")</f>
        <v>0</v>
      </c>
      <c r="D624" t="s">
        <v>23500</v>
      </c>
      <c r="E624" t="s">
        <v>24123</v>
      </c>
    </row>
    <row r="625" spans="1:5">
      <c r="A625" t="s">
        <v>5</v>
      </c>
      <c r="B625" t="s">
        <v>630</v>
      </c>
      <c r="C625">
        <f>HYPERLINK("C:\Users\franc\OneDrive\Documentos\ALIRO\ALIRO\KATHY\ANA LUISA 2010\MANIFESTACIONES\ANA LUISA III, 1 AL 300.doc", "Abrir Documento")</f>
        <v>0</v>
      </c>
      <c r="D625" t="s">
        <v>23500</v>
      </c>
      <c r="E625" t="s">
        <v>24124</v>
      </c>
    </row>
    <row r="626" spans="1:5">
      <c r="A626" t="s">
        <v>5</v>
      </c>
      <c r="B626" t="s">
        <v>631</v>
      </c>
      <c r="C626">
        <f>HYPERLINK("C:\Users\franc\OneDrive\Documentos\ALIRO\ALIRO\KATHY\ANA LUISA 2010\HIPOTECAS\VALE 1 AL 38 - ENAMI.doc", "Abrir Documento")</f>
        <v>0</v>
      </c>
      <c r="D626" t="s">
        <v>23500</v>
      </c>
      <c r="E626" t="s">
        <v>24125</v>
      </c>
    </row>
    <row r="627" spans="1:5">
      <c r="A627" t="s">
        <v>5</v>
      </c>
      <c r="B627" t="s">
        <v>632</v>
      </c>
      <c r="C627">
        <f>HYPERLINK("C:\Users\franc\OneDrive\Documentos\ALIRO\ALIRO\KATHY\ANA LUISA 2010\HIPOTECAS\TERMINO DE ARRENDAMIENTO LA SATAN 1 AL 20.doc", "Abrir Documento")</f>
        <v>0</v>
      </c>
      <c r="D627" t="s">
        <v>23500</v>
      </c>
      <c r="E627" t="s">
        <v>24126</v>
      </c>
    </row>
    <row r="628" spans="1:5">
      <c r="A628" t="s">
        <v>5</v>
      </c>
      <c r="B628" t="s">
        <v>633</v>
      </c>
      <c r="C628">
        <f>HYPERLINK("C:\Users\franc\OneDrive\Documentos\ALIRO\ALIRO\KATHY\ANA LUISA 2010\HIPOTECAS\TERMINO ANTICIPADO CONTRATO DE ARRENDAMIENTO LA AURORITA 1 AL 10.doc", "Abrir Documento")</f>
        <v>0</v>
      </c>
      <c r="D628" t="s">
        <v>23500</v>
      </c>
      <c r="E628" t="s">
        <v>24127</v>
      </c>
    </row>
    <row r="629" spans="1:5">
      <c r="A629" t="s">
        <v>5</v>
      </c>
      <c r="B629" t="s">
        <v>634</v>
      </c>
      <c r="C629">
        <f>HYPERLINK("C:\Users\franc\OneDrive\Documentos\ALIRO\ALIRO\KATHY\ANA LUISA 2010\HIPOTECAS\SERVIDUMBRE PANAL II  1 AL 10   Y  PANAL III  1 AL 10  -  ANGLO AMERICAN NORTE S.A.  -  ENAMI.doc", "Abrir Documento")</f>
        <v>0</v>
      </c>
      <c r="D629" t="s">
        <v>23500</v>
      </c>
      <c r="E629" t="s">
        <v>24128</v>
      </c>
    </row>
    <row r="630" spans="1:5">
      <c r="A630" t="s">
        <v>5</v>
      </c>
      <c r="B630" t="s">
        <v>635</v>
      </c>
      <c r="C630">
        <f>HYPERLINK("C:\Users\franc\OneDrive\Documentos\ALIRO\ALIRO\KATHY\ANA LUISA 2010\HIPOTECAS\SERVIDUMBRE NEGATIVA SOCIEDAD CONTRACTUAL MINERA TALCA Y ATACAMA ENERGY HOLDINGS SpA.-RINCÓN UNO AL DIECINUEVE.doc", "Abrir Documento")</f>
        <v>0</v>
      </c>
      <c r="D630" t="s">
        <v>23500</v>
      </c>
      <c r="E630" t="s">
        <v>24129</v>
      </c>
    </row>
    <row r="631" spans="1:5">
      <c r="A631" t="s">
        <v>5</v>
      </c>
      <c r="B631" t="s">
        <v>636</v>
      </c>
      <c r="C631">
        <f>HYPERLINK("C:\Users\franc\OneDrive\Documentos\ALIRO\ALIRO\KATHY\ANA LUISA 2010\HIPOTECAS\SERVIDUMBRE NEGATIVA SOCIEDAD CONTRACTUAL MINERA TALCA Y ATACAMA ENERGY HOLDINGS SpA.-NIEBLA UNO AL DOCE.doc", "Abrir Documento")</f>
        <v>0</v>
      </c>
      <c r="D631" t="s">
        <v>23500</v>
      </c>
      <c r="E631" t="s">
        <v>24130</v>
      </c>
    </row>
    <row r="632" spans="1:5">
      <c r="A632" t="s">
        <v>5</v>
      </c>
      <c r="B632" t="s">
        <v>637</v>
      </c>
      <c r="C632">
        <f>HYPERLINK("C:\Users\franc\OneDrive\Documentos\ALIRO\ALIRO\KATHY\ANA LUISA 2010\HIPOTECAS\SERVIDUMBRE NEGATIVA SOCIEDAD CONTRACTUAL MINERA TALCA Y ATACAMA ENERGY HOLDINGS SpA.-NIEBLA TRECE AL SESENTA Y CUATRO.doc", "Abrir Documento")</f>
        <v>0</v>
      </c>
      <c r="D632" t="s">
        <v>23500</v>
      </c>
      <c r="E632" t="s">
        <v>24131</v>
      </c>
    </row>
    <row r="633" spans="1:5">
      <c r="A633" t="s">
        <v>5</v>
      </c>
      <c r="B633" t="s">
        <v>638</v>
      </c>
      <c r="C633">
        <f>HYPERLINK("C:\Users\franc\OneDrive\Documentos\ALIRO\ALIRO\KATHY\ANA LUISA 2010\HIPOTECAS\SERVIDUMBRE NEGATIVA SOCIEDAD CONTRACTUAL MINERA TALCA Y ATACAMA ENERGY HOLDINGS SpA.-NIEBLA SUR UNO AL SESENTA Y DOS.doc", "Abrir Documento")</f>
        <v>0</v>
      </c>
      <c r="D633" t="s">
        <v>23500</v>
      </c>
      <c r="E633" t="s">
        <v>24132</v>
      </c>
    </row>
    <row r="634" spans="1:5">
      <c r="A634" t="s">
        <v>5</v>
      </c>
      <c r="B634" t="s">
        <v>639</v>
      </c>
      <c r="C634">
        <f>HYPERLINK("C:\Users\franc\OneDrive\Documentos\ALIRO\ALIRO\KATHY\ANA LUISA 2010\HIPOTECAS\SERVIDUMBRE NEGATIVA SOCIEDAD CONTRACTUAL MINERA TALCA Y ATACAMA ENERGY HOLDINGS SpA.-LA ROSQUITA SEGUNDA, UNO AL NUEVE (Reparado).doc", "Abrir Documento")</f>
        <v>0</v>
      </c>
      <c r="D634" t="s">
        <v>23500</v>
      </c>
      <c r="E634" t="s">
        <v>24133</v>
      </c>
    </row>
    <row r="635" spans="1:5">
      <c r="A635" t="s">
        <v>5</v>
      </c>
      <c r="B635" t="s">
        <v>640</v>
      </c>
      <c r="C635">
        <f>HYPERLINK("C:\Users\franc\OneDrive\Documentos\ALIRO\ALIRO\KATHY\ANA LUISA 2010\HIPOTECAS\SERVIDUMBRE NEGATIVA SOCIEDAD CONTRACTUAL MINERA TALCA Y ATACAMA ENERGY HOLDINGS SpA.-DON RÁUL, 1 AL 50.doc", "Abrir Documento")</f>
        <v>0</v>
      </c>
      <c r="D635" t="s">
        <v>23500</v>
      </c>
      <c r="E635" t="s">
        <v>24134</v>
      </c>
    </row>
    <row r="636" spans="1:5">
      <c r="A636" t="s">
        <v>5</v>
      </c>
      <c r="B636" t="s">
        <v>641</v>
      </c>
      <c r="C636">
        <f>HYPERLINK("C:\Users\franc\OneDrive\Documentos\ALIRO\ALIRO\KATHY\ANA LUISA 2010\HIPOTECAS\SERVIDUMBRE NEGATIVA SOCIEDAD AGRICOLA LOS ÑISÑILES LIMITADA A IMELSA S.A. - LOS PIMIENTOS 1 AL 52.doc", "Abrir Documento")</f>
        <v>0</v>
      </c>
      <c r="D636" t="s">
        <v>23500</v>
      </c>
      <c r="E636" t="s">
        <v>24135</v>
      </c>
    </row>
    <row r="637" spans="1:5">
      <c r="A637" t="s">
        <v>5</v>
      </c>
      <c r="B637" t="s">
        <v>642</v>
      </c>
      <c r="C637">
        <f>HYPERLINK("C:\Users\franc\OneDrive\Documentos\ALIRO\ALIRO\KATHY\ANA LUISA 2010\HIPOTECAS\SERVIDUMBRE NEGATIVA SOCIEDAD AGRICOLA LOS ÑISÑILES LIMITADA A IMELSA S.A. - LOS LLANOS 1 AL 60.doc", "Abrir Documento")</f>
        <v>0</v>
      </c>
      <c r="D637" t="s">
        <v>23500</v>
      </c>
      <c r="E637" t="s">
        <v>24136</v>
      </c>
    </row>
    <row r="638" spans="1:5">
      <c r="A638" t="s">
        <v>5</v>
      </c>
      <c r="B638" t="s">
        <v>643</v>
      </c>
      <c r="C638">
        <f>HYPERLINK("C:\Users\franc\OneDrive\Documentos\ALIRO\ALIRO\KATHY\ANA LUISA 2010\HIPOTECAS\SERVIDUMBRE NEGATIVA RENOVALIA CHILE NUEVE SpA A LAS MOLLACAS SpA - ROCIO DOS, 1 AL 20.doc", "Abrir Documento")</f>
        <v>0</v>
      </c>
      <c r="D638" t="s">
        <v>23500</v>
      </c>
      <c r="E638" t="s">
        <v>24137</v>
      </c>
    </row>
    <row r="639" spans="1:5">
      <c r="A639" t="s">
        <v>5</v>
      </c>
      <c r="B639" t="s">
        <v>644</v>
      </c>
      <c r="C639">
        <f>HYPERLINK("C:\Users\franc\OneDrive\Documentos\ALIRO\ALIRO\KATHY\ANA LUISA 2010\HIPOTECAS\SERVIDUMBRE NEGATIVA HACIENDAS TALINAY S.A. A PARQUE EÓLICO PUNTA DE TALCA SpA - SOFIA 60 AB 1 AL 201 Y OTRAS.doc", "Abrir Documento")</f>
        <v>0</v>
      </c>
      <c r="D639" t="s">
        <v>23500</v>
      </c>
      <c r="E639" t="s">
        <v>24138</v>
      </c>
    </row>
    <row r="640" spans="1:5">
      <c r="A640" t="s">
        <v>5</v>
      </c>
      <c r="B640" t="s">
        <v>645</v>
      </c>
      <c r="C640">
        <f>HYPERLINK("C:\Users\franc\OneDrive\Documentos\ALIRO\ALIRO\KATHY\ANA LUISA 2010\HIPOTECAS\SERVIDUMBRE NEGATIVA HACIENDAS TALINAY S.A. A PARQUE EÓLICO PUNTA DE TALCA SpA - ORIENTE DE TALINAY 16 D Y OTRAS.doc", "Abrir Documento")</f>
        <v>0</v>
      </c>
      <c r="D640" t="s">
        <v>23500</v>
      </c>
      <c r="E640" t="s">
        <v>24139</v>
      </c>
    </row>
    <row r="641" spans="1:5">
      <c r="A641" t="s">
        <v>5</v>
      </c>
      <c r="B641" t="s">
        <v>646</v>
      </c>
      <c r="C641">
        <f>HYPERLINK("C:\Users\franc\OneDrive\Documentos\ALIRO\ALIRO\KATHY\ANA LUISA 2010\HIPOTECAS\SERVIDUMBRE NEGATIVA CELTIC SOLAR GROUP SpA A CAMARICO SOLAR DOS SpA - CAMARINCO VI 1 AL 7 Y LOS OLIVOS NUEVE.doc", "Abrir Documento")</f>
        <v>0</v>
      </c>
      <c r="D641" t="s">
        <v>23500</v>
      </c>
      <c r="E641" t="s">
        <v>24140</v>
      </c>
    </row>
    <row r="642" spans="1:5">
      <c r="A642" t="s">
        <v>5</v>
      </c>
      <c r="B642" t="s">
        <v>647</v>
      </c>
      <c r="C642">
        <f>HYPERLINK("C:\Users\franc\OneDrive\Documentos\ALIRO\ALIRO\KATHY\ANA LUISA 2010\HIPOTECAS\SERVIDUMBRE NEGATIVA CELTIC SOLAR GROUP SpA A CAMARICO SOLAR DOS SpA - CAMARINCO III 1 AL 10.-V3.doc", "Abrir Documento")</f>
        <v>0</v>
      </c>
      <c r="D642" t="s">
        <v>23500</v>
      </c>
      <c r="E642" t="s">
        <v>24141</v>
      </c>
    </row>
    <row r="643" spans="1:5">
      <c r="A643" t="s">
        <v>5</v>
      </c>
      <c r="B643" t="s">
        <v>648</v>
      </c>
      <c r="C643">
        <f>HYPERLINK("C:\Users\franc\OneDrive\Documentos\ALIRO\ALIRO\KATHY\ANA LUISA 2010\HIPOTECAS\SERVIDUMBRE LOMAS I, II Y IV - CRISTIAN RUIZ-TAGLE - SOC. AG. Y GAN. RIO NEGRO LTDACOMPAÑIA MINERA PUNITAQUI SCM - CINABRIO 28-50.doc", "Abrir Documento")</f>
        <v>0</v>
      </c>
      <c r="D643" t="s">
        <v>23500</v>
      </c>
      <c r="E643" t="s">
        <v>24142</v>
      </c>
    </row>
    <row r="644" spans="1:5">
      <c r="A644" t="s">
        <v>5</v>
      </c>
      <c r="B644" t="s">
        <v>649</v>
      </c>
      <c r="C644">
        <f>HYPERLINK("C:\Users\franc\OneDrive\Documentos\ALIRO\ALIRO\KATHY\ANA LUISA 2010\HIPOTECAS\SERVIDUMBRE EL DORADO CENTRO 1 AL 10 Y OTRAS.doc", "Abrir Documento")</f>
        <v>0</v>
      </c>
      <c r="D644" t="s">
        <v>23500</v>
      </c>
      <c r="E644" t="s">
        <v>24143</v>
      </c>
    </row>
    <row r="645" spans="1:5">
      <c r="A645" t="s">
        <v>5</v>
      </c>
      <c r="B645" t="s">
        <v>650</v>
      </c>
      <c r="C645">
        <f>HYPERLINK("C:\Users\franc\OneDrive\Documentos\ALIRO\ALIRO\KATHY\ANA LUISA 2010\HIPOTECAS\SERVIDUMBRE DALMACIA Y ARCO IRIS.doc", "Abrir Documento")</f>
        <v>0</v>
      </c>
      <c r="D645" t="s">
        <v>23500</v>
      </c>
      <c r="E645" t="s">
        <v>24144</v>
      </c>
    </row>
    <row r="646" spans="1:5">
      <c r="A646" t="s">
        <v>5</v>
      </c>
      <c r="B646" t="s">
        <v>651</v>
      </c>
      <c r="C646">
        <f>HYPERLINK("C:\Users\franc\OneDrive\Documentos\ALIRO\ALIRO\KATHY\ANA LUISA 2010\HIPOTECAS\SERVIDUMBRE COMUNIDAD AGRICOLA PUNITAQUI.doc", "Abrir Documento")</f>
        <v>0</v>
      </c>
      <c r="D646" t="s">
        <v>23500</v>
      </c>
      <c r="E646" t="s">
        <v>24145</v>
      </c>
    </row>
    <row r="647" spans="1:5">
      <c r="A647" t="s">
        <v>5</v>
      </c>
      <c r="B647" t="s">
        <v>652</v>
      </c>
      <c r="C647">
        <f>HYPERLINK("C:\Users\franc\OneDrive\Documentos\ALIRO\ALIRO\KATHY\ANA LUISA 2010\HIPOTECAS\SERVIDUMBRE COMUNIDAD AGRICOLA PUNITAQUI A CIA MRA. TAMAYA SCM Y CIA MRA LOS MANTOS SCM.doc", "Abrir Documento")</f>
        <v>0</v>
      </c>
      <c r="D647" t="s">
        <v>23500</v>
      </c>
      <c r="E647" t="s">
        <v>24146</v>
      </c>
    </row>
    <row r="648" spans="1:5">
      <c r="A648" t="s">
        <v>5</v>
      </c>
      <c r="B648" t="s">
        <v>653</v>
      </c>
      <c r="C648">
        <f>HYPERLINK("C:\Users\franc\OneDrive\Documentos\ALIRO\ALIRO\KATHY\ANA LUISA 2010\HIPOTECAS\SERVIDUMBRE COMUNIDAD AGR. PUNITAQUI A CIA MINERA TAMAYA SCM Y OTRA - ULTIMA.doc", "Abrir Documento")</f>
        <v>0</v>
      </c>
      <c r="D648" t="s">
        <v>23500</v>
      </c>
      <c r="E648" t="s">
        <v>24147</v>
      </c>
    </row>
    <row r="649" spans="1:5">
      <c r="A649" t="s">
        <v>5</v>
      </c>
      <c r="B649" t="s">
        <v>654</v>
      </c>
      <c r="C649">
        <f>HYPERLINK("C:\Users\franc\OneDrive\Documentos\ALIRO\ALIRO\KATHY\ANA LUISA 2010\HIPOTECAS\SANTA CLARA 1 AL 2.doc", "Abrir Documento")</f>
        <v>0</v>
      </c>
      <c r="D649" t="s">
        <v>23501</v>
      </c>
      <c r="E649" t="s">
        <v>24148</v>
      </c>
    </row>
    <row r="650" spans="1:5">
      <c r="A650" t="s">
        <v>5</v>
      </c>
      <c r="B650" t="s">
        <v>655</v>
      </c>
      <c r="C650">
        <f>HYPERLINK("C:\Users\franc\OneDrive\Documentos\ALIRO\ALIRO\KATHY\ANA LUISA 2010\HIPOTECAS\ROSITA UNA A SEIS.doc", "Abrir Documento")</f>
        <v>0</v>
      </c>
      <c r="D650" t="s">
        <v>23500</v>
      </c>
      <c r="E650" t="s">
        <v>24149</v>
      </c>
    </row>
    <row r="651" spans="1:5">
      <c r="A651" t="s">
        <v>5</v>
      </c>
      <c r="B651" t="s">
        <v>656</v>
      </c>
      <c r="C651">
        <f>HYPERLINK("C:\Users\franc\OneDrive\Documentos\ALIRO\ALIRO\KATHY\ANA LUISA 2010\HIPOTECAS\MODELO.doc", "Abrir Documento")</f>
        <v>0</v>
      </c>
      <c r="D651" t="s">
        <v>23501</v>
      </c>
      <c r="E651" t="s">
        <v>24150</v>
      </c>
    </row>
    <row r="652" spans="1:5">
      <c r="A652" t="s">
        <v>5</v>
      </c>
      <c r="B652" t="s">
        <v>657</v>
      </c>
      <c r="C652">
        <f>HYPERLINK("C:\Users\franc\OneDrive\Documentos\ALIRO\ALIRO\KATHY\ANA LUISA 2010\HIPOTECAS\MIODIFICACION CONTRATO DE EXPLOTACION MINERA  -  ALTO DEL VALLE 1 AL 5.doc", "Abrir Documento")</f>
        <v>0</v>
      </c>
      <c r="D652" t="s">
        <v>23501</v>
      </c>
      <c r="E652" t="s">
        <v>24151</v>
      </c>
    </row>
    <row r="653" spans="1:5">
      <c r="A653" t="s">
        <v>5</v>
      </c>
      <c r="B653" t="s">
        <v>658</v>
      </c>
      <c r="C653">
        <f>HYPERLINK("C:\Users\franc\OneDrive\Documentos\ALIRO\ALIRO\KATHY\ANA LUISA 2010\HIPOTECAS\MINA INSIENSO 1 AL 20.- ENAMI.doc", "Abrir Documento")</f>
        <v>0</v>
      </c>
      <c r="D653" t="s">
        <v>23501</v>
      </c>
      <c r="E653" t="s">
        <v>24152</v>
      </c>
    </row>
    <row r="654" spans="1:5">
      <c r="A654" t="s">
        <v>5</v>
      </c>
      <c r="B654" t="s">
        <v>659</v>
      </c>
      <c r="C654">
        <f>HYPERLINK("C:\Users\franc\OneDrive\Documentos\ALIRO\ALIRO\KATHY\ANA LUISA 2010\HIPOTECAS\MINA INSIENSO 1 AL 20 - ENAMI.doc", "Abrir Documento")</f>
        <v>0</v>
      </c>
      <c r="D654" t="s">
        <v>23501</v>
      </c>
      <c r="E654" t="s">
        <v>24153</v>
      </c>
    </row>
    <row r="655" spans="1:5">
      <c r="A655" t="s">
        <v>5</v>
      </c>
      <c r="B655" t="s">
        <v>660</v>
      </c>
      <c r="C655">
        <f>HYPERLINK("C:\Users\franc\OneDrive\Documentos\ALIRO\ALIRO\KATHY\ANA LUISA 2010\HIPOTECAS\MARÍA MERCEDES 1 AL 10 - ENAMI.doc", "Abrir Documento")</f>
        <v>0</v>
      </c>
      <c r="D655" t="s">
        <v>23501</v>
      </c>
      <c r="E655" t="s">
        <v>24154</v>
      </c>
    </row>
    <row r="656" spans="1:5">
      <c r="A656" t="s">
        <v>5</v>
      </c>
      <c r="B656" t="s">
        <v>661</v>
      </c>
      <c r="C656">
        <f>HYPERLINK("C:\Users\franc\OneDrive\Documentos\ALIRO\ALIRO\KATHY\ANA LUISA 2010\HIPOTECAS\LA CAÑA UNO A LA CAÑA DIEZ - ENAMI.doc", "Abrir Documento")</f>
        <v>0</v>
      </c>
      <c r="D656" t="s">
        <v>23501</v>
      </c>
      <c r="E656" t="s">
        <v>24155</v>
      </c>
    </row>
    <row r="657" spans="1:5">
      <c r="A657" t="s">
        <v>5</v>
      </c>
      <c r="B657" t="s">
        <v>662</v>
      </c>
      <c r="C657">
        <f>HYPERLINK("C:\Users\franc\OneDrive\Documentos\ALIRO\ALIRO\KATHY\ANA LUISA 2010\HIPOTECAS\LA CARZA GRANDE UNA AL CINCO.doc", "Abrir Documento")</f>
        <v>0</v>
      </c>
      <c r="D657" t="s">
        <v>23501</v>
      </c>
      <c r="E657" t="s">
        <v>24156</v>
      </c>
    </row>
    <row r="658" spans="1:5">
      <c r="A658" t="s">
        <v>5</v>
      </c>
      <c r="B658" t="s">
        <v>663</v>
      </c>
      <c r="C658">
        <f>HYPERLINK("C:\Users\franc\OneDrive\Documentos\ALIRO\ALIRO\KATHY\ANA LUISA 2010\HIPOTECAS\FLOR DE ESPINO 1 AL 5 - ENAMI.doc", "Abrir Documento")</f>
        <v>0</v>
      </c>
      <c r="D658" t="s">
        <v>23501</v>
      </c>
      <c r="E658" t="s">
        <v>24157</v>
      </c>
    </row>
    <row r="659" spans="1:5">
      <c r="A659" t="s">
        <v>5</v>
      </c>
      <c r="B659" t="s">
        <v>664</v>
      </c>
      <c r="C659">
        <f>HYPERLINK("C:\Users\franc\OneDrive\Documentos\ALIRO\ALIRO\KATHY\ANA LUISA 2010\HIPOTECAS\BONIE 1 AL 5     ENAMI.doc", "Abrir Documento")</f>
        <v>0</v>
      </c>
      <c r="D659" t="s">
        <v>23501</v>
      </c>
      <c r="E659" t="s">
        <v>24158</v>
      </c>
    </row>
    <row r="660" spans="1:5">
      <c r="A660" t="s">
        <v>5</v>
      </c>
      <c r="B660" t="s">
        <v>665</v>
      </c>
      <c r="C660">
        <f>HYPERLINK("C:\Users\franc\OneDrive\Documentos\ALIRO\ALIRO\KATHY\ANA LUISA 2010\HIPOTECAS\17.doc", "Abrir Documento")</f>
        <v>0</v>
      </c>
      <c r="D660" t="s">
        <v>23501</v>
      </c>
      <c r="E660" t="s">
        <v>24159</v>
      </c>
    </row>
    <row r="661" spans="1:5">
      <c r="A661" t="s">
        <v>5</v>
      </c>
      <c r="B661" t="s">
        <v>666</v>
      </c>
      <c r="C661">
        <f>HYPERLINK("C:\Users\franc\OneDrive\Documentos\ALIRO\ALIRO\KATHY\ANA LUISA 2010\HIPOTECAS\1.doc", "Abrir Documento")</f>
        <v>0</v>
      </c>
      <c r="D661" t="s">
        <v>23501</v>
      </c>
      <c r="E661" t="s">
        <v>24160</v>
      </c>
    </row>
    <row r="662" spans="1:5">
      <c r="A662" t="s">
        <v>5</v>
      </c>
      <c r="B662" t="s">
        <v>667</v>
      </c>
      <c r="C662">
        <f>HYPERLINK("C:\Users\franc\OneDrive\Documentos\ALIRO\ALIRO\KATHY\ANA LUISA 2010\CONCESION DE EXPLORACION\DOÑA CLEMENTINA  --  PRIMER JUZGADO.doc", "Abrir Documento")</f>
        <v>0</v>
      </c>
      <c r="D662" t="s">
        <v>23500</v>
      </c>
      <c r="E662" t="s">
        <v>24161</v>
      </c>
    </row>
    <row r="663" spans="1:5">
      <c r="A663" t="s">
        <v>5</v>
      </c>
      <c r="B663" t="s">
        <v>668</v>
      </c>
      <c r="C663">
        <f>HYPERLINK("C:\Users\franc\OneDrive\Documentos\ALIRO\ALIRO\KATHY\ANA LUISA 2010\COMPRAVENTA DE PERTENENCIAS MINERAS\RENDICION DE CUENTAS   -   DON DOMINGO  - CONCESION DE EXPLORACION.doc", "Abrir Documento")</f>
        <v>0</v>
      </c>
      <c r="D663" t="s">
        <v>23500</v>
      </c>
      <c r="E663" t="s">
        <v>24162</v>
      </c>
    </row>
    <row r="664" spans="1:5">
      <c r="A664" t="s">
        <v>5</v>
      </c>
      <c r="B664" t="s">
        <v>669</v>
      </c>
      <c r="C664">
        <f>HYPERLINK("C:\Users\franc\OneDrive\Documentos\ALIRO\ALIRO\KATHY\ANA LUISA 2010\COMPRAVENTA DE PERTENENCIAS MINERAS\nancy.doc", "Abrir Documento")</f>
        <v>0</v>
      </c>
      <c r="D664" t="s">
        <v>23500</v>
      </c>
      <c r="E664" t="s">
        <v>24163</v>
      </c>
    </row>
    <row r="665" spans="1:5">
      <c r="A665" t="s">
        <v>5</v>
      </c>
      <c r="B665" t="s">
        <v>670</v>
      </c>
      <c r="C665">
        <f>HYPERLINK("C:\Users\franc\OneDrive\Documentos\ALIRO\ALIRO\KATHY\ANA LUISA 2010\COMPRAVENTA DE PERTENENCIAS MINERAS\logo.doc", "Abrir Documento")</f>
        <v>0</v>
      </c>
      <c r="D665" t="s">
        <v>23500</v>
      </c>
      <c r="E665" t="s">
        <v>24164</v>
      </c>
    </row>
    <row r="666" spans="1:5">
      <c r="A666" t="s">
        <v>5</v>
      </c>
      <c r="B666" t="s">
        <v>671</v>
      </c>
      <c r="C666">
        <f>HYPERLINK("C:\Users\franc\OneDrive\Documentos\ALIRO\ALIRO\KATHY\ANA LUISA 2010\COMPRAVENTA DE PERTENENCIAS MINERAS\Doc2.doc", "Abrir Documento")</f>
        <v>0</v>
      </c>
      <c r="D666" t="s">
        <v>23500</v>
      </c>
      <c r="E666" t="s">
        <v>24165</v>
      </c>
    </row>
    <row r="667" spans="1:5">
      <c r="A667" t="s">
        <v>5</v>
      </c>
      <c r="B667" t="s">
        <v>672</v>
      </c>
      <c r="C667">
        <f>HYPERLINK("C:\Users\franc\OneDrive\Documentos\ALIRO\ALIRO\KATHY\ANA LUISA 2010\COMPRAVENTA DE PERTENENCIAS MINERAS\DECLARACION MANDATO A NOMBRE PRPIO Y RENDICION CTAS   -   CONSTANZA - CONCESION EXPLORAXCION.doc", "Abrir Documento")</f>
        <v>0</v>
      </c>
      <c r="D667" t="s">
        <v>23500</v>
      </c>
      <c r="E667" t="s">
        <v>24166</v>
      </c>
    </row>
    <row r="668" spans="1:5">
      <c r="A668" t="s">
        <v>5</v>
      </c>
      <c r="B668" t="s">
        <v>673</v>
      </c>
      <c r="C668">
        <f>HYPERLINK("C:\Users\franc\OneDrive\Documentos\ALIRO\ALIRO\KATHY\ANA LUISA 2010\COMPRAVENTA DE PERTENENCIAS MINERAS\COMPRAVENTA LOS PATRIARCAS DIECISIETE.doc", "Abrir Documento")</f>
        <v>0</v>
      </c>
      <c r="D668" t="s">
        <v>23500</v>
      </c>
      <c r="E668" t="s">
        <v>24167</v>
      </c>
    </row>
    <row r="669" spans="1:5">
      <c r="A669" t="s">
        <v>5</v>
      </c>
      <c r="B669" t="s">
        <v>674</v>
      </c>
      <c r="C669">
        <f>HYPERLINK("C:\Users\franc\OneDrive\Documentos\ALIRO\ALIRO\KATHY\ANA LUISA 2010\COMPRAVENTA DE PERTENENCIAS MINERAS\COMPRAVENTA EL RUMPO 1 AL 5.doc", "Abrir Documento")</f>
        <v>0</v>
      </c>
      <c r="D669" t="s">
        <v>23500</v>
      </c>
      <c r="E669" t="s">
        <v>24168</v>
      </c>
    </row>
    <row r="670" spans="1:5">
      <c r="A670" t="s">
        <v>5</v>
      </c>
      <c r="B670" t="s">
        <v>675</v>
      </c>
      <c r="C670">
        <f>HYPERLINK("C:\Users\franc\OneDrive\Documentos\ALIRO\ALIRO\KATHY\ANA LUISA 2010\COMPRAVENTA DE PERTENENCIAS MINERAS\ADQUISICION Y DOMINIO  BICKMAR V.doc", "Abrir Documento")</f>
        <v>0</v>
      </c>
      <c r="D670" t="s">
        <v>23500</v>
      </c>
      <c r="E670" t="s">
        <v>24169</v>
      </c>
    </row>
    <row r="671" spans="1:5">
      <c r="A671" t="s">
        <v>5</v>
      </c>
      <c r="B671" t="s">
        <v>676</v>
      </c>
      <c r="C671">
        <f>HYPERLINK("C:\Users\franc\OneDrive\Documentos\ALIRO\ALIRO\KATHY\ANA LUISA 2010\COMPRAVENTA DE PERTENENCIAS MINERAS\ADQUISICION Y DOMINIO  BICKMAR IV.doc", "Abrir Documento")</f>
        <v>0</v>
      </c>
      <c r="D671" t="s">
        <v>23500</v>
      </c>
      <c r="E671" t="s">
        <v>24170</v>
      </c>
    </row>
    <row r="672" spans="1:5">
      <c r="A672" t="s">
        <v>5</v>
      </c>
      <c r="B672" t="s">
        <v>677</v>
      </c>
      <c r="C672">
        <f>HYPERLINK("C:\Users\franc\OneDrive\Documentos\ALIRO\ALIRO\KATHY\ANA LUISA 2010\COMPRAVENTA DE PERTENENCIAS MINERAS\ADQUISICION Y DOMINIO  BICKMAR III.doc", "Abrir Documento")</f>
        <v>0</v>
      </c>
      <c r="D672" t="s">
        <v>23500</v>
      </c>
      <c r="E672" t="s">
        <v>24171</v>
      </c>
    </row>
    <row r="673" spans="1:5">
      <c r="A673" t="s">
        <v>5</v>
      </c>
      <c r="B673" t="s">
        <v>678</v>
      </c>
      <c r="C673">
        <f>HYPERLINK("C:\Users\franc\OneDrive\Documentos\ALIRO\ALIRO\KATHY\ANA LUISA 2010\COMPRAVENTA DE PERTENENCIAS MINERAS\ADQUISICION Y DOMINIO  BICKMAR II.doc", "Abrir Documento")</f>
        <v>0</v>
      </c>
      <c r="D673" t="s">
        <v>23500</v>
      </c>
      <c r="E673" t="s">
        <v>24172</v>
      </c>
    </row>
    <row r="674" spans="1:5">
      <c r="A674" t="s">
        <v>5</v>
      </c>
      <c r="B674" t="s">
        <v>679</v>
      </c>
      <c r="C674">
        <f>HYPERLINK("C:\Users\franc\OneDrive\Documentos\ALIRO\ALIRO\KATHY\ANA LUISA 2010\COMPRAVENTA DE PERTENENCIAS MINERAS\ADQUISICION Y DOMINIO  BICKMAR I.doc", "Abrir Documento")</f>
        <v>0</v>
      </c>
      <c r="D674" t="s">
        <v>23500</v>
      </c>
      <c r="E674" t="s">
        <v>24173</v>
      </c>
    </row>
    <row r="675" spans="1:5">
      <c r="A675" t="s">
        <v>5</v>
      </c>
      <c r="B675" t="s">
        <v>680</v>
      </c>
      <c r="C675">
        <f>HYPERLINK("C:\Users\franc\OneDrive\Documentos\ALIRO\ALIRO\KATHY\ANA LUISA 2010\COMPRAVENTA DE PERTENENCIAS MINERAS\ADQUISICION Y DOMINIO  BICKMAR 1 AL 16.doc", "Abrir Documento")</f>
        <v>0</v>
      </c>
      <c r="D675" t="s">
        <v>23500</v>
      </c>
      <c r="E675" t="s">
        <v>24174</v>
      </c>
    </row>
    <row r="676" spans="1:5">
      <c r="A676" t="s">
        <v>5</v>
      </c>
      <c r="B676" t="s">
        <v>681</v>
      </c>
      <c r="C676">
        <f>HYPERLINK("C:\Users\franc\OneDrive\Documentos\ALIRO\ALIRO\KATHY\ANA LUISA 2010\COMPRAVENTA DE PERTENENCIAS MINERAS\ADQUISICION TORO UNO AL DOCE.doc", "Abrir Documento")</f>
        <v>0</v>
      </c>
      <c r="D676" t="s">
        <v>23500</v>
      </c>
      <c r="E676" t="s">
        <v>24175</v>
      </c>
    </row>
    <row r="677" spans="1:5">
      <c r="A677" t="s">
        <v>5</v>
      </c>
      <c r="B677" t="s">
        <v>682</v>
      </c>
      <c r="C677">
        <f>HYPERLINK("C:\Users\franc\OneDrive\Documentos\ALIRO\ALIRO\KATHY\ANA LUISA 2010\COMPRAVENTA DE PERTENENCIAS MINERAS\ADQUISICION SAN LUIS V UNO AL VEINTE (LUIS CARRASCO) MANIFESTACION.doc", "Abrir Documento")</f>
        <v>0</v>
      </c>
      <c r="D677" t="s">
        <v>23500</v>
      </c>
      <c r="E677" t="s">
        <v>24176</v>
      </c>
    </row>
    <row r="678" spans="1:5">
      <c r="A678" t="s">
        <v>5</v>
      </c>
      <c r="B678" t="s">
        <v>683</v>
      </c>
      <c r="C678">
        <f>HYPERLINK("C:\Users\franc\OneDrive\Documentos\ALIRO\ALIRO\KATHY\ANA LUISA 2010\COMPRAVENTA DE PERTENENCIAS MINERAS\ADQUISICION PORVENIR UNO AL CUATRO.doc", "Abrir Documento")</f>
        <v>0</v>
      </c>
      <c r="D678" t="s">
        <v>23500</v>
      </c>
      <c r="E678" t="s">
        <v>24177</v>
      </c>
    </row>
    <row r="679" spans="1:5">
      <c r="A679" t="s">
        <v>5</v>
      </c>
      <c r="B679" t="s">
        <v>684</v>
      </c>
      <c r="C679">
        <f>HYPERLINK("C:\Users\franc\OneDrive\Documentos\ALIRO\ALIRO\KATHY\ANA LUISA 2010\COMPRAVENTA DE PERTENENCIAS MINERAS\ADJUDICACION EN REMATE    OLIVIA QUINTA 1 AL 9.doc", "Abrir Documento")</f>
        <v>0</v>
      </c>
      <c r="D679" t="s">
        <v>23500</v>
      </c>
      <c r="E679" t="s">
        <v>24178</v>
      </c>
    </row>
    <row r="680" spans="1:5">
      <c r="A680" t="s">
        <v>5</v>
      </c>
      <c r="B680" t="s">
        <v>685</v>
      </c>
      <c r="C680">
        <f>HYPERLINK("C:\Users\franc\OneDrive\Documentos\ALIRO\ALIRO\KATHY\ANA LUISA 2010\COMPRAVENTA DE PERTENENCIAS MINERAS\8.doc", "Abrir Documento")</f>
        <v>0</v>
      </c>
      <c r="D680" t="s">
        <v>23501</v>
      </c>
      <c r="E680" t="s">
        <v>24179</v>
      </c>
    </row>
    <row r="681" spans="1:5">
      <c r="A681" t="s">
        <v>5</v>
      </c>
      <c r="B681" t="s">
        <v>686</v>
      </c>
      <c r="C681">
        <f>HYPERLINK("C:\Users\franc\OneDrive\Documentos\ALIRO\ALIRO\KATHY\ANA LUISA 2010\COMPRAVENTA DE DERECHOS MINEROS\MODELO.DOS.doc", "Abrir Documento")</f>
        <v>0</v>
      </c>
      <c r="D681" t="s">
        <v>23501</v>
      </c>
      <c r="E681" t="s">
        <v>24180</v>
      </c>
    </row>
    <row r="682" spans="1:5">
      <c r="A682" t="s">
        <v>5</v>
      </c>
      <c r="B682" t="s">
        <v>687</v>
      </c>
      <c r="C682">
        <f>HYPERLINK("C:\Users\franc\OneDrive\Documentos\ALIRO\ALIRO\KATHY\ANA LUISA 2010\COMPRAVENTA DE DERECHOS MINEROS\logo.doc", "Abrir Documento")</f>
        <v>0</v>
      </c>
      <c r="D682" t="s">
        <v>23500</v>
      </c>
      <c r="E682" t="s">
        <v>24181</v>
      </c>
    </row>
    <row r="683" spans="1:5">
      <c r="A683" t="s">
        <v>5</v>
      </c>
      <c r="B683" t="s">
        <v>688</v>
      </c>
      <c r="C683">
        <f>HYPERLINK("C:\Users\franc\OneDrive\Documentos\ALIRO\ALIRO\KATHY\ANA LUISA 2010\COMPRAVENTA DE DERECHOS MINEROS\COMPRAVENTA DERECHOS REPETIDA 1 AL 13.doc", "Abrir Documento")</f>
        <v>0</v>
      </c>
      <c r="D683" t="s">
        <v>23500</v>
      </c>
      <c r="E683" t="s">
        <v>24182</v>
      </c>
    </row>
    <row r="684" spans="1:5">
      <c r="A684" t="s">
        <v>5</v>
      </c>
      <c r="B684" t="s">
        <v>689</v>
      </c>
      <c r="C684">
        <f>HYPERLINK("C:\Users\franc\OneDrive\Documentos\ALIRO\ALIRO\KATHY\ANA LUISA 2010\CESION DE ACCIONES\SOCIEDAD MINA ISRAEL ANTONIO UNO DE PUNITAQUI.doc", "Abrir Documento")</f>
        <v>0</v>
      </c>
      <c r="D684" t="s">
        <v>23500</v>
      </c>
      <c r="E684" t="s">
        <v>24183</v>
      </c>
    </row>
    <row r="685" spans="1:5">
      <c r="A685" t="s">
        <v>5</v>
      </c>
      <c r="B685" t="s">
        <v>690</v>
      </c>
      <c r="C685">
        <f>HYPERLINK("C:\Users\franc\OneDrive\Documentos\ALIRO\ALIRO\KATHY\ANA LUISA 2010\CESION DE ACCIONES\SOCIEDAD LOS MANTOS DE LA CORTADERA - GONZALO GUERRERO A SLMJERUSALEM UNO DE OVALLE - CIA MRA NACIONAL LTDA Y ENAMI.doc", "Abrir Documento")</f>
        <v>0</v>
      </c>
      <c r="D685" t="s">
        <v>23500</v>
      </c>
      <c r="E685" t="s">
        <v>24184</v>
      </c>
    </row>
    <row r="686" spans="1:5">
      <c r="A686" t="s">
        <v>5</v>
      </c>
      <c r="B686" t="s">
        <v>691</v>
      </c>
      <c r="C686">
        <f>HYPERLINK("C:\Users\franc\OneDrive\Documentos\ALIRO\ALIRO\KATHY\ANA LUISA 2010\CESION DE ACCIONES\SOCIEDAD BUENA VISTA UNO DEL SECTOR DE SAMO BAJO.doc", "Abrir Documento")</f>
        <v>0</v>
      </c>
      <c r="D686" t="s">
        <v>23500</v>
      </c>
      <c r="E686" t="s">
        <v>24185</v>
      </c>
    </row>
    <row r="687" spans="1:5">
      <c r="A687" t="s">
        <v>5</v>
      </c>
      <c r="B687" t="s">
        <v>692</v>
      </c>
      <c r="C687">
        <f>HYPERLINK("C:\Users\franc\OneDrive\Documentos\ALIRO\ALIRO\KATHY\ANA LUISA 2010\CESION DE ACCIONES\logo.doc", "Abrir Documento")</f>
        <v>0</v>
      </c>
      <c r="D687" t="s">
        <v>23500</v>
      </c>
      <c r="E687" t="s">
        <v>24186</v>
      </c>
    </row>
    <row r="688" spans="1:5">
      <c r="A688" t="s">
        <v>5</v>
      </c>
      <c r="B688" t="s">
        <v>693</v>
      </c>
      <c r="C688">
        <f>HYPERLINK("C:\Users\franc\OneDrive\Documentos\ALIRO\ALIRO\KATHY\ANA LUISA 2010\CESION DE ACCIONES\CESION ACCIONES A SMC GOLD CHILE LTDA EN CIA. MRA. TAMAYA SCM.doc", "Abrir Documento")</f>
        <v>0</v>
      </c>
      <c r="D688" t="s">
        <v>23500</v>
      </c>
      <c r="E688" t="s">
        <v>24187</v>
      </c>
    </row>
    <row r="689" spans="1:5">
      <c r="A689" t="s">
        <v>5</v>
      </c>
      <c r="B689" t="s">
        <v>694</v>
      </c>
      <c r="C689">
        <f>HYPERLINK("C:\Users\franc\OneDrive\Documentos\ALIRO\ALIRO\KATHY\ANA LUISA 2010\CESION DE ACCIONES\6.doc", "Abrir Documento")</f>
        <v>0</v>
      </c>
      <c r="D689" t="s">
        <v>23501</v>
      </c>
      <c r="E689" t="s">
        <v>24188</v>
      </c>
    </row>
    <row r="690" spans="1:5">
      <c r="A690" t="s">
        <v>5</v>
      </c>
      <c r="B690" t="s">
        <v>695</v>
      </c>
      <c r="C690">
        <f>HYPERLINK("C:\Users\franc\OneDrive\Documentos\ALIRO\ALIRO\KATHY\ANA LUISA 2010\CESION DE ACCIONES\1.doc", "Abrir Documento")</f>
        <v>0</v>
      </c>
      <c r="D690" t="s">
        <v>23501</v>
      </c>
      <c r="E690" t="s">
        <v>24189</v>
      </c>
    </row>
    <row r="691" spans="1:5">
      <c r="A691" t="s">
        <v>5</v>
      </c>
      <c r="B691" t="s">
        <v>696</v>
      </c>
      <c r="C691">
        <f>HYPERLINK("C:\Users\franc\OneDrive\Documentos\ALIRO\ALIRO\KATHY\ANA LUISA 2010\CERTIFICADOS DE LITIGIOS\VICTORIA VIII 1 AL 200.doc", "Abrir Documento")</f>
        <v>0</v>
      </c>
      <c r="D691" t="s">
        <v>23501</v>
      </c>
      <c r="E691" t="s">
        <v>24190</v>
      </c>
    </row>
    <row r="692" spans="1:5">
      <c r="A692" t="s">
        <v>5</v>
      </c>
      <c r="B692" t="s">
        <v>697</v>
      </c>
      <c r="C692">
        <f>HYPERLINK("C:\Users\franc\OneDrive\Documentos\ALIRO\ALIRO\KATHY\ANA LUISA 2010\CERTIFICADOS DE LITIGIOS\VICTORIA VII 1 AL 200.doc", "Abrir Documento")</f>
        <v>0</v>
      </c>
      <c r="D692" t="s">
        <v>23501</v>
      </c>
      <c r="E692" t="s">
        <v>24191</v>
      </c>
    </row>
    <row r="693" spans="1:5">
      <c r="A693" t="s">
        <v>5</v>
      </c>
      <c r="B693" t="s">
        <v>698</v>
      </c>
      <c r="C693">
        <f>HYPERLINK("C:\Users\franc\OneDrive\Documentos\ALIRO\ALIRO\KATHY\ANA LUISA 2010\CERTIFICADOS DE LITIGIOS\VICTORIA VI 1 AL 200.doc", "Abrir Documento")</f>
        <v>0</v>
      </c>
      <c r="D693" t="s">
        <v>23501</v>
      </c>
      <c r="E693" t="s">
        <v>24192</v>
      </c>
    </row>
    <row r="694" spans="1:5">
      <c r="A694" t="s">
        <v>5</v>
      </c>
      <c r="B694" t="s">
        <v>699</v>
      </c>
      <c r="C694">
        <f>HYPERLINK("C:\Users\franc\OneDrive\Documentos\ALIRO\ALIRO\KATHY\ANA LUISA 2010\CERTIFICADOS DE LITIGIOS\VICTORIA V 1 AL 300.doc", "Abrir Documento")</f>
        <v>0</v>
      </c>
      <c r="D694" t="s">
        <v>23501</v>
      </c>
      <c r="E694" t="s">
        <v>24193</v>
      </c>
    </row>
    <row r="695" spans="1:5">
      <c r="A695" t="s">
        <v>5</v>
      </c>
      <c r="B695" t="s">
        <v>700</v>
      </c>
      <c r="C695">
        <f>HYPERLINK("C:\Users\franc\OneDrive\Documentos\ALIRO\ALIRO\KATHY\ANA LUISA 2010\CERTIFICADOS DE LITIGIOS\VICTORIA IV 1-300.doc", "Abrir Documento")</f>
        <v>0</v>
      </c>
      <c r="D695" t="s">
        <v>23501</v>
      </c>
      <c r="E695" t="s">
        <v>24194</v>
      </c>
    </row>
    <row r="696" spans="1:5">
      <c r="A696" t="s">
        <v>5</v>
      </c>
      <c r="B696" t="s">
        <v>701</v>
      </c>
      <c r="C696">
        <f>HYPERLINK("C:\Users\franc\OneDrive\Documentos\ALIRO\ALIRO\KATHY\ANA LUISA 2010\CERTIFICADOS DE LITIGIOS\VICTORIA III 1 AL 235.doc", "Abrir Documento")</f>
        <v>0</v>
      </c>
      <c r="D696" t="s">
        <v>23501</v>
      </c>
      <c r="E696" t="s">
        <v>24195</v>
      </c>
    </row>
    <row r="697" spans="1:5">
      <c r="A697" t="s">
        <v>5</v>
      </c>
      <c r="B697" t="s">
        <v>702</v>
      </c>
      <c r="C697">
        <f>HYPERLINK("C:\Users\franc\OneDrive\Documentos\ALIRO\ALIRO\KATHY\ANA LUISA 2010\CERTIFICADOS DE LITIGIOS\VICTORIA II 1 AL 285.doc", "Abrir Documento")</f>
        <v>0</v>
      </c>
      <c r="D697" t="s">
        <v>23501</v>
      </c>
      <c r="E697" t="s">
        <v>24196</v>
      </c>
    </row>
    <row r="698" spans="1:5">
      <c r="A698" t="s">
        <v>5</v>
      </c>
      <c r="B698" t="s">
        <v>703</v>
      </c>
      <c r="C698">
        <f>HYPERLINK("C:\Users\franc\OneDrive\Documentos\ALIRO\ALIRO\KATHY\ANA LUISA 2010\CERTIFICADOS DE LITIGIOS\VICTORIA I 1 AL 245.doc", "Abrir Documento")</f>
        <v>0</v>
      </c>
      <c r="D698" t="s">
        <v>23501</v>
      </c>
      <c r="E698" t="s">
        <v>24197</v>
      </c>
    </row>
    <row r="699" spans="1:5">
      <c r="A699" t="s">
        <v>5</v>
      </c>
      <c r="B699" t="s">
        <v>704</v>
      </c>
      <c r="C699">
        <f>HYPERLINK("C:\Users\franc\OneDrive\Documentos\ALIRO\ALIRO\KATHY\ANA LUISA 2010\CERTIFICADOS DE LITIGIOS\SANTA RITA 1 AL 7.doc", "Abrir Documento")</f>
        <v>0</v>
      </c>
      <c r="D699" t="s">
        <v>23501</v>
      </c>
      <c r="E699" t="s">
        <v>24198</v>
      </c>
    </row>
    <row r="700" spans="1:5">
      <c r="A700" t="s">
        <v>5</v>
      </c>
      <c r="B700" t="s">
        <v>705</v>
      </c>
      <c r="C700">
        <f>HYPERLINK("C:\Users\franc\OneDrive\Documentos\ALIRO\ALIRO\KATHY\ANA LUISA 2010\CERTIFICADOS DE LITIGIOS\SANTA FE.doc", "Abrir Documento")</f>
        <v>0</v>
      </c>
      <c r="D700" t="s">
        <v>23501</v>
      </c>
      <c r="E700" t="s">
        <v>24199</v>
      </c>
    </row>
    <row r="701" spans="1:5">
      <c r="A701" t="s">
        <v>5</v>
      </c>
      <c r="B701" t="s">
        <v>706</v>
      </c>
      <c r="C701">
        <f>HYPERLINK("C:\Users\franc\OneDrive\Documentos\ALIRO\ALIRO\KATHY\ANA LUISA 2010\CERTIFICADOS DE LITIGIOS\SAN PABLO UNO A CINCO.doc", "Abrir Documento")</f>
        <v>0</v>
      </c>
      <c r="D701" t="s">
        <v>23501</v>
      </c>
      <c r="E701" t="s">
        <v>24200</v>
      </c>
    </row>
    <row r="702" spans="1:5">
      <c r="A702" t="s">
        <v>5</v>
      </c>
      <c r="B702" t="s">
        <v>707</v>
      </c>
      <c r="C702">
        <f>HYPERLINK("C:\Users\franc\OneDrive\Documentos\ALIRO\ALIRO\KATHY\ANA LUISA 2010\CERTIFICADOS DE LITIGIOS\SAN MIGUEL 1 AL 20 - MIGUEL TAPIA.doc", "Abrir Documento")</f>
        <v>0</v>
      </c>
      <c r="D702" t="s">
        <v>23501</v>
      </c>
      <c r="E702" t="s">
        <v>24201</v>
      </c>
    </row>
    <row r="703" spans="1:5">
      <c r="A703" t="s">
        <v>5</v>
      </c>
      <c r="B703" t="s">
        <v>708</v>
      </c>
      <c r="C703">
        <f>HYPERLINK("C:\Users\franc\OneDrive\Documentos\ALIRO\ALIRO\KATHY\ANA LUISA 2010\CERTIFICADOS DE LITIGIOS\SAN ANDRES 1 AL 14 - MINERA ALTOS DE PUNITAQUI LLIMITADA.doc", "Abrir Documento")</f>
        <v>0</v>
      </c>
      <c r="D703" t="s">
        <v>23501</v>
      </c>
      <c r="E703" t="s">
        <v>24202</v>
      </c>
    </row>
    <row r="704" spans="1:5">
      <c r="A704" t="s">
        <v>5</v>
      </c>
      <c r="B704" t="s">
        <v>709</v>
      </c>
      <c r="C704">
        <f>HYPERLINK("C:\Users\franc\OneDrive\Documentos\ALIRO\ALIRO\KATHY\ANA LUISA 2010\CERTIFICADOS DE LITIGIOS\ROCIO 1 AL 10.doc", "Abrir Documento")</f>
        <v>0</v>
      </c>
      <c r="D704" t="s">
        <v>23501</v>
      </c>
      <c r="E704" t="s">
        <v>24203</v>
      </c>
    </row>
    <row r="705" spans="1:5">
      <c r="A705" t="s">
        <v>5</v>
      </c>
      <c r="B705" t="s">
        <v>710</v>
      </c>
      <c r="C705">
        <f>HYPERLINK("C:\Users\franc\OneDrive\Documentos\ALIRO\ALIRO\KATHY\ANA LUISA 2010\CERTIFICADOS DE LITIGIOS\RITA 1 AL 7.doc", "Abrir Documento")</f>
        <v>0</v>
      </c>
      <c r="D705" t="s">
        <v>23501</v>
      </c>
      <c r="E705" t="s">
        <v>24204</v>
      </c>
    </row>
    <row r="706" spans="1:5">
      <c r="A706" t="s">
        <v>5</v>
      </c>
      <c r="B706" t="s">
        <v>711</v>
      </c>
      <c r="C706">
        <f>HYPERLINK("C:\Users\franc\OneDrive\Documentos\ALIRO\ALIRO\KATHY\ANA LUISA 2010\CERTIFICADOS DE LITIGIOS\QUILES 1 A 10.doc", "Abrir Documento")</f>
        <v>0</v>
      </c>
      <c r="D706" t="s">
        <v>23501</v>
      </c>
      <c r="E706" t="s">
        <v>24205</v>
      </c>
    </row>
    <row r="707" spans="1:5">
      <c r="A707" t="s">
        <v>5</v>
      </c>
      <c r="B707" t="s">
        <v>712</v>
      </c>
      <c r="C707">
        <f>HYPERLINK("C:\Users\franc\OneDrive\Documentos\ALIRO\ALIRO\KATHY\ANA LUISA 2010\CERTIFICADOS DE LITIGIOS\PUNITAQUI 1 AL 50.doc", "Abrir Documento")</f>
        <v>0</v>
      </c>
      <c r="D707" t="s">
        <v>23501</v>
      </c>
      <c r="E707" t="s">
        <v>24206</v>
      </c>
    </row>
    <row r="708" spans="1:5">
      <c r="A708" t="s">
        <v>5</v>
      </c>
      <c r="B708" t="s">
        <v>713</v>
      </c>
      <c r="C708">
        <f>HYPERLINK("C:\Users\franc\OneDrive\Documentos\ALIRO\ALIRO\KATHY\ANA LUISA 2010\CERTIFICADOS DE LITIGIOS\PORTEÑA - CIA. MINERA TAMAYA.doc", "Abrir Documento")</f>
        <v>0</v>
      </c>
      <c r="D708" t="s">
        <v>23501</v>
      </c>
      <c r="E708" t="s">
        <v>24207</v>
      </c>
    </row>
    <row r="709" spans="1:5">
      <c r="A709" t="s">
        <v>5</v>
      </c>
      <c r="B709" t="s">
        <v>714</v>
      </c>
      <c r="C709">
        <f>HYPERLINK("C:\Users\franc\OneDrive\Documentos\ALIRO\ALIRO\KATHY\ANA LUISA 2010\CERTIFICADOS DE LITIGIOS\PANAL III    1 AL 10 ANGLO AMERICAN NORTE S.A..doc", "Abrir Documento")</f>
        <v>0</v>
      </c>
      <c r="D709" t="s">
        <v>23501</v>
      </c>
      <c r="E709" t="s">
        <v>24208</v>
      </c>
    </row>
    <row r="710" spans="1:5">
      <c r="A710" t="s">
        <v>5</v>
      </c>
      <c r="B710" t="s">
        <v>715</v>
      </c>
      <c r="C710">
        <f>HYPERLINK("C:\Users\franc\OneDrive\Documentos\ALIRO\ALIRO\KATHY\ANA LUISA 2010\CERTIFICADOS DE LITIGIOS\PANAL II    1 AL 10 ANGLO AMERICAN NORTE S.A..doc", "Abrir Documento")</f>
        <v>0</v>
      </c>
      <c r="D710" t="s">
        <v>23501</v>
      </c>
      <c r="E710" t="s">
        <v>24209</v>
      </c>
    </row>
    <row r="711" spans="1:5">
      <c r="A711" t="s">
        <v>5</v>
      </c>
      <c r="B711" t="s">
        <v>716</v>
      </c>
      <c r="C711">
        <f>HYPERLINK("C:\Users\franc\OneDrive\Documentos\ALIRO\ALIRO\KATHY\ANA LUISA 2010\CERTIFICADOS DE LITIGIOS\PANAL I  1 AL 10 ANGLO AMERICAN NORTE S.A..doc", "Abrir Documento")</f>
        <v>0</v>
      </c>
      <c r="D711" t="s">
        <v>23501</v>
      </c>
      <c r="E711" t="s">
        <v>24210</v>
      </c>
    </row>
    <row r="712" spans="1:5">
      <c r="A712" t="s">
        <v>5</v>
      </c>
      <c r="B712" t="s">
        <v>717</v>
      </c>
      <c r="C712">
        <f>HYPERLINK("C:\Users\franc\OneDrive\Documentos\ALIRO\ALIRO\KATHY\ANA LUISA 2010\CERTIFICADOS DE LITIGIOS\MINA SANTA ALICIA UNO AL DIECISIETE - 2011.doc", "Abrir Documento")</f>
        <v>0</v>
      </c>
      <c r="D712" t="s">
        <v>23501</v>
      </c>
      <c r="E712" t="s">
        <v>24211</v>
      </c>
    </row>
    <row r="713" spans="1:5">
      <c r="A713" t="s">
        <v>5</v>
      </c>
      <c r="B713" t="s">
        <v>718</v>
      </c>
      <c r="C713">
        <f>HYPERLINK("C:\Users\franc\OneDrive\Documentos\ALIRO\ALIRO\KATHY\ANA LUISA 2010\CERTIFICADOS DE LITIGIOS\MINA SANTA ALICIA 1 AL 17  (2010).doc", "Abrir Documento")</f>
        <v>0</v>
      </c>
      <c r="D713" t="s">
        <v>23501</v>
      </c>
      <c r="E713" t="s">
        <v>24212</v>
      </c>
    </row>
    <row r="714" spans="1:5">
      <c r="A714" t="s">
        <v>5</v>
      </c>
      <c r="B714" t="s">
        <v>719</v>
      </c>
      <c r="C714">
        <f>HYPERLINK("C:\Users\franc\OneDrive\Documentos\ALIRO\ALIRO\KATHY\ANA LUISA 2010\CERTIFICADOS DE LITIGIOS\MINA PORRITA 1 AL 5.doc", "Abrir Documento")</f>
        <v>0</v>
      </c>
      <c r="D714" t="s">
        <v>23501</v>
      </c>
      <c r="E714" t="s">
        <v>24213</v>
      </c>
    </row>
    <row r="715" spans="1:5">
      <c r="A715" t="s">
        <v>5</v>
      </c>
      <c r="B715" t="s">
        <v>720</v>
      </c>
      <c r="C715">
        <f>HYPERLINK("C:\Users\franc\OneDrive\Documentos\ALIRO\ALIRO\KATHY\ANA LUISA 2010\CERTIFICADOS DE LITIGIOS\MERCED 1 AL 10.doc", "Abrir Documento")</f>
        <v>0</v>
      </c>
      <c r="D715" t="s">
        <v>23501</v>
      </c>
      <c r="E715" t="s">
        <v>24214</v>
      </c>
    </row>
    <row r="716" spans="1:5">
      <c r="A716" t="s">
        <v>5</v>
      </c>
      <c r="B716" t="s">
        <v>721</v>
      </c>
      <c r="C716">
        <f>HYPERLINK("C:\Users\franc\OneDrive\Documentos\ALIRO\ALIRO\KATHY\ANA LUISA 2010\CERTIFICADOS DE LITIGIOS\MANTOS VERDES 1 AL 20.doc", "Abrir Documento")</f>
        <v>0</v>
      </c>
      <c r="D716" t="s">
        <v>23501</v>
      </c>
      <c r="E716" t="s">
        <v>24215</v>
      </c>
    </row>
    <row r="717" spans="1:5">
      <c r="A717" t="s">
        <v>5</v>
      </c>
      <c r="B717" t="s">
        <v>722</v>
      </c>
      <c r="C717">
        <f>HYPERLINK("C:\Users\franc\OneDrive\Documentos\ALIRO\ALIRO\KATHY\ANA LUISA 2010\CERTIFICADOS DE LITIGIOS\MANTAQUI UNA Y DOS.doc", "Abrir Documento")</f>
        <v>0</v>
      </c>
      <c r="D717" t="s">
        <v>23501</v>
      </c>
      <c r="E717" t="s">
        <v>24216</v>
      </c>
    </row>
    <row r="718" spans="1:5">
      <c r="A718" t="s">
        <v>5</v>
      </c>
      <c r="B718" t="s">
        <v>723</v>
      </c>
      <c r="C718">
        <f>HYPERLINK("C:\Users\franc\OneDrive\Documentos\ALIRO\ALIRO\KATHY\ANA LUISA 2010\CERTIFICADOS DE LITIGIOS\MANTAQUI OCTAVA.doc", "Abrir Documento")</f>
        <v>0</v>
      </c>
      <c r="D718" t="s">
        <v>23501</v>
      </c>
      <c r="E718" t="s">
        <v>24217</v>
      </c>
    </row>
    <row r="719" spans="1:5">
      <c r="A719" t="s">
        <v>5</v>
      </c>
      <c r="B719" t="s">
        <v>724</v>
      </c>
      <c r="C719">
        <f>HYPERLINK("C:\Users\franc\OneDrive\Documentos\ALIRO\ALIRO\KATHY\ANA LUISA 2010\CERTIFICADOS DE LITIGIOS\MABEL - CIA. MINERA TAMAYA.doc", "Abrir Documento")</f>
        <v>0</v>
      </c>
      <c r="D719" t="s">
        <v>23501</v>
      </c>
      <c r="E719" t="s">
        <v>24218</v>
      </c>
    </row>
    <row r="720" spans="1:5">
      <c r="A720" t="s">
        <v>5</v>
      </c>
      <c r="B720" t="s">
        <v>725</v>
      </c>
      <c r="C720">
        <f>HYPERLINK("C:\Users\franc\OneDrive\Documentos\ALIRO\ALIRO\KATHY\ANA LUISA 2010\CERTIFICADOS DE LITIGIOS\ENSUEÑO 1 AL 11 (ANA LUISA.doc", "Abrir Documento")</f>
        <v>0</v>
      </c>
      <c r="D720" t="s">
        <v>23501</v>
      </c>
      <c r="E720" t="s">
        <v>24219</v>
      </c>
    </row>
    <row r="721" spans="1:5">
      <c r="A721" t="s">
        <v>5</v>
      </c>
      <c r="B721" t="s">
        <v>726</v>
      </c>
      <c r="C721">
        <f>HYPERLINK("C:\Users\franc\OneDrive\Documentos\ALIRO\ALIRO\KATHY\ANA LUISA 2010\CERTIFICADOS DE LITIGIOS\CONSTANCIA.doc", "Abrir Documento")</f>
        <v>0</v>
      </c>
      <c r="D721" t="s">
        <v>23501</v>
      </c>
      <c r="E721" t="s">
        <v>24220</v>
      </c>
    </row>
    <row r="722" spans="1:5">
      <c r="A722" t="s">
        <v>5</v>
      </c>
      <c r="B722" t="s">
        <v>727</v>
      </c>
      <c r="C722">
        <f>HYPERLINK("C:\Users\franc\OneDrive\Documentos\ALIRO\ALIRO\KATHY\ANA LUISA 2010\CERTIFICADOS DE LITIGIOS\CONSERVA SEGUNDA - CIA. MRA. TAMAYA.doc", "Abrir Documento")</f>
        <v>0</v>
      </c>
      <c r="D722" t="s">
        <v>23501</v>
      </c>
      <c r="E722" t="s">
        <v>24221</v>
      </c>
    </row>
    <row r="723" spans="1:5">
      <c r="A723" t="s">
        <v>5</v>
      </c>
      <c r="B723" t="s">
        <v>728</v>
      </c>
      <c r="C723">
        <f>HYPERLINK("C:\Users\franc\OneDrive\Documentos\ALIRO\ALIRO\KATHY\ANA LUISA 2010\CERTIFICADOS DE LITIGIOS\COMPAÑIA 21 AL 40.doc", "Abrir Documento")</f>
        <v>0</v>
      </c>
      <c r="D723" t="s">
        <v>23501</v>
      </c>
      <c r="E723" t="s">
        <v>24222</v>
      </c>
    </row>
    <row r="724" spans="1:5">
      <c r="A724" t="s">
        <v>5</v>
      </c>
      <c r="B724" t="s">
        <v>729</v>
      </c>
      <c r="C724">
        <f>HYPERLINK("C:\Users\franc\OneDrive\Documentos\ALIRO\ALIRO\KATHY\ANA LUISA 2010\CERTIFICADOS DE LITIGIOS\CHIMBA 1º A 26 - 28 A 31 - 36 A 50.doc", "Abrir Documento")</f>
        <v>0</v>
      </c>
      <c r="D724" t="s">
        <v>23501</v>
      </c>
      <c r="E724" t="s">
        <v>24223</v>
      </c>
    </row>
    <row r="725" spans="1:5">
      <c r="A725" t="s">
        <v>5</v>
      </c>
      <c r="B725" t="s">
        <v>730</v>
      </c>
      <c r="C725">
        <f>HYPERLINK("C:\Users\franc\OneDrive\Documentos\ALIRO\ALIRO\KATHY\ANA LUISA 2010\CERTIFICADOS DE LITIGIOS\CHATUCA 1 - 125.doc", "Abrir Documento")</f>
        <v>0</v>
      </c>
      <c r="D725" t="s">
        <v>23501</v>
      </c>
      <c r="E725" t="s">
        <v>24224</v>
      </c>
    </row>
    <row r="726" spans="1:5">
      <c r="A726" t="s">
        <v>5</v>
      </c>
      <c r="B726" t="s">
        <v>731</v>
      </c>
      <c r="C726">
        <f>HYPERLINK("C:\Users\franc\OneDrive\Documentos\ALIRO\ALIRO\KATHY\ANA LUISA 2010\CERTIFICADOS DE LITIGIOS\AÑAÑUCA 1 AL 3 - 2011.doc", "Abrir Documento")</f>
        <v>0</v>
      </c>
      <c r="D726" t="s">
        <v>23501</v>
      </c>
      <c r="E726" t="s">
        <v>24225</v>
      </c>
    </row>
    <row r="727" spans="1:5">
      <c r="A727" t="s">
        <v>5</v>
      </c>
      <c r="B727" t="s">
        <v>732</v>
      </c>
      <c r="C727">
        <f>HYPERLINK("C:\Users\franc\OneDrive\Documentos\ALIRO\ALIRO\KATHY\ANA LUISA 2010\CERTIFICADOS DE LITIGIOS\ALTAR UNO A SEIS.doc", "Abrir Documento")</f>
        <v>0</v>
      </c>
      <c r="D727" t="s">
        <v>23501</v>
      </c>
      <c r="E727" t="s">
        <v>24226</v>
      </c>
    </row>
    <row r="728" spans="1:5">
      <c r="A728" t="s">
        <v>5</v>
      </c>
      <c r="B728" t="s">
        <v>733</v>
      </c>
      <c r="C728">
        <f>HYPERLINK("C:\Users\franc\OneDrive\Documentos\ALIRO\ALIRO\KATHY\ANA LUISA 2010\CERTIFICADOS DE HIP Y GRAV. DE SOC. LEG. MRAS\MODELO.doc", "Abrir Documento")</f>
        <v>0</v>
      </c>
      <c r="D728" t="s">
        <v>23501</v>
      </c>
      <c r="E728" t="s">
        <v>24227</v>
      </c>
    </row>
    <row r="729" spans="1:5">
      <c r="A729" t="s">
        <v>5</v>
      </c>
      <c r="B729" t="s">
        <v>734</v>
      </c>
      <c r="C729">
        <f>HYPERLINK("C:\Users\franc\OneDrive\Documentos\ALIRO\ALIRO\KATHY\ANA LUISA 2010\CERTIFICADOS DE HIP Y GRAV. DE SOC. LEG. MRAS\logo.doc", "Abrir Documento")</f>
        <v>0</v>
      </c>
      <c r="D729" t="s">
        <v>23500</v>
      </c>
      <c r="E729" t="s">
        <v>24228</v>
      </c>
    </row>
    <row r="730" spans="1:5">
      <c r="A730" t="s">
        <v>5</v>
      </c>
      <c r="B730" t="s">
        <v>735</v>
      </c>
      <c r="C730">
        <f>HYPERLINK("C:\Users\franc\OneDrive\Documentos\ALIRO\ALIRO\KATHY\ANA LUISA 2010\CERTIFICADOS DE DOMINIO\ÑISÑIÑES 1 AL 10  -   CIA MINERA PANULCILLO S.A..doc", "Abrir Documento")</f>
        <v>0</v>
      </c>
      <c r="D730" t="s">
        <v>23501</v>
      </c>
      <c r="E730" t="s">
        <v>24229</v>
      </c>
    </row>
    <row r="731" spans="1:5">
      <c r="A731" t="s">
        <v>5</v>
      </c>
      <c r="B731" t="s">
        <v>736</v>
      </c>
      <c r="C731">
        <f>HYPERLINK("C:\Users\franc\OneDrive\Documentos\ALIRO\ALIRO\KATHY\ANA LUISA 2010\CERTIFICADOS DE DOMINIO\ºLA MORENA 1 AL 10.doc", "Abrir Documento")</f>
        <v>0</v>
      </c>
      <c r="D731" t="s">
        <v>23501</v>
      </c>
      <c r="E731" t="s">
        <v>24230</v>
      </c>
    </row>
    <row r="732" spans="1:5">
      <c r="A732" t="s">
        <v>5</v>
      </c>
      <c r="B732" t="s">
        <v>737</v>
      </c>
      <c r="C732">
        <f>HYPERLINK("C:\Users\franc\OneDrive\Documentos\ALIRO\ALIRO\KATHY\ANA LUISA 2010\CERTIFICADOS DE DOMINIO\ZAPAHUIRA UNO  -  CONCESION DE EXPLORACION.doc", "Abrir Documento")</f>
        <v>0</v>
      </c>
      <c r="D732" t="s">
        <v>23500</v>
      </c>
      <c r="E732" t="s">
        <v>24231</v>
      </c>
    </row>
    <row r="733" spans="1:5">
      <c r="A733" t="s">
        <v>5</v>
      </c>
      <c r="B733" t="s">
        <v>738</v>
      </c>
      <c r="C733">
        <f>HYPERLINK("C:\Users\franc\OneDrive\Documentos\ALIRO\ALIRO\KATHY\ANA LUISA 2010\CERTIFICADOS DE DOMINIO\YOHANA 1 AL 10.doc", "Abrir Documento")</f>
        <v>0</v>
      </c>
      <c r="D733" t="s">
        <v>23501</v>
      </c>
      <c r="E733" t="s">
        <v>24232</v>
      </c>
    </row>
    <row r="734" spans="1:5">
      <c r="A734" t="s">
        <v>5</v>
      </c>
      <c r="B734" t="s">
        <v>739</v>
      </c>
      <c r="C734">
        <f>HYPERLINK("C:\Users\franc\OneDrive\Documentos\ALIRO\ALIRO\KATHY\ANA LUISA 2010\CERTIFICADOS DE DOMINIO\vinchucas 1 al 10.doc", "Abrir Documento")</f>
        <v>0</v>
      </c>
      <c r="D734" t="s">
        <v>23501</v>
      </c>
      <c r="E734" t="s">
        <v>24233</v>
      </c>
    </row>
    <row r="735" spans="1:5">
      <c r="A735" t="s">
        <v>5</v>
      </c>
      <c r="B735" t="s">
        <v>740</v>
      </c>
      <c r="C735">
        <f>HYPERLINK("C:\Users\franc\OneDrive\Documentos\ALIRO\ALIRO\KATHY\ANA LUISA 2010\CERTIFICADOS DE DOMINIO\VICTORIA VIII  1-200  -   COMPAÑIA MINERA PUNITAQUI SCM.doc", "Abrir Documento")</f>
        <v>0</v>
      </c>
      <c r="D735" t="s">
        <v>23501</v>
      </c>
      <c r="E735" t="s">
        <v>24234</v>
      </c>
    </row>
    <row r="736" spans="1:5">
      <c r="A736" t="s">
        <v>5</v>
      </c>
      <c r="B736" t="s">
        <v>741</v>
      </c>
      <c r="C736">
        <f>HYPERLINK("C:\Users\franc\OneDrive\Documentos\ALIRO\ALIRO\KATHY\ANA LUISA 2010\CERTIFICADOS DE DOMINIO\VICTORIA VII  1-200  -   COMPAÑIA MINERA PUNITAQUI SCM.doc", "Abrir Documento")</f>
        <v>0</v>
      </c>
      <c r="D736" t="s">
        <v>23501</v>
      </c>
      <c r="E736" t="s">
        <v>24235</v>
      </c>
    </row>
    <row r="737" spans="1:5">
      <c r="A737" t="s">
        <v>5</v>
      </c>
      <c r="B737" t="s">
        <v>742</v>
      </c>
      <c r="C737">
        <f>HYPERLINK("C:\Users\franc\OneDrive\Documentos\ALIRO\ALIRO\KATHY\ANA LUISA 2010\CERTIFICADOS DE DOMINIO\VICTORIA VI 1-200 -  MANIFESTACION.doc", "Abrir Documento")</f>
        <v>0</v>
      </c>
      <c r="D737" t="s">
        <v>23501</v>
      </c>
      <c r="E737" t="s">
        <v>24236</v>
      </c>
    </row>
    <row r="738" spans="1:5">
      <c r="A738" t="s">
        <v>5</v>
      </c>
      <c r="B738" t="s">
        <v>743</v>
      </c>
      <c r="C738">
        <f>HYPERLINK("C:\Users\franc\OneDrive\Documentos\ALIRO\ALIRO\KATHY\ANA LUISA 2010\CERTIFICADOS DE DOMINIO\VICTORIA VI  1-200  -   COMPAÑIA MINERA PUNITAQUI SCM.doc", "Abrir Documento")</f>
        <v>0</v>
      </c>
      <c r="D738" t="s">
        <v>23501</v>
      </c>
      <c r="E738" t="s">
        <v>24237</v>
      </c>
    </row>
    <row r="739" spans="1:5">
      <c r="A739" t="s">
        <v>5</v>
      </c>
      <c r="B739" t="s">
        <v>744</v>
      </c>
      <c r="C739">
        <f>HYPERLINK("C:\Users\franc\OneDrive\Documentos\ALIRO\ALIRO\KATHY\ANA LUISA 2010\CERTIFICADOS DE DOMINIO\VICTORIA V 1-300 -  MANIFESTACION.doc", "Abrir Documento")</f>
        <v>0</v>
      </c>
      <c r="D739" t="s">
        <v>23501</v>
      </c>
      <c r="E739" t="s">
        <v>24238</v>
      </c>
    </row>
    <row r="740" spans="1:5">
      <c r="A740" t="s">
        <v>5</v>
      </c>
      <c r="B740" t="s">
        <v>745</v>
      </c>
      <c r="C740">
        <f>HYPERLINK("C:\Users\franc\OneDrive\Documentos\ALIRO\ALIRO\KATHY\ANA LUISA 2010\CERTIFICADOS DE DOMINIO\VICTORIA V  1-300  -   COMPAÑIA MINERA PUNITAQUI SCM.doc", "Abrir Documento")</f>
        <v>0</v>
      </c>
      <c r="D740" t="s">
        <v>23501</v>
      </c>
      <c r="E740" t="s">
        <v>24239</v>
      </c>
    </row>
    <row r="741" spans="1:5">
      <c r="A741" t="s">
        <v>5</v>
      </c>
      <c r="B741" t="s">
        <v>746</v>
      </c>
      <c r="C741">
        <f>HYPERLINK("C:\Users\franc\OneDrive\Documentos\ALIRO\ALIRO\KATHY\ANA LUISA 2010\CERTIFICADOS DE DOMINIO\VICTORIA IX  1-100  -   COMPAÑIA MINERA PUNITAQUI SCM.doc", "Abrir Documento")</f>
        <v>0</v>
      </c>
      <c r="D741" t="s">
        <v>23501</v>
      </c>
      <c r="E741" t="s">
        <v>24240</v>
      </c>
    </row>
    <row r="742" spans="1:5">
      <c r="A742" t="s">
        <v>5</v>
      </c>
      <c r="B742" t="s">
        <v>747</v>
      </c>
      <c r="C742">
        <f>HYPERLINK("C:\Users\franc\OneDrive\Documentos\ALIRO\ALIRO\KATHY\ANA LUISA 2010\CERTIFICADOS DE DOMINIO\VICTORIA III 1 AL 235.doc", "Abrir Documento")</f>
        <v>0</v>
      </c>
      <c r="D742" t="s">
        <v>23501</v>
      </c>
      <c r="E742" t="s">
        <v>24241</v>
      </c>
    </row>
    <row r="743" spans="1:5">
      <c r="A743" t="s">
        <v>5</v>
      </c>
      <c r="B743" t="s">
        <v>748</v>
      </c>
      <c r="C743">
        <f>HYPERLINK("C:\Users\franc\OneDrive\Documentos\ALIRO\ALIRO\KATHY\ANA LUISA 2010\CERTIFICADOS DE DOMINIO\VICTORIA II 1 AL 285.doc", "Abrir Documento")</f>
        <v>0</v>
      </c>
      <c r="D743" t="s">
        <v>23501</v>
      </c>
      <c r="E743" t="s">
        <v>24242</v>
      </c>
    </row>
    <row r="744" spans="1:5">
      <c r="A744" t="s">
        <v>5</v>
      </c>
      <c r="B744" t="s">
        <v>749</v>
      </c>
      <c r="C744">
        <f>HYPERLINK("C:\Users\franc\OneDrive\Documentos\ALIRO\ALIRO\KATHY\ANA LUISA 2010\CERTIFICADOS DE DOMINIO\VICTORIA I 1 AL 245.doc", "Abrir Documento")</f>
        <v>0</v>
      </c>
      <c r="D744" t="s">
        <v>23501</v>
      </c>
      <c r="E744" t="s">
        <v>24243</v>
      </c>
    </row>
    <row r="745" spans="1:5">
      <c r="A745" t="s">
        <v>5</v>
      </c>
      <c r="B745" t="s">
        <v>750</v>
      </c>
      <c r="C745">
        <f>HYPERLINK("C:\Users\franc\OneDrive\Documentos\ALIRO\ALIRO\KATHY\ANA LUISA 2010\CERTIFICADOS DE DOMINIO\VERI UNO AL CUATRO.doc", "Abrir Documento")</f>
        <v>0</v>
      </c>
      <c r="D745" t="s">
        <v>23501</v>
      </c>
      <c r="E745" t="s">
        <v>24244</v>
      </c>
    </row>
    <row r="746" spans="1:5">
      <c r="A746" t="s">
        <v>5</v>
      </c>
      <c r="B746" t="s">
        <v>751</v>
      </c>
      <c r="C746">
        <f>HYPERLINK("C:\Users\franc\OneDrive\Documentos\ALIRO\ALIRO\KATHY\ANA LUISA 2010\CERTIFICADOS DE DOMINIO\VALIENTE SOLDADO 1 AL 30  -    MANIFESTACION.doc", "Abrir Documento")</f>
        <v>0</v>
      </c>
      <c r="D746" t="s">
        <v>23501</v>
      </c>
      <c r="E746" t="s">
        <v>24245</v>
      </c>
    </row>
    <row r="747" spans="1:5">
      <c r="A747" t="s">
        <v>5</v>
      </c>
      <c r="B747" t="s">
        <v>752</v>
      </c>
      <c r="C747">
        <f>HYPERLINK("C:\Users\franc\OneDrive\Documentos\ALIRO\ALIRO\KATHY\ANA LUISA 2010\CERTIFICADOS DE DOMINIO\TUPACAMARU.doc", "Abrir Documento")</f>
        <v>0</v>
      </c>
      <c r="D747" t="s">
        <v>23501</v>
      </c>
      <c r="E747" t="s">
        <v>24246</v>
      </c>
    </row>
    <row r="748" spans="1:5">
      <c r="A748" t="s">
        <v>5</v>
      </c>
      <c r="B748" t="s">
        <v>753</v>
      </c>
      <c r="C748">
        <f>HYPERLINK("C:\Users\franc\OneDrive\Documentos\ALIRO\ALIRO\KATHY\ANA LUISA 2010\CERTIFICADOS DE DOMINIO\TUCAPEL.doc", "Abrir Documento")</f>
        <v>0</v>
      </c>
      <c r="D748" t="s">
        <v>23501</v>
      </c>
      <c r="E748" t="s">
        <v>24247</v>
      </c>
    </row>
    <row r="749" spans="1:5">
      <c r="A749" t="s">
        <v>5</v>
      </c>
      <c r="B749" t="s">
        <v>754</v>
      </c>
      <c r="C749">
        <f>HYPERLINK("C:\Users\franc\OneDrive\Documentos\ALIRO\ALIRO\KATHY\ANA LUISA 2010\CERTIFICADOS DE DOMINIO\TORBELLINO 1 AL 56.doc", "Abrir Documento")</f>
        <v>0</v>
      </c>
      <c r="D749" t="s">
        <v>23501</v>
      </c>
      <c r="E749" t="s">
        <v>24248</v>
      </c>
    </row>
    <row r="750" spans="1:5">
      <c r="A750" t="s">
        <v>5</v>
      </c>
      <c r="B750" t="s">
        <v>755</v>
      </c>
      <c r="C750">
        <f>HYPERLINK("C:\Users\franc\OneDrive\Documentos\ALIRO\ALIRO\KATHY\ANA LUISA 2010\CERTIFICADOS DE DOMINIO\TOQUI 59.doc", "Abrir Documento")</f>
        <v>0</v>
      </c>
      <c r="D750" t="s">
        <v>23500</v>
      </c>
      <c r="E750" t="s">
        <v>24249</v>
      </c>
    </row>
    <row r="751" spans="1:5">
      <c r="A751" t="s">
        <v>5</v>
      </c>
      <c r="B751" t="s">
        <v>756</v>
      </c>
      <c r="C751">
        <f>HYPERLINK("C:\Users\franc\OneDrive\Documentos\ALIRO\ALIRO\KATHY\ANA LUISA 2010\CERTIFICADOS DE DOMINIO\TOQUI 58.doc", "Abrir Documento")</f>
        <v>0</v>
      </c>
      <c r="D751" t="s">
        <v>23500</v>
      </c>
      <c r="E751" t="s">
        <v>24250</v>
      </c>
    </row>
    <row r="752" spans="1:5">
      <c r="A752" t="s">
        <v>5</v>
      </c>
      <c r="B752" t="s">
        <v>757</v>
      </c>
      <c r="C752">
        <f>HYPERLINK("C:\Users\franc\OneDrive\Documentos\ALIRO\ALIRO\KATHY\ANA LUISA 2010\CERTIFICADOS DE DOMINIO\TOQUI 46.doc", "Abrir Documento")</f>
        <v>0</v>
      </c>
      <c r="D752" t="s">
        <v>23500</v>
      </c>
      <c r="E752" t="s">
        <v>24251</v>
      </c>
    </row>
    <row r="753" spans="1:5">
      <c r="A753" t="s">
        <v>5</v>
      </c>
      <c r="B753" t="s">
        <v>758</v>
      </c>
      <c r="C753">
        <f>HYPERLINK("C:\Users\franc\OneDrive\Documentos\ALIRO\ALIRO\KATHY\ANA LUISA 2010\CERTIFICADOS DE DOMINIO\TOQUI 45.doc", "Abrir Documento")</f>
        <v>0</v>
      </c>
      <c r="D753" t="s">
        <v>23500</v>
      </c>
      <c r="E753" t="s">
        <v>24252</v>
      </c>
    </row>
    <row r="754" spans="1:5">
      <c r="A754" t="s">
        <v>5</v>
      </c>
      <c r="B754" t="s">
        <v>759</v>
      </c>
      <c r="C754">
        <f>HYPERLINK("C:\Users\franc\OneDrive\Documentos\ALIRO\ALIRO\KATHY\ANA LUISA 2010\CERTIFICADOS DE DOMINIO\THOR CINCO 1 AL 300  MANIFESTACION.doc", "Abrir Documento")</f>
        <v>0</v>
      </c>
      <c r="D754" t="s">
        <v>23501</v>
      </c>
      <c r="E754" t="s">
        <v>24253</v>
      </c>
    </row>
    <row r="755" spans="1:5">
      <c r="A755" t="s">
        <v>5</v>
      </c>
      <c r="B755" t="s">
        <v>760</v>
      </c>
      <c r="C755">
        <f>HYPERLINK("C:\Users\franc\OneDrive\Documentos\ALIRO\ALIRO\KATHY\ANA LUISA 2010\CERTIFICADOS DE DOMINIO\TERESA  -   CIA MINERA DE TOCOPILLA S.A..doc", "Abrir Documento")</f>
        <v>0</v>
      </c>
      <c r="D755" t="s">
        <v>23500</v>
      </c>
      <c r="E755" t="s">
        <v>24254</v>
      </c>
    </row>
    <row r="756" spans="1:5">
      <c r="A756" t="s">
        <v>5</v>
      </c>
      <c r="B756" t="s">
        <v>761</v>
      </c>
      <c r="C756">
        <f>HYPERLINK("C:\Users\franc\OneDrive\Documentos\ALIRO\ALIRO\KATHY\ANA LUISA 2010\CERTIFICADOS DE DOMINIO\TERESA  -   CIA MINERA DE PANULCILLO S.A..doc", "Abrir Documento")</f>
        <v>0</v>
      </c>
      <c r="D756" t="s">
        <v>23501</v>
      </c>
      <c r="E756" t="s">
        <v>24255</v>
      </c>
    </row>
    <row r="757" spans="1:5">
      <c r="A757" t="s">
        <v>5</v>
      </c>
      <c r="B757" t="s">
        <v>762</v>
      </c>
      <c r="C757">
        <f>HYPERLINK("C:\Users\franc\OneDrive\Documentos\ALIRO\ALIRO\KATHY\ANA LUISA 2010\CERTIFICADOS DE DOMINIO\TALCA 1 AL 40.doc", "Abrir Documento")</f>
        <v>0</v>
      </c>
      <c r="D757" t="s">
        <v>23501</v>
      </c>
      <c r="E757" t="s">
        <v>24256</v>
      </c>
    </row>
    <row r="758" spans="1:5">
      <c r="A758" t="s">
        <v>5</v>
      </c>
      <c r="B758" t="s">
        <v>763</v>
      </c>
      <c r="C758">
        <f>HYPERLINK("C:\Users\franc\OneDrive\Documentos\ALIRO\ALIRO\KATHY\ANA LUISA 2010\CERTIFICADOS DE DOMINIO\SULFURO 1 AL 8.doc", "Abrir Documento")</f>
        <v>0</v>
      </c>
      <c r="D758" t="s">
        <v>23501</v>
      </c>
      <c r="E758" t="s">
        <v>24257</v>
      </c>
    </row>
    <row r="759" spans="1:5">
      <c r="A759" t="s">
        <v>5</v>
      </c>
      <c r="B759" t="s">
        <v>764</v>
      </c>
      <c r="C759">
        <f>HYPERLINK("C:\Users\franc\OneDrive\Documentos\ALIRO\ALIRO\KATHY\ANA LUISA 2010\CERTIFICADOS DE DOMINIO\SUCESORA  -   CIA MINERA PANULCILLO S.A..doc", "Abrir Documento")</f>
        <v>0</v>
      </c>
      <c r="D759" t="s">
        <v>23501</v>
      </c>
      <c r="E759" t="s">
        <v>24258</v>
      </c>
    </row>
    <row r="760" spans="1:5">
      <c r="A760" t="s">
        <v>5</v>
      </c>
      <c r="B760" t="s">
        <v>765</v>
      </c>
      <c r="C760">
        <f>HYPERLINK("C:\Users\franc\OneDrive\Documentos\ALIRO\ALIRO\KATHY\ANA LUISA 2010\CERTIFICADOS DE DOMINIO\SCARLETH 1 AL 2.doc", "Abrir Documento")</f>
        <v>0</v>
      </c>
      <c r="D760" t="s">
        <v>23501</v>
      </c>
      <c r="E760" t="s">
        <v>24259</v>
      </c>
    </row>
    <row r="761" spans="1:5">
      <c r="A761" t="s">
        <v>5</v>
      </c>
      <c r="B761" t="s">
        <v>766</v>
      </c>
      <c r="C761">
        <f>HYPERLINK("C:\Users\franc\OneDrive\Documentos\ALIRO\ALIRO\KATHY\ANA LUISA 2010\CERTIFICADOS DE DOMINIO\SANTA RITA 1 AL 12.doc", "Abrir Documento")</f>
        <v>0</v>
      </c>
      <c r="D761" t="s">
        <v>23501</v>
      </c>
      <c r="E761" t="s">
        <v>24260</v>
      </c>
    </row>
    <row r="762" spans="1:5">
      <c r="A762" t="s">
        <v>5</v>
      </c>
      <c r="B762" t="s">
        <v>767</v>
      </c>
      <c r="C762">
        <f>HYPERLINK("C:\Users\franc\OneDrive\Documentos\ALIRO\ALIRO\KATHY\ANA LUISA 2010\CERTIFICADOS DE DOMINIO\SANTA NICOLE 1 AL 5  MANIFESTACION.doc", "Abrir Documento")</f>
        <v>0</v>
      </c>
      <c r="D762" t="s">
        <v>23501</v>
      </c>
      <c r="E762" t="s">
        <v>24261</v>
      </c>
    </row>
    <row r="763" spans="1:5">
      <c r="A763" t="s">
        <v>5</v>
      </c>
      <c r="B763" t="s">
        <v>768</v>
      </c>
      <c r="C763">
        <f>HYPERLINK("C:\Users\franc\OneDrive\Documentos\ALIRO\ALIRO\KATHY\ANA LUISA 2010\CERTIFICADOS DE DOMINIO\SANTA LUCIA 1 AL 10.- SALVADOR FERNANDO CASTILLO HONORES.doc", "Abrir Documento")</f>
        <v>0</v>
      </c>
      <c r="D763" t="s">
        <v>23501</v>
      </c>
      <c r="E763" t="s">
        <v>24262</v>
      </c>
    </row>
    <row r="764" spans="1:5">
      <c r="A764" t="s">
        <v>5</v>
      </c>
      <c r="B764" t="s">
        <v>769</v>
      </c>
      <c r="C764">
        <f>HYPERLINK("C:\Users\franc\OneDrive\Documentos\ALIRO\ALIRO\KATHY\ANA LUISA 2010\CERTIFICADOS DE DOMINIO\SANTA FE.doc", "Abrir Documento")</f>
        <v>0</v>
      </c>
      <c r="D764" t="s">
        <v>23501</v>
      </c>
      <c r="E764" t="s">
        <v>24263</v>
      </c>
    </row>
    <row r="765" spans="1:5">
      <c r="A765" t="s">
        <v>5</v>
      </c>
      <c r="B765" t="s">
        <v>770</v>
      </c>
      <c r="C765">
        <f>HYPERLINK("C:\Users\franc\OneDrive\Documentos\ALIRO\ALIRO\KATHY\ANA LUISA 2010\CERTIFICADOS DE DOMINIO\SANTA ELENA 1 AL 11.doc", "Abrir Documento")</f>
        <v>0</v>
      </c>
      <c r="D765" t="s">
        <v>23501</v>
      </c>
      <c r="E765" t="s">
        <v>24264</v>
      </c>
    </row>
    <row r="766" spans="1:5">
      <c r="A766" t="s">
        <v>5</v>
      </c>
      <c r="B766" t="s">
        <v>771</v>
      </c>
      <c r="C766">
        <f>HYPERLINK("C:\Users\franc\OneDrive\Documentos\ALIRO\ALIRO\KATHY\ANA LUISA 2010\CERTIFICADOS DE DOMINIO\SANTA CLARA II 1 AL 7 - MANUEL CARVAJAL CUELLO.doc", "Abrir Documento")</f>
        <v>0</v>
      </c>
      <c r="D766" t="s">
        <v>23501</v>
      </c>
      <c r="E766" t="s">
        <v>24265</v>
      </c>
    </row>
    <row r="767" spans="1:5">
      <c r="A767" t="s">
        <v>5</v>
      </c>
      <c r="B767" t="s">
        <v>772</v>
      </c>
      <c r="C767">
        <f>HYPERLINK("C:\Users\franc\OneDrive\Documentos\ALIRO\ALIRO\KATHY\ANA LUISA 2010\CERTIFICADOS DE DOMINIO\SANTA CLARA 1 AL 2 - MANUEL CARVAJAL CUELLO.doc", "Abrir Documento")</f>
        <v>0</v>
      </c>
      <c r="D767" t="s">
        <v>23501</v>
      </c>
      <c r="E767" t="s">
        <v>24266</v>
      </c>
    </row>
    <row r="768" spans="1:5">
      <c r="A768" t="s">
        <v>5</v>
      </c>
      <c r="B768" t="s">
        <v>773</v>
      </c>
      <c r="C768">
        <f>HYPERLINK("C:\Users\franc\OneDrive\Documentos\ALIRO\ALIRO\KATHY\ANA LUISA 2010\CERTIFICADOS DE DOMINIO\SANTA CAROLINA OCHO.doc", "Abrir Documento")</f>
        <v>0</v>
      </c>
      <c r="D768" t="s">
        <v>23501</v>
      </c>
      <c r="E768" t="s">
        <v>24267</v>
      </c>
    </row>
    <row r="769" spans="1:5">
      <c r="A769" t="s">
        <v>5</v>
      </c>
      <c r="B769" t="s">
        <v>774</v>
      </c>
      <c r="C769">
        <f>HYPERLINK("C:\Users\franc\OneDrive\Documentos\ALIRO\ALIRO\KATHY\ANA LUISA 2010\CERTIFICADOS DE DOMINIO\SANTA CAROLINA NUEVE Y DIEZ.doc", "Abrir Documento")</f>
        <v>0</v>
      </c>
      <c r="D769" t="s">
        <v>23501</v>
      </c>
      <c r="E769" t="s">
        <v>24268</v>
      </c>
    </row>
    <row r="770" spans="1:5">
      <c r="A770" t="s">
        <v>5</v>
      </c>
      <c r="B770" t="s">
        <v>775</v>
      </c>
      <c r="C770">
        <f>HYPERLINK("C:\Users\franc\OneDrive\Documentos\ALIRO\ALIRO\KATHY\ANA LUISA 2010\CERTIFICADOS DE DOMINIO\SAN PEDRO 1 AL 5.doc", "Abrir Documento")</f>
        <v>0</v>
      </c>
      <c r="D770" t="s">
        <v>23501</v>
      </c>
      <c r="E770" t="s">
        <v>24269</v>
      </c>
    </row>
    <row r="771" spans="1:5">
      <c r="A771" t="s">
        <v>5</v>
      </c>
      <c r="B771" t="s">
        <v>776</v>
      </c>
      <c r="C771">
        <f>HYPERLINK("C:\Users\franc\OneDrive\Documentos\ALIRO\ALIRO\KATHY\ANA LUISA 2010\CERTIFICADOS DE DOMINIO\SAN PEDRO 1 AL 5 - MENSURA  JORGE ARAYA BARRAZA.doc", "Abrir Documento")</f>
        <v>0</v>
      </c>
      <c r="D771" t="s">
        <v>23501</v>
      </c>
      <c r="E771" t="s">
        <v>24270</v>
      </c>
    </row>
    <row r="772" spans="1:5">
      <c r="A772" t="s">
        <v>5</v>
      </c>
      <c r="B772" t="s">
        <v>777</v>
      </c>
      <c r="C772">
        <f>HYPERLINK("C:\Users\franc\OneDrive\Documentos\ALIRO\ALIRO\KATHY\ANA LUISA 2010\CERTIFICADOS DE DOMINIO\SAN MIGUEL 1 AL 20.doc", "Abrir Documento")</f>
        <v>0</v>
      </c>
      <c r="D772" t="s">
        <v>23501</v>
      </c>
      <c r="E772" t="s">
        <v>24271</v>
      </c>
    </row>
    <row r="773" spans="1:5">
      <c r="A773" t="s">
        <v>5</v>
      </c>
      <c r="B773" t="s">
        <v>778</v>
      </c>
      <c r="C773">
        <f>HYPERLINK("C:\Users\franc\OneDrive\Documentos\ALIRO\ALIRO\KATHY\ANA LUISA 2010\CERTIFICADOS DE DOMINIO\SAN MARCELO UNO A SAN MARCELO VEINTE.doc", "Abrir Documento")</f>
        <v>0</v>
      </c>
      <c r="D773" t="s">
        <v>23501</v>
      </c>
      <c r="E773" t="s">
        <v>24272</v>
      </c>
    </row>
    <row r="774" spans="1:5">
      <c r="A774" t="s">
        <v>5</v>
      </c>
      <c r="B774" t="s">
        <v>779</v>
      </c>
      <c r="C774">
        <f>HYPERLINK("C:\Users\franc\OneDrive\Documentos\ALIRO\ALIRO\KATHY\ANA LUISA 2010\CERTIFICADOS DE DOMINIO\SAN MANUEL SEGUNDA 1 AL 10.doc", "Abrir Documento")</f>
        <v>0</v>
      </c>
      <c r="D774" t="s">
        <v>23501</v>
      </c>
      <c r="E774" t="s">
        <v>24273</v>
      </c>
    </row>
    <row r="775" spans="1:5">
      <c r="A775" t="s">
        <v>5</v>
      </c>
      <c r="B775" t="s">
        <v>780</v>
      </c>
      <c r="C775">
        <f>HYPERLINK("C:\Users\franc\OneDrive\Documentos\ALIRO\ALIRO\KATHY\ANA LUISA 2010\CERTIFICADOS DE DOMINIO\SAN MANUEL 11 al 20.doc", "Abrir Documento")</f>
        <v>0</v>
      </c>
      <c r="D775" t="s">
        <v>23501</v>
      </c>
      <c r="E775" t="s">
        <v>24274</v>
      </c>
    </row>
    <row r="776" spans="1:5">
      <c r="A776" t="s">
        <v>5</v>
      </c>
      <c r="B776" t="s">
        <v>781</v>
      </c>
      <c r="C776">
        <f>HYPERLINK("C:\Users\franc\OneDrive\Documentos\ALIRO\ALIRO\KATHY\ANA LUISA 2010\CERTIFICADOS DE DOMINIO\SAN MANUEL 1 AL 10.doc", "Abrir Documento")</f>
        <v>0</v>
      </c>
      <c r="D776" t="s">
        <v>23501</v>
      </c>
      <c r="E776" t="s">
        <v>24275</v>
      </c>
    </row>
    <row r="777" spans="1:5">
      <c r="A777" t="s">
        <v>5</v>
      </c>
      <c r="B777" t="s">
        <v>782</v>
      </c>
      <c r="C777">
        <f>HYPERLINK("C:\Users\franc\OneDrive\Documentos\ALIRO\ALIRO\KATHY\ANA LUISA 2010\CERTIFICADOS DE DOMINIO\SAN JOSE 61 - 80   MANIFESTACION.doc", "Abrir Documento")</f>
        <v>0</v>
      </c>
      <c r="D777" t="s">
        <v>23501</v>
      </c>
      <c r="E777" t="s">
        <v>24276</v>
      </c>
    </row>
    <row r="778" spans="1:5">
      <c r="A778" t="s">
        <v>5</v>
      </c>
      <c r="B778" t="s">
        <v>783</v>
      </c>
      <c r="C778">
        <f>HYPERLINK("C:\Users\franc\OneDrive\Documentos\ALIRO\ALIRO\KATHY\ANA LUISA 2010\CERTIFICADOS DE DOMINIO\SAN JORGE 1 AL 15.doc", "Abrir Documento")</f>
        <v>0</v>
      </c>
      <c r="D778" t="s">
        <v>23501</v>
      </c>
      <c r="E778" t="s">
        <v>24277</v>
      </c>
    </row>
    <row r="779" spans="1:5">
      <c r="A779" t="s">
        <v>5</v>
      </c>
      <c r="B779" t="s">
        <v>784</v>
      </c>
      <c r="C779">
        <f>HYPERLINK("C:\Users\franc\OneDrive\Documentos\ALIRO\ALIRO\KATHY\ANA LUISA 2010\CERTIFICADOS DE DOMINIO\SAN JORGE  -   CIA MINERA DE TOCOPILLA S.A..doc", "Abrir Documento")</f>
        <v>0</v>
      </c>
      <c r="D779" t="s">
        <v>23500</v>
      </c>
      <c r="E779" t="s">
        <v>24278</v>
      </c>
    </row>
    <row r="780" spans="1:5">
      <c r="A780" t="s">
        <v>5</v>
      </c>
      <c r="B780" t="s">
        <v>785</v>
      </c>
      <c r="C780">
        <f>HYPERLINK("C:\Users\franc\OneDrive\Documentos\ALIRO\ALIRO\KATHY\ANA LUISA 2010\CERTIFICADOS DE DOMINIO\SAN JORGE  -   CIA MINERA DE PANULCILLO S.A..doc", "Abrir Documento")</f>
        <v>0</v>
      </c>
      <c r="D780" t="s">
        <v>23501</v>
      </c>
      <c r="E780" t="s">
        <v>24279</v>
      </c>
    </row>
    <row r="781" spans="1:5">
      <c r="A781" t="s">
        <v>5</v>
      </c>
      <c r="B781" t="s">
        <v>786</v>
      </c>
      <c r="C781">
        <f>HYPERLINK("C:\Users\franc\OneDrive\Documentos\ALIRO\ALIRO\KATHY\ANA LUISA 2010\CERTIFICADOS DE DOMINIO\SAN FELIX II DEL 1 AL 20    MANIFESTACION.doc", "Abrir Documento")</f>
        <v>0</v>
      </c>
      <c r="D781" t="s">
        <v>23501</v>
      </c>
      <c r="E781" t="s">
        <v>24280</v>
      </c>
    </row>
    <row r="782" spans="1:5">
      <c r="A782" t="s">
        <v>5</v>
      </c>
      <c r="B782" t="s">
        <v>787</v>
      </c>
      <c r="C782">
        <f>HYPERLINK("C:\Users\franc\OneDrive\Documentos\ALIRO\ALIRO\KATHY\ANA LUISA 2010\CERTIFICADOS DE DOMINIO\SAN FELIX 1 AL 8.doc", "Abrir Documento")</f>
        <v>0</v>
      </c>
      <c r="D782" t="s">
        <v>23501</v>
      </c>
      <c r="E782" t="s">
        <v>24281</v>
      </c>
    </row>
    <row r="783" spans="1:5">
      <c r="A783" t="s">
        <v>5</v>
      </c>
      <c r="B783" t="s">
        <v>788</v>
      </c>
      <c r="C783">
        <f>HYPERLINK("C:\Users\franc\OneDrive\Documentos\ALIRO\ALIRO\KATHY\ANA LUISA 2010\CERTIFICADOS DE DOMINIO\SAN FELIX  III   DEL 1 AL 20    MANIFESTACION.doc", "Abrir Documento")</f>
        <v>0</v>
      </c>
      <c r="D783" t="s">
        <v>23501</v>
      </c>
      <c r="E783" t="s">
        <v>24282</v>
      </c>
    </row>
    <row r="784" spans="1:5">
      <c r="A784" t="s">
        <v>5</v>
      </c>
      <c r="B784" t="s">
        <v>789</v>
      </c>
      <c r="C784">
        <f>HYPERLINK("C:\Users\franc\OneDrive\Documentos\ALIRO\ALIRO\KATHY\ANA LUISA 2010\CERTIFICADOS DE DOMINIO\SAN ANDRES 1 AL 7.doc", "Abrir Documento")</f>
        <v>0</v>
      </c>
      <c r="D784" t="s">
        <v>23501</v>
      </c>
      <c r="E784" t="s">
        <v>24283</v>
      </c>
    </row>
    <row r="785" spans="1:5">
      <c r="A785" t="s">
        <v>5</v>
      </c>
      <c r="B785" t="s">
        <v>790</v>
      </c>
      <c r="C785">
        <f>HYPERLINK("C:\Users\franc\OneDrive\Documentos\ALIRO\ALIRO\KATHY\ANA LUISA 2010\CERTIFICADOS DE DOMINIO\SAN ANDRES 1 AL 14.doc", "Abrir Documento")</f>
        <v>0</v>
      </c>
      <c r="D785" t="s">
        <v>23501</v>
      </c>
      <c r="E785" t="s">
        <v>24284</v>
      </c>
    </row>
    <row r="786" spans="1:5">
      <c r="A786" t="s">
        <v>5</v>
      </c>
      <c r="B786" t="s">
        <v>791</v>
      </c>
      <c r="C786">
        <f>HYPERLINK("C:\Users\franc\OneDrive\Documentos\ALIRO\ALIRO\KATHY\ANA LUISA 2010\CERTIFICADOS DE DOMINIO\SAN ANDRES 1 AL 10 - AMALIA DEL C. RISSO.doc", "Abrir Documento")</f>
        <v>0</v>
      </c>
      <c r="D786" t="s">
        <v>23501</v>
      </c>
      <c r="E786" t="s">
        <v>24285</v>
      </c>
    </row>
    <row r="787" spans="1:5">
      <c r="A787" t="s">
        <v>5</v>
      </c>
      <c r="B787" t="s">
        <v>792</v>
      </c>
      <c r="C787">
        <f>HYPERLINK("C:\Users\franc\OneDrive\Documentos\ALIRO\ALIRO\KATHY\ANA LUISA 2010\CERTIFICADOS DE DOMINIO\SAN AGUSTIN 1 AL 10  -  PATRICIA RIVERA MURA.doc", "Abrir Documento")</f>
        <v>0</v>
      </c>
      <c r="D787" t="s">
        <v>23501</v>
      </c>
      <c r="E787" t="s">
        <v>24286</v>
      </c>
    </row>
    <row r="788" spans="1:5">
      <c r="A788" t="s">
        <v>5</v>
      </c>
      <c r="B788" t="s">
        <v>793</v>
      </c>
      <c r="C788">
        <f>HYPERLINK("C:\Users\franc\OneDrive\Documentos\ALIRO\ALIRO\KATHY\ANA LUISA 2010\CERTIFICADOS DE DOMINIO\SALAMANCA.doc", "Abrir Documento")</f>
        <v>0</v>
      </c>
      <c r="D788" t="s">
        <v>23501</v>
      </c>
      <c r="E788" t="s">
        <v>24287</v>
      </c>
    </row>
    <row r="789" spans="1:5">
      <c r="A789" t="s">
        <v>5</v>
      </c>
      <c r="B789" t="s">
        <v>794</v>
      </c>
      <c r="C789">
        <f>HYPERLINK("C:\Users\franc\OneDrive\Documentos\ALIRO\ALIRO\KATHY\ANA LUISA 2010\CERTIFICADOS DE DOMINIO\ROSANA  - MINERA MARUJA TRES AL CINCO.doc", "Abrir Documento")</f>
        <v>0</v>
      </c>
      <c r="D789" t="s">
        <v>23501</v>
      </c>
      <c r="E789" t="s">
        <v>24288</v>
      </c>
    </row>
    <row r="790" spans="1:5">
      <c r="A790" t="s">
        <v>5</v>
      </c>
      <c r="B790" t="s">
        <v>795</v>
      </c>
      <c r="C790">
        <f>HYPERLINK("C:\Users\franc\OneDrive\Documentos\ALIRO\ALIRO\KATHY\ANA LUISA 2010\CERTIFICADOS DE DOMINIO\ROCIO SIETE 1 AL 30 - MENSURA 2011.doc", "Abrir Documento")</f>
        <v>0</v>
      </c>
      <c r="D790" t="s">
        <v>23501</v>
      </c>
      <c r="E790" t="s">
        <v>24289</v>
      </c>
    </row>
    <row r="791" spans="1:5">
      <c r="A791" t="s">
        <v>5</v>
      </c>
      <c r="B791" t="s">
        <v>796</v>
      </c>
      <c r="C791">
        <f>HYPERLINK("C:\Users\franc\OneDrive\Documentos\ALIRO\ALIRO\KATHY\ANA LUISA 2010\CERTIFICADOS DE DOMINIO\ROCIO SIETE 1 AL 30  -    MANIFESTACION.doc", "Abrir Documento")</f>
        <v>0</v>
      </c>
      <c r="D791" t="s">
        <v>23501</v>
      </c>
      <c r="E791" t="s">
        <v>24290</v>
      </c>
    </row>
    <row r="792" spans="1:5">
      <c r="A792" t="s">
        <v>5</v>
      </c>
      <c r="B792" t="s">
        <v>797</v>
      </c>
      <c r="C792">
        <f>HYPERLINK("C:\Users\franc\OneDrive\Documentos\ALIRO\ALIRO\KATHY\ANA LUISA 2010\CERTIFICADOS DE DOMINIO\ROCIO ONCE 1 AL 30  -    MANIFESTACION.doc", "Abrir Documento")</f>
        <v>0</v>
      </c>
      <c r="D792" t="s">
        <v>23501</v>
      </c>
      <c r="E792" t="s">
        <v>24291</v>
      </c>
    </row>
    <row r="793" spans="1:5">
      <c r="A793" t="s">
        <v>5</v>
      </c>
      <c r="B793" t="s">
        <v>798</v>
      </c>
      <c r="C793">
        <f>HYPERLINK("C:\Users\franc\OneDrive\Documentos\ALIRO\ALIRO\KATHY\ANA LUISA 2010\CERTIFICADOS DE DOMINIO\ROCIO ONCE 1 AL 12 - MENSURA 2011.doc", "Abrir Documento")</f>
        <v>0</v>
      </c>
      <c r="D793" t="s">
        <v>23501</v>
      </c>
      <c r="E793" t="s">
        <v>24292</v>
      </c>
    </row>
    <row r="794" spans="1:5">
      <c r="A794" t="s">
        <v>5</v>
      </c>
      <c r="B794" t="s">
        <v>799</v>
      </c>
      <c r="C794">
        <f>HYPERLINK("C:\Users\franc\OneDrive\Documentos\ALIRO\ALIRO\KATHY\ANA LUISA 2010\CERTIFICADOS DE DOMINIO\ROCIO NUEVE 1 AL 30  -    MANIFESTACION.doc", "Abrir Documento")</f>
        <v>0</v>
      </c>
      <c r="D794" t="s">
        <v>23501</v>
      </c>
      <c r="E794" t="s">
        <v>24293</v>
      </c>
    </row>
    <row r="795" spans="1:5">
      <c r="A795" t="s">
        <v>5</v>
      </c>
      <c r="B795" t="s">
        <v>800</v>
      </c>
      <c r="C795">
        <f>HYPERLINK("C:\Users\franc\OneDrive\Documentos\ALIRO\ALIRO\KATHY\ANA LUISA 2010\CERTIFICADOS DE DOMINIO\ROCIO NUEVE  1 AL 30 - MENSURA 2011.doc", "Abrir Documento")</f>
        <v>0</v>
      </c>
      <c r="D795" t="s">
        <v>23501</v>
      </c>
      <c r="E795" t="s">
        <v>24294</v>
      </c>
    </row>
    <row r="796" spans="1:5">
      <c r="A796" t="s">
        <v>5</v>
      </c>
      <c r="B796" t="s">
        <v>801</v>
      </c>
      <c r="C796">
        <f>HYPERLINK("C:\Users\franc\OneDrive\Documentos\ALIRO\ALIRO\KATHY\ANA LUISA 2010\CERTIFICADOS DE DOMINIO\ROCIO DOCE 1 AL 5  -    MANIFESTACION.doc", "Abrir Documento")</f>
        <v>0</v>
      </c>
      <c r="D796" t="s">
        <v>23501</v>
      </c>
      <c r="E796" t="s">
        <v>24295</v>
      </c>
    </row>
    <row r="797" spans="1:5">
      <c r="A797" t="s">
        <v>5</v>
      </c>
      <c r="B797" t="s">
        <v>802</v>
      </c>
      <c r="C797">
        <f>HYPERLINK("C:\Users\franc\OneDrive\Documentos\ALIRO\ALIRO\KATHY\ANA LUISA 2010\CERTIFICADOS DE DOMINIO\ROCIO DOCE 1 AL 2 - MENSURA 2010.doc", "Abrir Documento")</f>
        <v>0</v>
      </c>
      <c r="D797" t="s">
        <v>23501</v>
      </c>
      <c r="E797" t="s">
        <v>24296</v>
      </c>
    </row>
    <row r="798" spans="1:5">
      <c r="A798" t="s">
        <v>5</v>
      </c>
      <c r="B798" t="s">
        <v>803</v>
      </c>
      <c r="C798">
        <f>HYPERLINK("C:\Users\franc\OneDrive\Documentos\ALIRO\ALIRO\KATHY\ANA LUISA 2010\CERTIFICADOS DE DOMINIO\ROCIO DIEZ 1 AL 30  -    MANIFESTACION.doc", "Abrir Documento")</f>
        <v>0</v>
      </c>
      <c r="D798" t="s">
        <v>23501</v>
      </c>
      <c r="E798" t="s">
        <v>24297</v>
      </c>
    </row>
    <row r="799" spans="1:5">
      <c r="A799" t="s">
        <v>5</v>
      </c>
      <c r="B799" t="s">
        <v>804</v>
      </c>
      <c r="C799">
        <f>HYPERLINK("C:\Users\franc\OneDrive\Documentos\ALIRO\ALIRO\KATHY\ANA LUISA 2010\CERTIFICADOS DE DOMINIO\ROCIO DIEZ  1 AL 29 - MENSURA 2011.doc", "Abrir Documento")</f>
        <v>0</v>
      </c>
      <c r="D799" t="s">
        <v>23501</v>
      </c>
      <c r="E799" t="s">
        <v>24298</v>
      </c>
    </row>
    <row r="800" spans="1:5">
      <c r="A800" t="s">
        <v>5</v>
      </c>
      <c r="B800" t="s">
        <v>805</v>
      </c>
      <c r="C800">
        <f>HYPERLINK("C:\Users\franc\OneDrive\Documentos\ALIRO\ALIRO\KATHY\ANA LUISA 2010\CERTIFICADOS DE DOMINIO\ROCIO 7   -   CONCESION DE EXPLORACION.doc", "Abrir Documento")</f>
        <v>0</v>
      </c>
      <c r="D800" t="s">
        <v>23500</v>
      </c>
      <c r="E800" t="s">
        <v>24299</v>
      </c>
    </row>
    <row r="801" spans="1:5">
      <c r="A801" t="s">
        <v>5</v>
      </c>
      <c r="B801" t="s">
        <v>806</v>
      </c>
      <c r="C801">
        <f>HYPERLINK("C:\Users\franc\OneDrive\Documentos\ALIRO\ALIRO\KATHY\ANA LUISA 2010\CERTIFICADOS DE DOMINIO\RITA 1 AL 7.doc", "Abrir Documento")</f>
        <v>0</v>
      </c>
      <c r="D801" t="s">
        <v>23501</v>
      </c>
      <c r="E801" t="s">
        <v>24300</v>
      </c>
    </row>
    <row r="802" spans="1:5">
      <c r="A802" t="s">
        <v>5</v>
      </c>
      <c r="B802" t="s">
        <v>807</v>
      </c>
      <c r="C802">
        <f>HYPERLINK("C:\Users\franc\OneDrive\Documentos\ALIRO\ALIRO\KATHY\ANA LUISA 2010\CERTIFICADOS DE DOMINIO\RINCON 1 A 19.doc", "Abrir Documento")</f>
        <v>0</v>
      </c>
      <c r="D802" t="s">
        <v>23501</v>
      </c>
      <c r="E802" t="s">
        <v>24301</v>
      </c>
    </row>
    <row r="803" spans="1:5">
      <c r="A803" t="s">
        <v>5</v>
      </c>
      <c r="B803" t="s">
        <v>808</v>
      </c>
      <c r="C803">
        <f>HYPERLINK("C:\Users\franc\OneDrive\Documentos\ALIRO\ALIRO\KATHY\ANA LUISA 2010\CERTIFICADOS DE DOMINIO\RHODESIA.doc", "Abrir Documento")</f>
        <v>0</v>
      </c>
      <c r="D803" t="s">
        <v>23501</v>
      </c>
      <c r="E803" t="s">
        <v>24302</v>
      </c>
    </row>
    <row r="804" spans="1:5">
      <c r="A804" t="s">
        <v>5</v>
      </c>
      <c r="B804" t="s">
        <v>809</v>
      </c>
      <c r="C804">
        <f>HYPERLINK("C:\Users\franc\OneDrive\Documentos\ALIRO\ALIRO\KATHY\ANA LUISA 2010\CERTIFICADOS DE DOMINIO\REY PRIMERO 1-2-7-8-9-........doc", "Abrir Documento")</f>
        <v>0</v>
      </c>
      <c r="D804" t="s">
        <v>23501</v>
      </c>
      <c r="E804" t="s">
        <v>24303</v>
      </c>
    </row>
    <row r="805" spans="1:5">
      <c r="A805" t="s">
        <v>5</v>
      </c>
      <c r="B805" t="s">
        <v>810</v>
      </c>
      <c r="C805">
        <f>HYPERLINK("C:\Users\franc\OneDrive\Documentos\ALIRO\ALIRO\KATHY\ANA LUISA 2010\CERTIFICADOS DE DOMINIO\RESGUARDO.doc", "Abrir Documento")</f>
        <v>0</v>
      </c>
      <c r="D805" t="s">
        <v>23501</v>
      </c>
      <c r="E805" t="s">
        <v>24304</v>
      </c>
    </row>
    <row r="806" spans="1:5">
      <c r="A806" t="s">
        <v>5</v>
      </c>
      <c r="B806" t="s">
        <v>811</v>
      </c>
      <c r="C806">
        <f>HYPERLINK("C:\Users\franc\OneDrive\Documentos\ALIRO\ALIRO\KATHY\ANA LUISA 2010\CERTIFICADOS DE DOMINIO\RESGUARDO 1 AL 6.doc", "Abrir Documento")</f>
        <v>0</v>
      </c>
      <c r="D806" t="s">
        <v>23501</v>
      </c>
      <c r="E806" t="s">
        <v>24305</v>
      </c>
    </row>
    <row r="807" spans="1:5">
      <c r="A807" t="s">
        <v>5</v>
      </c>
      <c r="B807" t="s">
        <v>812</v>
      </c>
      <c r="C807">
        <f>HYPERLINK("C:\Users\franc\OneDrive\Documentos\ALIRO\ALIRO\KATHY\ANA LUISA 2010\CERTIFICADOS DE DOMINIO\RESERVA 1 A 11.doc", "Abrir Documento")</f>
        <v>0</v>
      </c>
      <c r="D807" t="s">
        <v>23501</v>
      </c>
      <c r="E807" t="s">
        <v>24306</v>
      </c>
    </row>
    <row r="808" spans="1:5">
      <c r="A808" t="s">
        <v>5</v>
      </c>
      <c r="B808" t="s">
        <v>813</v>
      </c>
      <c r="C808">
        <f>HYPERLINK("C:\Users\franc\OneDrive\Documentos\ALIRO\ALIRO\KATHY\ANA LUISA 2010\CERTIFICADOS DE DOMINIO\REPUBLICANA.doc", "Abrir Documento")</f>
        <v>0</v>
      </c>
      <c r="D808" t="s">
        <v>23501</v>
      </c>
      <c r="E808" t="s">
        <v>24307</v>
      </c>
    </row>
    <row r="809" spans="1:5">
      <c r="A809" t="s">
        <v>5</v>
      </c>
      <c r="B809" t="s">
        <v>814</v>
      </c>
      <c r="C809">
        <f>HYPERLINK("C:\Users\franc\OneDrive\Documentos\ALIRO\ALIRO\KATHY\ANA LUISA 2010\CERTIFICADOS DE DOMINIO\RASGO.doc", "Abrir Documento")</f>
        <v>0</v>
      </c>
      <c r="D809" t="s">
        <v>23501</v>
      </c>
      <c r="E809" t="s">
        <v>24308</v>
      </c>
    </row>
    <row r="810" spans="1:5">
      <c r="A810" t="s">
        <v>5</v>
      </c>
      <c r="B810" t="s">
        <v>815</v>
      </c>
      <c r="C810">
        <f>HYPERLINK("C:\Users\franc\OneDrive\Documentos\ALIRO\ALIRO\KATHY\ANA LUISA 2010\CERTIFICADOS DE DOMINIO\RAMONCITO.doc", "Abrir Documento")</f>
        <v>0</v>
      </c>
      <c r="D810" t="s">
        <v>23501</v>
      </c>
      <c r="E810" t="s">
        <v>24309</v>
      </c>
    </row>
    <row r="811" spans="1:5">
      <c r="A811" t="s">
        <v>5</v>
      </c>
      <c r="B811" t="s">
        <v>816</v>
      </c>
      <c r="C811">
        <f>HYPERLINK("C:\Users\franc\OneDrive\Documentos\ALIRO\ALIRO\KATHY\ANA LUISA 2010\CERTIFICADOS DE DOMINIO\RAICES DEL 1 AL 14.doc", "Abrir Documento")</f>
        <v>0</v>
      </c>
      <c r="D811" t="s">
        <v>23501</v>
      </c>
      <c r="E811" t="s">
        <v>24310</v>
      </c>
    </row>
    <row r="812" spans="1:5">
      <c r="A812" t="s">
        <v>5</v>
      </c>
      <c r="B812" t="s">
        <v>817</v>
      </c>
      <c r="C812">
        <f>HYPERLINK("C:\Users\franc\OneDrive\Documentos\ALIRO\ALIRO\KATHY\ANA LUISA 2010\CERTIFICADOS DE DOMINIO\QUILES 1 A 10.doc", "Abrir Documento")</f>
        <v>0</v>
      </c>
      <c r="D812" t="s">
        <v>23501</v>
      </c>
      <c r="E812" t="s">
        <v>24311</v>
      </c>
    </row>
    <row r="813" spans="1:5">
      <c r="A813" t="s">
        <v>5</v>
      </c>
      <c r="B813" t="s">
        <v>818</v>
      </c>
      <c r="C813">
        <f>HYPERLINK("C:\Users\franc\OneDrive\Documentos\ALIRO\ALIRO\KATHY\ANA LUISA 2010\CERTIFICADOS DE DOMINIO\PUNTA VERDE 9 A 1 AL 30.doc", "Abrir Documento")</f>
        <v>0</v>
      </c>
      <c r="D813" t="s">
        <v>23501</v>
      </c>
      <c r="E813" t="s">
        <v>24312</v>
      </c>
    </row>
    <row r="814" spans="1:5">
      <c r="A814" t="s">
        <v>5</v>
      </c>
      <c r="B814" t="s">
        <v>819</v>
      </c>
      <c r="C814">
        <f>HYPERLINK("C:\Users\franc\OneDrive\Documentos\ALIRO\ALIRO\KATHY\ANA LUISA 2010\CERTIFICADOS DE DOMINIO\PUNTA VERDE 9 A 1 AL 30.-.doc", "Abrir Documento")</f>
        <v>0</v>
      </c>
      <c r="D814" t="s">
        <v>23501</v>
      </c>
      <c r="E814" t="s">
        <v>24313</v>
      </c>
    </row>
    <row r="815" spans="1:5">
      <c r="A815" t="s">
        <v>5</v>
      </c>
      <c r="B815" t="s">
        <v>820</v>
      </c>
      <c r="C815">
        <f>HYPERLINK("C:\Users\franc\OneDrive\Documentos\ALIRO\ALIRO\KATHY\ANA LUISA 2010\CERTIFICADOS DE DOMINIO\PUNTA VERDE 8 A 1 AL 30.doc", "Abrir Documento")</f>
        <v>0</v>
      </c>
      <c r="D815" t="s">
        <v>23501</v>
      </c>
      <c r="E815" t="s">
        <v>24314</v>
      </c>
    </row>
    <row r="816" spans="1:5">
      <c r="A816" t="s">
        <v>5</v>
      </c>
      <c r="B816" t="s">
        <v>821</v>
      </c>
      <c r="C816">
        <f>HYPERLINK("C:\Users\franc\OneDrive\Documentos\ALIRO\ALIRO\KATHY\ANA LUISA 2010\CERTIFICADOS DE DOMINIO\PUNTA VERDE 8 A 1 AL 30.-.doc", "Abrir Documento")</f>
        <v>0</v>
      </c>
      <c r="D816" t="s">
        <v>23501</v>
      </c>
      <c r="E816" t="s">
        <v>24315</v>
      </c>
    </row>
    <row r="817" spans="1:5">
      <c r="A817" t="s">
        <v>5</v>
      </c>
      <c r="B817" t="s">
        <v>822</v>
      </c>
      <c r="C817">
        <f>HYPERLINK("C:\Users\franc\OneDrive\Documentos\ALIRO\ALIRO\KATHY\ANA LUISA 2010\CERTIFICADOS DE DOMINIO\PUNTA VERDE 7 A 1 AL 30.doc", "Abrir Documento")</f>
        <v>0</v>
      </c>
      <c r="D817" t="s">
        <v>23501</v>
      </c>
      <c r="E817" t="s">
        <v>24316</v>
      </c>
    </row>
    <row r="818" spans="1:5">
      <c r="A818" t="s">
        <v>5</v>
      </c>
      <c r="B818" t="s">
        <v>823</v>
      </c>
      <c r="C818">
        <f>HYPERLINK("C:\Users\franc\OneDrive\Documentos\ALIRO\ALIRO\KATHY\ANA LUISA 2010\CERTIFICADOS DE DOMINIO\PUNTA VERDE 6A 1 AL 30.doc", "Abrir Documento")</f>
        <v>0</v>
      </c>
      <c r="D818" t="s">
        <v>23501</v>
      </c>
      <c r="E818" t="s">
        <v>24317</v>
      </c>
    </row>
    <row r="819" spans="1:5">
      <c r="A819" t="s">
        <v>5</v>
      </c>
      <c r="B819" t="s">
        <v>824</v>
      </c>
      <c r="C819">
        <f>HYPERLINK("C:\Users\franc\OneDrive\Documentos\ALIRO\ALIRO\KATHY\ANA LUISA 2010\CERTIFICADOS DE DOMINIO\PUNTA VERDE 61, 1 AL 20.doc", "Abrir Documento")</f>
        <v>0</v>
      </c>
      <c r="D819" t="s">
        <v>23501</v>
      </c>
      <c r="E819" t="s">
        <v>24318</v>
      </c>
    </row>
    <row r="820" spans="1:5">
      <c r="A820" t="s">
        <v>5</v>
      </c>
      <c r="B820" t="s">
        <v>825</v>
      </c>
      <c r="C820">
        <f>HYPERLINK("C:\Users\franc\OneDrive\Documentos\ALIRO\ALIRO\KATHY\ANA LUISA 2010\CERTIFICADOS DE DOMINIO\PUNTA VERDE 60, 1 AL 30.doc", "Abrir Documento")</f>
        <v>0</v>
      </c>
      <c r="D820" t="s">
        <v>23501</v>
      </c>
      <c r="E820" t="s">
        <v>24319</v>
      </c>
    </row>
    <row r="821" spans="1:5">
      <c r="A821" t="s">
        <v>5</v>
      </c>
      <c r="B821" t="s">
        <v>826</v>
      </c>
      <c r="C821">
        <f>HYPERLINK("C:\Users\franc\OneDrive\Documentos\ALIRO\ALIRO\KATHY\ANA LUISA 2010\CERTIFICADOS DE DOMINIO\PUNTA VERDE 51, 1 AL 30.doc", "Abrir Documento")</f>
        <v>0</v>
      </c>
      <c r="D821" t="s">
        <v>23501</v>
      </c>
      <c r="E821" t="s">
        <v>24320</v>
      </c>
    </row>
    <row r="822" spans="1:5">
      <c r="A822" t="s">
        <v>5</v>
      </c>
      <c r="B822" t="s">
        <v>827</v>
      </c>
      <c r="C822">
        <f>HYPERLINK("C:\Users\franc\OneDrive\Documentos\ALIRO\ALIRO\KATHY\ANA LUISA 2010\CERTIFICADOS DE DOMINIO\PUNTA VERDE 31, 1 AL 19.doc", "Abrir Documento")</f>
        <v>0</v>
      </c>
      <c r="D822" t="s">
        <v>23501</v>
      </c>
      <c r="E822" t="s">
        <v>24321</v>
      </c>
    </row>
    <row r="823" spans="1:5">
      <c r="A823" t="s">
        <v>5</v>
      </c>
      <c r="B823" t="s">
        <v>828</v>
      </c>
      <c r="C823">
        <f>HYPERLINK("C:\Users\franc\OneDrive\Documentos\ALIRO\ALIRO\KATHY\ANA LUISA 2010\CERTIFICADOS DE DOMINIO\PUNTA VERDE 31 A 1 AL 11.doc", "Abrir Documento")</f>
        <v>0</v>
      </c>
      <c r="D823" t="s">
        <v>23501</v>
      </c>
      <c r="E823" t="s">
        <v>24322</v>
      </c>
    </row>
    <row r="824" spans="1:5">
      <c r="A824" t="s">
        <v>5</v>
      </c>
      <c r="B824" t="s">
        <v>829</v>
      </c>
      <c r="C824">
        <f>HYPERLINK("C:\Users\franc\OneDrive\Documentos\ALIRO\ALIRO\KATHY\ANA LUISA 2010\CERTIFICADOS DE DOMINIO\PUNTA VERDE 29, 1 AL 32.doc", "Abrir Documento")</f>
        <v>0</v>
      </c>
      <c r="D824" t="s">
        <v>23501</v>
      </c>
      <c r="E824" t="s">
        <v>24323</v>
      </c>
    </row>
    <row r="825" spans="1:5">
      <c r="A825" t="s">
        <v>5</v>
      </c>
      <c r="B825" t="s">
        <v>830</v>
      </c>
      <c r="C825">
        <f>HYPERLINK("C:\Users\franc\OneDrive\Documentos\ALIRO\ALIRO\KATHY\ANA LUISA 2010\CERTIFICADOS DE DOMINIO\PUNTA VERDE 29 A 1 AL 13.doc", "Abrir Documento")</f>
        <v>0</v>
      </c>
      <c r="D825" t="s">
        <v>23501</v>
      </c>
      <c r="E825" t="s">
        <v>24324</v>
      </c>
    </row>
    <row r="826" spans="1:5">
      <c r="A826" t="s">
        <v>5</v>
      </c>
      <c r="B826" t="s">
        <v>831</v>
      </c>
      <c r="C826">
        <f>HYPERLINK("C:\Users\franc\OneDrive\Documentos\ALIRO\ALIRO\KATHY\ANA LUISA 2010\CERTIFICADOS DE DOMINIO\PUNTA VERDE 27, 1 AL 34.doc", "Abrir Documento")</f>
        <v>0</v>
      </c>
      <c r="D826" t="s">
        <v>23501</v>
      </c>
      <c r="E826" t="s">
        <v>24325</v>
      </c>
    </row>
    <row r="827" spans="1:5">
      <c r="A827" t="s">
        <v>5</v>
      </c>
      <c r="B827" t="s">
        <v>832</v>
      </c>
      <c r="C827">
        <f>HYPERLINK("C:\Users\franc\OneDrive\Documentos\ALIRO\ALIRO\KATHY\ANA LUISA 2010\CERTIFICADOS DE DOMINIO\PUNTA VERDE 21, 1 AL 20.doc", "Abrir Documento")</f>
        <v>0</v>
      </c>
      <c r="D827" t="s">
        <v>23501</v>
      </c>
      <c r="E827" t="s">
        <v>24326</v>
      </c>
    </row>
    <row r="828" spans="1:5">
      <c r="A828" t="s">
        <v>5</v>
      </c>
      <c r="B828" t="s">
        <v>833</v>
      </c>
      <c r="C828">
        <f>HYPERLINK("C:\Users\franc\OneDrive\Documentos\ALIRO\ALIRO\KATHY\ANA LUISA 2010\CERTIFICADOS DE DOMINIO\PUNTA VERDE 19A 1 AL 30.doc", "Abrir Documento")</f>
        <v>0</v>
      </c>
      <c r="D828" t="s">
        <v>23501</v>
      </c>
      <c r="E828" t="s">
        <v>24327</v>
      </c>
    </row>
    <row r="829" spans="1:5">
      <c r="A829" t="s">
        <v>5</v>
      </c>
      <c r="B829" t="s">
        <v>834</v>
      </c>
      <c r="C829">
        <f>HYPERLINK("C:\Users\franc\OneDrive\Documentos\ALIRO\ALIRO\KATHY\ANA LUISA 2010\CERTIFICADOS DE DOMINIO\PUNTA VERDE 14A 1 AL 20.doc", "Abrir Documento")</f>
        <v>0</v>
      </c>
      <c r="D829" t="s">
        <v>23501</v>
      </c>
      <c r="E829" t="s">
        <v>24328</v>
      </c>
    </row>
    <row r="830" spans="1:5">
      <c r="A830" t="s">
        <v>5</v>
      </c>
      <c r="B830" t="s">
        <v>835</v>
      </c>
      <c r="C830">
        <f>HYPERLINK("C:\Users\franc\OneDrive\Documentos\ALIRO\ALIRO\KATHY\ANA LUISA 2010\CERTIFICADOS DE DOMINIO\PUNTA VERDE 13A 1 AL 20.doc", "Abrir Documento")</f>
        <v>0</v>
      </c>
      <c r="D830" t="s">
        <v>23501</v>
      </c>
      <c r="E830" t="s">
        <v>24329</v>
      </c>
    </row>
    <row r="831" spans="1:5">
      <c r="A831" t="s">
        <v>5</v>
      </c>
      <c r="B831" t="s">
        <v>836</v>
      </c>
      <c r="C831">
        <f>HYPERLINK("C:\Users\franc\OneDrive\Documentos\ALIRO\ALIRO\KATHY\ANA LUISA 2010\CERTIFICADOS DE DOMINIO\PUNTA VERDE 12A 1 AL 20.doc", "Abrir Documento")</f>
        <v>0</v>
      </c>
      <c r="D831" t="s">
        <v>23501</v>
      </c>
      <c r="E831" t="s">
        <v>24330</v>
      </c>
    </row>
    <row r="832" spans="1:5">
      <c r="A832" t="s">
        <v>5</v>
      </c>
      <c r="B832" t="s">
        <v>837</v>
      </c>
      <c r="C832">
        <f>HYPERLINK("C:\Users\franc\OneDrive\Documentos\ALIRO\ALIRO\KATHY\ANA LUISA 2010\CERTIFICADOS DE DOMINIO\PUNTA VERDE 11 A 1 AL 27.doc", "Abrir Documento")</f>
        <v>0</v>
      </c>
      <c r="D832" t="s">
        <v>23501</v>
      </c>
      <c r="E832" t="s">
        <v>24331</v>
      </c>
    </row>
    <row r="833" spans="1:5">
      <c r="A833" t="s">
        <v>5</v>
      </c>
      <c r="B833" t="s">
        <v>838</v>
      </c>
      <c r="C833">
        <f>HYPERLINK("C:\Users\franc\OneDrive\Documentos\ALIRO\ALIRO\KATHY\ANA LUISA 2010\CERTIFICADOS DE DOMINIO\PUNTA VERDE 10 A 1 AL 30.doc", "Abrir Documento")</f>
        <v>0</v>
      </c>
      <c r="D833" t="s">
        <v>23501</v>
      </c>
      <c r="E833" t="s">
        <v>24332</v>
      </c>
    </row>
    <row r="834" spans="1:5">
      <c r="A834" t="s">
        <v>5</v>
      </c>
      <c r="B834" t="s">
        <v>839</v>
      </c>
      <c r="C834">
        <f>HYPERLINK("C:\Users\franc\OneDrive\Documentos\ALIRO\ALIRO\KATHY\ANA LUISA 2010\CERTIFICADOS DE DOMINIO\PUNTA VERDE 10 A 1 AL 30.-.doc", "Abrir Documento")</f>
        <v>0</v>
      </c>
      <c r="D834" t="s">
        <v>23501</v>
      </c>
      <c r="E834" t="s">
        <v>24333</v>
      </c>
    </row>
    <row r="835" spans="1:5">
      <c r="A835" t="s">
        <v>5</v>
      </c>
      <c r="B835" t="s">
        <v>840</v>
      </c>
      <c r="C835">
        <f>HYPERLINK("C:\Users\franc\OneDrive\Documentos\ALIRO\ALIRO\KATHY\ANA LUISA 2010\CERTIFICADOS DE DOMINIO\PUNITAQUI 1º A PUNITAQUI 50.doc", "Abrir Documento")</f>
        <v>0</v>
      </c>
      <c r="D835" t="s">
        <v>23501</v>
      </c>
      <c r="E835" t="s">
        <v>24334</v>
      </c>
    </row>
    <row r="836" spans="1:5">
      <c r="A836" t="s">
        <v>5</v>
      </c>
      <c r="B836" t="s">
        <v>841</v>
      </c>
      <c r="C836">
        <f>HYPERLINK("C:\Users\franc\OneDrive\Documentos\ALIRO\ALIRO\KATHY\ANA LUISA 2010\CERTIFICADOS DE DOMINIO\PUNITAQUI 1 AL 50.doc", "Abrir Documento")</f>
        <v>0</v>
      </c>
      <c r="D836" t="s">
        <v>23501</v>
      </c>
      <c r="E836" t="s">
        <v>24335</v>
      </c>
    </row>
    <row r="837" spans="1:5">
      <c r="A837" t="s">
        <v>5</v>
      </c>
      <c r="B837" t="s">
        <v>842</v>
      </c>
      <c r="C837">
        <f>HYPERLINK("C:\Users\franc\OneDrive\Documentos\ALIRO\ALIRO\KATHY\ANA LUISA 2010\CERTIFICADOS DE DOMINIO\PUMA 1 AL 20  -  MANIFESTACION.doc", "Abrir Documento")</f>
        <v>0</v>
      </c>
      <c r="D837" t="s">
        <v>23501</v>
      </c>
      <c r="E837" t="s">
        <v>24336</v>
      </c>
    </row>
    <row r="838" spans="1:5">
      <c r="A838" t="s">
        <v>5</v>
      </c>
      <c r="B838" t="s">
        <v>843</v>
      </c>
      <c r="C838">
        <f>HYPERLINK("C:\Users\franc\OneDrive\Documentos\ALIRO\ALIRO\KATHY\ANA LUISA 2010\CERTIFICADOS DE DOMINIO\PROTECCIÓN SEGUNDA 1 AL 36.doc", "Abrir Documento")</f>
        <v>0</v>
      </c>
      <c r="D838" t="s">
        <v>23501</v>
      </c>
      <c r="E838" t="s">
        <v>24337</v>
      </c>
    </row>
    <row r="839" spans="1:5">
      <c r="A839" t="s">
        <v>5</v>
      </c>
      <c r="B839" t="s">
        <v>844</v>
      </c>
      <c r="C839">
        <f>HYPERLINK("C:\Users\franc\OneDrive\Documentos\ALIRO\ALIRO\KATHY\ANA LUISA 2010\CERTIFICADOS DE DOMINIO\PROTECCIÓN CUARTA 1 AL 20.doc", "Abrir Documento")</f>
        <v>0</v>
      </c>
      <c r="D839" t="s">
        <v>23501</v>
      </c>
      <c r="E839" t="s">
        <v>24338</v>
      </c>
    </row>
    <row r="840" spans="1:5">
      <c r="A840" t="s">
        <v>5</v>
      </c>
      <c r="B840" t="s">
        <v>845</v>
      </c>
      <c r="C840">
        <f>HYPERLINK("C:\Users\franc\OneDrive\Documentos\ALIRO\ALIRO\KATHY\ANA LUISA 2010\CERTIFICADOS DE DOMINIO\PROTECCION TERCERA 1 AL 41.doc", "Abrir Documento")</f>
        <v>0</v>
      </c>
      <c r="D840" t="s">
        <v>23501</v>
      </c>
      <c r="E840" t="s">
        <v>24339</v>
      </c>
    </row>
    <row r="841" spans="1:5">
      <c r="A841" t="s">
        <v>5</v>
      </c>
      <c r="B841" t="s">
        <v>846</v>
      </c>
      <c r="C841">
        <f>HYPERLINK("C:\Users\franc\OneDrive\Documentos\ALIRO\ALIRO\KATHY\ANA LUISA 2010\CERTIFICADOS DE DOMINIO\PROTECCION SEXTA 1 AL 38.doc", "Abrir Documento")</f>
        <v>0</v>
      </c>
      <c r="D841" t="s">
        <v>23501</v>
      </c>
      <c r="E841" t="s">
        <v>24340</v>
      </c>
    </row>
    <row r="842" spans="1:5">
      <c r="A842" t="s">
        <v>5</v>
      </c>
      <c r="B842" t="s">
        <v>847</v>
      </c>
      <c r="C842">
        <f>HYPERLINK("C:\Users\franc\OneDrive\Documentos\ALIRO\ALIRO\KATHY\ANA LUISA 2010\CERTIFICADOS DE DOMINIO\PROTECCION SEGUNDA 61.doc", "Abrir Documento")</f>
        <v>0</v>
      </c>
      <c r="D842" t="s">
        <v>23501</v>
      </c>
      <c r="E842" t="s">
        <v>24341</v>
      </c>
    </row>
    <row r="843" spans="1:5">
      <c r="A843" t="s">
        <v>5</v>
      </c>
      <c r="B843" t="s">
        <v>848</v>
      </c>
      <c r="C843">
        <f>HYPERLINK("C:\Users\franc\OneDrive\Documentos\ALIRO\ALIRO\KATHY\ANA LUISA 2010\CERTIFICADOS DE DOMINIO\PROTECCION SEGUNDA 1 AL 36.doc", "Abrir Documento")</f>
        <v>0</v>
      </c>
      <c r="D843" t="s">
        <v>23501</v>
      </c>
      <c r="E843" t="s">
        <v>24342</v>
      </c>
    </row>
    <row r="844" spans="1:5">
      <c r="A844" t="s">
        <v>5</v>
      </c>
      <c r="B844" t="s">
        <v>849</v>
      </c>
      <c r="C844">
        <f>HYPERLINK("C:\Users\franc\OneDrive\Documentos\ALIRO\ALIRO\KATHY\ANA LUISA 2010\CERTIFICADOS DE DOMINIO\PROTECCION PRIMERA 61.doc", "Abrir Documento")</f>
        <v>0</v>
      </c>
      <c r="D844" t="s">
        <v>23501</v>
      </c>
      <c r="E844" t="s">
        <v>24343</v>
      </c>
    </row>
    <row r="845" spans="1:5">
      <c r="A845" t="s">
        <v>5</v>
      </c>
      <c r="B845" t="s">
        <v>850</v>
      </c>
      <c r="C845">
        <f>HYPERLINK("C:\Users\franc\OneDrive\Documentos\ALIRO\ALIRO\KATHY\ANA LUISA 2010\CERTIFICADOS DE DOMINIO\PROTECCION PRIMERA 1 AL 45.doc", "Abrir Documento")</f>
        <v>0</v>
      </c>
      <c r="D845" t="s">
        <v>23501</v>
      </c>
      <c r="E845" t="s">
        <v>24344</v>
      </c>
    </row>
    <row r="846" spans="1:5">
      <c r="A846" t="s">
        <v>5</v>
      </c>
      <c r="B846" t="s">
        <v>851</v>
      </c>
      <c r="C846">
        <f>HYPERLINK("C:\Users\franc\OneDrive\Documentos\ALIRO\ALIRO\KATHY\ANA LUISA 2010\CERTIFICADOS DE DOMINIO\PROTECCION OCTAVA 1 AL 2.doc", "Abrir Documento")</f>
        <v>0</v>
      </c>
      <c r="D846" t="s">
        <v>23501</v>
      </c>
      <c r="E846" t="s">
        <v>24345</v>
      </c>
    </row>
    <row r="847" spans="1:5">
      <c r="A847" t="s">
        <v>5</v>
      </c>
      <c r="B847" t="s">
        <v>852</v>
      </c>
      <c r="C847">
        <f>HYPERLINK("C:\Users\franc\OneDrive\Documentos\ALIRO\ALIRO\KATHY\ANA LUISA 2010\CERTIFICADOS DE DOMINIO\PRINCIPESCA 1 AL 12 - RODOLFO ROJAS.doc", "Abrir Documento")</f>
        <v>0</v>
      </c>
      <c r="D847" t="s">
        <v>23501</v>
      </c>
      <c r="E847" t="s">
        <v>24346</v>
      </c>
    </row>
    <row r="848" spans="1:5">
      <c r="A848" t="s">
        <v>5</v>
      </c>
      <c r="B848" t="s">
        <v>853</v>
      </c>
      <c r="C848">
        <f>HYPERLINK("C:\Users\franc\OneDrive\Documentos\ALIRO\ALIRO\KATHY\ANA LUISA 2010\CERTIFICADOS DE DOMINIO\PRINCESA 1 AL 10  - RODOLFO ROJAS.doc", "Abrir Documento")</f>
        <v>0</v>
      </c>
      <c r="D848" t="s">
        <v>23501</v>
      </c>
      <c r="E848" t="s">
        <v>24347</v>
      </c>
    </row>
    <row r="849" spans="1:5">
      <c r="A849" t="s">
        <v>5</v>
      </c>
      <c r="B849" t="s">
        <v>854</v>
      </c>
      <c r="C849">
        <f>HYPERLINK("C:\Users\franc\OneDrive\Documentos\ALIRO\ALIRO\KATHY\ANA LUISA 2010\CERTIFICADOS DE DOMINIO\PORTUGUESA.doc", "Abrir Documento")</f>
        <v>0</v>
      </c>
      <c r="D849" t="s">
        <v>23501</v>
      </c>
      <c r="E849" t="s">
        <v>24348</v>
      </c>
    </row>
    <row r="850" spans="1:5">
      <c r="A850" t="s">
        <v>5</v>
      </c>
      <c r="B850" t="s">
        <v>855</v>
      </c>
      <c r="C850">
        <f>HYPERLINK("C:\Users\franc\OneDrive\Documentos\ALIRO\ALIRO\KATHY\ANA LUISA 2010\CERTIFICADOS DE DOMINIO\PODEROSA   1 a 200.doc", "Abrir Documento")</f>
        <v>0</v>
      </c>
      <c r="D850" t="s">
        <v>23501</v>
      </c>
      <c r="E850" t="s">
        <v>24349</v>
      </c>
    </row>
    <row r="851" spans="1:5">
      <c r="A851" t="s">
        <v>5</v>
      </c>
      <c r="B851" t="s">
        <v>856</v>
      </c>
      <c r="C851">
        <f>HYPERLINK("C:\Users\franc\OneDrive\Documentos\ALIRO\ALIRO\KATHY\ANA LUISA 2010\CERTIFICADOS DE DOMINIO\PERRO MUERTO 1 AL 11.doc", "Abrir Documento")</f>
        <v>0</v>
      </c>
      <c r="D851" t="s">
        <v>23501</v>
      </c>
      <c r="E851" t="s">
        <v>24350</v>
      </c>
    </row>
    <row r="852" spans="1:5">
      <c r="A852" t="s">
        <v>5</v>
      </c>
      <c r="B852" t="s">
        <v>857</v>
      </c>
      <c r="C852">
        <f>HYPERLINK("C:\Users\franc\OneDrive\Documentos\ALIRO\ALIRO\KATHY\ANA LUISA 2010\CERTIFICADOS DE DOMINIO\PELANTARU.doc", "Abrir Documento")</f>
        <v>0</v>
      </c>
      <c r="D852" t="s">
        <v>23501</v>
      </c>
      <c r="E852" t="s">
        <v>24351</v>
      </c>
    </row>
    <row r="853" spans="1:5">
      <c r="A853" t="s">
        <v>5</v>
      </c>
      <c r="B853" t="s">
        <v>858</v>
      </c>
      <c r="C853">
        <f>HYPERLINK("C:\Users\franc\OneDrive\Documentos\ALIRO\ALIRO\KATHY\ANA LUISA 2010\CERTIFICADOS DE DOMINIO\PEDESTAL 1 AL 6.doc", "Abrir Documento")</f>
        <v>0</v>
      </c>
      <c r="D853" t="s">
        <v>23501</v>
      </c>
      <c r="E853" t="s">
        <v>24352</v>
      </c>
    </row>
    <row r="854" spans="1:5">
      <c r="A854" t="s">
        <v>5</v>
      </c>
      <c r="B854" t="s">
        <v>859</v>
      </c>
      <c r="C854">
        <f>HYPERLINK("C:\Users\franc\OneDrive\Documentos\ALIRO\ALIRO\KATHY\ANA LUISA 2010\CERTIFICADOS DE DOMINIO\PATRIA Y LA LIBERTAD UNO A CINCO.doc", "Abrir Documento")</f>
        <v>0</v>
      </c>
      <c r="D854" t="s">
        <v>23501</v>
      </c>
      <c r="E854" t="s">
        <v>24353</v>
      </c>
    </row>
    <row r="855" spans="1:5">
      <c r="A855" t="s">
        <v>5</v>
      </c>
      <c r="B855" t="s">
        <v>860</v>
      </c>
      <c r="C855">
        <f>HYPERLINK("C:\Users\franc\OneDrive\Documentos\ALIRO\ALIRO\KATHY\ANA LUISA 2010\CERTIFICADOS DE DOMINIO\PATRIA NUEVA UNO.doc", "Abrir Documento")</f>
        <v>0</v>
      </c>
      <c r="D855" t="s">
        <v>23501</v>
      </c>
      <c r="E855" t="s">
        <v>24354</v>
      </c>
    </row>
    <row r="856" spans="1:5">
      <c r="A856" t="s">
        <v>5</v>
      </c>
      <c r="B856" t="s">
        <v>861</v>
      </c>
      <c r="C856">
        <f>HYPERLINK("C:\Users\franc\OneDrive\Documentos\ALIRO\ALIRO\KATHY\ANA LUISA 2010\CERTIFICADOS DE DOMINIO\PANULSUR TERCERA 1 AL 30.doc", "Abrir Documento")</f>
        <v>0</v>
      </c>
      <c r="D856" t="s">
        <v>23501</v>
      </c>
      <c r="E856" t="s">
        <v>24355</v>
      </c>
    </row>
    <row r="857" spans="1:5">
      <c r="A857" t="s">
        <v>5</v>
      </c>
      <c r="B857" t="s">
        <v>862</v>
      </c>
      <c r="C857">
        <f>HYPERLINK("C:\Users\franc\OneDrive\Documentos\ALIRO\ALIRO\KATHY\ANA LUISA 2010\CERTIFICADOS DE DOMINIO\PANULSUR DECIMO TERCERA 1 AL 30.doc", "Abrir Documento")</f>
        <v>0</v>
      </c>
      <c r="D857" t="s">
        <v>23501</v>
      </c>
      <c r="E857" t="s">
        <v>24356</v>
      </c>
    </row>
    <row r="858" spans="1:5">
      <c r="A858" t="s">
        <v>5</v>
      </c>
      <c r="B858" t="s">
        <v>863</v>
      </c>
      <c r="C858">
        <f>HYPERLINK("C:\Users\franc\OneDrive\Documentos\ALIRO\ALIRO\KATHY\ANA LUISA 2010\CERTIFICADOS DE DOMINIO\PANULSUR DECIMO CUARTA 1 AL 30.doc", "Abrir Documento")</f>
        <v>0</v>
      </c>
      <c r="D858" t="s">
        <v>23501</v>
      </c>
      <c r="E858" t="s">
        <v>24357</v>
      </c>
    </row>
    <row r="859" spans="1:5">
      <c r="A859" t="s">
        <v>5</v>
      </c>
      <c r="B859" t="s">
        <v>864</v>
      </c>
      <c r="C859">
        <f>HYPERLINK("C:\Users\franc\OneDrive\Documentos\ALIRO\ALIRO\KATHY\ANA LUISA 2010\CERTIFICADOS DE DOMINIO\PANAL III   1 AL 10 - ANGLO AMERICAN NORTE S.A..doc", "Abrir Documento")</f>
        <v>0</v>
      </c>
      <c r="D859" t="s">
        <v>23501</v>
      </c>
      <c r="E859" t="s">
        <v>24358</v>
      </c>
    </row>
    <row r="860" spans="1:5">
      <c r="A860" t="s">
        <v>5</v>
      </c>
      <c r="B860" t="s">
        <v>865</v>
      </c>
      <c r="C860">
        <f>HYPERLINK("C:\Users\franc\OneDrive\Documentos\ALIRO\ALIRO\KATHY\ANA LUISA 2010\CERTIFICADOS DE DOMINIO\PANAL II   1 AL 10 - ANGLO AMERICAN NORTE S.A..doc", "Abrir Documento")</f>
        <v>0</v>
      </c>
      <c r="D860" t="s">
        <v>23501</v>
      </c>
      <c r="E860" t="s">
        <v>24359</v>
      </c>
    </row>
    <row r="861" spans="1:5">
      <c r="A861" t="s">
        <v>5</v>
      </c>
      <c r="B861" t="s">
        <v>866</v>
      </c>
      <c r="C861">
        <f>HYPERLINK("C:\Users\franc\OneDrive\Documentos\ALIRO\ALIRO\KATHY\ANA LUISA 2010\CERTIFICADOS DE DOMINIO\PANAL I 1 AL 10 - ANGLO AMERICAN NORTE S.A..doc", "Abrir Documento")</f>
        <v>0</v>
      </c>
      <c r="D861" t="s">
        <v>23501</v>
      </c>
      <c r="E861" t="s">
        <v>24360</v>
      </c>
    </row>
    <row r="862" spans="1:5">
      <c r="A862" t="s">
        <v>5</v>
      </c>
      <c r="B862" t="s">
        <v>867</v>
      </c>
      <c r="C862">
        <f>HYPERLINK("C:\Users\franc\OneDrive\Documentos\ALIRO\ALIRO\KATHY\ANA LUISA 2010\CERTIFICADOS DE DOMINIO\PALM SPRING 1 AL 25.doc", "Abrir Documento")</f>
        <v>0</v>
      </c>
      <c r="D862" t="s">
        <v>23501</v>
      </c>
      <c r="E862" t="s">
        <v>24361</v>
      </c>
    </row>
    <row r="863" spans="1:5">
      <c r="A863" t="s">
        <v>5</v>
      </c>
      <c r="B863" t="s">
        <v>868</v>
      </c>
      <c r="C863">
        <f>HYPERLINK("C:\Users\franc\OneDrive\Documentos\ALIRO\ALIRO\KATHY\ANA LUISA 2010\CERTIFICADOS DE DOMINIO\ORIZABA.doc", "Abrir Documento")</f>
        <v>0</v>
      </c>
      <c r="D863" t="s">
        <v>23501</v>
      </c>
      <c r="E863" t="s">
        <v>24362</v>
      </c>
    </row>
    <row r="864" spans="1:5">
      <c r="A864" t="s">
        <v>5</v>
      </c>
      <c r="B864" t="s">
        <v>869</v>
      </c>
      <c r="C864">
        <f>HYPERLINK("C:\Users\franc\OneDrive\Documentos\ALIRO\ALIRO\KATHY\ANA LUISA 2010\CERTIFICADOS DE DOMINIO\OLIVIA SEPTIMA 1 AL 10   -    MANIFESTACION.doc", "Abrir Documento")</f>
        <v>0</v>
      </c>
      <c r="D864" t="s">
        <v>23501</v>
      </c>
      <c r="E864" t="s">
        <v>24363</v>
      </c>
    </row>
    <row r="865" spans="1:5">
      <c r="A865" t="s">
        <v>5</v>
      </c>
      <c r="B865" t="s">
        <v>870</v>
      </c>
      <c r="C865">
        <f>HYPERLINK("C:\Users\franc\OneDrive\Documentos\ALIRO\ALIRO\KATHY\ANA LUISA 2010\CERTIFICADOS DE DOMINIO\OLIBILLO 1 AL 10.doc", "Abrir Documento")</f>
        <v>0</v>
      </c>
      <c r="D865" t="s">
        <v>23501</v>
      </c>
      <c r="E865" t="s">
        <v>24364</v>
      </c>
    </row>
    <row r="866" spans="1:5">
      <c r="A866" t="s">
        <v>5</v>
      </c>
      <c r="B866" t="s">
        <v>871</v>
      </c>
      <c r="C866">
        <f>HYPERLINK("C:\Users\franc\OneDrive\Documentos\ALIRO\ALIRO\KATHY\ANA LUISA 2010\CERTIFICADOS DE DOMINIO\NUMANCIA 1 AL 5.doc", "Abrir Documento")</f>
        <v>0</v>
      </c>
      <c r="D866" t="s">
        <v>23501</v>
      </c>
      <c r="E866" t="s">
        <v>24365</v>
      </c>
    </row>
    <row r="867" spans="1:5">
      <c r="A867" t="s">
        <v>5</v>
      </c>
      <c r="B867" t="s">
        <v>872</v>
      </c>
      <c r="C867">
        <f>HYPERLINK("C:\Users\franc\OneDrive\Documentos\ALIRO\ALIRO\KATHY\ANA LUISA 2010\CERTIFICADOS DE DOMINIO\NUEVA TAMAYINA 1 - 15.doc", "Abrir Documento")</f>
        <v>0</v>
      </c>
      <c r="D867" t="s">
        <v>23501</v>
      </c>
      <c r="E867" t="s">
        <v>24366</v>
      </c>
    </row>
    <row r="868" spans="1:5">
      <c r="A868" t="s">
        <v>5</v>
      </c>
      <c r="B868" t="s">
        <v>873</v>
      </c>
      <c r="C868">
        <f>HYPERLINK("C:\Users\franc\OneDrive\Documentos\ALIRO\ALIRO\KATHY\ANA LUISA 2010\CERTIFICADOS DE DOMINIO\NUEVA MILENKA 1 AL 12  -  NELSON GERALDO GONZALEZ.doc", "Abrir Documento")</f>
        <v>0</v>
      </c>
      <c r="D868" t="s">
        <v>23501</v>
      </c>
      <c r="E868" t="s">
        <v>24367</v>
      </c>
    </row>
    <row r="869" spans="1:5">
      <c r="A869" t="s">
        <v>5</v>
      </c>
      <c r="B869" t="s">
        <v>874</v>
      </c>
      <c r="C869">
        <f>HYPERLINK("C:\Users\franc\OneDrive\Documentos\ALIRO\ALIRO\KATHY\ANA LUISA 2010\CERTIFICADOS DE DOMINIO\NUEVA DALMACIA  1-100  -   COMPAÑIA MINERA PUNITAQUI SCM.doc", "Abrir Documento")</f>
        <v>0</v>
      </c>
      <c r="D869" t="s">
        <v>23501</v>
      </c>
      <c r="E869" t="s">
        <v>24368</v>
      </c>
    </row>
    <row r="870" spans="1:5">
      <c r="A870" t="s">
        <v>5</v>
      </c>
      <c r="B870" t="s">
        <v>875</v>
      </c>
      <c r="C870">
        <f>HYPERLINK("C:\Users\franc\OneDrive\Documentos\ALIRO\ALIRO\KATHY\ANA LUISA 2010\CERTIFICADOS DE DOMINIO\NUEVA CINABRIO  1-100  -   COMPAÑIA MINERA PUNITAQUI SCM.doc", "Abrir Documento")</f>
        <v>0</v>
      </c>
      <c r="D870" t="s">
        <v>23501</v>
      </c>
      <c r="E870" t="s">
        <v>24369</v>
      </c>
    </row>
    <row r="871" spans="1:5">
      <c r="A871" t="s">
        <v>5</v>
      </c>
      <c r="B871" t="s">
        <v>876</v>
      </c>
      <c r="C871">
        <f>HYPERLINK("C:\Users\franc\OneDrive\Documentos\ALIRO\ALIRO\KATHY\ANA LUISA 2010\CERTIFICADOS DE DOMINIO\NIEBLA SUR 1 AL 62.doc", "Abrir Documento")</f>
        <v>0</v>
      </c>
      <c r="D871" t="s">
        <v>23501</v>
      </c>
      <c r="E871" t="s">
        <v>24370</v>
      </c>
    </row>
    <row r="872" spans="1:5">
      <c r="A872" t="s">
        <v>5</v>
      </c>
      <c r="B872" t="s">
        <v>877</v>
      </c>
      <c r="C872">
        <f>HYPERLINK("C:\Users\franc\OneDrive\Documentos\ALIRO\ALIRO\KATHY\ANA LUISA 2010\CERTIFICADOS DE DOMINIO\NIEBLA  1 AL 12.doc", "Abrir Documento")</f>
        <v>0</v>
      </c>
      <c r="D872" t="s">
        <v>23501</v>
      </c>
      <c r="E872" t="s">
        <v>24371</v>
      </c>
    </row>
    <row r="873" spans="1:5">
      <c r="A873" t="s">
        <v>5</v>
      </c>
      <c r="B873" t="s">
        <v>878</v>
      </c>
      <c r="C873">
        <f>HYPERLINK("C:\Users\franc\OneDrive\Documentos\ALIRO\ALIRO\KATHY\ANA LUISA 2010\CERTIFICADOS DE DOMINIO\NICOLE 1 A NICOLE 10 MANIFESTACION.doc", "Abrir Documento")</f>
        <v>0</v>
      </c>
      <c r="D873" t="s">
        <v>23501</v>
      </c>
      <c r="E873" t="s">
        <v>24372</v>
      </c>
    </row>
    <row r="874" spans="1:5">
      <c r="A874" t="s">
        <v>5</v>
      </c>
      <c r="B874" t="s">
        <v>879</v>
      </c>
      <c r="C874">
        <f>HYPERLINK("C:\Users\franc\OneDrive\Documentos\ALIRO\ALIRO\KATHY\ANA LUISA 2010\CERTIFICADOS DE DOMINIO\MODELO NOTARIO SUPLENTE.doc", "Abrir Documento")</f>
        <v>0</v>
      </c>
      <c r="D874" t="s">
        <v>23501</v>
      </c>
      <c r="E874" t="s">
        <v>24373</v>
      </c>
    </row>
    <row r="875" spans="1:5">
      <c r="A875" t="s">
        <v>5</v>
      </c>
      <c r="B875" t="s">
        <v>880</v>
      </c>
      <c r="C875">
        <f>HYPERLINK("C:\Users\franc\OneDrive\Documentos\ALIRO\ALIRO\KATHY\ANA LUISA 2010\CERTIFICADOS DE DOMINIO\MIRADOR 1 A 18.doc", "Abrir Documento")</f>
        <v>0</v>
      </c>
      <c r="D875" t="s">
        <v>23501</v>
      </c>
      <c r="E875" t="s">
        <v>24374</v>
      </c>
    </row>
    <row r="876" spans="1:5">
      <c r="A876" t="s">
        <v>5</v>
      </c>
      <c r="B876" t="s">
        <v>881</v>
      </c>
      <c r="C876">
        <f>HYPERLINK("C:\Users\franc\OneDrive\Documentos\ALIRO\ALIRO\KATHY\ANA LUISA 2010\CERTIFICADOS DE DOMINIO\MINA SOLEDAD 1 AL 7  - MANIFESTACION MARIO PORTILLA.doc", "Abrir Documento")</f>
        <v>0</v>
      </c>
      <c r="D876" t="s">
        <v>23501</v>
      </c>
      <c r="E876" t="s">
        <v>24375</v>
      </c>
    </row>
    <row r="877" spans="1:5">
      <c r="A877" t="s">
        <v>5</v>
      </c>
      <c r="B877" t="s">
        <v>882</v>
      </c>
      <c r="C877">
        <f>HYPERLINK("C:\Users\franc\OneDrive\Documentos\ALIRO\ALIRO\KATHY\ANA LUISA 2010\CERTIFICADOS DE DOMINIO\MINA SANTANDER 2 Y 3.doc", "Abrir Documento")</f>
        <v>0</v>
      </c>
      <c r="D877" t="s">
        <v>23501</v>
      </c>
      <c r="E877" t="s">
        <v>24376</v>
      </c>
    </row>
    <row r="878" spans="1:5">
      <c r="A878" t="s">
        <v>5</v>
      </c>
      <c r="B878" t="s">
        <v>883</v>
      </c>
      <c r="C878">
        <f>HYPERLINK("C:\Users\franc\OneDrive\Documentos\ALIRO\ALIRO\KATHY\ANA LUISA 2010\CERTIFICADOS DE DOMINIO\MINA SANTA ALICIA UNO AL DIESCISIETE.doc", "Abrir Documento")</f>
        <v>0</v>
      </c>
      <c r="D878" t="s">
        <v>23501</v>
      </c>
      <c r="E878" t="s">
        <v>24377</v>
      </c>
    </row>
    <row r="879" spans="1:5">
      <c r="A879" t="s">
        <v>5</v>
      </c>
      <c r="B879" t="s">
        <v>884</v>
      </c>
      <c r="C879">
        <f>HYPERLINK("C:\Users\franc\OneDrive\Documentos\ALIRO\ALIRO\KATHY\ANA LUISA 2010\CERTIFICADOS DE DOMINIO\MINA SANTA ALICIA UNO AL DIESCISIETE año 2022.doc", "Abrir Documento")</f>
        <v>0</v>
      </c>
      <c r="D879" t="s">
        <v>23501</v>
      </c>
      <c r="E879" t="s">
        <v>24378</v>
      </c>
    </row>
    <row r="880" spans="1:5">
      <c r="A880" t="s">
        <v>5</v>
      </c>
      <c r="B880" t="s">
        <v>885</v>
      </c>
      <c r="C880">
        <f>HYPERLINK("C:\Users\franc\OneDrive\Documentos\ALIRO\ALIRO\KATHY\ANA LUISA 2010\CERTIFICADOS DE DOMINIO\MINA SAN RAMON 2-3-4-5-26-27-28-31-32 Y 33.doc", "Abrir Documento")</f>
        <v>0</v>
      </c>
      <c r="D880" t="s">
        <v>23501</v>
      </c>
      <c r="E880" t="s">
        <v>24379</v>
      </c>
    </row>
    <row r="881" spans="1:5">
      <c r="A881" t="s">
        <v>5</v>
      </c>
      <c r="B881" t="s">
        <v>886</v>
      </c>
      <c r="C881">
        <f>HYPERLINK("C:\Users\franc\OneDrive\Documentos\ALIRO\ALIRO\KATHY\ANA LUISA 2010\CERTIFICADOS DE DOMINIO\MINA SAN ANTONIO 1 AL 10.doc", "Abrir Documento")</f>
        <v>0</v>
      </c>
      <c r="D881" t="s">
        <v>23501</v>
      </c>
      <c r="E881" t="s">
        <v>24380</v>
      </c>
    </row>
    <row r="882" spans="1:5">
      <c r="A882" t="s">
        <v>5</v>
      </c>
      <c r="B882" t="s">
        <v>887</v>
      </c>
      <c r="C882">
        <f>HYPERLINK("C:\Users\franc\OneDrive\Documentos\ALIRO\ALIRO\KATHY\ANA LUISA 2010\CERTIFICADOS DE DOMINIO\MINA SAMITA II 1 AL 5.doc", "Abrir Documento")</f>
        <v>0</v>
      </c>
      <c r="D882" t="s">
        <v>23501</v>
      </c>
      <c r="E882" t="s">
        <v>24381</v>
      </c>
    </row>
    <row r="883" spans="1:5">
      <c r="A883" t="s">
        <v>5</v>
      </c>
      <c r="B883" t="s">
        <v>888</v>
      </c>
      <c r="C883">
        <f>HYPERLINK("C:\Users\franc\OneDrive\Documentos\ALIRO\ALIRO\KATHY\ANA LUISA 2010\CERTIFICADOS DE DOMINIO\MINA ROSICLER PRIMERA 1 AL 5.doc", "Abrir Documento")</f>
        <v>0</v>
      </c>
      <c r="D883" t="s">
        <v>23501</v>
      </c>
      <c r="E883" t="s">
        <v>24382</v>
      </c>
    </row>
    <row r="884" spans="1:5">
      <c r="A884" t="s">
        <v>5</v>
      </c>
      <c r="B884" t="s">
        <v>889</v>
      </c>
      <c r="C884">
        <f>HYPERLINK("C:\Users\franc\OneDrive\Documentos\ALIRO\ALIRO\KATHY\ANA LUISA 2010\CERTIFICADOS DE DOMINIO\MINA LAMPERA SEGUNDA 1 AL 8.doc", "Abrir Documento")</f>
        <v>0</v>
      </c>
      <c r="D884" t="s">
        <v>23501</v>
      </c>
      <c r="E884" t="s">
        <v>24383</v>
      </c>
    </row>
    <row r="885" spans="1:5">
      <c r="A885" t="s">
        <v>5</v>
      </c>
      <c r="B885" t="s">
        <v>890</v>
      </c>
      <c r="C885">
        <f>HYPERLINK("C:\Users\franc\OneDrive\Documentos\ALIRO\ALIRO\KATHY\ANA LUISA 2010\CERTIFICADOS DE DOMINIO\MINA LA MURIETA I  1 AL 4.doc", "Abrir Documento")</f>
        <v>0</v>
      </c>
      <c r="D885" t="s">
        <v>23501</v>
      </c>
      <c r="E885" t="s">
        <v>24384</v>
      </c>
    </row>
    <row r="886" spans="1:5">
      <c r="A886" t="s">
        <v>5</v>
      </c>
      <c r="B886" t="s">
        <v>891</v>
      </c>
      <c r="C886">
        <f>HYPERLINK("C:\Users\franc\OneDrive\Documentos\ALIRO\ALIRO\KATHY\ANA LUISA 2010\CERTIFICADOS DE DOMINIO\MINA LA INDIA 1 AL 15.doc", "Abrir Documento")</f>
        <v>0</v>
      </c>
      <c r="D886" t="s">
        <v>23501</v>
      </c>
      <c r="E886" t="s">
        <v>24385</v>
      </c>
    </row>
    <row r="887" spans="1:5">
      <c r="A887" t="s">
        <v>5</v>
      </c>
      <c r="B887" t="s">
        <v>892</v>
      </c>
      <c r="C887">
        <f>HYPERLINK("C:\Users\franc\OneDrive\Documentos\ALIRO\ALIRO\KATHY\ANA LUISA 2010\CERTIFICADOS DE DOMINIO\MINA LA DISPUTADA 1 AL 10.doc", "Abrir Documento")</f>
        <v>0</v>
      </c>
      <c r="D887" t="s">
        <v>23500</v>
      </c>
      <c r="E887" t="s">
        <v>24386</v>
      </c>
    </row>
    <row r="888" spans="1:5">
      <c r="A888" t="s">
        <v>5</v>
      </c>
      <c r="B888" t="s">
        <v>893</v>
      </c>
      <c r="C888">
        <f>HYPERLINK("C:\Users\franc\OneDrive\Documentos\ALIRO\ALIRO\KATHY\ANA LUISA 2010\CERTIFICADOS DE DOMINIO\MINA LA DISPUTADA 1 AL 10  -   LUIS CARRASCO GUERRA.doc", "Abrir Documento")</f>
        <v>0</v>
      </c>
      <c r="D888" t="s">
        <v>23501</v>
      </c>
      <c r="E888" t="s">
        <v>24387</v>
      </c>
    </row>
    <row r="889" spans="1:5">
      <c r="A889" t="s">
        <v>5</v>
      </c>
      <c r="B889" t="s">
        <v>894</v>
      </c>
      <c r="C889">
        <f>HYPERLINK("C:\Users\franc\OneDrive\Documentos\ALIRO\ALIRO\KATHY\ANA LUISA 2010\CERTIFICADOS DE DOMINIO\MINA LA DESPRECIADA 1 AL 16 - SLM LA DESPRECIADA UNO DE LA COMUNIDAD EL PERAL.doc", "Abrir Documento")</f>
        <v>0</v>
      </c>
      <c r="D889" t="s">
        <v>23501</v>
      </c>
      <c r="E889" t="s">
        <v>24388</v>
      </c>
    </row>
    <row r="890" spans="1:5">
      <c r="A890" t="s">
        <v>5</v>
      </c>
      <c r="B890" t="s">
        <v>895</v>
      </c>
      <c r="C890">
        <f>HYPERLINK("C:\Users\franc\OneDrive\Documentos\ALIRO\ALIRO\KATHY\ANA LUISA 2010\CERTIFICADOS DE DOMINIO\MINA LA CORTADERA 1 AL 5.doc", "Abrir Documento")</f>
        <v>0</v>
      </c>
      <c r="D890" t="s">
        <v>23501</v>
      </c>
      <c r="E890" t="s">
        <v>24389</v>
      </c>
    </row>
    <row r="891" spans="1:5">
      <c r="A891" t="s">
        <v>5</v>
      </c>
      <c r="B891" t="s">
        <v>896</v>
      </c>
      <c r="C891">
        <f>HYPERLINK("C:\Users\franc\OneDrive\Documentos\ALIRO\ALIRO\KATHY\ANA LUISA 2010\CERTIFICADOS DE DOMINIO\MINA LA CANTA GALLO 1 AL 20.doc", "Abrir Documento")</f>
        <v>0</v>
      </c>
      <c r="D891" t="s">
        <v>23501</v>
      </c>
      <c r="E891" t="s">
        <v>24390</v>
      </c>
    </row>
    <row r="892" spans="1:5">
      <c r="A892" t="s">
        <v>5</v>
      </c>
      <c r="B892" t="s">
        <v>897</v>
      </c>
      <c r="C892">
        <f>HYPERLINK("C:\Users\franc\OneDrive\Documentos\ALIRO\ALIRO\KATHY\ANA LUISA 2010\CERTIFICADOS DE DOMINIO\MINA LA CANTA GALLO 1 AL 20 año 2020.doc", "Abrir Documento")</f>
        <v>0</v>
      </c>
      <c r="D892" t="s">
        <v>23501</v>
      </c>
      <c r="E892" t="s">
        <v>24391</v>
      </c>
    </row>
    <row r="893" spans="1:5">
      <c r="A893" t="s">
        <v>5</v>
      </c>
      <c r="B893" t="s">
        <v>898</v>
      </c>
      <c r="C893">
        <f>HYPERLINK("C:\Users\franc\OneDrive\Documentos\ALIRO\ALIRO\KATHY\ANA LUISA 2010\CERTIFICADOS DE DOMINIO\MINA LA AURORA 1 AL 5.doc", "Abrir Documento")</f>
        <v>0</v>
      </c>
      <c r="D893" t="s">
        <v>23501</v>
      </c>
      <c r="E893" t="s">
        <v>24392</v>
      </c>
    </row>
    <row r="894" spans="1:5">
      <c r="A894" t="s">
        <v>5</v>
      </c>
      <c r="B894" t="s">
        <v>899</v>
      </c>
      <c r="C894">
        <f>HYPERLINK("C:\Users\franc\OneDrive\Documentos\ALIRO\ALIRO\KATHY\ANA LUISA 2010\CERTIFICADOS DE DOMINIO\MINA INSIENSO 1 AL 20.doc", "Abrir Documento")</f>
        <v>0</v>
      </c>
      <c r="D894" t="s">
        <v>23501</v>
      </c>
      <c r="E894" t="s">
        <v>24393</v>
      </c>
    </row>
    <row r="895" spans="1:5">
      <c r="A895" t="s">
        <v>5</v>
      </c>
      <c r="B895" t="s">
        <v>900</v>
      </c>
      <c r="C895">
        <f>HYPERLINK("C:\Users\franc\OneDrive\Documentos\ALIRO\ALIRO\KATHY\ANA LUISA 2010\CERTIFICADOS DE DOMINIO\MINA INSIENSO 1 AL 20 año 2022.doc", "Abrir Documento")</f>
        <v>0</v>
      </c>
      <c r="D895" t="s">
        <v>23501</v>
      </c>
      <c r="E895" t="s">
        <v>24394</v>
      </c>
    </row>
    <row r="896" spans="1:5">
      <c r="A896" t="s">
        <v>5</v>
      </c>
      <c r="B896" t="s">
        <v>901</v>
      </c>
      <c r="C896">
        <f>HYPERLINK("C:\Users\franc\OneDrive\Documentos\ALIRO\ALIRO\KATHY\ANA LUISA 2010\CERTIFICADOS DE DOMINIO\MINA INSIENSO 1 AL 20 año 2022 mariana.doc", "Abrir Documento")</f>
        <v>0</v>
      </c>
      <c r="D896" t="s">
        <v>23501</v>
      </c>
      <c r="E896" t="s">
        <v>24395</v>
      </c>
    </row>
    <row r="897" spans="1:5">
      <c r="A897" t="s">
        <v>5</v>
      </c>
      <c r="B897" t="s">
        <v>902</v>
      </c>
      <c r="C897">
        <f>HYPERLINK("C:\Users\franc\OneDrive\Documentos\ALIRO\ALIRO\KATHY\ANA LUISA 2010\CERTIFICADOS DE DOMINIO\MINA EL POZO 1 AL 5.doc", "Abrir Documento")</f>
        <v>0</v>
      </c>
      <c r="D897" t="s">
        <v>23501</v>
      </c>
      <c r="E897" t="s">
        <v>24396</v>
      </c>
    </row>
    <row r="898" spans="1:5">
      <c r="A898" t="s">
        <v>5</v>
      </c>
      <c r="B898" t="s">
        <v>903</v>
      </c>
      <c r="C898">
        <f>HYPERLINK("C:\Users\franc\OneDrive\Documentos\ALIRO\ALIRO\KATHY\ANA LUISA 2010\CERTIFICADOS DE DOMINIO\MINA EL FARELLON 1 AL 10   -    MANIFESTACION.doc", "Abrir Documento")</f>
        <v>0</v>
      </c>
      <c r="D898" t="s">
        <v>23501</v>
      </c>
      <c r="E898" t="s">
        <v>24397</v>
      </c>
    </row>
    <row r="899" spans="1:5">
      <c r="A899" t="s">
        <v>5</v>
      </c>
      <c r="B899" t="s">
        <v>904</v>
      </c>
      <c r="C899">
        <f>HYPERLINK("C:\Users\franc\OneDrive\Documentos\ALIRO\ALIRO\KATHY\ANA LUISA 2010\CERTIFICADOS DE DOMINIO\MINA CUATRO AMIGOS UNO AL DIEZ.doc", "Abrir Documento")</f>
        <v>0</v>
      </c>
      <c r="D899" t="s">
        <v>23501</v>
      </c>
      <c r="E899" t="s">
        <v>24398</v>
      </c>
    </row>
    <row r="900" spans="1:5">
      <c r="A900" t="s">
        <v>5</v>
      </c>
      <c r="B900" t="s">
        <v>905</v>
      </c>
      <c r="C900">
        <f>HYPERLINK("C:\Users\franc\OneDrive\Documentos\ALIRO\ALIRO\KATHY\ANA LUISA 2010\CERTIFICADOS DE DOMINIO\MINA COLORADA 1 AL 10.doc", "Abrir Documento")</f>
        <v>0</v>
      </c>
      <c r="D900" t="s">
        <v>23501</v>
      </c>
      <c r="E900" t="s">
        <v>24399</v>
      </c>
    </row>
    <row r="901" spans="1:5">
      <c r="A901" t="s">
        <v>5</v>
      </c>
      <c r="B901" t="s">
        <v>906</v>
      </c>
      <c r="C901">
        <f>HYPERLINK("C:\Users\franc\OneDrive\Documentos\ALIRO\ALIRO\KATHY\ANA LUISA 2010\CERTIFICADOS DE DOMINIO\MICHELANGELO 1 AL 8 ALEX ROJAS ARDILES.doc", "Abrir Documento")</f>
        <v>0</v>
      </c>
      <c r="D901" t="s">
        <v>23501</v>
      </c>
      <c r="E901" t="s">
        <v>24400</v>
      </c>
    </row>
    <row r="902" spans="1:5">
      <c r="A902" t="s">
        <v>5</v>
      </c>
      <c r="B902" t="s">
        <v>907</v>
      </c>
      <c r="C902">
        <f>HYPERLINK("C:\Users\franc\OneDrive\Documentos\ALIRO\ALIRO\KATHY\ANA LUISA 2010\CERTIFICADOS DE DOMINIO\MERCEDITA SEPTIMA 1 AL 4 Y 9 AL 16.doc", "Abrir Documento")</f>
        <v>0</v>
      </c>
      <c r="D902" t="s">
        <v>23501</v>
      </c>
      <c r="E902" t="s">
        <v>24401</v>
      </c>
    </row>
    <row r="903" spans="1:5">
      <c r="A903" t="s">
        <v>5</v>
      </c>
      <c r="B903" t="s">
        <v>908</v>
      </c>
      <c r="C903">
        <f>HYPERLINK("C:\Users\franc\OneDrive\Documentos\ALIRO\ALIRO\KATHY\ANA LUISA 2010\CERTIFICADOS DE DOMINIO\MERCEDES UNO AL VEINTE.doc", "Abrir Documento")</f>
        <v>0</v>
      </c>
      <c r="D903" t="s">
        <v>23501</v>
      </c>
      <c r="E903" t="s">
        <v>24402</v>
      </c>
    </row>
    <row r="904" spans="1:5">
      <c r="A904" t="s">
        <v>5</v>
      </c>
      <c r="B904" t="s">
        <v>909</v>
      </c>
      <c r="C904">
        <f>HYPERLINK("C:\Users\franc\OneDrive\Documentos\ALIRO\ALIRO\KATHY\ANA LUISA 2010\CERTIFICADOS DE DOMINIO\MERCED 1 AL 10.doc", "Abrir Documento")</f>
        <v>0</v>
      </c>
      <c r="D904" t="s">
        <v>23501</v>
      </c>
      <c r="E904" t="s">
        <v>24403</v>
      </c>
    </row>
    <row r="905" spans="1:5">
      <c r="A905" t="s">
        <v>5</v>
      </c>
      <c r="B905" t="s">
        <v>910</v>
      </c>
      <c r="C905">
        <f>HYPERLINK("C:\Users\franc\OneDrive\Documentos\ALIRO\ALIRO\KATHY\ANA LUISA 2010\CERTIFICADOS DE DOMINIO\MARUJA 1 AL 5.doc", "Abrir Documento")</f>
        <v>0</v>
      </c>
      <c r="D905" t="s">
        <v>23501</v>
      </c>
      <c r="E905" t="s">
        <v>24404</v>
      </c>
    </row>
    <row r="906" spans="1:5">
      <c r="A906" t="s">
        <v>5</v>
      </c>
      <c r="B906" t="s">
        <v>911</v>
      </c>
      <c r="C906">
        <f>HYPERLINK("C:\Users\franc\OneDrive\Documentos\ALIRO\ALIRO\KATHY\ANA LUISA 2010\CERTIFICADOS DE DOMINIO\MARISOL 1 AL 7.doc", "Abrir Documento")</f>
        <v>0</v>
      </c>
      <c r="D906" t="s">
        <v>23501</v>
      </c>
      <c r="E906" t="s">
        <v>24405</v>
      </c>
    </row>
    <row r="907" spans="1:5">
      <c r="A907" t="s">
        <v>5</v>
      </c>
      <c r="B907" t="s">
        <v>912</v>
      </c>
      <c r="C907">
        <f>HYPERLINK("C:\Users\franc\OneDrive\Documentos\ALIRO\ALIRO\KATHY\ANA LUISA 2010\CERTIFICADOS DE DOMINIO\MARIA SAN JUAN 1 AL 5.doc", "Abrir Documento")</f>
        <v>0</v>
      </c>
      <c r="D907" t="s">
        <v>23501</v>
      </c>
      <c r="E907" t="s">
        <v>24406</v>
      </c>
    </row>
    <row r="908" spans="1:5">
      <c r="A908" t="s">
        <v>5</v>
      </c>
      <c r="B908" t="s">
        <v>913</v>
      </c>
      <c r="C908">
        <f>HYPERLINK("C:\Users\franc\OneDrive\Documentos\ALIRO\ALIRO\KATHY\ANA LUISA 2010\CERTIFICADOS DE DOMINIO\MANTOS VERDES 1 AL 20.doc", "Abrir Documento")</f>
        <v>0</v>
      </c>
      <c r="D908" t="s">
        <v>23501</v>
      </c>
      <c r="E908" t="s">
        <v>24407</v>
      </c>
    </row>
    <row r="909" spans="1:5">
      <c r="A909" t="s">
        <v>5</v>
      </c>
      <c r="B909" t="s">
        <v>914</v>
      </c>
      <c r="C909">
        <f>HYPERLINK("C:\Users\franc\OneDrive\Documentos\ALIRO\ALIRO\KATHY\ANA LUISA 2010\CERTIFICADOS DE DOMINIO\MANTAQUI OCTAVA.doc", "Abrir Documento")</f>
        <v>0</v>
      </c>
      <c r="D909" t="s">
        <v>23501</v>
      </c>
      <c r="E909" t="s">
        <v>24408</v>
      </c>
    </row>
    <row r="910" spans="1:5">
      <c r="A910" t="s">
        <v>5</v>
      </c>
      <c r="B910" t="s">
        <v>915</v>
      </c>
      <c r="C910">
        <f>HYPERLINK("C:\Users\franc\OneDrive\Documentos\ALIRO\ALIRO\KATHY\ANA LUISA 2010\CERTIFICADOS DE DOMINIO\MANTAQUI 1 Y 2.doc", "Abrir Documento")</f>
        <v>0</v>
      </c>
      <c r="D910" t="s">
        <v>23501</v>
      </c>
      <c r="E910" t="s">
        <v>24409</v>
      </c>
    </row>
    <row r="911" spans="1:5">
      <c r="A911" t="s">
        <v>5</v>
      </c>
      <c r="B911" t="s">
        <v>916</v>
      </c>
      <c r="C911">
        <f>HYPERLINK("C:\Users\franc\OneDrive\Documentos\ALIRO\ALIRO\KATHY\ANA LUISA 2010\CERTIFICADOS DE DOMINIO\MALAGARIGA DOS 1 -  20  -     MANIFESTACION.doc", "Abrir Documento")</f>
        <v>0</v>
      </c>
      <c r="D911" t="s">
        <v>23501</v>
      </c>
      <c r="E911" t="s">
        <v>24410</v>
      </c>
    </row>
    <row r="912" spans="1:5">
      <c r="A912" t="s">
        <v>5</v>
      </c>
      <c r="B912" t="s">
        <v>917</v>
      </c>
      <c r="C912">
        <f>HYPERLINK("C:\Users\franc\OneDrive\Documentos\ALIRO\ALIRO\KATHY\ANA LUISA 2010\CERTIFICADOS DE DOMINIO\MALAGARIGA 1 -  20  -     MANIFESTACION.doc", "Abrir Documento")</f>
        <v>0</v>
      </c>
      <c r="D912" t="s">
        <v>23501</v>
      </c>
      <c r="E912" t="s">
        <v>24411</v>
      </c>
    </row>
    <row r="913" spans="1:5">
      <c r="A913" t="s">
        <v>5</v>
      </c>
      <c r="B913" t="s">
        <v>918</v>
      </c>
      <c r="C913">
        <f>HYPERLINK("C:\Users\franc\OneDrive\Documentos\ALIRO\ALIRO\KATHY\ANA LUISA 2010\CERTIFICADOS DE DOMINIO\LUNA 1 AL 44.doc", "Abrir Documento")</f>
        <v>0</v>
      </c>
      <c r="D913" t="s">
        <v>23500</v>
      </c>
      <c r="E913" t="s">
        <v>24412</v>
      </c>
    </row>
    <row r="914" spans="1:5">
      <c r="A914" t="s">
        <v>5</v>
      </c>
      <c r="B914" t="s">
        <v>919</v>
      </c>
      <c r="C914">
        <f>HYPERLINK("C:\Users\franc\OneDrive\Documentos\ALIRO\ALIRO\KATHY\ANA LUISA 2010\CERTIFICADOS DE DOMINIO\LUNA  1 A 44.doc", "Abrir Documento")</f>
        <v>0</v>
      </c>
      <c r="D914" t="s">
        <v>23500</v>
      </c>
      <c r="E914" t="s">
        <v>24413</v>
      </c>
    </row>
    <row r="915" spans="1:5">
      <c r="A915" t="s">
        <v>5</v>
      </c>
      <c r="B915" t="s">
        <v>920</v>
      </c>
      <c r="C915">
        <f>HYPERLINK("C:\Users\franc\OneDrive\Documentos\ALIRO\ALIRO\KATHY\ANA LUISA 2010\CERTIFICADOS DE DOMINIO\LOS DOS AMIGOS 1 AL 6.doc", "Abrir Documento")</f>
        <v>0</v>
      </c>
      <c r="D915" t="s">
        <v>23501</v>
      </c>
      <c r="E915" t="s">
        <v>24414</v>
      </c>
    </row>
    <row r="916" spans="1:5">
      <c r="A916" t="s">
        <v>5</v>
      </c>
      <c r="B916" t="s">
        <v>921</v>
      </c>
      <c r="C916">
        <f>HYPERLINK("C:\Users\franc\OneDrive\Documentos\ALIRO\ALIRO\KATHY\ANA LUISA 2010\CERTIFICADOS DE DOMINIO\LOS CHAÑARES 1 AL 5.doc", "Abrir Documento")</f>
        <v>0</v>
      </c>
      <c r="D916" t="s">
        <v>23501</v>
      </c>
      <c r="E916" t="s">
        <v>24415</v>
      </c>
    </row>
    <row r="917" spans="1:5">
      <c r="A917" t="s">
        <v>5</v>
      </c>
      <c r="B917" t="s">
        <v>922</v>
      </c>
      <c r="C917">
        <f>HYPERLINK("C:\Users\franc\OneDrive\Documentos\ALIRO\ALIRO\KATHY\ANA LUISA 2010\CERTIFICADOS DE DOMINIO\LO SOCIOS 1 AL 18.doc", "Abrir Documento")</f>
        <v>0</v>
      </c>
      <c r="D917" t="s">
        <v>23501</v>
      </c>
      <c r="E917" t="s">
        <v>24416</v>
      </c>
    </row>
    <row r="918" spans="1:5">
      <c r="A918" t="s">
        <v>5</v>
      </c>
      <c r="B918" t="s">
        <v>923</v>
      </c>
      <c r="C918">
        <f>HYPERLINK("C:\Users\franc\OneDrive\Documentos\ALIRO\ALIRO\KATHY\ANA LUISA 2010\CERTIFICADOS DE DOMINIO\LEONOR E 2, 1 AL 20 CODELCO.doc", "Abrir Documento")</f>
        <v>0</v>
      </c>
      <c r="D918" t="s">
        <v>23501</v>
      </c>
      <c r="E918" t="s">
        <v>24417</v>
      </c>
    </row>
    <row r="919" spans="1:5">
      <c r="A919" t="s">
        <v>5</v>
      </c>
      <c r="B919" t="s">
        <v>924</v>
      </c>
      <c r="C919">
        <f>HYPERLINK("C:\Users\franc\OneDrive\Documentos\ALIRO\ALIRO\KATHY\ANA LUISA 2010\CERTIFICADOS DE DOMINIO\LAS TAZAS UNA AL VEINTE.doc", "Abrir Documento")</f>
        <v>0</v>
      </c>
      <c r="D919" t="s">
        <v>23501</v>
      </c>
      <c r="E919" t="s">
        <v>24418</v>
      </c>
    </row>
    <row r="920" spans="1:5">
      <c r="A920" t="s">
        <v>5</v>
      </c>
      <c r="B920" t="s">
        <v>925</v>
      </c>
      <c r="C920">
        <f>HYPERLINK("C:\Users\franc\OneDrive\Documentos\ALIRO\ALIRO\KATHY\ANA LUISA 2010\CERTIFICADOS DE DOMINIO\LAS ROZAS 1 AL 15 - DAVID ROJAS AGO. 2010.doc", "Abrir Documento")</f>
        <v>0</v>
      </c>
      <c r="D920" t="s">
        <v>23501</v>
      </c>
      <c r="E920" t="s">
        <v>24419</v>
      </c>
    </row>
    <row r="921" spans="1:5">
      <c r="A921" t="s">
        <v>5</v>
      </c>
      <c r="B921" t="s">
        <v>926</v>
      </c>
      <c r="C921">
        <f>HYPERLINK("C:\Users\franc\OneDrive\Documentos\ALIRO\ALIRO\KATHY\ANA LUISA 2010\CERTIFICADOS DE DOMINIO\LAS GUIAS  - EMPRESA MINERA PUNTA DE TALCA LMITADA.doc", "Abrir Documento")</f>
        <v>0</v>
      </c>
      <c r="D921" t="s">
        <v>23501</v>
      </c>
      <c r="E921" t="s">
        <v>24420</v>
      </c>
    </row>
    <row r="922" spans="1:5">
      <c r="A922" t="s">
        <v>5</v>
      </c>
      <c r="B922" t="s">
        <v>927</v>
      </c>
      <c r="C922">
        <f>HYPERLINK("C:\Users\franc\OneDrive\Documentos\ALIRO\ALIRO\KATHY\ANA LUISA 2010\CERTIFICADOS DE DOMINIO\LAS CUMBRES II 1 AL 5.doc", "Abrir Documento")</f>
        <v>0</v>
      </c>
      <c r="D922" t="s">
        <v>23501</v>
      </c>
      <c r="E922" t="s">
        <v>24421</v>
      </c>
    </row>
    <row r="923" spans="1:5">
      <c r="A923" t="s">
        <v>5</v>
      </c>
      <c r="B923" t="s">
        <v>928</v>
      </c>
      <c r="C923">
        <f>HYPERLINK("C:\Users\franc\OneDrive\Documentos\ALIRO\ALIRO\KATHY\ANA LUISA 2010\CERTIFICADOS DE DOMINIO\LAMUDA 1 AL 12   - RODOLFO ROJAS.doc", "Abrir Documento")</f>
        <v>0</v>
      </c>
      <c r="D923" t="s">
        <v>23501</v>
      </c>
      <c r="E923" t="s">
        <v>24422</v>
      </c>
    </row>
    <row r="924" spans="1:5">
      <c r="A924" t="s">
        <v>5</v>
      </c>
      <c r="B924" t="s">
        <v>929</v>
      </c>
      <c r="C924">
        <f>HYPERLINK("C:\Users\franc\OneDrive\Documentos\ALIRO\ALIRO\KATHY\ANA LUISA 2010\CERTIFICADOS DE DOMINIO\LADOMINGA  1 AL 3  - RODOLFO ROJAS.doc", "Abrir Documento")</f>
        <v>0</v>
      </c>
      <c r="D924" t="s">
        <v>23501</v>
      </c>
      <c r="E924" t="s">
        <v>24423</v>
      </c>
    </row>
    <row r="925" spans="1:5">
      <c r="A925" t="s">
        <v>5</v>
      </c>
      <c r="B925" t="s">
        <v>930</v>
      </c>
      <c r="C925">
        <f>HYPERLINK("C:\Users\franc\OneDrive\Documentos\ALIRO\ALIRO\KATHY\ANA LUISA 2010\CERTIFICADOS DE DOMINIO\LA ULTIMA UNO  -  HUMBERTO RIVERA CORTES.doc", "Abrir Documento")</f>
        <v>0</v>
      </c>
      <c r="D925" t="s">
        <v>23501</v>
      </c>
      <c r="E925" t="s">
        <v>24424</v>
      </c>
    </row>
    <row r="926" spans="1:5">
      <c r="A926" t="s">
        <v>5</v>
      </c>
      <c r="B926" t="s">
        <v>931</v>
      </c>
      <c r="C926">
        <f>HYPERLINK("C:\Users\franc\OneDrive\Documentos\ALIRO\ALIRO\KATHY\ANA LUISA 2010\CERTIFICADOS DE DOMINIO\LA TUCAN I DEL 1 AL 24.doc", "Abrir Documento")</f>
        <v>0</v>
      </c>
      <c r="D926" t="s">
        <v>23501</v>
      </c>
      <c r="E926" t="s">
        <v>24425</v>
      </c>
    </row>
    <row r="927" spans="1:5">
      <c r="A927" t="s">
        <v>5</v>
      </c>
      <c r="B927" t="s">
        <v>932</v>
      </c>
      <c r="C927">
        <f>HYPERLINK("C:\Users\franc\OneDrive\Documentos\ALIRO\ALIRO\KATHY\ANA LUISA 2010\CERTIFICADOS DE DOMINIO\LA TRES HERMANOS 1-12.doc", "Abrir Documento")</f>
        <v>0</v>
      </c>
      <c r="D927" t="s">
        <v>23501</v>
      </c>
      <c r="E927" t="s">
        <v>24426</v>
      </c>
    </row>
    <row r="928" spans="1:5">
      <c r="A928" t="s">
        <v>5</v>
      </c>
      <c r="B928" t="s">
        <v>933</v>
      </c>
      <c r="C928">
        <f>HYPERLINK("C:\Users\franc\OneDrive\Documentos\ALIRO\ALIRO\KATHY\ANA LUISA 2010\CERTIFICADOS DE DOMINIO\LA SUERTE.doc", "Abrir Documento")</f>
        <v>0</v>
      </c>
      <c r="D928" t="s">
        <v>23501</v>
      </c>
      <c r="E928" t="s">
        <v>24427</v>
      </c>
    </row>
    <row r="929" spans="1:5">
      <c r="A929" t="s">
        <v>5</v>
      </c>
      <c r="B929" t="s">
        <v>934</v>
      </c>
      <c r="C929">
        <f>HYPERLINK("C:\Users\franc\OneDrive\Documentos\ALIRO\ALIRO\KATHY\ANA LUISA 2010\CERTIFICADOS DE DOMINIO\LA SOLEDAD 1 AL 5.doc", "Abrir Documento")</f>
        <v>0</v>
      </c>
      <c r="D929" t="s">
        <v>23501</v>
      </c>
      <c r="E929" t="s">
        <v>24428</v>
      </c>
    </row>
    <row r="930" spans="1:5">
      <c r="A930" t="s">
        <v>5</v>
      </c>
      <c r="B930" t="s">
        <v>935</v>
      </c>
      <c r="C930">
        <f>HYPERLINK("C:\Users\franc\OneDrive\Documentos\ALIRO\ALIRO\KATHY\ANA LUISA 2010\CERTIFICADOS DE DOMINIO\LA SATAN UNO AL VEINTE.doc", "Abrir Documento")</f>
        <v>0</v>
      </c>
      <c r="D930" t="s">
        <v>23501</v>
      </c>
      <c r="E930" t="s">
        <v>24429</v>
      </c>
    </row>
    <row r="931" spans="1:5">
      <c r="A931" t="s">
        <v>5</v>
      </c>
      <c r="B931" t="s">
        <v>936</v>
      </c>
      <c r="C931">
        <f>HYPERLINK("C:\Users\franc\OneDrive\Documentos\ALIRO\ALIRO\KATHY\ANA LUISA 2010\CERTIFICADOS DE DOMINIO\LA SATAN UNO AL VEINTE - SOC. MINERA SANTA ESPERANZA S.A..doc", "Abrir Documento")</f>
        <v>0</v>
      </c>
      <c r="D931" t="s">
        <v>23501</v>
      </c>
      <c r="E931" t="s">
        <v>24430</v>
      </c>
    </row>
    <row r="932" spans="1:5">
      <c r="A932" t="s">
        <v>5</v>
      </c>
      <c r="B932" t="s">
        <v>937</v>
      </c>
      <c r="C932">
        <f>HYPERLINK("C:\Users\franc\OneDrive\Documentos\ALIRO\ALIRO\KATHY\ANA LUISA 2010\CERTIFICADOS DE DOMINIO\LA RUBIA UNO AL VEINTE.doc", "Abrir Documento")</f>
        <v>0</v>
      </c>
      <c r="D932" t="s">
        <v>23501</v>
      </c>
      <c r="E932" t="s">
        <v>24431</v>
      </c>
    </row>
    <row r="933" spans="1:5">
      <c r="A933" t="s">
        <v>5</v>
      </c>
      <c r="B933" t="s">
        <v>938</v>
      </c>
      <c r="C933">
        <f>HYPERLINK("C:\Users\franc\OneDrive\Documentos\ALIRO\ALIRO\KATHY\ANA LUISA 2010\CERTIFICADOS DE DOMINIO\LA ROSQUITA UNA AL CINCO.doc", "Abrir Documento")</f>
        <v>0</v>
      </c>
      <c r="D933" t="s">
        <v>23501</v>
      </c>
      <c r="E933" t="s">
        <v>24432</v>
      </c>
    </row>
    <row r="934" spans="1:5">
      <c r="A934" t="s">
        <v>5</v>
      </c>
      <c r="B934" t="s">
        <v>939</v>
      </c>
      <c r="C934">
        <f>HYPERLINK("C:\Users\franc\OneDrive\Documentos\ALIRO\ALIRO\KATHY\ANA LUISA 2010\CERTIFICADOS DE DOMINIO\LA ROSITA 1 AL 20   -    LUIS CARRASCO GUERRA.doc", "Abrir Documento")</f>
        <v>0</v>
      </c>
      <c r="D934" t="s">
        <v>23501</v>
      </c>
      <c r="E934" t="s">
        <v>24433</v>
      </c>
    </row>
    <row r="935" spans="1:5">
      <c r="A935" t="s">
        <v>5</v>
      </c>
      <c r="B935" t="s">
        <v>940</v>
      </c>
      <c r="C935">
        <f>HYPERLINK("C:\Users\franc\OneDrive\Documentos\ALIRO\ALIRO\KATHY\ANA LUISA 2010\CERTIFICADOS DE DOMINIO\LA REGALADA SEGUNDA 1 AL 50.doc", "Abrir Documento")</f>
        <v>0</v>
      </c>
      <c r="D935" t="s">
        <v>23501</v>
      </c>
      <c r="E935" t="s">
        <v>24434</v>
      </c>
    </row>
    <row r="936" spans="1:5">
      <c r="A936" t="s">
        <v>5</v>
      </c>
      <c r="B936" t="s">
        <v>941</v>
      </c>
      <c r="C936">
        <f>HYPERLINK("C:\Users\franc\OneDrive\Documentos\ALIRO\ALIRO\KATHY\ANA LUISA 2010\CERTIFICADOS DE DOMINIO\LA REGALADA 1 AL 100.doc", "Abrir Documento")</f>
        <v>0</v>
      </c>
      <c r="D936" t="s">
        <v>23501</v>
      </c>
      <c r="E936" t="s">
        <v>24435</v>
      </c>
    </row>
    <row r="937" spans="1:5">
      <c r="A937" t="s">
        <v>5</v>
      </c>
      <c r="B937" t="s">
        <v>942</v>
      </c>
      <c r="C937">
        <f>HYPERLINK("C:\Users\franc\OneDrive\Documentos\ALIRO\ALIRO\KATHY\ANA LUISA 2010\CERTIFICADOS DE DOMINIO\LA RECUPERADA 1 AL 20  -     MANIFESTACION.doc", "Abrir Documento")</f>
        <v>0</v>
      </c>
      <c r="D937" t="s">
        <v>23501</v>
      </c>
      <c r="E937" t="s">
        <v>24436</v>
      </c>
    </row>
    <row r="938" spans="1:5">
      <c r="A938" t="s">
        <v>5</v>
      </c>
      <c r="B938" t="s">
        <v>943</v>
      </c>
      <c r="C938">
        <f>HYPERLINK("C:\Users\franc\OneDrive\Documentos\ALIRO\ALIRO\KATHY\ANA LUISA 2010\CERTIFICADOS DE DOMINIO\LA POR SI ACASO 1 AL 9 - RODOLFO ROJAS.doc", "Abrir Documento")</f>
        <v>0</v>
      </c>
      <c r="D938" t="s">
        <v>23501</v>
      </c>
      <c r="E938" t="s">
        <v>24437</v>
      </c>
    </row>
    <row r="939" spans="1:5">
      <c r="A939" t="s">
        <v>5</v>
      </c>
      <c r="B939" t="s">
        <v>944</v>
      </c>
      <c r="C939">
        <f>HYPERLINK("C:\Users\franc\OneDrive\Documentos\ALIRO\ALIRO\KATHY\ANA LUISA 2010\CERTIFICADOS DE DOMINIO\LA PODEROSA PRIMERA A SEXTA.doc", "Abrir Documento")</f>
        <v>0</v>
      </c>
      <c r="D939" t="s">
        <v>23501</v>
      </c>
      <c r="E939" t="s">
        <v>24438</v>
      </c>
    </row>
    <row r="940" spans="1:5">
      <c r="A940" t="s">
        <v>5</v>
      </c>
      <c r="B940" t="s">
        <v>945</v>
      </c>
      <c r="C940">
        <f>HYPERLINK("C:\Users\franc\OneDrive\Documentos\ALIRO\ALIRO\KATHY\ANA LUISA 2010\CERTIFICADOS DE DOMINIO\LA PERLA SEGUNDA.doc", "Abrir Documento")</f>
        <v>0</v>
      </c>
      <c r="D940" t="s">
        <v>23501</v>
      </c>
      <c r="E940" t="s">
        <v>24439</v>
      </c>
    </row>
    <row r="941" spans="1:5">
      <c r="A941" t="s">
        <v>5</v>
      </c>
      <c r="B941" t="s">
        <v>946</v>
      </c>
      <c r="C941">
        <f>HYPERLINK("C:\Users\franc\OneDrive\Documentos\ALIRO\ALIRO\KATHY\ANA LUISA 2010\CERTIFICADOS DE DOMINIO\LA PASCUALA SEGUNDA 1  AL 6.doc", "Abrir Documento")</f>
        <v>0</v>
      </c>
      <c r="D941" t="s">
        <v>23501</v>
      </c>
      <c r="E941" t="s">
        <v>24440</v>
      </c>
    </row>
    <row r="942" spans="1:5">
      <c r="A942" t="s">
        <v>5</v>
      </c>
      <c r="B942" t="s">
        <v>947</v>
      </c>
      <c r="C942">
        <f>HYPERLINK("C:\Users\franc\OneDrive\Documentos\ALIRO\ALIRO\KATHY\ANA LUISA 2010\CERTIFICADOS DE DOMINIO\LA PAOLA 1 AL 18    MANIFESTACION.doc", "Abrir Documento")</f>
        <v>0</v>
      </c>
      <c r="D942" t="s">
        <v>23501</v>
      </c>
      <c r="E942" t="s">
        <v>24441</v>
      </c>
    </row>
    <row r="943" spans="1:5">
      <c r="A943" t="s">
        <v>5</v>
      </c>
      <c r="B943" t="s">
        <v>948</v>
      </c>
      <c r="C943">
        <f>HYPERLINK("C:\Users\franc\OneDrive\Documentos\ALIRO\ALIRO\KATHY\ANA LUISA 2010\CERTIFICADOS DE DOMINIO\LA NONITA 1 AL 9.doc", "Abrir Documento")</f>
        <v>0</v>
      </c>
      <c r="D943" t="s">
        <v>23501</v>
      </c>
      <c r="E943" t="s">
        <v>24442</v>
      </c>
    </row>
    <row r="944" spans="1:5">
      <c r="A944" t="s">
        <v>5</v>
      </c>
      <c r="B944" t="s">
        <v>949</v>
      </c>
      <c r="C944">
        <f>HYPERLINK("C:\Users\franc\OneDrive\Documentos\ALIRO\ALIRO\KATHY\ANA LUISA 2010\CERTIFICADOS DE DOMINIO\LA NONITA 1 AL 9   -   RAMONA ROJAS PASTEN.doc", "Abrir Documento")</f>
        <v>0</v>
      </c>
      <c r="D944" t="s">
        <v>23501</v>
      </c>
      <c r="E944" t="s">
        <v>24443</v>
      </c>
    </row>
    <row r="945" spans="1:5">
      <c r="A945" t="s">
        <v>5</v>
      </c>
      <c r="B945" t="s">
        <v>950</v>
      </c>
      <c r="C945">
        <f>HYPERLINK("C:\Users\franc\OneDrive\Documentos\ALIRO\ALIRO\KATHY\ANA LUISA 2010\CERTIFICADOS DE DOMINIO\LA NEGRA BUENA 1 AL 16 -  MANIFESTACION.doc", "Abrir Documento")</f>
        <v>0</v>
      </c>
      <c r="D945" t="s">
        <v>23501</v>
      </c>
      <c r="E945" t="s">
        <v>24444</v>
      </c>
    </row>
    <row r="946" spans="1:5">
      <c r="A946" t="s">
        <v>5</v>
      </c>
      <c r="B946" t="s">
        <v>951</v>
      </c>
      <c r="C946">
        <f>HYPERLINK("C:\Users\franc\OneDrive\Documentos\ALIRO\ALIRO\KATHY\ANA LUISA 2010\CERTIFICADOS DE DOMINIO\LA MORENA UNO AL DIEZ.doc", "Abrir Documento")</f>
        <v>0</v>
      </c>
      <c r="D946" t="s">
        <v>23501</v>
      </c>
      <c r="E946" t="s">
        <v>24445</v>
      </c>
    </row>
    <row r="947" spans="1:5">
      <c r="A947" t="s">
        <v>5</v>
      </c>
      <c r="B947" t="s">
        <v>952</v>
      </c>
      <c r="C947">
        <f>HYPERLINK("C:\Users\franc\OneDrive\Documentos\ALIRO\ALIRO\KATHY\ANA LUISA 2010\CERTIFICADOS DE DOMINIO\LA MORENA 1 AL 10  -  LORENZO ARAYA COFRE.doc", "Abrir Documento")</f>
        <v>0</v>
      </c>
      <c r="D947" t="s">
        <v>23501</v>
      </c>
      <c r="E947" t="s">
        <v>24446</v>
      </c>
    </row>
    <row r="948" spans="1:5">
      <c r="A948" t="s">
        <v>5</v>
      </c>
      <c r="B948" t="s">
        <v>953</v>
      </c>
      <c r="C948">
        <f>HYPERLINK("C:\Users\franc\OneDrive\Documentos\ALIRO\ALIRO\KATHY\ANA LUISA 2010\CERTIFICADOS DE DOMINIO\LA MARINA.doc", "Abrir Documento")</f>
        <v>0</v>
      </c>
      <c r="D948" t="s">
        <v>23501</v>
      </c>
      <c r="E948" t="s">
        <v>24447</v>
      </c>
    </row>
    <row r="949" spans="1:5">
      <c r="A949" t="s">
        <v>5</v>
      </c>
      <c r="B949" t="s">
        <v>954</v>
      </c>
      <c r="C949">
        <f>HYPERLINK("C:\Users\franc\OneDrive\Documentos\ALIRO\ALIRO\KATHY\ANA LUISA 2010\CERTIFICADOS DE DOMINIO\LA LLORONA UNO AL CINCO.doc", "Abrir Documento")</f>
        <v>0</v>
      </c>
      <c r="D949" t="s">
        <v>23501</v>
      </c>
      <c r="E949" t="s">
        <v>24448</v>
      </c>
    </row>
    <row r="950" spans="1:5">
      <c r="A950" t="s">
        <v>5</v>
      </c>
      <c r="B950" t="s">
        <v>955</v>
      </c>
      <c r="C950">
        <f>HYPERLINK("C:\Users\franc\OneDrive\Documentos\ALIRO\ALIRO\KATHY\ANA LUISA 2010\CERTIFICADOS DE DOMINIO\LA LECHUZA I DEL 1 AL 90.doc", "Abrir Documento")</f>
        <v>0</v>
      </c>
      <c r="D950" t="s">
        <v>23501</v>
      </c>
      <c r="E950" t="s">
        <v>24449</v>
      </c>
    </row>
    <row r="951" spans="1:5">
      <c r="A951" t="s">
        <v>5</v>
      </c>
      <c r="B951" t="s">
        <v>956</v>
      </c>
      <c r="C951">
        <f>HYPERLINK("C:\Users\franc\OneDrive\Documentos\ALIRO\ALIRO\KATHY\ANA LUISA 2010\CERTIFICADOS DE DOMINIO\LA LAMPERA UNA AL SEIS.doc", "Abrir Documento")</f>
        <v>0</v>
      </c>
      <c r="D951" t="s">
        <v>23501</v>
      </c>
      <c r="E951" t="s">
        <v>24450</v>
      </c>
    </row>
    <row r="952" spans="1:5">
      <c r="A952" t="s">
        <v>5</v>
      </c>
      <c r="B952" t="s">
        <v>957</v>
      </c>
      <c r="C952">
        <f>HYPERLINK("C:\Users\franc\OneDrive\Documentos\ALIRO\ALIRO\KATHY\ANA LUISA 2010\CERTIFICADOS DE DOMINIO\LA LAMPERA 1 AL 6 - ANTOLINA  ROJAS.doc", "Abrir Documento")</f>
        <v>0</v>
      </c>
      <c r="D952" t="s">
        <v>23501</v>
      </c>
      <c r="E952" t="s">
        <v>24451</v>
      </c>
    </row>
    <row r="953" spans="1:5">
      <c r="A953" t="s">
        <v>5</v>
      </c>
      <c r="B953" t="s">
        <v>958</v>
      </c>
      <c r="C953">
        <f>HYPERLINK("C:\Users\franc\OneDrive\Documentos\ALIRO\ALIRO\KATHY\ANA LUISA 2010\CERTIFICADOS DE DOMINIO\LA FE GRANDE 1 AL 7.doc", "Abrir Documento")</f>
        <v>0</v>
      </c>
      <c r="D953" t="s">
        <v>23501</v>
      </c>
      <c r="E953" t="s">
        <v>24452</v>
      </c>
    </row>
    <row r="954" spans="1:5">
      <c r="A954" t="s">
        <v>5</v>
      </c>
      <c r="B954" t="s">
        <v>959</v>
      </c>
      <c r="C954">
        <f>HYPERLINK("C:\Users\franc\OneDrive\Documentos\ALIRO\ALIRO\KATHY\ANA LUISA 2010\CERTIFICADOS DE DOMINIO\LA FE GRANDE 1 AL 7 AÑO 2022.doc", "Abrir Documento")</f>
        <v>0</v>
      </c>
      <c r="D954" t="s">
        <v>23501</v>
      </c>
      <c r="E954" t="s">
        <v>24453</v>
      </c>
    </row>
    <row r="955" spans="1:5">
      <c r="A955" t="s">
        <v>5</v>
      </c>
      <c r="B955" t="s">
        <v>960</v>
      </c>
      <c r="C955">
        <f>HYPERLINK("C:\Users\franc\OneDrive\Documentos\ALIRO\ALIRO\KATHY\ANA LUISA 2010\CERTIFICADOS DE DOMINIO\LA ENCANTADA 1 AL 16  -   LUIS CARRASCO GUERRA.doc", "Abrir Documento")</f>
        <v>0</v>
      </c>
      <c r="D955" t="s">
        <v>23501</v>
      </c>
      <c r="E955" t="s">
        <v>24454</v>
      </c>
    </row>
    <row r="956" spans="1:5">
      <c r="A956" t="s">
        <v>5</v>
      </c>
      <c r="B956" t="s">
        <v>961</v>
      </c>
      <c r="C956">
        <f>HYPERLINK("C:\Users\franc\OneDrive\Documentos\ALIRO\ALIRO\KATHY\ANA LUISA 2010\CERTIFICADOS DE DOMINIO\LA DISPUTADA 1 AL 20.doc", "Abrir Documento")</f>
        <v>0</v>
      </c>
      <c r="D956" t="s">
        <v>23501</v>
      </c>
      <c r="E956" t="s">
        <v>24455</v>
      </c>
    </row>
    <row r="957" spans="1:5">
      <c r="A957" t="s">
        <v>5</v>
      </c>
      <c r="B957" t="s">
        <v>962</v>
      </c>
      <c r="C957">
        <f>HYPERLINK("C:\Users\franc\OneDrive\Documentos\ALIRO\ALIRO\KATHY\ANA LUISA 2010\CERTIFICADOS DE DOMINIO\LA DESPRECIADA 1 AL 5 COMPAÑIA MINERA RIO HURTADO.doc", "Abrir Documento")</f>
        <v>0</v>
      </c>
      <c r="D957" t="s">
        <v>23501</v>
      </c>
      <c r="E957" t="s">
        <v>24456</v>
      </c>
    </row>
    <row r="958" spans="1:5">
      <c r="A958" t="s">
        <v>5</v>
      </c>
      <c r="B958" t="s">
        <v>963</v>
      </c>
      <c r="C958">
        <f>HYPERLINK("C:\Users\franc\OneDrive\Documentos\ALIRO\ALIRO\KATHY\ANA LUISA 2010\CERTIFICADOS DE DOMINIO\LA DESPRECIADA 1 AL 20.doc", "Abrir Documento")</f>
        <v>0</v>
      </c>
      <c r="D958" t="s">
        <v>23501</v>
      </c>
      <c r="E958" t="s">
        <v>24457</v>
      </c>
    </row>
    <row r="959" spans="1:5">
      <c r="A959" t="s">
        <v>5</v>
      </c>
      <c r="B959" t="s">
        <v>964</v>
      </c>
      <c r="C959">
        <f>HYPERLINK("C:\Users\franc\OneDrive\Documentos\ALIRO\ALIRO\KATHY\ANA LUISA 2010\CERTIFICADOS DE DOMINIO\LA DESCONOCIDA DOS 1 AL 2.doc", "Abrir Documento")</f>
        <v>0</v>
      </c>
      <c r="D959" t="s">
        <v>23501</v>
      </c>
      <c r="E959" t="s">
        <v>24458</v>
      </c>
    </row>
    <row r="960" spans="1:5">
      <c r="A960" t="s">
        <v>5</v>
      </c>
      <c r="B960" t="s">
        <v>965</v>
      </c>
      <c r="C960">
        <f>HYPERLINK("C:\Users\franc\OneDrive\Documentos\ALIRO\ALIRO\KATHY\ANA LUISA 2010\CERTIFICADOS DE DOMINIO\JUAN DE DIOS 1 AL 40.doc", "Abrir Documento")</f>
        <v>0</v>
      </c>
      <c r="D960" t="s">
        <v>23501</v>
      </c>
      <c r="E960" t="s">
        <v>24459</v>
      </c>
    </row>
    <row r="961" spans="1:5">
      <c r="A961" t="s">
        <v>5</v>
      </c>
      <c r="B961" t="s">
        <v>966</v>
      </c>
      <c r="C961">
        <f>HYPERLINK("C:\Users\franc\OneDrive\Documentos\ALIRO\ALIRO\KATHY\ANA LUISA 2010\CERTIFICADOS DE DOMINIO\JAZMIN PRIMERA A JAZMIN TERCERA.doc", "Abrir Documento")</f>
        <v>0</v>
      </c>
      <c r="D961" t="s">
        <v>23501</v>
      </c>
      <c r="E961" t="s">
        <v>24460</v>
      </c>
    </row>
    <row r="962" spans="1:5">
      <c r="A962" t="s">
        <v>5</v>
      </c>
      <c r="B962" t="s">
        <v>967</v>
      </c>
      <c r="C962">
        <f>HYPERLINK("C:\Users\franc\OneDrive\Documentos\ALIRO\ALIRO\KATHY\ANA LUISA 2010\CERTIFICADOS DE DOMINIO\ITEA 4.doc", "Abrir Documento")</f>
        <v>0</v>
      </c>
      <c r="D962" t="s">
        <v>23501</v>
      </c>
      <c r="E962" t="s">
        <v>24461</v>
      </c>
    </row>
    <row r="963" spans="1:5">
      <c r="A963" t="s">
        <v>5</v>
      </c>
      <c r="B963" t="s">
        <v>968</v>
      </c>
      <c r="C963">
        <f>HYPERLINK("C:\Users\franc\OneDrive\Documentos\ALIRO\ALIRO\KATHY\ANA LUISA 2010\CERTIFICADOS DE DOMINIO\HURACAN 1 AL 36.doc", "Abrir Documento")</f>
        <v>0</v>
      </c>
      <c r="D963" t="s">
        <v>23501</v>
      </c>
      <c r="E963" t="s">
        <v>24462</v>
      </c>
    </row>
    <row r="964" spans="1:5">
      <c r="A964" t="s">
        <v>5</v>
      </c>
      <c r="B964" t="s">
        <v>969</v>
      </c>
      <c r="C964">
        <f>HYPERLINK("C:\Users\franc\OneDrive\Documentos\ALIRO\ALIRO\KATHY\ANA LUISA 2010\CERTIFICADOS DE DOMINIO\HUAMPULLA UNO 1 AL 30 - PRESTADORA DE SERVICIOS S.A..doc", "Abrir Documento")</f>
        <v>0</v>
      </c>
      <c r="D964" t="s">
        <v>23501</v>
      </c>
      <c r="E964" t="s">
        <v>24463</v>
      </c>
    </row>
    <row r="965" spans="1:5">
      <c r="A965" t="s">
        <v>5</v>
      </c>
      <c r="B965" t="s">
        <v>970</v>
      </c>
      <c r="C965">
        <f>HYPERLINK("C:\Users\franc\OneDrive\Documentos\ALIRO\ALIRO\KATHY\ANA LUISA 2010\CERTIFICADOS DE DOMINIO\HUAMPULLA dos  1 AL 30 - PRESTADORA DE SERVICIOS S.A..doc", "Abrir Documento")</f>
        <v>0</v>
      </c>
      <c r="D965" t="s">
        <v>23501</v>
      </c>
      <c r="E965" t="s">
        <v>24464</v>
      </c>
    </row>
    <row r="966" spans="1:5">
      <c r="A966" t="s">
        <v>5</v>
      </c>
      <c r="B966" t="s">
        <v>971</v>
      </c>
      <c r="C966">
        <f>HYPERLINK("C:\Users\franc\OneDrive\Documentos\ALIRO\ALIRO\KATHY\ANA LUISA 2010\CERTIFICADOS DE DOMINIO\HUAMPULLA CUARTO   1 AL 20 - PRESTADORA DE SERVICIOS S.A..doc", "Abrir Documento")</f>
        <v>0</v>
      </c>
      <c r="D966" t="s">
        <v>23501</v>
      </c>
      <c r="E966" t="s">
        <v>24465</v>
      </c>
    </row>
    <row r="967" spans="1:5">
      <c r="A967" t="s">
        <v>5</v>
      </c>
      <c r="B967" t="s">
        <v>972</v>
      </c>
      <c r="C967">
        <f>HYPERLINK("C:\Users\franc\OneDrive\Documentos\ALIRO\ALIRO\KATHY\ANA LUISA 2010\CERTIFICADOS DE DOMINIO\HUAMPULLA  TERCERO   1 AL 20 - PRESTADORA DE SERVICIOS S.A..doc", "Abrir Documento")</f>
        <v>0</v>
      </c>
      <c r="D967" t="s">
        <v>23501</v>
      </c>
      <c r="E967" t="s">
        <v>24466</v>
      </c>
    </row>
    <row r="968" spans="1:5">
      <c r="A968" t="s">
        <v>5</v>
      </c>
      <c r="B968" t="s">
        <v>973</v>
      </c>
      <c r="C968">
        <f>HYPERLINK("C:\Users\franc\OneDrive\Documentos\ALIRO\ALIRO\KATHY\ANA LUISA 2010\CERTIFICADOS DE DOMINIO\HERRADURA 1 AL 7.doc", "Abrir Documento")</f>
        <v>0</v>
      </c>
      <c r="D968" t="s">
        <v>23501</v>
      </c>
      <c r="E968" t="s">
        <v>24467</v>
      </c>
    </row>
    <row r="969" spans="1:5">
      <c r="A969" t="s">
        <v>5</v>
      </c>
      <c r="B969" t="s">
        <v>974</v>
      </c>
      <c r="C969">
        <f>HYPERLINK("C:\Users\franc\OneDrive\Documentos\ALIRO\ALIRO\KATHY\ANA LUISA 2010\CERTIFICADOS DE DOMINIO\HASS 1 AL 18 MENSURA COMPAÑIA MINERA MUNIZAGA.doc", "Abrir Documento")</f>
        <v>0</v>
      </c>
      <c r="D969" t="s">
        <v>23501</v>
      </c>
      <c r="E969" t="s">
        <v>24468</v>
      </c>
    </row>
    <row r="970" spans="1:5">
      <c r="A970" t="s">
        <v>5</v>
      </c>
      <c r="B970" t="s">
        <v>975</v>
      </c>
      <c r="C970">
        <f>HYPERLINK("C:\Users\franc\OneDrive\Documentos\ALIRO\ALIRO\KATHY\ANA LUISA 2010\CERTIFICADOS DE DOMINIO\HASS 1 AL 18  COMPAÑIA MINERA MUNIZAGA.doc", "Abrir Documento")</f>
        <v>0</v>
      </c>
      <c r="D970" t="s">
        <v>23501</v>
      </c>
      <c r="E970" t="s">
        <v>24469</v>
      </c>
    </row>
    <row r="971" spans="1:5">
      <c r="A971" t="s">
        <v>5</v>
      </c>
      <c r="B971" t="s">
        <v>976</v>
      </c>
      <c r="C971">
        <f>HYPERLINK("C:\Users\franc\OneDrive\Documentos\ALIRO\ALIRO\KATHY\ANA LUISA 2010\CERTIFICADOS DE DOMINIO\HASS 1 A 20  -  MANIFESTACION.doc", "Abrir Documento")</f>
        <v>0</v>
      </c>
      <c r="D971" t="s">
        <v>23501</v>
      </c>
      <c r="E971" t="s">
        <v>24470</v>
      </c>
    </row>
    <row r="972" spans="1:5">
      <c r="A972" t="s">
        <v>5</v>
      </c>
      <c r="B972" t="s">
        <v>977</v>
      </c>
      <c r="C972">
        <f>HYPERLINK("C:\Users\franc\OneDrive\Documentos\ALIRO\ALIRO\KATHY\ANA LUISA 2010\CERTIFICADOS DE DOMINIO\HASS 1 A 20   -    MANIFESTACION.doc", "Abrir Documento")</f>
        <v>0</v>
      </c>
      <c r="D972" t="s">
        <v>23501</v>
      </c>
      <c r="E972" t="s">
        <v>24471</v>
      </c>
    </row>
    <row r="973" spans="1:5">
      <c r="A973" t="s">
        <v>5</v>
      </c>
      <c r="B973" t="s">
        <v>978</v>
      </c>
      <c r="C973">
        <f>HYPERLINK("C:\Users\franc\OneDrive\Documentos\ALIRO\ALIRO\KATHY\ANA LUISA 2010\CERTIFICADOS DE DOMINIO\GENERAL YAMAGATA UNO A YAMAGATA VEINTE.doc", "Abrir Documento")</f>
        <v>0</v>
      </c>
      <c r="D973" t="s">
        <v>23501</v>
      </c>
      <c r="E973" t="s">
        <v>24472</v>
      </c>
    </row>
    <row r="974" spans="1:5">
      <c r="A974" t="s">
        <v>5</v>
      </c>
      <c r="B974" t="s">
        <v>979</v>
      </c>
      <c r="C974">
        <f>HYPERLINK("C:\Users\franc\OneDrive\Documentos\ALIRO\ALIRO\KATHY\ANA LUISA 2010\CERTIFICADOS DE DOMINIO\GENERAL YAMAGATA UNO A GENERAL YAMAGATA VEINTE.doc", "Abrir Documento")</f>
        <v>0</v>
      </c>
      <c r="D974" t="s">
        <v>23501</v>
      </c>
      <c r="E974" t="s">
        <v>24473</v>
      </c>
    </row>
    <row r="975" spans="1:5">
      <c r="A975" t="s">
        <v>5</v>
      </c>
      <c r="B975" t="s">
        <v>980</v>
      </c>
      <c r="C975">
        <f>HYPERLINK("C:\Users\franc\OneDrive\Documentos\ALIRO\ALIRO\KATHY\ANA LUISA 2010\CERTIFICADOS DE DOMINIO\GABRIEL VIII  1-16  -   COMPAÑIA MINERA PUNITAQUI SCM.doc", "Abrir Documento")</f>
        <v>0</v>
      </c>
      <c r="D975" t="s">
        <v>23501</v>
      </c>
      <c r="E975" t="s">
        <v>24474</v>
      </c>
    </row>
    <row r="976" spans="1:5">
      <c r="A976" t="s">
        <v>5</v>
      </c>
      <c r="B976" t="s">
        <v>981</v>
      </c>
      <c r="C976">
        <f>HYPERLINK("C:\Users\franc\OneDrive\Documentos\ALIRO\ALIRO\KATHY\ANA LUISA 2010\CERTIFICADOS DE DOMINIO\GABRIEL VII  1-32  -   COMPAÑIA MINERA PUNITAQUI SCM.doc", "Abrir Documento")</f>
        <v>0</v>
      </c>
      <c r="D976" t="s">
        <v>23501</v>
      </c>
      <c r="E976" t="s">
        <v>24475</v>
      </c>
    </row>
    <row r="977" spans="1:5">
      <c r="A977" t="s">
        <v>5</v>
      </c>
      <c r="B977" t="s">
        <v>982</v>
      </c>
      <c r="C977">
        <f>HYPERLINK("C:\Users\franc\OneDrive\Documentos\ALIRO\ALIRO\KATHY\ANA LUISA 2010\CERTIFICADOS DE DOMINIO\GABRIEL III  1-300  -   COMPAÑIA MINERA PUNITAQUI SCM.doc", "Abrir Documento")</f>
        <v>0</v>
      </c>
      <c r="D977" t="s">
        <v>23501</v>
      </c>
      <c r="E977" t="s">
        <v>24476</v>
      </c>
    </row>
    <row r="978" spans="1:5">
      <c r="A978" t="s">
        <v>5</v>
      </c>
      <c r="B978" t="s">
        <v>983</v>
      </c>
      <c r="C978">
        <f>HYPERLINK("C:\Users\franc\OneDrive\Documentos\ALIRO\ALIRO\KATHY\ANA LUISA 2010\CERTIFICADOS DE DOMINIO\GABRIEL II  1-200  -   COMPAÑIA MINERA PUNITAQUI SCM.doc", "Abrir Documento")</f>
        <v>0</v>
      </c>
      <c r="D978" t="s">
        <v>23500</v>
      </c>
      <c r="E978" t="s">
        <v>24477</v>
      </c>
    </row>
    <row r="979" spans="1:5">
      <c r="A979" t="s">
        <v>5</v>
      </c>
      <c r="B979" t="s">
        <v>984</v>
      </c>
      <c r="C979">
        <f>HYPERLINK("C:\Users\franc\OneDrive\Documentos\ALIRO\ALIRO\KATHY\ANA LUISA 2010\CERTIFICADOS DE DOMINIO\GABRIEL I  1-200  -   COMPAÑIA MINERA PUNITAQUI SCM.doc", "Abrir Documento")</f>
        <v>0</v>
      </c>
      <c r="D979" t="s">
        <v>23500</v>
      </c>
      <c r="E979" t="s">
        <v>24478</v>
      </c>
    </row>
    <row r="980" spans="1:5">
      <c r="A980" t="s">
        <v>5</v>
      </c>
      <c r="B980" t="s">
        <v>985</v>
      </c>
      <c r="C980">
        <f>HYPERLINK("C:\Users\franc\OneDrive\Documentos\ALIRO\ALIRO\KATHY\ANA LUISA 2010\CERTIFICADOS DE DOMINIO\GABRIEL I  1 AL 200  -  COMPAÑIA MINERA PUNITAQUI SCM.doc", "Abrir Documento")</f>
        <v>0</v>
      </c>
      <c r="D980" t="s">
        <v>23501</v>
      </c>
      <c r="E980" t="s">
        <v>24479</v>
      </c>
    </row>
    <row r="981" spans="1:5">
      <c r="A981" t="s">
        <v>5</v>
      </c>
      <c r="B981" t="s">
        <v>986</v>
      </c>
      <c r="C981">
        <f>HYPERLINK("C:\Users\franc\OneDrive\Documentos\ALIRO\ALIRO\KATHY\ANA LUISA 2010\CERTIFICADOS DE DOMINIO\FUTURO EL LLANO 3 1- 9     MANIFESTACION.doc", "Abrir Documento")</f>
        <v>0</v>
      </c>
      <c r="D981" t="s">
        <v>23501</v>
      </c>
      <c r="E981" t="s">
        <v>24480</v>
      </c>
    </row>
    <row r="982" spans="1:5">
      <c r="A982" t="s">
        <v>5</v>
      </c>
      <c r="B982" t="s">
        <v>987</v>
      </c>
      <c r="C982">
        <f>HYPERLINK("C:\Users\franc\OneDrive\Documentos\ALIRO\ALIRO\KATHY\ANA LUISA 2010\CERTIFICADOS DE DOMINIO\FRANCESA 1º Y 2º.doc", "Abrir Documento")</f>
        <v>0</v>
      </c>
      <c r="D982" t="s">
        <v>23501</v>
      </c>
      <c r="E982" t="s">
        <v>24481</v>
      </c>
    </row>
    <row r="983" spans="1:5">
      <c r="A983" t="s">
        <v>5</v>
      </c>
      <c r="B983" t="s">
        <v>988</v>
      </c>
      <c r="C983">
        <f>HYPERLINK("C:\Users\franc\OneDrive\Documentos\ALIRO\ALIRO\KATHY\ANA LUISA 2010\CERTIFICADOS DE DOMINIO\FLOR DE ALCAPARRA TERCERA A QUINTA.doc", "Abrir Documento")</f>
        <v>0</v>
      </c>
      <c r="D983" t="s">
        <v>23501</v>
      </c>
      <c r="E983" t="s">
        <v>24482</v>
      </c>
    </row>
    <row r="984" spans="1:5">
      <c r="A984" t="s">
        <v>5</v>
      </c>
      <c r="B984" t="s">
        <v>989</v>
      </c>
      <c r="C984">
        <f>HYPERLINK("C:\Users\franc\OneDrive\Documentos\ALIRO\ALIRO\KATHY\ANA LUISA 2010\CERTIFICADOS DE DOMINIO\FELIPE 1 A FELIPE 20  MANIFESTACION.doc", "Abrir Documento")</f>
        <v>0</v>
      </c>
      <c r="D984" t="s">
        <v>23501</v>
      </c>
      <c r="E984" t="s">
        <v>24483</v>
      </c>
    </row>
    <row r="985" spans="1:5">
      <c r="A985" t="s">
        <v>5</v>
      </c>
      <c r="B985" t="s">
        <v>990</v>
      </c>
      <c r="C985">
        <f>HYPERLINK("C:\Users\franc\OneDrive\Documentos\ALIRO\ALIRO\KATHY\ANA LUISA 2010\CERTIFICADOS DE DOMINIO\ESPERANZA 1 AL 20 (DOMINIO VIGENTE).doc", "Abrir Documento")</f>
        <v>0</v>
      </c>
      <c r="D985" t="s">
        <v>23501</v>
      </c>
      <c r="E985" t="s">
        <v>24484</v>
      </c>
    </row>
    <row r="986" spans="1:5">
      <c r="A986" t="s">
        <v>5</v>
      </c>
      <c r="B986" t="s">
        <v>991</v>
      </c>
      <c r="C986">
        <f>HYPERLINK("C:\Users\franc\OneDrive\Documentos\ALIRO\ALIRO\KATHY\ANA LUISA 2010\CERTIFICADOS DE DOMINIO\EPIFANIA 1 AL 54.doc", "Abrir Documento")</f>
        <v>0</v>
      </c>
      <c r="D986" t="s">
        <v>23501</v>
      </c>
      <c r="E986" t="s">
        <v>24485</v>
      </c>
    </row>
    <row r="987" spans="1:5">
      <c r="A987" t="s">
        <v>5</v>
      </c>
      <c r="B987" t="s">
        <v>992</v>
      </c>
      <c r="C987">
        <f>HYPERLINK("C:\Users\franc\OneDrive\Documentos\ALIRO\ALIRO\KATHY\ANA LUISA 2010\CERTIFICADOS DE DOMINIO\ENTROPIA 1 AL 10.doc", "Abrir Documento")</f>
        <v>0</v>
      </c>
      <c r="D987" t="s">
        <v>23501</v>
      </c>
      <c r="E987" t="s">
        <v>24486</v>
      </c>
    </row>
    <row r="988" spans="1:5">
      <c r="A988" t="s">
        <v>5</v>
      </c>
      <c r="B988" t="s">
        <v>993</v>
      </c>
      <c r="C988">
        <f>HYPERLINK("C:\Users\franc\OneDrive\Documentos\ALIRO\ALIRO\KATHY\ANA LUISA 2010\CERTIFICADOS DE DOMINIO\ELENA 9 AL 13 - 16-17-18-19 Y 21.doc", "Abrir Documento")</f>
        <v>0</v>
      </c>
      <c r="D988" t="s">
        <v>23501</v>
      </c>
      <c r="E988" t="s">
        <v>24487</v>
      </c>
    </row>
    <row r="989" spans="1:5">
      <c r="A989" t="s">
        <v>5</v>
      </c>
      <c r="B989" t="s">
        <v>994</v>
      </c>
      <c r="C989">
        <f>HYPERLINK("C:\Users\franc\OneDrive\Documentos\ALIRO\ALIRO\KATHY\ANA LUISA 2010\CERTIFICADOS DE DOMINIO\ELENA 1 AL 8   Y   14 - 20 Y 22.doc", "Abrir Documento")</f>
        <v>0</v>
      </c>
      <c r="D989" t="s">
        <v>23500</v>
      </c>
      <c r="E989" t="s">
        <v>24488</v>
      </c>
    </row>
    <row r="990" spans="1:5">
      <c r="A990" t="s">
        <v>5</v>
      </c>
      <c r="B990" t="s">
        <v>995</v>
      </c>
      <c r="C990">
        <f>HYPERLINK("C:\Users\franc\OneDrive\Documentos\ALIRO\ALIRO\KATHY\ANA LUISA 2010\CERTIFICADOS DE DOMINIO\ELENA 1 AL 8   -   14 - 15 - 20 Y 22.doc", "Abrir Documento")</f>
        <v>0</v>
      </c>
      <c r="D990" t="s">
        <v>23501</v>
      </c>
      <c r="E990" t="s">
        <v>24489</v>
      </c>
    </row>
    <row r="991" spans="1:5">
      <c r="A991" t="s">
        <v>5</v>
      </c>
      <c r="B991" t="s">
        <v>996</v>
      </c>
      <c r="C991">
        <f>HYPERLINK("C:\Users\franc\OneDrive\Documentos\ALIRO\ALIRO\KATHY\ANA LUISA 2010\CERTIFICADOS DE DOMINIO\EL VALLECITO 43.doc", "Abrir Documento")</f>
        <v>0</v>
      </c>
      <c r="D991" t="s">
        <v>23501</v>
      </c>
      <c r="E991" t="s">
        <v>24490</v>
      </c>
    </row>
    <row r="992" spans="1:5">
      <c r="A992" t="s">
        <v>5</v>
      </c>
      <c r="B992" t="s">
        <v>997</v>
      </c>
      <c r="C992">
        <f>HYPERLINK("C:\Users\franc\OneDrive\Documentos\ALIRO\ALIRO\KATHY\ANA LUISA 2010\CERTIFICADOS DE DOMINIO\EL VALLECITO 42.doc", "Abrir Documento")</f>
        <v>0</v>
      </c>
      <c r="D992" t="s">
        <v>23501</v>
      </c>
      <c r="E992" t="s">
        <v>24491</v>
      </c>
    </row>
    <row r="993" spans="1:5">
      <c r="A993" t="s">
        <v>5</v>
      </c>
      <c r="B993" t="s">
        <v>998</v>
      </c>
      <c r="C993">
        <f>HYPERLINK("C:\Users\franc\OneDrive\Documentos\ALIRO\ALIRO\KATHY\ANA LUISA 2010\CERTIFICADOS DE DOMINIO\EL VALLECITO 41.doc", "Abrir Documento")</f>
        <v>0</v>
      </c>
      <c r="D993" t="s">
        <v>23501</v>
      </c>
      <c r="E993" t="s">
        <v>24492</v>
      </c>
    </row>
    <row r="994" spans="1:5">
      <c r="A994" t="s">
        <v>5</v>
      </c>
      <c r="B994" t="s">
        <v>999</v>
      </c>
      <c r="C994">
        <f>HYPERLINK("C:\Users\franc\OneDrive\Documentos\ALIRO\ALIRO\KATHY\ANA LUISA 2010\CERTIFICADOS DE DOMINIO\EL VALLECITO 36.doc", "Abrir Documento")</f>
        <v>0</v>
      </c>
      <c r="D994" t="s">
        <v>23501</v>
      </c>
      <c r="E994" t="s">
        <v>24493</v>
      </c>
    </row>
    <row r="995" spans="1:5">
      <c r="A995" t="s">
        <v>5</v>
      </c>
      <c r="B995" t="s">
        <v>1000</v>
      </c>
      <c r="C995">
        <f>HYPERLINK("C:\Users\franc\OneDrive\Documentos\ALIRO\ALIRO\KATHY\ANA LUISA 2010\CERTIFICADOS DE DOMINIO\EL VALLECITO 35.doc", "Abrir Documento")</f>
        <v>0</v>
      </c>
      <c r="D995" t="s">
        <v>23501</v>
      </c>
      <c r="E995" t="s">
        <v>24494</v>
      </c>
    </row>
    <row r="996" spans="1:5">
      <c r="A996" t="s">
        <v>5</v>
      </c>
      <c r="B996" t="s">
        <v>1001</v>
      </c>
      <c r="C996">
        <f>HYPERLINK("C:\Users\franc\OneDrive\Documentos\ALIRO\ALIRO\KATHY\ANA LUISA 2010\CERTIFICADOS DE DOMINIO\EL VALLECITO 34.doc", "Abrir Documento")</f>
        <v>0</v>
      </c>
      <c r="D996" t="s">
        <v>23501</v>
      </c>
      <c r="E996" t="s">
        <v>24495</v>
      </c>
    </row>
    <row r="997" spans="1:5">
      <c r="A997" t="s">
        <v>5</v>
      </c>
      <c r="B997" t="s">
        <v>1002</v>
      </c>
      <c r="C997">
        <f>HYPERLINK("C:\Users\franc\OneDrive\Documentos\ALIRO\ALIRO\KATHY\ANA LUISA 2010\CERTIFICADOS DE DOMINIO\EL VALLECITO 33.doc", "Abrir Documento")</f>
        <v>0</v>
      </c>
      <c r="D997" t="s">
        <v>23501</v>
      </c>
      <c r="E997" t="s">
        <v>24496</v>
      </c>
    </row>
    <row r="998" spans="1:5">
      <c r="A998" t="s">
        <v>5</v>
      </c>
      <c r="B998" t="s">
        <v>1003</v>
      </c>
      <c r="C998">
        <f>HYPERLINK("C:\Users\franc\OneDrive\Documentos\ALIRO\ALIRO\KATHY\ANA LUISA 2010\CERTIFICADOS DE DOMINIO\EL VALLECITO 32.doc", "Abrir Documento")</f>
        <v>0</v>
      </c>
      <c r="D998" t="s">
        <v>23501</v>
      </c>
      <c r="E998" t="s">
        <v>24497</v>
      </c>
    </row>
    <row r="999" spans="1:5">
      <c r="A999" t="s">
        <v>5</v>
      </c>
      <c r="B999" t="s">
        <v>1004</v>
      </c>
      <c r="C999">
        <f>HYPERLINK("C:\Users\franc\OneDrive\Documentos\ALIRO\ALIRO\KATHY\ANA LUISA 2010\CERTIFICADOS DE DOMINIO\EL VALLECITO 31.doc", "Abrir Documento")</f>
        <v>0</v>
      </c>
      <c r="D999" t="s">
        <v>23501</v>
      </c>
      <c r="E999" t="s">
        <v>24498</v>
      </c>
    </row>
    <row r="1000" spans="1:5">
      <c r="A1000" t="s">
        <v>5</v>
      </c>
      <c r="B1000" t="s">
        <v>1005</v>
      </c>
      <c r="C1000">
        <f>HYPERLINK("C:\Users\franc\OneDrive\Documentos\ALIRO\ALIRO\KATHY\ANA LUISA 2010\CERTIFICADOS DE DOMINIO\EL VALLECITO 30.doc", "Abrir Documento")</f>
        <v>0</v>
      </c>
      <c r="D1000" t="s">
        <v>23501</v>
      </c>
      <c r="E1000" t="s">
        <v>24499</v>
      </c>
    </row>
    <row r="1001" spans="1:5">
      <c r="A1001" t="s">
        <v>5</v>
      </c>
      <c r="B1001" t="s">
        <v>1006</v>
      </c>
      <c r="C1001">
        <f>HYPERLINK("C:\Users\franc\OneDrive\Documentos\ALIRO\ALIRO\KATHY\ANA LUISA 2010\CERTIFICADOS DE DOMINIO\EL VALLECITO 29.doc", "Abrir Documento")</f>
        <v>0</v>
      </c>
      <c r="D1001" t="s">
        <v>23501</v>
      </c>
      <c r="E1001" t="s">
        <v>24500</v>
      </c>
    </row>
    <row r="1002" spans="1:5">
      <c r="A1002" t="s">
        <v>5</v>
      </c>
      <c r="B1002" t="s">
        <v>1007</v>
      </c>
      <c r="C1002">
        <f>HYPERLINK("C:\Users\franc\OneDrive\Documentos\ALIRO\ALIRO\KATHY\ANA LUISA 2010\CERTIFICADOS DE DOMINIO\EL SAUCE I  -   PEDIMENTO.doc", "Abrir Documento")</f>
        <v>0</v>
      </c>
      <c r="D1002" t="s">
        <v>23500</v>
      </c>
      <c r="E1002" t="s">
        <v>24501</v>
      </c>
    </row>
    <row r="1003" spans="1:5">
      <c r="A1003" t="s">
        <v>5</v>
      </c>
      <c r="B1003" t="s">
        <v>1008</v>
      </c>
      <c r="C1003">
        <f>HYPERLINK("C:\Users\franc\OneDrive\Documentos\ALIRO\ALIRO\KATHY\ANA LUISA 2010\CERTIFICADOS DE DOMINIO\EL SAUCE  III.doc", "Abrir Documento")</f>
        <v>0</v>
      </c>
      <c r="D1003" t="s">
        <v>23501</v>
      </c>
      <c r="E1003" t="s">
        <v>24502</v>
      </c>
    </row>
    <row r="1004" spans="1:5">
      <c r="A1004" t="s">
        <v>5</v>
      </c>
      <c r="B1004" t="s">
        <v>1009</v>
      </c>
      <c r="C1004">
        <f>HYPERLINK("C:\Users\franc\OneDrive\Documentos\ALIRO\ALIRO\KATHY\ANA LUISA 2010\CERTIFICADOS DE DOMINIO\EL SAUCE  II.doc", "Abrir Documento")</f>
        <v>0</v>
      </c>
      <c r="D1004" t="s">
        <v>23501</v>
      </c>
      <c r="E1004" t="s">
        <v>24503</v>
      </c>
    </row>
    <row r="1005" spans="1:5">
      <c r="A1005" t="s">
        <v>5</v>
      </c>
      <c r="B1005" t="s">
        <v>1010</v>
      </c>
      <c r="C1005">
        <f>HYPERLINK("C:\Users\franc\OneDrive\Documentos\ALIRO\ALIRO\KATHY\ANA LUISA 2010\CERTIFICADOS DE DOMINIO\EL SAUCE  I.doc", "Abrir Documento")</f>
        <v>0</v>
      </c>
      <c r="D1005" t="s">
        <v>23501</v>
      </c>
      <c r="E1005" t="s">
        <v>24504</v>
      </c>
    </row>
    <row r="1006" spans="1:5">
      <c r="A1006" t="s">
        <v>5</v>
      </c>
      <c r="B1006" t="s">
        <v>1011</v>
      </c>
      <c r="C1006">
        <f>HYPERLINK("C:\Users\franc\OneDrive\Documentos\ALIRO\ALIRO\KATHY\ANA LUISA 2010\CERTIFICADOS DE DOMINIO\EL RUMPO 1 AL 8.doc", "Abrir Documento")</f>
        <v>0</v>
      </c>
      <c r="D1006" t="s">
        <v>23501</v>
      </c>
      <c r="E1006" t="s">
        <v>24505</v>
      </c>
    </row>
    <row r="1007" spans="1:5">
      <c r="A1007" t="s">
        <v>5</v>
      </c>
      <c r="B1007" t="s">
        <v>1012</v>
      </c>
      <c r="C1007">
        <f>HYPERLINK("C:\Users\franc\OneDrive\Documentos\ALIRO\ALIRO\KATHY\ANA LUISA 2010\CERTIFICADOS DE DOMINIO\EL ROBLE 1 - 17.doc", "Abrir Documento")</f>
        <v>0</v>
      </c>
      <c r="D1007" t="s">
        <v>23501</v>
      </c>
      <c r="E1007" t="s">
        <v>24506</v>
      </c>
    </row>
    <row r="1008" spans="1:5">
      <c r="A1008" t="s">
        <v>5</v>
      </c>
      <c r="B1008" t="s">
        <v>1013</v>
      </c>
      <c r="C1008">
        <f>HYPERLINK("C:\Users\franc\OneDrive\Documentos\ALIRO\ALIRO\KATHY\ANA LUISA 2010\CERTIFICADOS DE DOMINIO\EL INGENIO PRIMERA 1 AL 4.doc", "Abrir Documento")</f>
        <v>0</v>
      </c>
      <c r="D1008" t="s">
        <v>23501</v>
      </c>
      <c r="E1008" t="s">
        <v>24507</v>
      </c>
    </row>
    <row r="1009" spans="1:5">
      <c r="A1009" t="s">
        <v>5</v>
      </c>
      <c r="B1009" t="s">
        <v>1014</v>
      </c>
      <c r="C1009">
        <f>HYPERLINK("C:\Users\franc\OneDrive\Documentos\ALIRO\ALIRO\KATHY\ANA LUISA 2010\CERTIFICADOS DE DOMINIO\EL INGENIO PRIMERA 1 A 6   -    MANIFESTACION.doc", "Abrir Documento")</f>
        <v>0</v>
      </c>
      <c r="D1009" t="s">
        <v>23501</v>
      </c>
      <c r="E1009" t="s">
        <v>24508</v>
      </c>
    </row>
    <row r="1010" spans="1:5">
      <c r="A1010" t="s">
        <v>5</v>
      </c>
      <c r="B1010" t="s">
        <v>1015</v>
      </c>
      <c r="C1010">
        <f>HYPERLINK("C:\Users\franc\OneDrive\Documentos\ALIRO\ALIRO\KATHY\ANA LUISA 2010\CERTIFICADOS DE DOMINIO\EL INGENIO 1 AL 3.doc", "Abrir Documento")</f>
        <v>0</v>
      </c>
      <c r="D1010" t="s">
        <v>23501</v>
      </c>
      <c r="E1010" t="s">
        <v>24509</v>
      </c>
    </row>
    <row r="1011" spans="1:5">
      <c r="A1011" t="s">
        <v>5</v>
      </c>
      <c r="B1011" t="s">
        <v>1016</v>
      </c>
      <c r="C1011">
        <f>HYPERLINK("C:\Users\franc\OneDrive\Documentos\ALIRO\ALIRO\KATHY\ANA LUISA 2010\CERTIFICADOS DE DOMINIO\EL DORADO SUR 1 AL 3.doc", "Abrir Documento")</f>
        <v>0</v>
      </c>
      <c r="D1011" t="s">
        <v>23501</v>
      </c>
      <c r="E1011" t="s">
        <v>24510</v>
      </c>
    </row>
    <row r="1012" spans="1:5">
      <c r="A1012" t="s">
        <v>5</v>
      </c>
      <c r="B1012" t="s">
        <v>1017</v>
      </c>
      <c r="C1012">
        <f>HYPERLINK("C:\Users\franc\OneDrive\Documentos\ALIRO\ALIRO\KATHY\ANA LUISA 2010\CERTIFICADOS DE DOMINIO\EL DORADO NORTE 1 AL 3 Y 5 AL 21.doc", "Abrir Documento")</f>
        <v>0</v>
      </c>
      <c r="D1012" t="s">
        <v>23501</v>
      </c>
      <c r="E1012" t="s">
        <v>24511</v>
      </c>
    </row>
    <row r="1013" spans="1:5">
      <c r="A1013" t="s">
        <v>5</v>
      </c>
      <c r="B1013" t="s">
        <v>1018</v>
      </c>
      <c r="C1013">
        <f>HYPERLINK("C:\Users\franc\OneDrive\Documentos\ALIRO\ALIRO\KATHY\ANA LUISA 2010\CERTIFICADOS DE DOMINIO\EL DORADO CENTRO 1 AL 10.doc", "Abrir Documento")</f>
        <v>0</v>
      </c>
      <c r="D1013" t="s">
        <v>23501</v>
      </c>
      <c r="E1013" t="s">
        <v>24512</v>
      </c>
    </row>
    <row r="1014" spans="1:5">
      <c r="A1014" t="s">
        <v>5</v>
      </c>
      <c r="B1014" t="s">
        <v>1019</v>
      </c>
      <c r="C1014">
        <f>HYPERLINK("C:\Users\franc\OneDrive\Documentos\ALIRO\ALIRO\KATHY\ANA LUISA 2010\CERTIFICADOS DE DOMINIO\DUQUE  -   CIA MINERA DE PANULCILLO S.A..doc", "Abrir Documento")</f>
        <v>0</v>
      </c>
      <c r="D1014" t="s">
        <v>23501</v>
      </c>
      <c r="E1014" t="s">
        <v>24513</v>
      </c>
    </row>
    <row r="1015" spans="1:5">
      <c r="A1015" t="s">
        <v>5</v>
      </c>
      <c r="B1015" t="s">
        <v>1020</v>
      </c>
      <c r="C1015">
        <f>HYPERLINK("C:\Users\franc\OneDrive\Documentos\ALIRO\ALIRO\KATHY\ANA LUISA 2010\CERTIFICADOS DE DOMINIO\DON REMIGIO 1 AL 20   -    MANIFESTACION.doc", "Abrir Documento")</f>
        <v>0</v>
      </c>
      <c r="D1015" t="s">
        <v>23501</v>
      </c>
      <c r="E1015" t="s">
        <v>24514</v>
      </c>
    </row>
    <row r="1016" spans="1:5">
      <c r="A1016" t="s">
        <v>5</v>
      </c>
      <c r="B1016" t="s">
        <v>1021</v>
      </c>
      <c r="C1016">
        <f>HYPERLINK("C:\Users\franc\OneDrive\Documentos\ALIRO\ALIRO\KATHY\ANA LUISA 2010\CERTIFICADOS DE DOMINIO\DESTELLO 1 AL 60.doc", "Abrir Documento")</f>
        <v>0</v>
      </c>
      <c r="D1016" t="s">
        <v>23501</v>
      </c>
      <c r="E1016" t="s">
        <v>24515</v>
      </c>
    </row>
    <row r="1017" spans="1:5">
      <c r="A1017" t="s">
        <v>5</v>
      </c>
      <c r="B1017" t="s">
        <v>1022</v>
      </c>
      <c r="C1017">
        <f>HYPERLINK("C:\Users\franc\OneDrive\Documentos\ALIRO\ALIRO\KATHY\ANA LUISA 2010\CERTIFICADOS DE DOMINIO\DESPRECIADA QUINTA DEL 1 AL 5.doc", "Abrir Documento")</f>
        <v>0</v>
      </c>
      <c r="D1017" t="s">
        <v>23501</v>
      </c>
      <c r="E1017" t="s">
        <v>24516</v>
      </c>
    </row>
    <row r="1018" spans="1:5">
      <c r="A1018" t="s">
        <v>5</v>
      </c>
      <c r="B1018" t="s">
        <v>1023</v>
      </c>
      <c r="C1018">
        <f>HYPERLINK("C:\Users\franc\OneDrive\Documentos\ALIRO\ALIRO\KATHY\ANA LUISA 2010\CERTIFICADOS DE DOMINIO\DELTA 1.doc", "Abrir Documento")</f>
        <v>0</v>
      </c>
      <c r="D1018" t="s">
        <v>23501</v>
      </c>
      <c r="E1018" t="s">
        <v>24517</v>
      </c>
    </row>
    <row r="1019" spans="1:5">
      <c r="A1019" t="s">
        <v>5</v>
      </c>
      <c r="B1019" t="s">
        <v>1024</v>
      </c>
      <c r="C1019">
        <f>HYPERLINK("C:\Users\franc\OneDrive\Documentos\ALIRO\ALIRO\KATHY\ANA LUISA 2010\CERTIFICADOS DE DOMINIO\DELTA 1 AL 122.doc", "Abrir Documento")</f>
        <v>0</v>
      </c>
      <c r="D1019" t="s">
        <v>23501</v>
      </c>
      <c r="E1019" t="s">
        <v>24518</v>
      </c>
    </row>
    <row r="1020" spans="1:5">
      <c r="A1020" t="s">
        <v>5</v>
      </c>
      <c r="B1020" t="s">
        <v>1025</v>
      </c>
      <c r="C1020">
        <f>HYPERLINK("C:\Users\franc\OneDrive\Documentos\ALIRO\ALIRO\KATHY\ANA LUISA 2010\CERTIFICADOS DE DOMINIO\CORTIJO 1 AL 5.doc", "Abrir Documento")</f>
        <v>0</v>
      </c>
      <c r="D1020" t="s">
        <v>23501</v>
      </c>
      <c r="E1020" t="s">
        <v>24519</v>
      </c>
    </row>
    <row r="1021" spans="1:5">
      <c r="A1021" t="s">
        <v>5</v>
      </c>
      <c r="B1021" t="s">
        <v>1026</v>
      </c>
      <c r="C1021">
        <f>HYPERLINK("C:\Users\franc\OneDrive\Documentos\ALIRO\ALIRO\KATHY\ANA LUISA 2010\CERTIFICADOS DE DOMINIO\CORIDORA 1D  1 AL 90    MANIFESTACION.doc", "Abrir Documento")</f>
        <v>0</v>
      </c>
      <c r="D1021" t="s">
        <v>23501</v>
      </c>
      <c r="E1021" t="s">
        <v>24520</v>
      </c>
    </row>
    <row r="1022" spans="1:5">
      <c r="A1022" t="s">
        <v>5</v>
      </c>
      <c r="B1022" t="s">
        <v>1027</v>
      </c>
      <c r="C1022">
        <f>HYPERLINK("C:\Users\franc\OneDrive\Documentos\ALIRO\ALIRO\KATHY\ANA LUISA 2010\CERTIFICADOS DE DOMINIO\CORIDORA 1C  1 AL 90    MANIFESTACION.doc", "Abrir Documento")</f>
        <v>0</v>
      </c>
      <c r="D1022" t="s">
        <v>23501</v>
      </c>
      <c r="E1022" t="s">
        <v>24521</v>
      </c>
    </row>
    <row r="1023" spans="1:5">
      <c r="A1023" t="s">
        <v>5</v>
      </c>
      <c r="B1023" t="s">
        <v>1028</v>
      </c>
      <c r="C1023">
        <f>HYPERLINK("C:\Users\franc\OneDrive\Documentos\ALIRO\ALIRO\KATHY\ANA LUISA 2010\CERTIFICADOS DE DOMINIO\CORIDORA 1B  1 AL 40    MANIFESTACION.doc", "Abrir Documento")</f>
        <v>0</v>
      </c>
      <c r="D1023" t="s">
        <v>23501</v>
      </c>
      <c r="E1023" t="s">
        <v>24522</v>
      </c>
    </row>
    <row r="1024" spans="1:5">
      <c r="A1024" t="s">
        <v>5</v>
      </c>
      <c r="B1024" t="s">
        <v>1029</v>
      </c>
      <c r="C1024">
        <f>HYPERLINK("C:\Users\franc\OneDrive\Documentos\ALIRO\ALIRO\KATHY\ANA LUISA 2010\CERTIFICADOS DE DOMINIO\CORIDORA 1A  1 AL 20    MANIFESTACION.doc", "Abrir Documento")</f>
        <v>0</v>
      </c>
      <c r="D1024" t="s">
        <v>23501</v>
      </c>
      <c r="E1024" t="s">
        <v>24523</v>
      </c>
    </row>
    <row r="1025" spans="1:5">
      <c r="A1025" t="s">
        <v>5</v>
      </c>
      <c r="B1025" t="s">
        <v>1030</v>
      </c>
      <c r="C1025">
        <f>HYPERLINK("C:\Users\franc\OneDrive\Documentos\ALIRO\ALIRO\KATHY\ANA LUISA 2010\CERTIFICADOS DE DOMINIO\CONSTANZA - CONCESION EXPLORACION.doc", "Abrir Documento")</f>
        <v>0</v>
      </c>
      <c r="D1025" t="s">
        <v>23500</v>
      </c>
      <c r="E1025" t="s">
        <v>24524</v>
      </c>
    </row>
    <row r="1026" spans="1:5">
      <c r="A1026" t="s">
        <v>5</v>
      </c>
      <c r="B1026" t="s">
        <v>1031</v>
      </c>
      <c r="C1026">
        <f>HYPERLINK("C:\Users\franc\OneDrive\Documentos\ALIRO\ALIRO\KATHY\ANA LUISA 2010\CERTIFICADOS DE DOMINIO\CONSTANCIA.doc", "Abrir Documento")</f>
        <v>0</v>
      </c>
      <c r="D1026" t="s">
        <v>23501</v>
      </c>
      <c r="E1026" t="s">
        <v>24525</v>
      </c>
    </row>
    <row r="1027" spans="1:5">
      <c r="A1027" t="s">
        <v>5</v>
      </c>
      <c r="B1027" t="s">
        <v>1032</v>
      </c>
      <c r="C1027">
        <f>HYPERLINK("C:\Users\franc\OneDrive\Documentos\ALIRO\ALIRO\KATHY\ANA LUISA 2010\CERTIFICADOS DE DOMINIO\CONDESA 1 AL 10  -   CIA MINERA PANULCILLO S.A..doc", "Abrir Documento")</f>
        <v>0</v>
      </c>
      <c r="D1027" t="s">
        <v>23501</v>
      </c>
      <c r="E1027" t="s">
        <v>24526</v>
      </c>
    </row>
    <row r="1028" spans="1:5">
      <c r="A1028" t="s">
        <v>5</v>
      </c>
      <c r="B1028" t="s">
        <v>1033</v>
      </c>
      <c r="C1028">
        <f>HYPERLINK("C:\Users\franc\OneDrive\Documentos\ALIRO\ALIRO\KATHY\ANA LUISA 2010\CERTIFICADOS DE DOMINIO\COLORADA  -   CIA MINERA DE TOCOPILLA S.A..doc", "Abrir Documento")</f>
        <v>0</v>
      </c>
      <c r="D1028" t="s">
        <v>23501</v>
      </c>
      <c r="E1028" t="s">
        <v>24527</v>
      </c>
    </row>
    <row r="1029" spans="1:5">
      <c r="A1029" t="s">
        <v>5</v>
      </c>
      <c r="B1029" t="s">
        <v>1034</v>
      </c>
      <c r="C1029">
        <f>HYPERLINK("C:\Users\franc\OneDrive\Documentos\ALIRO\ALIRO\KATHY\ANA LUISA 2010\CERTIFICADOS DE DOMINIO\COCINERA 1 AL 64  -   CIA MINERA PANULCILLO S.A..doc", "Abrir Documento")</f>
        <v>0</v>
      </c>
      <c r="D1029" t="s">
        <v>23501</v>
      </c>
      <c r="E1029" t="s">
        <v>24528</v>
      </c>
    </row>
    <row r="1030" spans="1:5">
      <c r="A1030" t="s">
        <v>5</v>
      </c>
      <c r="B1030" t="s">
        <v>1035</v>
      </c>
      <c r="C1030">
        <f>HYPERLINK("C:\Users\franc\OneDrive\Documentos\ALIRO\ALIRO\KATHY\ANA LUISA 2010\CERTIFICADOS DE DOMINIO\COCINERA 1 AL 64  -   CIA MINERA PANULCILLO S.A......doc", "Abrir Documento")</f>
        <v>0</v>
      </c>
      <c r="D1030" t="s">
        <v>23501</v>
      </c>
      <c r="E1030" t="s">
        <v>24529</v>
      </c>
    </row>
    <row r="1031" spans="1:5">
      <c r="A1031" t="s">
        <v>5</v>
      </c>
      <c r="B1031" t="s">
        <v>1036</v>
      </c>
      <c r="C1031">
        <f>HYPERLINK("C:\Users\franc\OneDrive\Documentos\ALIRO\ALIRO\KATHY\ANA LUISA 2010\CERTIFICADOS DE DOMINIO\COCINERA 1 AL 64  -   CIA MINERA PANULCILLO S.A.  01  Dic.doc", "Abrir Documento")</f>
        <v>0</v>
      </c>
      <c r="D1031" t="s">
        <v>23501</v>
      </c>
      <c r="E1031" t="s">
        <v>24530</v>
      </c>
    </row>
    <row r="1032" spans="1:5">
      <c r="A1032" t="s">
        <v>5</v>
      </c>
      <c r="B1032" t="s">
        <v>1037</v>
      </c>
      <c r="C1032">
        <f>HYPERLINK("C:\Users\franc\OneDrive\Documentos\ALIRO\ALIRO\KATHY\ANA LUISA 2010\CERTIFICADOS DE DOMINIO\CHIVAS CUATRO   1 AL 20  -  MANIFESTACION.doc", "Abrir Documento")</f>
        <v>0</v>
      </c>
      <c r="D1032" t="s">
        <v>23501</v>
      </c>
      <c r="E1032" t="s">
        <v>24531</v>
      </c>
    </row>
    <row r="1033" spans="1:5">
      <c r="A1033" t="s">
        <v>5</v>
      </c>
      <c r="B1033" t="s">
        <v>1038</v>
      </c>
      <c r="C1033">
        <f>HYPERLINK("C:\Users\franc\OneDrive\Documentos\ALIRO\ALIRO\KATHY\ANA LUISA 2010\CERTIFICADOS DE DOMINIO\CHIMBA 1º A 26 - 28 A 31, Y 36 A 50.doc", "Abrir Documento")</f>
        <v>0</v>
      </c>
      <c r="D1033" t="s">
        <v>23501</v>
      </c>
      <c r="E1033" t="s">
        <v>24532</v>
      </c>
    </row>
    <row r="1034" spans="1:5">
      <c r="A1034" t="s">
        <v>5</v>
      </c>
      <c r="B1034" t="s">
        <v>1039</v>
      </c>
      <c r="C1034">
        <f>HYPERLINK("C:\Users\franc\OneDrive\Documentos\ALIRO\ALIRO\KATHY\ANA LUISA 2010\CERTIFICADOS DE DOMINIO\CHATUCA 1 - 125 DANIZA ORO PRIETO.doc", "Abrir Documento")</f>
        <v>0</v>
      </c>
      <c r="D1034" t="s">
        <v>23501</v>
      </c>
      <c r="E1034" t="s">
        <v>24533</v>
      </c>
    </row>
    <row r="1035" spans="1:5">
      <c r="A1035" t="s">
        <v>5</v>
      </c>
      <c r="B1035" t="s">
        <v>1040</v>
      </c>
      <c r="C1035">
        <f>HYPERLINK("C:\Users\franc\OneDrive\Documentos\ALIRO\ALIRO\KATHY\ANA LUISA 2010\CERTIFICADOS DE DOMINIO\CHACAY BAJO UNO  CONCESION DE EXPLORACION.doc", "Abrir Documento")</f>
        <v>0</v>
      </c>
      <c r="D1035" t="s">
        <v>23500</v>
      </c>
      <c r="E1035" t="s">
        <v>24534</v>
      </c>
    </row>
    <row r="1036" spans="1:5">
      <c r="A1036" t="s">
        <v>5</v>
      </c>
      <c r="B1036" t="s">
        <v>1041</v>
      </c>
      <c r="C1036">
        <f>HYPERLINK("C:\Users\franc\OneDrive\Documentos\ALIRO\ALIRO\KATHY\ANA LUISA 2010\CERTIFICADOS DE DOMINIO\CASUALIDAD.doc", "Abrir Documento")</f>
        <v>0</v>
      </c>
      <c r="D1036" t="s">
        <v>23501</v>
      </c>
      <c r="E1036" t="s">
        <v>24535</v>
      </c>
    </row>
    <row r="1037" spans="1:5">
      <c r="A1037" t="s">
        <v>5</v>
      </c>
      <c r="B1037" t="s">
        <v>1042</v>
      </c>
      <c r="C1037">
        <f>HYPERLINK("C:\Users\franc\OneDrive\Documentos\ALIRO\ALIRO\KATHY\ANA LUISA 2010\CERTIFICADOS DE DOMINIO\CAROLINA 1 AL 20.doc", "Abrir Documento")</f>
        <v>0</v>
      </c>
      <c r="D1037" t="s">
        <v>23501</v>
      </c>
      <c r="E1037" t="s">
        <v>24536</v>
      </c>
    </row>
    <row r="1038" spans="1:5">
      <c r="A1038" t="s">
        <v>5</v>
      </c>
      <c r="B1038" t="s">
        <v>1043</v>
      </c>
      <c r="C1038">
        <f>HYPERLINK("C:\Users\franc\OneDrive\Documentos\ALIRO\ALIRO\KATHY\ANA LUISA 2010\CERTIFICADOS DE DOMINIO\CARMEN UNO AL VEINTE  -   AMANDA BRAVO GONZALEZ.doc", "Abrir Documento")</f>
        <v>0</v>
      </c>
      <c r="D1038" t="s">
        <v>23501</v>
      </c>
      <c r="E1038" t="s">
        <v>24537</v>
      </c>
    </row>
    <row r="1039" spans="1:5">
      <c r="A1039" t="s">
        <v>5</v>
      </c>
      <c r="B1039" t="s">
        <v>1044</v>
      </c>
      <c r="C1039">
        <f>HYPERLINK("C:\Users\franc\OneDrive\Documentos\ALIRO\ALIRO\KATHY\ANA LUISA 2010\CERTIFICADOS DE DOMINIO\CARBONATO  -   CIA MINERA PANULCILLO S.A..doc", "Abrir Documento")</f>
        <v>0</v>
      </c>
      <c r="D1039" t="s">
        <v>23501</v>
      </c>
      <c r="E1039" t="s">
        <v>24538</v>
      </c>
    </row>
    <row r="1040" spans="1:5">
      <c r="A1040" t="s">
        <v>5</v>
      </c>
      <c r="B1040" t="s">
        <v>1045</v>
      </c>
      <c r="C1040">
        <f>HYPERLINK("C:\Users\franc\OneDrive\Documentos\ALIRO\ALIRO\KATHY\ANA LUISA 2010\CERTIFICADOS DE DOMINIO\CAMINO REAL 1 AL 8.doc", "Abrir Documento")</f>
        <v>0</v>
      </c>
      <c r="D1040" t="s">
        <v>23501</v>
      </c>
      <c r="E1040" t="s">
        <v>24539</v>
      </c>
    </row>
    <row r="1041" spans="1:5">
      <c r="A1041" t="s">
        <v>5</v>
      </c>
      <c r="B1041" t="s">
        <v>1046</v>
      </c>
      <c r="C1041">
        <f>HYPERLINK("C:\Users\franc\OneDrive\Documentos\ALIRO\ALIRO\KATHY\ANA LUISA 2010\CERTIFICADOS DE DOMINIO\CAMILA 1 AL 5 DOMINIO SOLO (MENSURA).doc", "Abrir Documento")</f>
        <v>0</v>
      </c>
      <c r="D1041" t="s">
        <v>23501</v>
      </c>
      <c r="E1041" t="s">
        <v>24540</v>
      </c>
    </row>
    <row r="1042" spans="1:5">
      <c r="A1042" t="s">
        <v>5</v>
      </c>
      <c r="B1042" t="s">
        <v>1047</v>
      </c>
      <c r="C1042">
        <f>HYPERLINK("C:\Users\franc\OneDrive\Documentos\ALIRO\ALIRO\KATHY\ANA LUISA 2010\CERTIFICADOS DE DOMINIO\BLANCA  -   CIA MINERA DE TOCOPILLA.doc", "Abrir Documento")</f>
        <v>0</v>
      </c>
      <c r="D1042" t="s">
        <v>23501</v>
      </c>
      <c r="E1042" t="s">
        <v>24541</v>
      </c>
    </row>
    <row r="1043" spans="1:5">
      <c r="A1043" t="s">
        <v>5</v>
      </c>
      <c r="B1043" t="s">
        <v>1048</v>
      </c>
      <c r="C1043">
        <f>HYPERLINK("C:\Users\franc\OneDrive\Documentos\ALIRO\ALIRO\KATHY\ANA LUISA 2010\CERTIFICADOS DE DOMINIO\BELEN 1 AL 138.doc", "Abrir Documento")</f>
        <v>0</v>
      </c>
      <c r="D1043" t="s">
        <v>23501</v>
      </c>
      <c r="E1043" t="s">
        <v>24542</v>
      </c>
    </row>
    <row r="1044" spans="1:5">
      <c r="A1044" t="s">
        <v>5</v>
      </c>
      <c r="B1044" t="s">
        <v>1049</v>
      </c>
      <c r="C1044">
        <f>HYPERLINK("C:\Users\franc\OneDrive\Documentos\ALIRO\ALIRO\KATHY\ANA LUISA 2010\CERTIFICADOS DE DOMINIO\AÑAÑUCA 1 AL 3 - MENSURA.doc", "Abrir Documento")</f>
        <v>0</v>
      </c>
      <c r="D1044" t="s">
        <v>23501</v>
      </c>
      <c r="E1044" t="s">
        <v>24543</v>
      </c>
    </row>
    <row r="1045" spans="1:5">
      <c r="A1045" t="s">
        <v>5</v>
      </c>
      <c r="B1045" t="s">
        <v>1050</v>
      </c>
      <c r="C1045">
        <f>HYPERLINK("C:\Users\franc\OneDrive\Documentos\ALIRO\ALIRO\KATHY\ANA LUISA 2010\CERTIFICADOS DE DOMINIO\AÑAÑUCA 1 AL 3  -  MANIFESTACION.doc", "Abrir Documento")</f>
        <v>0</v>
      </c>
      <c r="D1045" t="s">
        <v>23501</v>
      </c>
      <c r="E1045" t="s">
        <v>24544</v>
      </c>
    </row>
    <row r="1046" spans="1:5">
      <c r="A1046" t="s">
        <v>5</v>
      </c>
      <c r="B1046" t="s">
        <v>1051</v>
      </c>
      <c r="C1046">
        <f>HYPERLINK("C:\Users\franc\OneDrive\Documentos\ALIRO\ALIRO\KATHY\ANA LUISA 2010\CERTIFICADOS DE DOMINIO\AURUM 1 AL 20.doc", "Abrir Documento")</f>
        <v>0</v>
      </c>
      <c r="D1046" t="s">
        <v>23501</v>
      </c>
      <c r="E1046" t="s">
        <v>24545</v>
      </c>
    </row>
    <row r="1047" spans="1:5">
      <c r="A1047" t="s">
        <v>5</v>
      </c>
      <c r="B1047" t="s">
        <v>1052</v>
      </c>
      <c r="C1047">
        <f>HYPERLINK("C:\Users\franc\OneDrive\Documentos\ALIRO\ALIRO\KATHY\ANA LUISA 2010\CERTIFICADOS DE DOMINIO\ARCO IRIS, 1 AL 30 - PRESTADORA DE SERVICIOS S.A..doc", "Abrir Documento")</f>
        <v>0</v>
      </c>
      <c r="D1047" t="s">
        <v>23501</v>
      </c>
      <c r="E1047" t="s">
        <v>24546</v>
      </c>
    </row>
    <row r="1048" spans="1:5">
      <c r="A1048" t="s">
        <v>5</v>
      </c>
      <c r="B1048" t="s">
        <v>1053</v>
      </c>
      <c r="C1048">
        <f>HYPERLINK("C:\Users\franc\OneDrive\Documentos\ALIRO\ALIRO\KATHY\ANA LUISA 2010\CERTIFICADOS DE DOMINIO\ARCO IRIS 1 AL 20.doc", "Abrir Documento")</f>
        <v>0</v>
      </c>
      <c r="D1048" t="s">
        <v>23501</v>
      </c>
      <c r="E1048" t="s">
        <v>24547</v>
      </c>
    </row>
    <row r="1049" spans="1:5">
      <c r="A1049" t="s">
        <v>5</v>
      </c>
      <c r="B1049" t="s">
        <v>1054</v>
      </c>
      <c r="C1049">
        <f>HYPERLINK("C:\Users\franc\OneDrive\Documentos\ALIRO\ALIRO\KATHY\ANA LUISA 2010\CERTIFICADOS DE DOMINIO\ANTONIO 1 AL 29.doc", "Abrir Documento")</f>
        <v>0</v>
      </c>
      <c r="D1049" t="s">
        <v>23501</v>
      </c>
      <c r="E1049" t="s">
        <v>24548</v>
      </c>
    </row>
    <row r="1050" spans="1:5">
      <c r="A1050" t="s">
        <v>5</v>
      </c>
      <c r="B1050" t="s">
        <v>1055</v>
      </c>
      <c r="C1050">
        <f>HYPERLINK("C:\Users\franc\OneDrive\Documentos\ALIRO\ALIRO\KATHY\ANA LUISA 2010\CERTIFICADOS DE DOMINIO\ANDREA 26.doc", "Abrir Documento")</f>
        <v>0</v>
      </c>
      <c r="D1050" t="s">
        <v>23501</v>
      </c>
      <c r="E1050" t="s">
        <v>24549</v>
      </c>
    </row>
    <row r="1051" spans="1:5">
      <c r="A1051" t="s">
        <v>5</v>
      </c>
      <c r="B1051" t="s">
        <v>1056</v>
      </c>
      <c r="C1051">
        <f>HYPERLINK("C:\Users\franc\OneDrive\Documentos\ALIRO\ALIRO\KATHY\ANA LUISA 2010\CERTIFICADOS DE DOMINIO\ANDACOLLO 1 AL 13.doc", "Abrir Documento")</f>
        <v>0</v>
      </c>
      <c r="D1051" t="s">
        <v>23501</v>
      </c>
      <c r="E1051" t="s">
        <v>24550</v>
      </c>
    </row>
    <row r="1052" spans="1:5">
      <c r="A1052" t="s">
        <v>5</v>
      </c>
      <c r="B1052" t="s">
        <v>1057</v>
      </c>
      <c r="C1052">
        <f>HYPERLINK("C:\Users\franc\OneDrive\Documentos\ALIRO\ALIRO\KATHY\ANA LUISA 2010\CERTIFICADOS DE DOMINIO\ANAHUAC.doc", "Abrir Documento")</f>
        <v>0</v>
      </c>
      <c r="D1052" t="s">
        <v>23501</v>
      </c>
      <c r="E1052" t="s">
        <v>24551</v>
      </c>
    </row>
    <row r="1053" spans="1:5">
      <c r="A1053" t="s">
        <v>5</v>
      </c>
      <c r="B1053" t="s">
        <v>1058</v>
      </c>
      <c r="C1053">
        <f>HYPERLINK("C:\Users\franc\OneDrive\Documentos\ALIRO\ALIRO\KATHY\ANA LUISA 2010\CERTIFICADOS DE DOMINIO\ANA MARIA.doc", "Abrir Documento")</f>
        <v>0</v>
      </c>
      <c r="D1053" t="s">
        <v>23501</v>
      </c>
      <c r="E1053" t="s">
        <v>24552</v>
      </c>
    </row>
    <row r="1054" spans="1:5">
      <c r="A1054" t="s">
        <v>5</v>
      </c>
      <c r="B1054" t="s">
        <v>1059</v>
      </c>
      <c r="C1054">
        <f>HYPERLINK("C:\Users\franc\OneDrive\Documentos\ALIRO\ALIRO\KATHY\ANA LUISA 2010\CERTIFICADOS DE DOMINIO\ANA LUISAL II  1 AL 68  -   COMPAÑIA MINERA PUNITAQUI SCM.doc", "Abrir Documento")</f>
        <v>0</v>
      </c>
      <c r="D1054" t="s">
        <v>23500</v>
      </c>
      <c r="E1054" t="s">
        <v>24553</v>
      </c>
    </row>
    <row r="1055" spans="1:5">
      <c r="A1055" t="s">
        <v>5</v>
      </c>
      <c r="B1055" t="s">
        <v>1060</v>
      </c>
      <c r="C1055">
        <f>HYPERLINK("C:\Users\franc\OneDrive\Documentos\ALIRO\ALIRO\KATHY\ANA LUISA 2010\CERTIFICADOS DE DOMINIO\ANA LUISAL I  1 AL 140  -   COMPAÑIA MINERA PUNITAQUI SCM.doc", "Abrir Documento")</f>
        <v>0</v>
      </c>
      <c r="D1055" t="s">
        <v>23501</v>
      </c>
      <c r="E1055" t="s">
        <v>24554</v>
      </c>
    </row>
    <row r="1056" spans="1:5">
      <c r="A1056" t="s">
        <v>5</v>
      </c>
      <c r="B1056" t="s">
        <v>1061</v>
      </c>
      <c r="C1056">
        <f>HYPERLINK("C:\Users\franc\OneDrive\Documentos\ALIRO\ALIRO\KATHY\ANA LUISA 2010\CERTIFICADOS DE DOMINIO\ANA LUISA II  1-300  -   COMPAÑIA MINERA PUNITAQUI SCM.doc", "Abrir Documento")</f>
        <v>0</v>
      </c>
      <c r="D1056" t="s">
        <v>23500</v>
      </c>
      <c r="E1056" t="s">
        <v>24555</v>
      </c>
    </row>
    <row r="1057" spans="1:5">
      <c r="A1057" t="s">
        <v>5</v>
      </c>
      <c r="B1057" t="s">
        <v>1062</v>
      </c>
      <c r="C1057">
        <f>HYPERLINK("C:\Users\franc\OneDrive\Documentos\ALIRO\ALIRO\KATHY\ANA LUISA 2010\CERTIFICADOS DE DOMINIO\ANA LUISA I  1-200  -   COMPAÑIA MINERA PUNITAQUI SCM.doc", "Abrir Documento")</f>
        <v>0</v>
      </c>
      <c r="D1057" t="s">
        <v>23500</v>
      </c>
      <c r="E1057" t="s">
        <v>24556</v>
      </c>
    </row>
    <row r="1058" spans="1:5">
      <c r="A1058" t="s">
        <v>5</v>
      </c>
      <c r="B1058" t="s">
        <v>1063</v>
      </c>
      <c r="C1058">
        <f>HYPERLINK("C:\Users\franc\OneDrive\Documentos\ALIRO\ALIRO\KATHY\ANA LUISA 2010\CERTIFICADOS DE DOMINIO\ANA LUISA  II 1 AL 68 -  COMPAÑIA MINERA PUNITAQUI SCM.doc", "Abrir Documento")</f>
        <v>0</v>
      </c>
      <c r="D1058" t="s">
        <v>23501</v>
      </c>
      <c r="E1058" t="s">
        <v>24557</v>
      </c>
    </row>
    <row r="1059" spans="1:5">
      <c r="A1059" t="s">
        <v>5</v>
      </c>
      <c r="B1059" t="s">
        <v>1064</v>
      </c>
      <c r="C1059">
        <f>HYPERLINK("C:\Users\franc\OneDrive\Documentos\ALIRO\ALIRO\KATHY\ANA LUISA 2010\CERTIFICADOS DE DOMINIO\ANA LUISA  I  1 - 140 -  COMPAÑIA MINERA PUNITAQUI SCM.doc", "Abrir Documento")</f>
        <v>0</v>
      </c>
      <c r="D1059" t="s">
        <v>23501</v>
      </c>
      <c r="E1059" t="s">
        <v>24558</v>
      </c>
    </row>
    <row r="1060" spans="1:5">
      <c r="A1060" t="s">
        <v>5</v>
      </c>
      <c r="B1060" t="s">
        <v>1065</v>
      </c>
      <c r="C1060">
        <f>HYPERLINK("C:\Users\franc\OneDrive\Documentos\ALIRO\ALIRO\KATHY\ANA LUISA 2010\CERTIFICADOS DE DOMINIO\AMARILLA  5-6-7-8-9-10-11-12-13 Y 14.doc", "Abrir Documento")</f>
        <v>0</v>
      </c>
      <c r="D1060" t="s">
        <v>23501</v>
      </c>
      <c r="E1060" t="s">
        <v>24559</v>
      </c>
    </row>
    <row r="1061" spans="1:5">
      <c r="A1061" t="s">
        <v>5</v>
      </c>
      <c r="B1061" t="s">
        <v>1066</v>
      </c>
      <c r="C1061">
        <f>HYPERLINK("C:\Users\franc\OneDrive\Documentos\ALIRO\ALIRO\KATHY\ANA LUISA 2010\CERTIFICADOS DE DOMINIO\AMANDA 1 A AMANDA 20  MANIFESTACION.doc", "Abrir Documento")</f>
        <v>0</v>
      </c>
      <c r="D1061" t="s">
        <v>23501</v>
      </c>
      <c r="E1061" t="s">
        <v>24560</v>
      </c>
    </row>
    <row r="1062" spans="1:5">
      <c r="A1062" t="s">
        <v>5</v>
      </c>
      <c r="B1062" t="s">
        <v>1067</v>
      </c>
      <c r="C1062">
        <f>HYPERLINK("C:\Users\franc\OneDrive\Documentos\ALIRO\ALIRO\KATHY\ANA LUISA 2010\CERTIFICADOS DE DOMINIO\ALTAMIRA.doc", "Abrir Documento")</f>
        <v>0</v>
      </c>
      <c r="D1062" t="s">
        <v>23501</v>
      </c>
      <c r="E1062" t="s">
        <v>24561</v>
      </c>
    </row>
    <row r="1063" spans="1:5">
      <c r="A1063" t="s">
        <v>5</v>
      </c>
      <c r="B1063" t="s">
        <v>1068</v>
      </c>
      <c r="C1063">
        <f>HYPERLINK("C:\Users\franc\OneDrive\Documentos\ALIRO\ALIRO\KATHY\ANA LUISA 2010\CERTIFICADOS DE DOMINIO\ADRIANA SEXTA 10 AL 16 Y 19 AL 24.doc", "Abrir Documento")</f>
        <v>0</v>
      </c>
      <c r="D1063" t="s">
        <v>23501</v>
      </c>
      <c r="E1063" t="s">
        <v>24562</v>
      </c>
    </row>
    <row r="1064" spans="1:5">
      <c r="A1064" t="s">
        <v>5</v>
      </c>
      <c r="B1064" t="s">
        <v>1069</v>
      </c>
      <c r="C1064">
        <f>HYPERLINK("C:\Users\franc\OneDrive\Documentos\ALIRO\ALIRO\KATHY\ANA LUISA 2010\CERTIFICADOS DE DOMINIO\ADRIANA PRIMERA 1 AL 10.doc", "Abrir Documento")</f>
        <v>0</v>
      </c>
      <c r="D1064" t="s">
        <v>23501</v>
      </c>
      <c r="E1064" t="s">
        <v>24563</v>
      </c>
    </row>
    <row r="1065" spans="1:5">
      <c r="A1065" t="s">
        <v>5</v>
      </c>
      <c r="B1065" t="s">
        <v>1070</v>
      </c>
      <c r="C1065">
        <f>HYPERLINK("C:\Users\franc\OneDrive\Documentos\ALIRO\ALIRO\KATHY\ANA LUISA 2010\CERTIFICADOS DE DOMINIO\ADRIANA DECIMA TERCERA 1 AL 53.doc", "Abrir Documento")</f>
        <v>0</v>
      </c>
      <c r="D1065" t="s">
        <v>23501</v>
      </c>
      <c r="E1065" t="s">
        <v>24564</v>
      </c>
    </row>
    <row r="1066" spans="1:5">
      <c r="A1066" t="s">
        <v>5</v>
      </c>
      <c r="B1066" t="s">
        <v>1071</v>
      </c>
      <c r="C1066">
        <f>HYPERLINK("C:\Users\franc\OneDrive\Documentos\ALIRO\ALIRO\KATHY\ANA LUISA 2010\CERTIFICADOS DE DOMINIO\ABANDONADA UNA AL SEIS.doc", "Abrir Documento")</f>
        <v>0</v>
      </c>
      <c r="D1066" t="s">
        <v>23501</v>
      </c>
      <c r="E1066" t="s">
        <v>24565</v>
      </c>
    </row>
    <row r="1067" spans="1:5">
      <c r="A1067" t="s">
        <v>5</v>
      </c>
      <c r="B1067" t="s">
        <v>1072</v>
      </c>
      <c r="C1067">
        <f>HYPERLINK("C:\Users\franc\OneDrive\Documentos\ALIRO\ALIRO\KATHY\ANA LUISA 2010\CERTIFICADO DE HIPOTECAS Y GRAV\WILMA UNO - CINCO.doc", "Abrir Documento")</f>
        <v>0</v>
      </c>
      <c r="D1067" t="s">
        <v>23501</v>
      </c>
      <c r="E1067" t="s">
        <v>24566</v>
      </c>
    </row>
    <row r="1068" spans="1:5">
      <c r="A1068" t="s">
        <v>5</v>
      </c>
      <c r="B1068" t="s">
        <v>1073</v>
      </c>
      <c r="C1068">
        <f>HYPERLINK("C:\Users\franc\OneDrive\Documentos\ALIRO\ALIRO\KATHY\ANA LUISA 2010\CERTIFICADO DE HIPOTECAS Y GRAV\VIRGINIA UNA A CINCO.doc", "Abrir Documento")</f>
        <v>0</v>
      </c>
      <c r="D1068" t="s">
        <v>23501</v>
      </c>
      <c r="E1068" t="s">
        <v>24567</v>
      </c>
    </row>
    <row r="1069" spans="1:5">
      <c r="A1069" t="s">
        <v>5</v>
      </c>
      <c r="B1069" t="s">
        <v>1074</v>
      </c>
      <c r="C1069">
        <f>HYPERLINK("C:\Users\franc\OneDrive\Documentos\ALIRO\ALIRO\KATHY\ANA LUISA 2010\CERTIFICADO DE HIPOTECAS Y GRAV\VIOLETA SEGUNDA (2018).doc", "Abrir Documento")</f>
        <v>0</v>
      </c>
      <c r="D1069" t="s">
        <v>23501</v>
      </c>
      <c r="E1069" t="s">
        <v>24568</v>
      </c>
    </row>
    <row r="1070" spans="1:5">
      <c r="A1070" t="s">
        <v>5</v>
      </c>
      <c r="B1070" t="s">
        <v>1075</v>
      </c>
      <c r="C1070">
        <f>HYPERLINK("C:\Users\franc\OneDrive\Documentos\ALIRO\ALIRO\KATHY\ANA LUISA 2010\CERTIFICADO DE HIPOTECAS Y GRAV\VIOLETA PRIMERA (2018).doc", "Abrir Documento")</f>
        <v>0</v>
      </c>
      <c r="D1070" t="s">
        <v>23501</v>
      </c>
      <c r="E1070" t="s">
        <v>24569</v>
      </c>
    </row>
    <row r="1071" spans="1:5">
      <c r="A1071" t="s">
        <v>5</v>
      </c>
      <c r="B1071" t="s">
        <v>1076</v>
      </c>
      <c r="C1071">
        <f>HYPERLINK("C:\Users\franc\OneDrive\Documentos\ALIRO\ALIRO\KATHY\ANA LUISA 2010\CERTIFICADO DE HIPOTECAS Y GRAV\VIOLETA 1º A 2º.doc", "Abrir Documento")</f>
        <v>0</v>
      </c>
      <c r="D1071" t="s">
        <v>23501</v>
      </c>
      <c r="E1071" t="s">
        <v>24570</v>
      </c>
    </row>
    <row r="1072" spans="1:5">
      <c r="A1072" t="s">
        <v>5</v>
      </c>
      <c r="B1072" t="s">
        <v>1077</v>
      </c>
      <c r="C1072">
        <f>HYPERLINK("C:\Users\franc\OneDrive\Documentos\ALIRO\ALIRO\KATHY\ANA LUISA 2010\CERTIFICADO DE HIPOTECAS Y GRAV\VICTORIA VIII  1 AL 200  -  COMPAÑIA MINERA PUNITAQUI SCM.doc", "Abrir Documento")</f>
        <v>0</v>
      </c>
      <c r="D1072" t="s">
        <v>23500</v>
      </c>
      <c r="E1072" t="s">
        <v>24571</v>
      </c>
    </row>
    <row r="1073" spans="1:5">
      <c r="A1073" t="s">
        <v>5</v>
      </c>
      <c r="B1073" t="s">
        <v>1078</v>
      </c>
      <c r="C1073">
        <f>HYPERLINK("C:\Users\franc\OneDrive\Documentos\ALIRO\ALIRO\KATHY\ANA LUISA 2010\CERTIFICADO DE HIPOTECAS Y GRAV\VICTORIA VIII  1 AL 200  -  CIA MINERA LOS MANTOS SCM.doc", "Abrir Documento")</f>
        <v>0</v>
      </c>
      <c r="D1073" t="s">
        <v>23501</v>
      </c>
      <c r="E1073" t="s">
        <v>24572</v>
      </c>
    </row>
    <row r="1074" spans="1:5">
      <c r="A1074" t="s">
        <v>5</v>
      </c>
      <c r="B1074" t="s">
        <v>1079</v>
      </c>
      <c r="C1074">
        <f>HYPERLINK("C:\Users\franc\OneDrive\Documentos\ALIRO\ALIRO\KATHY\ANA LUISA 2010\CERTIFICADO DE HIPOTECAS Y GRAV\VICTORIA VII  1 AL 200  -  COMPAÑIA MINERA PUNITAQUI SCM.doc", "Abrir Documento")</f>
        <v>0</v>
      </c>
      <c r="D1074" t="s">
        <v>23501</v>
      </c>
      <c r="E1074" t="s">
        <v>24573</v>
      </c>
    </row>
    <row r="1075" spans="1:5">
      <c r="A1075" t="s">
        <v>5</v>
      </c>
      <c r="B1075" t="s">
        <v>1080</v>
      </c>
      <c r="C1075">
        <f>HYPERLINK("C:\Users\franc\OneDrive\Documentos\ALIRO\ALIRO\KATHY\ANA LUISA 2010\CERTIFICADO DE HIPOTECAS Y GRAV\VICTORIA VII  1 AL 200  -  CIA MINERA LOS MANTOS SCM.doc", "Abrir Documento")</f>
        <v>0</v>
      </c>
      <c r="D1075" t="s">
        <v>23501</v>
      </c>
      <c r="E1075" t="s">
        <v>24574</v>
      </c>
    </row>
    <row r="1076" spans="1:5">
      <c r="A1076" t="s">
        <v>5</v>
      </c>
      <c r="B1076" t="s">
        <v>1081</v>
      </c>
      <c r="C1076">
        <f>HYPERLINK("C:\Users\franc\OneDrive\Documentos\ALIRO\ALIRO\KATHY\ANA LUISA 2010\CERTIFICADO DE HIPOTECAS Y GRAV\VICTORIA VI  1 AL 200  -  COMPAÑIA MINERA PUNITAQUI SCM.doc", "Abrir Documento")</f>
        <v>0</v>
      </c>
      <c r="D1076" t="s">
        <v>23500</v>
      </c>
      <c r="E1076" t="s">
        <v>24575</v>
      </c>
    </row>
    <row r="1077" spans="1:5">
      <c r="A1077" t="s">
        <v>5</v>
      </c>
      <c r="B1077" t="s">
        <v>1082</v>
      </c>
      <c r="C1077">
        <f>HYPERLINK("C:\Users\franc\OneDrive\Documentos\ALIRO\ALIRO\KATHY\ANA LUISA 2010\CERTIFICADO DE HIPOTECAS Y GRAV\VICTORIA VI  1 AL 200  -  CIA MINERA LOS MANTOS SCM.doc", "Abrir Documento")</f>
        <v>0</v>
      </c>
      <c r="D1077" t="s">
        <v>23501</v>
      </c>
      <c r="E1077" t="s">
        <v>24576</v>
      </c>
    </row>
    <row r="1078" spans="1:5">
      <c r="A1078" t="s">
        <v>5</v>
      </c>
      <c r="B1078" t="s">
        <v>1083</v>
      </c>
      <c r="C1078">
        <f>HYPERLINK("C:\Users\franc\OneDrive\Documentos\ALIRO\ALIRO\KATHY\ANA LUISA 2010\CERTIFICADO DE HIPOTECAS Y GRAV\VICTORIA V  1 AL 300  -  COMPAÑIA MINERA PUNITAQUI SCM.doc", "Abrir Documento")</f>
        <v>0</v>
      </c>
      <c r="D1078" t="s">
        <v>23500</v>
      </c>
      <c r="E1078" t="s">
        <v>24577</v>
      </c>
    </row>
    <row r="1079" spans="1:5">
      <c r="A1079" t="s">
        <v>5</v>
      </c>
      <c r="B1079" t="s">
        <v>1084</v>
      </c>
      <c r="C1079">
        <f>HYPERLINK("C:\Users\franc\OneDrive\Documentos\ALIRO\ALIRO\KATHY\ANA LUISA 2010\CERTIFICADO DE HIPOTECAS Y GRAV\VICTORIA V  1 AL 300  -  CIA MINERA LOS MANTOS SCM.doc", "Abrir Documento")</f>
        <v>0</v>
      </c>
      <c r="D1079" t="s">
        <v>23501</v>
      </c>
      <c r="E1079" t="s">
        <v>24578</v>
      </c>
    </row>
    <row r="1080" spans="1:5">
      <c r="A1080" t="s">
        <v>5</v>
      </c>
      <c r="B1080" t="s">
        <v>1085</v>
      </c>
      <c r="C1080">
        <f>HYPERLINK("C:\Users\franc\OneDrive\Documentos\ALIRO\ALIRO\KATHY\ANA LUISA 2010\CERTIFICADO DE HIPOTECAS Y GRAV\VICTORIA UNA A CUATRO.doc", "Abrir Documento")</f>
        <v>0</v>
      </c>
      <c r="D1080" t="s">
        <v>23501</v>
      </c>
      <c r="E1080" t="s">
        <v>24579</v>
      </c>
    </row>
    <row r="1081" spans="1:5">
      <c r="A1081" t="s">
        <v>5</v>
      </c>
      <c r="B1081" t="s">
        <v>1086</v>
      </c>
      <c r="C1081">
        <f>HYPERLINK("C:\Users\franc\OneDrive\Documentos\ALIRO\ALIRO\KATHY\ANA LUISA 2010\CERTIFICADO DE HIPOTECAS Y GRAV\VICTORIA IX  1 AL 100  -  COMPAÑIA MINERA PUNITAQUI SCM.doc", "Abrir Documento")</f>
        <v>0</v>
      </c>
      <c r="D1081" t="s">
        <v>23501</v>
      </c>
      <c r="E1081" t="s">
        <v>24580</v>
      </c>
    </row>
    <row r="1082" spans="1:5">
      <c r="A1082" t="s">
        <v>5</v>
      </c>
      <c r="B1082" t="s">
        <v>1087</v>
      </c>
      <c r="C1082">
        <f>HYPERLINK("C:\Users\franc\OneDrive\Documentos\ALIRO\ALIRO\KATHY\ANA LUISA 2010\CERTIFICADO DE HIPOTECAS Y GRAV\VICTORIA IV  1 AL 300  -  COMPAÑIA MINERA PUNITAQUI SCM.doc", "Abrir Documento")</f>
        <v>0</v>
      </c>
      <c r="D1082" t="s">
        <v>23500</v>
      </c>
      <c r="E1082" t="s">
        <v>24581</v>
      </c>
    </row>
    <row r="1083" spans="1:5">
      <c r="A1083" t="s">
        <v>5</v>
      </c>
      <c r="B1083" t="s">
        <v>1088</v>
      </c>
      <c r="C1083">
        <f>HYPERLINK("C:\Users\franc\OneDrive\Documentos\ALIRO\ALIRO\KATHY\ANA LUISA 2010\CERTIFICADO DE HIPOTECAS Y GRAV\VICTORIA IV  1 AL 300  -  CIA MINERA LOS MANTOS SCM.doc", "Abrir Documento")</f>
        <v>0</v>
      </c>
      <c r="D1083" t="s">
        <v>23501</v>
      </c>
      <c r="E1083" t="s">
        <v>24582</v>
      </c>
    </row>
    <row r="1084" spans="1:5">
      <c r="A1084" t="s">
        <v>5</v>
      </c>
      <c r="B1084" t="s">
        <v>1089</v>
      </c>
      <c r="C1084">
        <f>HYPERLINK("C:\Users\franc\OneDrive\Documentos\ALIRO\ALIRO\KATHY\ANA LUISA 2010\CERTIFICADO DE HIPOTECAS Y GRAV\VICTORIA III  1 AL 300  -  COMPAÑIA MINERA PUNITAQUI SCM.doc", "Abrir Documento")</f>
        <v>0</v>
      </c>
      <c r="D1084" t="s">
        <v>23501</v>
      </c>
      <c r="E1084" t="s">
        <v>24583</v>
      </c>
    </row>
    <row r="1085" spans="1:5">
      <c r="A1085" t="s">
        <v>5</v>
      </c>
      <c r="B1085" t="s">
        <v>1090</v>
      </c>
      <c r="C1085">
        <f>HYPERLINK("C:\Users\franc\OneDrive\Documentos\ALIRO\ALIRO\KATHY\ANA LUISA 2010\CERTIFICADO DE HIPOTECAS Y GRAV\VICTORIA IIi  1 AL 235.doc", "Abrir Documento")</f>
        <v>0</v>
      </c>
      <c r="D1085" t="s">
        <v>23501</v>
      </c>
      <c r="E1085" t="s">
        <v>24584</v>
      </c>
    </row>
    <row r="1086" spans="1:5">
      <c r="A1086" t="s">
        <v>5</v>
      </c>
      <c r="B1086" t="s">
        <v>1091</v>
      </c>
      <c r="C1086">
        <f>HYPERLINK("C:\Users\franc\OneDrive\Documentos\ALIRO\ALIRO\KATHY\ANA LUISA 2010\CERTIFICADO DE HIPOTECAS Y GRAV\VICTORIA II 1 AL 285.doc", "Abrir Documento")</f>
        <v>0</v>
      </c>
      <c r="D1086" t="s">
        <v>23501</v>
      </c>
      <c r="E1086" t="s">
        <v>24585</v>
      </c>
    </row>
    <row r="1087" spans="1:5">
      <c r="A1087" t="s">
        <v>5</v>
      </c>
      <c r="B1087" t="s">
        <v>1092</v>
      </c>
      <c r="C1087">
        <f>HYPERLINK("C:\Users\franc\OneDrive\Documentos\ALIRO\ALIRO\KATHY\ANA LUISA 2010\CERTIFICADO DE HIPOTECAS Y GRAV\VICTORIA II  1 AL 300  -  COMPAÑIA MINERA PUNITAQUI SCM.doc", "Abrir Documento")</f>
        <v>0</v>
      </c>
      <c r="D1087" t="s">
        <v>23501</v>
      </c>
      <c r="E1087" t="s">
        <v>24586</v>
      </c>
    </row>
    <row r="1088" spans="1:5">
      <c r="A1088" t="s">
        <v>5</v>
      </c>
      <c r="B1088" t="s">
        <v>1093</v>
      </c>
      <c r="C1088">
        <f>HYPERLINK("C:\Users\franc\OneDrive\Documentos\ALIRO\ALIRO\KATHY\ANA LUISA 2010\CERTIFICADO DE HIPOTECAS Y GRAV\VICTORIA I 1 AL 245.doc", "Abrir Documento")</f>
        <v>0</v>
      </c>
      <c r="D1088" t="s">
        <v>23501</v>
      </c>
      <c r="E1088" t="s">
        <v>24587</v>
      </c>
    </row>
    <row r="1089" spans="1:5">
      <c r="A1089" t="s">
        <v>5</v>
      </c>
      <c r="B1089" t="s">
        <v>1094</v>
      </c>
      <c r="C1089">
        <f>HYPERLINK("C:\Users\franc\OneDrive\Documentos\ALIRO\ALIRO\KATHY\ANA LUISA 2010\CERTIFICADO DE HIPOTECAS Y GRAV\VICTORIA I  1 AL 300  -  COMPAÑIA MINERA PUNITAQUI SCM.doc", "Abrir Documento")</f>
        <v>0</v>
      </c>
      <c r="D1089" t="s">
        <v>23501</v>
      </c>
      <c r="E1089" t="s">
        <v>24588</v>
      </c>
    </row>
    <row r="1090" spans="1:5">
      <c r="A1090" t="s">
        <v>5</v>
      </c>
      <c r="B1090" t="s">
        <v>1095</v>
      </c>
      <c r="C1090">
        <f>HYPERLINK("C:\Users\franc\OneDrive\Documentos\ALIRO\ALIRO\KATHY\ANA LUISA 2010\CERTIFICADO DE HIPOTECAS Y GRAV\VENUS (2018).doc", "Abrir Documento")</f>
        <v>0</v>
      </c>
      <c r="D1090" t="s">
        <v>23501</v>
      </c>
      <c r="E1090" t="s">
        <v>24589</v>
      </c>
    </row>
    <row r="1091" spans="1:5">
      <c r="A1091" t="s">
        <v>5</v>
      </c>
      <c r="B1091" t="s">
        <v>1096</v>
      </c>
      <c r="C1091">
        <f>HYPERLINK("C:\Users\franc\OneDrive\Documentos\ALIRO\ALIRO\KATHY\ANA LUISA 2010\CERTIFICADO DE HIPOTECAS Y GRAV\VASCO 1 A 157.doc", "Abrir Documento")</f>
        <v>0</v>
      </c>
      <c r="D1091" t="s">
        <v>23501</v>
      </c>
      <c r="E1091" t="s">
        <v>24590</v>
      </c>
    </row>
    <row r="1092" spans="1:5">
      <c r="A1092" t="s">
        <v>5</v>
      </c>
      <c r="B1092" t="s">
        <v>1097</v>
      </c>
      <c r="C1092">
        <f>HYPERLINK("C:\Users\franc\OneDrive\Documentos\ALIRO\ALIRO\KATHY\ANA LUISA 2010\CERTIFICADO DE HIPOTECAS Y GRAV\TURQUIA UNA A TRES (2018).doc", "Abrir Documento")</f>
        <v>0</v>
      </c>
      <c r="D1092" t="s">
        <v>23501</v>
      </c>
      <c r="E1092" t="s">
        <v>24591</v>
      </c>
    </row>
    <row r="1093" spans="1:5">
      <c r="A1093" t="s">
        <v>5</v>
      </c>
      <c r="B1093" t="s">
        <v>1098</v>
      </c>
      <c r="C1093">
        <f>HYPERLINK("C:\Users\franc\OneDrive\Documentos\ALIRO\ALIRO\KATHY\ANA LUISA 2010\CERTIFICADO DE HIPOTECAS Y GRAV\TRINITARIA (2018).doc", "Abrir Documento")</f>
        <v>0</v>
      </c>
      <c r="D1093" t="s">
        <v>23501</v>
      </c>
      <c r="E1093" t="s">
        <v>24592</v>
      </c>
    </row>
    <row r="1094" spans="1:5">
      <c r="A1094" t="s">
        <v>5</v>
      </c>
      <c r="B1094" t="s">
        <v>1099</v>
      </c>
      <c r="C1094">
        <f>HYPERLINK("C:\Users\franc\OneDrive\Documentos\ALIRO\ALIRO\KATHY\ANA LUISA 2010\CERTIFICADO DE HIPOTECAS Y GRAV\TOTORAL 4 1 AL 20.doc", "Abrir Documento")</f>
        <v>0</v>
      </c>
      <c r="D1094" t="s">
        <v>23501</v>
      </c>
      <c r="E1094" t="s">
        <v>24593</v>
      </c>
    </row>
    <row r="1095" spans="1:5">
      <c r="A1095" t="s">
        <v>5</v>
      </c>
      <c r="B1095" t="s">
        <v>1100</v>
      </c>
      <c r="C1095">
        <f>HYPERLINK("C:\Users\franc\OneDrive\Documentos\ALIRO\ALIRO\KATHY\ANA LUISA 2010\CERTIFICADO DE HIPOTECAS Y GRAV\TOTORAL 4  1 AL  20 2010.doc", "Abrir Documento")</f>
        <v>0</v>
      </c>
      <c r="D1095" t="s">
        <v>23501</v>
      </c>
      <c r="E1095" t="s">
        <v>24594</v>
      </c>
    </row>
    <row r="1096" spans="1:5">
      <c r="A1096" t="s">
        <v>5</v>
      </c>
      <c r="B1096" t="s">
        <v>1101</v>
      </c>
      <c r="C1096">
        <f>HYPERLINK("C:\Users\franc\OneDrive\Documentos\ALIRO\ALIRO\KATHY\ANA LUISA 2010\CERTIFICADO DE HIPOTECAS Y GRAV\TORCA UNO AL CINCO.doc", "Abrir Documento")</f>
        <v>0</v>
      </c>
      <c r="D1096" t="s">
        <v>23501</v>
      </c>
      <c r="E1096" t="s">
        <v>24595</v>
      </c>
    </row>
    <row r="1097" spans="1:5">
      <c r="A1097" t="s">
        <v>5</v>
      </c>
      <c r="B1097" t="s">
        <v>1102</v>
      </c>
      <c r="C1097">
        <f>HYPERLINK("C:\Users\franc\OneDrive\Documentos\ALIRO\ALIRO\KATHY\ANA LUISA 2010\CERTIFICADO DE HIPOTECAS Y GRAV\TOLTEN 1 AL 17.doc", "Abrir Documento")</f>
        <v>0</v>
      </c>
      <c r="D1097" t="s">
        <v>23501</v>
      </c>
      <c r="E1097" t="s">
        <v>24596</v>
      </c>
    </row>
    <row r="1098" spans="1:5">
      <c r="A1098" t="s">
        <v>5</v>
      </c>
      <c r="B1098" t="s">
        <v>1103</v>
      </c>
      <c r="C1098">
        <f>HYPERLINK("C:\Users\franc\OneDrive\Documentos\ALIRO\ALIRO\KATHY\ANA LUISA 2010\CERTIFICADO DE HIPOTECAS Y GRAV\TOLAS UNO AL CATORCE.doc", "Abrir Documento")</f>
        <v>0</v>
      </c>
      <c r="D1098" t="s">
        <v>23501</v>
      </c>
      <c r="E1098" t="s">
        <v>24597</v>
      </c>
    </row>
    <row r="1099" spans="1:5">
      <c r="A1099" t="s">
        <v>5</v>
      </c>
      <c r="B1099" t="s">
        <v>1104</v>
      </c>
      <c r="C1099">
        <f>HYPERLINK("C:\Users\franc\OneDrive\Documentos\ALIRO\ALIRO\KATHY\ANA LUISA 2010\CERTIFICADO DE HIPOTECAS Y GRAV\TODA LA VIDA UNA A VEINTE.doc", "Abrir Documento")</f>
        <v>0</v>
      </c>
      <c r="D1099" t="s">
        <v>23501</v>
      </c>
      <c r="E1099" t="s">
        <v>24598</v>
      </c>
    </row>
    <row r="1100" spans="1:5">
      <c r="A1100" t="s">
        <v>5</v>
      </c>
      <c r="B1100" t="s">
        <v>1105</v>
      </c>
      <c r="C1100">
        <f>HYPERLINK("C:\Users\franc\OneDrive\Documentos\ALIRO\ALIRO\KATHY\ANA LUISA 2010\CERTIFICADO DE HIPOTECAS Y GRAV\TOCONCE UNO AL DIECIOCHO.doc", "Abrir Documento")</f>
        <v>0</v>
      </c>
      <c r="D1100" t="s">
        <v>23501</v>
      </c>
      <c r="E1100" t="s">
        <v>24599</v>
      </c>
    </row>
    <row r="1101" spans="1:5">
      <c r="A1101" t="s">
        <v>5</v>
      </c>
      <c r="B1101" t="s">
        <v>1106</v>
      </c>
      <c r="C1101">
        <f>HYPERLINK("C:\Users\franc\OneDrive\Documentos\ALIRO\ALIRO\KATHY\ANA LUISA 2010\CERTIFICADO DE HIPOTECAS Y GRAV\TOCOMAR UNO AL VEINTE.doc", "Abrir Documento")</f>
        <v>0</v>
      </c>
      <c r="D1101" t="s">
        <v>23501</v>
      </c>
      <c r="E1101" t="s">
        <v>24600</v>
      </c>
    </row>
    <row r="1102" spans="1:5">
      <c r="A1102" t="s">
        <v>5</v>
      </c>
      <c r="B1102" t="s">
        <v>1107</v>
      </c>
      <c r="C1102">
        <f>HYPERLINK("C:\Users\franc\OneDrive\Documentos\ALIRO\ALIRO\KATHY\ANA LUISA 2010\CERTIFICADO DE HIPOTECAS Y GRAV\TIPAY UNO AL CATORCE.doc", "Abrir Documento")</f>
        <v>0</v>
      </c>
      <c r="D1102" t="s">
        <v>23501</v>
      </c>
      <c r="E1102" t="s">
        <v>24601</v>
      </c>
    </row>
    <row r="1103" spans="1:5">
      <c r="A1103" t="s">
        <v>5</v>
      </c>
      <c r="B1103" t="s">
        <v>1108</v>
      </c>
      <c r="C1103">
        <f>HYPERLINK("C:\Users\franc\OneDrive\Documentos\ALIRO\ALIRO\KATHY\ANA LUISA 2010\CERTIFICADO DE HIPOTECAS Y GRAV\TIGNAMAR UNO AL VEINTISEIS.doc", "Abrir Documento")</f>
        <v>0</v>
      </c>
      <c r="D1103" t="s">
        <v>23501</v>
      </c>
      <c r="E1103" t="s">
        <v>24602</v>
      </c>
    </row>
    <row r="1104" spans="1:5">
      <c r="A1104" t="s">
        <v>5</v>
      </c>
      <c r="B1104" t="s">
        <v>1109</v>
      </c>
      <c r="C1104">
        <f>HYPERLINK("C:\Users\franc\OneDrive\Documentos\ALIRO\ALIRO\KATHY\ANA LUISA 2010\CERTIFICADO DE HIPOTECAS Y GRAV\TICALHUE 1 AL 17Ç.doc", "Abrir Documento")</f>
        <v>0</v>
      </c>
      <c r="D1104" t="s">
        <v>23501</v>
      </c>
      <c r="E1104" t="s">
        <v>24603</v>
      </c>
    </row>
    <row r="1105" spans="1:5">
      <c r="A1105" t="s">
        <v>5</v>
      </c>
      <c r="B1105" t="s">
        <v>1110</v>
      </c>
      <c r="C1105">
        <f>HYPERLINK("C:\Users\franc\OneDrive\Documentos\ALIRO\ALIRO\KATHY\ANA LUISA 2010\CERTIFICADO DE HIPOTECAS Y GRAV\TEMO UNO AL DOS.doc", "Abrir Documento")</f>
        <v>0</v>
      </c>
      <c r="D1105" t="s">
        <v>23501</v>
      </c>
      <c r="E1105" t="s">
        <v>24604</v>
      </c>
    </row>
    <row r="1106" spans="1:5">
      <c r="A1106" t="s">
        <v>5</v>
      </c>
      <c r="B1106" t="s">
        <v>1111</v>
      </c>
      <c r="C1106">
        <f>HYPERLINK("C:\Users\franc\OneDrive\Documentos\ALIRO\ALIRO\KATHY\ANA LUISA 2010\CERTIFICADO DE HIPOTECAS Y GRAV\TAUCO 3-4-5-8-9-10-15-20 Y 25.doc", "Abrir Documento")</f>
        <v>0</v>
      </c>
      <c r="D1106" t="s">
        <v>23501</v>
      </c>
      <c r="E1106" t="s">
        <v>24605</v>
      </c>
    </row>
    <row r="1107" spans="1:5">
      <c r="A1107" t="s">
        <v>5</v>
      </c>
      <c r="B1107" t="s">
        <v>1112</v>
      </c>
      <c r="C1107">
        <f>HYPERLINK("C:\Users\franc\OneDrive\Documentos\ALIRO\ALIRO\KATHY\ANA LUISA 2010\CERTIFICADO DE HIPOTECAS Y GRAV\TAUCO 3,4,5,8,9,10,15,20 Y 25 (2018).doc", "Abrir Documento")</f>
        <v>0</v>
      </c>
      <c r="D1107" t="s">
        <v>23501</v>
      </c>
      <c r="E1107" t="s">
        <v>24606</v>
      </c>
    </row>
    <row r="1108" spans="1:5">
      <c r="A1108" t="s">
        <v>5</v>
      </c>
      <c r="B1108" t="s">
        <v>1113</v>
      </c>
      <c r="C1108">
        <f>HYPERLINK("C:\Users\franc\OneDrive\Documentos\ALIRO\ALIRO\KATHY\ANA LUISA 2010\CERTIFICADO DE HIPOTECAS Y GRAV\TANUME 1 AL 28.doc", "Abrir Documento")</f>
        <v>0</v>
      </c>
      <c r="D1108" t="s">
        <v>23501</v>
      </c>
      <c r="E1108" t="s">
        <v>24607</v>
      </c>
    </row>
    <row r="1109" spans="1:5">
      <c r="A1109" t="s">
        <v>5</v>
      </c>
      <c r="B1109" t="s">
        <v>1114</v>
      </c>
      <c r="C1109">
        <f>HYPERLINK("C:\Users\franc\OneDrive\Documentos\ALIRO\ALIRO\KATHY\ANA LUISA 2010\CERTIFICADO DE HIPOTECAS Y GRAV\TAMAYA 1 AL 120.doc", "Abrir Documento")</f>
        <v>0</v>
      </c>
      <c r="D1109" t="s">
        <v>23501</v>
      </c>
      <c r="E1109" t="s">
        <v>24608</v>
      </c>
    </row>
    <row r="1110" spans="1:5">
      <c r="A1110" t="s">
        <v>5</v>
      </c>
      <c r="B1110" t="s">
        <v>1115</v>
      </c>
      <c r="C1110">
        <f>HYPERLINK("C:\Users\franc\OneDrive\Documentos\ALIRO\ALIRO\KATHY\ANA LUISA 2010\CERTIFICADO DE HIPOTECAS Y GRAV\TAMARUGO UNO AL CUARENTA Y CUATRO.doc", "Abrir Documento")</f>
        <v>0</v>
      </c>
      <c r="D1110" t="s">
        <v>23501</v>
      </c>
      <c r="E1110" t="s">
        <v>24609</v>
      </c>
    </row>
    <row r="1111" spans="1:5">
      <c r="A1111" t="s">
        <v>5</v>
      </c>
      <c r="B1111" t="s">
        <v>1116</v>
      </c>
      <c r="C1111">
        <f>HYPERLINK("C:\Users\franc\OneDrive\Documentos\ALIRO\ALIRO\KATHY\ANA LUISA 2010\CERTIFICADO DE HIPOTECAS Y GRAV\TALPUNA 1 AL 34.doc", "Abrir Documento")</f>
        <v>0</v>
      </c>
      <c r="D1111" t="s">
        <v>23501</v>
      </c>
      <c r="E1111" t="s">
        <v>24610</v>
      </c>
    </row>
    <row r="1112" spans="1:5">
      <c r="A1112" t="s">
        <v>5</v>
      </c>
      <c r="B1112" t="s">
        <v>1117</v>
      </c>
      <c r="C1112">
        <f>HYPERLINK("C:\Users\franc\OneDrive\Documentos\ALIRO\ALIRO\KATHY\ANA LUISA 2010\CERTIFICADO DE HIPOTECAS Y GRAV\TALCAN 1 AL 18.doc", "Abrir Documento")</f>
        <v>0</v>
      </c>
      <c r="D1112" t="s">
        <v>23501</v>
      </c>
      <c r="E1112" t="s">
        <v>24611</v>
      </c>
    </row>
    <row r="1113" spans="1:5">
      <c r="A1113" t="s">
        <v>5</v>
      </c>
      <c r="B1113" t="s">
        <v>1118</v>
      </c>
      <c r="C1113">
        <f>HYPERLINK("C:\Users\franc\OneDrive\Documentos\ALIRO\ALIRO\KATHY\ANA LUISA 2010\CERTIFICADO DE HIPOTECAS Y GRAV\TALCA UNA AL VEINTE.doc", "Abrir Documento")</f>
        <v>0</v>
      </c>
      <c r="D1113" t="s">
        <v>23501</v>
      </c>
      <c r="E1113" t="s">
        <v>24612</v>
      </c>
    </row>
    <row r="1114" spans="1:5">
      <c r="A1114" t="s">
        <v>5</v>
      </c>
      <c r="B1114" t="s">
        <v>1119</v>
      </c>
      <c r="C1114">
        <f>HYPERLINK("C:\Users\franc\OneDrive\Documentos\ALIRO\ALIRO\KATHY\ANA LUISA 2010\CERTIFICADO DE HIPOTECAS Y GRAV\TALABRE 1 AL 25.doc", "Abrir Documento")</f>
        <v>0</v>
      </c>
      <c r="D1114" t="s">
        <v>23501</v>
      </c>
      <c r="E1114" t="s">
        <v>24613</v>
      </c>
    </row>
    <row r="1115" spans="1:5">
      <c r="A1115" t="s">
        <v>5</v>
      </c>
      <c r="B1115" t="s">
        <v>1120</v>
      </c>
      <c r="C1115">
        <f>HYPERLINK("C:\Users\franc\OneDrive\Documentos\ALIRO\ALIRO\KATHY\ANA LUISA 2010\CERTIFICADO DE HIPOTECAS Y GRAV\TAHUIMCO 1 AL 40.doc", "Abrir Documento")</f>
        <v>0</v>
      </c>
      <c r="D1115" t="s">
        <v>23501</v>
      </c>
      <c r="E1115" t="s">
        <v>24614</v>
      </c>
    </row>
    <row r="1116" spans="1:5">
      <c r="A1116" t="s">
        <v>5</v>
      </c>
      <c r="B1116" t="s">
        <v>1121</v>
      </c>
      <c r="C1116">
        <f>HYPERLINK("C:\Users\franc\OneDrive\Documentos\ALIRO\ALIRO\KATHY\ANA LUISA 2010\CERTIFICADO DE HIPOTECAS Y GRAV\TACORA 1 AL 65.doc", "Abrir Documento")</f>
        <v>0</v>
      </c>
      <c r="D1116" t="s">
        <v>23501</v>
      </c>
      <c r="E1116" t="s">
        <v>24615</v>
      </c>
    </row>
    <row r="1117" spans="1:5">
      <c r="A1117" t="s">
        <v>5</v>
      </c>
      <c r="B1117" t="s">
        <v>1122</v>
      </c>
      <c r="C1117">
        <f>HYPERLINK("C:\Users\franc\OneDrive\Documentos\ALIRO\ALIRO\KATHY\ANA LUISA 2010\CERTIFICADO DE HIPOTECAS Y GRAV\SUERTE 10, 11, 12, 13, 14, 15, 25, 26, 27, 28, 29, 30.doc", "Abrir Documento")</f>
        <v>0</v>
      </c>
      <c r="D1117" t="s">
        <v>23501</v>
      </c>
      <c r="E1117" t="s">
        <v>24616</v>
      </c>
    </row>
    <row r="1118" spans="1:5">
      <c r="A1118" t="s">
        <v>5</v>
      </c>
      <c r="B1118" t="s">
        <v>1123</v>
      </c>
      <c r="C1118">
        <f>HYPERLINK("C:\Users\franc\OneDrive\Documentos\ALIRO\ALIRO\KATHY\ANA LUISA 2010\CERTIFICADO DE HIPOTECAS Y GRAV\SILVIA.doc", "Abrir Documento")</f>
        <v>0</v>
      </c>
      <c r="D1118" t="s">
        <v>23501</v>
      </c>
      <c r="E1118" t="s">
        <v>24617</v>
      </c>
    </row>
    <row r="1119" spans="1:5">
      <c r="A1119" t="s">
        <v>5</v>
      </c>
      <c r="B1119" t="s">
        <v>1124</v>
      </c>
      <c r="C1119">
        <f>HYPERLINK("C:\Users\franc\OneDrive\Documentos\ALIRO\ALIRO\KATHY\ANA LUISA 2010\CERTIFICADO DE HIPOTECAS Y GRAV\SILVA PRIMERA A CUARTA (2018).doc", "Abrir Documento")</f>
        <v>0</v>
      </c>
      <c r="D1119" t="s">
        <v>23501</v>
      </c>
      <c r="E1119" t="s">
        <v>24618</v>
      </c>
    </row>
    <row r="1120" spans="1:5">
      <c r="A1120" t="s">
        <v>5</v>
      </c>
      <c r="B1120" t="s">
        <v>1125</v>
      </c>
      <c r="C1120">
        <f>HYPERLINK("C:\Users\franc\OneDrive\Documentos\ALIRO\ALIRO\KATHY\ANA LUISA 2010\CERTIFICADO DE HIPOTECAS Y GRAV\SANTA RITA 1 AL 12.doc", "Abrir Documento")</f>
        <v>0</v>
      </c>
      <c r="D1120" t="s">
        <v>23501</v>
      </c>
      <c r="E1120" t="s">
        <v>24619</v>
      </c>
    </row>
    <row r="1121" spans="1:5">
      <c r="A1121" t="s">
        <v>5</v>
      </c>
      <c r="B1121" t="s">
        <v>1126</v>
      </c>
      <c r="C1121">
        <f>HYPERLINK("C:\Users\franc\OneDrive\Documentos\ALIRO\ALIRO\KATHY\ANA LUISA 2010\CERTIFICADO DE HIPOTECAS Y GRAV\SANTA RITA 1 AL 12  NUEVO.doc", "Abrir Documento")</f>
        <v>0</v>
      </c>
      <c r="D1121" t="s">
        <v>23501</v>
      </c>
      <c r="E1121" t="s">
        <v>24620</v>
      </c>
    </row>
    <row r="1122" spans="1:5">
      <c r="A1122" t="s">
        <v>5</v>
      </c>
      <c r="B1122" t="s">
        <v>1127</v>
      </c>
      <c r="C1122">
        <f>HYPERLINK("C:\Users\franc\OneDrive\Documentos\ALIRO\ALIRO\KATHY\ANA LUISA 2010\CERTIFICADO DE HIPOTECAS Y GRAV\SANTA LUCIA 1 AL 10.doc", "Abrir Documento")</f>
        <v>0</v>
      </c>
      <c r="D1122" t="s">
        <v>23501</v>
      </c>
      <c r="E1122" t="s">
        <v>24621</v>
      </c>
    </row>
    <row r="1123" spans="1:5">
      <c r="A1123" t="s">
        <v>5</v>
      </c>
      <c r="B1123" t="s">
        <v>1128</v>
      </c>
      <c r="C1123">
        <f>HYPERLINK("C:\Users\franc\OneDrive\Documentos\ALIRO\ALIRO\KATHY\ANA LUISA 2010\CERTIFICADO DE HIPOTECAS Y GRAV\SANTA FÉ (2018).doc", "Abrir Documento")</f>
        <v>0</v>
      </c>
      <c r="D1123" t="s">
        <v>23501</v>
      </c>
      <c r="E1123" t="s">
        <v>24622</v>
      </c>
    </row>
    <row r="1124" spans="1:5">
      <c r="A1124" t="s">
        <v>5</v>
      </c>
      <c r="B1124" t="s">
        <v>1129</v>
      </c>
      <c r="C1124">
        <f>HYPERLINK("C:\Users\franc\OneDrive\Documentos\ALIRO\ALIRO\KATHY\ANA LUISA 2010\CERTIFICADO DE HIPOTECAS Y GRAV\SANTA FE.doc", "Abrir Documento")</f>
        <v>0</v>
      </c>
      <c r="D1124" t="s">
        <v>23501</v>
      </c>
      <c r="E1124" t="s">
        <v>24623</v>
      </c>
    </row>
    <row r="1125" spans="1:5">
      <c r="A1125" t="s">
        <v>5</v>
      </c>
      <c r="B1125" t="s">
        <v>1130</v>
      </c>
      <c r="C1125">
        <f>HYPERLINK("C:\Users\franc\OneDrive\Documentos\ALIRO\ALIRO\KATHY\ANA LUISA 2010\CERTIFICADO DE HIPOTECAS Y GRAV\SANTA CRISTINA 1 AL 8.doc", "Abrir Documento")</f>
        <v>0</v>
      </c>
      <c r="D1125" t="s">
        <v>23501</v>
      </c>
      <c r="E1125" t="s">
        <v>24624</v>
      </c>
    </row>
    <row r="1126" spans="1:5">
      <c r="A1126" t="s">
        <v>5</v>
      </c>
      <c r="B1126" t="s">
        <v>1131</v>
      </c>
      <c r="C1126">
        <f>HYPERLINK("C:\Users\franc\OneDrive\Documentos\ALIRO\ALIRO\KATHY\ANA LUISA 2010\CERTIFICADO DE HIPOTECAS Y GRAV\SANTA CLARA 1 AL 2.doc", "Abrir Documento")</f>
        <v>0</v>
      </c>
      <c r="D1126" t="s">
        <v>23501</v>
      </c>
      <c r="E1126" t="s">
        <v>24625</v>
      </c>
    </row>
    <row r="1127" spans="1:5">
      <c r="A1127" t="s">
        <v>5</v>
      </c>
      <c r="B1127" t="s">
        <v>1132</v>
      </c>
      <c r="C1127">
        <f>HYPERLINK("C:\Users\franc\OneDrive\Documentos\ALIRO\ALIRO\KATHY\ANA LUISA 2010\CERTIFICADO DE HIPOTECAS Y GRAV\SAN MIGUEL 1 AL 20.doc", "Abrir Documento")</f>
        <v>0</v>
      </c>
      <c r="D1127" t="s">
        <v>23501</v>
      </c>
      <c r="E1127" t="s">
        <v>24626</v>
      </c>
    </row>
    <row r="1128" spans="1:5">
      <c r="A1128" t="s">
        <v>5</v>
      </c>
      <c r="B1128" t="s">
        <v>1133</v>
      </c>
      <c r="C1128">
        <f>HYPERLINK("C:\Users\franc\OneDrive\Documentos\ALIRO\ALIRO\KATHY\ANA LUISA 2010\CERTIFICADO DE HIPOTECAS Y GRAV\SAN MARCELO UNO A SAN MARCELO VEINTE.doc", "Abrir Documento")</f>
        <v>0</v>
      </c>
      <c r="D1128" t="s">
        <v>23501</v>
      </c>
      <c r="E1128" t="s">
        <v>24627</v>
      </c>
    </row>
    <row r="1129" spans="1:5">
      <c r="A1129" t="s">
        <v>5</v>
      </c>
      <c r="B1129" t="s">
        <v>1134</v>
      </c>
      <c r="C1129">
        <f>HYPERLINK("C:\Users\franc\OneDrive\Documentos\ALIRO\ALIRO\KATHY\ANA LUISA 2010\CERTIFICADO DE HIPOTECAS Y GRAV\SAN CRISTOBAL 1 AL 30.doc", "Abrir Documento")</f>
        <v>0</v>
      </c>
      <c r="D1129" t="s">
        <v>23501</v>
      </c>
      <c r="E1129" t="s">
        <v>24628</v>
      </c>
    </row>
    <row r="1130" spans="1:5">
      <c r="A1130" t="s">
        <v>5</v>
      </c>
      <c r="B1130" t="s">
        <v>1135</v>
      </c>
      <c r="C1130">
        <f>HYPERLINK("C:\Users\franc\OneDrive\Documentos\ALIRO\ALIRO\KATHY\ANA LUISA 2010\CERTIFICADO DE HIPOTECAS Y GRAV\SAN ANDRES 1 AL 7.doc", "Abrir Documento")</f>
        <v>0</v>
      </c>
      <c r="D1130" t="s">
        <v>23501</v>
      </c>
      <c r="E1130" t="s">
        <v>24629</v>
      </c>
    </row>
    <row r="1131" spans="1:5">
      <c r="A1131" t="s">
        <v>5</v>
      </c>
      <c r="B1131" t="s">
        <v>1136</v>
      </c>
      <c r="C1131">
        <f>HYPERLINK("C:\Users\franc\OneDrive\Documentos\ALIRO\ALIRO\KATHY\ANA LUISA 2010\CERTIFICADO DE HIPOTECAS Y GRAV\SAN ANDRES 1 AL 14 - MINERA ALTOS DE PUNITAQUI LIMITADA.doc", "Abrir Documento")</f>
        <v>0</v>
      </c>
      <c r="D1131" t="s">
        <v>23501</v>
      </c>
      <c r="E1131" t="s">
        <v>24630</v>
      </c>
    </row>
    <row r="1132" spans="1:5">
      <c r="A1132" t="s">
        <v>5</v>
      </c>
      <c r="B1132" t="s">
        <v>1137</v>
      </c>
      <c r="C1132">
        <f>HYPERLINK("C:\Users\franc\OneDrive\Documentos\ALIRO\ALIRO\KATHY\ANA LUISA 2010\CERTIFICADO DE HIPOTECAS Y GRAV\SALAMANCA.doc", "Abrir Documento")</f>
        <v>0</v>
      </c>
      <c r="D1132" t="s">
        <v>23501</v>
      </c>
      <c r="E1132" t="s">
        <v>24631</v>
      </c>
    </row>
    <row r="1133" spans="1:5">
      <c r="A1133" t="s">
        <v>5</v>
      </c>
      <c r="B1133" t="s">
        <v>1138</v>
      </c>
      <c r="C1133">
        <f>HYPERLINK("C:\Users\franc\OneDrive\Documentos\ALIRO\ALIRO\KATHY\ANA LUISA 2010\CERTIFICADO DE HIPOTECAS Y GRAV\ROSITA UNA A ROSITA SEIS.doc", "Abrir Documento")</f>
        <v>0</v>
      </c>
      <c r="D1133" t="s">
        <v>23501</v>
      </c>
      <c r="E1133" t="s">
        <v>24632</v>
      </c>
    </row>
    <row r="1134" spans="1:5">
      <c r="A1134" t="s">
        <v>5</v>
      </c>
      <c r="B1134" t="s">
        <v>1139</v>
      </c>
      <c r="C1134">
        <f>HYPERLINK("C:\Users\franc\OneDrive\Documentos\ALIRO\ALIRO\KATHY\ANA LUISA 2010\CERTIFICADO DE HIPOTECAS Y GRAV\ROCIO SIETE 1 AL 30.doc", "Abrir Documento")</f>
        <v>0</v>
      </c>
      <c r="D1134" t="s">
        <v>23501</v>
      </c>
      <c r="E1134" t="s">
        <v>24633</v>
      </c>
    </row>
    <row r="1135" spans="1:5">
      <c r="A1135" t="s">
        <v>5</v>
      </c>
      <c r="B1135" t="s">
        <v>1140</v>
      </c>
      <c r="C1135">
        <f>HYPERLINK("C:\Users\franc\OneDrive\Documentos\ALIRO\ALIRO\KATHY\ANA LUISA 2010\CERTIFICADO DE HIPOTECAS Y GRAV\ROCIO ONCE 1 AL 30.doc", "Abrir Documento")</f>
        <v>0</v>
      </c>
      <c r="D1135" t="s">
        <v>23501</v>
      </c>
      <c r="E1135" t="s">
        <v>24634</v>
      </c>
    </row>
    <row r="1136" spans="1:5">
      <c r="A1136" t="s">
        <v>5</v>
      </c>
      <c r="B1136" t="s">
        <v>1141</v>
      </c>
      <c r="C1136">
        <f>HYPERLINK("C:\Users\franc\OneDrive\Documentos\ALIRO\ALIRO\KATHY\ANA LUISA 2010\CERTIFICADO DE HIPOTECAS Y GRAV\ROCIO NUEVE 1 AL 30.doc", "Abrir Documento")</f>
        <v>0</v>
      </c>
      <c r="D1136" t="s">
        <v>23501</v>
      </c>
      <c r="E1136" t="s">
        <v>24635</v>
      </c>
    </row>
    <row r="1137" spans="1:5">
      <c r="A1137" t="s">
        <v>5</v>
      </c>
      <c r="B1137" t="s">
        <v>1142</v>
      </c>
      <c r="C1137">
        <f>HYPERLINK("C:\Users\franc\OneDrive\Documentos\ALIRO\ALIRO\KATHY\ANA LUISA 2010\CERTIFICADO DE HIPOTECAS Y GRAV\ROCIO DOCE 1 AL 5.doc", "Abrir Documento")</f>
        <v>0</v>
      </c>
      <c r="D1137" t="s">
        <v>23501</v>
      </c>
      <c r="E1137" t="s">
        <v>24636</v>
      </c>
    </row>
    <row r="1138" spans="1:5">
      <c r="A1138" t="s">
        <v>5</v>
      </c>
      <c r="B1138" t="s">
        <v>1143</v>
      </c>
      <c r="C1138">
        <f>HYPERLINK("C:\Users\franc\OneDrive\Documentos\ALIRO\ALIRO\KATHY\ANA LUISA 2010\CERTIFICADO DE HIPOTECAS Y GRAV\ROCIO DIEZ 1 AL 30.doc", "Abrir Documento")</f>
        <v>0</v>
      </c>
      <c r="D1138" t="s">
        <v>23501</v>
      </c>
      <c r="E1138" t="s">
        <v>24637</v>
      </c>
    </row>
    <row r="1139" spans="1:5">
      <c r="A1139" t="s">
        <v>5</v>
      </c>
      <c r="B1139" t="s">
        <v>1144</v>
      </c>
      <c r="C1139">
        <f>HYPERLINK("C:\Users\franc\OneDrive\Documentos\ALIRO\ALIRO\KATHY\ANA LUISA 2010\CERTIFICADO DE HIPOTECAS Y GRAV\RITA 1 AL 7.doc", "Abrir Documento")</f>
        <v>0</v>
      </c>
      <c r="D1139" t="s">
        <v>23501</v>
      </c>
      <c r="E1139" t="s">
        <v>24638</v>
      </c>
    </row>
    <row r="1140" spans="1:5">
      <c r="A1140" t="s">
        <v>5</v>
      </c>
      <c r="B1140" t="s">
        <v>1145</v>
      </c>
      <c r="C1140">
        <f>HYPERLINK("C:\Users\franc\OneDrive\Documentos\ALIRO\ALIRO\KATHY\ANA LUISA 2010\CERTIFICADO DE HIPOTECAS Y GRAV\RESGUARDO.doc", "Abrir Documento")</f>
        <v>0</v>
      </c>
      <c r="D1140" t="s">
        <v>23500</v>
      </c>
      <c r="E1140" t="s">
        <v>24639</v>
      </c>
    </row>
    <row r="1141" spans="1:5">
      <c r="A1141" t="s">
        <v>5</v>
      </c>
      <c r="B1141" t="s">
        <v>1146</v>
      </c>
      <c r="C1141">
        <f>HYPERLINK("C:\Users\franc\OneDrive\Documentos\ALIRO\ALIRO\KATHY\ANA LUISA 2010\CERTIFICADO DE HIPOTECAS Y GRAV\RESGUARDO PRIMERA A QUINTA (2018).doc", "Abrir Documento")</f>
        <v>0</v>
      </c>
      <c r="D1141" t="s">
        <v>23501</v>
      </c>
      <c r="E1141" t="s">
        <v>24640</v>
      </c>
    </row>
    <row r="1142" spans="1:5">
      <c r="A1142" t="s">
        <v>5</v>
      </c>
      <c r="B1142" t="s">
        <v>1147</v>
      </c>
      <c r="C1142">
        <f>HYPERLINK("C:\Users\franc\OneDrive\Documentos\ALIRO\ALIRO\KATHY\ANA LUISA 2010\CERTIFICADO DE HIPOTECAS Y GRAV\RESGUARDO 1º A 5º.doc", "Abrir Documento")</f>
        <v>0</v>
      </c>
      <c r="D1142" t="s">
        <v>23501</v>
      </c>
      <c r="E1142" t="s">
        <v>24641</v>
      </c>
    </row>
    <row r="1143" spans="1:5">
      <c r="A1143" t="s">
        <v>5</v>
      </c>
      <c r="B1143" t="s">
        <v>1148</v>
      </c>
      <c r="C1143">
        <f>HYPERLINK("C:\Users\franc\OneDrive\Documentos\ALIRO\ALIRO\KATHY\ANA LUISA 2010\CERTIFICADO DE HIPOTECAS Y GRAV\REPUBLICANA.doc", "Abrir Documento")</f>
        <v>0</v>
      </c>
      <c r="D1143" t="s">
        <v>23501</v>
      </c>
      <c r="E1143" t="s">
        <v>24642</v>
      </c>
    </row>
    <row r="1144" spans="1:5">
      <c r="A1144" t="s">
        <v>5</v>
      </c>
      <c r="B1144" t="s">
        <v>1149</v>
      </c>
      <c r="C1144">
        <f>HYPERLINK("C:\Users\franc\OneDrive\Documentos\ALIRO\ALIRO\KATHY\ANA LUISA 2010\CERTIFICADO DE HIPOTECAS Y GRAV\REPUBLICANA (2018).doc", "Abrir Documento")</f>
        <v>0</v>
      </c>
      <c r="D1144" t="s">
        <v>23501</v>
      </c>
      <c r="E1144" t="s">
        <v>24643</v>
      </c>
    </row>
    <row r="1145" spans="1:5">
      <c r="A1145" t="s">
        <v>5</v>
      </c>
      <c r="B1145" t="s">
        <v>1150</v>
      </c>
      <c r="C1145">
        <f>HYPERLINK("C:\Users\franc\OneDrive\Documentos\ALIRO\ALIRO\KATHY\ANA LUISA 2010\CERTIFICADO DE HIPOTECAS Y GRAV\RECOLETA 8.doc", "Abrir Documento")</f>
        <v>0</v>
      </c>
      <c r="D1145" t="s">
        <v>23501</v>
      </c>
      <c r="E1145" t="s">
        <v>24644</v>
      </c>
    </row>
    <row r="1146" spans="1:5">
      <c r="A1146" t="s">
        <v>5</v>
      </c>
      <c r="B1146" t="s">
        <v>1151</v>
      </c>
      <c r="C1146">
        <f>HYPERLINK("C:\Users\franc\OneDrive\Documentos\ALIRO\ALIRO\KATHY\ANA LUISA 2010\CERTIFICADO DE HIPOTECAS Y GRAV\RECOLETA 7.doc", "Abrir Documento")</f>
        <v>0</v>
      </c>
      <c r="D1146" t="s">
        <v>23501</v>
      </c>
      <c r="E1146" t="s">
        <v>24645</v>
      </c>
    </row>
    <row r="1147" spans="1:5">
      <c r="A1147" t="s">
        <v>5</v>
      </c>
      <c r="B1147" t="s">
        <v>1152</v>
      </c>
      <c r="C1147">
        <f>HYPERLINK("C:\Users\franc\OneDrive\Documentos\ALIRO\ALIRO\KATHY\ANA LUISA 2010\CERTIFICADO DE HIPOTECAS Y GRAV\RECOLETA 6.doc", "Abrir Documento")</f>
        <v>0</v>
      </c>
      <c r="D1147" t="s">
        <v>23501</v>
      </c>
      <c r="E1147" t="s">
        <v>24646</v>
      </c>
    </row>
    <row r="1148" spans="1:5">
      <c r="A1148" t="s">
        <v>5</v>
      </c>
      <c r="B1148" t="s">
        <v>1153</v>
      </c>
      <c r="C1148">
        <f>HYPERLINK("C:\Users\franc\OneDrive\Documentos\ALIRO\ALIRO\KATHY\ANA LUISA 2010\CERTIFICADO DE HIPOTECAS Y GRAV\RECOLETA 5.doc", "Abrir Documento")</f>
        <v>0</v>
      </c>
      <c r="D1148" t="s">
        <v>23501</v>
      </c>
      <c r="E1148" t="s">
        <v>24647</v>
      </c>
    </row>
    <row r="1149" spans="1:5">
      <c r="A1149" t="s">
        <v>5</v>
      </c>
      <c r="B1149" t="s">
        <v>1154</v>
      </c>
      <c r="C1149">
        <f>HYPERLINK("C:\Users\franc\OneDrive\Documentos\ALIRO\ALIRO\KATHY\ANA LUISA 2010\CERTIFICADO DE HIPOTECAS Y GRAV\RECOLETA 4.doc", "Abrir Documento")</f>
        <v>0</v>
      </c>
      <c r="D1149" t="s">
        <v>23501</v>
      </c>
      <c r="E1149" t="s">
        <v>24648</v>
      </c>
    </row>
    <row r="1150" spans="1:5">
      <c r="A1150" t="s">
        <v>5</v>
      </c>
      <c r="B1150" t="s">
        <v>1155</v>
      </c>
      <c r="C1150">
        <f>HYPERLINK("C:\Users\franc\OneDrive\Documentos\ALIRO\ALIRO\KATHY\ANA LUISA 2010\CERTIFICADO DE HIPOTECAS Y GRAV\RECOLETA 3.doc", "Abrir Documento")</f>
        <v>0</v>
      </c>
      <c r="D1150" t="s">
        <v>23501</v>
      </c>
      <c r="E1150" t="s">
        <v>24649</v>
      </c>
    </row>
    <row r="1151" spans="1:5">
      <c r="A1151" t="s">
        <v>5</v>
      </c>
      <c r="B1151" t="s">
        <v>1156</v>
      </c>
      <c r="C1151">
        <f>HYPERLINK("C:\Users\franc\OneDrive\Documentos\ALIRO\ALIRO\KATHY\ANA LUISA 2010\CERTIFICADO DE HIPOTECAS Y GRAV\RECOLETA 2.doc", "Abrir Documento")</f>
        <v>0</v>
      </c>
      <c r="D1151" t="s">
        <v>23501</v>
      </c>
      <c r="E1151" t="s">
        <v>24650</v>
      </c>
    </row>
    <row r="1152" spans="1:5">
      <c r="A1152" t="s">
        <v>5</v>
      </c>
      <c r="B1152" t="s">
        <v>1157</v>
      </c>
      <c r="C1152">
        <f>HYPERLINK("C:\Users\franc\OneDrive\Documentos\ALIRO\ALIRO\KATHY\ANA LUISA 2010\CERTIFICADO DE HIPOTECAS Y GRAV\REALIDAD.doc", "Abrir Documento")</f>
        <v>0</v>
      </c>
      <c r="D1152" t="s">
        <v>23501</v>
      </c>
      <c r="E1152" t="s">
        <v>24651</v>
      </c>
    </row>
    <row r="1153" spans="1:5">
      <c r="A1153" t="s">
        <v>5</v>
      </c>
      <c r="B1153" t="s">
        <v>1158</v>
      </c>
      <c r="C1153">
        <f>HYPERLINK("C:\Users\franc\OneDrive\Documentos\ALIRO\ALIRO\KATHY\ANA LUISA 2010\CERTIFICADO DE HIPOTECAS Y GRAV\REALIDAD (2018).doc", "Abrir Documento")</f>
        <v>0</v>
      </c>
      <c r="D1153" t="s">
        <v>23501</v>
      </c>
      <c r="E1153" t="s">
        <v>24652</v>
      </c>
    </row>
    <row r="1154" spans="1:5">
      <c r="A1154" t="s">
        <v>5</v>
      </c>
      <c r="B1154" t="s">
        <v>1159</v>
      </c>
      <c r="C1154">
        <f>HYPERLINK("C:\Users\franc\OneDrive\Documentos\ALIRO\ALIRO\KATHY\ANA LUISA 2010\CERTIFICADO DE HIPOTECAS Y GRAV\RAMÓN (2018).doc", "Abrir Documento")</f>
        <v>0</v>
      </c>
      <c r="D1154" t="s">
        <v>23501</v>
      </c>
      <c r="E1154" t="s">
        <v>24653</v>
      </c>
    </row>
    <row r="1155" spans="1:5">
      <c r="A1155" t="s">
        <v>5</v>
      </c>
      <c r="B1155" t="s">
        <v>1160</v>
      </c>
      <c r="C1155">
        <f>HYPERLINK("C:\Users\franc\OneDrive\Documentos\ALIRO\ALIRO\KATHY\ANA LUISA 2010\CERTIFICADO DE HIPOTECAS Y GRAV\RAMONCITO.doc", "Abrir Documento")</f>
        <v>0</v>
      </c>
      <c r="D1155" t="s">
        <v>23501</v>
      </c>
      <c r="E1155" t="s">
        <v>24654</v>
      </c>
    </row>
    <row r="1156" spans="1:5">
      <c r="A1156" t="s">
        <v>5</v>
      </c>
      <c r="B1156" t="s">
        <v>1161</v>
      </c>
      <c r="C1156">
        <f>HYPERLINK("C:\Users\franc\OneDrive\Documentos\ALIRO\ALIRO\KATHY\ANA LUISA 2010\CERTIFICADO DE HIPOTECAS Y GRAV\RAMONCITO (2018).doc", "Abrir Documento")</f>
        <v>0</v>
      </c>
      <c r="D1156" t="s">
        <v>23501</v>
      </c>
      <c r="E1156" t="s">
        <v>24655</v>
      </c>
    </row>
    <row r="1157" spans="1:5">
      <c r="A1157" t="s">
        <v>5</v>
      </c>
      <c r="B1157" t="s">
        <v>1162</v>
      </c>
      <c r="C1157">
        <f>HYPERLINK("C:\Users\franc\OneDrive\Documentos\ALIRO\ALIRO\KATHY\ANA LUISA 2010\CERTIFICADO DE HIPOTECAS Y GRAV\QUILES UNA A QUILES DIEZ.doc", "Abrir Documento")</f>
        <v>0</v>
      </c>
      <c r="D1157" t="s">
        <v>23501</v>
      </c>
      <c r="E1157" t="s">
        <v>24656</v>
      </c>
    </row>
    <row r="1158" spans="1:5">
      <c r="A1158" t="s">
        <v>5</v>
      </c>
      <c r="B1158" t="s">
        <v>1163</v>
      </c>
      <c r="C1158">
        <f>HYPERLINK("C:\Users\franc\OneDrive\Documentos\ALIRO\ALIRO\KATHY\ANA LUISA 2010\CERTIFICADO DE HIPOTECAS Y GRAV\QUEBRADA.doc", "Abrir Documento")</f>
        <v>0</v>
      </c>
      <c r="D1158" t="s">
        <v>23501</v>
      </c>
      <c r="E1158" t="s">
        <v>24657</v>
      </c>
    </row>
    <row r="1159" spans="1:5">
      <c r="A1159" t="s">
        <v>5</v>
      </c>
      <c r="B1159" t="s">
        <v>1164</v>
      </c>
      <c r="C1159">
        <f>HYPERLINK("C:\Users\franc\OneDrive\Documentos\ALIRO\ALIRO\KATHY\ANA LUISA 2010\CERTIFICADO DE HIPOTECAS Y GRAV\QUEBRADA (2018).doc", "Abrir Documento")</f>
        <v>0</v>
      </c>
      <c r="D1159" t="s">
        <v>23501</v>
      </c>
      <c r="E1159" t="s">
        <v>24658</v>
      </c>
    </row>
    <row r="1160" spans="1:5">
      <c r="A1160" t="s">
        <v>5</v>
      </c>
      <c r="B1160" t="s">
        <v>1165</v>
      </c>
      <c r="C1160">
        <f>HYPERLINK("C:\Users\franc\OneDrive\Documentos\ALIRO\ALIRO\KATHY\ANA LUISA 2010\CERTIFICADO DE HIPOTECAS Y GRAV\PUNTILLA PRIMERA A TERCERA.doc", "Abrir Documento")</f>
        <v>0</v>
      </c>
      <c r="D1160" t="s">
        <v>23501</v>
      </c>
      <c r="E1160" t="s">
        <v>24659</v>
      </c>
    </row>
    <row r="1161" spans="1:5">
      <c r="A1161" t="s">
        <v>5</v>
      </c>
      <c r="B1161" t="s">
        <v>1166</v>
      </c>
      <c r="C1161">
        <f>HYPERLINK("C:\Users\franc\OneDrive\Documentos\ALIRO\ALIRO\KATHY\ANA LUISA 2010\CERTIFICADO DE HIPOTECAS Y GRAV\PUNTILLA I A III   2010.doc", "Abrir Documento")</f>
        <v>0</v>
      </c>
      <c r="D1161" t="s">
        <v>23501</v>
      </c>
      <c r="E1161" t="s">
        <v>24660</v>
      </c>
    </row>
    <row r="1162" spans="1:5">
      <c r="A1162" t="s">
        <v>5</v>
      </c>
      <c r="B1162" t="s">
        <v>1167</v>
      </c>
      <c r="C1162">
        <f>HYPERLINK("C:\Users\franc\OneDrive\Documentos\ALIRO\ALIRO\KATHY\ANA LUISA 2010\CERTIFICADO DE HIPOTECAS Y GRAV\PUNITAQUI PRIMERA A CINCUENTA  2010.doc", "Abrir Documento")</f>
        <v>0</v>
      </c>
      <c r="D1162" t="s">
        <v>23501</v>
      </c>
      <c r="E1162" t="s">
        <v>24661</v>
      </c>
    </row>
    <row r="1163" spans="1:5">
      <c r="A1163" t="s">
        <v>5</v>
      </c>
      <c r="B1163" t="s">
        <v>1168</v>
      </c>
      <c r="C1163">
        <f>HYPERLINK("C:\Users\franc\OneDrive\Documentos\ALIRO\ALIRO\KATHY\ANA LUISA 2010\CERTIFICADO DE HIPOTECAS Y GRAV\PUNITAQUI 1 AL 50.doc", "Abrir Documento")</f>
        <v>0</v>
      </c>
      <c r="D1163" t="s">
        <v>23501</v>
      </c>
      <c r="E1163" t="s">
        <v>24662</v>
      </c>
    </row>
    <row r="1164" spans="1:5">
      <c r="A1164" t="s">
        <v>5</v>
      </c>
      <c r="B1164" t="s">
        <v>1169</v>
      </c>
      <c r="C1164">
        <f>HYPERLINK("C:\Users\franc\OneDrive\Documentos\ALIRO\ALIRO\KATHY\ANA LUISA 2010\CERTIFICADO DE HIPOTECAS Y GRAV\PUNITAQUI 1 AL 50 - PROHIBICIONES E INTERDICCIONES DE MINAS.doc", "Abrir Documento")</f>
        <v>0</v>
      </c>
      <c r="D1164" t="s">
        <v>23501</v>
      </c>
      <c r="E1164" t="s">
        <v>24663</v>
      </c>
    </row>
    <row r="1165" spans="1:5">
      <c r="A1165" t="s">
        <v>5</v>
      </c>
      <c r="B1165" t="s">
        <v>1170</v>
      </c>
      <c r="C1165">
        <f>HYPERLINK("C:\Users\franc\OneDrive\Documentos\ALIRO\ALIRO\KATHY\ANA LUISA 2010\CERTIFICADO DE HIPOTECAS Y GRAV\POZO ALMONTE.doc", "Abrir Documento")</f>
        <v>0</v>
      </c>
      <c r="D1165" t="s">
        <v>23501</v>
      </c>
      <c r="E1165" t="s">
        <v>24664</v>
      </c>
    </row>
    <row r="1166" spans="1:5">
      <c r="A1166" t="s">
        <v>5</v>
      </c>
      <c r="B1166" t="s">
        <v>1171</v>
      </c>
      <c r="C1166">
        <f>HYPERLINK("C:\Users\franc\OneDrive\Documentos\ALIRO\ALIRO\KATHY\ANA LUISA 2010\CERTIFICADO DE HIPOTECAS Y GRAV\PORTUGUESA 1 AL 3.doc", "Abrir Documento")</f>
        <v>0</v>
      </c>
      <c r="D1166" t="s">
        <v>23501</v>
      </c>
      <c r="E1166" t="s">
        <v>24665</v>
      </c>
    </row>
    <row r="1167" spans="1:5">
      <c r="A1167" t="s">
        <v>5</v>
      </c>
      <c r="B1167" t="s">
        <v>1172</v>
      </c>
      <c r="C1167">
        <f>HYPERLINK("C:\Users\franc\OneDrive\Documentos\ALIRO\ALIRO\KATHY\ANA LUISA 2010\CERTIFICADO DE HIPOTECAS Y GRAV\PORTUGUESA   2010.doc", "Abrir Documento")</f>
        <v>0</v>
      </c>
      <c r="D1167" t="s">
        <v>23501</v>
      </c>
      <c r="E1167" t="s">
        <v>24666</v>
      </c>
    </row>
    <row r="1168" spans="1:5">
      <c r="A1168" t="s">
        <v>5</v>
      </c>
      <c r="B1168" t="s">
        <v>1173</v>
      </c>
      <c r="C1168">
        <f>HYPERLINK("C:\Users\franc\OneDrive\Documentos\ALIRO\ALIRO\KATHY\ANA LUISA 2010\CERTIFICADO DE HIPOTECAS Y GRAV\PINTA UNO AL SETENTA Y DOS (2018).doc", "Abrir Documento")</f>
        <v>0</v>
      </c>
      <c r="D1168" t="s">
        <v>23501</v>
      </c>
      <c r="E1168" t="s">
        <v>24667</v>
      </c>
    </row>
    <row r="1169" spans="1:5">
      <c r="A1169" t="s">
        <v>5</v>
      </c>
      <c r="B1169" t="s">
        <v>1174</v>
      </c>
      <c r="C1169">
        <f>HYPERLINK("C:\Users\franc\OneDrive\Documentos\ALIRO\ALIRO\KATHY\ANA LUISA 2010\CERTIFICADO DE HIPOTECAS Y GRAV\PASILLO UNO AL QUINCE.doc", "Abrir Documento")</f>
        <v>0</v>
      </c>
      <c r="D1169" t="s">
        <v>23501</v>
      </c>
      <c r="E1169" t="s">
        <v>24668</v>
      </c>
    </row>
    <row r="1170" spans="1:5">
      <c r="A1170" t="s">
        <v>5</v>
      </c>
      <c r="B1170" t="s">
        <v>1175</v>
      </c>
      <c r="C1170">
        <f>HYPERLINK("C:\Users\franc\OneDrive\Documentos\ALIRO\ALIRO\KATHY\ANA LUISA 2010\CERTIFICADO DE HIPOTECAS Y GRAV\PANAL III   1 AL 10.doc", "Abrir Documento")</f>
        <v>0</v>
      </c>
      <c r="D1170" t="s">
        <v>23501</v>
      </c>
      <c r="E1170" t="s">
        <v>24669</v>
      </c>
    </row>
    <row r="1171" spans="1:5">
      <c r="A1171" t="s">
        <v>5</v>
      </c>
      <c r="B1171" t="s">
        <v>1176</v>
      </c>
      <c r="C1171">
        <f>HYPERLINK("C:\Users\franc\OneDrive\Documentos\ALIRO\ALIRO\KATHY\ANA LUISA 2010\CERTIFICADO DE HIPOTECAS Y GRAV\PANAL II   1 AL 10 ANGLO AMERICAN NORTES S.A..doc", "Abrir Documento")</f>
        <v>0</v>
      </c>
      <c r="D1171" t="s">
        <v>23501</v>
      </c>
      <c r="E1171" t="s">
        <v>24670</v>
      </c>
    </row>
    <row r="1172" spans="1:5">
      <c r="A1172" t="s">
        <v>5</v>
      </c>
      <c r="B1172" t="s">
        <v>1177</v>
      </c>
      <c r="C1172">
        <f>HYPERLINK("C:\Users\franc\OneDrive\Documentos\ALIRO\ALIRO\KATHY\ANA LUISA 2010\CERTIFICADO DE HIPOTECAS Y GRAV\PANAL I   1 AL 10.doc", "Abrir Documento")</f>
        <v>0</v>
      </c>
      <c r="D1172" t="s">
        <v>23501</v>
      </c>
      <c r="E1172" t="s">
        <v>24671</v>
      </c>
    </row>
    <row r="1173" spans="1:5">
      <c r="A1173" t="s">
        <v>5</v>
      </c>
      <c r="B1173" t="s">
        <v>1178</v>
      </c>
      <c r="C1173">
        <f>HYPERLINK("C:\Users\franc\OneDrive\Documentos\ALIRO\ALIRO\KATHY\ANA LUISA 2010\CERTIFICADO DE HIPOTECAS Y GRAV\OREGON UNA A DOS.doc", "Abrir Documento")</f>
        <v>0</v>
      </c>
      <c r="D1173" t="s">
        <v>23501</v>
      </c>
      <c r="E1173" t="s">
        <v>24672</v>
      </c>
    </row>
    <row r="1174" spans="1:5">
      <c r="A1174" t="s">
        <v>5</v>
      </c>
      <c r="B1174" t="s">
        <v>1179</v>
      </c>
      <c r="C1174">
        <f>HYPERLINK("C:\Users\franc\OneDrive\Documentos\ALIRO\ALIRO\KATHY\ANA LUISA 2010\CERTIFICADO DE HIPOTECAS Y GRAV\OLGA UNO A VEINTE.doc", "Abrir Documento")</f>
        <v>0</v>
      </c>
      <c r="D1174" t="s">
        <v>23501</v>
      </c>
      <c r="E1174" t="s">
        <v>24673</v>
      </c>
    </row>
    <row r="1175" spans="1:5">
      <c r="A1175" t="s">
        <v>5</v>
      </c>
      <c r="B1175" t="s">
        <v>1180</v>
      </c>
      <c r="C1175">
        <f>HYPERLINK("C:\Users\franc\OneDrive\Documentos\ALIRO\ALIRO\KATHY\ANA LUISA 2010\CERTIFICADO DE HIPOTECAS Y GRAV\NUEVA YORK UNA A CUARENTA.doc", "Abrir Documento")</f>
        <v>0</v>
      </c>
      <c r="D1175" t="s">
        <v>23501</v>
      </c>
      <c r="E1175" t="s">
        <v>24674</v>
      </c>
    </row>
    <row r="1176" spans="1:5">
      <c r="A1176" t="s">
        <v>5</v>
      </c>
      <c r="B1176" t="s">
        <v>1181</v>
      </c>
      <c r="C1176">
        <f>HYPERLINK("C:\Users\franc\OneDrive\Documentos\ALIRO\ALIRO\KATHY\ANA LUISA 2010\CERTIFICADO DE HIPOTECAS Y GRAV\NUEVA MEJICO UNA A CUATRO.doc", "Abrir Documento")</f>
        <v>0</v>
      </c>
      <c r="D1176" t="s">
        <v>23501</v>
      </c>
      <c r="E1176" t="s">
        <v>24675</v>
      </c>
    </row>
    <row r="1177" spans="1:5">
      <c r="A1177" t="s">
        <v>5</v>
      </c>
      <c r="B1177" t="s">
        <v>1182</v>
      </c>
      <c r="C1177">
        <f>HYPERLINK("C:\Users\franc\OneDrive\Documentos\ALIRO\ALIRO\KATHY\ANA LUISA 2010\CERTIFICADO DE HIPOTECAS Y GRAV\NUEVA DALMACIA  1 AL 100  -  COMPAÑIA MINERA PUNITAQUI SCM.doc", "Abrir Documento")</f>
        <v>0</v>
      </c>
      <c r="D1177" t="s">
        <v>23501</v>
      </c>
      <c r="E1177" t="s">
        <v>24676</v>
      </c>
    </row>
    <row r="1178" spans="1:5">
      <c r="A1178" t="s">
        <v>5</v>
      </c>
      <c r="B1178" t="s">
        <v>1183</v>
      </c>
      <c r="C1178">
        <f>HYPERLINK("C:\Users\franc\OneDrive\Documentos\ALIRO\ALIRO\KATHY\ANA LUISA 2010\CERTIFICADO DE HIPOTECAS Y GRAV\NUEVA CINABRIO  1 AL 100  -  COMPAÑIA MINERA PUNITAQUI SCM.doc", "Abrir Documento")</f>
        <v>0</v>
      </c>
      <c r="D1178" t="s">
        <v>23501</v>
      </c>
      <c r="E1178" t="s">
        <v>24677</v>
      </c>
    </row>
    <row r="1179" spans="1:5">
      <c r="A1179" t="s">
        <v>5</v>
      </c>
      <c r="B1179" t="s">
        <v>1184</v>
      </c>
      <c r="C1179">
        <f>HYPERLINK("C:\Users\franc\OneDrive\Documentos\ALIRO\ALIRO\KATHY\ANA LUISA 2010\CERTIFICADO DE HIPOTECAS Y GRAV\NIELOL 1 AL 20 (2018).doc", "Abrir Documento")</f>
        <v>0</v>
      </c>
      <c r="D1179" t="s">
        <v>23501</v>
      </c>
      <c r="E1179" t="s">
        <v>24678</v>
      </c>
    </row>
    <row r="1180" spans="1:5">
      <c r="A1180" t="s">
        <v>5</v>
      </c>
      <c r="B1180" t="s">
        <v>1185</v>
      </c>
      <c r="C1180">
        <f>HYPERLINK("C:\Users\franc\OneDrive\Documentos\ALIRO\ALIRO\KATHY\ANA LUISA 2010\CERTIFICADO DE HIPOTECAS Y GRAV\NEW YERSEY UNA Y DOS.doc", "Abrir Documento")</f>
        <v>0</v>
      </c>
      <c r="D1180" t="s">
        <v>23501</v>
      </c>
      <c r="E1180" t="s">
        <v>24679</v>
      </c>
    </row>
    <row r="1181" spans="1:5">
      <c r="A1181" t="s">
        <v>5</v>
      </c>
      <c r="B1181" t="s">
        <v>1186</v>
      </c>
      <c r="C1181">
        <f>HYPERLINK("C:\Users\franc\OneDrive\Documentos\ALIRO\ALIRO\KATHY\ANA LUISA 2010\CERTIFICADO DE HIPOTECAS Y GRAV\NEVADA.doc", "Abrir Documento")</f>
        <v>0</v>
      </c>
      <c r="D1181" t="s">
        <v>23501</v>
      </c>
      <c r="E1181" t="s">
        <v>24680</v>
      </c>
    </row>
    <row r="1182" spans="1:5">
      <c r="A1182" t="s">
        <v>5</v>
      </c>
      <c r="B1182" t="s">
        <v>1187</v>
      </c>
      <c r="C1182">
        <f>HYPERLINK("C:\Users\franc\OneDrive\Documentos\ALIRO\ALIRO\KATHY\ANA LUISA 2010\CERTIFICADO DE HIPOTECAS Y GRAV\MOZAS 1 AL 6.doc", "Abrir Documento")</f>
        <v>0</v>
      </c>
      <c r="D1182" t="s">
        <v>23501</v>
      </c>
      <c r="E1182" t="s">
        <v>24681</v>
      </c>
    </row>
    <row r="1183" spans="1:5">
      <c r="A1183" t="s">
        <v>5</v>
      </c>
      <c r="B1183" t="s">
        <v>1188</v>
      </c>
      <c r="C1183">
        <f>HYPERLINK("C:\Users\franc\OneDrive\Documentos\ALIRO\ALIRO\KATHY\ANA LUISA 2010\CERTIFICADO DE HIPOTECAS Y GRAV\mozas 1 al 6    2010.doc", "Abrir Documento")</f>
        <v>0</v>
      </c>
      <c r="D1183" t="s">
        <v>23501</v>
      </c>
      <c r="E1183" t="s">
        <v>24682</v>
      </c>
    </row>
    <row r="1184" spans="1:5">
      <c r="A1184" t="s">
        <v>5</v>
      </c>
      <c r="B1184" t="s">
        <v>1189</v>
      </c>
      <c r="C1184">
        <f>HYPERLINK("C:\Users\franc\OneDrive\Documentos\ALIRO\ALIRO\KATHY\ANA LUISA 2010\CERTIFICADO DE HIPOTECAS Y GRAV\MORENA UNA A DIECIOCHO.doc", "Abrir Documento")</f>
        <v>0</v>
      </c>
      <c r="D1184" t="s">
        <v>23501</v>
      </c>
      <c r="E1184" t="s">
        <v>24683</v>
      </c>
    </row>
    <row r="1185" spans="1:5">
      <c r="A1185" t="s">
        <v>5</v>
      </c>
      <c r="B1185" t="s">
        <v>1190</v>
      </c>
      <c r="C1185">
        <f>HYPERLINK("C:\Users\franc\OneDrive\Documentos\ALIRO\ALIRO\KATHY\ANA LUISA 2010\CERTIFICADO DE HIPOTECAS Y GRAV\MIRADOR 1 A MIRADOR 18.doc", "Abrir Documento")</f>
        <v>0</v>
      </c>
      <c r="D1185" t="s">
        <v>23501</v>
      </c>
      <c r="E1185" t="s">
        <v>24684</v>
      </c>
    </row>
    <row r="1186" spans="1:5">
      <c r="A1186" t="s">
        <v>5</v>
      </c>
      <c r="B1186" t="s">
        <v>1191</v>
      </c>
      <c r="C1186">
        <f>HYPERLINK("C:\Users\franc\OneDrive\Documentos\ALIRO\ALIRO\KATHY\ANA LUISA 2010\CERTIFICADO DE HIPOTECAS Y GRAV\MINUTERO 1 AL 30.doc", "Abrir Documento")</f>
        <v>0</v>
      </c>
      <c r="D1186" t="s">
        <v>23501</v>
      </c>
      <c r="E1186" t="s">
        <v>24685</v>
      </c>
    </row>
    <row r="1187" spans="1:5">
      <c r="A1187" t="s">
        <v>5</v>
      </c>
      <c r="B1187" t="s">
        <v>1192</v>
      </c>
      <c r="C1187">
        <f>HYPERLINK("C:\Users\franc\OneDrive\Documentos\ALIRO\ALIRO\KATHY\ANA LUISA 2010\CERTIFICADO DE HIPOTECAS Y GRAV\MINA SANTA ALICIA 1 AL 17 - 2010.doc", "Abrir Documento")</f>
        <v>0</v>
      </c>
      <c r="D1187" t="s">
        <v>23501</v>
      </c>
      <c r="E1187" t="s">
        <v>24686</v>
      </c>
    </row>
    <row r="1188" spans="1:5">
      <c r="A1188" t="s">
        <v>5</v>
      </c>
      <c r="B1188" t="s">
        <v>1193</v>
      </c>
      <c r="C1188">
        <f>HYPERLINK("C:\Users\franc\OneDrive\Documentos\ALIRO\ALIRO\KATHY\ANA LUISA 2010\CERTIFICADO DE HIPOTECAS Y GRAV\MINA LAMPERA II 1 AL 8.doc", "Abrir Documento")</f>
        <v>0</v>
      </c>
      <c r="D1188" t="s">
        <v>23501</v>
      </c>
      <c r="E1188" t="s">
        <v>24687</v>
      </c>
    </row>
    <row r="1189" spans="1:5">
      <c r="A1189" t="s">
        <v>5</v>
      </c>
      <c r="B1189" t="s">
        <v>1194</v>
      </c>
      <c r="C1189">
        <f>HYPERLINK("C:\Users\franc\OneDrive\Documentos\ALIRO\ALIRO\KATHY\ANA LUISA 2010\CERTIFICADO DE HIPOTECAS Y GRAV\MINA LA PORRITA 1 AL 5.doc", "Abrir Documento")</f>
        <v>0</v>
      </c>
      <c r="D1189" t="s">
        <v>23501</v>
      </c>
      <c r="E1189" t="s">
        <v>24688</v>
      </c>
    </row>
    <row r="1190" spans="1:5">
      <c r="A1190" t="s">
        <v>5</v>
      </c>
      <c r="B1190" t="s">
        <v>1195</v>
      </c>
      <c r="C1190">
        <f>HYPERLINK("C:\Users\franc\OneDrive\Documentos\ALIRO\ALIRO\KATHY\ANA LUISA 2010\CERTIFICADO DE HIPOTECAS Y GRAV\MINA LA CORTADERA 1 AL 5.doc", "Abrir Documento")</f>
        <v>0</v>
      </c>
      <c r="D1190" t="s">
        <v>23501</v>
      </c>
      <c r="E1190" t="s">
        <v>24689</v>
      </c>
    </row>
    <row r="1191" spans="1:5">
      <c r="A1191" t="s">
        <v>5</v>
      </c>
      <c r="B1191" t="s">
        <v>1196</v>
      </c>
      <c r="C1191">
        <f>HYPERLINK("C:\Users\franc\OneDrive\Documentos\ALIRO\ALIRO\KATHY\ANA LUISA 2010\CERTIFICADO DE HIPOTECAS Y GRAV\MILAGRO.doc", "Abrir Documento")</f>
        <v>0</v>
      </c>
      <c r="D1191" t="s">
        <v>23501</v>
      </c>
      <c r="E1191" t="s">
        <v>24690</v>
      </c>
    </row>
    <row r="1192" spans="1:5">
      <c r="A1192" t="s">
        <v>5</v>
      </c>
      <c r="B1192" t="s">
        <v>1197</v>
      </c>
      <c r="C1192">
        <f>HYPERLINK("C:\Users\franc\OneDrive\Documentos\ALIRO\ALIRO\KATHY\ANA LUISA 2010\CERTIFICADO DE HIPOTECAS Y GRAV\MILAGRO (2018).doc", "Abrir Documento")</f>
        <v>0</v>
      </c>
      <c r="D1192" t="s">
        <v>23501</v>
      </c>
      <c r="E1192" t="s">
        <v>24691</v>
      </c>
    </row>
    <row r="1193" spans="1:5">
      <c r="A1193" t="s">
        <v>5</v>
      </c>
      <c r="B1193" t="s">
        <v>1198</v>
      </c>
      <c r="C1193">
        <f>HYPERLINK("C:\Users\franc\OneDrive\Documentos\ALIRO\ALIRO\KATHY\ANA LUISA 2010\CERTIFICADO DE HIPOTECAS Y GRAV\MICHIGAN UNO A CUARENTA.doc", "Abrir Documento")</f>
        <v>0</v>
      </c>
      <c r="D1193" t="s">
        <v>23501</v>
      </c>
      <c r="E1193" t="s">
        <v>24692</v>
      </c>
    </row>
    <row r="1194" spans="1:5">
      <c r="A1194" t="s">
        <v>5</v>
      </c>
      <c r="B1194" t="s">
        <v>1199</v>
      </c>
      <c r="C1194">
        <f>HYPERLINK("C:\Users\franc\OneDrive\Documentos\ALIRO\ALIRO\KATHY\ANA LUISA 2010\CERTIFICADO DE HIPOTECAS Y GRAV\MERCED UNO AL DIEZ.doc", "Abrir Documento")</f>
        <v>0</v>
      </c>
      <c r="D1194" t="s">
        <v>23501</v>
      </c>
      <c r="E1194" t="s">
        <v>24693</v>
      </c>
    </row>
    <row r="1195" spans="1:5">
      <c r="A1195" t="s">
        <v>5</v>
      </c>
      <c r="B1195" t="s">
        <v>1200</v>
      </c>
      <c r="C1195">
        <f>HYPERLINK("C:\Users\franc\OneDrive\Documentos\ALIRO\ALIRO\KATHY\ANA LUISA 2010\CERTIFICADO DE HIPOTECAS Y GRAV\MERCED UNO AL DIEZ - PROHIBICIONES E INTERDICCIONES DE MINAS.doc", "Abrir Documento")</f>
        <v>0</v>
      </c>
      <c r="D1195" t="s">
        <v>23501</v>
      </c>
      <c r="E1195" t="s">
        <v>24694</v>
      </c>
    </row>
    <row r="1196" spans="1:5">
      <c r="A1196" t="s">
        <v>5</v>
      </c>
      <c r="B1196" t="s">
        <v>1201</v>
      </c>
      <c r="C1196">
        <f>HYPERLINK("C:\Users\franc\OneDrive\Documentos\ALIRO\ALIRO\KATHY\ANA LUISA 2010\CERTIFICADO DE HIPOTECAS Y GRAV\MERCED 1 AL 10.doc", "Abrir Documento")</f>
        <v>0</v>
      </c>
      <c r="D1196" t="s">
        <v>23501</v>
      </c>
      <c r="E1196" t="s">
        <v>24695</v>
      </c>
    </row>
    <row r="1197" spans="1:5">
      <c r="A1197" t="s">
        <v>5</v>
      </c>
      <c r="B1197" t="s">
        <v>1202</v>
      </c>
      <c r="C1197">
        <f>HYPERLINK("C:\Users\franc\OneDrive\Documentos\ALIRO\ALIRO\KATHY\ANA LUISA 2010\CERTIFICADO DE HIPOTECAS Y GRAV\MARÍA 2, 1 AL 118 (2018).doc", "Abrir Documento")</f>
        <v>0</v>
      </c>
      <c r="D1197" t="s">
        <v>23501</v>
      </c>
      <c r="E1197" t="s">
        <v>24696</v>
      </c>
    </row>
    <row r="1198" spans="1:5">
      <c r="A1198" t="s">
        <v>5</v>
      </c>
      <c r="B1198" t="s">
        <v>1203</v>
      </c>
      <c r="C1198">
        <f>HYPERLINK("C:\Users\franc\OneDrive\Documentos\ALIRO\ALIRO\KATHY\ANA LUISA 2010\CERTIFICADO DE HIPOTECAS Y GRAV\MARÍA 2, (55, 62 AL 66, 68 AL 188) del grupo MARIA 2, 1 AL 118.doc", "Abrir Documento")</f>
        <v>0</v>
      </c>
      <c r="D1198" t="s">
        <v>23501</v>
      </c>
      <c r="E1198" t="s">
        <v>24697</v>
      </c>
    </row>
    <row r="1199" spans="1:5">
      <c r="A1199" t="s">
        <v>5</v>
      </c>
      <c r="B1199" t="s">
        <v>1204</v>
      </c>
      <c r="C1199">
        <f>HYPERLINK("C:\Users\franc\OneDrive\Documentos\ALIRO\ALIRO\KATHY\ANA LUISA 2010\CERTIFICADO DE HIPOTECAS Y GRAV\MARUJA UNO AL CINCO.doc", "Abrir Documento")</f>
        <v>0</v>
      </c>
      <c r="D1199" t="s">
        <v>23501</v>
      </c>
      <c r="E1199" t="s">
        <v>24698</v>
      </c>
    </row>
    <row r="1200" spans="1:5">
      <c r="A1200" t="s">
        <v>5</v>
      </c>
      <c r="B1200" t="s">
        <v>1205</v>
      </c>
      <c r="C1200">
        <f>HYPERLINK("C:\Users\franc\OneDrive\Documentos\ALIRO\ALIRO\KATHY\ANA LUISA 2010\CERTIFICADO DE HIPOTECAS Y GRAV\MARTE.doc", "Abrir Documento")</f>
        <v>0</v>
      </c>
      <c r="D1200" t="s">
        <v>23501</v>
      </c>
      <c r="E1200" t="s">
        <v>24699</v>
      </c>
    </row>
    <row r="1201" spans="1:5">
      <c r="A1201" t="s">
        <v>5</v>
      </c>
      <c r="B1201" t="s">
        <v>1206</v>
      </c>
      <c r="C1201">
        <f>HYPERLINK("C:\Users\franc\OneDrive\Documentos\ALIRO\ALIRO\KATHY\ANA LUISA 2010\CERTIFICADO DE HIPOTECAS Y GRAV\MARTE      2010.doc", "Abrir Documento")</f>
        <v>0</v>
      </c>
      <c r="D1201" t="s">
        <v>23501</v>
      </c>
      <c r="E1201" t="s">
        <v>24700</v>
      </c>
    </row>
    <row r="1202" spans="1:5">
      <c r="A1202" t="s">
        <v>5</v>
      </c>
      <c r="B1202" t="s">
        <v>1207</v>
      </c>
      <c r="C1202">
        <f>HYPERLINK("C:\Users\franc\OneDrive\Documentos\ALIRO\ALIRO\KATHY\ANA LUISA 2010\CERTIFICADO DE HIPOTECAS Y GRAV\MARGOT UNA A MARGOT DIEZ.doc", "Abrir Documento")</f>
        <v>0</v>
      </c>
      <c r="D1202" t="s">
        <v>23501</v>
      </c>
      <c r="E1202" t="s">
        <v>24701</v>
      </c>
    </row>
    <row r="1203" spans="1:5">
      <c r="A1203" t="s">
        <v>5</v>
      </c>
      <c r="B1203" t="s">
        <v>1208</v>
      </c>
      <c r="C1203">
        <f>HYPERLINK("C:\Users\franc\OneDrive\Documentos\ALIRO\ALIRO\KATHY\ANA LUISA 2010\CERTIFICADO DE HIPOTECAS Y GRAV\MARGOT 1 A 20.doc", "Abrir Documento")</f>
        <v>0</v>
      </c>
      <c r="D1203" t="s">
        <v>23501</v>
      </c>
      <c r="E1203" t="s">
        <v>24702</v>
      </c>
    </row>
    <row r="1204" spans="1:5">
      <c r="A1204" t="s">
        <v>5</v>
      </c>
      <c r="B1204" t="s">
        <v>1209</v>
      </c>
      <c r="C1204">
        <f>HYPERLINK("C:\Users\franc\OneDrive\Documentos\ALIRO\ALIRO\KATHY\ANA LUISA 2010\CERTIFICADO DE HIPOTECAS Y GRAV\MARGARITA 1 A 7.doc", "Abrir Documento")</f>
        <v>0</v>
      </c>
      <c r="D1204" t="s">
        <v>23501</v>
      </c>
      <c r="E1204" t="s">
        <v>24703</v>
      </c>
    </row>
    <row r="1205" spans="1:5">
      <c r="A1205" t="s">
        <v>5</v>
      </c>
      <c r="B1205" t="s">
        <v>1210</v>
      </c>
      <c r="C1205">
        <f>HYPERLINK("C:\Users\franc\OneDrive\Documentos\ALIRO\ALIRO\KATHY\ANA LUISA 2010\CERTIFICADO DE HIPOTECAS Y GRAV\MANUELITO 1 AL 15.doc", "Abrir Documento")</f>
        <v>0</v>
      </c>
      <c r="D1205" t="s">
        <v>23501</v>
      </c>
      <c r="E1205" t="s">
        <v>24704</v>
      </c>
    </row>
    <row r="1206" spans="1:5">
      <c r="A1206" t="s">
        <v>5</v>
      </c>
      <c r="B1206" t="s">
        <v>1211</v>
      </c>
      <c r="C1206">
        <f>HYPERLINK("C:\Users\franc\OneDrive\Documentos\ALIRO\ALIRO\KATHY\ANA LUISA 2010\CERTIFICADO DE HIPOTECAS Y GRAV\MANUEL RODRIGUEZ.doc", "Abrir Documento")</f>
        <v>0</v>
      </c>
      <c r="D1206" t="s">
        <v>23501</v>
      </c>
      <c r="E1206" t="s">
        <v>24705</v>
      </c>
    </row>
    <row r="1207" spans="1:5">
      <c r="A1207" t="s">
        <v>5</v>
      </c>
      <c r="B1207" t="s">
        <v>1212</v>
      </c>
      <c r="C1207">
        <f>HYPERLINK("C:\Users\franc\OneDrive\Documentos\ALIRO\ALIRO\KATHY\ANA LUISA 2010\CERTIFICADO DE HIPOTECAS Y GRAV\MANTAQUI OCTAVA.doc", "Abrir Documento")</f>
        <v>0</v>
      </c>
      <c r="D1207" t="s">
        <v>23501</v>
      </c>
      <c r="E1207" t="s">
        <v>24706</v>
      </c>
    </row>
    <row r="1208" spans="1:5">
      <c r="A1208" t="s">
        <v>5</v>
      </c>
      <c r="B1208" t="s">
        <v>1213</v>
      </c>
      <c r="C1208">
        <f>HYPERLINK("C:\Users\franc\OneDrive\Documentos\ALIRO\ALIRO\KATHY\ANA LUISA 2010\CERTIFICADO DE HIPOTECAS Y GRAV\MANTAQUI 1º Y 2º.doc", "Abrir Documento")</f>
        <v>0</v>
      </c>
      <c r="D1208" t="s">
        <v>23501</v>
      </c>
      <c r="E1208" t="s">
        <v>24707</v>
      </c>
    </row>
    <row r="1209" spans="1:5">
      <c r="A1209" t="s">
        <v>5</v>
      </c>
      <c r="B1209" t="s">
        <v>1214</v>
      </c>
      <c r="C1209">
        <f>HYPERLINK("C:\Users\franc\OneDrive\Documentos\ALIRO\ALIRO\KATHY\ANA LUISA 2010\CERTIFICADO DE HIPOTECAS Y GRAV\MAGDA UNO AL DIEZ.doc", "Abrir Documento")</f>
        <v>0</v>
      </c>
      <c r="D1209" t="s">
        <v>23501</v>
      </c>
      <c r="E1209" t="s">
        <v>24708</v>
      </c>
    </row>
    <row r="1210" spans="1:5">
      <c r="A1210" t="s">
        <v>5</v>
      </c>
      <c r="B1210" t="s">
        <v>1215</v>
      </c>
      <c r="C1210">
        <f>HYPERLINK("C:\Users\franc\OneDrive\Documentos\ALIRO\ALIRO\KATHY\ANA LUISA 2010\CERTIFICADO DE HIPOTECAS Y GRAV\MACEL UNO AL SEIS   2010.doc", "Abrir Documento")</f>
        <v>0</v>
      </c>
      <c r="D1210" t="s">
        <v>23501</v>
      </c>
      <c r="E1210" t="s">
        <v>24709</v>
      </c>
    </row>
    <row r="1211" spans="1:5">
      <c r="A1211" t="s">
        <v>5</v>
      </c>
      <c r="B1211" t="s">
        <v>1216</v>
      </c>
      <c r="C1211">
        <f>HYPERLINK("C:\Users\franc\OneDrive\Documentos\ALIRO\ALIRO\KATHY\ANA LUISA 2010\CERTIFICADO DE HIPOTECAS Y GRAV\MACEL 1 AL 6.doc", "Abrir Documento")</f>
        <v>0</v>
      </c>
      <c r="D1211" t="s">
        <v>23501</v>
      </c>
      <c r="E1211" t="s">
        <v>24710</v>
      </c>
    </row>
    <row r="1212" spans="1:5">
      <c r="A1212" t="s">
        <v>5</v>
      </c>
      <c r="B1212" t="s">
        <v>1217</v>
      </c>
      <c r="C1212">
        <f>HYPERLINK("C:\Users\franc\OneDrive\Documentos\ALIRO\ALIRO\KATHY\ANA LUISA 2010\CERTIFICADO DE HIPOTECAS Y GRAV\LUNA UNO AL CATORCE.doc", "Abrir Documento")</f>
        <v>0</v>
      </c>
      <c r="D1212" t="s">
        <v>23501</v>
      </c>
      <c r="E1212" t="s">
        <v>24711</v>
      </c>
    </row>
    <row r="1213" spans="1:5">
      <c r="A1213" t="s">
        <v>5</v>
      </c>
      <c r="B1213" t="s">
        <v>1218</v>
      </c>
      <c r="C1213">
        <f>HYPERLINK("C:\Users\franc\OneDrive\Documentos\ALIRO\ALIRO\KATHY\ANA LUISA 2010\CERTIFICADO DE HIPOTECAS Y GRAV\LOUISIANA.doc", "Abrir Documento")</f>
        <v>0</v>
      </c>
      <c r="D1213" t="s">
        <v>23501</v>
      </c>
      <c r="E1213" t="s">
        <v>24712</v>
      </c>
    </row>
    <row r="1214" spans="1:5">
      <c r="A1214" t="s">
        <v>5</v>
      </c>
      <c r="B1214" t="s">
        <v>1219</v>
      </c>
      <c r="C1214">
        <f>HYPERLINK("C:\Users\franc\OneDrive\Documentos\ALIRO\ALIRO\KATHY\ANA LUISA 2010\CERTIFICADO DE HIPOTECAS Y GRAV\LOS LLIMPES UNO A VEINTE.doc", "Abrir Documento")</f>
        <v>0</v>
      </c>
      <c r="D1214" t="s">
        <v>23501</v>
      </c>
      <c r="E1214" t="s">
        <v>24713</v>
      </c>
    </row>
    <row r="1215" spans="1:5">
      <c r="A1215" t="s">
        <v>5</v>
      </c>
      <c r="B1215" t="s">
        <v>1220</v>
      </c>
      <c r="C1215">
        <f>HYPERLINK("C:\Users\franc\OneDrive\Documentos\ALIRO\ALIRO\KATHY\ANA LUISA 2010\CERTIFICADO DE HIPOTECAS Y GRAV\LOS DOS AMIGOS 1 AL 6.doc", "Abrir Documento")</f>
        <v>0</v>
      </c>
      <c r="D1215" t="s">
        <v>23501</v>
      </c>
      <c r="E1215" t="s">
        <v>24714</v>
      </c>
    </row>
    <row r="1216" spans="1:5">
      <c r="A1216" t="s">
        <v>5</v>
      </c>
      <c r="B1216" t="s">
        <v>1221</v>
      </c>
      <c r="C1216">
        <f>HYPERLINK("C:\Users\franc\OneDrive\Documentos\ALIRO\ALIRO\KATHY\ANA LUISA 2010\CERTIFICADO DE HIPOTECAS Y GRAV\LOS CHAÑARES 1 AL 5.doc", "Abrir Documento")</f>
        <v>0</v>
      </c>
      <c r="D1216" t="s">
        <v>23501</v>
      </c>
      <c r="E1216" t="s">
        <v>24715</v>
      </c>
    </row>
    <row r="1217" spans="1:5">
      <c r="A1217" t="s">
        <v>5</v>
      </c>
      <c r="B1217" t="s">
        <v>1222</v>
      </c>
      <c r="C1217">
        <f>HYPERLINK("C:\Users\franc\OneDrive\Documentos\ALIRO\ALIRO\KATHY\ANA LUISA 2010\CERTIFICADO DE HIPOTECAS Y GRAV\LOMA NEGRA UNO AL CINCUENTA.doc", "Abrir Documento")</f>
        <v>0</v>
      </c>
      <c r="D1217" t="s">
        <v>23501</v>
      </c>
      <c r="E1217" t="s">
        <v>24716</v>
      </c>
    </row>
    <row r="1218" spans="1:5">
      <c r="A1218" t="s">
        <v>5</v>
      </c>
      <c r="B1218" t="s">
        <v>1223</v>
      </c>
      <c r="C1218">
        <f>HYPERLINK("C:\Users\franc\OneDrive\Documentos\ALIRO\ALIRO\KATHY\ANA LUISA 2010\CERTIFICADO DE HIPOTECAS Y GRAV\logo.doc", "Abrir Documento")</f>
        <v>0</v>
      </c>
      <c r="D1218" t="s">
        <v>23500</v>
      </c>
      <c r="E1218" t="s">
        <v>24717</v>
      </c>
    </row>
    <row r="1219" spans="1:5">
      <c r="A1219" t="s">
        <v>5</v>
      </c>
      <c r="B1219" t="s">
        <v>1224</v>
      </c>
      <c r="C1219">
        <f>HYPERLINK("C:\Users\franc\OneDrive\Documentos\ALIRO\ALIRO\KATHY\ANA LUISA 2010\CERTIFICADO DE HIPOTECAS Y GRAV\LLANO SEGUNDA.doc", "Abrir Documento")</f>
        <v>0</v>
      </c>
      <c r="D1219" t="s">
        <v>23501</v>
      </c>
      <c r="E1219" t="s">
        <v>24718</v>
      </c>
    </row>
    <row r="1220" spans="1:5">
      <c r="A1220" t="s">
        <v>5</v>
      </c>
      <c r="B1220" t="s">
        <v>1225</v>
      </c>
      <c r="C1220">
        <f>HYPERLINK("C:\Users\franc\OneDrive\Documentos\ALIRO\ALIRO\KATHY\ANA LUISA 2010\CERTIFICADO DE HIPOTECAS Y GRAV\LLANO SEGUNDA (2018).doc", "Abrir Documento")</f>
        <v>0</v>
      </c>
      <c r="D1220" t="s">
        <v>23501</v>
      </c>
      <c r="E1220" t="s">
        <v>24719</v>
      </c>
    </row>
    <row r="1221" spans="1:5">
      <c r="A1221" t="s">
        <v>5</v>
      </c>
      <c r="B1221" t="s">
        <v>1226</v>
      </c>
      <c r="C1221">
        <f>HYPERLINK("C:\Users\franc\OneDrive\Documentos\ALIRO\ALIRO\KATHY\ANA LUISA 2010\CERTIFICADO DE HIPOTECAS Y GRAV\LLANO PRIMERA.doc", "Abrir Documento")</f>
        <v>0</v>
      </c>
      <c r="D1221" t="s">
        <v>23501</v>
      </c>
      <c r="E1221" t="s">
        <v>24720</v>
      </c>
    </row>
    <row r="1222" spans="1:5">
      <c r="A1222" t="s">
        <v>5</v>
      </c>
      <c r="B1222" t="s">
        <v>1227</v>
      </c>
      <c r="C1222">
        <f>HYPERLINK("C:\Users\franc\OneDrive\Documentos\ALIRO\ALIRO\KATHY\ANA LUISA 2010\CERTIFICADO DE HIPOTECAS Y GRAV\LLANO PRIMERA (2018).doc", "Abrir Documento")</f>
        <v>0</v>
      </c>
      <c r="D1222" t="s">
        <v>23501</v>
      </c>
      <c r="E1222" t="s">
        <v>24721</v>
      </c>
    </row>
    <row r="1223" spans="1:5">
      <c r="A1223" t="s">
        <v>5</v>
      </c>
      <c r="B1223" t="s">
        <v>1228</v>
      </c>
      <c r="C1223">
        <f>HYPERLINK("C:\Users\franc\OneDrive\Documentos\ALIRO\ALIRO\KATHY\ANA LUISA 2010\CERTIFICADO DE HIPOTECAS Y GRAV\LECAROS 1 - 120.doc", "Abrir Documento")</f>
        <v>0</v>
      </c>
      <c r="D1223" t="s">
        <v>23501</v>
      </c>
      <c r="E1223" t="s">
        <v>24722</v>
      </c>
    </row>
    <row r="1224" spans="1:5">
      <c r="A1224" t="s">
        <v>5</v>
      </c>
      <c r="B1224" t="s">
        <v>1229</v>
      </c>
      <c r="C1224">
        <f>HYPERLINK("C:\Users\franc\OneDrive\Documentos\ALIRO\ALIRO\KATHY\ANA LUISA 2010\CERTIFICADO DE HIPOTECAS Y GRAV\LAS BUENAS MOZAS 21 AL 32    2010.doc", "Abrir Documento")</f>
        <v>0</v>
      </c>
      <c r="D1224" t="s">
        <v>23501</v>
      </c>
      <c r="E1224" t="s">
        <v>24723</v>
      </c>
    </row>
    <row r="1225" spans="1:5">
      <c r="A1225" t="s">
        <v>5</v>
      </c>
      <c r="B1225" t="s">
        <v>1230</v>
      </c>
      <c r="C1225">
        <f>HYPERLINK("C:\Users\franc\OneDrive\Documentos\ALIRO\ALIRO\KATHY\ANA LUISA 2010\CERTIFICADO DE HIPOTECAS Y GRAV\LAS BUENAS MOZAS 21 a 32.doc", "Abrir Documento")</f>
        <v>0</v>
      </c>
      <c r="D1225" t="s">
        <v>23501</v>
      </c>
      <c r="E1225" t="s">
        <v>24724</v>
      </c>
    </row>
    <row r="1226" spans="1:5">
      <c r="A1226" t="s">
        <v>5</v>
      </c>
      <c r="B1226" t="s">
        <v>1231</v>
      </c>
      <c r="C1226">
        <f>HYPERLINK("C:\Users\franc\OneDrive\Documentos\ALIRO\ALIRO\KATHY\ANA LUISA 2010\CERTIFICADO DE HIPOTECAS Y GRAV\LAS BUENAS MOZAS 1 AL 20.doc", "Abrir Documento")</f>
        <v>0</v>
      </c>
      <c r="D1226" t="s">
        <v>23501</v>
      </c>
      <c r="E1226" t="s">
        <v>24725</v>
      </c>
    </row>
    <row r="1227" spans="1:5">
      <c r="A1227" t="s">
        <v>5</v>
      </c>
      <c r="B1227" t="s">
        <v>1232</v>
      </c>
      <c r="C1227">
        <f>HYPERLINK("C:\Users\franc\OneDrive\Documentos\ALIRO\ALIRO\KATHY\ANA LUISA 2010\CERTIFICADO DE HIPOTECAS Y GRAV\LAS BUENAS MOZAS   1 AL 20     2010.doc", "Abrir Documento")</f>
        <v>0</v>
      </c>
      <c r="D1227" t="s">
        <v>23501</v>
      </c>
      <c r="E1227" t="s">
        <v>24726</v>
      </c>
    </row>
    <row r="1228" spans="1:5">
      <c r="A1228" t="s">
        <v>5</v>
      </c>
      <c r="B1228" t="s">
        <v>1233</v>
      </c>
      <c r="C1228">
        <f>HYPERLINK("C:\Users\franc\OneDrive\Documentos\ALIRO\ALIRO\KATHY\ANA LUISA 2010\CERTIFICADO DE HIPOTECAS Y GRAV\LA SUERTE.doc", "Abrir Documento")</f>
        <v>0</v>
      </c>
      <c r="D1228" t="s">
        <v>23501</v>
      </c>
      <c r="E1228" t="s">
        <v>24727</v>
      </c>
    </row>
    <row r="1229" spans="1:5">
      <c r="A1229" t="s">
        <v>5</v>
      </c>
      <c r="B1229" t="s">
        <v>1234</v>
      </c>
      <c r="C1229">
        <f>HYPERLINK("C:\Users\franc\OneDrive\Documentos\ALIRO\ALIRO\KATHY\ANA LUISA 2010\CERTIFICADO DE HIPOTECAS Y GRAV\LA SUERTE ( 2018).doc", "Abrir Documento")</f>
        <v>0</v>
      </c>
      <c r="D1229" t="s">
        <v>23501</v>
      </c>
      <c r="E1229" t="s">
        <v>24728</v>
      </c>
    </row>
    <row r="1230" spans="1:5">
      <c r="A1230" t="s">
        <v>5</v>
      </c>
      <c r="B1230" t="s">
        <v>1235</v>
      </c>
      <c r="C1230">
        <f>HYPERLINK("C:\Users\franc\OneDrive\Documentos\ALIRO\ALIRO\KATHY\ANA LUISA 2010\CERTIFICADO DE HIPOTECAS Y GRAV\LA SOL UNA A CUATRO.doc", "Abrir Documento")</f>
        <v>0</v>
      </c>
      <c r="D1230" t="s">
        <v>23501</v>
      </c>
      <c r="E1230" t="s">
        <v>24729</v>
      </c>
    </row>
    <row r="1231" spans="1:5">
      <c r="A1231" t="s">
        <v>5</v>
      </c>
      <c r="B1231" t="s">
        <v>1236</v>
      </c>
      <c r="C1231">
        <f>HYPERLINK("C:\Users\franc\OneDrive\Documentos\ALIRO\ALIRO\KATHY\ANA LUISA 2010\CERTIFICADO DE HIPOTECAS Y GRAV\LA MORENA 1 AL 10 (2018).doc", "Abrir Documento")</f>
        <v>0</v>
      </c>
      <c r="D1231" t="s">
        <v>23501</v>
      </c>
      <c r="E1231" t="s">
        <v>24730</v>
      </c>
    </row>
    <row r="1232" spans="1:5">
      <c r="A1232" t="s">
        <v>5</v>
      </c>
      <c r="B1232" t="s">
        <v>1237</v>
      </c>
      <c r="C1232">
        <f>HYPERLINK("C:\Users\franc\OneDrive\Documentos\ALIRO\ALIRO\KATHY\ANA LUISA 2010\CERTIFICADO DE HIPOTECAS Y GRAV\LA LUSITANIA 1 AL 5.doc", "Abrir Documento")</f>
        <v>0</v>
      </c>
      <c r="D1232" t="s">
        <v>23501</v>
      </c>
      <c r="E1232" t="s">
        <v>24731</v>
      </c>
    </row>
    <row r="1233" spans="1:5">
      <c r="A1233" t="s">
        <v>5</v>
      </c>
      <c r="B1233" t="s">
        <v>1238</v>
      </c>
      <c r="C1233">
        <f>HYPERLINK("C:\Users\franc\OneDrive\Documentos\ALIRO\ALIRO\KATHY\ANA LUISA 2010\CERTIFICADO DE HIPOTECAS Y GRAV\LA BORRACHO 1 AL 3.doc", "Abrir Documento")</f>
        <v>0</v>
      </c>
      <c r="D1233" t="s">
        <v>23501</v>
      </c>
      <c r="E1233" t="s">
        <v>24732</v>
      </c>
    </row>
    <row r="1234" spans="1:5">
      <c r="A1234" t="s">
        <v>5</v>
      </c>
      <c r="B1234" t="s">
        <v>1239</v>
      </c>
      <c r="C1234">
        <f>HYPERLINK("C:\Users\franc\OneDrive\Documentos\ALIRO\ALIRO\KATHY\ANA LUISA 2010\CERTIFICADO DE HIPOTECAS Y GRAV\JUAN DE DIOS UNO AL CUARENTA.doc", "Abrir Documento")</f>
        <v>0</v>
      </c>
      <c r="D1234" t="s">
        <v>23501</v>
      </c>
      <c r="E1234" t="s">
        <v>24733</v>
      </c>
    </row>
    <row r="1235" spans="1:5">
      <c r="A1235" t="s">
        <v>5</v>
      </c>
      <c r="B1235" t="s">
        <v>1240</v>
      </c>
      <c r="C1235">
        <f>HYPERLINK("C:\Users\franc\OneDrive\Documentos\ALIRO\ALIRO\KATHY\ANA LUISA 2010\CERTIFICADO DE HIPOTECAS Y GRAV\JAZMIN TERCERA (2018).doc", "Abrir Documento")</f>
        <v>0</v>
      </c>
      <c r="D1235" t="s">
        <v>23501</v>
      </c>
      <c r="E1235" t="s">
        <v>24734</v>
      </c>
    </row>
    <row r="1236" spans="1:5">
      <c r="A1236" t="s">
        <v>5</v>
      </c>
      <c r="B1236" t="s">
        <v>1241</v>
      </c>
      <c r="C1236">
        <f>HYPERLINK("C:\Users\franc\OneDrive\Documentos\ALIRO\ALIRO\KATHY\ANA LUISA 2010\CERTIFICADO DE HIPOTECAS Y GRAV\JAZMIN SEGUNDA (2018).doc", "Abrir Documento")</f>
        <v>0</v>
      </c>
      <c r="D1236" t="s">
        <v>23501</v>
      </c>
      <c r="E1236" t="s">
        <v>24735</v>
      </c>
    </row>
    <row r="1237" spans="1:5">
      <c r="A1237" t="s">
        <v>5</v>
      </c>
      <c r="B1237" t="s">
        <v>1242</v>
      </c>
      <c r="C1237">
        <f>HYPERLINK("C:\Users\franc\OneDrive\Documentos\ALIRO\ALIRO\KATHY\ANA LUISA 2010\CERTIFICADO DE HIPOTECAS Y GRAV\JAZMIN PRIMERA A TERCERA.doc", "Abrir Documento")</f>
        <v>0</v>
      </c>
      <c r="D1237" t="s">
        <v>23501</v>
      </c>
      <c r="E1237" t="s">
        <v>24736</v>
      </c>
    </row>
    <row r="1238" spans="1:5">
      <c r="A1238" t="s">
        <v>5</v>
      </c>
      <c r="B1238" t="s">
        <v>1243</v>
      </c>
      <c r="C1238">
        <f>HYPERLINK("C:\Users\franc\OneDrive\Documentos\ALIRO\ALIRO\KATHY\ANA LUISA 2010\CERTIFICADO DE HIPOTECAS Y GRAV\JAZMIN PRIMERA (2018).doc", "Abrir Documento")</f>
        <v>0</v>
      </c>
      <c r="D1238" t="s">
        <v>23501</v>
      </c>
      <c r="E1238" t="s">
        <v>24737</v>
      </c>
    </row>
    <row r="1239" spans="1:5">
      <c r="A1239" t="s">
        <v>5</v>
      </c>
      <c r="B1239" t="s">
        <v>1244</v>
      </c>
      <c r="C1239">
        <f>HYPERLINK("C:\Users\franc\OneDrive\Documentos\ALIRO\ALIRO\KATHY\ANA LUISA 2010\CERTIFICADO DE HIPOTECAS Y GRAV\ITALIANA SEGUNDA A CUARTA.doc", "Abrir Documento")</f>
        <v>0</v>
      </c>
      <c r="D1239" t="s">
        <v>23501</v>
      </c>
      <c r="E1239" t="s">
        <v>24738</v>
      </c>
    </row>
    <row r="1240" spans="1:5">
      <c r="A1240" t="s">
        <v>5</v>
      </c>
      <c r="B1240" t="s">
        <v>1245</v>
      </c>
      <c r="C1240">
        <f>HYPERLINK("C:\Users\franc\OneDrive\Documentos\ALIRO\ALIRO\KATHY\ANA LUISA 2010\CERTIFICADO DE HIPOTECAS Y GRAV\ITALIANA (2018).doc", "Abrir Documento")</f>
        <v>0</v>
      </c>
      <c r="D1240" t="s">
        <v>23501</v>
      </c>
      <c r="E1240" t="s">
        <v>24739</v>
      </c>
    </row>
    <row r="1241" spans="1:5">
      <c r="A1241" t="s">
        <v>5</v>
      </c>
      <c r="B1241" t="s">
        <v>1246</v>
      </c>
      <c r="C1241">
        <f>HYPERLINK("C:\Users\franc\OneDrive\Documentos\ALIRO\ALIRO\KATHY\ANA LUISA 2010\CERTIFICADO DE HIPOTECAS Y GRAV\ITALIANA  SEGUNDA A CUARTA (2018).doc", "Abrir Documento")</f>
        <v>0</v>
      </c>
      <c r="D1241" t="s">
        <v>23501</v>
      </c>
      <c r="E1241" t="s">
        <v>24740</v>
      </c>
    </row>
    <row r="1242" spans="1:5">
      <c r="A1242" t="s">
        <v>5</v>
      </c>
      <c r="B1242" t="s">
        <v>1247</v>
      </c>
      <c r="C1242">
        <f>HYPERLINK("C:\Users\franc\OneDrive\Documentos\ALIRO\ALIRO\KATHY\ANA LUISA 2010\CERTIFICADO DE HIPOTECAS Y GRAV\GUIAS ALTAS.doc", "Abrir Documento")</f>
        <v>0</v>
      </c>
      <c r="D1242" t="s">
        <v>23501</v>
      </c>
      <c r="E1242" t="s">
        <v>24741</v>
      </c>
    </row>
    <row r="1243" spans="1:5">
      <c r="A1243" t="s">
        <v>5</v>
      </c>
      <c r="B1243" t="s">
        <v>1248</v>
      </c>
      <c r="C1243">
        <f>HYPERLINK("C:\Users\franc\OneDrive\Documentos\ALIRO\ALIRO\KATHY\ANA LUISA 2010\CERTIFICADO DE HIPOTECAS Y GRAV\GEORGIA UNA A SIETE.doc", "Abrir Documento")</f>
        <v>0</v>
      </c>
      <c r="D1243" t="s">
        <v>23501</v>
      </c>
      <c r="E1243" t="s">
        <v>24742</v>
      </c>
    </row>
    <row r="1244" spans="1:5">
      <c r="A1244" t="s">
        <v>5</v>
      </c>
      <c r="B1244" t="s">
        <v>1249</v>
      </c>
      <c r="C1244">
        <f>HYPERLINK("C:\Users\franc\OneDrive\Documentos\ALIRO\ALIRO\KATHY\ANA LUISA 2010\CERTIFICADO DE HIPOTECAS Y GRAV\GABRIEL VIII  1 AL 16  -  COMPAÑIA MINERA PUNITAQUI SCM.doc", "Abrir Documento")</f>
        <v>0</v>
      </c>
      <c r="D1244" t="s">
        <v>23501</v>
      </c>
      <c r="E1244" t="s">
        <v>24743</v>
      </c>
    </row>
    <row r="1245" spans="1:5">
      <c r="A1245" t="s">
        <v>5</v>
      </c>
      <c r="B1245" t="s">
        <v>1250</v>
      </c>
      <c r="C1245">
        <f>HYPERLINK("C:\Users\franc\OneDrive\Documentos\ALIRO\ALIRO\KATHY\ANA LUISA 2010\CERTIFICADO DE HIPOTECAS Y GRAV\GABRIEL VII  1 AL 32  -  COMPAÑIA MINERA PUNITAQUI SCM.doc", "Abrir Documento")</f>
        <v>0</v>
      </c>
      <c r="D1245" t="s">
        <v>23501</v>
      </c>
      <c r="E1245" t="s">
        <v>24744</v>
      </c>
    </row>
    <row r="1246" spans="1:5">
      <c r="A1246" t="s">
        <v>5</v>
      </c>
      <c r="B1246" t="s">
        <v>1251</v>
      </c>
      <c r="C1246">
        <f>HYPERLINK("C:\Users\franc\OneDrive\Documentos\ALIRO\ALIRO\KATHY\ANA LUISA 2010\CERTIFICADO DE HIPOTECAS Y GRAV\GABRIEL III  1 AL 300  -  COMPAÑIA MINERA PUNITAQUI SCM.doc", "Abrir Documento")</f>
        <v>0</v>
      </c>
      <c r="D1246" t="s">
        <v>23501</v>
      </c>
      <c r="E1246" t="s">
        <v>24745</v>
      </c>
    </row>
    <row r="1247" spans="1:5">
      <c r="A1247" t="s">
        <v>5</v>
      </c>
      <c r="B1247" t="s">
        <v>1252</v>
      </c>
      <c r="C1247">
        <f>HYPERLINK("C:\Users\franc\OneDrive\Documentos\ALIRO\ALIRO\KATHY\ANA LUISA 2010\CERTIFICADO DE HIPOTECAS Y GRAV\GABRIEL I 1 AL 200  -  COMPAÑIA MINERA PUNITAQUI SCM.doc", "Abrir Documento")</f>
        <v>0</v>
      </c>
      <c r="D1247" t="s">
        <v>23501</v>
      </c>
      <c r="E1247" t="s">
        <v>24746</v>
      </c>
    </row>
    <row r="1248" spans="1:5">
      <c r="A1248" t="s">
        <v>5</v>
      </c>
      <c r="B1248" t="s">
        <v>1253</v>
      </c>
      <c r="C1248">
        <f>HYPERLINK("C:\Users\franc\OneDrive\Documentos\ALIRO\ALIRO\KATHY\ANA LUISA 2010\CERTIFICADO DE HIPOTECAS Y GRAV\FUSIONADA (2018).doc", "Abrir Documento")</f>
        <v>0</v>
      </c>
      <c r="D1248" t="s">
        <v>23501</v>
      </c>
      <c r="E1248" t="s">
        <v>24747</v>
      </c>
    </row>
    <row r="1249" spans="1:5">
      <c r="A1249" t="s">
        <v>5</v>
      </c>
      <c r="B1249" t="s">
        <v>1254</v>
      </c>
      <c r="C1249">
        <f>HYPERLINK("C:\Users\franc\OneDrive\Documentos\ALIRO\ALIRO\KATHY\ANA LUISA 2010\CERTIFICADO DE HIPOTECAS Y GRAV\FRANCESA SEGUNDA (2018).doc", "Abrir Documento")</f>
        <v>0</v>
      </c>
      <c r="D1249" t="s">
        <v>23501</v>
      </c>
      <c r="E1249" t="s">
        <v>24748</v>
      </c>
    </row>
    <row r="1250" spans="1:5">
      <c r="A1250" t="s">
        <v>5</v>
      </c>
      <c r="B1250" t="s">
        <v>1255</v>
      </c>
      <c r="C1250">
        <f>HYPERLINK("C:\Users\franc\OneDrive\Documentos\ALIRO\ALIRO\KATHY\ANA LUISA 2010\CERTIFICADO DE HIPOTECAS Y GRAV\FRANCESA PRIMERA (2018).doc", "Abrir Documento")</f>
        <v>0</v>
      </c>
      <c r="D1250" t="s">
        <v>23501</v>
      </c>
      <c r="E1250" t="s">
        <v>24749</v>
      </c>
    </row>
    <row r="1251" spans="1:5">
      <c r="A1251" t="s">
        <v>5</v>
      </c>
      <c r="B1251" t="s">
        <v>1256</v>
      </c>
      <c r="C1251">
        <f>HYPERLINK("C:\Users\franc\OneDrive\Documentos\ALIRO\ALIRO\KATHY\ANA LUISA 2010\CERTIFICADO DE HIPOTECAS Y GRAV\FLORIDA UNA A VEINTISEIS.doc", "Abrir Documento")</f>
        <v>0</v>
      </c>
      <c r="D1251" t="s">
        <v>23501</v>
      </c>
      <c r="E1251" t="s">
        <v>24750</v>
      </c>
    </row>
    <row r="1252" spans="1:5">
      <c r="A1252" t="s">
        <v>5</v>
      </c>
      <c r="B1252" t="s">
        <v>1257</v>
      </c>
      <c r="C1252">
        <f>HYPERLINK("C:\Users\franc\OneDrive\Documentos\ALIRO\ALIRO\KATHY\ANA LUISA 2010\CERTIFICADO DE HIPOTECAS Y GRAV\FLOR DEL BOSQUE UNA A CINCO.doc", "Abrir Documento")</f>
        <v>0</v>
      </c>
      <c r="D1252" t="s">
        <v>23501</v>
      </c>
      <c r="E1252" t="s">
        <v>24751</v>
      </c>
    </row>
    <row r="1253" spans="1:5">
      <c r="A1253" t="s">
        <v>5</v>
      </c>
      <c r="B1253" t="s">
        <v>1258</v>
      </c>
      <c r="C1253">
        <f>HYPERLINK("C:\Users\franc\OneDrive\Documentos\ALIRO\ALIRO\KATHY\ANA LUISA 2010\CERTIFICADO DE HIPOTECAS Y GRAV\FLOR DE MAYO.doc", "Abrir Documento")</f>
        <v>0</v>
      </c>
      <c r="D1253" t="s">
        <v>23501</v>
      </c>
      <c r="E1253" t="s">
        <v>24752</v>
      </c>
    </row>
    <row r="1254" spans="1:5">
      <c r="A1254" t="s">
        <v>5</v>
      </c>
      <c r="B1254" t="s">
        <v>1259</v>
      </c>
      <c r="C1254">
        <f>HYPERLINK("C:\Users\franc\OneDrive\Documentos\ALIRO\ALIRO\KATHY\ANA LUISA 2010\CERTIFICADO DE HIPOTECAS Y GRAV\FLOR DE MAYO ( 2018).doc", "Abrir Documento")</f>
        <v>0</v>
      </c>
      <c r="D1254" t="s">
        <v>23501</v>
      </c>
      <c r="E1254" t="s">
        <v>24753</v>
      </c>
    </row>
    <row r="1255" spans="1:5">
      <c r="A1255" t="s">
        <v>5</v>
      </c>
      <c r="B1255" t="s">
        <v>1260</v>
      </c>
      <c r="C1255">
        <f>HYPERLINK("C:\Users\franc\OneDrive\Documentos\ALIRO\ALIRO\KATHY\ANA LUISA 2010\CERTIFICADO DE HIPOTECAS Y GRAV\FARELLON 1 AL 4.doc", "Abrir Documento")</f>
        <v>0</v>
      </c>
      <c r="D1255" t="s">
        <v>23501</v>
      </c>
      <c r="E1255" t="s">
        <v>24754</v>
      </c>
    </row>
    <row r="1256" spans="1:5">
      <c r="A1256" t="s">
        <v>5</v>
      </c>
      <c r="B1256" t="s">
        <v>1261</v>
      </c>
      <c r="C1256">
        <f>HYPERLINK("C:\Users\franc\OneDrive\Documentos\ALIRO\ALIRO\KATHY\ANA LUISA 2010\CERTIFICADO DE HIPOTECAS Y GRAV\ESPERANZA O BUENA ESPERANZA.doc", "Abrir Documento")</f>
        <v>0</v>
      </c>
      <c r="D1256" t="s">
        <v>23501</v>
      </c>
      <c r="E1256" t="s">
        <v>24755</v>
      </c>
    </row>
    <row r="1257" spans="1:5">
      <c r="A1257" t="s">
        <v>5</v>
      </c>
      <c r="B1257" t="s">
        <v>1262</v>
      </c>
      <c r="C1257">
        <f>HYPERLINK("C:\Users\franc\OneDrive\Documentos\ALIRO\ALIRO\KATHY\ANA LUISA 2010\CERTIFICADO DE HIPOTECAS Y GRAV\ESPERANZA O BUENA ESPERANZA (2018).doc", "Abrir Documento")</f>
        <v>0</v>
      </c>
      <c r="D1257" t="s">
        <v>23501</v>
      </c>
      <c r="E1257" t="s">
        <v>24756</v>
      </c>
    </row>
    <row r="1258" spans="1:5">
      <c r="A1258" t="s">
        <v>5</v>
      </c>
      <c r="B1258" t="s">
        <v>1263</v>
      </c>
      <c r="C1258">
        <f>HYPERLINK("C:\Users\franc\OneDrive\Documentos\ALIRO\ALIRO\KATHY\ANA LUISA 2010\CERTIFICADO DE HIPOTECAS Y GRAV\EPIFANIA 1 AL 54.doc", "Abrir Documento")</f>
        <v>0</v>
      </c>
      <c r="D1258" t="s">
        <v>23501</v>
      </c>
      <c r="E1258" t="s">
        <v>24757</v>
      </c>
    </row>
    <row r="1259" spans="1:5">
      <c r="A1259" t="s">
        <v>5</v>
      </c>
      <c r="B1259" t="s">
        <v>1264</v>
      </c>
      <c r="C1259">
        <f>HYPERLINK("C:\Users\franc\OneDrive\Documentos\ALIRO\ALIRO\KATHY\ANA LUISA 2010\CERTIFICADO DE HIPOTECAS Y GRAV\EL ORO.doc", "Abrir Documento")</f>
        <v>0</v>
      </c>
      <c r="D1259" t="s">
        <v>23501</v>
      </c>
      <c r="E1259" t="s">
        <v>24758</v>
      </c>
    </row>
    <row r="1260" spans="1:5">
      <c r="A1260" t="s">
        <v>5</v>
      </c>
      <c r="B1260" t="s">
        <v>1265</v>
      </c>
      <c r="C1260">
        <f>HYPERLINK("C:\Users\franc\OneDrive\Documentos\ALIRO\ALIRO\KATHY\ANA LUISA 2010\CERTIFICADO DE HIPOTECAS Y GRAV\EL ORO (2018).doc", "Abrir Documento")</f>
        <v>0</v>
      </c>
      <c r="D1260" t="s">
        <v>23501</v>
      </c>
      <c r="E1260" t="s">
        <v>24759</v>
      </c>
    </row>
    <row r="1261" spans="1:5">
      <c r="A1261" t="s">
        <v>5</v>
      </c>
      <c r="B1261" t="s">
        <v>1266</v>
      </c>
      <c r="C1261">
        <f>HYPERLINK("C:\Users\franc\OneDrive\Documentos\ALIRO\ALIRO\KATHY\ANA LUISA 2010\CERTIFICADO DE HIPOTECAS Y GRAV\EL COBRE.doc", "Abrir Documento")</f>
        <v>0</v>
      </c>
      <c r="D1261" t="s">
        <v>23501</v>
      </c>
      <c r="E1261" t="s">
        <v>24760</v>
      </c>
    </row>
    <row r="1262" spans="1:5">
      <c r="A1262" t="s">
        <v>5</v>
      </c>
      <c r="B1262" t="s">
        <v>1267</v>
      </c>
      <c r="C1262">
        <f>HYPERLINK("C:\Users\franc\OneDrive\Documentos\ALIRO\ALIRO\KATHY\ANA LUISA 2010\CERTIFICADO DE HIPOTECAS Y GRAV\EL COBRE (2018).doc", "Abrir Documento")</f>
        <v>0</v>
      </c>
      <c r="D1262" t="s">
        <v>23501</v>
      </c>
      <c r="E1262" t="s">
        <v>24761</v>
      </c>
    </row>
    <row r="1263" spans="1:5">
      <c r="A1263" t="s">
        <v>5</v>
      </c>
      <c r="B1263" t="s">
        <v>1268</v>
      </c>
      <c r="C1263">
        <f>HYPERLINK("C:\Users\franc\OneDrive\Documentos\ALIRO\ALIRO\KATHY\ANA LUISA 2010\CERTIFICADO DE HIPOTECAS Y GRAV\DON HUMBERTO 1.doc", "Abrir Documento")</f>
        <v>0</v>
      </c>
      <c r="D1263" t="s">
        <v>23501</v>
      </c>
      <c r="E1263" t="s">
        <v>24762</v>
      </c>
    </row>
    <row r="1264" spans="1:5">
      <c r="A1264" t="s">
        <v>5</v>
      </c>
      <c r="B1264" t="s">
        <v>1269</v>
      </c>
      <c r="C1264">
        <f>HYPERLINK("C:\Users\franc\OneDrive\Documentos\ALIRO\ALIRO\KATHY\ANA LUISA 2010\CERTIFICADO DE HIPOTECAS Y GRAV\DELIRIO.doc", "Abrir Documento")</f>
        <v>0</v>
      </c>
      <c r="D1264" t="s">
        <v>23501</v>
      </c>
      <c r="E1264" t="s">
        <v>24763</v>
      </c>
    </row>
    <row r="1265" spans="1:5">
      <c r="A1265" t="s">
        <v>5</v>
      </c>
      <c r="B1265" t="s">
        <v>1270</v>
      </c>
      <c r="C1265">
        <f>HYPERLINK("C:\Users\franc\OneDrive\Documentos\ALIRO\ALIRO\KATHY\ANA LUISA 2010\CERTIFICADO DE HIPOTECAS Y GRAV\DELIRIO (2018).doc", "Abrir Documento")</f>
        <v>0</v>
      </c>
      <c r="D1265" t="s">
        <v>23501</v>
      </c>
      <c r="E1265" t="s">
        <v>24764</v>
      </c>
    </row>
    <row r="1266" spans="1:5">
      <c r="A1266" t="s">
        <v>5</v>
      </c>
      <c r="B1266" t="s">
        <v>1271</v>
      </c>
      <c r="C1266">
        <f>HYPERLINK("C:\Users\franc\OneDrive\Documentos\ALIRO\ALIRO\KATHY\ANA LUISA 2010\CERTIFICADO DE HIPOTECAS Y GRAV\DEIDAMIA UNA Y DOS.doc", "Abrir Documento")</f>
        <v>0</v>
      </c>
      <c r="D1266" t="s">
        <v>23501</v>
      </c>
      <c r="E1266" t="s">
        <v>24765</v>
      </c>
    </row>
    <row r="1267" spans="1:5">
      <c r="A1267" t="s">
        <v>5</v>
      </c>
      <c r="B1267" t="s">
        <v>1272</v>
      </c>
      <c r="C1267">
        <f>HYPERLINK("C:\Users\franc\OneDrive\Documentos\ALIRO\ALIRO\KATHY\ANA LUISA 2010\CERTIFICADO DE HIPOTECAS Y GRAV\DALMACIA PRIMERA A VIGESIMA.doc", "Abrir Documento")</f>
        <v>0</v>
      </c>
      <c r="D1267" t="s">
        <v>23501</v>
      </c>
      <c r="E1267" t="s">
        <v>24766</v>
      </c>
    </row>
    <row r="1268" spans="1:5">
      <c r="A1268" t="s">
        <v>5</v>
      </c>
      <c r="B1268" t="s">
        <v>1273</v>
      </c>
      <c r="C1268">
        <f>HYPERLINK("C:\Users\franc\OneDrive\Documentos\ALIRO\ALIRO\KATHY\ANA LUISA 2010\CERTIFICADO DE HIPOTECAS Y GRAV\CUMBRE (2018).doc", "Abrir Documento")</f>
        <v>0</v>
      </c>
      <c r="D1268" t="s">
        <v>23501</v>
      </c>
      <c r="E1268" t="s">
        <v>24767</v>
      </c>
    </row>
    <row r="1269" spans="1:5">
      <c r="A1269" t="s">
        <v>5</v>
      </c>
      <c r="B1269" t="s">
        <v>1274</v>
      </c>
      <c r="C1269">
        <f>HYPERLINK("C:\Users\franc\OneDrive\Documentos\ALIRO\ALIRO\KATHY\ANA LUISA 2010\CERTIFICADO DE HIPOTECAS Y GRAV\CORTIJO 1 AL 5.doc", "Abrir Documento")</f>
        <v>0</v>
      </c>
      <c r="D1269" t="s">
        <v>23501</v>
      </c>
      <c r="E1269" t="s">
        <v>24768</v>
      </c>
    </row>
    <row r="1270" spans="1:5">
      <c r="A1270" t="s">
        <v>5</v>
      </c>
      <c r="B1270" t="s">
        <v>1275</v>
      </c>
      <c r="C1270">
        <f>HYPERLINK("C:\Users\franc\OneDrive\Documentos\ALIRO\ALIRO\KATHY\ANA LUISA 2010\CERTIFICADO DE HIPOTECAS Y GRAV\CONSTANCIA.doc", "Abrir Documento")</f>
        <v>0</v>
      </c>
      <c r="D1270" t="s">
        <v>23501</v>
      </c>
      <c r="E1270" t="s">
        <v>24769</v>
      </c>
    </row>
    <row r="1271" spans="1:5">
      <c r="A1271" t="s">
        <v>5</v>
      </c>
      <c r="B1271" t="s">
        <v>1276</v>
      </c>
      <c r="C1271">
        <f>HYPERLINK("C:\Users\franc\OneDrive\Documentos\ALIRO\ALIRO\KATHY\ANA LUISA 2010\CERTIFICADO DE HIPOTECAS Y GRAV\CONSTANCIA   2010.doc", "Abrir Documento")</f>
        <v>0</v>
      </c>
      <c r="D1271" t="s">
        <v>23501</v>
      </c>
      <c r="E1271" t="s">
        <v>24770</v>
      </c>
    </row>
    <row r="1272" spans="1:5">
      <c r="A1272" t="s">
        <v>5</v>
      </c>
      <c r="B1272" t="s">
        <v>1277</v>
      </c>
      <c r="C1272">
        <f>HYPERLINK("C:\Users\franc\OneDrive\Documentos\ALIRO\ALIRO\KATHY\ANA LUISA 2010\CERTIFICADO DE HIPOTECAS Y GRAV\CONSERVA.doc", "Abrir Documento")</f>
        <v>0</v>
      </c>
      <c r="D1272" t="s">
        <v>23501</v>
      </c>
      <c r="E1272" t="s">
        <v>24771</v>
      </c>
    </row>
    <row r="1273" spans="1:5">
      <c r="A1273" t="s">
        <v>5</v>
      </c>
      <c r="B1273" t="s">
        <v>1278</v>
      </c>
      <c r="C1273">
        <f>HYPERLINK("C:\Users\franc\OneDrive\Documentos\ALIRO\ALIRO\KATHY\ANA LUISA 2010\CERTIFICADO DE HIPOTECAS Y GRAV\CONSERVA TERCERA (2018).doc", "Abrir Documento")</f>
        <v>0</v>
      </c>
      <c r="D1273" t="s">
        <v>23501</v>
      </c>
      <c r="E1273" t="s">
        <v>24772</v>
      </c>
    </row>
    <row r="1274" spans="1:5">
      <c r="A1274" t="s">
        <v>5</v>
      </c>
      <c r="B1274" t="s">
        <v>1279</v>
      </c>
      <c r="C1274">
        <f>HYPERLINK("C:\Users\franc\OneDrive\Documentos\ALIRO\ALIRO\KATHY\ANA LUISA 2010\CERTIFICADO DE HIPOTECAS Y GRAV\CONSERVA CUARTA (2018).doc", "Abrir Documento")</f>
        <v>0</v>
      </c>
      <c r="D1274" t="s">
        <v>23501</v>
      </c>
      <c r="E1274" t="s">
        <v>24773</v>
      </c>
    </row>
    <row r="1275" spans="1:5">
      <c r="A1275" t="s">
        <v>5</v>
      </c>
      <c r="B1275" t="s">
        <v>1280</v>
      </c>
      <c r="C1275">
        <f>HYPERLINK("C:\Users\franc\OneDrive\Documentos\ALIRO\ALIRO\KATHY\ANA LUISA 2010\CERTIFICADO DE HIPOTECAS Y GRAV\CONSERVA ( 2018).doc", "Abrir Documento")</f>
        <v>0</v>
      </c>
      <c r="D1275" t="s">
        <v>23501</v>
      </c>
      <c r="E1275" t="s">
        <v>24774</v>
      </c>
    </row>
    <row r="1276" spans="1:5">
      <c r="A1276" t="s">
        <v>5</v>
      </c>
      <c r="B1276" t="s">
        <v>1281</v>
      </c>
      <c r="C1276">
        <f>HYPERLINK("C:\Users\franc\OneDrive\Documentos\ALIRO\ALIRO\KATHY\ANA LUISA 2010\CERTIFICADO DE HIPOTECAS Y GRAV\CONSERVA    SEGUNDA.doc", "Abrir Documento")</f>
        <v>0</v>
      </c>
      <c r="D1276" t="s">
        <v>23501</v>
      </c>
      <c r="E1276" t="s">
        <v>24775</v>
      </c>
    </row>
    <row r="1277" spans="1:5">
      <c r="A1277" t="s">
        <v>5</v>
      </c>
      <c r="B1277" t="s">
        <v>1282</v>
      </c>
      <c r="C1277">
        <f>HYPERLINK("C:\Users\franc\OneDrive\Documentos\ALIRO\ALIRO\KATHY\ANA LUISA 2010\CERTIFICADO DE HIPOTECAS Y GRAV\CONFLUENCIA.doc", "Abrir Documento")</f>
        <v>0</v>
      </c>
      <c r="D1277" t="s">
        <v>23501</v>
      </c>
      <c r="E1277" t="s">
        <v>24776</v>
      </c>
    </row>
    <row r="1278" spans="1:5">
      <c r="A1278" t="s">
        <v>5</v>
      </c>
      <c r="B1278" t="s">
        <v>1283</v>
      </c>
      <c r="C1278">
        <f>HYPERLINK("C:\Users\franc\OneDrive\Documentos\ALIRO\ALIRO\KATHY\ANA LUISA 2010\CERTIFICADO DE HIPOTECAS Y GRAV\CONFLUENCIA (2018).doc", "Abrir Documento")</f>
        <v>0</v>
      </c>
      <c r="D1278" t="s">
        <v>23501</v>
      </c>
      <c r="E1278" t="s">
        <v>24777</v>
      </c>
    </row>
    <row r="1279" spans="1:5">
      <c r="A1279" t="s">
        <v>5</v>
      </c>
      <c r="B1279" t="s">
        <v>1284</v>
      </c>
      <c r="C1279">
        <f>HYPERLINK("C:\Users\franc\OneDrive\Documentos\ALIRO\ALIRO\KATHY\ANA LUISA 2010\CERTIFICADO DE HIPOTECAS Y GRAV\COMPAÑÍA VEINTIUNA AL CUARENTA (2018).doc", "Abrir Documento")</f>
        <v>0</v>
      </c>
      <c r="D1279" t="s">
        <v>23501</v>
      </c>
      <c r="E1279" t="s">
        <v>24778</v>
      </c>
    </row>
    <row r="1280" spans="1:5">
      <c r="A1280" t="s">
        <v>5</v>
      </c>
      <c r="B1280" t="s">
        <v>1285</v>
      </c>
      <c r="C1280">
        <f>HYPERLINK("C:\Users\franc\OneDrive\Documentos\ALIRO\ALIRO\KATHY\ANA LUISA 2010\CERTIFICADO DE HIPOTECAS Y GRAV\COMPAÑIA 21 A 40.doc", "Abrir Documento")</f>
        <v>0</v>
      </c>
      <c r="D1280" t="s">
        <v>23501</v>
      </c>
      <c r="E1280" t="s">
        <v>24779</v>
      </c>
    </row>
    <row r="1281" spans="1:5">
      <c r="A1281" t="s">
        <v>5</v>
      </c>
      <c r="B1281" t="s">
        <v>1286</v>
      </c>
      <c r="C1281">
        <f>HYPERLINK("C:\Users\franc\OneDrive\Documentos\ALIRO\ALIRO\KATHY\ANA LUISA 2010\CERTIFICADO DE HIPOTECAS Y GRAV\CHIMBA TREINTA Y UNO (2018).doc", "Abrir Documento")</f>
        <v>0</v>
      </c>
      <c r="D1281" t="s">
        <v>23501</v>
      </c>
      <c r="E1281" t="s">
        <v>24780</v>
      </c>
    </row>
    <row r="1282" spans="1:5">
      <c r="A1282" t="s">
        <v>5</v>
      </c>
      <c r="B1282" t="s">
        <v>1287</v>
      </c>
      <c r="C1282">
        <f>HYPERLINK("C:\Users\franc\OneDrive\Documentos\ALIRO\ALIRO\KATHY\ANA LUISA 2010\CERTIFICADO DE HIPOTECAS Y GRAV\CHIMBA QUINCE (2018).doc", "Abrir Documento")</f>
        <v>0</v>
      </c>
      <c r="D1282" t="s">
        <v>23501</v>
      </c>
      <c r="E1282" t="s">
        <v>24781</v>
      </c>
    </row>
    <row r="1283" spans="1:5">
      <c r="A1283" t="s">
        <v>5</v>
      </c>
      <c r="B1283" t="s">
        <v>1288</v>
      </c>
      <c r="C1283">
        <f>HYPERLINK("C:\Users\franc\OneDrive\Documentos\ALIRO\ALIRO\KATHY\ANA LUISA 2010\CERTIFICADO DE HIPOTECAS Y GRAV\CHIMBA 48-49-50 (CHIMBA 36 A 50) (2018).doc", "Abrir Documento")</f>
        <v>0</v>
      </c>
      <c r="D1283" t="s">
        <v>23501</v>
      </c>
      <c r="E1283" t="s">
        <v>24782</v>
      </c>
    </row>
    <row r="1284" spans="1:5">
      <c r="A1284" t="s">
        <v>5</v>
      </c>
      <c r="B1284" t="s">
        <v>1289</v>
      </c>
      <c r="C1284">
        <f>HYPERLINK("C:\Users\franc\OneDrive\Documentos\ALIRO\ALIRO\KATHY\ANA LUISA 2010\CERTIFICADO DE HIPOTECAS Y GRAV\CHIMBA  1 A 26 - 28 A 31 - 36 - 50.doc", "Abrir Documento")</f>
        <v>0</v>
      </c>
      <c r="D1284" t="s">
        <v>23501</v>
      </c>
      <c r="E1284" t="s">
        <v>24783</v>
      </c>
    </row>
    <row r="1285" spans="1:5">
      <c r="A1285" t="s">
        <v>5</v>
      </c>
      <c r="B1285" t="s">
        <v>1290</v>
      </c>
      <c r="C1285">
        <f>HYPERLINK("C:\Users\franc\OneDrive\Documentos\ALIRO\ALIRO\KATHY\ANA LUISA 2010\CERTIFICADO DE HIPOTECAS Y GRAV\CHILENA UNO AL CIEN.doc", "Abrir Documento")</f>
        <v>0</v>
      </c>
      <c r="D1285" t="s">
        <v>23501</v>
      </c>
      <c r="E1285" t="s">
        <v>24784</v>
      </c>
    </row>
    <row r="1286" spans="1:5">
      <c r="A1286" t="s">
        <v>5</v>
      </c>
      <c r="B1286" t="s">
        <v>1291</v>
      </c>
      <c r="C1286">
        <f>HYPERLINK("C:\Users\franc\OneDrive\Documentos\ALIRO\ALIRO\KATHY\ANA LUISA 2010\CERTIFICADO DE HIPOTECAS Y GRAV\CHEPILLO 1 AL 4.doc", "Abrir Documento")</f>
        <v>0</v>
      </c>
      <c r="D1286" t="s">
        <v>23501</v>
      </c>
      <c r="E1286" t="s">
        <v>24785</v>
      </c>
    </row>
    <row r="1287" spans="1:5">
      <c r="A1287" t="s">
        <v>5</v>
      </c>
      <c r="B1287" t="s">
        <v>1292</v>
      </c>
      <c r="C1287">
        <f>HYPERLINK("C:\Users\franc\OneDrive\Documentos\ALIRO\ALIRO\KATHY\ANA LUISA 2010\CERTIFICADO DE HIPOTECAS Y GRAV\CHATUCA 1 - 125 DANIZA ORO PRIETO.doc", "Abrir Documento")</f>
        <v>0</v>
      </c>
      <c r="D1287" t="s">
        <v>23501</v>
      </c>
      <c r="E1287" t="s">
        <v>24786</v>
      </c>
    </row>
    <row r="1288" spans="1:5">
      <c r="A1288" t="s">
        <v>5</v>
      </c>
      <c r="B1288" t="s">
        <v>1293</v>
      </c>
      <c r="C1288">
        <f>HYPERLINK("C:\Users\franc\OneDrive\Documentos\ALIRO\ALIRO\KATHY\ANA LUISA 2010\CERTIFICADO DE HIPOTECAS Y GRAV\CERRILLOS PRIMERA.doc", "Abrir Documento")</f>
        <v>0</v>
      </c>
      <c r="D1288" t="s">
        <v>23501</v>
      </c>
      <c r="E1288" t="s">
        <v>24787</v>
      </c>
    </row>
    <row r="1289" spans="1:5">
      <c r="A1289" t="s">
        <v>5</v>
      </c>
      <c r="B1289" t="s">
        <v>1294</v>
      </c>
      <c r="C1289">
        <f>HYPERLINK("C:\Users\franc\OneDrive\Documentos\ALIRO\ALIRO\KATHY\ANA LUISA 2010\CERTIFICADO DE HIPOTECAS Y GRAV\CASUALIDAD ( 2018).doc", "Abrir Documento")</f>
        <v>0</v>
      </c>
      <c r="D1289" t="s">
        <v>23501</v>
      </c>
      <c r="E1289" t="s">
        <v>24788</v>
      </c>
    </row>
    <row r="1290" spans="1:5">
      <c r="A1290" t="s">
        <v>5</v>
      </c>
      <c r="B1290" t="s">
        <v>1295</v>
      </c>
      <c r="C1290">
        <f>HYPERLINK("C:\Users\franc\OneDrive\Documentos\ALIRO\ALIRO\KATHY\ANA LUISA 2010\CERTIFICADO DE HIPOTECAS Y GRAV\CAROLINA.doc", "Abrir Documento")</f>
        <v>0</v>
      </c>
      <c r="D1290" t="s">
        <v>23501</v>
      </c>
      <c r="E1290" t="s">
        <v>24789</v>
      </c>
    </row>
    <row r="1291" spans="1:5">
      <c r="A1291" t="s">
        <v>5</v>
      </c>
      <c r="B1291" t="s">
        <v>1296</v>
      </c>
      <c r="C1291">
        <f>HYPERLINK("C:\Users\franc\OneDrive\Documentos\ALIRO\ALIRO\KATHY\ANA LUISA 2010\CERTIFICADO DE HIPOTECAS Y GRAV\CAROLINA DOS A CUATRO.doc", "Abrir Documento")</f>
        <v>0</v>
      </c>
      <c r="D1291" t="s">
        <v>23501</v>
      </c>
      <c r="E1291" t="s">
        <v>24790</v>
      </c>
    </row>
    <row r="1292" spans="1:5">
      <c r="A1292" t="s">
        <v>5</v>
      </c>
      <c r="B1292" t="s">
        <v>1297</v>
      </c>
      <c r="C1292">
        <f>HYPERLINK("C:\Users\franc\OneDrive\Documentos\ALIRO\ALIRO\KATHY\ANA LUISA 2010\CERTIFICADO DE HIPOTECAS Y GRAV\CAPITANA.doc", "Abrir Documento")</f>
        <v>0</v>
      </c>
      <c r="D1292" t="s">
        <v>23501</v>
      </c>
      <c r="E1292" t="s">
        <v>24791</v>
      </c>
    </row>
    <row r="1293" spans="1:5">
      <c r="A1293" t="s">
        <v>5</v>
      </c>
      <c r="B1293" t="s">
        <v>1298</v>
      </c>
      <c r="C1293">
        <f>HYPERLINK("C:\Users\franc\OneDrive\Documentos\ALIRO\ALIRO\KATHY\ANA LUISA 2010\CERTIFICADO DE HIPOTECAS Y GRAV\CAPITANA (2018).doc", "Abrir Documento")</f>
        <v>0</v>
      </c>
      <c r="D1293" t="s">
        <v>23501</v>
      </c>
      <c r="E1293" t="s">
        <v>24792</v>
      </c>
    </row>
    <row r="1294" spans="1:5">
      <c r="A1294" t="s">
        <v>5</v>
      </c>
      <c r="B1294" t="s">
        <v>1299</v>
      </c>
      <c r="C1294">
        <f>HYPERLINK("C:\Users\franc\OneDrive\Documentos\ALIRO\ALIRO\KATHY\ANA LUISA 2010\CERTIFICADO DE HIPOTECAS Y GRAV\CANASTA UNA AL CIEN.doc", "Abrir Documento")</f>
        <v>0</v>
      </c>
      <c r="D1294" t="s">
        <v>23501</v>
      </c>
      <c r="E1294" t="s">
        <v>24793</v>
      </c>
    </row>
    <row r="1295" spans="1:5">
      <c r="A1295" t="s">
        <v>5</v>
      </c>
      <c r="B1295" t="s">
        <v>1300</v>
      </c>
      <c r="C1295">
        <f>HYPERLINK("C:\Users\franc\OneDrive\Documentos\ALIRO\ALIRO\KATHY\ANA LUISA 2010\CERTIFICADO DE HIPOTECAS Y GRAV\CAMPOSANTO 1 A 17.doc", "Abrir Documento")</f>
        <v>0</v>
      </c>
      <c r="D1295" t="s">
        <v>23501</v>
      </c>
      <c r="E1295" t="s">
        <v>24794</v>
      </c>
    </row>
    <row r="1296" spans="1:5">
      <c r="A1296" t="s">
        <v>5</v>
      </c>
      <c r="B1296" t="s">
        <v>1301</v>
      </c>
      <c r="C1296">
        <f>HYPERLINK("C:\Users\franc\OneDrive\Documentos\ALIRO\ALIRO\KATHY\ANA LUISA 2010\CERTIFICADO DE HIPOTECAS Y GRAV\CAMPAMENTO PRIMERA A CUARTA ( 2018).doc", "Abrir Documento")</f>
        <v>0</v>
      </c>
      <c r="D1296" t="s">
        <v>23501</v>
      </c>
      <c r="E1296" t="s">
        <v>24795</v>
      </c>
    </row>
    <row r="1297" spans="1:5">
      <c r="A1297" t="s">
        <v>5</v>
      </c>
      <c r="B1297" t="s">
        <v>1302</v>
      </c>
      <c r="C1297">
        <f>HYPERLINK("C:\Users\franc\OneDrive\Documentos\ALIRO\ALIRO\KATHY\ANA LUISA 2010\CERTIFICADO DE HIPOTECAS Y GRAV\CAMPAMENTO 1 A 4.doc", "Abrir Documento")</f>
        <v>0</v>
      </c>
      <c r="D1297" t="s">
        <v>23501</v>
      </c>
      <c r="E1297" t="s">
        <v>24796</v>
      </c>
    </row>
    <row r="1298" spans="1:5">
      <c r="A1298" t="s">
        <v>5</v>
      </c>
      <c r="B1298" t="s">
        <v>1303</v>
      </c>
      <c r="C1298">
        <f>HYPERLINK("C:\Users\franc\OneDrive\Documentos\ALIRO\ALIRO\KATHY\ANA LUISA 2010\CERTIFICADO DE HIPOTECAS Y GRAV\CALVARIO 1 AL 20.doc", "Abrir Documento")</f>
        <v>0</v>
      </c>
      <c r="D1298" t="s">
        <v>23501</v>
      </c>
      <c r="E1298" t="s">
        <v>24797</v>
      </c>
    </row>
    <row r="1299" spans="1:5">
      <c r="A1299" t="s">
        <v>5</v>
      </c>
      <c r="B1299" t="s">
        <v>1304</v>
      </c>
      <c r="C1299">
        <f>HYPERLINK("C:\Users\franc\OneDrive\Documentos\ALIRO\ALIRO\KATHY\ANA LUISA 2010\CERTIFICADO DE HIPOTECAS Y GRAV\CALIFORNIA SEIS AL CATORCE.doc", "Abrir Documento")</f>
        <v>0</v>
      </c>
      <c r="D1299" t="s">
        <v>23501</v>
      </c>
      <c r="E1299" t="s">
        <v>24798</v>
      </c>
    </row>
    <row r="1300" spans="1:5">
      <c r="A1300" t="s">
        <v>5</v>
      </c>
      <c r="B1300" t="s">
        <v>1305</v>
      </c>
      <c r="C1300">
        <f>HYPERLINK("C:\Users\franc\OneDrive\Documentos\ALIRO\ALIRO\KATHY\ANA LUISA 2010\CERTIFICADO DE HIPOTECAS Y GRAV\BUENAS UNO AL SEIS.doc", "Abrir Documento")</f>
        <v>0</v>
      </c>
      <c r="D1300" t="s">
        <v>23501</v>
      </c>
      <c r="E1300" t="s">
        <v>24799</v>
      </c>
    </row>
    <row r="1301" spans="1:5">
      <c r="A1301" t="s">
        <v>5</v>
      </c>
      <c r="B1301" t="s">
        <v>1306</v>
      </c>
      <c r="C1301">
        <f>HYPERLINK("C:\Users\franc\OneDrive\Documentos\ALIRO\ALIRO\KATHY\ANA LUISA 2010\CERTIFICADO DE HIPOTECAS Y GRAV\BLANQUITA UNO AL NUEVE.doc", "Abrir Documento")</f>
        <v>0</v>
      </c>
      <c r="D1301" t="s">
        <v>23501</v>
      </c>
      <c r="E1301" t="s">
        <v>24800</v>
      </c>
    </row>
    <row r="1302" spans="1:5">
      <c r="A1302" t="s">
        <v>5</v>
      </c>
      <c r="B1302" t="s">
        <v>1307</v>
      </c>
      <c r="C1302">
        <f>HYPERLINK("C:\Users\franc\OneDrive\Documentos\ALIRO\ALIRO\KATHY\ANA LUISA 2010\CERTIFICADO DE HIPOTECAS Y GRAV\BLANCA.doc", "Abrir Documento")</f>
        <v>0</v>
      </c>
      <c r="D1302" t="s">
        <v>23501</v>
      </c>
      <c r="E1302" t="s">
        <v>24801</v>
      </c>
    </row>
    <row r="1303" spans="1:5">
      <c r="A1303" t="s">
        <v>5</v>
      </c>
      <c r="B1303" t="s">
        <v>1308</v>
      </c>
      <c r="C1303">
        <f>HYPERLINK("C:\Users\franc\OneDrive\Documentos\ALIRO\ALIRO\KATHY\ANA LUISA 2010\CERTIFICADO DE HIPOTECAS Y GRAV\BLANCA (2018).doc", "Abrir Documento")</f>
        <v>0</v>
      </c>
      <c r="D1303" t="s">
        <v>23501</v>
      </c>
      <c r="E1303" t="s">
        <v>24802</v>
      </c>
    </row>
    <row r="1304" spans="1:5">
      <c r="A1304" t="s">
        <v>5</v>
      </c>
      <c r="B1304" t="s">
        <v>1309</v>
      </c>
      <c r="C1304">
        <f>HYPERLINK("C:\Users\franc\OneDrive\Documentos\ALIRO\ALIRO\KATHY\ANA LUISA 2010\CERTIFICADO DE HIPOTECAS Y GRAV\AÑAÑUCA 1 AL 3 - HTO. RIVERA CORTES.doc", "Abrir Documento")</f>
        <v>0</v>
      </c>
      <c r="D1304" t="s">
        <v>23501</v>
      </c>
      <c r="E1304" t="s">
        <v>24803</v>
      </c>
    </row>
    <row r="1305" spans="1:5">
      <c r="A1305" t="s">
        <v>5</v>
      </c>
      <c r="B1305" t="s">
        <v>1310</v>
      </c>
      <c r="C1305">
        <f>HYPERLINK("C:\Users\franc\OneDrive\Documentos\ALIRO\ALIRO\KATHY\ANA LUISA 2010\CERTIFICADO DE HIPOTECAS Y GRAV\AZUCENA.doc", "Abrir Documento")</f>
        <v>0</v>
      </c>
      <c r="D1305" t="s">
        <v>23501</v>
      </c>
      <c r="E1305" t="s">
        <v>24804</v>
      </c>
    </row>
    <row r="1306" spans="1:5">
      <c r="A1306" t="s">
        <v>5</v>
      </c>
      <c r="B1306" t="s">
        <v>1311</v>
      </c>
      <c r="C1306">
        <f>HYPERLINK("C:\Users\franc\OneDrive\Documentos\ALIRO\ALIRO\KATHY\ANA LUISA 2010\CERTIFICADO DE HIPOTECAS Y GRAV\AZUCENA (2018).doc", "Abrir Documento")</f>
        <v>0</v>
      </c>
      <c r="D1306" t="s">
        <v>23501</v>
      </c>
      <c r="E1306" t="s">
        <v>24805</v>
      </c>
    </row>
    <row r="1307" spans="1:5">
      <c r="A1307" t="s">
        <v>5</v>
      </c>
      <c r="B1307" t="s">
        <v>1312</v>
      </c>
      <c r="C1307">
        <f>HYPERLINK("C:\Users\franc\OneDrive\Documentos\ALIRO\ALIRO\KATHY\ANA LUISA 2010\CERTIFICADO DE HIPOTECAS Y GRAV\AURORA 1 A 2.doc", "Abrir Documento")</f>
        <v>0</v>
      </c>
      <c r="D1307" t="s">
        <v>23501</v>
      </c>
      <c r="E1307" t="s">
        <v>24806</v>
      </c>
    </row>
    <row r="1308" spans="1:5">
      <c r="A1308" t="s">
        <v>5</v>
      </c>
      <c r="B1308" t="s">
        <v>1313</v>
      </c>
      <c r="C1308">
        <f>HYPERLINK("C:\Users\franc\OneDrive\Documentos\ALIRO\ALIRO\KATHY\ANA LUISA 2010\CERTIFICADO DE HIPOTECAS Y GRAV\ARCO IRIS 1 A 20.doc", "Abrir Documento")</f>
        <v>0</v>
      </c>
      <c r="D1308" t="s">
        <v>23501</v>
      </c>
      <c r="E1308" t="s">
        <v>24807</v>
      </c>
    </row>
    <row r="1309" spans="1:5">
      <c r="A1309" t="s">
        <v>5</v>
      </c>
      <c r="B1309" t="s">
        <v>1314</v>
      </c>
      <c r="C1309">
        <f>HYPERLINK("C:\Users\franc\OneDrive\Documentos\ALIRO\ALIRO\KATHY\ANA LUISA 2010\CERTIFICADO DE HIPOTECAS Y GRAV\ANA LUISA II 1 AL 68  -  COMPAÑIA MINERA PUNITAQUI SCM.doc", "Abrir Documento")</f>
        <v>0</v>
      </c>
      <c r="D1309" t="s">
        <v>23501</v>
      </c>
      <c r="E1309" t="s">
        <v>24808</v>
      </c>
    </row>
    <row r="1310" spans="1:5">
      <c r="A1310" t="s">
        <v>5</v>
      </c>
      <c r="B1310" t="s">
        <v>1315</v>
      </c>
      <c r="C1310">
        <f>HYPERLINK("C:\Users\franc\OneDrive\Documentos\ALIRO\ALIRO\KATHY\ANA LUISA 2010\CERTIFICADO DE HIPOTECAS Y GRAV\ANA LUISA I 1 AL 140  -  COMPAÑIA MINERA PUNITAQUI SCM.doc", "Abrir Documento")</f>
        <v>0</v>
      </c>
      <c r="D1310" t="s">
        <v>23501</v>
      </c>
      <c r="E1310" t="s">
        <v>24809</v>
      </c>
    </row>
    <row r="1311" spans="1:5">
      <c r="A1311" t="s">
        <v>5</v>
      </c>
      <c r="B1311" t="s">
        <v>1316</v>
      </c>
      <c r="C1311">
        <f>HYPERLINK("C:\Users\franc\OneDrive\Documentos\ALIRO\ALIRO\KATHY\ANA LUISA 2010\CERTIFICADO DE HIPOTECAS Y GRAV\AMPLIACION UNA A AMPLIACION DIECISEIS.doc", "Abrir Documento")</f>
        <v>0</v>
      </c>
      <c r="D1311" t="s">
        <v>23501</v>
      </c>
      <c r="E1311" t="s">
        <v>24810</v>
      </c>
    </row>
    <row r="1312" spans="1:5">
      <c r="A1312" t="s">
        <v>5</v>
      </c>
      <c r="B1312" t="s">
        <v>1317</v>
      </c>
      <c r="C1312">
        <f>HYPERLINK("C:\Users\franc\OneDrive\Documentos\ALIRO\ALIRO\KATHY\ANA LUISA 2010\CERTIFICADO DE HIPOTECAS Y GRAV\ALEMANIA (2018).doc", "Abrir Documento")</f>
        <v>0</v>
      </c>
      <c r="D1312" t="s">
        <v>23501</v>
      </c>
      <c r="E1312" t="s">
        <v>24811</v>
      </c>
    </row>
    <row r="1313" spans="1:5">
      <c r="A1313" t="s">
        <v>5</v>
      </c>
      <c r="B1313" t="s">
        <v>1318</v>
      </c>
      <c r="C1313">
        <f>HYPERLINK("C:\Users\franc\OneDrive\Documentos\ALIRO\ALIRO\KATHY\ANA LUISA 2010\CERTIFICADO DE HIPOTECAS Y GRAV\ALBA (2018).doc", "Abrir Documento")</f>
        <v>0</v>
      </c>
      <c r="D1313" t="s">
        <v>23501</v>
      </c>
      <c r="E1313" t="s">
        <v>24812</v>
      </c>
    </row>
    <row r="1314" spans="1:5">
      <c r="A1314" t="s">
        <v>5</v>
      </c>
      <c r="B1314" t="s">
        <v>1319</v>
      </c>
      <c r="C1314">
        <f>HYPERLINK("C:\Users\franc\OneDrive\Documentos\ALIRO\ALIRO\KATHY\ANA LUISA 2010\CERTIFICADO DE HIPOTECAS Y GRAV\AGUADA.doc", "Abrir Documento")</f>
        <v>0</v>
      </c>
      <c r="D1314" t="s">
        <v>23501</v>
      </c>
      <c r="E1314" t="s">
        <v>24813</v>
      </c>
    </row>
    <row r="1315" spans="1:5">
      <c r="A1315" t="s">
        <v>5</v>
      </c>
      <c r="B1315" t="s">
        <v>1320</v>
      </c>
      <c r="C1315">
        <f>HYPERLINK("C:\Users\franc\OneDrive\Documentos\ALIRO\ALIRO\KATHY\ANA LUISA 2010\CERTIFICADO DE HIPOTECAS Y GRAV\ADRIANITA 1 AL 35.doc", "Abrir Documento")</f>
        <v>0</v>
      </c>
      <c r="D1315" t="s">
        <v>23501</v>
      </c>
      <c r="E1315" t="s">
        <v>24814</v>
      </c>
    </row>
    <row r="1316" spans="1:5">
      <c r="A1316" t="s">
        <v>5</v>
      </c>
      <c r="B1316" t="s">
        <v>1321</v>
      </c>
      <c r="C1316">
        <f>HYPERLINK("C:\Users\franc\OneDrive\Documentos\ALIRO\ALIRO\KATHY\ANA LUISA 2010\CERTIFICADO DE HIPOTECAS Y GRAV\ADOLFO, RAMON, EL COBRE, EL ORO.doc", "Abrir Documento")</f>
        <v>0</v>
      </c>
      <c r="D1316" t="s">
        <v>23501</v>
      </c>
      <c r="E1316" t="s">
        <v>24815</v>
      </c>
    </row>
    <row r="1317" spans="1:5">
      <c r="A1317" t="s">
        <v>5</v>
      </c>
      <c r="B1317" t="s">
        <v>1322</v>
      </c>
      <c r="C1317">
        <f>HYPERLINK("C:\Users\franc\OneDrive\Documentos\ALIRO\ALIRO\KATHY\ANA LUISA 2010\CERTIFICADO DE HIPOTECAS Y GRAV\ADOLFO (2018).doc", "Abrir Documento")</f>
        <v>0</v>
      </c>
      <c r="D1317" t="s">
        <v>23501</v>
      </c>
      <c r="E1317" t="s">
        <v>24816</v>
      </c>
    </row>
    <row r="1318" spans="1:5">
      <c r="A1318" t="s">
        <v>5</v>
      </c>
      <c r="B1318" t="s">
        <v>1323</v>
      </c>
      <c r="C1318">
        <f>HYPERLINK("C:\Users\franc\OneDrive\Documentos\ALIRO\ALIRO\KATHY\ANA LUISA 2010\CERTIFICADO DE HIPOTECAS Y GRAV\ABANDONADA.doc", "Abrir Documento")</f>
        <v>0</v>
      </c>
      <c r="D1318" t="s">
        <v>23501</v>
      </c>
      <c r="E1318" t="s">
        <v>24817</v>
      </c>
    </row>
    <row r="1319" spans="1:5">
      <c r="A1319" t="s">
        <v>5</v>
      </c>
      <c r="B1319" t="s">
        <v>1324</v>
      </c>
      <c r="C1319">
        <f>HYPERLINK("C:\Users\franc\OneDrive\Documentos\ALIRO\ALIRO\KATHY\ANA LUISA 2010\CERTIFICADO DE DOMINIO SOC. LEGAL MINERA\SOCIEDAD SANTA LAURA UNO DE PUNITAQUI.doc", "Abrir Documento")</f>
        <v>0</v>
      </c>
      <c r="D1319" t="s">
        <v>23500</v>
      </c>
      <c r="E1319" t="s">
        <v>24818</v>
      </c>
    </row>
    <row r="1320" spans="1:5">
      <c r="A1320" t="s">
        <v>5</v>
      </c>
      <c r="B1320" t="s">
        <v>1325</v>
      </c>
      <c r="C1320">
        <f>HYPERLINK("C:\Users\franc\OneDrive\Documentos\ALIRO\ALIRO\KATHY\ANA LUISA 2010\CERTIFICADO DE DOMINIO SOC. LEGAL MINERA\SOCIEDAD ROCIO SIETE DE PUNITAQUI.doc", "Abrir Documento")</f>
        <v>0</v>
      </c>
      <c r="D1320" t="s">
        <v>23500</v>
      </c>
      <c r="E1320" t="s">
        <v>24819</v>
      </c>
    </row>
    <row r="1321" spans="1:5">
      <c r="A1321" t="s">
        <v>5</v>
      </c>
      <c r="B1321" t="s">
        <v>1326</v>
      </c>
      <c r="C1321">
        <f>HYPERLINK("C:\Users\franc\OneDrive\Documentos\ALIRO\ALIRO\KATHY\ANA LUISA 2010\CERTIFICADO DE DOMINIO SOC. LEGAL MINERA\SOCIEDAD BICKMAR UNO DEL SECTOR LOS POZOS.doc", "Abrir Documento")</f>
        <v>0</v>
      </c>
      <c r="D1321" t="s">
        <v>23500</v>
      </c>
      <c r="E1321" t="s">
        <v>24820</v>
      </c>
    </row>
    <row r="1322" spans="1:5">
      <c r="A1322" t="s">
        <v>5</v>
      </c>
      <c r="B1322" t="s">
        <v>1327</v>
      </c>
      <c r="C1322">
        <f>HYPERLINK("C:\Users\franc\OneDrive\Documentos\ALIRO\ALIRO\KATHY\ANA LUISA 2010\CERTIFICADO DE DOMINIO SOC. LEGAL MINERA\COMPAÑIA MINERA DEMETRIO TELLO - NOMBRAMIENTO GERENTE.doc", "Abrir Documento")</f>
        <v>0</v>
      </c>
      <c r="D1322" t="s">
        <v>23501</v>
      </c>
      <c r="E1322" t="s">
        <v>24821</v>
      </c>
    </row>
    <row r="1323" spans="1:5">
      <c r="A1323" t="s">
        <v>5</v>
      </c>
      <c r="B1323" t="s">
        <v>1328</v>
      </c>
      <c r="C1323">
        <f>HYPERLINK("C:\Users\franc\OneDrive\Documentos\ALIRO\ALIRO\KATHY\ANA LUISA 2010\CERTIFICADO DE DOMINIO SOC. LEGAL MINERA\COMPAÑIA MINERA DEMETRIO TELLO - NOMBRAMIENTO GERENTE año 2022.doc", "Abrir Documento")</f>
        <v>0</v>
      </c>
      <c r="D1323" t="s">
        <v>23501</v>
      </c>
      <c r="E1323" t="s">
        <v>24822</v>
      </c>
    </row>
    <row r="1324" spans="1:5">
      <c r="A1324" t="s">
        <v>5</v>
      </c>
      <c r="B1324" t="s">
        <v>1329</v>
      </c>
      <c r="C1324">
        <f>HYPERLINK("C:\Users\franc\OneDrive\Documentos\ALIRO\ALIRO\KATHY\ANA LUISA 2010\CERTIFICADO DE DOMINIO SOC. LEGAL MINERA\COMPAÑIA MINERA DEMETRIO TELLO - NOMBRAMIENTO GERENTE 2022.doc", "Abrir Documento")</f>
        <v>0</v>
      </c>
      <c r="D1324" t="s">
        <v>23501</v>
      </c>
      <c r="E1324" t="s">
        <v>24823</v>
      </c>
    </row>
    <row r="1325" spans="1:5">
      <c r="A1325" t="s">
        <v>5</v>
      </c>
      <c r="B1325" t="s">
        <v>1330</v>
      </c>
      <c r="C1325">
        <f>HYPERLINK("C:\Users\franc\OneDrive\Documentos\ALIRO\ALIRO\KATHY\ANA LUISA 2010\ANA LUISA 2010\VARIOS\NOTA MARGINAL CADUCIDAD DE PERTENENCIAS (TRIBUNAL).doc", "Abrir Documento")</f>
        <v>0</v>
      </c>
      <c r="D1325" t="s">
        <v>23501</v>
      </c>
      <c r="E1325" t="s">
        <v>24824</v>
      </c>
    </row>
    <row r="1326" spans="1:5">
      <c r="A1326" t="s">
        <v>5</v>
      </c>
      <c r="B1326" t="s">
        <v>1331</v>
      </c>
      <c r="C1326">
        <f>HYPERLINK("C:\Users\franc\OneDrive\Documentos\ALIRO\ALIRO\KATHY\ANA LUISA 2010\ANA LUISA 2010\VARIOS\NOMBRE, ROL, GATO, JAGUAR Y OTRAS.docx", "Abrir Documento")</f>
        <v>0</v>
      </c>
      <c r="D1326" t="s">
        <v>23501</v>
      </c>
      <c r="E1326" t="s">
        <v>24825</v>
      </c>
    </row>
    <row r="1327" spans="1:5">
      <c r="A1327" t="s">
        <v>5</v>
      </c>
      <c r="B1327" t="s">
        <v>1332</v>
      </c>
      <c r="C1327">
        <f>HYPERLINK("C:\Users\franc\OneDrive\Documentos\ALIRO\ALIRO\KATHY\ANA LUISA 2010\ANA LUISA 2010\VARIOS\MINISTRO VISITADOR CONSERVADOR DE MINAS.doc", "Abrir Documento")</f>
        <v>0</v>
      </c>
      <c r="D1327" t="s">
        <v>23501</v>
      </c>
      <c r="E1327" t="s">
        <v>24826</v>
      </c>
    </row>
    <row r="1328" spans="1:5">
      <c r="A1328" t="s">
        <v>5</v>
      </c>
      <c r="B1328" t="s">
        <v>1333</v>
      </c>
      <c r="C1328">
        <f>HYPERLINK("C:\Users\franc\OneDrive\Documentos\ALIRO\ALIRO\KATHY\ANA LUISA 2010\ANA LUISA 2010\VARIOS\MARGEN IZQUIERDO.doc", "Abrir Documento")</f>
        <v>0</v>
      </c>
      <c r="D1328" t="s">
        <v>23501</v>
      </c>
      <c r="E1328" t="s">
        <v>24827</v>
      </c>
    </row>
    <row r="1329" spans="1:5">
      <c r="A1329" t="s">
        <v>5</v>
      </c>
      <c r="B1329" t="s">
        <v>1334</v>
      </c>
      <c r="C1329">
        <f>HYPERLINK("C:\Users\franc\OneDrive\Documentos\ALIRO\ALIRO\KATHY\ANA LUISA 2010\ANA LUISA 2010\VARIOS\MARGEN IZQUIERDO Alzamiento Hipoteca.doc", "Abrir Documento")</f>
        <v>0</v>
      </c>
      <c r="D1329" t="s">
        <v>23501</v>
      </c>
      <c r="E1329" t="s">
        <v>24828</v>
      </c>
    </row>
    <row r="1330" spans="1:5">
      <c r="A1330" t="s">
        <v>5</v>
      </c>
      <c r="B1330" t="s">
        <v>1335</v>
      </c>
      <c r="C1330">
        <f>HYPERLINK("C:\Users\franc\OneDrive\Documentos\ALIRO\ALIRO\KATHY\ANA LUISA 2010\ANA LUISA 2010\VARIOS\MARGEN IZQUIERDO Alzamiento Hipoteca y Prohibición.doc", "Abrir Documento")</f>
        <v>0</v>
      </c>
      <c r="D1330" t="s">
        <v>23501</v>
      </c>
      <c r="E1330" t="s">
        <v>24829</v>
      </c>
    </row>
    <row r="1331" spans="1:5">
      <c r="A1331" t="s">
        <v>5</v>
      </c>
      <c r="B1331" t="s">
        <v>1336</v>
      </c>
      <c r="C1331">
        <f>HYPERLINK("C:\Users\franc\OneDrive\Documentos\ALIRO\ALIRO\KATHY\ANA LUISA 2010\ANA LUISA 2010\VARIOS\MARGEN IZQUIERDO Aceptacion de Compra.doc", "Abrir Documento")</f>
        <v>0</v>
      </c>
      <c r="D1331" t="s">
        <v>23501</v>
      </c>
      <c r="E1331" t="s">
        <v>24830</v>
      </c>
    </row>
    <row r="1332" spans="1:5">
      <c r="A1332" t="s">
        <v>5</v>
      </c>
      <c r="B1332" t="s">
        <v>1337</v>
      </c>
      <c r="C1332">
        <f>HYPERLINK("C:\Users\franc\OneDrive\Documentos\ALIRO\ALIRO\KATHY\ANA LUISA 2010\ANA LUISA 2010\VARIOS\MARGEN DERECHOHIPOTECA Y PROHIBICION.doc", "Abrir Documento")</f>
        <v>0</v>
      </c>
      <c r="D1332" t="s">
        <v>23501</v>
      </c>
      <c r="E1332" t="s">
        <v>24831</v>
      </c>
    </row>
    <row r="1333" spans="1:5">
      <c r="A1333" t="s">
        <v>5</v>
      </c>
      <c r="B1333" t="s">
        <v>1338</v>
      </c>
      <c r="C1333">
        <f>HYPERLINK("C:\Users\franc\OneDrive\Documentos\ALIRO\ALIRO\KATHY\ANA LUISA 2010\ANA LUISA 2010\VARIOS\MARGEN DERECHO TRANSFERENCIA.doc", "Abrir Documento")</f>
        <v>0</v>
      </c>
      <c r="D1333" t="s">
        <v>23501</v>
      </c>
      <c r="E1333" t="s">
        <v>24832</v>
      </c>
    </row>
    <row r="1334" spans="1:5">
      <c r="A1334" t="s">
        <v>5</v>
      </c>
      <c r="B1334" t="s">
        <v>1339</v>
      </c>
      <c r="C1334">
        <f>HYPERLINK("C:\Users\franc\OneDrive\Documentos\ALIRO\ALIRO\KATHY\ANA LUISA 2010\ANA LUISA 2010\VARIOS\MARGEN DERECHO TERMINO ARRIENDO 2.doc", "Abrir Documento")</f>
        <v>0</v>
      </c>
      <c r="D1334" t="s">
        <v>23501</v>
      </c>
      <c r="E1334" t="s">
        <v>24833</v>
      </c>
    </row>
    <row r="1335" spans="1:5">
      <c r="A1335" t="s">
        <v>5</v>
      </c>
      <c r="B1335" t="s">
        <v>1340</v>
      </c>
      <c r="C1335">
        <f>HYPERLINK("C:\Users\franc\OneDrive\Documentos\ALIRO\ALIRO\KATHY\ANA LUISA 2010\ANA LUISA 2010\VARIOS\MARGEN DERECHO SLM.doc", "Abrir Documento")</f>
        <v>0</v>
      </c>
      <c r="D1335" t="s">
        <v>23501</v>
      </c>
      <c r="E1335" t="s">
        <v>24834</v>
      </c>
    </row>
    <row r="1336" spans="1:5">
      <c r="A1336" t="s">
        <v>5</v>
      </c>
      <c r="B1336" t="s">
        <v>1341</v>
      </c>
      <c r="C1336">
        <f>HYPERLINK("C:\Users\franc\OneDrive\Documentos\ALIRO\ALIRO\KATHY\ANA LUISA 2010\ANA LUISA 2010\VARIOS\Margen Derecho Santa nicole.doc", "Abrir Documento")</f>
        <v>0</v>
      </c>
      <c r="D1336" t="s">
        <v>23501</v>
      </c>
      <c r="E1336" t="s">
        <v>24835</v>
      </c>
    </row>
    <row r="1337" spans="1:5">
      <c r="A1337" t="s">
        <v>5</v>
      </c>
      <c r="B1337" t="s">
        <v>1342</v>
      </c>
      <c r="C1337">
        <f>HYPERLINK("C:\Users\franc\OneDrive\Documentos\ALIRO\ALIRO\KATHY\ANA LUISA 2010\ANA LUISA 2010\VARIOS\MARGEN DERECHO RENDICION DE CUENTAS.doc", "Abrir Documento")</f>
        <v>0</v>
      </c>
      <c r="D1337" t="s">
        <v>23501</v>
      </c>
      <c r="E1337" t="s">
        <v>24836</v>
      </c>
    </row>
    <row r="1338" spans="1:5">
      <c r="A1338" t="s">
        <v>5</v>
      </c>
      <c r="B1338" t="s">
        <v>1343</v>
      </c>
      <c r="C1338">
        <f>HYPERLINK("C:\Users\franc\OneDrive\Documentos\ALIRO\ALIRO\KATHY\ANA LUISA 2010\ANA LUISA 2010\VARIOS\MARGEN DERECHO Modificación Contrato Esperanza tres 1 al 18.doc", "Abrir Documento")</f>
        <v>0</v>
      </c>
      <c r="D1338" t="s">
        <v>23501</v>
      </c>
      <c r="E1338" t="s">
        <v>24837</v>
      </c>
    </row>
    <row r="1339" spans="1:5">
      <c r="A1339" t="s">
        <v>5</v>
      </c>
      <c r="B1339" t="s">
        <v>1344</v>
      </c>
      <c r="C1339">
        <f>HYPERLINK("C:\Users\franc\OneDrive\Documentos\ALIRO\ALIRO\KATHY\ANA LUISA 2010\ANA LUISA 2010\VARIOS\Margen Derecho Manantial.doc", "Abrir Documento")</f>
        <v>0</v>
      </c>
      <c r="D1339" t="s">
        <v>23501</v>
      </c>
      <c r="E1339" t="s">
        <v>24838</v>
      </c>
    </row>
    <row r="1340" spans="1:5">
      <c r="A1340" t="s">
        <v>5</v>
      </c>
      <c r="B1340" t="s">
        <v>1345</v>
      </c>
      <c r="C1340">
        <f>HYPERLINK("C:\Users\franc\OneDrive\Documentos\ALIRO\ALIRO\KATHY\ANA LUISA 2010\ANA LUISA 2010\VARIOS\MARGEN DERECHO JUNTA DE ACCIONISTAS.doc", "Abrir Documento")</f>
        <v>0</v>
      </c>
      <c r="D1340" t="s">
        <v>23501</v>
      </c>
      <c r="E1340" t="s">
        <v>24839</v>
      </c>
    </row>
    <row r="1341" spans="1:5">
      <c r="A1341" t="s">
        <v>5</v>
      </c>
      <c r="B1341" t="s">
        <v>1346</v>
      </c>
      <c r="C1341">
        <f>HYPERLINK("C:\Users\franc\OneDrive\Documentos\ALIRO\ALIRO\KATHY\ANA LUISA 2010\ANA LUISA 2010\VARIOS\MARGEN DERECHO JUNTA DE ACCIONISTAS (VARIOS).doc", "Abrir Documento")</f>
        <v>0</v>
      </c>
      <c r="D1341" t="s">
        <v>23501</v>
      </c>
      <c r="E1341" t="s">
        <v>24840</v>
      </c>
    </row>
    <row r="1342" spans="1:5">
      <c r="A1342" t="s">
        <v>5</v>
      </c>
      <c r="B1342" t="s">
        <v>1347</v>
      </c>
      <c r="C1342">
        <f>HYPERLINK("C:\Users\franc\OneDrive\Documentos\ALIRO\ALIRO\KATHY\ANA LUISA 2010\ANA LUISA 2010\VARIOS\Margen Derecho Hipoteca y Prohibición 2.doc", "Abrir Documento")</f>
        <v>0</v>
      </c>
      <c r="D1342" t="s">
        <v>23501</v>
      </c>
      <c r="E1342" t="s">
        <v>24841</v>
      </c>
    </row>
    <row r="1343" spans="1:5">
      <c r="A1343" t="s">
        <v>5</v>
      </c>
      <c r="B1343" t="s">
        <v>1348</v>
      </c>
      <c r="C1343">
        <f>HYPERLINK("C:\Users\franc\OneDrive\Documentos\ALIRO\ALIRO\KATHY\ANA LUISA 2010\ANA LUISA 2010\VARIOS\MARGEN DERECHO EXTRACTO.doc", "Abrir Documento")</f>
        <v>0</v>
      </c>
      <c r="D1343" t="s">
        <v>23501</v>
      </c>
      <c r="E1343" t="s">
        <v>24842</v>
      </c>
    </row>
    <row r="1344" spans="1:5">
      <c r="A1344" t="s">
        <v>5</v>
      </c>
      <c r="B1344" t="s">
        <v>1349</v>
      </c>
      <c r="C1344">
        <f>HYPERLINK("C:\Users\franc\OneDrive\Documentos\ALIRO\ALIRO\KATHY\ANA LUISA 2010\ANA LUISA 2010\VARIOS\MARGEN DERECHO CDUCIDAD DE DERECHOS.doc", "Abrir Documento")</f>
        <v>0</v>
      </c>
      <c r="D1344" t="s">
        <v>23501</v>
      </c>
      <c r="E1344" t="s">
        <v>24843</v>
      </c>
    </row>
    <row r="1345" spans="1:5">
      <c r="A1345" t="s">
        <v>5</v>
      </c>
      <c r="B1345" t="s">
        <v>1350</v>
      </c>
      <c r="C1345">
        <f>HYPERLINK("C:\Users\franc\OneDrive\Documentos\ALIRO\ALIRO\KATHY\ANA LUISA 2010\ANA LUISA 2010\VARIOS\MARGEN DERECHO Cambio de Nombre.doc", "Abrir Documento")</f>
        <v>0</v>
      </c>
      <c r="D1345" t="s">
        <v>23501</v>
      </c>
      <c r="E1345" t="s">
        <v>24844</v>
      </c>
    </row>
    <row r="1346" spans="1:5">
      <c r="A1346" t="s">
        <v>5</v>
      </c>
      <c r="B1346" t="s">
        <v>1351</v>
      </c>
      <c r="C1346">
        <f>HYPERLINK("C:\Users\franc\OneDrive\Documentos\ALIRO\ALIRO\KATHY\ANA LUISA 2010\ANA LUISA 2010\VARIOS\MARGEN DERECHO Adquisición y dominio.doc", "Abrir Documento")</f>
        <v>0</v>
      </c>
      <c r="D1346" t="s">
        <v>23501</v>
      </c>
      <c r="E1346" t="s">
        <v>24845</v>
      </c>
    </row>
    <row r="1347" spans="1:5">
      <c r="A1347" t="s">
        <v>5</v>
      </c>
      <c r="B1347" t="s">
        <v>1352</v>
      </c>
      <c r="C1347">
        <f>HYPERLINK("C:\Users\franc\OneDrive\Documentos\ALIRO\ALIRO\KATHY\ANA LUISA 2010\ANA LUISA 2010\VARIOS\LEGALIZACION REG. PROPIEDAD.doc", "Abrir Documento")</f>
        <v>0</v>
      </c>
      <c r="D1347" t="s">
        <v>23501</v>
      </c>
      <c r="E1347" t="s">
        <v>24846</v>
      </c>
    </row>
    <row r="1348" spans="1:5">
      <c r="A1348" t="s">
        <v>5</v>
      </c>
      <c r="B1348" t="s">
        <v>1353</v>
      </c>
      <c r="C1348">
        <f>HYPERLINK("C:\Users\franc\OneDrive\Documentos\ALIRO\ALIRO\KATHY\ANA LUISA 2010\ANA LUISA 2010\VARIOS\HOJA ANEXA SIMPLE.doc", "Abrir Documento")</f>
        <v>0</v>
      </c>
      <c r="D1348" t="s">
        <v>23501</v>
      </c>
      <c r="E1348" t="s">
        <v>24847</v>
      </c>
    </row>
    <row r="1349" spans="1:5">
      <c r="A1349" t="s">
        <v>5</v>
      </c>
      <c r="B1349" t="s">
        <v>1354</v>
      </c>
      <c r="C1349">
        <f>HYPERLINK("C:\Users\franc\OneDrive\Documentos\ALIRO\ALIRO\KATHY\ANA LUISA 2010\ANA LUISA 2010\VARIOS\HOJA ANEXA 4.doc", "Abrir Documento")</f>
        <v>0</v>
      </c>
      <c r="D1349" t="s">
        <v>23501</v>
      </c>
      <c r="E1349" t="s">
        <v>24848</v>
      </c>
    </row>
    <row r="1350" spans="1:5">
      <c r="A1350" t="s">
        <v>5</v>
      </c>
      <c r="B1350" t="s">
        <v>1355</v>
      </c>
      <c r="C1350">
        <f>HYPERLINK("C:\Users\franc\OneDrive\Documentos\ALIRO\ALIRO\KATHY\ANA LUISA 2010\ANA LUISA 2010\VARIOS\HOJA ANEXA 3 (punitaqui).doc", "Abrir Documento")</f>
        <v>0</v>
      </c>
      <c r="D1350" t="s">
        <v>23501</v>
      </c>
      <c r="E1350" t="s">
        <v>24849</v>
      </c>
    </row>
    <row r="1351" spans="1:5">
      <c r="A1351" t="s">
        <v>5</v>
      </c>
      <c r="B1351" t="s">
        <v>1356</v>
      </c>
      <c r="C1351">
        <f>HYPERLINK("C:\Users\franc\OneDrive\Documentos\ALIRO\ALIRO\KATHY\ANA LUISA 2010\ANA LUISA 2010\VARIOS\HOJA ANEXA  CERTIFICACION SAN FELIX XIV 1 AL 20 Y OTRAS..doc", "Abrir Documento")</f>
        <v>0</v>
      </c>
      <c r="D1351" t="s">
        <v>23501</v>
      </c>
      <c r="E1351" t="s">
        <v>24850</v>
      </c>
    </row>
    <row r="1352" spans="1:5">
      <c r="A1352" t="s">
        <v>5</v>
      </c>
      <c r="B1352" t="s">
        <v>1357</v>
      </c>
      <c r="C1352">
        <f>HYPERLINK("C:\Users\franc\OneDrive\Documentos\ALIRO\ALIRO\KATHY\ANA LUISA 2010\ANA LUISA 2010\VARIOS\HOJA ANEXA  CERTIFICACION RENDICION DE CUENTAS Y APORTES SOFIA, VIENTO Y CHELO.doc", "Abrir Documento")</f>
        <v>0</v>
      </c>
      <c r="D1352" t="s">
        <v>23501</v>
      </c>
      <c r="E1352" t="s">
        <v>24851</v>
      </c>
    </row>
    <row r="1353" spans="1:5">
      <c r="A1353" t="s">
        <v>5</v>
      </c>
      <c r="B1353" t="s">
        <v>1358</v>
      </c>
      <c r="C1353">
        <f>HYPERLINK("C:\Users\franc\OneDrive\Documentos\ALIRO\ALIRO\KATHY\ANA LUISA 2010\ANA LUISA 2010\VARIOS\HOJA ANEXA  CERTIFICACION RENDICION DE CUENTAS RANGER.doc", "Abrir Documento")</f>
        <v>0</v>
      </c>
      <c r="D1353" t="s">
        <v>23501</v>
      </c>
      <c r="E1353" t="s">
        <v>24852</v>
      </c>
    </row>
    <row r="1354" spans="1:5">
      <c r="A1354" t="s">
        <v>5</v>
      </c>
      <c r="B1354" t="s">
        <v>1359</v>
      </c>
      <c r="C1354">
        <f>HYPERLINK("C:\Users\franc\OneDrive\Documentos\ALIRO\ALIRO\KATHY\ANA LUISA 2010\ANA LUISA 2010\VARIOS\HOJA ANEXA  CERTIFICACION APORTES CODELCO.doc", "Abrir Documento")</f>
        <v>0</v>
      </c>
      <c r="D1354" t="s">
        <v>23501</v>
      </c>
      <c r="E1354" t="s">
        <v>24853</v>
      </c>
    </row>
    <row r="1355" spans="1:5">
      <c r="A1355" t="s">
        <v>5</v>
      </c>
      <c r="B1355" t="s">
        <v>1360</v>
      </c>
      <c r="C1355">
        <f>HYPERLINK("C:\Users\franc\OneDrive\Documentos\ALIRO\ALIRO\KATHY\ANA LUISA 2010\ANA LUISA 2010\VARIOS\FOJAS.doc", "Abrir Documento")</f>
        <v>0</v>
      </c>
      <c r="D1355" t="s">
        <v>23500</v>
      </c>
      <c r="E1355" t="s">
        <v>24854</v>
      </c>
    </row>
    <row r="1356" spans="1:5">
      <c r="A1356" t="s">
        <v>5</v>
      </c>
      <c r="B1356" t="s">
        <v>1361</v>
      </c>
      <c r="C1356">
        <f>HYPERLINK("C:\Users\franc\OneDrive\Documentos\ALIRO\ALIRO\KATHY\ANA LUISA 2010\ANA LUISA 2010\VARIOS\FOJAS FINALacc.doc", "Abrir Documento")</f>
        <v>0</v>
      </c>
      <c r="D1356" t="s">
        <v>23500</v>
      </c>
      <c r="E1356" t="s">
        <v>24855</v>
      </c>
    </row>
    <row r="1357" spans="1:5">
      <c r="A1357" t="s">
        <v>5</v>
      </c>
      <c r="B1357" t="s">
        <v>1362</v>
      </c>
      <c r="C1357">
        <f>HYPERLINK("C:\Users\franc\OneDrive\Documentos\ALIRO\ALIRO\KATHY\ANA LUISA 2010\ANA LUISA 2010\VARIOS\FOJAS FINAL.doc", "Abrir Documento")</f>
        <v>0</v>
      </c>
      <c r="D1357" t="s">
        <v>23500</v>
      </c>
      <c r="E1357" t="s">
        <v>24856</v>
      </c>
    </row>
    <row r="1358" spans="1:5">
      <c r="A1358" t="s">
        <v>5</v>
      </c>
      <c r="B1358" t="s">
        <v>1363</v>
      </c>
      <c r="C1358">
        <f>HYPERLINK("C:\Users\franc\OneDrive\Documentos\ALIRO\ALIRO\KATHY\ANA LUISA 2010\ANA LUISA 2010\VARIOS\DOCUMENTOS PROTOCOLIZADOS REGISTRO DE GRAVÁMENES Y PROHIBICIONES DE ACCIONISTAS DE MINAS.docx", "Abrir Documento")</f>
        <v>0</v>
      </c>
      <c r="D1358" t="s">
        <v>23501</v>
      </c>
      <c r="E1358" t="s">
        <v>24857</v>
      </c>
    </row>
    <row r="1359" spans="1:5">
      <c r="A1359" t="s">
        <v>5</v>
      </c>
      <c r="B1359" t="s">
        <v>1364</v>
      </c>
      <c r="C1359">
        <f>HYPERLINK("C:\Users\franc\OneDrive\Documentos\ALIRO\ALIRO\KATHY\ANA LUISA 2010\ANA LUISA 2010\VARIOS\DECLARACION JURADA.doc", "Abrir Documento")</f>
        <v>0</v>
      </c>
      <c r="D1359" t="s">
        <v>23501</v>
      </c>
      <c r="E1359" t="s">
        <v>24858</v>
      </c>
    </row>
    <row r="1360" spans="1:5">
      <c r="A1360" t="s">
        <v>5</v>
      </c>
      <c r="B1360" t="s">
        <v>1365</v>
      </c>
      <c r="C1360">
        <f>HYPERLINK("C:\Users\franc\OneDrive\Documentos\ALIRO\ALIRO\KATHY\ANA LUISA 2010\ANA LUISA 2010\VARIOS\CERTIFICADO.doc", "Abrir Documento")</f>
        <v>0</v>
      </c>
      <c r="D1360" t="s">
        <v>23501</v>
      </c>
      <c r="E1360" t="s">
        <v>24859</v>
      </c>
    </row>
    <row r="1361" spans="1:5">
      <c r="A1361" t="s">
        <v>5</v>
      </c>
      <c r="B1361" t="s">
        <v>1366</v>
      </c>
      <c r="C1361">
        <f>HYPERLINK("C:\Users\franc\OneDrive\Documentos\ALIRO\ALIRO\KATHY\ANA LUISA 2010\ANA LUISA 2010\VARIOS\CERTIFICADO ENAMI.doc", "Abrir Documento")</f>
        <v>0</v>
      </c>
      <c r="D1361" t="s">
        <v>23501</v>
      </c>
      <c r="E1361" t="s">
        <v>24860</v>
      </c>
    </row>
    <row r="1362" spans="1:5">
      <c r="A1362" t="s">
        <v>5</v>
      </c>
      <c r="B1362" t="s">
        <v>1367</v>
      </c>
      <c r="C1362">
        <f>HYPERLINK("C:\Users\franc\OneDrive\Documentos\ALIRO\ALIRO\KATHY\ANA LUISA 2010\ANA LUISA 2010\VARIOS\CARTA PODER MAMA.doc", "Abrir Documento")</f>
        <v>0</v>
      </c>
      <c r="D1362" t="s">
        <v>23501</v>
      </c>
      <c r="E1362" t="s">
        <v>24861</v>
      </c>
    </row>
    <row r="1363" spans="1:5">
      <c r="A1363" t="s">
        <v>5</v>
      </c>
      <c r="B1363" t="s">
        <v>1368</v>
      </c>
      <c r="C1363">
        <f>HYPERLINK("C:\Users\franc\OneDrive\Documentos\ALIRO\ALIRO\KATHY\ANA LUISA 2010\ANA LUISA 2010\VARIOS\CARTA NICOL SOLIS.doc", "Abrir Documento")</f>
        <v>0</v>
      </c>
      <c r="D1363" t="s">
        <v>23501</v>
      </c>
      <c r="E1363" t="s">
        <v>24862</v>
      </c>
    </row>
    <row r="1364" spans="1:5">
      <c r="A1364" t="s">
        <v>5</v>
      </c>
      <c r="B1364" t="s">
        <v>1369</v>
      </c>
      <c r="C1364">
        <f>HYPERLINK("C:\Users\franc\OneDrive\Documentos\ALIRO\ALIRO\KATHY\ANA LUISA 2010\ANA LUISA 2010\VARIOS\CARTA MARIA PULGAR.doc", "Abrir Documento")</f>
        <v>0</v>
      </c>
      <c r="D1364" t="s">
        <v>23501</v>
      </c>
      <c r="E1364" t="s">
        <v>24863</v>
      </c>
    </row>
    <row r="1365" spans="1:5">
      <c r="A1365" t="s">
        <v>5</v>
      </c>
      <c r="B1365" t="s">
        <v>1370</v>
      </c>
      <c r="C1365">
        <f>HYPERLINK("C:\Users\franc\OneDrive\Documentos\ALIRO\ALIRO\KATHY\ANA LUISA 2010\ANA LUISA 2010\VARIOS\CARTA JUZGADO CON LOGO.doc", "Abrir Documento")</f>
        <v>0</v>
      </c>
      <c r="D1365" t="s">
        <v>23501</v>
      </c>
      <c r="E1365" t="s">
        <v>24864</v>
      </c>
    </row>
    <row r="1366" spans="1:5">
      <c r="A1366" t="s">
        <v>5</v>
      </c>
      <c r="B1366" t="s">
        <v>1371</v>
      </c>
      <c r="C1366">
        <f>HYPERLINK("C:\Users\franc\OneDrive\Documentos\ALIRO\ALIRO\KATHY\ANA LUISA 2010\ANA LUISA 2010\VARIOS\CARTA Javier Poblete.doc", "Abrir Documento")</f>
        <v>0</v>
      </c>
      <c r="D1366" t="s">
        <v>23501</v>
      </c>
      <c r="E1366" t="s">
        <v>24865</v>
      </c>
    </row>
    <row r="1367" spans="1:5">
      <c r="A1367" t="s">
        <v>5</v>
      </c>
      <c r="B1367" t="s">
        <v>1372</v>
      </c>
      <c r="C1367">
        <f>HYPERLINK("C:\Users\franc\OneDrive\Documentos\ALIRO\ALIRO\KATHY\ANA LUISA 2010\ANA LUISA 2010\VARIOS\AUTORIZACION PROPIEDAD HORIZONTAL.doc", "Abrir Documento")</f>
        <v>0</v>
      </c>
      <c r="D1367" t="s">
        <v>23501</v>
      </c>
      <c r="E1367" t="s">
        <v>24866</v>
      </c>
    </row>
    <row r="1368" spans="1:5">
      <c r="A1368" t="s">
        <v>5</v>
      </c>
      <c r="B1368" t="s">
        <v>1373</v>
      </c>
      <c r="C1368">
        <f>HYPERLINK("C:\Users\franc\OneDrive\Documentos\ALIRO\ALIRO\KATHY\ANA LUISA 2010\ANA LUISA 2010\VARIOS\AUTORIZACION DESCUBRIMIENTOS VERTICAL DERECHO.doc", "Abrir Documento")</f>
        <v>0</v>
      </c>
      <c r="D1368" t="s">
        <v>23501</v>
      </c>
      <c r="E1368" t="s">
        <v>24867</v>
      </c>
    </row>
    <row r="1369" spans="1:5">
      <c r="A1369" t="s">
        <v>5</v>
      </c>
      <c r="B1369" t="s">
        <v>1374</v>
      </c>
      <c r="C1369">
        <f>HYPERLINK("C:\Users\franc\OneDrive\Documentos\ALIRO\ALIRO\KATHY\ANA LUISA 2010\ANA LUISA 2010\VARIOS\AUTORIZACION DE PROTOCOLIZADO DE PROPIEDAD.doc", "Abrir Documento")</f>
        <v>0</v>
      </c>
      <c r="D1369" t="s">
        <v>23501</v>
      </c>
      <c r="E1369" t="s">
        <v>24868</v>
      </c>
    </row>
    <row r="1370" spans="1:5">
      <c r="A1370" t="s">
        <v>5</v>
      </c>
      <c r="B1370" t="s">
        <v>1375</v>
      </c>
      <c r="C1370">
        <f>HYPERLINK("C:\Users\franc\OneDrive\Documentos\ALIRO\ALIRO\KATHY\ANA LUISA 2010\ANA LUISA 2010\TESTAMENTOS\TESTAMENTOS DE HANS GERSTENKORN ADAM.doc", "Abrir Documento")</f>
        <v>0</v>
      </c>
      <c r="D1370" t="s">
        <v>23501</v>
      </c>
      <c r="E1370" t="s">
        <v>24869</v>
      </c>
    </row>
    <row r="1371" spans="1:5">
      <c r="A1371" t="s">
        <v>5</v>
      </c>
      <c r="B1371" t="s">
        <v>1376</v>
      </c>
      <c r="C1371">
        <f>HYPERLINK("C:\Users\franc\OneDrive\Documentos\ALIRO\ALIRO\KATHY\ANA LUISA 2010\ANA LUISA 2010\TESTAMENTOS\TESTAMENTO DE MIGUEL TAPIA LAGUNAS (PROPIEDAD).doc", "Abrir Documento")</f>
        <v>0</v>
      </c>
      <c r="D1371" t="s">
        <v>23501</v>
      </c>
      <c r="E1371" t="s">
        <v>24870</v>
      </c>
    </row>
    <row r="1372" spans="1:5">
      <c r="A1372" t="s">
        <v>5</v>
      </c>
      <c r="B1372" t="s">
        <v>1377</v>
      </c>
      <c r="C1372">
        <f>HYPERLINK("C:\Users\franc\OneDrive\Documentos\ALIRO\ALIRO\KATHY\ANA LUISA 2010\ANA LUISA 2010\TESTAMENTOS\TESTAMENTO DE MIGUEL TAPIA LAGUNAS (ACCIONISTAS).doc", "Abrir Documento")</f>
        <v>0</v>
      </c>
      <c r="D1372" t="s">
        <v>23501</v>
      </c>
      <c r="E1372" t="s">
        <v>24871</v>
      </c>
    </row>
    <row r="1373" spans="1:5">
      <c r="A1373" t="s">
        <v>5</v>
      </c>
      <c r="B1373" t="s">
        <v>1378</v>
      </c>
      <c r="C1373">
        <f>HYPERLINK("C:\Users\franc\OneDrive\Documentos\ALIRO\ALIRO\KATHY\ANA LUISA 2010\ANA LUISA 2010\PROHIBICION\SAN JULIÁN 1 AL 31 Y SAN JULIÁN QUINTO 1 AL 15.- PROHIBICION NEXT MINERALS S.A..doc", "Abrir Documento")</f>
        <v>0</v>
      </c>
      <c r="D1373" t="s">
        <v>23501</v>
      </c>
      <c r="E1373" t="s">
        <v>24872</v>
      </c>
    </row>
    <row r="1374" spans="1:5">
      <c r="A1374" t="s">
        <v>5</v>
      </c>
      <c r="B1374" t="s">
        <v>1379</v>
      </c>
      <c r="C1374">
        <f>HYPERLINK("C:\Users\franc\OneDrive\Documentos\ALIRO\ALIRO\KATHY\ANA LUISA 2010\ANA LUISA 2010\PROHIBICION\LA LOMA 1 AL 10.- PROHIBICION CON RAUL CORTES CODOCEO.doc", "Abrir Documento")</f>
        <v>0</v>
      </c>
      <c r="D1374" t="s">
        <v>23501</v>
      </c>
      <c r="E1374" t="s">
        <v>24873</v>
      </c>
    </row>
    <row r="1375" spans="1:5">
      <c r="A1375" t="s">
        <v>5</v>
      </c>
      <c r="B1375" t="s">
        <v>1380</v>
      </c>
      <c r="C1375">
        <f>HYPERLINK("C:\Users\franc\OneDrive\Documentos\ALIRO\ALIRO\KATHY\ANA LUISA 2010\ANA LUISA 2010\MANIFESTACIONES\MARIA UNA AL SEIS TERCER.doc", "Abrir Documento")</f>
        <v>0</v>
      </c>
      <c r="D1375" t="s">
        <v>23501</v>
      </c>
      <c r="E1375" t="s">
        <v>24874</v>
      </c>
    </row>
    <row r="1376" spans="1:5">
      <c r="A1376" t="s">
        <v>5</v>
      </c>
      <c r="B1376" t="s">
        <v>1381</v>
      </c>
      <c r="C1376">
        <f>HYPERLINK("C:\Users\franc\OneDrive\Documentos\ALIRO\ALIRO\KATHY\ANA LUISA 2010\ANA LUISA 2010\MANIFESTACIONES\DECLARACION JURADA Y RECIBO DE TESTAMENTO.docx", "Abrir Documento")</f>
        <v>0</v>
      </c>
      <c r="D1376" t="s">
        <v>23501</v>
      </c>
      <c r="E1376" t="s">
        <v>24875</v>
      </c>
    </row>
    <row r="1377" spans="1:5">
      <c r="A1377" t="s">
        <v>5</v>
      </c>
      <c r="B1377" t="s">
        <v>1382</v>
      </c>
      <c r="C1377">
        <f>HYPERLINK("C:\Users\franc\OneDrive\Documentos\ALIRO\ALIRO\KATHY\ANA LUISA 2010\ANA LUISA 2010\MANIFESTACIONES\CUTAMA UNO 1-3 - PRIMER JUZGADO.doc", "Abrir Documento")</f>
        <v>0</v>
      </c>
      <c r="D1377" t="s">
        <v>23501</v>
      </c>
      <c r="E1377" t="s">
        <v>24876</v>
      </c>
    </row>
    <row r="1378" spans="1:5">
      <c r="A1378" t="s">
        <v>5</v>
      </c>
      <c r="B1378" t="s">
        <v>1383</v>
      </c>
      <c r="C1378">
        <f>HYPERLINK("C:\Users\franc\OneDrive\Documentos\ALIRO\ALIRO\KATHY\ANA LUISA 2010\ANA LUISA 2010\MANIFESTACIONES\CUTAMA TRES  1-3 - PRIMER JUZGADO.doc", "Abrir Documento")</f>
        <v>0</v>
      </c>
      <c r="D1378" t="s">
        <v>23501</v>
      </c>
      <c r="E1378" t="s">
        <v>24877</v>
      </c>
    </row>
    <row r="1379" spans="1:5">
      <c r="A1379" t="s">
        <v>5</v>
      </c>
      <c r="B1379" t="s">
        <v>1384</v>
      </c>
      <c r="C1379">
        <f>HYPERLINK("C:\Users\franc\OneDrive\Documentos\ALIRO\ALIRO\KATHY\ANA LUISA 2010\ANA LUISA 2010\MANIFESTACIONES\CUTAMA DOS  1-3 - PRIMER JUZGADO.doc", "Abrir Documento")</f>
        <v>0</v>
      </c>
      <c r="D1379" t="s">
        <v>23501</v>
      </c>
      <c r="E1379" t="s">
        <v>24878</v>
      </c>
    </row>
    <row r="1380" spans="1:5">
      <c r="A1380" t="s">
        <v>5</v>
      </c>
      <c r="B1380" t="s">
        <v>1385</v>
      </c>
      <c r="C1380">
        <f>HYPERLINK("C:\Users\franc\OneDrive\Documentos\ALIRO\ALIRO\KATHY\ANA LUISA 2010\ANA LUISA 2010\MANIFESTACIONES\CARMEN UN ALA SIES SEGUNDO.doc", "Abrir Documento")</f>
        <v>0</v>
      </c>
      <c r="D1380" t="s">
        <v>23501</v>
      </c>
      <c r="E1380" t="s">
        <v>24879</v>
      </c>
    </row>
    <row r="1381" spans="1:5">
      <c r="A1381" t="s">
        <v>5</v>
      </c>
      <c r="B1381" t="s">
        <v>1386</v>
      </c>
      <c r="C1381">
        <f>HYPERLINK("C:\Users\franc\OneDrive\Documentos\ALIRO\ALIRO\KATHY\ANA LUISA 2010\ANA LUISA 2010\MANIFESTACIONES\CALUROSA 1 A CALUROSA 12 PRIMER JUZGADO.doc", "Abrir Documento")</f>
        <v>0</v>
      </c>
      <c r="D1381" t="s">
        <v>23501</v>
      </c>
      <c r="E1381" t="s">
        <v>24880</v>
      </c>
    </row>
    <row r="1382" spans="1:5">
      <c r="A1382" t="s">
        <v>5</v>
      </c>
      <c r="B1382" t="s">
        <v>1387</v>
      </c>
      <c r="C1382">
        <f>HYPERLINK("C:\Users\franc\OneDrive\Documentos\ALIRO\ALIRO\KATHY\ANA LUISA 2010\ANA LUISA 2010\HIPOTECAS\USUFRUCTO DE CONTRATO DE ARRENDAMIENTO.-LA PASCUALA II 7, II 8, LA FORTUNA 1 AL 10, LA VERDOSA UNA A TRES.doc", "Abrir Documento")</f>
        <v>0</v>
      </c>
      <c r="D1382" t="s">
        <v>23501</v>
      </c>
      <c r="E1382" t="s">
        <v>24881</v>
      </c>
    </row>
    <row r="1383" spans="1:5">
      <c r="A1383" t="s">
        <v>5</v>
      </c>
      <c r="B1383" t="s">
        <v>1388</v>
      </c>
      <c r="C1383">
        <f>HYPERLINK("C:\Users\franc\OneDrive\Documentos\ALIRO\ALIRO\KATHY\ANA LUISA 2010\ANA LUISA 2010\HIPOTECAS\ESCOBA 1 AL 10 HIPOTECA.doc", "Abrir Documento")</f>
        <v>0</v>
      </c>
      <c r="D1383" t="s">
        <v>23501</v>
      </c>
      <c r="E1383" t="s">
        <v>24882</v>
      </c>
    </row>
    <row r="1384" spans="1:5">
      <c r="A1384" t="s">
        <v>5</v>
      </c>
      <c r="B1384" t="s">
        <v>1389</v>
      </c>
      <c r="C1384">
        <f>HYPERLINK("C:\Users\franc\OneDrive\Documentos\ALIRO\ALIRO\KATHY\ANA LUISA 2010\ANA LUISA 2010\COMPRAVENTA PERTENENCIAS MINERAS (MANIFESTACION)\FOJAS.doc", "Abrir Documento")</f>
        <v>0</v>
      </c>
      <c r="D1384" t="s">
        <v>23500</v>
      </c>
      <c r="E1384" t="s">
        <v>24883</v>
      </c>
    </row>
    <row r="1385" spans="1:5">
      <c r="A1385" t="s">
        <v>5</v>
      </c>
      <c r="B1385" t="s">
        <v>1390</v>
      </c>
      <c r="C1385">
        <f>HYPERLINK("C:\Users\franc\OneDrive\Documentos\ALIRO\ALIRO\KATHY\ANA LUISA 2010\ANA LUISA 2010\CERTIFICADOS LITIGIOS\COMPAÑIA MINERA ALCAPARRA.doc", "Abrir Documento")</f>
        <v>0</v>
      </c>
      <c r="D1385" t="s">
        <v>23501</v>
      </c>
      <c r="E1385" t="s">
        <v>24884</v>
      </c>
    </row>
    <row r="1386" spans="1:5">
      <c r="A1386" t="s">
        <v>5</v>
      </c>
      <c r="B1386" t="s">
        <v>1391</v>
      </c>
      <c r="C1386">
        <f>HYPERLINK("C:\Users\franc\OneDrive\Documentos\ALIRO\ALIRO\KATHY\ANA LUISA 2010\ANA LUISA 2010\CERTIFICADOS LITIGIOS\COCINERA 1 AL 64.doc", "Abrir Documento")</f>
        <v>0</v>
      </c>
      <c r="D1386" t="s">
        <v>23501</v>
      </c>
      <c r="E1386" t="s">
        <v>24885</v>
      </c>
    </row>
    <row r="1387" spans="1:5">
      <c r="A1387" t="s">
        <v>5</v>
      </c>
      <c r="B1387" t="s">
        <v>1392</v>
      </c>
      <c r="C1387">
        <f>HYPERLINK("C:\Users\franc\OneDrive\Documentos\ALIRO\ALIRO\KATHY\ANA LUISA 2010\ANA LUISA 2010\CERTIFICADO\EL FUTURO UNO AL CINCO.doc", "Abrir Documento")</f>
        <v>0</v>
      </c>
      <c r="D1387" t="s">
        <v>23501</v>
      </c>
      <c r="E1387" t="s">
        <v>24886</v>
      </c>
    </row>
    <row r="1388" spans="1:5">
      <c r="A1388" t="s">
        <v>5</v>
      </c>
      <c r="B1388" t="s">
        <v>1393</v>
      </c>
      <c r="C1388">
        <f>HYPERLINK("C:\Users\franc\OneDrive\Documentos\ALIRO\ALIRO\KATHY\ANA LUISA 2010\ANA LUISA 2010\ACEPTACION OPCION DE COMPRA\CERTIFICACION CAPTURA DE PANTALLA RUTA D605 OVALLE  PUNITAQUI CASA PREFABRICADA.pdf", "Abrir Documento")</f>
        <v>0</v>
      </c>
      <c r="D1388" t="s">
        <v>23501</v>
      </c>
      <c r="E1388" t="s">
        <v>24887</v>
      </c>
    </row>
    <row r="1389" spans="1:5">
      <c r="A1389" t="s">
        <v>5</v>
      </c>
      <c r="B1389" t="s">
        <v>1394</v>
      </c>
      <c r="C1389">
        <f>HYPERLINK("C:\Users\franc\OneDrive\Documentos\ALIRO\ALIRO\KATHY\ANA LUISA 2010\ANA LUISA 2010\MARGEN IZQUIERDO.doc", "Abrir Documento")</f>
        <v>0</v>
      </c>
      <c r="D1389" t="s">
        <v>23501</v>
      </c>
      <c r="E1389" t="s">
        <v>24888</v>
      </c>
    </row>
    <row r="1390" spans="1:5">
      <c r="A1390" t="s">
        <v>5</v>
      </c>
      <c r="B1390" t="s">
        <v>1395</v>
      </c>
      <c r="C1390">
        <f>HYPERLINK("C:\Users\franc\OneDrive\Documentos\ALIRO\ALIRO\KATHY\ANA LUISA 2010\carta solictud.doc", "Abrir Documento")</f>
        <v>0</v>
      </c>
      <c r="D1390" t="s">
        <v>23501</v>
      </c>
      <c r="E1390" t="s">
        <v>24889</v>
      </c>
    </row>
    <row r="1391" spans="1:5">
      <c r="A1391" t="s">
        <v>5</v>
      </c>
      <c r="B1391" t="s">
        <v>1396</v>
      </c>
      <c r="C1391">
        <f>HYPERLINK("C:\Users\franc\OneDrive\Documentos\ALIRO\ALIRO\KATHY\ANA LUISA 2010\CARTA SEGUNDO JUZGADO - RESPUESTA A OFICIO CANAL MAL PASO.doc", "Abrir Documento")</f>
        <v>0</v>
      </c>
      <c r="D1391" t="s">
        <v>23501</v>
      </c>
      <c r="E1391" t="s">
        <v>24890</v>
      </c>
    </row>
    <row r="1392" spans="1:5">
      <c r="A1392" t="s">
        <v>5</v>
      </c>
      <c r="B1392" t="s">
        <v>1397</v>
      </c>
      <c r="C1392">
        <f>HYPERLINK("C:\Users\franc\OneDrive\Documentos\ALIRO\ALIRO\KATHY\ANA LUISA 2010\CARTA PRIMER JUZGADO - REPERTORIO.doc", "Abrir Documento")</f>
        <v>0</v>
      </c>
      <c r="D1392" t="s">
        <v>23501</v>
      </c>
      <c r="E1392" t="s">
        <v>24891</v>
      </c>
    </row>
    <row r="1393" spans="1:5">
      <c r="A1393" t="s">
        <v>5</v>
      </c>
      <c r="B1393" t="s">
        <v>1398</v>
      </c>
      <c r="C1393">
        <f>HYPERLINK("C:\Users\franc\OneDrive\Documentos\ALIRO\ALIRO\KATHY\ANA LUISA 2010\ALINDERAMIENTO Y OTRAS (ANA LUISA).doc", "Abrir Documento")</f>
        <v>0</v>
      </c>
      <c r="D1393" t="s">
        <v>23501</v>
      </c>
      <c r="E1393" t="s">
        <v>24892</v>
      </c>
    </row>
    <row r="1394" spans="1:5">
      <c r="A1394" t="s">
        <v>5</v>
      </c>
      <c r="B1394" t="s">
        <v>1399</v>
      </c>
      <c r="C1394">
        <f>HYPERLINK("C:\Users\franc\OneDrive\Documentos\ALIRO\ALIRO\KATHY\ANA LUISA 2010\Acta Notarial Hijuela Santa Catalina.doc", "Abrir Documento")</f>
        <v>0</v>
      </c>
      <c r="D1394" t="s">
        <v>23501</v>
      </c>
      <c r="E1394" t="s">
        <v>24893</v>
      </c>
    </row>
    <row r="1395" spans="1:5">
      <c r="A1395" t="s">
        <v>5</v>
      </c>
      <c r="B1395" t="s">
        <v>1400</v>
      </c>
      <c r="C1395">
        <f>HYPERLINK("C:\Users\franc\OneDrive\Documentos\ALIRO\ALIRO\KATHY\ANA LUISA 2010\Acta Notarial 21-11-13.doc", "Abrir Documento")</f>
        <v>0</v>
      </c>
      <c r="D1395" t="s">
        <v>23501</v>
      </c>
      <c r="E1395" t="s">
        <v>24894</v>
      </c>
    </row>
    <row r="1396" spans="1:5">
      <c r="A1396" t="s">
        <v>5</v>
      </c>
      <c r="B1396" t="s">
        <v>1401</v>
      </c>
      <c r="C1396">
        <f>HYPERLINK("C:\Users\franc\OneDrive\Documentos\ALIRO\ALIRO\KATHY\SOBRE SERNAGEOMIN.doc", "Abrir Documento")</f>
        <v>0</v>
      </c>
      <c r="D1396" t="s">
        <v>23501</v>
      </c>
      <c r="E1396" t="s">
        <v>24895</v>
      </c>
    </row>
    <row r="1397" spans="1:5">
      <c r="A1397" t="s">
        <v>5</v>
      </c>
      <c r="B1397" t="s">
        <v>1402</v>
      </c>
      <c r="C1397">
        <f>HYPERLINK("C:\Users\franc\OneDrive\Documentos\ALIRO\ALIRO\KATHY\NOTA AL MARGEN TRANSFERENCIA.doc", "Abrir Documento")</f>
        <v>0</v>
      </c>
      <c r="D1397" t="s">
        <v>23501</v>
      </c>
      <c r="E1397" t="s">
        <v>24896</v>
      </c>
    </row>
    <row r="1398" spans="1:5">
      <c r="A1398" t="s">
        <v>5</v>
      </c>
      <c r="B1398" t="s">
        <v>1403</v>
      </c>
      <c r="C1398">
        <f>HYPERLINK("C:\Users\franc\OneDrive\Documentos\ALIRO\ALIRO\KATHY\NOTA AL MARGEN EN MANIFESTACION - MARGEN DERECHO.doc", "Abrir Documento")</f>
        <v>0</v>
      </c>
      <c r="D1398" t="s">
        <v>23501</v>
      </c>
      <c r="E1398" t="s">
        <v>24897</v>
      </c>
    </row>
    <row r="1399" spans="1:5">
      <c r="A1399" t="s">
        <v>5</v>
      </c>
      <c r="B1399" t="s">
        <v>1404</v>
      </c>
      <c r="C1399">
        <f>HYPERLINK("C:\Users\franc\OneDrive\Documentos\ALIRO\ALIRO\KATHY\NOMBRE LIBRO DE REPERTORIO.doc", "Abrir Documento")</f>
        <v>0</v>
      </c>
      <c r="D1399" t="s">
        <v>23501</v>
      </c>
      <c r="E1399" t="s">
        <v>24898</v>
      </c>
    </row>
    <row r="1400" spans="1:5">
      <c r="A1400" t="s">
        <v>5</v>
      </c>
      <c r="B1400" t="s">
        <v>1405</v>
      </c>
      <c r="C1400">
        <f>HYPERLINK("C:\Users\franc\OneDrive\Documentos\ALIRO\ALIRO\KATHY\LOGO ARCHIVADORES ACCCIONISTAS.doc", "Abrir Documento")</f>
        <v>0</v>
      </c>
      <c r="D1400" t="s">
        <v>23501</v>
      </c>
      <c r="E1400" t="s">
        <v>24899</v>
      </c>
    </row>
    <row r="1401" spans="1:5">
      <c r="A1401" t="s">
        <v>5</v>
      </c>
      <c r="B1401" t="s">
        <v>1406</v>
      </c>
      <c r="C1401">
        <f>HYPERLINK("C:\Users\franc\OneDrive\Documentos\ALIRO\ALIRO\KATHY\LOGO ARCHIVADORES ACCCIONISTAS HIP Y GRAV..doc", "Abrir Documento")</f>
        <v>0</v>
      </c>
      <c r="D1401" t="s">
        <v>23501</v>
      </c>
      <c r="E1401" t="s">
        <v>24900</v>
      </c>
    </row>
    <row r="1402" spans="1:5">
      <c r="A1402" t="s">
        <v>5</v>
      </c>
      <c r="B1402" t="s">
        <v>1407</v>
      </c>
      <c r="C1402">
        <f>HYPERLINK("C:\Users\franc\OneDrive\Documentos\ALIRO\ALIRO\KATHY\CERTIFICACION AGREGA UNA HOJA NOTA AL MARGEN.doc", "Abrir Documento")</f>
        <v>0</v>
      </c>
      <c r="D1402" t="s">
        <v>23501</v>
      </c>
      <c r="E1402" t="s">
        <v>24901</v>
      </c>
    </row>
    <row r="1403" spans="1:5">
      <c r="A1403" t="s">
        <v>5</v>
      </c>
      <c r="B1403" t="s">
        <v>1408</v>
      </c>
      <c r="C1403">
        <f>HYPERLINK("C:\Users\franc\OneDrive\Documentos\ALIRO\ALIRO\KATHY\CARTA SERNAGEOMIN 23 JUNIO. 2016.doc", "Abrir Documento")</f>
        <v>0</v>
      </c>
      <c r="D1403" t="s">
        <v>23501</v>
      </c>
      <c r="E1403" t="s">
        <v>24902</v>
      </c>
    </row>
    <row r="1404" spans="1:5">
      <c r="A1404" t="s">
        <v>5</v>
      </c>
      <c r="B1404" t="s">
        <v>1409</v>
      </c>
      <c r="C1404">
        <f>HYPERLINK("C:\Users\franc\OneDrive\Documentos\ALIRO\ALIRO\KATHY\CARTA SERNAGEOMIN 20 ABR. 2016.doc", "Abrir Documento")</f>
        <v>0</v>
      </c>
      <c r="D1404" t="s">
        <v>23501</v>
      </c>
      <c r="E1404" t="s">
        <v>24903</v>
      </c>
    </row>
    <row r="1405" spans="1:5">
      <c r="A1405" t="s">
        <v>5</v>
      </c>
      <c r="B1405" t="s">
        <v>1410</v>
      </c>
      <c r="C1405">
        <f>HYPERLINK("C:\Users\franc\OneDrive\Documentos\ALIRO\ALIRO\KATHY\CARTA SERNAGEOMIN 06 DE JULIO 2016.doc", "Abrir Documento")</f>
        <v>0</v>
      </c>
      <c r="D1405" t="s">
        <v>23501</v>
      </c>
      <c r="E1405" t="s">
        <v>24904</v>
      </c>
    </row>
    <row r="1406" spans="1:5">
      <c r="A1406" t="s">
        <v>5</v>
      </c>
      <c r="B1406" t="s">
        <v>1411</v>
      </c>
      <c r="C1406">
        <f>HYPERLINK("C:\Users\franc\OneDrive\Documentos\ALIRO\ALIRO\KATHY\CARTA PRIMER JUZGADO - REPERTORIO.doc", "Abrir Documento")</f>
        <v>0</v>
      </c>
      <c r="D1406" t="s">
        <v>23501</v>
      </c>
      <c r="E1406" t="s">
        <v>24905</v>
      </c>
    </row>
    <row r="1407" spans="1:5">
      <c r="A1407" t="s">
        <v>5</v>
      </c>
      <c r="B1407" t="s">
        <v>1412</v>
      </c>
      <c r="C1407">
        <f>HYPERLINK("C:\Users\franc\OneDrive\Documentos\ALIRO\ALIRO\KATHY\CARTA ENTEL.doc", "Abrir Documento")</f>
        <v>0</v>
      </c>
      <c r="D1407" t="s">
        <v>23501</v>
      </c>
      <c r="E1407" t="s">
        <v>24906</v>
      </c>
    </row>
    <row r="1408" spans="1:5">
      <c r="A1408" t="s">
        <v>5</v>
      </c>
      <c r="B1408" t="s">
        <v>1413</v>
      </c>
      <c r="C1408">
        <f>HYPERLINK("C:\Users\franc\OneDrive\Documentos\ALIRO\ALIRO\KATHY\CAROLA UNO AL CUATRO CERTIFICADO LITIGIOS.doc", "Abrir Documento")</f>
        <v>0</v>
      </c>
      <c r="D1408" t="s">
        <v>23501</v>
      </c>
      <c r="E1408" t="s">
        <v>24907</v>
      </c>
    </row>
    <row r="1409" spans="1:5">
      <c r="A1409" t="s">
        <v>5</v>
      </c>
      <c r="B1409" t="s">
        <v>1414</v>
      </c>
      <c r="C1409">
        <f>HYPERLINK("C:\Users\franc\OneDrive\Documentos\ALIRO\ALIRO\KATHY\ANEXO DE CONTRATO DE TRABAJO.doc", "Abrir Documento")</f>
        <v>0</v>
      </c>
      <c r="D1409" t="s">
        <v>23501</v>
      </c>
      <c r="E1409" t="s">
        <v>24908</v>
      </c>
    </row>
    <row r="1410" spans="1:5">
      <c r="A1410" t="s">
        <v>5</v>
      </c>
      <c r="B1410" t="s">
        <v>1415</v>
      </c>
      <c r="C1410">
        <f>HYPERLINK("C:\Users\franc\OneDrive\Documentos\ALIRO\ALIRO\ALIRO\PEDIMENTO\PARRAL (TERCER JUZGADO).doc", "Abrir Documento")</f>
        <v>0</v>
      </c>
      <c r="D1410" t="s">
        <v>23501</v>
      </c>
      <c r="E1410" t="s">
        <v>24909</v>
      </c>
    </row>
    <row r="1411" spans="1:5">
      <c r="A1411" t="s">
        <v>5</v>
      </c>
      <c r="B1411" t="s">
        <v>1416</v>
      </c>
      <c r="C1411">
        <f>HYPERLINK("C:\Users\franc\OneDrive\Documentos\ALIRO\ALIRO\ALIRO\PEDIMENTO\PARAISO 2.- SALAZAR NILO JAIME HERNAN Y OTRO.  3er JUZGADO.doc", "Abrir Documento")</f>
        <v>0</v>
      </c>
      <c r="D1411" t="s">
        <v>23501</v>
      </c>
      <c r="E1411" t="s">
        <v>24910</v>
      </c>
    </row>
    <row r="1412" spans="1:5">
      <c r="A1412" t="s">
        <v>5</v>
      </c>
      <c r="B1412" t="s">
        <v>1417</v>
      </c>
      <c r="C1412">
        <f>HYPERLINK("C:\Users\franc\OneDrive\Documentos\ALIRO\ALIRO\ALIRO\PEDIMENTO\PARAISO 1.- SALAZAR NILO JAIME HERNAN Y OTRO.  2do JUZGADO.doc", "Abrir Documento")</f>
        <v>0</v>
      </c>
      <c r="D1412" t="s">
        <v>23501</v>
      </c>
      <c r="E1412" t="s">
        <v>24911</v>
      </c>
    </row>
    <row r="1413" spans="1:5">
      <c r="A1413" t="s">
        <v>5</v>
      </c>
      <c r="B1413" t="s">
        <v>1418</v>
      </c>
      <c r="C1413">
        <f>HYPERLINK("C:\Users\franc\OneDrive\Documentos\ALIRO\ALIRO\ALIRO\MENSURA\2016\SOFIA 84 A, 1 AL 300 (2° VICTOR JARA INOSTROZA).doc", "Abrir Documento")</f>
        <v>0</v>
      </c>
      <c r="D1413" t="s">
        <v>23501</v>
      </c>
      <c r="E1413" t="s">
        <v>24912</v>
      </c>
    </row>
    <row r="1414" spans="1:5">
      <c r="A1414" t="s">
        <v>5</v>
      </c>
      <c r="B1414" t="s">
        <v>1419</v>
      </c>
      <c r="C1414">
        <f>HYPERLINK("C:\Users\franc\OneDrive\Documentos\ALIRO\ALIRO\ALIRO\MENSURA\2016\ROSARIO TRES  1 AL 100.doc", "Abrir Documento")</f>
        <v>0</v>
      </c>
      <c r="D1414" t="s">
        <v>23501</v>
      </c>
      <c r="E1414" t="s">
        <v>24913</v>
      </c>
    </row>
    <row r="1415" spans="1:5">
      <c r="A1415" t="s">
        <v>5</v>
      </c>
      <c r="B1415" t="s">
        <v>1420</v>
      </c>
      <c r="C1415">
        <f>HYPERLINK("C:\Users\franc\OneDrive\Documentos\ALIRO\ALIRO\ALIRO\MENSURA\2016\ROSARIO DOS  1 AL 100.doc", "Abrir Documento")</f>
        <v>0</v>
      </c>
      <c r="D1415" t="s">
        <v>23501</v>
      </c>
      <c r="E1415" t="s">
        <v>24914</v>
      </c>
    </row>
    <row r="1416" spans="1:5">
      <c r="A1416" t="s">
        <v>5</v>
      </c>
      <c r="B1416" t="s">
        <v>1421</v>
      </c>
      <c r="C1416">
        <f>HYPERLINK("C:\Users\franc\OneDrive\Documentos\ALIRO\ALIRO\ALIRO\MENSURA\VIENTO 15 1 AL 200   JAIME MOLINAQ  1°.doc", "Abrir Documento")</f>
        <v>0</v>
      </c>
      <c r="D1416" t="s">
        <v>23501</v>
      </c>
      <c r="E1416" t="s">
        <v>24915</v>
      </c>
    </row>
    <row r="1417" spans="1:5">
      <c r="A1417" t="s">
        <v>5</v>
      </c>
      <c r="B1417" t="s">
        <v>1422</v>
      </c>
      <c r="C1417">
        <f>HYPERLINK("C:\Users\franc\OneDrive\Documentos\ALIRO\ALIRO\ALIRO\MENSURA\VIENTO 14 1 AL 300 JAIME MOLINA S  3°.doc", "Abrir Documento")</f>
        <v>0</v>
      </c>
      <c r="D1417" t="s">
        <v>23501</v>
      </c>
      <c r="E1417" t="s">
        <v>24916</v>
      </c>
    </row>
    <row r="1418" spans="1:5">
      <c r="A1418" t="s">
        <v>5</v>
      </c>
      <c r="B1418" t="s">
        <v>1423</v>
      </c>
      <c r="C1418">
        <f>HYPERLINK("C:\Users\franc\OneDrive\Documentos\ALIRO\ALIRO\ALIRO\MENSURA\MINA MONSERRAT III, 1 AL 10 (PRIMER JUZGADO)GILBERTO CISTERNAS OLIVARES.doc", "Abrir Documento")</f>
        <v>0</v>
      </c>
      <c r="D1418" t="s">
        <v>23501</v>
      </c>
      <c r="E1418" t="s">
        <v>24917</v>
      </c>
    </row>
    <row r="1419" spans="1:5">
      <c r="A1419" t="s">
        <v>5</v>
      </c>
      <c r="B1419" t="s">
        <v>1424</v>
      </c>
      <c r="C1419">
        <f>HYPERLINK("C:\Users\franc\OneDrive\Documentos\ALIRO\ALIRO\ALIRO\MENSURA\MENSURA STELLA 1 AL 100.doc", "Abrir Documento")</f>
        <v>0</v>
      </c>
      <c r="D1419" t="s">
        <v>23501</v>
      </c>
      <c r="E1419" t="s">
        <v>24918</v>
      </c>
    </row>
    <row r="1420" spans="1:5">
      <c r="A1420" t="s">
        <v>5</v>
      </c>
      <c r="B1420" t="s">
        <v>1425</v>
      </c>
      <c r="C1420">
        <f>HYPERLINK("C:\Users\franc\OneDrive\Documentos\ALIRO\ALIRO\ALIRO\MENSURA\MANANTIAL 4, 1 AL 56 (TERCER JUZGADO) PERITO JAVIER ROMO.doc", "Abrir Documento")</f>
        <v>0</v>
      </c>
      <c r="D1420" t="s">
        <v>23501</v>
      </c>
      <c r="E1420" t="s">
        <v>24919</v>
      </c>
    </row>
    <row r="1421" spans="1:5">
      <c r="A1421" t="s">
        <v>5</v>
      </c>
      <c r="B1421" t="s">
        <v>1426</v>
      </c>
      <c r="C1421">
        <f>HYPERLINK("C:\Users\franc\OneDrive\Documentos\ALIRO\ALIRO\ALIRO\MENSURA\LA TUCAN V DEL 1 AL 37  JUAN CARLOS ARAVENA GODOY( PRIMER JUZGADO).doc", "Abrir Documento")</f>
        <v>0</v>
      </c>
      <c r="D1421" t="s">
        <v>23501</v>
      </c>
      <c r="E1421" t="s">
        <v>24920</v>
      </c>
    </row>
    <row r="1422" spans="1:5">
      <c r="A1422" t="s">
        <v>5</v>
      </c>
      <c r="B1422" t="s">
        <v>1427</v>
      </c>
      <c r="C1422">
        <f>HYPERLINK("C:\Users\franc\OneDrive\Documentos\ALIRO\ALIRO\ALIRO\MENSURA\CARMEN I 1 AL 40.- PERITO LUIS DAN ROJAS  3°.doc", "Abrir Documento")</f>
        <v>0</v>
      </c>
      <c r="D1422" t="s">
        <v>23501</v>
      </c>
      <c r="E1422" t="s">
        <v>24921</v>
      </c>
    </row>
    <row r="1423" spans="1:5">
      <c r="A1423" t="s">
        <v>5</v>
      </c>
      <c r="B1423" t="s">
        <v>1428</v>
      </c>
      <c r="C1423">
        <f>HYPERLINK("C:\Users\franc\OneDrive\Documentos\ALIRO\ALIRO\ALIRO\MENSURA\BELEN 1 AL 138 CATALINO ALBANEZ  TERCER JUZGADO DE LETRAS.doc", "Abrir Documento")</f>
        <v>0</v>
      </c>
      <c r="D1423" t="s">
        <v>23501</v>
      </c>
      <c r="E1423" t="s">
        <v>24922</v>
      </c>
    </row>
    <row r="1424" spans="1:5">
      <c r="A1424" t="s">
        <v>5</v>
      </c>
      <c r="B1424" t="s">
        <v>1429</v>
      </c>
      <c r="C1424">
        <f>HYPERLINK("C:\Users\franc\OneDrive\Documentos\ALIRO\ALIRO\ALIRO\MENSURA\ALTOS 23 1 AL 200 JUAN CARLOS ARAVENA GODOY (PRIMER JUZGADO).doc", "Abrir Documento")</f>
        <v>0</v>
      </c>
      <c r="D1424" t="s">
        <v>23501</v>
      </c>
      <c r="E1424" t="s">
        <v>24923</v>
      </c>
    </row>
    <row r="1425" spans="1:5">
      <c r="A1425" t="s">
        <v>5</v>
      </c>
      <c r="B1425" t="s">
        <v>1430</v>
      </c>
      <c r="C1425">
        <f>HYPERLINK("C:\Users\franc\OneDrive\Documentos\ALIRO\ALIRO\ALIRO\MENSURA\ALTOS 22 1 AL 200 JUAN CARLOS ARAVENA GODOY (PRIMER JUZGADO).doc", "Abrir Documento")</f>
        <v>0</v>
      </c>
      <c r="D1425" t="s">
        <v>23501</v>
      </c>
      <c r="E1425" t="s">
        <v>24924</v>
      </c>
    </row>
    <row r="1426" spans="1:5">
      <c r="A1426" t="s">
        <v>5</v>
      </c>
      <c r="B1426" t="s">
        <v>1431</v>
      </c>
      <c r="C1426">
        <f>HYPERLINK("C:\Users\franc\OneDrive\Documentos\ALIRO\ALIRO\ALIRO\MANIFESTACIONES\MANIFESTACION 2014\SLM SOLEDAD TRES 1 AL 161 - JUAN ARAVENA GODOY - SEGUNDO JUZGADO.doc", "Abrir Documento")</f>
        <v>0</v>
      </c>
      <c r="D1426" t="s">
        <v>23501</v>
      </c>
      <c r="E1426" t="s">
        <v>24925</v>
      </c>
    </row>
    <row r="1427" spans="1:5">
      <c r="A1427" t="s">
        <v>5</v>
      </c>
      <c r="B1427" t="s">
        <v>1432</v>
      </c>
      <c r="C1427">
        <f>HYPERLINK("C:\Users\franc\OneDrive\Documentos\ALIRO\ALIRO\ALIRO\MANIFESTACIONES\SANTA CECILIA 2   1 AL 20 (PRIMER JUZGADO).doc", "Abrir Documento")</f>
        <v>0</v>
      </c>
      <c r="D1427" t="s">
        <v>23501</v>
      </c>
      <c r="E1427" t="s">
        <v>24926</v>
      </c>
    </row>
    <row r="1428" spans="1:5">
      <c r="A1428" t="s">
        <v>5</v>
      </c>
      <c r="B1428" t="s">
        <v>1433</v>
      </c>
      <c r="C1428">
        <f>HYPERLINK("C:\Users\franc\OneDrive\Documentos\ALIRO\ALIRO\ALIRO\MANIFESTACIONES\SANTA CATALINA III 1 AL 27 (SEGUNDO JUZGADO).doc", "Abrir Documento")</f>
        <v>0</v>
      </c>
      <c r="D1428" t="s">
        <v>23501</v>
      </c>
      <c r="E1428" t="s">
        <v>24927</v>
      </c>
    </row>
    <row r="1429" spans="1:5">
      <c r="A1429" t="s">
        <v>5</v>
      </c>
      <c r="B1429" t="s">
        <v>1434</v>
      </c>
      <c r="C1429">
        <f>HYPERLINK("C:\Users\franc\OneDrive\Documentos\ALIRO\ALIRO\ALIRO\MANIFESTACIONES\SANTA CATALINA II 1 AL 10 (SEGUNDO JUZGADO).doc", "Abrir Documento")</f>
        <v>0</v>
      </c>
      <c r="D1429" t="s">
        <v>23501</v>
      </c>
      <c r="E1429" t="s">
        <v>24928</v>
      </c>
    </row>
    <row r="1430" spans="1:5">
      <c r="A1430" t="s">
        <v>5</v>
      </c>
      <c r="B1430" t="s">
        <v>1435</v>
      </c>
      <c r="C1430">
        <f>HYPERLINK("C:\Users\franc\OneDrive\Documentos\ALIRO\ALIRO\ALIRO\MANIFESTACIONES\POMPEYITA 1 AL 5 (TERCER JUZGADO).doc", "Abrir Documento")</f>
        <v>0</v>
      </c>
      <c r="D1430" t="s">
        <v>23501</v>
      </c>
      <c r="E1430" t="s">
        <v>24929</v>
      </c>
    </row>
    <row r="1431" spans="1:5">
      <c r="A1431" t="s">
        <v>5</v>
      </c>
      <c r="B1431" t="s">
        <v>1436</v>
      </c>
      <c r="C1431">
        <f>HYPERLINK("C:\Users\franc\OneDrive\Documentos\ALIRO\ALIRO\ALIRO\MANIFESTACIONES\OPORTUNIDAD 1 AL 15 (TERCER JUZGADO).doc", "Abrir Documento")</f>
        <v>0</v>
      </c>
      <c r="D1431" t="s">
        <v>23501</v>
      </c>
      <c r="E1431" t="s">
        <v>24930</v>
      </c>
    </row>
    <row r="1432" spans="1:5">
      <c r="A1432" t="s">
        <v>5</v>
      </c>
      <c r="B1432" t="s">
        <v>1437</v>
      </c>
      <c r="C1432">
        <f>HYPERLINK("C:\Users\franc\OneDrive\Documentos\ALIRO\ALIRO\ALIRO\MANIFESTACIONES\MINA LA PORFIADA UNO AL VEINTE.doc", "Abrir Documento")</f>
        <v>0</v>
      </c>
      <c r="D1432" t="s">
        <v>23501</v>
      </c>
      <c r="E1432" t="s">
        <v>24931</v>
      </c>
    </row>
    <row r="1433" spans="1:5">
      <c r="A1433" t="s">
        <v>5</v>
      </c>
      <c r="B1433" t="s">
        <v>1438</v>
      </c>
      <c r="C1433">
        <f>HYPERLINK("C:\Users\franc\OneDrive\Documentos\ALIRO\ALIRO\ALIRO\MANIFESTACIONES\MINA JESI 1 AL 5 (PRIMER  JUZGADO).doc", "Abrir Documento")</f>
        <v>0</v>
      </c>
      <c r="D1433" t="s">
        <v>23501</v>
      </c>
      <c r="E1433" t="s">
        <v>24932</v>
      </c>
    </row>
    <row r="1434" spans="1:5">
      <c r="A1434" t="s">
        <v>5</v>
      </c>
      <c r="B1434" t="s">
        <v>1439</v>
      </c>
      <c r="C1434">
        <f>HYPERLINK("C:\Users\franc\OneDrive\Documentos\ALIRO\ALIRO\ALIRO\MANIFESTACIONES\MAURA DIAZ DEL 1 AL 100.- DEYCE JAMETT DIAZ.- 1er JUZGADO.doc", "Abrir Documento")</f>
        <v>0</v>
      </c>
      <c r="D1434" t="s">
        <v>23501</v>
      </c>
      <c r="E1434" t="s">
        <v>24933</v>
      </c>
    </row>
    <row r="1435" spans="1:5">
      <c r="A1435" t="s">
        <v>5</v>
      </c>
      <c r="B1435" t="s">
        <v>1440</v>
      </c>
      <c r="C1435">
        <f>HYPERLINK("C:\Users\franc\OneDrive\Documentos\ALIRO\ALIRO\ALIRO\MANIFESTACIONES\MAURA ANDREA ELIAZ DIAS 1°.doc", "Abrir Documento")</f>
        <v>0</v>
      </c>
      <c r="D1435" t="s">
        <v>23501</v>
      </c>
      <c r="E1435" t="s">
        <v>24934</v>
      </c>
    </row>
    <row r="1436" spans="1:5">
      <c r="A1436" t="s">
        <v>5</v>
      </c>
      <c r="B1436" t="s">
        <v>1441</v>
      </c>
      <c r="C1436">
        <f>HYPERLINK("C:\Users\franc\OneDrive\Documentos\ALIRO\ALIRO\ALIRO\MANIFESTACIONES\MARIQUITA 2.- PERALTA DUBÓ JOSE MANUEL Y OTRO.- 1º JUZGADO.doc", "Abrir Documento")</f>
        <v>0</v>
      </c>
      <c r="D1436" t="s">
        <v>23501</v>
      </c>
      <c r="E1436" t="s">
        <v>24935</v>
      </c>
    </row>
    <row r="1437" spans="1:5">
      <c r="A1437" t="s">
        <v>5</v>
      </c>
      <c r="B1437" t="s">
        <v>1442</v>
      </c>
      <c r="C1437">
        <f>HYPERLINK("C:\Users\franc\OneDrive\Documentos\ALIRO\ALIRO\ALIRO\MANIFESTACIONES\MARIQUITA 2, DEL 1 AL 25.- ANICETO DUBÓ DUBÓ.- 3ER JUZGADO.doc", "Abrir Documento")</f>
        <v>0</v>
      </c>
      <c r="D1437" t="s">
        <v>23501</v>
      </c>
      <c r="E1437" t="s">
        <v>24936</v>
      </c>
    </row>
    <row r="1438" spans="1:5">
      <c r="A1438" t="s">
        <v>5</v>
      </c>
      <c r="B1438" t="s">
        <v>1443</v>
      </c>
      <c r="C1438">
        <f>HYPERLINK("C:\Users\franc\OneDrive\Documentos\ALIRO\ALIRO\ALIRO\MANIFESTACIONES\MANIFESTACION MINA SOLEDAD UNA AL SIETE.doc", "Abrir Documento")</f>
        <v>0</v>
      </c>
      <c r="D1438" t="s">
        <v>23501</v>
      </c>
      <c r="E1438" t="s">
        <v>24937</v>
      </c>
    </row>
    <row r="1439" spans="1:5">
      <c r="A1439" t="s">
        <v>5</v>
      </c>
      <c r="B1439" t="s">
        <v>1444</v>
      </c>
      <c r="C1439">
        <f>HYPERLINK("C:\Users\franc\OneDrive\Documentos\ALIRO\ALIRO\ALIRO\MANIFESTACIONES\MANIFESTACION CHORCHA 1 AL 10.doc", "Abrir Documento")</f>
        <v>0</v>
      </c>
      <c r="D1439" t="s">
        <v>23501</v>
      </c>
      <c r="E1439" t="s">
        <v>24938</v>
      </c>
    </row>
    <row r="1440" spans="1:5">
      <c r="A1440" t="s">
        <v>5</v>
      </c>
      <c r="B1440" t="s">
        <v>1445</v>
      </c>
      <c r="C1440">
        <f>HYPERLINK("C:\Users\franc\OneDrive\Documentos\ALIRO\ALIRO\ALIRO\MANIFESTACIONES\MANIFESTACION ALCAPARRA UNO AL VEINTE(3er).doc", "Abrir Documento")</f>
        <v>0</v>
      </c>
      <c r="D1440" t="s">
        <v>23501</v>
      </c>
      <c r="E1440" t="s">
        <v>24939</v>
      </c>
    </row>
    <row r="1441" spans="1:5">
      <c r="A1441" t="s">
        <v>5</v>
      </c>
      <c r="B1441" t="s">
        <v>1446</v>
      </c>
      <c r="C1441">
        <f>HYPERLINK("C:\Users\franc\OneDrive\Documentos\ALIRO\ALIRO\ALIRO\MANIFESTACIONES\MANIFESTACION  MINA LAS NIPAS 1 AL 20.doc", "Abrir Documento")</f>
        <v>0</v>
      </c>
      <c r="D1441" t="s">
        <v>23501</v>
      </c>
      <c r="E1441" t="s">
        <v>24940</v>
      </c>
    </row>
    <row r="1442" spans="1:5">
      <c r="A1442" t="s">
        <v>5</v>
      </c>
      <c r="B1442" t="s">
        <v>1447</v>
      </c>
      <c r="C1442">
        <f>HYPERLINK("C:\Users\franc\OneDrive\Documentos\ALIRO\ALIRO\ALIRO\MANIFESTACIONES\LEON IV, 1 AL 110 (SEGUNDO JUZGADO).doc", "Abrir Documento")</f>
        <v>0</v>
      </c>
      <c r="D1442" t="s">
        <v>23501</v>
      </c>
      <c r="E1442" t="s">
        <v>24941</v>
      </c>
    </row>
    <row r="1443" spans="1:5">
      <c r="A1443" t="s">
        <v>5</v>
      </c>
      <c r="B1443" t="s">
        <v>1448</v>
      </c>
      <c r="C1443">
        <f>HYPERLINK("C:\Users\franc\OneDrive\Documentos\ALIRO\ALIRO\ALIRO\MANIFESTACIONES\LAS CAÑAS 1 AL 10 (TERCER JUZGADO).doc", "Abrir Documento")</f>
        <v>0</v>
      </c>
      <c r="D1443" t="s">
        <v>23501</v>
      </c>
      <c r="E1443" t="s">
        <v>24942</v>
      </c>
    </row>
    <row r="1444" spans="1:5">
      <c r="A1444" t="s">
        <v>5</v>
      </c>
      <c r="B1444" t="s">
        <v>1449</v>
      </c>
      <c r="C1444">
        <f>HYPERLINK("C:\Users\franc\OneDrive\Documentos\ALIRO\ALIRO\ALIRO\MANIFESTACIONES\LA ILUSION UNO 1 AL 20 JOSE ALONSO ZAMORA 2°.doc", "Abrir Documento")</f>
        <v>0</v>
      </c>
      <c r="D1444" t="s">
        <v>23501</v>
      </c>
      <c r="E1444" t="s">
        <v>24943</v>
      </c>
    </row>
    <row r="1445" spans="1:5">
      <c r="A1445" t="s">
        <v>5</v>
      </c>
      <c r="B1445" t="s">
        <v>1450</v>
      </c>
      <c r="C1445">
        <f>HYPERLINK("C:\Users\franc\OneDrive\Documentos\ALIRO\ALIRO\ALIRO\MANIFESTACIONES\LA ILUSION DOS 1 AL 20 JOSE ALONSO ZAMORA 2°.doc", "Abrir Documento")</f>
        <v>0</v>
      </c>
      <c r="D1445" t="s">
        <v>23501</v>
      </c>
      <c r="E1445" t="s">
        <v>24944</v>
      </c>
    </row>
    <row r="1446" spans="1:5">
      <c r="A1446" t="s">
        <v>5</v>
      </c>
      <c r="B1446" t="s">
        <v>1451</v>
      </c>
      <c r="C1446">
        <f>HYPERLINK("C:\Users\franc\OneDrive\Documentos\ALIRO\ALIRO\ALIRO\MANIFESTACIONES\LA ILUSION DOS 1 AL 20 JOSE ALONSO ZAMORA 1°.doc", "Abrir Documento")</f>
        <v>0</v>
      </c>
      <c r="D1446" t="s">
        <v>23501</v>
      </c>
      <c r="E1446" t="s">
        <v>24945</v>
      </c>
    </row>
    <row r="1447" spans="1:5">
      <c r="A1447" t="s">
        <v>5</v>
      </c>
      <c r="B1447" t="s">
        <v>1452</v>
      </c>
      <c r="C1447">
        <f>HYPERLINK("C:\Users\franc\OneDrive\Documentos\ALIRO\ALIRO\ALIRO\MANIFESTACIONES\INESPERADA (PRIMER JUZGADO).doc", "Abrir Documento")</f>
        <v>0</v>
      </c>
      <c r="D1447" t="s">
        <v>23501</v>
      </c>
      <c r="E1447" t="s">
        <v>24946</v>
      </c>
    </row>
    <row r="1448" spans="1:5">
      <c r="A1448" t="s">
        <v>5</v>
      </c>
      <c r="B1448" t="s">
        <v>1453</v>
      </c>
      <c r="C1448">
        <f>HYPERLINK("C:\Users\franc\OneDrive\Documentos\ALIRO\ALIRO\ALIRO\MANIFESTACIONES\INDIGENA 1 AL 20.- JOSE LUIS PELAYO ALONSO ZAMORA.- 3ER JUZGADO.doc", "Abrir Documento")</f>
        <v>0</v>
      </c>
      <c r="D1448" t="s">
        <v>23501</v>
      </c>
      <c r="E1448" t="s">
        <v>24947</v>
      </c>
    </row>
    <row r="1449" spans="1:5">
      <c r="A1449" t="s">
        <v>5</v>
      </c>
      <c r="B1449" t="s">
        <v>1454</v>
      </c>
      <c r="C1449">
        <f>HYPERLINK("C:\Users\franc\OneDrive\Documentos\ALIRO\ALIRO\ALIRO\MANIFESTACIONES\IMAGINACIÓN 1 AL 20 (SEGUNDO JUZGADO).doc", "Abrir Documento")</f>
        <v>0</v>
      </c>
      <c r="D1449" t="s">
        <v>23501</v>
      </c>
      <c r="E1449" t="s">
        <v>24948</v>
      </c>
    </row>
    <row r="1450" spans="1:5">
      <c r="A1450" t="s">
        <v>5</v>
      </c>
      <c r="B1450" t="s">
        <v>1455</v>
      </c>
      <c r="C1450">
        <f>HYPERLINK("C:\Users\franc\OneDrive\Documentos\ALIRO\ALIRO\ALIRO\MANIFESTACIONES\EL LITRE 1 AL 9. PEDRO ARAYA ZEPEDA.- 1ER JUZGADO.doc", "Abrir Documento")</f>
        <v>0</v>
      </c>
      <c r="D1450" t="s">
        <v>23501</v>
      </c>
      <c r="E1450" t="s">
        <v>24949</v>
      </c>
    </row>
    <row r="1451" spans="1:5">
      <c r="A1451" t="s">
        <v>5</v>
      </c>
      <c r="B1451" t="s">
        <v>1456</v>
      </c>
      <c r="C1451">
        <f>HYPERLINK("C:\Users\franc\OneDrive\Documentos\ALIRO\ALIRO\ALIRO\MANIFESTACIONES\EL INDIO 1 AL 20 (TERCER JUZGADO).doc", "Abrir Documento")</f>
        <v>0</v>
      </c>
      <c r="D1451" t="s">
        <v>23501</v>
      </c>
      <c r="E1451" t="s">
        <v>24950</v>
      </c>
    </row>
    <row r="1452" spans="1:5">
      <c r="A1452" t="s">
        <v>5</v>
      </c>
      <c r="B1452" t="s">
        <v>1457</v>
      </c>
      <c r="C1452">
        <f>HYPERLINK("C:\Users\franc\OneDrive\Documentos\ALIRO\ALIRO\ALIRO\MANIFESTACIONES\DOÑA LUPE 1 AL 5 (PRIMER JUZGADO).doc", "Abrir Documento")</f>
        <v>0</v>
      </c>
      <c r="D1452" t="s">
        <v>23501</v>
      </c>
      <c r="E1452" t="s">
        <v>24951</v>
      </c>
    </row>
    <row r="1453" spans="1:5">
      <c r="A1453" t="s">
        <v>5</v>
      </c>
      <c r="B1453" t="s">
        <v>1458</v>
      </c>
      <c r="C1453">
        <f>HYPERLINK("C:\Users\franc\OneDrive\Documentos\ALIRO\ALIRO\ALIRO\MANIFESTACIONES\AMOLANA 1 AL 4.- OVIDIO CARVAJAL.- 2DO JUZGADO.doc", "Abrir Documento")</f>
        <v>0</v>
      </c>
      <c r="D1453" t="s">
        <v>23501</v>
      </c>
      <c r="E1453" t="s">
        <v>24952</v>
      </c>
    </row>
    <row r="1454" spans="1:5">
      <c r="A1454" t="s">
        <v>5</v>
      </c>
      <c r="B1454" t="s">
        <v>1459</v>
      </c>
      <c r="C1454">
        <f>HYPERLINK("C:\Users\franc\OneDrive\Documentos\ALIRO\ALIRO\ALIRO\MANIFESTACIONES\ALFA III  1 AL 10 (TERCER JUZGADO).doc", "Abrir Documento")</f>
        <v>0</v>
      </c>
      <c r="D1454" t="s">
        <v>23501</v>
      </c>
      <c r="E1454" t="s">
        <v>24953</v>
      </c>
    </row>
    <row r="1455" spans="1:5">
      <c r="A1455" t="s">
        <v>5</v>
      </c>
      <c r="B1455" t="s">
        <v>1460</v>
      </c>
      <c r="C1455">
        <f>HYPERLINK("C:\Users\franc\OneDrive\Documentos\ALIRO\ALIRO\ALIRO\MANIFESTACIONES\ALEJANDRA SEBASTIAN HERRERA 3°.doc", "Abrir Documento")</f>
        <v>0</v>
      </c>
      <c r="D1455" t="s">
        <v>23501</v>
      </c>
      <c r="E1455" t="s">
        <v>24954</v>
      </c>
    </row>
    <row r="1456" spans="1:5">
      <c r="A1456" t="s">
        <v>5</v>
      </c>
      <c r="B1456" t="s">
        <v>1461</v>
      </c>
      <c r="C1456">
        <f>HYPERLINK("C:\Users\franc\OneDrive\Documentos\ALIRO\ALIRO\ALIRO\MANIFESTACIONES\AGUSTINA 1 AL 20 (SEGUNDO JUZGADO).doc", "Abrir Documento")</f>
        <v>0</v>
      </c>
      <c r="D1456" t="s">
        <v>23501</v>
      </c>
      <c r="E1456" t="s">
        <v>24955</v>
      </c>
    </row>
    <row r="1457" spans="1:5">
      <c r="A1457" t="s">
        <v>5</v>
      </c>
      <c r="B1457" t="s">
        <v>1462</v>
      </c>
      <c r="C1457">
        <f>HYPERLINK("C:\Users\franc\OneDrive\Documentos\ALIRO\ALIRO\ALIRO\Copia de MENSURA 2010\MENSURA STELLA 1 AL 100.doc", "Abrir Documento")</f>
        <v>0</v>
      </c>
      <c r="D1457" t="s">
        <v>23501</v>
      </c>
      <c r="E1457" t="s">
        <v>24956</v>
      </c>
    </row>
    <row r="1458" spans="1:5">
      <c r="A1458" t="s">
        <v>5</v>
      </c>
      <c r="B1458" t="s">
        <v>1463</v>
      </c>
      <c r="C1458">
        <f>HYPERLINK("C:\Users\franc\OneDrive\Documentos\ALIRO\ALIRO\ALIRO\CONCESIONES\FLORENCIA SIETE (SEGUNDO JUZGADO).doc", "Abrir Documento")</f>
        <v>0</v>
      </c>
      <c r="D1458" t="s">
        <v>23500</v>
      </c>
      <c r="E1458" t="s">
        <v>24957</v>
      </c>
    </row>
    <row r="1459" spans="1:5">
      <c r="A1459" t="s">
        <v>5</v>
      </c>
      <c r="B1459" t="s">
        <v>1464</v>
      </c>
      <c r="C1459">
        <f>HYPERLINK("C:\Users\franc\OneDrive\Documentos\ALIRO\ALIRO\ALIRO\CONCESIONES\FLORENCIA SEIS (SEGUNDO JUZGADO).doc", "Abrir Documento")</f>
        <v>0</v>
      </c>
      <c r="D1459" t="s">
        <v>23500</v>
      </c>
      <c r="E1459" t="s">
        <v>24958</v>
      </c>
    </row>
    <row r="1460" spans="1:5">
      <c r="A1460" t="s">
        <v>5</v>
      </c>
      <c r="B1460" t="s">
        <v>1465</v>
      </c>
      <c r="C1460">
        <f>HYPERLINK("C:\Users\franc\OneDrive\Documentos\ALIRO\ALIRO\ALIRO\CONCESIONES\FLORENCIA DOS (SEGUNDO JUZGADO).doc", "Abrir Documento")</f>
        <v>0</v>
      </c>
      <c r="D1460" t="s">
        <v>23500</v>
      </c>
      <c r="E1460" t="s">
        <v>24959</v>
      </c>
    </row>
    <row r="1461" spans="1:5">
      <c r="A1461" t="s">
        <v>5</v>
      </c>
      <c r="B1461" t="s">
        <v>1466</v>
      </c>
      <c r="C1461">
        <f>HYPERLINK("C:\Users\franc\OneDrive\Documentos\ALIRO\ALIRO\ALIRO\CONCESIONES\FLORENCIA CUATRO (SEGUNDO JUZGADO).doc", "Abrir Documento")</f>
        <v>0</v>
      </c>
      <c r="D1461" t="s">
        <v>23500</v>
      </c>
      <c r="E1461" t="s">
        <v>24960</v>
      </c>
    </row>
    <row r="1462" spans="1:5">
      <c r="A1462" t="s">
        <v>5</v>
      </c>
      <c r="B1462" t="s">
        <v>1467</v>
      </c>
      <c r="C1462">
        <f>HYPERLINK("C:\Users\franc\OneDrive\Documentos\ALIRO\ALIRO\ALIRO\CONCESIONES\FLORENCIA CINCO (SEGUNDO JUZGADO).doc", "Abrir Documento")</f>
        <v>0</v>
      </c>
      <c r="D1462" t="s">
        <v>23500</v>
      </c>
      <c r="E1462" t="s">
        <v>24961</v>
      </c>
    </row>
    <row r="1463" spans="1:5">
      <c r="A1463" t="s">
        <v>5</v>
      </c>
      <c r="B1463" t="s">
        <v>1468</v>
      </c>
      <c r="C1463">
        <f>HYPERLINK("C:\Users\franc\OneDrive\Documentos\ALIRO\ALIRO\ALIRO\CONCESIONES\FLORENCIA 1(SEGUNDO JUZGADO).doc", "Abrir Documento")</f>
        <v>0</v>
      </c>
      <c r="D1463" t="s">
        <v>23500</v>
      </c>
      <c r="E1463" t="s">
        <v>24962</v>
      </c>
    </row>
    <row r="1464" spans="1:5">
      <c r="A1464" t="s">
        <v>5</v>
      </c>
      <c r="B1464" t="s">
        <v>1469</v>
      </c>
      <c r="C1464">
        <f>HYPERLINK("C:\Users\franc\OneDrive\Documentos\ALIRO\ALIRO\ALIRO\CONCESIONES\ESTRELLA 64  (TERCER JUZGADO).doc", "Abrir Documento")</f>
        <v>0</v>
      </c>
      <c r="D1464" t="s">
        <v>23500</v>
      </c>
      <c r="E1464" t="s">
        <v>24963</v>
      </c>
    </row>
    <row r="1465" spans="1:5">
      <c r="A1465" t="s">
        <v>5</v>
      </c>
      <c r="B1465" t="s">
        <v>1470</v>
      </c>
      <c r="C1465">
        <f>HYPERLINK("C:\Users\franc\OneDrive\Documentos\ALIRO\ALIRO\ALIRO\CONCESIONES\ESTRELLA 62  (TERCER JUZGADO).doc", "Abrir Documento")</f>
        <v>0</v>
      </c>
      <c r="D1465" t="s">
        <v>23500</v>
      </c>
      <c r="E1465" t="s">
        <v>24964</v>
      </c>
    </row>
    <row r="1466" spans="1:5">
      <c r="A1466" t="s">
        <v>5</v>
      </c>
      <c r="B1466" t="s">
        <v>1471</v>
      </c>
      <c r="C1466">
        <f>HYPERLINK("C:\Users\franc\OneDrive\Documentos\ALIRO\ALIRO\ALIRO\CONCESIONES\ESTRELLA 55  (PRIMER  JUZGADO).doc", "Abrir Documento")</f>
        <v>0</v>
      </c>
      <c r="D1466" t="s">
        <v>23500</v>
      </c>
      <c r="E1466" t="s">
        <v>24965</v>
      </c>
    </row>
    <row r="1467" spans="1:5">
      <c r="A1467" t="s">
        <v>5</v>
      </c>
      <c r="B1467" t="s">
        <v>1472</v>
      </c>
      <c r="C1467">
        <f>HYPERLINK("C:\Users\franc\OneDrive\Documentos\ALIRO\ALIRO\ALIRO\Compañia Demetrio Tello\VISTA HERMOSA 1-2-3-4-5-6-7.doc", "Abrir Documento")</f>
        <v>0</v>
      </c>
      <c r="D1467" t="s">
        <v>23501</v>
      </c>
      <c r="E1467" t="s">
        <v>24966</v>
      </c>
    </row>
    <row r="1468" spans="1:5">
      <c r="A1468" t="s">
        <v>5</v>
      </c>
      <c r="B1468" t="s">
        <v>1473</v>
      </c>
      <c r="C1468">
        <f>HYPERLINK("C:\Users\franc\OneDrive\Documentos\ALIRO\ALIRO\ALIRO\Compañia Demetrio Tello\VENTOLERA UNO AL CINCO.doc", "Abrir Documento")</f>
        <v>0</v>
      </c>
      <c r="D1468" t="s">
        <v>23501</v>
      </c>
      <c r="E1468" t="s">
        <v>24967</v>
      </c>
    </row>
    <row r="1469" spans="1:5">
      <c r="A1469" t="s">
        <v>5</v>
      </c>
      <c r="B1469" t="s">
        <v>1474</v>
      </c>
      <c r="C1469">
        <f>HYPERLINK("C:\Users\franc\OneDrive\Documentos\ALIRO\ALIRO\ALIRO\Compañia Demetrio Tello\RINCON 1 A 19.doc", "Abrir Documento")</f>
        <v>0</v>
      </c>
      <c r="D1469" t="s">
        <v>23501</v>
      </c>
      <c r="E1469" t="s">
        <v>24968</v>
      </c>
    </row>
    <row r="1470" spans="1:5">
      <c r="A1470" t="s">
        <v>5</v>
      </c>
      <c r="B1470" t="s">
        <v>1475</v>
      </c>
      <c r="C1470">
        <f>HYPERLINK("C:\Users\franc\OneDrive\Documentos\ALIRO\ALIRO\ALIRO\Compañia Demetrio Tello\PATRIA NUEVA CUATRO.doc", "Abrir Documento")</f>
        <v>0</v>
      </c>
      <c r="D1470" t="s">
        <v>23501</v>
      </c>
      <c r="E1470" t="s">
        <v>24969</v>
      </c>
    </row>
    <row r="1471" spans="1:5">
      <c r="A1471" t="s">
        <v>5</v>
      </c>
      <c r="B1471" t="s">
        <v>1476</v>
      </c>
      <c r="C1471">
        <f>HYPERLINK("C:\Users\franc\OneDrive\Documentos\ALIRO\ALIRO\ALIRO\Compañia Demetrio Tello\OLIVO UNO AL DIEZ.doc", "Abrir Documento")</f>
        <v>0</v>
      </c>
      <c r="D1471" t="s">
        <v>23501</v>
      </c>
      <c r="E1471" t="s">
        <v>24970</v>
      </c>
    </row>
    <row r="1472" spans="1:5">
      <c r="A1472" t="s">
        <v>5</v>
      </c>
      <c r="B1472" t="s">
        <v>1477</v>
      </c>
      <c r="C1472">
        <f>HYPERLINK("C:\Users\franc\OneDrive\Documentos\ALIRO\ALIRO\ALIRO\Compañia Demetrio Tello\NIEBLA UNO AL DOCE.doc", "Abrir Documento")</f>
        <v>0</v>
      </c>
      <c r="D1472" t="s">
        <v>23501</v>
      </c>
      <c r="E1472" t="s">
        <v>24971</v>
      </c>
    </row>
    <row r="1473" spans="1:5">
      <c r="A1473" t="s">
        <v>5</v>
      </c>
      <c r="B1473" t="s">
        <v>1478</v>
      </c>
      <c r="C1473">
        <f>HYPERLINK("C:\Users\franc\OneDrive\Documentos\ALIRO\ALIRO\ALIRO\Compañia Demetrio Tello\NIEBLA SUR UNO AL SESENTA Y DOS.doc", "Abrir Documento")</f>
        <v>0</v>
      </c>
      <c r="D1473" t="s">
        <v>23501</v>
      </c>
      <c r="E1473" t="s">
        <v>24972</v>
      </c>
    </row>
    <row r="1474" spans="1:5">
      <c r="A1474" t="s">
        <v>5</v>
      </c>
      <c r="B1474" t="s">
        <v>1479</v>
      </c>
      <c r="C1474">
        <f>HYPERLINK("C:\Users\franc\OneDrive\Documentos\ALIRO\ALIRO\ALIRO\Compañia Demetrio Tello\MINA SANTANDER UNO - CUATRO.doc", "Abrir Documento")</f>
        <v>0</v>
      </c>
      <c r="D1474" t="s">
        <v>23501</v>
      </c>
      <c r="E1474" t="s">
        <v>24973</v>
      </c>
    </row>
    <row r="1475" spans="1:5">
      <c r="A1475" t="s">
        <v>5</v>
      </c>
      <c r="B1475" t="s">
        <v>1480</v>
      </c>
      <c r="C1475">
        <f>HYPERLINK("C:\Users\franc\OneDrive\Documentos\ALIRO\ALIRO\ALIRO\Compañia Demetrio Tello\LA ULTIMA SEIS.doc", "Abrir Documento")</f>
        <v>0</v>
      </c>
      <c r="D1475" t="s">
        <v>23501</v>
      </c>
      <c r="E1475" t="s">
        <v>24974</v>
      </c>
    </row>
    <row r="1476" spans="1:5">
      <c r="A1476" t="s">
        <v>5</v>
      </c>
      <c r="B1476" t="s">
        <v>1481</v>
      </c>
      <c r="C1476">
        <f>HYPERLINK("C:\Users\franc\OneDrive\Documentos\ALIRO\ALIRO\ALIRO\Compañia Demetrio Tello\LA ROSQUITA UNA AL CINCO.doc", "Abrir Documento")</f>
        <v>0</v>
      </c>
      <c r="D1476" t="s">
        <v>23501</v>
      </c>
      <c r="E1476" t="s">
        <v>24975</v>
      </c>
    </row>
    <row r="1477" spans="1:5">
      <c r="A1477" t="s">
        <v>5</v>
      </c>
      <c r="B1477" t="s">
        <v>1482</v>
      </c>
      <c r="C1477">
        <f>HYPERLINK("C:\Users\franc\OneDrive\Documentos\ALIRO\ALIRO\ALIRO\Compañia Demetrio Tello\DULCINEA UNO A DULCINEA DOS.doc", "Abrir Documento")</f>
        <v>0</v>
      </c>
      <c r="D1477" t="s">
        <v>23501</v>
      </c>
      <c r="E1477" t="s">
        <v>24976</v>
      </c>
    </row>
    <row r="1478" spans="1:5">
      <c r="A1478" t="s">
        <v>5</v>
      </c>
      <c r="B1478" t="s">
        <v>1483</v>
      </c>
      <c r="C1478">
        <f>HYPERLINK("C:\Users\franc\OneDrive\Documentos\ALIRO\ALIRO\ALIRO\Compañia Demetrio Tello\COSTA UNO AL VEINTISIETE.doc", "Abrir Documento")</f>
        <v>0</v>
      </c>
      <c r="D1478" t="s">
        <v>23501</v>
      </c>
      <c r="E1478" t="s">
        <v>24977</v>
      </c>
    </row>
    <row r="1479" spans="1:5">
      <c r="A1479" t="s">
        <v>5</v>
      </c>
      <c r="B1479" t="s">
        <v>1484</v>
      </c>
      <c r="C1479">
        <f>HYPERLINK("C:\Users\franc\OneDrive\Documentos\ALIRO\ALIRO\ALIRO\Compañia Demetrio Tello\CITACIONES.doc", "Abrir Documento")</f>
        <v>0</v>
      </c>
      <c r="D1479" t="s">
        <v>23501</v>
      </c>
      <c r="E1479" t="s">
        <v>24978</v>
      </c>
    </row>
    <row r="1480" spans="1:5">
      <c r="A1480" t="s">
        <v>5</v>
      </c>
      <c r="B1480" t="s">
        <v>1485</v>
      </c>
      <c r="C1480">
        <f>HYPERLINK("C:\Users\franc\OneDrive\Documentos\ALIRO\ALIRO\ALIRO\Compañia Demetrio Tello\AZULILLO UNO AL SEIS.doc", "Abrir Documento")</f>
        <v>0</v>
      </c>
      <c r="D1480" t="s">
        <v>23501</v>
      </c>
      <c r="E1480" t="s">
        <v>24979</v>
      </c>
    </row>
    <row r="1481" spans="1:5">
      <c r="A1481" t="s">
        <v>5</v>
      </c>
      <c r="B1481" t="s">
        <v>1486</v>
      </c>
      <c r="C1481">
        <f>HYPERLINK("C:\Users\franc\OneDrive\Documentos\ALIRO\ALIRO\ALIRO\CERTIFICADOS\REPLUBICANA año 2022.doc", "Abrir Documento")</f>
        <v>0</v>
      </c>
      <c r="D1481" t="s">
        <v>23501</v>
      </c>
      <c r="E1481" t="s">
        <v>24980</v>
      </c>
    </row>
    <row r="1482" spans="1:5">
      <c r="A1482" t="s">
        <v>5</v>
      </c>
      <c r="B1482" t="s">
        <v>1487</v>
      </c>
      <c r="C1482">
        <f>HYPERLINK("C:\Users\franc\OneDrive\Documentos\ALIRO\ALIRO\ALIRO\CERTIFICADOS\CERTIFICADO DE DOMONIO VIGENTE BUENA VISTA 1 DEL SECTOR DE SAMO BAJO.doc", "Abrir Documento")</f>
        <v>0</v>
      </c>
      <c r="D1482" t="s">
        <v>23501</v>
      </c>
      <c r="E1482" t="s">
        <v>24981</v>
      </c>
    </row>
    <row r="1483" spans="1:5">
      <c r="A1483" t="s">
        <v>5</v>
      </c>
      <c r="B1483" t="s">
        <v>1488</v>
      </c>
      <c r="C1483">
        <f>HYPERLINK("C:\Users\franc\OneDrive\Documentos\ALIRO\ALIRO\ALIRO\CERTIFICADOS\CERTIFICADO DE DOMINIO VIGENTE LIBERTAD 1 -3.doc", "Abrir Documento")</f>
        <v>0</v>
      </c>
      <c r="D1483" t="s">
        <v>23501</v>
      </c>
      <c r="E1483" t="s">
        <v>24982</v>
      </c>
    </row>
    <row r="1484" spans="1:5">
      <c r="A1484" t="s">
        <v>5</v>
      </c>
      <c r="B1484" t="s">
        <v>1489</v>
      </c>
      <c r="C1484">
        <f>HYPERLINK("C:\Users\franc\OneDrive\Documentos\ALIRO\ALIRO\ALIRO\CERTIFICADOS\CERTIFICADO DE DOMINIO NIEBLA SUR 1 AL 60.doc", "Abrir Documento")</f>
        <v>0</v>
      </c>
      <c r="D1484" t="s">
        <v>23501</v>
      </c>
      <c r="E1484" t="s">
        <v>24983</v>
      </c>
    </row>
    <row r="1485" spans="1:5">
      <c r="A1485" t="s">
        <v>5</v>
      </c>
      <c r="B1485" t="s">
        <v>1490</v>
      </c>
      <c r="C1485">
        <f>HYPERLINK("C:\Users\franc\OneDrive\Documentos\ALIRO\ALIRO\ALIRO\AUTORIZACION\REUNION COMUNIDAD CON DERECHO A VOZ Y VOTO (1).doc", "Abrir Documento")</f>
        <v>0</v>
      </c>
      <c r="D1485" t="s">
        <v>23501</v>
      </c>
      <c r="E1485" t="s">
        <v>24984</v>
      </c>
    </row>
    <row r="1486" spans="1:5">
      <c r="A1486" t="s">
        <v>5</v>
      </c>
      <c r="B1486" t="s">
        <v>1491</v>
      </c>
      <c r="C1486">
        <f>HYPERLINK("C:\Users\franc\OneDrive\Documentos\ALIRO\ALIRO\ALIRO\AUTORIZACION\AUTORIZACION protocolizado acc. (VER-IZQUIERD).doc", "Abrir Documento")</f>
        <v>0</v>
      </c>
      <c r="D1486" t="s">
        <v>23501</v>
      </c>
      <c r="E1486" t="s">
        <v>24985</v>
      </c>
    </row>
    <row r="1487" spans="1:5">
      <c r="A1487" t="s">
        <v>5</v>
      </c>
      <c r="B1487" t="s">
        <v>1492</v>
      </c>
      <c r="C1487">
        <f>HYPERLINK("C:\Users\franc\OneDrive\Documentos\ALIRO\ALIRO\ALIRO\AUTORIZACION\AUTORIZACION PROPIEDAD Mantos Verdes 4-17 (HORIZONTAL ).doc", "Abrir Documento")</f>
        <v>0</v>
      </c>
      <c r="D1487" t="s">
        <v>23501</v>
      </c>
      <c r="E1487" t="s">
        <v>24986</v>
      </c>
    </row>
    <row r="1488" spans="1:5">
      <c r="A1488" t="s">
        <v>5</v>
      </c>
      <c r="B1488" t="s">
        <v>1493</v>
      </c>
      <c r="C1488">
        <f>HYPERLINK("C:\Users\franc\OneDrive\Documentos\ALIRO\ALIRO\ALIRO\AUTORIZACION\AUTORIZACION PROPIEDAD (VERTICAL IZQUIEREDD).doc", "Abrir Documento")</f>
        <v>0</v>
      </c>
      <c r="D1488" t="s">
        <v>23501</v>
      </c>
      <c r="E1488" t="s">
        <v>24987</v>
      </c>
    </row>
    <row r="1489" spans="1:5">
      <c r="A1489" t="s">
        <v>5</v>
      </c>
      <c r="B1489" t="s">
        <v>1494</v>
      </c>
      <c r="C1489">
        <f>HYPERLINK("C:\Users\franc\OneDrive\Documentos\ALIRO\ALIRO\ALIRO\AUTORIZACION\AUTORIZACION PROPIEDAD (HORIZONTAL ).doc", "Abrir Documento")</f>
        <v>0</v>
      </c>
      <c r="D1489" t="s">
        <v>23501</v>
      </c>
      <c r="E1489" t="s">
        <v>24988</v>
      </c>
    </row>
    <row r="1490" spans="1:5">
      <c r="A1490" t="s">
        <v>5</v>
      </c>
      <c r="B1490" t="s">
        <v>1495</v>
      </c>
      <c r="C1490">
        <f>HYPERLINK("C:\Users\franc\OneDrive\Documentos\ALIRO\ALIRO\ALIRO\AUTORIZACION\AUTORIZACION DOCUMENTOS PROTOCOLIZADOS.doc", "Abrir Documento")</f>
        <v>0</v>
      </c>
      <c r="D1490" t="s">
        <v>23501</v>
      </c>
      <c r="E1490" t="s">
        <v>24989</v>
      </c>
    </row>
    <row r="1491" spans="1:5">
      <c r="A1491" t="s">
        <v>5</v>
      </c>
      <c r="B1491" t="s">
        <v>1496</v>
      </c>
      <c r="C1491">
        <f>HYPERLINK("C:\Users\franc\OneDrive\Documentos\ALIRO\ALIRO\ALIRO\AUTORIZACION\AUTORIZACION DOCUMENTOS PROTOCOLIZADOS BOLETIN MINERO.doc", "Abrir Documento")</f>
        <v>0</v>
      </c>
      <c r="D1491" t="s">
        <v>23501</v>
      </c>
      <c r="E1491" t="s">
        <v>24990</v>
      </c>
    </row>
    <row r="1492" spans="1:5">
      <c r="A1492" t="s">
        <v>5</v>
      </c>
      <c r="B1492" t="s">
        <v>1497</v>
      </c>
      <c r="C1492">
        <f>HYPERLINK("C:\Users\franc\OneDrive\Documentos\ALIRO\ALIRO\ALIRO\AUTORIZACION\AUTORIZACION DESCUBRIMIENTOS (HORIZONTAL).docx", "Abrir Documento")</f>
        <v>0</v>
      </c>
      <c r="D1492" t="s">
        <v>23501</v>
      </c>
      <c r="E1492" t="s">
        <v>24991</v>
      </c>
    </row>
    <row r="1493" spans="1:5">
      <c r="A1493" t="s">
        <v>5</v>
      </c>
      <c r="B1493" t="s">
        <v>1498</v>
      </c>
      <c r="C1493">
        <f>HYPERLINK("C:\Users\franc\OneDrive\Documentos\ALIRO\ALIRO\ALIRO\AUTORIZACION\AUTORIZACION DESCUBRIMIENTO Vigente(VER-IZQUIERD).doc", "Abrir Documento")</f>
        <v>0</v>
      </c>
      <c r="D1493" t="s">
        <v>23501</v>
      </c>
      <c r="E1493" t="s">
        <v>24992</v>
      </c>
    </row>
    <row r="1494" spans="1:5">
      <c r="A1494" t="s">
        <v>5</v>
      </c>
      <c r="B1494" t="s">
        <v>1499</v>
      </c>
      <c r="C1494">
        <f>HYPERLINK("C:\Users\franc\OneDrive\Documentos\ALIRO\ALIRO\ALIRO\AUTORIZACION\AUTORIZACION DESCUBRIMIENTO DOCUMENTOS PROTOCOLIZADOS (VER-IZQUIERD).doc", "Abrir Documento")</f>
        <v>0</v>
      </c>
      <c r="D1494" t="s">
        <v>23501</v>
      </c>
      <c r="E1494" t="s">
        <v>24993</v>
      </c>
    </row>
    <row r="1495" spans="1:5">
      <c r="A1495" t="s">
        <v>5</v>
      </c>
      <c r="B1495" t="s">
        <v>1500</v>
      </c>
      <c r="C1495">
        <f>HYPERLINK("C:\Users\franc\OneDrive\Documentos\ALIRO\ALIRO\ALIRO\AUTORIZACION\AUTORIZACION DESCUBRIMIENTO (VER-IZQUIERD).doc", "Abrir Documento")</f>
        <v>0</v>
      </c>
      <c r="D1495" t="s">
        <v>23501</v>
      </c>
      <c r="E1495" t="s">
        <v>24994</v>
      </c>
    </row>
    <row r="1496" spans="1:5">
      <c r="A1496" t="s">
        <v>5</v>
      </c>
      <c r="B1496" t="s">
        <v>1501</v>
      </c>
      <c r="C1496">
        <f>HYPERLINK("C:\Users\franc\OneDrive\Documentos\ALIRO\ALIRO\ALIRO\AUTORIZACION\AUTORIZACION DESCUBRIMIENTO (MARGEN-DER).doc", "Abrir Documento")</f>
        <v>0</v>
      </c>
      <c r="D1496" t="s">
        <v>23501</v>
      </c>
      <c r="E1496" t="s">
        <v>24995</v>
      </c>
    </row>
    <row r="1497" spans="1:5">
      <c r="A1497" t="s">
        <v>5</v>
      </c>
      <c r="B1497" t="s">
        <v>1502</v>
      </c>
      <c r="C1497">
        <f>HYPERLINK("C:\Users\franc\OneDrive\Documentos\ALIRO\ALIRO\ALIRO\AUTORIZACION\APR RURAL.docx", "Abrir Documento")</f>
        <v>0</v>
      </c>
      <c r="D1497" t="s">
        <v>23501</v>
      </c>
      <c r="E1497" t="s">
        <v>24996</v>
      </c>
    </row>
    <row r="1498" spans="1:5">
      <c r="A1498" t="s">
        <v>6</v>
      </c>
      <c r="B1498" t="s">
        <v>1503</v>
      </c>
      <c r="C1498">
        <f>HYPERLINK("C:\Users\franc\OneDrive\Documentos\MALENTIN KARIME\VTA. PROPIEDAD\VTA SEPULTURA\ANA SALFATE A RAMON LARA.doc", "Abrir Documento")</f>
        <v>0</v>
      </c>
      <c r="D1498" t="s">
        <v>23500</v>
      </c>
      <c r="E1498" t="s">
        <v>24997</v>
      </c>
    </row>
    <row r="1499" spans="1:5">
      <c r="A1499" t="s">
        <v>6</v>
      </c>
      <c r="B1499" t="s">
        <v>1504</v>
      </c>
      <c r="C1499">
        <f>HYPERLINK("C:\Users\franc\OneDrive\Documentos\MALENTIN KARIME\VTA. PROPIEDAD\subdiv\VIVIANA ARAYA HIDALGO A MARIA CANIHUANTE LOTE A-7.doc", "Abrir Documento")</f>
        <v>0</v>
      </c>
      <c r="D1499" t="s">
        <v>23500</v>
      </c>
      <c r="E1499" t="s">
        <v>24998</v>
      </c>
    </row>
    <row r="1500" spans="1:5">
      <c r="A1500" t="s">
        <v>6</v>
      </c>
      <c r="B1500" t="s">
        <v>1505</v>
      </c>
      <c r="C1500">
        <f>HYPERLINK("C:\Users\franc\OneDrive\Documentos\MALENTIN KARIME\VTA. PROPIEDAD\subdiv\VIVIANA ARAYA HIDALGO A Margarita tapiaLOTE A-3.doc", "Abrir Documento")</f>
        <v>0</v>
      </c>
      <c r="D1500" t="s">
        <v>23500</v>
      </c>
      <c r="E1500" t="s">
        <v>24999</v>
      </c>
    </row>
    <row r="1501" spans="1:5">
      <c r="A1501" t="s">
        <v>6</v>
      </c>
      <c r="B1501" t="s">
        <v>1506</v>
      </c>
      <c r="C1501">
        <f>HYPERLINK("C:\Users\franc\OneDrive\Documentos\MALENTIN KARIME\VTA. PROPIEDAD\subdiv\VIVIANA ARAYA HIDALGO A JORGE PEÑALOZA LOTE A-4.doc", "Abrir Documento")</f>
        <v>0</v>
      </c>
      <c r="D1501" t="s">
        <v>23500</v>
      </c>
      <c r="E1501" t="s">
        <v>25000</v>
      </c>
    </row>
    <row r="1502" spans="1:5">
      <c r="A1502" t="s">
        <v>6</v>
      </c>
      <c r="B1502" t="s">
        <v>1507</v>
      </c>
      <c r="C1502">
        <f>HYPERLINK("C:\Users\franc\OneDrive\Documentos\MALENTIN KARIME\VTA. PROPIEDAD\subdiv\VIVIANA ARAYA HIDALGO A Eduardo Joel LOTE A-11.doc", "Abrir Documento")</f>
        <v>0</v>
      </c>
      <c r="D1502" t="s">
        <v>23500</v>
      </c>
      <c r="E1502" t="s">
        <v>25001</v>
      </c>
    </row>
    <row r="1503" spans="1:5">
      <c r="A1503" t="s">
        <v>6</v>
      </c>
      <c r="B1503" t="s">
        <v>1508</v>
      </c>
      <c r="C1503">
        <f>HYPERLINK("C:\Users\franc\OneDrive\Documentos\MALENTIN KARIME\VTA. PROPIEDAD\subdiv\ROSENDO CAMPO CASTILLO a María Campo SAG.doc", "Abrir Documento")</f>
        <v>0</v>
      </c>
      <c r="D1503" t="s">
        <v>23500</v>
      </c>
      <c r="E1503" t="s">
        <v>25002</v>
      </c>
    </row>
    <row r="1504" spans="1:5">
      <c r="A1504" t="s">
        <v>6</v>
      </c>
      <c r="B1504" t="s">
        <v>1509</v>
      </c>
      <c r="C1504">
        <f>HYPERLINK("C:\Users\franc\OneDrive\Documentos\MALENTIN KARIME\VTA. PROPIEDAD\subdiv\RAMON OLIVARES a Salustino  Araya SAG.doc", "Abrir Documento")</f>
        <v>0</v>
      </c>
      <c r="D1504" t="s">
        <v>23500</v>
      </c>
      <c r="E1504" t="s">
        <v>25003</v>
      </c>
    </row>
    <row r="1505" spans="1:5">
      <c r="A1505" t="s">
        <v>6</v>
      </c>
      <c r="B1505" t="s">
        <v>1510</v>
      </c>
      <c r="C1505">
        <f>HYPERLINK("C:\Users\franc\OneDrive\Documentos\MALENTIN KARIME\VTA. PROPIEDAD\subdiv\RAMON OLIVARES a Raúl Maluenda SAG.doc", "Abrir Documento")</f>
        <v>0</v>
      </c>
      <c r="D1505" t="s">
        <v>23500</v>
      </c>
      <c r="E1505" t="s">
        <v>25004</v>
      </c>
    </row>
    <row r="1506" spans="1:5">
      <c r="A1506" t="s">
        <v>6</v>
      </c>
      <c r="B1506" t="s">
        <v>1511</v>
      </c>
      <c r="C1506">
        <f>HYPERLINK("C:\Users\franc\OneDrive\Documentos\MALENTIN KARIME\VTA. PROPIEDAD\subdiv\MODELO HECTOR VELOZO.doc", "Abrir Documento")</f>
        <v>0</v>
      </c>
      <c r="D1506" t="s">
        <v>23500</v>
      </c>
      <c r="E1506" t="s">
        <v>25005</v>
      </c>
    </row>
    <row r="1507" spans="1:5">
      <c r="A1507" t="s">
        <v>6</v>
      </c>
      <c r="B1507" t="s">
        <v>1512</v>
      </c>
      <c r="C1507">
        <f>HYPERLINK("C:\Users\franc\OneDrive\Documentos\MALENTIN KARIME\VTA. PROPIEDAD\subdiv\MIRTA ARACENA A ALAN ROCO POZO  (NUEVA SUB) LOTE 1 - A.doc", "Abrir Documento")</f>
        <v>0</v>
      </c>
      <c r="D1507" t="s">
        <v>23500</v>
      </c>
      <c r="E1507" t="s">
        <v>25006</v>
      </c>
    </row>
    <row r="1508" spans="1:5">
      <c r="A1508" t="s">
        <v>6</v>
      </c>
      <c r="B1508" t="s">
        <v>1513</v>
      </c>
      <c r="C1508">
        <f>HYPERLINK("C:\Users\franc\OneDrive\Documentos\MALENTIN KARIME\VTA. PROPIEDAD\subdiv\MIGUEL BUGUEÑO CAMPOS A DAVID PINO LOPEZ.doc", "Abrir Documento")</f>
        <v>0</v>
      </c>
      <c r="D1508" t="s">
        <v>23500</v>
      </c>
      <c r="E1508" t="s">
        <v>25007</v>
      </c>
    </row>
    <row r="1509" spans="1:5">
      <c r="A1509" t="s">
        <v>6</v>
      </c>
      <c r="B1509" t="s">
        <v>1514</v>
      </c>
      <c r="C1509">
        <f>HYPERLINK("C:\Users\franc\OneDrive\Documentos\MALENTIN KARIME\VTA. PROPIEDAD\subdiv\MANUELA PIZARRO CAMPUSANO    subd muni.doc", "Abrir Documento")</f>
        <v>0</v>
      </c>
      <c r="D1509" t="s">
        <v>23500</v>
      </c>
      <c r="E1509" t="s">
        <v>25008</v>
      </c>
    </row>
    <row r="1510" spans="1:5">
      <c r="A1510" t="s">
        <v>6</v>
      </c>
      <c r="B1510" t="s">
        <v>1515</v>
      </c>
      <c r="C1510">
        <f>HYPERLINK("C:\Users\franc\OneDrive\Documentos\MALENTIN KARIME\VTA. PROPIEDAD\subdiv\Lotes.doc", "Abrir Documento")</f>
        <v>0</v>
      </c>
      <c r="D1510" t="s">
        <v>23500</v>
      </c>
      <c r="E1510" t="s">
        <v>25009</v>
      </c>
    </row>
    <row r="1511" spans="1:5">
      <c r="A1511" t="s">
        <v>6</v>
      </c>
      <c r="B1511" t="s">
        <v>1516</v>
      </c>
      <c r="C1511">
        <f>HYPERLINK("C:\Users\franc\OneDrive\Documentos\MALENTIN KARIME\VTA. PROPIEDAD\subdiv\KAREN LUTTGUES LOTE 26 D.doc", "Abrir Documento")</f>
        <v>0</v>
      </c>
      <c r="D1511" t="s">
        <v>23500</v>
      </c>
      <c r="E1511" t="s">
        <v>25010</v>
      </c>
    </row>
    <row r="1512" spans="1:5">
      <c r="A1512" t="s">
        <v>6</v>
      </c>
      <c r="B1512" t="s">
        <v>1517</v>
      </c>
      <c r="C1512">
        <f>HYPERLINK("C:\Users\franc\OneDrive\Documentos\MALENTIN KARIME\VTA. PROPIEDAD\subdiv\KAREN LUTTGUES A JUAN BROCA GUERRERO.doc", "Abrir Documento")</f>
        <v>0</v>
      </c>
      <c r="D1512" t="s">
        <v>23500</v>
      </c>
      <c r="E1512" t="s">
        <v>25011</v>
      </c>
    </row>
    <row r="1513" spans="1:5">
      <c r="A1513" t="s">
        <v>6</v>
      </c>
      <c r="B1513" t="s">
        <v>1518</v>
      </c>
      <c r="C1513">
        <f>HYPERLINK("C:\Users\franc\OneDrive\Documentos\MALENTIN KARIME\VTA. PROPIEDAD\subdiv\KAREN LUTTGUES A BRAYAN LUTTGUES LOTE 26 A.doc", "Abrir Documento")</f>
        <v>0</v>
      </c>
      <c r="D1513" t="s">
        <v>23500</v>
      </c>
      <c r="E1513" t="s">
        <v>25012</v>
      </c>
    </row>
    <row r="1514" spans="1:5">
      <c r="A1514" t="s">
        <v>6</v>
      </c>
      <c r="B1514" t="s">
        <v>1519</v>
      </c>
      <c r="C1514">
        <f>HYPERLINK("C:\Users\franc\OneDrive\Documentos\MALENTIN KARIME\VTA. PROPIEDAD\subdiv\JULIA ROBLES GALINDO Plantilla.doc", "Abrir Documento")</f>
        <v>0</v>
      </c>
      <c r="D1514" t="s">
        <v>23500</v>
      </c>
      <c r="E1514" t="s">
        <v>25013</v>
      </c>
    </row>
    <row r="1515" spans="1:5">
      <c r="A1515" t="s">
        <v>6</v>
      </c>
      <c r="B1515" t="s">
        <v>1520</v>
      </c>
      <c r="C1515">
        <f>HYPERLINK("C:\Users\franc\OneDrive\Documentos\MALENTIN KARIME\VTA. PROPIEDAD\subdiv\JULIA ROBLES GALINDO 71 F.doc", "Abrir Documento")</f>
        <v>0</v>
      </c>
      <c r="D1515" t="s">
        <v>23500</v>
      </c>
      <c r="E1515" t="s">
        <v>25014</v>
      </c>
    </row>
    <row r="1516" spans="1:5">
      <c r="A1516" t="s">
        <v>6</v>
      </c>
      <c r="B1516" t="s">
        <v>1521</v>
      </c>
      <c r="C1516">
        <f>HYPERLINK("C:\Users\franc\OneDrive\Documentos\MALENTIN KARIME\VTA. PROPIEDAD\subdiv\JULIA ROBLES GALINDO 71 E.doc", "Abrir Documento")</f>
        <v>0</v>
      </c>
      <c r="D1516" t="s">
        <v>23500</v>
      </c>
      <c r="E1516" t="s">
        <v>25015</v>
      </c>
    </row>
    <row r="1517" spans="1:5">
      <c r="A1517" t="s">
        <v>6</v>
      </c>
      <c r="B1517" t="s">
        <v>1522</v>
      </c>
      <c r="C1517">
        <f>HYPERLINK("C:\Users\franc\OneDrive\Documentos\MALENTIN KARIME\VTA. PROPIEDAD\subdiv\JULIA ROBLES GALINDO 71 D.doc", "Abrir Documento")</f>
        <v>0</v>
      </c>
      <c r="D1517" t="s">
        <v>23500</v>
      </c>
      <c r="E1517" t="s">
        <v>25016</v>
      </c>
    </row>
    <row r="1518" spans="1:5">
      <c r="A1518" t="s">
        <v>6</v>
      </c>
      <c r="B1518" t="s">
        <v>1523</v>
      </c>
      <c r="C1518">
        <f>HYPERLINK("C:\Users\franc\OneDrive\Documentos\MALENTIN KARIME\VTA. PROPIEDAD\subdiv\JULIA ROBLES GALINDO 71 C.doc", "Abrir Documento")</f>
        <v>0</v>
      </c>
      <c r="D1518" t="s">
        <v>23500</v>
      </c>
      <c r="E1518" t="s">
        <v>25017</v>
      </c>
    </row>
    <row r="1519" spans="1:5">
      <c r="A1519" t="s">
        <v>6</v>
      </c>
      <c r="B1519" t="s">
        <v>1524</v>
      </c>
      <c r="C1519">
        <f>HYPERLINK("C:\Users\franc\OneDrive\Documentos\MALENTIN KARIME\VTA. PROPIEDAD\subdiv\JULIA ROBLES GALINDO 71 B.doc", "Abrir Documento")</f>
        <v>0</v>
      </c>
      <c r="D1519" t="s">
        <v>23500</v>
      </c>
      <c r="E1519" t="s">
        <v>25018</v>
      </c>
    </row>
    <row r="1520" spans="1:5">
      <c r="A1520" t="s">
        <v>6</v>
      </c>
      <c r="B1520" t="s">
        <v>1525</v>
      </c>
      <c r="C1520">
        <f>HYPERLINK("C:\Users\franc\OneDrive\Documentos\MALENTIN KARIME\VTA. PROPIEDAD\subdiv\JULIA ROBLES GALINDO 71 A.doc", "Abrir Documento")</f>
        <v>0</v>
      </c>
      <c r="D1520" t="s">
        <v>23500</v>
      </c>
      <c r="E1520" t="s">
        <v>25019</v>
      </c>
    </row>
    <row r="1521" spans="1:5">
      <c r="A1521" t="s">
        <v>6</v>
      </c>
      <c r="B1521" t="s">
        <v>1526</v>
      </c>
      <c r="C1521">
        <f>HYPERLINK("C:\Users\franc\OneDrive\Documentos\MALENTIN KARIME\VTA. PROPIEDAD\subdiv\Héctor Velozo DESLINDES.doc", "Abrir Documento")</f>
        <v>0</v>
      </c>
      <c r="D1521" t="s">
        <v>23500</v>
      </c>
      <c r="E1521" t="s">
        <v>25020</v>
      </c>
    </row>
    <row r="1522" spans="1:5">
      <c r="A1522" t="s">
        <v>6</v>
      </c>
      <c r="B1522" t="s">
        <v>1527</v>
      </c>
      <c r="C1522">
        <f>HYPERLINK("C:\Users\franc\OneDrive\Documentos\MALENTIN KARIME\VTA. PROPIEDAD\subdiv\HERIBERTO TIRADO A MARTIN TIRADO ley 19807.doc", "Abrir Documento")</f>
        <v>0</v>
      </c>
      <c r="D1522" t="s">
        <v>23500</v>
      </c>
      <c r="E1522" t="s">
        <v>25021</v>
      </c>
    </row>
    <row r="1523" spans="1:5">
      <c r="A1523" t="s">
        <v>6</v>
      </c>
      <c r="B1523" t="s">
        <v>1528</v>
      </c>
      <c r="C1523">
        <f>HYPERLINK("C:\Users\franc\OneDrive\Documentos\MALENTIN KARIME\VTA. PROPIEDAD\subdiv\HECTOR VELOZO A NIBALDO ARAYA LOTE 7 - A 10.doc", "Abrir Documento")</f>
        <v>0</v>
      </c>
      <c r="D1523" t="s">
        <v>23500</v>
      </c>
      <c r="E1523" t="s">
        <v>25022</v>
      </c>
    </row>
    <row r="1524" spans="1:5">
      <c r="A1524" t="s">
        <v>6</v>
      </c>
      <c r="B1524" t="s">
        <v>1529</v>
      </c>
      <c r="C1524">
        <f>HYPERLINK("C:\Users\franc\OneDrive\Documentos\MALENTIN KARIME\VTA. PROPIEDAD\subdiv\HECTOR VELOZO A MARITZA RAMIREZ  LOTE 7 - A 8.doc", "Abrir Documento")</f>
        <v>0</v>
      </c>
      <c r="D1524" t="s">
        <v>23500</v>
      </c>
      <c r="E1524" t="s">
        <v>25023</v>
      </c>
    </row>
    <row r="1525" spans="1:5">
      <c r="A1525" t="s">
        <v>6</v>
      </c>
      <c r="B1525" t="s">
        <v>1530</v>
      </c>
      <c r="C1525">
        <f>HYPERLINK("C:\Users\franc\OneDrive\Documentos\MALENTIN KARIME\VTA. PROPIEDAD\subdiv\HECTOR VELOZO A LUIS ROMANQUE LOTE 7 - A 47.doc", "Abrir Documento")</f>
        <v>0</v>
      </c>
      <c r="D1525" t="s">
        <v>23500</v>
      </c>
      <c r="E1525" t="s">
        <v>25024</v>
      </c>
    </row>
    <row r="1526" spans="1:5">
      <c r="A1526" t="s">
        <v>6</v>
      </c>
      <c r="B1526" t="s">
        <v>1531</v>
      </c>
      <c r="C1526">
        <f>HYPERLINK("C:\Users\franc\OneDrive\Documentos\MALENTIN KARIME\VTA. PROPIEDAD\subdiv\HECTOR VELOZO A JENNY ROJAS BARRAZA LOTE 7 - A 10.doc", "Abrir Documento")</f>
        <v>0</v>
      </c>
      <c r="D1526" t="s">
        <v>23500</v>
      </c>
      <c r="E1526" t="s">
        <v>25025</v>
      </c>
    </row>
    <row r="1527" spans="1:5">
      <c r="A1527" t="s">
        <v>6</v>
      </c>
      <c r="B1527" t="s">
        <v>1532</v>
      </c>
      <c r="C1527">
        <f>HYPERLINK("C:\Users\franc\OneDrive\Documentos\MALENTIN KARIME\VTA. PROPIEDAD\subdiv\HECTOR VELOZO A EDUARDO PEREZ LOTE 7 - A 2.doc", "Abrir Documento")</f>
        <v>0</v>
      </c>
      <c r="D1527" t="s">
        <v>23500</v>
      </c>
      <c r="E1527" t="s">
        <v>25026</v>
      </c>
    </row>
    <row r="1528" spans="1:5">
      <c r="A1528" t="s">
        <v>6</v>
      </c>
      <c r="B1528" t="s">
        <v>1533</v>
      </c>
      <c r="C1528">
        <f>HYPERLINK("C:\Users\franc\OneDrive\Documentos\MALENTIN KARIME\VTA. PROPIEDAD\subdiv\HECTOR VELOZO A CARMEN OLAVE venta.doc", "Abrir Documento")</f>
        <v>0</v>
      </c>
      <c r="D1528" t="s">
        <v>23500</v>
      </c>
      <c r="E1528" t="s">
        <v>25027</v>
      </c>
    </row>
    <row r="1529" spans="1:5">
      <c r="A1529" t="s">
        <v>6</v>
      </c>
      <c r="B1529" t="s">
        <v>1534</v>
      </c>
      <c r="C1529">
        <f>HYPERLINK("C:\Users\franc\OneDrive\Documentos\MALENTIN KARIME\VTA. PROPIEDAD\subdiv\HECTOR VELOZO A ALIRO SANTANDER LOTE 7 - A  38.doc", "Abrir Documento")</f>
        <v>0</v>
      </c>
      <c r="D1529" t="s">
        <v>23500</v>
      </c>
      <c r="E1529" t="s">
        <v>25028</v>
      </c>
    </row>
    <row r="1530" spans="1:5">
      <c r="A1530" t="s">
        <v>6</v>
      </c>
      <c r="B1530" t="s">
        <v>1535</v>
      </c>
      <c r="C1530">
        <f>HYPERLINK("C:\Users\franc\OneDrive\Documentos\MALENTIN KARIME\VTA. PROPIEDAD\subdiv\FRANCISCO GUERRERO LOTE 31 D 3.doc", "Abrir Documento")</f>
        <v>0</v>
      </c>
      <c r="D1530" t="s">
        <v>23500</v>
      </c>
      <c r="E1530" t="s">
        <v>25029</v>
      </c>
    </row>
    <row r="1531" spans="1:5">
      <c r="A1531" t="s">
        <v>6</v>
      </c>
      <c r="B1531" t="s">
        <v>1536</v>
      </c>
      <c r="C1531">
        <f>HYPERLINK("C:\Users\franc\OneDrive\Documentos\MALENTIN KARIME\VTA. PROPIEDAD\subdiv\FRANCISCO GUERRERO LOTE 31 D 2.doc", "Abrir Documento")</f>
        <v>0</v>
      </c>
      <c r="D1531" t="s">
        <v>23500</v>
      </c>
      <c r="E1531" t="s">
        <v>25030</v>
      </c>
    </row>
    <row r="1532" spans="1:5">
      <c r="A1532" t="s">
        <v>6</v>
      </c>
      <c r="B1532" t="s">
        <v>1537</v>
      </c>
      <c r="C1532">
        <f>HYPERLINK("C:\Users\franc\OneDrive\Documentos\MALENTIN KARIME\VTA. PROPIEDAD\subdiv\EDUARDO CASTILLO CASTILLO Venta sol.doc", "Abrir Documento")</f>
        <v>0</v>
      </c>
      <c r="D1532" t="s">
        <v>23500</v>
      </c>
      <c r="E1532" t="s">
        <v>25031</v>
      </c>
    </row>
    <row r="1533" spans="1:5">
      <c r="A1533" t="s">
        <v>6</v>
      </c>
      <c r="B1533" t="s">
        <v>1538</v>
      </c>
      <c r="C1533">
        <f>HYPERLINK("C:\Users\franc\OneDrive\Documentos\MALENTIN KARIME\VTA. PROPIEDAD\subdiv\CLAUDIA PAREDES PIZARRO A Ivan Mondaca    subd muni.doc", "Abrir Documento")</f>
        <v>0</v>
      </c>
      <c r="D1533" t="s">
        <v>23500</v>
      </c>
      <c r="E1533" t="s">
        <v>25032</v>
      </c>
    </row>
    <row r="1534" spans="1:5">
      <c r="A1534" t="s">
        <v>6</v>
      </c>
      <c r="B1534" t="s">
        <v>1539</v>
      </c>
      <c r="C1534">
        <f>HYPERLINK("C:\Users\franc\OneDrive\Documentos\MALENTIN KARIME\VTA. PROPIEDAD\subdiv\BENEDICTO CISTERNAS servidumbre y venta final.doc", "Abrir Documento")</f>
        <v>0</v>
      </c>
      <c r="D1534" t="s">
        <v>23500</v>
      </c>
      <c r="E1534" t="s">
        <v>25033</v>
      </c>
    </row>
    <row r="1535" spans="1:5">
      <c r="A1535" t="s">
        <v>6</v>
      </c>
      <c r="B1535" t="s">
        <v>1540</v>
      </c>
      <c r="C1535">
        <f>HYPERLINK("C:\Users\franc\OneDrive\Documentos\MALENTIN KARIME\VTA. PROPIEDAD\subdiv\BENEDICTO CISTERNAS servidumbre y venta final con cambios.doc", "Abrir Documento")</f>
        <v>0</v>
      </c>
      <c r="D1535" t="s">
        <v>23500</v>
      </c>
      <c r="E1535" t="s">
        <v>25034</v>
      </c>
    </row>
    <row r="1536" spans="1:5">
      <c r="A1536" t="s">
        <v>6</v>
      </c>
      <c r="B1536" t="s">
        <v>1541</v>
      </c>
      <c r="C1536">
        <f>HYPERLINK("C:\Users\franc\OneDrive\Documentos\MALENTIN KARIME\VTA. PROPIEDAD\subdiv\BENEDICTO CISTERNAS RESCILIACION Y VENTA.doc", "Abrir Documento")</f>
        <v>0</v>
      </c>
      <c r="D1536" t="s">
        <v>23500</v>
      </c>
      <c r="E1536" t="s">
        <v>25035</v>
      </c>
    </row>
    <row r="1537" spans="1:5">
      <c r="A1537" t="s">
        <v>6</v>
      </c>
      <c r="B1537" t="s">
        <v>1542</v>
      </c>
      <c r="C1537">
        <f>HYPERLINK("C:\Users\franc\OneDrive\Documentos\MALENTIN KARIME\VTA. PROPIEDAD\subdiv\BENEDICTO CISTERNAS a Víctor Cisternas.doc", "Abrir Documento")</f>
        <v>0</v>
      </c>
      <c r="D1537" t="s">
        <v>23500</v>
      </c>
      <c r="E1537" t="s">
        <v>25036</v>
      </c>
    </row>
    <row r="1538" spans="1:5">
      <c r="A1538" t="s">
        <v>6</v>
      </c>
      <c r="B1538" t="s">
        <v>1543</v>
      </c>
      <c r="C1538">
        <f>HYPERLINK("C:\Users\franc\OneDrive\Documentos\MALENTIN KARIME\VTA. PROPIEDAD\subdiv\BENEDICTO CISTERNAS a Mariela Cisternas.doc", "Abrir Documento")</f>
        <v>0</v>
      </c>
      <c r="D1538" t="s">
        <v>23500</v>
      </c>
      <c r="E1538" t="s">
        <v>25037</v>
      </c>
    </row>
    <row r="1539" spans="1:5">
      <c r="A1539" t="s">
        <v>6</v>
      </c>
      <c r="B1539" t="s">
        <v>1544</v>
      </c>
      <c r="C1539">
        <f>HYPERLINK("C:\Users\franc\OneDrive\Documentos\MALENTIN KARIME\VTA. PROPIEDAD\subdiv\BENEDICTO CISTERNAS A Joselin Villegas.doc", "Abrir Documento")</f>
        <v>0</v>
      </c>
      <c r="D1539" t="s">
        <v>23500</v>
      </c>
      <c r="E1539" t="s">
        <v>25038</v>
      </c>
    </row>
    <row r="1540" spans="1:5">
      <c r="A1540" t="s">
        <v>6</v>
      </c>
      <c r="B1540" t="s">
        <v>1545</v>
      </c>
      <c r="C1540">
        <f>HYPERLINK("C:\Users\franc\OneDrive\Documentos\MALENTIN KARIME\VTA. PROPIEDAD\subdiv\BENEDICTO CISTERNAS a Jessica Segovia.doc", "Abrir Documento")</f>
        <v>0</v>
      </c>
      <c r="D1540" t="s">
        <v>23500</v>
      </c>
      <c r="E1540" t="s">
        <v>25039</v>
      </c>
    </row>
    <row r="1541" spans="1:5">
      <c r="A1541" t="s">
        <v>6</v>
      </c>
      <c r="B1541" t="s">
        <v>1546</v>
      </c>
      <c r="C1541">
        <f>HYPERLINK("C:\Users\franc\OneDrive\Documentos\MALENTIN KARIME\VTA. PROPIEDAD\subdiv\BENEDICTO CISTERNAS a Guido Cisternas.doc", "Abrir Documento")</f>
        <v>0</v>
      </c>
      <c r="D1541" t="s">
        <v>23500</v>
      </c>
      <c r="E1541" t="s">
        <v>25040</v>
      </c>
    </row>
    <row r="1542" spans="1:5">
      <c r="A1542" t="s">
        <v>6</v>
      </c>
      <c r="B1542" t="s">
        <v>1547</v>
      </c>
      <c r="C1542">
        <f>HYPERLINK("C:\Users\franc\OneDrive\Documentos\MALENTIN KARIME\VTA. PROPIEDAD\subdiv\BENEDICTO CISTERNAS a Ana Cisternas.doc", "Abrir Documento")</f>
        <v>0</v>
      </c>
      <c r="D1542" t="s">
        <v>23500</v>
      </c>
      <c r="E1542" t="s">
        <v>25041</v>
      </c>
    </row>
    <row r="1543" spans="1:5">
      <c r="A1543" t="s">
        <v>6</v>
      </c>
      <c r="B1543" t="s">
        <v>1548</v>
      </c>
      <c r="C1543">
        <f>HYPERLINK("C:\Users\franc\OneDrive\Documentos\MALENTIN KARIME\VTA. PROPIEDAD\subdiv\ALDECIRA VILLALOBOS y Juan Rojas  SAG.doc", "Abrir Documento")</f>
        <v>0</v>
      </c>
      <c r="D1543" t="s">
        <v>23500</v>
      </c>
      <c r="E1543" t="s">
        <v>25042</v>
      </c>
    </row>
    <row r="1544" spans="1:5">
      <c r="A1544" t="s">
        <v>6</v>
      </c>
      <c r="B1544" t="s">
        <v>1549</v>
      </c>
      <c r="C1544">
        <f>HYPERLINK("C:\Users\franc\OneDrive\Documentos\MALENTIN KARIME\VTA. PROPIEDAD\subdiv\AGRICOLA LOS ÑISÑILES LT 9 10 19.doc", "Abrir Documento")</f>
        <v>0</v>
      </c>
      <c r="D1544" t="s">
        <v>23500</v>
      </c>
      <c r="E1544" t="s">
        <v>25043</v>
      </c>
    </row>
    <row r="1545" spans="1:5">
      <c r="A1545" t="s">
        <v>6</v>
      </c>
      <c r="B1545" t="s">
        <v>1550</v>
      </c>
      <c r="C1545">
        <f>HYPERLINK("C:\Users\franc\OneDrive\Documentos\MALENTIN KARIME\VTA. PROPIEDAD\subdiv\AGRICOLA LOS ÑISÑILES LT  18 Roberto Castillo.doc", "Abrir Documento")</f>
        <v>0</v>
      </c>
      <c r="D1545" t="s">
        <v>23500</v>
      </c>
      <c r="E1545" t="s">
        <v>25044</v>
      </c>
    </row>
    <row r="1546" spans="1:5">
      <c r="A1546" t="s">
        <v>6</v>
      </c>
      <c r="B1546" t="s">
        <v>1551</v>
      </c>
      <c r="C1546">
        <f>HYPERLINK("C:\Users\franc\OneDrive\Documentos\MALENTIN KARIME\VTA. PROPIEDAD\subdiv\AGRICOLA LOS ÑISÑILES LT  15 Erika Castillo.doc", "Abrir Documento")</f>
        <v>0</v>
      </c>
      <c r="D1546" t="s">
        <v>23500</v>
      </c>
      <c r="E1546" t="s">
        <v>25045</v>
      </c>
    </row>
    <row r="1547" spans="1:5">
      <c r="A1547" t="s">
        <v>6</v>
      </c>
      <c r="B1547" t="s">
        <v>1552</v>
      </c>
      <c r="C1547">
        <f>HYPERLINK("C:\Users\franc\OneDrive\Documentos\MALENTIN KARIME\VTA. PROPIEDAD\subdiv\AGRICOLA LOS ÑISÑILES LT  13 Carmen Castillo.doc", "Abrir Documento")</f>
        <v>0</v>
      </c>
      <c r="D1547" t="s">
        <v>23500</v>
      </c>
      <c r="E1547" t="s">
        <v>25046</v>
      </c>
    </row>
    <row r="1548" spans="1:5">
      <c r="A1548" t="s">
        <v>6</v>
      </c>
      <c r="B1548" t="s">
        <v>1553</v>
      </c>
      <c r="C1548">
        <f>HYPERLINK("C:\Users\franc\OneDrive\Documentos\MALENTIN KARIME\VTA. PROPIEDAD\subdiv\AGRICOLA LOS ÑISÑILES LT  12 Berta Castillo.doc", "Abrir Documento")</f>
        <v>0</v>
      </c>
      <c r="D1548" t="s">
        <v>23500</v>
      </c>
      <c r="E1548" t="s">
        <v>25047</v>
      </c>
    </row>
    <row r="1549" spans="1:5">
      <c r="A1549" t="s">
        <v>6</v>
      </c>
      <c r="B1549" t="s">
        <v>1554</v>
      </c>
      <c r="C1549">
        <f>HYPERLINK("C:\Users\franc\OneDrive\Documentos\MALENTIN KARIME\VTA. PROPIEDAD\subdiv\AGRICOLA LOS ÑISÑILES a Victoria Castillo.doc", "Abrir Documento")</f>
        <v>0</v>
      </c>
      <c r="D1549" t="s">
        <v>23500</v>
      </c>
      <c r="E1549" t="s">
        <v>25048</v>
      </c>
    </row>
    <row r="1550" spans="1:5">
      <c r="A1550" t="s">
        <v>6</v>
      </c>
      <c r="B1550" t="s">
        <v>1555</v>
      </c>
      <c r="C1550">
        <f>HYPERLINK("C:\Users\franc\OneDrive\Documentos\MALENTIN KARIME\VTA. PROPIEDAD\subdiv\AGRICOLA LOS NISÑILES Lt 17.doc", "Abrir Documento")</f>
        <v>0</v>
      </c>
      <c r="D1550" t="s">
        <v>23500</v>
      </c>
      <c r="E1550" t="s">
        <v>25049</v>
      </c>
    </row>
    <row r="1551" spans="1:5">
      <c r="A1551" t="s">
        <v>6</v>
      </c>
      <c r="B1551" t="s">
        <v>1556</v>
      </c>
      <c r="C1551">
        <f>HYPERLINK("C:\Users\franc\OneDrive\Documentos\MALENTIN KARIME\VTA. PROPIEDAD\MINUTAS\2015\TERESA ALVARADO A RUTH MENESES minuta.doc", "Abrir Documento")</f>
        <v>0</v>
      </c>
      <c r="D1551" t="s">
        <v>23500</v>
      </c>
      <c r="E1551" t="s">
        <v>25050</v>
      </c>
    </row>
    <row r="1552" spans="1:5">
      <c r="A1552" t="s">
        <v>6</v>
      </c>
      <c r="B1552" t="s">
        <v>1557</v>
      </c>
      <c r="C1552">
        <f>HYPERLINK("C:\Users\franc\OneDrive\Documentos\MALENTIN KARIME\VTA. PROPIEDAD\MINUTAS\2015\RODRIGO DE CASACUBERTA A LIDIA GONZALEZ Lote R.doc", "Abrir Documento")</f>
        <v>0</v>
      </c>
      <c r="D1552" t="s">
        <v>23500</v>
      </c>
      <c r="E1552" t="s">
        <v>25051</v>
      </c>
    </row>
    <row r="1553" spans="1:5">
      <c r="A1553" t="s">
        <v>6</v>
      </c>
      <c r="B1553" t="s">
        <v>1558</v>
      </c>
      <c r="C1553">
        <f>HYPERLINK("C:\Users\franc\OneDrive\Documentos\MALENTIN KARIME\VTA. PROPIEDAD\MINUTAS\YARELA CARVAJAL A FRANCISCA ZAMBRA minuta.doc", "Abrir Documento")</f>
        <v>0</v>
      </c>
      <c r="D1553" t="s">
        <v>23500</v>
      </c>
      <c r="E1553" t="s">
        <v>25052</v>
      </c>
    </row>
    <row r="1554" spans="1:5">
      <c r="A1554" t="s">
        <v>6</v>
      </c>
      <c r="B1554" t="s">
        <v>1559</v>
      </c>
      <c r="C1554">
        <f>HYPERLINK("C:\Users\franc\OneDrive\Documentos\MALENTIN KARIME\VTA. PROPIEDAD\MINUTAS\SUSANA TAPIA AVILES A DANIELA ARAYA ESCOBAR subsdio.doc", "Abrir Documento")</f>
        <v>0</v>
      </c>
      <c r="D1554" t="s">
        <v>23500</v>
      </c>
      <c r="E1554" t="s">
        <v>25053</v>
      </c>
    </row>
    <row r="1555" spans="1:5">
      <c r="A1555" t="s">
        <v>6</v>
      </c>
      <c r="B1555" t="s">
        <v>1560</v>
      </c>
      <c r="C1555">
        <f>HYPERLINK("C:\Users\franc\OneDrive\Documentos\MALENTIN KARIME\VTA. PROPIEDAD\MINUTAS\ROSA RAMIREZ Y OTROS CESION DE DERECHOS Finalllll Paola Arancibia.doc", "Abrir Documento")</f>
        <v>0</v>
      </c>
      <c r="D1555" t="s">
        <v>23500</v>
      </c>
      <c r="E1555" t="s">
        <v>25054</v>
      </c>
    </row>
    <row r="1556" spans="1:5">
      <c r="A1556" t="s">
        <v>6</v>
      </c>
      <c r="B1556" t="s">
        <v>1561</v>
      </c>
      <c r="C1556">
        <f>HYPERLINK("C:\Users\franc\OneDrive\Documentos\MALENTIN KARIME\VTA. PROPIEDAD\MINUTAS\ROSA RAMIREZ Y OTROS CESION DE DERECHOS Final Segunda parte Paola Arancibia.doc", "Abrir Documento")</f>
        <v>0</v>
      </c>
      <c r="D1556" t="s">
        <v>23500</v>
      </c>
      <c r="E1556" t="s">
        <v>25055</v>
      </c>
    </row>
    <row r="1557" spans="1:5">
      <c r="A1557" t="s">
        <v>6</v>
      </c>
      <c r="B1557" t="s">
        <v>1562</v>
      </c>
      <c r="C1557">
        <f>HYPERLINK("C:\Users\franc\OneDrive\Documentos\MALENTIN KARIME\VTA. PROPIEDAD\MINUTAS\RIGOBERTO MONTERREY PERALTA A CORINA MONTERREY Minuta.doc", "Abrir Documento")</f>
        <v>0</v>
      </c>
      <c r="D1557" t="s">
        <v>23500</v>
      </c>
      <c r="E1557" t="s">
        <v>25056</v>
      </c>
    </row>
    <row r="1558" spans="1:5">
      <c r="A1558" t="s">
        <v>6</v>
      </c>
      <c r="B1558" t="s">
        <v>1563</v>
      </c>
      <c r="C1558">
        <f>HYPERLINK("C:\Users\franc\OneDrive\Documentos\MALENTIN KARIME\VTA. PROPIEDAD\MINUTAS\RAQUEL MEDINA HIPOTECAS Y GRAV.doc", "Abrir Documento")</f>
        <v>0</v>
      </c>
      <c r="D1558" t="s">
        <v>23500</v>
      </c>
      <c r="E1558" t="s">
        <v>25057</v>
      </c>
    </row>
    <row r="1559" spans="1:5">
      <c r="A1559" t="s">
        <v>6</v>
      </c>
      <c r="B1559" t="s">
        <v>1564</v>
      </c>
      <c r="C1559">
        <f>HYPERLINK("C:\Users\franc\OneDrive\Documentos\MALENTIN KARIME\VTA. PROPIEDAD\MINUTAS\RAQUEL MEDINA Cvta. Arturo.doc", "Abrir Documento")</f>
        <v>0</v>
      </c>
      <c r="D1559" t="s">
        <v>23500</v>
      </c>
      <c r="E1559" t="s">
        <v>25058</v>
      </c>
    </row>
    <row r="1560" spans="1:5">
      <c r="A1560" t="s">
        <v>6</v>
      </c>
      <c r="B1560" t="s">
        <v>1565</v>
      </c>
      <c r="C1560">
        <f>HYPERLINK("C:\Users\franc\OneDrive\Documentos\MALENTIN KARIME\VTA. PROPIEDAD\MINUTAS\RAQUEL MEDINA Cvta. Arturo VISTO BUENO.doc", "Abrir Documento")</f>
        <v>0</v>
      </c>
      <c r="D1560" t="s">
        <v>23500</v>
      </c>
      <c r="E1560" t="s">
        <v>25059</v>
      </c>
    </row>
    <row r="1561" spans="1:5">
      <c r="A1561" t="s">
        <v>6</v>
      </c>
      <c r="B1561" t="s">
        <v>1566</v>
      </c>
      <c r="C1561">
        <f>HYPERLINK("C:\Users\franc\OneDrive\Documentos\MALENTIN KARIME\VTA. PROPIEDAD\MINUTAS\PLASTOCK 2 A Transportes Carvajal Minuta MARIA JOSE CERDA.doc", "Abrir Documento")</f>
        <v>0</v>
      </c>
      <c r="D1561" t="s">
        <v>23500</v>
      </c>
      <c r="E1561" t="s">
        <v>25060</v>
      </c>
    </row>
    <row r="1562" spans="1:5">
      <c r="A1562" t="s">
        <v>6</v>
      </c>
      <c r="B1562" t="s">
        <v>1567</v>
      </c>
      <c r="C1562">
        <f>HYPERLINK("C:\Users\franc\OneDrive\Documentos\MALENTIN KARIME\VTA. PROPIEDAD\MINUTAS\PLASTOCK 1 A Transportes Carvajal Minuta MARIA JOSE CERDA.doc", "Abrir Documento")</f>
        <v>0</v>
      </c>
      <c r="D1562" t="s">
        <v>23500</v>
      </c>
      <c r="E1562" t="s">
        <v>25061</v>
      </c>
    </row>
    <row r="1563" spans="1:5">
      <c r="A1563" t="s">
        <v>6</v>
      </c>
      <c r="B1563" t="s">
        <v>1568</v>
      </c>
      <c r="C1563">
        <f>HYPERLINK("C:\Users\franc\OneDrive\Documentos\MALENTIN KARIME\VTA. PROPIEDAD\MINUTAS\NUEVA Nueva CESION DE DERECHOS FAMILIA MALUENDA SEGOVIA-2.doc", "Abrir Documento")</f>
        <v>0</v>
      </c>
      <c r="D1563" t="s">
        <v>23500</v>
      </c>
      <c r="E1563" t="s">
        <v>25062</v>
      </c>
    </row>
    <row r="1564" spans="1:5">
      <c r="A1564" t="s">
        <v>6</v>
      </c>
      <c r="B1564" t="s">
        <v>1569</v>
      </c>
      <c r="C1564">
        <f>HYPERLINK("C:\Users\franc\OneDrive\Documentos\MALENTIN KARIME\VTA. PROPIEDAD\MINUTAS\MILTON TELLO ANDRADE Y OTRA A Rentas e Inversiones La Esperanza.doc", "Abrir Documento")</f>
        <v>0</v>
      </c>
      <c r="D1564" t="s">
        <v>23500</v>
      </c>
      <c r="E1564" t="s">
        <v>25063</v>
      </c>
    </row>
    <row r="1565" spans="1:5">
      <c r="A1565" t="s">
        <v>6</v>
      </c>
      <c r="B1565" t="s">
        <v>1570</v>
      </c>
      <c r="C1565">
        <f>HYPERLINK("C:\Users\franc\OneDrive\Documentos\MALENTIN KARIME\VTA. PROPIEDAD\MINUTAS\MILTON TELLO ANDRADE Y OTRA A Rentas e Inversiones La Esperanza FINAL.doc", "Abrir Documento")</f>
        <v>0</v>
      </c>
      <c r="D1565" t="s">
        <v>23500</v>
      </c>
      <c r="E1565" t="s">
        <v>25064</v>
      </c>
    </row>
    <row r="1566" spans="1:5">
      <c r="A1566" t="s">
        <v>6</v>
      </c>
      <c r="B1566" t="s">
        <v>1571</v>
      </c>
      <c r="C1566">
        <f>HYPERLINK("C:\Users\franc\OneDrive\Documentos\MALENTIN KARIME\VTA. PROPIEDAD\MINUTAS\MARTA GAMBOA CAZANGA A MARGOTH CASTRO GAMBOA (CESION DERECHOS).doc", "Abrir Documento")</f>
        <v>0</v>
      </c>
      <c r="D1566" t="s">
        <v>23500</v>
      </c>
      <c r="E1566" t="s">
        <v>25065</v>
      </c>
    </row>
    <row r="1567" spans="1:5">
      <c r="A1567" t="s">
        <v>6</v>
      </c>
      <c r="B1567" t="s">
        <v>1572</v>
      </c>
      <c r="C1567">
        <f>HYPERLINK("C:\Users\franc\OneDrive\Documentos\MALENTIN KARIME\VTA. PROPIEDAD\MINUTAS\MARIA ROJAS A Sociedad Talhuen TANIA.doc", "Abrir Documento")</f>
        <v>0</v>
      </c>
      <c r="D1567" t="s">
        <v>23500</v>
      </c>
      <c r="E1567" t="s">
        <v>25066</v>
      </c>
    </row>
    <row r="1568" spans="1:5">
      <c r="A1568" t="s">
        <v>6</v>
      </c>
      <c r="B1568" t="s">
        <v>1573</v>
      </c>
      <c r="C1568">
        <f>HYPERLINK("C:\Users\franc\OneDrive\Documentos\MALENTIN KARIME\VTA. PROPIEDAD\MINUTAS\MARIA CHOCAIR A MARIO FLORES Orlando Gallardo.doc", "Abrir Documento")</f>
        <v>0</v>
      </c>
      <c r="D1568" t="s">
        <v>23500</v>
      </c>
      <c r="E1568" t="s">
        <v>25067</v>
      </c>
    </row>
    <row r="1569" spans="1:5">
      <c r="A1569" t="s">
        <v>6</v>
      </c>
      <c r="B1569" t="s">
        <v>1574</v>
      </c>
      <c r="C1569">
        <f>HYPERLINK("C:\Users\franc\OneDrive\Documentos\MALENTIN KARIME\VTA. PROPIEDAD\MINUTAS\MARCELA IRIARTE PIZARRO.doc", "Abrir Documento")</f>
        <v>0</v>
      </c>
      <c r="D1569" t="s">
        <v>23500</v>
      </c>
      <c r="E1569" t="s">
        <v>25068</v>
      </c>
    </row>
    <row r="1570" spans="1:5">
      <c r="A1570" t="s">
        <v>6</v>
      </c>
      <c r="B1570" t="s">
        <v>1575</v>
      </c>
      <c r="C1570">
        <f>HYPERLINK("C:\Users\franc\OneDrive\Documentos\MALENTIN KARIME\VTA. PROPIEDAD\MINUTAS\LUIS ROCCO HUERTA Y OTRA A Nidia Rivera Rocco.doc", "Abrir Documento")</f>
        <v>0</v>
      </c>
      <c r="D1570" t="s">
        <v>23500</v>
      </c>
      <c r="E1570" t="s">
        <v>25069</v>
      </c>
    </row>
    <row r="1571" spans="1:5">
      <c r="A1571" t="s">
        <v>6</v>
      </c>
      <c r="B1571" t="s">
        <v>1576</v>
      </c>
      <c r="C1571">
        <f>HYPERLINK("C:\Users\franc\OneDrive\Documentos\MALENTIN KARIME\VTA. PROPIEDAD\MINUTAS\LUIS LORCA A DRISCOLL Lombardo.doc", "Abrir Documento")</f>
        <v>0</v>
      </c>
      <c r="D1571" t="s">
        <v>23500</v>
      </c>
      <c r="E1571" t="s">
        <v>25070</v>
      </c>
    </row>
    <row r="1572" spans="1:5">
      <c r="A1572" t="s">
        <v>6</v>
      </c>
      <c r="B1572" t="s">
        <v>1577</v>
      </c>
      <c r="C1572">
        <f>HYPERLINK("C:\Users\franc\OneDrive\Documentos\MALENTIN KARIME\VTA. PROPIEDAD\MINUTAS\LUCY ASTUDILLO minuta.doc", "Abrir Documento")</f>
        <v>0</v>
      </c>
      <c r="D1572" t="s">
        <v>23500</v>
      </c>
      <c r="E1572" t="s">
        <v>25071</v>
      </c>
    </row>
    <row r="1573" spans="1:5">
      <c r="A1573" t="s">
        <v>6</v>
      </c>
      <c r="B1573" t="s">
        <v>1578</v>
      </c>
      <c r="C1573">
        <f>HYPERLINK("C:\Users\franc\OneDrive\Documentos\MALENTIN KARIME\VTA. PROPIEDAD\MINUTAS\JOSE RAMOS ARAYA A INELIA RAMOS Y OTROS Cristian B.doc", "Abrir Documento")</f>
        <v>0</v>
      </c>
      <c r="D1573" t="s">
        <v>23500</v>
      </c>
      <c r="E1573" t="s">
        <v>25072</v>
      </c>
    </row>
    <row r="1574" spans="1:5">
      <c r="A1574" t="s">
        <v>6</v>
      </c>
      <c r="B1574" t="s">
        <v>1579</v>
      </c>
      <c r="C1574">
        <f>HYPERLINK("C:\Users\franc\OneDrive\Documentos\MALENTIN KARIME\VTA. PROPIEDAD\MINUTAS\JORGE ARAYA A Emilio Araya Minuta Cyndi.doc", "Abrir Documento")</f>
        <v>0</v>
      </c>
      <c r="D1574" t="s">
        <v>23500</v>
      </c>
      <c r="E1574" t="s">
        <v>25073</v>
      </c>
    </row>
    <row r="1575" spans="1:5">
      <c r="A1575" t="s">
        <v>6</v>
      </c>
      <c r="B1575" t="s">
        <v>1580</v>
      </c>
      <c r="C1575">
        <f>HYPERLINK("C:\Users\franc\OneDrive\Documentos\MALENTIN KARIME\VTA. PROPIEDAD\MINUTAS\Intrucciones Mediana  a Castillo FINAL.doc", "Abrir Documento")</f>
        <v>0</v>
      </c>
      <c r="D1575" t="s">
        <v>23500</v>
      </c>
      <c r="E1575" t="s">
        <v>25074</v>
      </c>
    </row>
    <row r="1576" spans="1:5">
      <c r="A1576" t="s">
        <v>6</v>
      </c>
      <c r="B1576" t="s">
        <v>1581</v>
      </c>
      <c r="C1576">
        <f>HYPERLINK("C:\Users\franc\OneDrive\Documentos\MALENTIN KARIME\VTA. PROPIEDAD\MINUTAS\INSTRUCCIONES.doc", "Abrir Documento")</f>
        <v>0</v>
      </c>
      <c r="D1576" t="s">
        <v>23500</v>
      </c>
      <c r="E1576" t="s">
        <v>25075</v>
      </c>
    </row>
    <row r="1577" spans="1:5">
      <c r="A1577" t="s">
        <v>6</v>
      </c>
      <c r="B1577" t="s">
        <v>1582</v>
      </c>
      <c r="C1577">
        <f>HYPERLINK("C:\Users\franc\OneDrive\Documentos\MALENTIN KARIME\VTA. PROPIEDAD\MINUTAS\INSTRUCCIONES Valeska.doc", "Abrir Documento")</f>
        <v>0</v>
      </c>
      <c r="D1577" t="s">
        <v>23500</v>
      </c>
      <c r="E1577" t="s">
        <v>25076</v>
      </c>
    </row>
    <row r="1578" spans="1:5">
      <c r="A1578" t="s">
        <v>6</v>
      </c>
      <c r="B1578" t="s">
        <v>1583</v>
      </c>
      <c r="C1578">
        <f>HYPERLINK("C:\Users\franc\OneDrive\Documentos\MALENTIN KARIME\VTA. PROPIEDAD\MINUTAS\INSTRUCCIONES Rolando Muñoz.doc", "Abrir Documento")</f>
        <v>0</v>
      </c>
      <c r="D1578" t="s">
        <v>23500</v>
      </c>
      <c r="E1578" t="s">
        <v>25077</v>
      </c>
    </row>
    <row r="1579" spans="1:5">
      <c r="A1579" t="s">
        <v>6</v>
      </c>
      <c r="B1579" t="s">
        <v>1584</v>
      </c>
      <c r="C1579">
        <f>HYPERLINK("C:\Users\franc\OneDrive\Documentos\MALENTIN KARIME\VTA. PROPIEDAD\MINUTAS\INSTRUCCION Tello a Loyola.doc", "Abrir Documento")</f>
        <v>0</v>
      </c>
      <c r="D1579" t="s">
        <v>23500</v>
      </c>
      <c r="E1579" t="s">
        <v>25078</v>
      </c>
    </row>
    <row r="1580" spans="1:5">
      <c r="A1580" t="s">
        <v>6</v>
      </c>
      <c r="B1580" t="s">
        <v>1585</v>
      </c>
      <c r="C1580">
        <f>HYPERLINK("C:\Users\franc\OneDrive\Documentos\MALENTIN KARIME\VTA. PROPIEDAD\MINUTAS\FELIX SORIA A Carlos Sarra.doc", "Abrir Documento")</f>
        <v>0</v>
      </c>
      <c r="D1580" t="s">
        <v>23500</v>
      </c>
      <c r="E1580" t="s">
        <v>25079</v>
      </c>
    </row>
    <row r="1581" spans="1:5">
      <c r="A1581" t="s">
        <v>6</v>
      </c>
      <c r="B1581" t="s">
        <v>1586</v>
      </c>
      <c r="C1581">
        <f>HYPERLINK("C:\Users\franc\OneDrive\Documentos\MALENTIN KARIME\VTA. PROPIEDAD\MINUTAS\ELBA PASTENE ARAYA Rene Allene.doc", "Abrir Documento")</f>
        <v>0</v>
      </c>
      <c r="D1581" t="s">
        <v>23500</v>
      </c>
      <c r="E1581" t="s">
        <v>25080</v>
      </c>
    </row>
    <row r="1582" spans="1:5">
      <c r="A1582" t="s">
        <v>6</v>
      </c>
      <c r="B1582" t="s">
        <v>1587</v>
      </c>
      <c r="C1582">
        <f>HYPERLINK("C:\Users\franc\OneDrive\Documentos\MALENTIN KARIME\VTA. PROPIEDAD\MINUTAS\DORILA SEGOVIA A CARMEN VELIZ Cesion Pattty Alfaro.doc", "Abrir Documento")</f>
        <v>0</v>
      </c>
      <c r="D1582" t="s">
        <v>23500</v>
      </c>
      <c r="E1582" t="s">
        <v>25081</v>
      </c>
    </row>
    <row r="1583" spans="1:5">
      <c r="A1583" t="s">
        <v>6</v>
      </c>
      <c r="B1583" t="s">
        <v>1588</v>
      </c>
      <c r="C1583">
        <f>HYPERLINK("C:\Users\franc\OneDrive\Documentos\MALENTIN KARIME\VTA. PROPIEDAD\MINUTAS\DONAL CORNEJO y Wilson Yañez minuta.doc", "Abrir Documento")</f>
        <v>0</v>
      </c>
      <c r="D1583" t="s">
        <v>23500</v>
      </c>
      <c r="E1583" t="s">
        <v>25082</v>
      </c>
    </row>
    <row r="1584" spans="1:5">
      <c r="A1584" t="s">
        <v>6</v>
      </c>
      <c r="B1584" t="s">
        <v>1589</v>
      </c>
      <c r="C1584">
        <f>HYPERLINK("C:\Users\franc\OneDrive\Documentos\MALENTIN KARIME\VTA. PROPIEDAD\MINUTAS\CRISTIAN GALLARDO A MARISOL MEDINACony autoriza CLEMENTE FUENTEALBA.doc", "Abrir Documento")</f>
        <v>0</v>
      </c>
      <c r="D1584" t="s">
        <v>23500</v>
      </c>
      <c r="E1584" t="s">
        <v>25083</v>
      </c>
    </row>
    <row r="1585" spans="1:5">
      <c r="A1585" t="s">
        <v>6</v>
      </c>
      <c r="B1585" t="s">
        <v>1590</v>
      </c>
      <c r="C1585">
        <f>HYPERLINK("C:\Users\franc\OneDrive\Documentos\MALENTIN KARIME\VTA. PROPIEDAD\MINUTAS\CONSUELO TELLO A RAQUEL LOYOLA.doc", "Abrir Documento")</f>
        <v>0</v>
      </c>
      <c r="D1585" t="s">
        <v>23500</v>
      </c>
      <c r="E1585" t="s">
        <v>25084</v>
      </c>
    </row>
    <row r="1586" spans="1:5">
      <c r="A1586" t="s">
        <v>6</v>
      </c>
      <c r="B1586" t="s">
        <v>1591</v>
      </c>
      <c r="C1586">
        <f>HYPERLINK("C:\Users\franc\OneDrive\Documentos\MALENTIN KARIME\VTA. PROPIEDAD\MINUTAS\CAROLYN GONGORA A EDO. RAMIREZ Mandato.doc", "Abrir Documento")</f>
        <v>0</v>
      </c>
      <c r="D1586" t="s">
        <v>23500</v>
      </c>
      <c r="E1586" t="s">
        <v>25085</v>
      </c>
    </row>
    <row r="1587" spans="1:5">
      <c r="A1587" t="s">
        <v>6</v>
      </c>
      <c r="B1587" t="s">
        <v>1592</v>
      </c>
      <c r="C1587">
        <f>HYPERLINK("C:\Users\franc\OneDrive\Documentos\MALENTIN KARIME\VTA. PROPIEDAD\MINUTAS\BERTA TORRRES A ESMERALDO VALDIVIA W.altamirano.doc", "Abrir Documento")</f>
        <v>0</v>
      </c>
      <c r="D1587" t="s">
        <v>23500</v>
      </c>
      <c r="E1587" t="s">
        <v>25086</v>
      </c>
    </row>
    <row r="1588" spans="1:5">
      <c r="A1588" t="s">
        <v>6</v>
      </c>
      <c r="B1588" t="s">
        <v>1593</v>
      </c>
      <c r="C1588">
        <f>HYPERLINK("C:\Users\franc\OneDrive\Documentos\MALENTIN KARIME\VTA. PROPIEDAD\MINUTAS\ANA JOFRE EGAÑA A KATHERINE OLIVARES, Minuta SAGA.doc", "Abrir Documento")</f>
        <v>0</v>
      </c>
      <c r="D1588" t="s">
        <v>23500</v>
      </c>
      <c r="E1588" t="s">
        <v>25087</v>
      </c>
    </row>
    <row r="1589" spans="1:5">
      <c r="A1589" t="s">
        <v>6</v>
      </c>
      <c r="B1589" t="s">
        <v>1594</v>
      </c>
      <c r="C1589">
        <f>HYPERLINK("C:\Users\franc\OneDrive\Documentos\MALENTIN KARIME\VTA. PROPIEDAD\MINUTAS\ALEJO ZAMBRA A RAQUEL ZAMBRA Y OTRA.doc", "Abrir Documento")</f>
        <v>0</v>
      </c>
      <c r="D1589" t="s">
        <v>23500</v>
      </c>
      <c r="E1589" t="s">
        <v>25088</v>
      </c>
    </row>
    <row r="1590" spans="1:5">
      <c r="A1590" t="s">
        <v>6</v>
      </c>
      <c r="B1590" t="s">
        <v>1595</v>
      </c>
      <c r="C1590">
        <f>HYPERLINK("C:\Users\franc\OneDrive\Documentos\MALENTIN KARIME\VTA. PROPIEDAD\MINUTAS\ALDA SALINAS A GASTON VIDELA E. Rivas 2015.doc", "Abrir Documento")</f>
        <v>0</v>
      </c>
      <c r="D1590" t="s">
        <v>23500</v>
      </c>
      <c r="E1590" t="s">
        <v>25089</v>
      </c>
    </row>
    <row r="1591" spans="1:5">
      <c r="A1591" t="s">
        <v>6</v>
      </c>
      <c r="B1591" t="s">
        <v>1596</v>
      </c>
      <c r="C1591">
        <f>HYPERLINK("C:\Users\franc\OneDrive\Documentos\MALENTIN KARIME\VTA. PROPIEDAD\MINUTAS\AGRICOLA E INVERSIONES LAS NIETAS Fusion.doc", "Abrir Documento")</f>
        <v>0</v>
      </c>
      <c r="D1591" t="s">
        <v>23500</v>
      </c>
      <c r="E1591" t="s">
        <v>25090</v>
      </c>
    </row>
    <row r="1592" spans="1:5">
      <c r="A1592" t="s">
        <v>6</v>
      </c>
      <c r="B1592" t="s">
        <v>1597</v>
      </c>
      <c r="C1592">
        <f>HYPERLINK("C:\Users\franc\OneDrive\Documentos\MALENTIN KARIME\VTA. PROPIEDAD\MINUTAS\AGRICOLA AGUACERO A LUCY ASTUDILLO.doc", "Abrir Documento")</f>
        <v>0</v>
      </c>
      <c r="D1592" t="s">
        <v>23500</v>
      </c>
      <c r="E1592" t="s">
        <v>25091</v>
      </c>
    </row>
    <row r="1593" spans="1:5">
      <c r="A1593" t="s">
        <v>6</v>
      </c>
      <c r="B1593" t="s">
        <v>1598</v>
      </c>
      <c r="C1593">
        <f>HYPERLINK("C:\Users\franc\OneDrive\Documentos\MALENTIN KARIME\VTA. PROPIEDAD\MINUTAS\ADRIANA CASTRO NAVEA A Valeska Torres.doc", "Abrir Documento")</f>
        <v>0</v>
      </c>
      <c r="D1593" t="s">
        <v>23500</v>
      </c>
      <c r="E1593" t="s">
        <v>25092</v>
      </c>
    </row>
    <row r="1594" spans="1:5">
      <c r="A1594" t="s">
        <v>6</v>
      </c>
      <c r="B1594" t="s">
        <v>1599</v>
      </c>
      <c r="C1594">
        <f>HYPERLINK("C:\Users\franc\OneDrive\Documentos\MALENTIN KARIME\VTA. PROPIEDAD\BIENES MUEBLES\Mónica Cisternas a Fernanda Carvajal.doc", "Abrir Documento")</f>
        <v>0</v>
      </c>
      <c r="D1594" t="s">
        <v>23500</v>
      </c>
      <c r="E1594" t="s">
        <v>25093</v>
      </c>
    </row>
    <row r="1595" spans="1:5">
      <c r="A1595" t="s">
        <v>6</v>
      </c>
      <c r="B1595" t="s">
        <v>1600</v>
      </c>
      <c r="C1595">
        <f>HYPERLINK("C:\Users\franc\OneDrive\Documentos\MALENTIN KARIME\VTA. PROPIEDAD\BIENES MUEBLES\HERMAN FIGUEROA A Daniel Tarifeño.doc", "Abrir Documento")</f>
        <v>0</v>
      </c>
      <c r="D1595" t="s">
        <v>23500</v>
      </c>
      <c r="E1595" t="s">
        <v>25094</v>
      </c>
    </row>
    <row r="1596" spans="1:5">
      <c r="A1596" t="s">
        <v>6</v>
      </c>
      <c r="B1596" t="s">
        <v>1601</v>
      </c>
      <c r="C1596">
        <f>HYPERLINK("C:\Users\franc\OneDrive\Documentos\MALENTIN KARIME\VTA. PROPIEDAD\BIENES MUEBLES\EDUARDO CORTES AROSTICA A Omar Cerda P Segovia.doc", "Abrir Documento")</f>
        <v>0</v>
      </c>
      <c r="D1596" t="s">
        <v>23500</v>
      </c>
      <c r="E1596" t="s">
        <v>25095</v>
      </c>
    </row>
    <row r="1597" spans="1:5">
      <c r="A1597" t="s">
        <v>6</v>
      </c>
      <c r="B1597" t="s">
        <v>1602</v>
      </c>
      <c r="C1597">
        <f>HYPERLINK("C:\Users\franc\OneDrive\Documentos\MALENTIN KARIME\VTA. PROPIEDAD\2021\SILVIA SANTANDER ARAYA A SERGIO DIAZ VEGA s.doc", "Abrir Documento")</f>
        <v>0</v>
      </c>
      <c r="D1597" t="s">
        <v>23500</v>
      </c>
      <c r="E1597" t="s">
        <v>25096</v>
      </c>
    </row>
    <row r="1598" spans="1:5">
      <c r="A1598" t="s">
        <v>6</v>
      </c>
      <c r="B1598" t="s">
        <v>1603</v>
      </c>
      <c r="C1598">
        <f>HYPERLINK("C:\Users\franc\OneDrive\Documentos\MALENTIN KARIME\VTA. PROPIEDAD\2021\SEBASTIAN SUAZO A  SME TRCNOLOGÍA SpA.doc", "Abrir Documento")</f>
        <v>0</v>
      </c>
      <c r="D1598" t="s">
        <v>23500</v>
      </c>
      <c r="E1598" t="s">
        <v>25097</v>
      </c>
    </row>
    <row r="1599" spans="1:5">
      <c r="A1599" t="s">
        <v>6</v>
      </c>
      <c r="B1599" t="s">
        <v>1604</v>
      </c>
      <c r="C1599">
        <f>HYPERLINK("C:\Users\franc\OneDrive\Documentos\MALENTIN KARIME\VTA. PROPIEDAD\2021\SAMUEL CARVAJAL CARVAJAL  vta y usufructo.doc", "Abrir Documento")</f>
        <v>0</v>
      </c>
      <c r="D1599" t="s">
        <v>23500</v>
      </c>
      <c r="E1599" t="s">
        <v>25098</v>
      </c>
    </row>
    <row r="1600" spans="1:5">
      <c r="A1600" t="s">
        <v>6</v>
      </c>
      <c r="B1600" t="s">
        <v>1605</v>
      </c>
      <c r="C1600">
        <f>HYPERLINK("C:\Users\franc\OneDrive\Documentos\MALENTIN KARIME\VTA. PROPIEDAD\2021\ROSA GODOY CASTILLO derechos.doc", "Abrir Documento")</f>
        <v>0</v>
      </c>
      <c r="D1600" t="s">
        <v>23500</v>
      </c>
      <c r="E1600" t="s">
        <v>25099</v>
      </c>
    </row>
    <row r="1601" spans="1:5">
      <c r="A1601" t="s">
        <v>6</v>
      </c>
      <c r="B1601" t="s">
        <v>1606</v>
      </c>
      <c r="C1601">
        <f>HYPERLINK("C:\Users\franc\OneDrive\Documentos\MALENTIN KARIME\VTA. PROPIEDAD\2021\ROGELIO GONZALEZ A  hijos vta. derechos.doc", "Abrir Documento")</f>
        <v>0</v>
      </c>
      <c r="D1601" t="s">
        <v>23500</v>
      </c>
      <c r="E1601" t="s">
        <v>25100</v>
      </c>
    </row>
    <row r="1602" spans="1:5">
      <c r="A1602" t="s">
        <v>6</v>
      </c>
      <c r="B1602" t="s">
        <v>1607</v>
      </c>
      <c r="C1602">
        <f>HYPERLINK("C:\Users\franc\OneDrive\Documentos\MALENTIN KARIME\VTA. PROPIEDAD\2021\RAMONA ROJAS CASTILLO A Lorenzo Flores.doc", "Abrir Documento")</f>
        <v>0</v>
      </c>
      <c r="D1602" t="s">
        <v>23500</v>
      </c>
      <c r="E1602" t="s">
        <v>25101</v>
      </c>
    </row>
    <row r="1603" spans="1:5">
      <c r="A1603" t="s">
        <v>6</v>
      </c>
      <c r="B1603" t="s">
        <v>1608</v>
      </c>
      <c r="C1603">
        <f>HYPERLINK("C:\Users\franc\OneDrive\Documentos\MALENTIN KARIME\VTA. PROPIEDAD\2021\PATRICIA GODOY VEAS vta.derechos.doc", "Abrir Documento")</f>
        <v>0</v>
      </c>
      <c r="D1603" t="s">
        <v>23500</v>
      </c>
      <c r="E1603" t="s">
        <v>25102</v>
      </c>
    </row>
    <row r="1604" spans="1:5">
      <c r="A1604" t="s">
        <v>6</v>
      </c>
      <c r="B1604" t="s">
        <v>1609</v>
      </c>
      <c r="C1604">
        <f>HYPERLINK("C:\Users\franc\OneDrive\Documentos\MALENTIN KARIME\VTA. PROPIEDAD\2021\PATRICIA GODOY VEAS sin 2  vta.derechos.doc", "Abrir Documento")</f>
        <v>0</v>
      </c>
      <c r="D1604" t="s">
        <v>23500</v>
      </c>
      <c r="E1604" t="s">
        <v>25103</v>
      </c>
    </row>
    <row r="1605" spans="1:5">
      <c r="A1605" t="s">
        <v>6</v>
      </c>
      <c r="B1605" t="s">
        <v>1610</v>
      </c>
      <c r="C1605">
        <f>HYPERLINK("C:\Users\franc\OneDrive\Documentos\MALENTIN KARIME\VTA. PROPIEDAD\2021\OSCAR LAZO  SANTANDER con conyuge.doc", "Abrir Documento")</f>
        <v>0</v>
      </c>
      <c r="D1605" t="s">
        <v>23500</v>
      </c>
      <c r="E1605" t="s">
        <v>25104</v>
      </c>
    </row>
    <row r="1606" spans="1:5">
      <c r="A1606" t="s">
        <v>6</v>
      </c>
      <c r="B1606" t="s">
        <v>1611</v>
      </c>
      <c r="C1606">
        <f>HYPERLINK("C:\Users\franc\OneDrive\Documentos\MALENTIN KARIME\VTA. PROPIEDAD\2021\MARIA OSSANDON A Vivianda Duran sep.doc", "Abrir Documento")</f>
        <v>0</v>
      </c>
      <c r="D1606" t="s">
        <v>23500</v>
      </c>
      <c r="E1606" t="s">
        <v>25105</v>
      </c>
    </row>
    <row r="1607" spans="1:5">
      <c r="A1607" t="s">
        <v>6</v>
      </c>
      <c r="B1607" t="s">
        <v>1612</v>
      </c>
      <c r="C1607">
        <f>HYPERLINK("C:\Users\franc\OneDrive\Documentos\MALENTIN KARIME\VTA. PROPIEDAD\2021\MARGOT VARAS Sucesion minuta.doc", "Abrir Documento")</f>
        <v>0</v>
      </c>
      <c r="D1607" t="s">
        <v>23500</v>
      </c>
      <c r="E1607" t="s">
        <v>25106</v>
      </c>
    </row>
    <row r="1608" spans="1:5">
      <c r="A1608" t="s">
        <v>6</v>
      </c>
      <c r="B1608" t="s">
        <v>1613</v>
      </c>
      <c r="C1608">
        <f>HYPERLINK("C:\Users\franc\OneDrive\Documentos\MALENTIN KARIME\VTA. PROPIEDAD\2021\MANUEL PALTA A CAUPOLICAN CHIRINO con conyuge.doc", "Abrir Documento")</f>
        <v>0</v>
      </c>
      <c r="D1608" t="s">
        <v>23500</v>
      </c>
      <c r="E1608" t="s">
        <v>25107</v>
      </c>
    </row>
    <row r="1609" spans="1:5">
      <c r="A1609" t="s">
        <v>6</v>
      </c>
      <c r="B1609" t="s">
        <v>1614</v>
      </c>
      <c r="C1609">
        <f>HYPERLINK("C:\Users\franc\OneDrive\Documentos\MALENTIN KARIME\VTA. PROPIEDAD\2021\LUIS ALBURQUENQUE A MARICELA ALBURQUENQUE.doc", "Abrir Documento")</f>
        <v>0</v>
      </c>
      <c r="D1609" t="s">
        <v>23500</v>
      </c>
      <c r="E1609" t="s">
        <v>25108</v>
      </c>
    </row>
    <row r="1610" spans="1:5">
      <c r="A1610" t="s">
        <v>6</v>
      </c>
      <c r="B1610" t="s">
        <v>1615</v>
      </c>
      <c r="C1610">
        <f>HYPERLINK("C:\Users\franc\OneDrive\Documentos\MALENTIN KARIME\VTA. PROPIEDAD\2021\LUCY BUGUEÑO A JUAN MICHEA venta minuta.doc", "Abrir Documento")</f>
        <v>0</v>
      </c>
      <c r="D1610" t="s">
        <v>23500</v>
      </c>
      <c r="E1610" t="s">
        <v>25109</v>
      </c>
    </row>
    <row r="1611" spans="1:5">
      <c r="A1611" t="s">
        <v>6</v>
      </c>
      <c r="B1611" t="s">
        <v>1616</v>
      </c>
      <c r="C1611">
        <f>HYPERLINK("C:\Users\franc\OneDrive\Documentos\MALENTIN KARIME\VTA. PROPIEDAD\2021\KATHERINE SEPULVEDApoder.doc", "Abrir Documento")</f>
        <v>0</v>
      </c>
      <c r="D1611" t="s">
        <v>23500</v>
      </c>
      <c r="E1611" t="s">
        <v>25110</v>
      </c>
    </row>
    <row r="1612" spans="1:5">
      <c r="A1612" t="s">
        <v>6</v>
      </c>
      <c r="B1612" t="s">
        <v>1617</v>
      </c>
      <c r="C1612">
        <f>HYPERLINK("C:\Users\franc\OneDrive\Documentos\MALENTIN KARIME\VTA. PROPIEDAD\2021\JORGE ADAOS PIZARRO 2019.doc", "Abrir Documento")</f>
        <v>0</v>
      </c>
      <c r="D1612" t="s">
        <v>23500</v>
      </c>
      <c r="E1612" t="s">
        <v>25111</v>
      </c>
    </row>
    <row r="1613" spans="1:5">
      <c r="A1613" t="s">
        <v>6</v>
      </c>
      <c r="B1613" t="s">
        <v>1618</v>
      </c>
      <c r="C1613">
        <f>HYPERLINK("C:\Users\franc\OneDrive\Documentos\MALENTIN KARIME\VTA. PROPIEDAD\2021\JENNY MANCINI A MARIA TELLO minuta.doc", "Abrir Documento")</f>
        <v>0</v>
      </c>
      <c r="D1613" t="s">
        <v>23500</v>
      </c>
      <c r="E1613" t="s">
        <v>25112</v>
      </c>
    </row>
    <row r="1614" spans="1:5">
      <c r="A1614" t="s">
        <v>6</v>
      </c>
      <c r="B1614" t="s">
        <v>1619</v>
      </c>
      <c r="C1614">
        <f>HYPERLINK("C:\Users\franc\OneDrive\Documentos\MALENTIN KARIME\VTA. PROPIEDAD\2021\Jenny Gutierrez soltera.doc", "Abrir Documento")</f>
        <v>0</v>
      </c>
      <c r="D1614" t="s">
        <v>23500</v>
      </c>
      <c r="E1614" t="s">
        <v>25113</v>
      </c>
    </row>
    <row r="1615" spans="1:5">
      <c r="A1615" t="s">
        <v>6</v>
      </c>
      <c r="B1615" t="s">
        <v>1620</v>
      </c>
      <c r="C1615">
        <f>HYPERLINK("C:\Users\franc\OneDrive\Documentos\MALENTIN KARIME\VTA. PROPIEDAD\2021\INGRID TALAMILLA RODRIGUEZ 100.doc", "Abrir Documento")</f>
        <v>0</v>
      </c>
      <c r="D1615" t="s">
        <v>23500</v>
      </c>
      <c r="E1615" t="s">
        <v>25114</v>
      </c>
    </row>
    <row r="1616" spans="1:5">
      <c r="A1616" t="s">
        <v>6</v>
      </c>
      <c r="B1616" t="s">
        <v>1621</v>
      </c>
      <c r="C1616">
        <f>HYPERLINK("C:\Users\franc\OneDrive\Documentos\MALENTIN KARIME\VTA. PROPIEDAD\2021\HILDA BONILLA GUTIERREZ AJONATHAN MARAMBIO conyuge adm.doc", "Abrir Documento")</f>
        <v>0</v>
      </c>
      <c r="D1616" t="s">
        <v>23500</v>
      </c>
      <c r="E1616" t="s">
        <v>25115</v>
      </c>
    </row>
    <row r="1617" spans="1:5">
      <c r="A1617" t="s">
        <v>6</v>
      </c>
      <c r="B1617" t="s">
        <v>1622</v>
      </c>
      <c r="C1617">
        <f>HYPERLINK("C:\Users\franc\OneDrive\Documentos\MALENTIN KARIME\VTA. PROPIEDAD\2021\GRIMALDINA ARAYA ROJAS A JUAN CARLOS GODOY poder.doc", "Abrir Documento")</f>
        <v>0</v>
      </c>
      <c r="D1617" t="s">
        <v>23500</v>
      </c>
      <c r="E1617" t="s">
        <v>25116</v>
      </c>
    </row>
    <row r="1618" spans="1:5">
      <c r="A1618" t="s">
        <v>6</v>
      </c>
      <c r="B1618" t="s">
        <v>1623</v>
      </c>
      <c r="C1618">
        <f>HYPERLINK("C:\Users\franc\OneDrive\Documentos\MALENTIN KARIME\VTA. PROPIEDAD\2021\FLORIDOR MICHEA A NILO PASTEN.doc", "Abrir Documento")</f>
        <v>0</v>
      </c>
      <c r="D1618" t="s">
        <v>23500</v>
      </c>
      <c r="E1618" t="s">
        <v>25117</v>
      </c>
    </row>
    <row r="1619" spans="1:5">
      <c r="A1619" t="s">
        <v>6</v>
      </c>
      <c r="B1619" t="s">
        <v>1624</v>
      </c>
      <c r="C1619">
        <f>HYPERLINK("C:\Users\franc\OneDrive\Documentos\MALENTIN KARIME\VTA. PROPIEDAD\2021\FABIOLA FIGUERA A RICARDOGALLEGUILLOS conyuge adm.doc", "Abrir Documento")</f>
        <v>0</v>
      </c>
      <c r="D1619" t="s">
        <v>23500</v>
      </c>
      <c r="E1619" t="s">
        <v>25118</v>
      </c>
    </row>
    <row r="1620" spans="1:5">
      <c r="A1620" t="s">
        <v>6</v>
      </c>
      <c r="B1620" t="s">
        <v>1625</v>
      </c>
      <c r="C1620">
        <f>HYPERLINK("C:\Users\franc\OneDrive\Documentos\MALENTIN KARIME\VTA. PROPIEDAD\2021\DANIEL TAPIA A RAUL DORIA venta.doc", "Abrir Documento")</f>
        <v>0</v>
      </c>
      <c r="D1620" t="s">
        <v>23500</v>
      </c>
      <c r="E1620" t="s">
        <v>25119</v>
      </c>
    </row>
    <row r="1621" spans="1:5">
      <c r="A1621" t="s">
        <v>6</v>
      </c>
      <c r="B1621" t="s">
        <v>1626</v>
      </c>
      <c r="C1621">
        <f>HYPERLINK("C:\Users\franc\OneDrive\Documentos\MALENTIN KARIME\VTA. PROPIEDAD\2021\CRISTIAN CONCHA A ELENA GALLARDO.doc", "Abrir Documento")</f>
        <v>0</v>
      </c>
      <c r="D1621" t="s">
        <v>23500</v>
      </c>
      <c r="E1621" t="s">
        <v>25120</v>
      </c>
    </row>
    <row r="1622" spans="1:5">
      <c r="A1622" t="s">
        <v>6</v>
      </c>
      <c r="B1622" t="s">
        <v>1627</v>
      </c>
      <c r="C1622">
        <f>HYPERLINK("C:\Users\franc\OneDrive\Documentos\MALENTIN KARIME\VTA. PROPIEDAD\2021\COMPRAVENTA ANA VALDIVIA.doc", "Abrir Documento")</f>
        <v>0</v>
      </c>
      <c r="D1622" t="s">
        <v>23500</v>
      </c>
      <c r="E1622" t="s">
        <v>25121</v>
      </c>
    </row>
    <row r="1623" spans="1:5">
      <c r="A1623" t="s">
        <v>6</v>
      </c>
      <c r="B1623" t="s">
        <v>1628</v>
      </c>
      <c r="C1623">
        <f>HYPERLINK("C:\Users\franc\OneDrive\Documentos\MALENTIN KARIME\VTA. PROPIEDAD\2021\CLAUDIO OSSANDON A MARITZA GUERRERO 100.doc", "Abrir Documento")</f>
        <v>0</v>
      </c>
      <c r="D1623" t="s">
        <v>23500</v>
      </c>
      <c r="E1623" t="s">
        <v>25122</v>
      </c>
    </row>
    <row r="1624" spans="1:5">
      <c r="A1624" t="s">
        <v>6</v>
      </c>
      <c r="B1624" t="s">
        <v>1629</v>
      </c>
      <c r="C1624">
        <f>HYPERLINK("C:\Users\franc\OneDrive\Documentos\MALENTIN KARIME\VTA. PROPIEDAD\2021\CLAUDIA CORTES AVENDAÑO A LUISA AVENDAÑO.doc", "Abrir Documento")</f>
        <v>0</v>
      </c>
      <c r="D1624" t="s">
        <v>23500</v>
      </c>
      <c r="E1624" t="s">
        <v>25123</v>
      </c>
    </row>
    <row r="1625" spans="1:5">
      <c r="A1625" t="s">
        <v>6</v>
      </c>
      <c r="B1625" t="s">
        <v>1630</v>
      </c>
      <c r="C1625">
        <f>HYPERLINK("C:\Users\franc\OneDrive\Documentos\MALENTIN KARIME\VTA. PROPIEDAD\2021\CARLOS VENEGAS A NICOLE VENEGAS derechos.doc", "Abrir Documento")</f>
        <v>0</v>
      </c>
      <c r="D1625" t="s">
        <v>23500</v>
      </c>
      <c r="E1625" t="s">
        <v>25124</v>
      </c>
    </row>
    <row r="1626" spans="1:5">
      <c r="A1626" t="s">
        <v>6</v>
      </c>
      <c r="B1626" t="s">
        <v>1631</v>
      </c>
      <c r="C1626">
        <f>HYPERLINK("C:\Users\franc\OneDrive\Documentos\MALENTIN KARIME\VTA. PROPIEDAD\2021\BESSY COFRE LOPEZ A Gilberto Aguirre soltera.doc", "Abrir Documento")</f>
        <v>0</v>
      </c>
      <c r="D1626" t="s">
        <v>23500</v>
      </c>
      <c r="E1626" t="s">
        <v>25125</v>
      </c>
    </row>
    <row r="1627" spans="1:5">
      <c r="A1627" t="s">
        <v>6</v>
      </c>
      <c r="B1627" t="s">
        <v>1632</v>
      </c>
      <c r="C1627">
        <f>HYPERLINK("C:\Users\franc\OneDrive\Documentos\MALENTIN KARIME\VTA. PROPIEDAD\2021\ASCENCIO MARAMBIO A Hijos vta y usufructo.doc", "Abrir Documento")</f>
        <v>0</v>
      </c>
      <c r="D1627" t="s">
        <v>23500</v>
      </c>
      <c r="E1627" t="s">
        <v>25126</v>
      </c>
    </row>
    <row r="1628" spans="1:5">
      <c r="A1628" t="s">
        <v>6</v>
      </c>
      <c r="B1628" t="s">
        <v>1633</v>
      </c>
      <c r="C1628">
        <f>HYPERLINK("C:\Users\franc\OneDrive\Documentos\MALENTIN KARIME\VTA. PROPIEDAD\2021\ANYELO SALFATE A ADRIANA SALFATE vta.derechos.doc", "Abrir Documento")</f>
        <v>0</v>
      </c>
      <c r="D1628" t="s">
        <v>23500</v>
      </c>
      <c r="E1628" t="s">
        <v>25127</v>
      </c>
    </row>
    <row r="1629" spans="1:5">
      <c r="A1629" t="s">
        <v>6</v>
      </c>
      <c r="B1629" t="s">
        <v>1634</v>
      </c>
      <c r="C1629">
        <f>HYPERLINK("C:\Users\franc\OneDrive\Documentos\MALENTIN KARIME\VTA. PROPIEDAD\2021\ALFREDO OLATE A CECILIA GARCIA.doc", "Abrir Documento")</f>
        <v>0</v>
      </c>
      <c r="D1629" t="s">
        <v>23500</v>
      </c>
      <c r="E1629" t="s">
        <v>25128</v>
      </c>
    </row>
    <row r="1630" spans="1:5">
      <c r="A1630" t="s">
        <v>6</v>
      </c>
      <c r="B1630" t="s">
        <v>1635</v>
      </c>
      <c r="C1630">
        <f>HYPERLINK("C:\Users\franc\OneDrive\Documentos\MALENTIN KARIME\VTA. PROPIEDAD\2019\OSCAR LAZO  SANTANDER con conyuge.doc", "Abrir Documento")</f>
        <v>0</v>
      </c>
      <c r="D1630" t="s">
        <v>23500</v>
      </c>
      <c r="E1630" t="s">
        <v>25129</v>
      </c>
    </row>
    <row r="1631" spans="1:5">
      <c r="A1631" t="s">
        <v>6</v>
      </c>
      <c r="B1631" t="s">
        <v>1636</v>
      </c>
      <c r="C1631">
        <f>HYPERLINK("C:\Users\franc\OneDrive\Documentos\MALENTIN KARIME\VTA. PROPIEDAD\2017\ZOLA CAMPUSANO A Rocio Baez solteros.doc", "Abrir Documento")</f>
        <v>0</v>
      </c>
      <c r="D1631" t="s">
        <v>23500</v>
      </c>
      <c r="E1631" t="s">
        <v>25130</v>
      </c>
    </row>
    <row r="1632" spans="1:5">
      <c r="A1632" t="s">
        <v>6</v>
      </c>
      <c r="B1632" t="s">
        <v>1637</v>
      </c>
      <c r="C1632">
        <f>HYPERLINK("C:\Users\franc\OneDrive\Documentos\MALENTIN KARIME\VTA. PROPIEDAD\2017\YESSENIA ANACONA OLIVARES A José Cruces Castillo.doc", "Abrir Documento")</f>
        <v>0</v>
      </c>
      <c r="D1632" t="s">
        <v>23500</v>
      </c>
      <c r="E1632" t="s">
        <v>25131</v>
      </c>
    </row>
    <row r="1633" spans="1:5">
      <c r="A1633" t="s">
        <v>6</v>
      </c>
      <c r="B1633" t="s">
        <v>1638</v>
      </c>
      <c r="C1633">
        <f>HYPERLINK("C:\Users\franc\OneDrive\Documentos\MALENTIN KARIME\VTA. PROPIEDAD\2017\YANET PIZARRO GONZALEZ A María Pizarro solteras.doc", "Abrir Documento")</f>
        <v>0</v>
      </c>
      <c r="D1633" t="s">
        <v>23500</v>
      </c>
      <c r="E1633" t="s">
        <v>25132</v>
      </c>
    </row>
    <row r="1634" spans="1:5">
      <c r="A1634" t="s">
        <v>6</v>
      </c>
      <c r="B1634" t="s">
        <v>1639</v>
      </c>
      <c r="C1634">
        <f>HYPERLINK("C:\Users\franc\OneDrive\Documentos\MALENTIN KARIME\VTA. PROPIEDAD\2017\XIMENA CHACANA TAPIA suc.doc", "Abrir Documento")</f>
        <v>0</v>
      </c>
      <c r="D1634" t="s">
        <v>23500</v>
      </c>
      <c r="E1634" t="s">
        <v>25133</v>
      </c>
    </row>
    <row r="1635" spans="1:5">
      <c r="A1635" t="s">
        <v>6</v>
      </c>
      <c r="B1635" t="s">
        <v>1640</v>
      </c>
      <c r="C1635">
        <f>HYPERLINK("C:\Users\franc\OneDrive\Documentos\MALENTIN KARIME\VTA. PROPIEDAD\2017\VLADIMIR IRIARTE A MARISOL CORTES 2017.doc", "Abrir Documento")</f>
        <v>0</v>
      </c>
      <c r="D1635" t="s">
        <v>23500</v>
      </c>
      <c r="E1635" t="s">
        <v>25134</v>
      </c>
    </row>
    <row r="1636" spans="1:5">
      <c r="A1636" t="s">
        <v>6</v>
      </c>
      <c r="B1636" t="s">
        <v>1641</v>
      </c>
      <c r="C1636">
        <f>HYPERLINK("C:\Users\franc\OneDrive\Documentos\MALENTIN KARIME\VTA. PROPIEDAD\2017\VIOLETA VALDIVIA  A Ruben Aguilera solteros.doc", "Abrir Documento")</f>
        <v>0</v>
      </c>
      <c r="D1636" t="s">
        <v>23500</v>
      </c>
      <c r="E1636" t="s">
        <v>25135</v>
      </c>
    </row>
    <row r="1637" spans="1:5">
      <c r="A1637" t="s">
        <v>6</v>
      </c>
      <c r="B1637" t="s">
        <v>1642</v>
      </c>
      <c r="C1637">
        <f>HYPERLINK("C:\Users\franc\OneDrive\Documentos\MALENTIN KARIME\VTA. PROPIEDAD\2017\VICTORIA SARRAS TUMA A Magaliy Sarras derechos.doc", "Abrir Documento")</f>
        <v>0</v>
      </c>
      <c r="D1637" t="s">
        <v>23500</v>
      </c>
      <c r="E1637" t="s">
        <v>25136</v>
      </c>
    </row>
    <row r="1638" spans="1:5">
      <c r="A1638" t="s">
        <v>6</v>
      </c>
      <c r="B1638" t="s">
        <v>1643</v>
      </c>
      <c r="C1638">
        <f>HYPERLINK("C:\Users\franc\OneDrive\Documentos\MALENTIN KARIME\VTA. PROPIEDAD\2017\VERONICA BARRAZA Y OTRA A Isabel Medina 2018.doc", "Abrir Documento")</f>
        <v>0</v>
      </c>
      <c r="D1638" t="s">
        <v>23500</v>
      </c>
      <c r="E1638" t="s">
        <v>25137</v>
      </c>
    </row>
    <row r="1639" spans="1:5">
      <c r="A1639" t="s">
        <v>6</v>
      </c>
      <c r="B1639" t="s">
        <v>1644</v>
      </c>
      <c r="C1639">
        <f>HYPERLINK("C:\Users\franc\OneDrive\Documentos\MALENTIN KARIME\VTA. PROPIEDAD\2017\vende casada sep bienes sin liquidar sociedad.doc", "Abrir Documento")</f>
        <v>0</v>
      </c>
      <c r="D1639" t="s">
        <v>23500</v>
      </c>
      <c r="E1639" t="s">
        <v>25138</v>
      </c>
    </row>
    <row r="1640" spans="1:5">
      <c r="A1640" t="s">
        <v>6</v>
      </c>
      <c r="B1640" t="s">
        <v>1645</v>
      </c>
      <c r="C1640">
        <f>HYPERLINK("C:\Users\franc\OneDrive\Documentos\MALENTIN KARIME\VTA. PROPIEDAD\2017\VALESKA HENRIQUEZ ALFARO.doc", "Abrir Documento")</f>
        <v>0</v>
      </c>
      <c r="D1640" t="s">
        <v>23500</v>
      </c>
      <c r="E1640" t="s">
        <v>25139</v>
      </c>
    </row>
    <row r="1641" spans="1:5">
      <c r="A1641" t="s">
        <v>6</v>
      </c>
      <c r="B1641" t="s">
        <v>1646</v>
      </c>
      <c r="C1641">
        <f>HYPERLINK("C:\Users\franc\OneDrive\Documentos\MALENTIN KARIME\VTA. PROPIEDAD\2017\SYLVIA FLORES A Silvia Rivera  (Ley  19.807).doc", "Abrir Documento")</f>
        <v>0</v>
      </c>
      <c r="D1641" t="s">
        <v>23500</v>
      </c>
      <c r="E1641" t="s">
        <v>25140</v>
      </c>
    </row>
    <row r="1642" spans="1:5">
      <c r="A1642" t="s">
        <v>6</v>
      </c>
      <c r="B1642" t="s">
        <v>1647</v>
      </c>
      <c r="C1642">
        <f>HYPERLINK("C:\Users\franc\OneDrive\Documentos\MALENTIN KARIME\VTA. PROPIEDAD\2017\SYLVIA FLORES A Katerine Rivera  (Ley  19.807).doc", "Abrir Documento")</f>
        <v>0</v>
      </c>
      <c r="D1642" t="s">
        <v>23500</v>
      </c>
      <c r="E1642" t="s">
        <v>25141</v>
      </c>
    </row>
    <row r="1643" spans="1:5">
      <c r="A1643" t="s">
        <v>6</v>
      </c>
      <c r="B1643" t="s">
        <v>1648</v>
      </c>
      <c r="C1643">
        <f>HYPERLINK("C:\Users\franc\OneDrive\Documentos\MALENTIN KARIME\VTA. PROPIEDAD\2017\SYLVIA FLORES A Deysi Rivera  (Ley  19.807).doc", "Abrir Documento")</f>
        <v>0</v>
      </c>
      <c r="D1643" t="s">
        <v>23500</v>
      </c>
      <c r="E1643" t="s">
        <v>25142</v>
      </c>
    </row>
    <row r="1644" spans="1:5">
      <c r="A1644" t="s">
        <v>6</v>
      </c>
      <c r="B1644" t="s">
        <v>1649</v>
      </c>
      <c r="C1644">
        <f>HYPERLINK("C:\Users\franc\OneDrive\Documentos\MALENTIN KARIME\VTA. PROPIEDAD\2017\SUSANA PASTEN ROJAS A Juan Carrasco con adm.doc", "Abrir Documento")</f>
        <v>0</v>
      </c>
      <c r="D1644" t="s">
        <v>23500</v>
      </c>
      <c r="E1644" t="s">
        <v>25143</v>
      </c>
    </row>
    <row r="1645" spans="1:5">
      <c r="A1645" t="s">
        <v>6</v>
      </c>
      <c r="B1645" t="s">
        <v>1650</v>
      </c>
      <c r="C1645">
        <f>HYPERLINK("C:\Users\franc\OneDrive\Documentos\MALENTIN KARIME\VTA. PROPIEDAD\2017\SUCESION Vilche LEmus.doc", "Abrir Documento")</f>
        <v>0</v>
      </c>
      <c r="D1645" t="s">
        <v>23500</v>
      </c>
      <c r="E1645" t="s">
        <v>25144</v>
      </c>
    </row>
    <row r="1646" spans="1:5">
      <c r="A1646" t="s">
        <v>6</v>
      </c>
      <c r="B1646" t="s">
        <v>1651</v>
      </c>
      <c r="C1646">
        <f>HYPERLINK("C:\Users\franc\OneDrive\Documentos\MALENTIN KARIME\VTA. PROPIEDAD\2017\SUCESION Segovia Zuñiga 2018.doc", "Abrir Documento")</f>
        <v>0</v>
      </c>
      <c r="D1646" t="s">
        <v>23500</v>
      </c>
      <c r="E1646" t="s">
        <v>25145</v>
      </c>
    </row>
    <row r="1647" spans="1:5">
      <c r="A1647" t="s">
        <v>6</v>
      </c>
      <c r="B1647" t="s">
        <v>1652</v>
      </c>
      <c r="C1647">
        <f>HYPERLINK("C:\Users\franc\OneDrive\Documentos\MALENTIN KARIME\VTA. PROPIEDAD\2017\SUCESION Santander 100.doc", "Abrir Documento")</f>
        <v>0</v>
      </c>
      <c r="D1647" t="s">
        <v>23500</v>
      </c>
      <c r="E1647" t="s">
        <v>25146</v>
      </c>
    </row>
    <row r="1648" spans="1:5">
      <c r="A1648" t="s">
        <v>6</v>
      </c>
      <c r="B1648" t="s">
        <v>1653</v>
      </c>
      <c r="C1648">
        <f>HYPERLINK("C:\Users\franc\OneDrive\Documentos\MALENTIN KARIME\VTA. PROPIEDAD\2017\SUCESION Miranda con pp.doc", "Abrir Documento")</f>
        <v>0</v>
      </c>
      <c r="D1648" t="s">
        <v>23500</v>
      </c>
      <c r="E1648" t="s">
        <v>25147</v>
      </c>
    </row>
    <row r="1649" spans="1:5">
      <c r="A1649" t="s">
        <v>6</v>
      </c>
      <c r="B1649" t="s">
        <v>1654</v>
      </c>
      <c r="C1649">
        <f>HYPERLINK("C:\Users\franc\OneDrive\Documentos\MALENTIN KARIME\VTA. PROPIEDAD\2017\SUCESION MAYA.doc", "Abrir Documento")</f>
        <v>0</v>
      </c>
      <c r="D1649" t="s">
        <v>23500</v>
      </c>
      <c r="E1649" t="s">
        <v>25148</v>
      </c>
    </row>
    <row r="1650" spans="1:5">
      <c r="A1650" t="s">
        <v>6</v>
      </c>
      <c r="B1650" t="s">
        <v>1655</v>
      </c>
      <c r="C1650">
        <f>HYPERLINK("C:\Users\franc\OneDrive\Documentos\MALENTIN KARIME\VTA. PROPIEDAD\2017\SUCESION CORTES SOTO derechos 2018.doc", "Abrir Documento")</f>
        <v>0</v>
      </c>
      <c r="D1650" t="s">
        <v>23500</v>
      </c>
      <c r="E1650" t="s">
        <v>25149</v>
      </c>
    </row>
    <row r="1651" spans="1:5">
      <c r="A1651" t="s">
        <v>6</v>
      </c>
      <c r="B1651" t="s">
        <v>1656</v>
      </c>
      <c r="C1651">
        <f>HYPERLINK("C:\Users\franc\OneDrive\Documentos\MALENTIN KARIME\VTA. PROPIEDAD\2017\Sucesin Araya Castillo.doc", "Abrir Documento")</f>
        <v>0</v>
      </c>
      <c r="D1651" t="s">
        <v>23500</v>
      </c>
      <c r="E1651" t="s">
        <v>25150</v>
      </c>
    </row>
    <row r="1652" spans="1:5">
      <c r="A1652" t="s">
        <v>6</v>
      </c>
      <c r="B1652" t="s">
        <v>1657</v>
      </c>
      <c r="C1652">
        <f>HYPERLINK("C:\Users\franc\OneDrive\Documentos\MALENTIN KARIME\VTA. PROPIEDAD\2017\SOC AGRICOLA ALFALFARES y SUCESION ALANIZ.doc", "Abrir Documento")</f>
        <v>0</v>
      </c>
      <c r="D1652" t="s">
        <v>23500</v>
      </c>
      <c r="E1652" t="s">
        <v>25151</v>
      </c>
    </row>
    <row r="1653" spans="1:5">
      <c r="A1653" t="s">
        <v>6</v>
      </c>
      <c r="B1653" t="s">
        <v>1658</v>
      </c>
      <c r="C1653">
        <f>HYPERLINK("C:\Users\franc\OneDrive\Documentos\MALENTIN KARIME\VTA. PROPIEDAD\2017\SOC AGRICOLA ALFALFARES y SUCESION ALANIZ borrador.doc", "Abrir Documento")</f>
        <v>0</v>
      </c>
      <c r="D1653" t="s">
        <v>23500</v>
      </c>
      <c r="E1653" t="s">
        <v>25152</v>
      </c>
    </row>
    <row r="1654" spans="1:5">
      <c r="A1654" t="s">
        <v>6</v>
      </c>
      <c r="B1654" t="s">
        <v>1659</v>
      </c>
      <c r="C1654">
        <f>HYPERLINK("C:\Users\franc\OneDrive\Documentos\MALENTIN KARIME\VTA. PROPIEDAD\2017\SILVIA RAQUEL CORTES HIDALGO Y OTROS 100.doc", "Abrir Documento")</f>
        <v>0</v>
      </c>
      <c r="D1654" t="s">
        <v>23500</v>
      </c>
      <c r="E1654" t="s">
        <v>25153</v>
      </c>
    </row>
    <row r="1655" spans="1:5">
      <c r="A1655" t="s">
        <v>6</v>
      </c>
      <c r="B1655" t="s">
        <v>1660</v>
      </c>
      <c r="C1655">
        <f>HYPERLINK("C:\Users\franc\OneDrive\Documentos\MALENTIN KARIME\VTA. PROPIEDAD\2017\SILVIA ACUÑA CASTRO A PABLO ACUÑA solteros.doc", "Abrir Documento")</f>
        <v>0</v>
      </c>
      <c r="D1655" t="s">
        <v>23500</v>
      </c>
      <c r="E1655" t="s">
        <v>25154</v>
      </c>
    </row>
    <row r="1656" spans="1:5">
      <c r="A1656" t="s">
        <v>6</v>
      </c>
      <c r="B1656" t="s">
        <v>1661</v>
      </c>
      <c r="C1656">
        <f>HYPERLINK("C:\Users\franc\OneDrive\Documentos\MALENTIN KARIME\VTA. PROPIEDAD\2017\SANTIAGO BOYD A JENNY BOYD.doc", "Abrir Documento")</f>
        <v>0</v>
      </c>
      <c r="D1656" t="s">
        <v>23500</v>
      </c>
      <c r="E1656" t="s">
        <v>25155</v>
      </c>
    </row>
    <row r="1657" spans="1:5">
      <c r="A1657" t="s">
        <v>6</v>
      </c>
      <c r="B1657" t="s">
        <v>1662</v>
      </c>
      <c r="C1657">
        <f>HYPERLINK("C:\Users\franc\OneDrive\Documentos\MALENTIN KARIME\VTA. PROPIEDAD\2017\SANDRA CHAPARRO A RENE CASTILLOS Sol.doc", "Abrir Documento")</f>
        <v>0</v>
      </c>
      <c r="D1657" t="s">
        <v>23500</v>
      </c>
      <c r="E1657" t="s">
        <v>25156</v>
      </c>
    </row>
    <row r="1658" spans="1:5">
      <c r="A1658" t="s">
        <v>6</v>
      </c>
      <c r="B1658" t="s">
        <v>1663</v>
      </c>
      <c r="C1658">
        <f>HYPERLINK("C:\Users\franc\OneDrive\Documentos\MALENTIN KARIME\VTA. PROPIEDAD\2017\RUPERTO VASQUEZ A Eugenia Vasque.doc", "Abrir Documento")</f>
        <v>0</v>
      </c>
      <c r="D1658" t="s">
        <v>23500</v>
      </c>
      <c r="E1658" t="s">
        <v>25157</v>
      </c>
    </row>
    <row r="1659" spans="1:5">
      <c r="A1659" t="s">
        <v>6</v>
      </c>
      <c r="B1659" t="s">
        <v>1664</v>
      </c>
      <c r="C1659">
        <f>HYPERLINK("C:\Users\franc\OneDrive\Documentos\MALENTIN KARIME\VTA. PROPIEDAD\2017\RUDECINDA GARCIA A Darwin Muñoz (administrador).doc", "Abrir Documento")</f>
        <v>0</v>
      </c>
      <c r="D1659" t="s">
        <v>23500</v>
      </c>
      <c r="E1659" t="s">
        <v>25158</v>
      </c>
    </row>
    <row r="1660" spans="1:5">
      <c r="A1660" t="s">
        <v>6</v>
      </c>
      <c r="B1660" t="s">
        <v>1665</v>
      </c>
      <c r="C1660">
        <f>HYPERLINK("C:\Users\franc\OneDrive\Documentos\MALENTIN KARIME\VTA. PROPIEDAD\2017\RUBEN PIZARRO Y CALIXTO PIZARRO con esposa.doc", "Abrir Documento")</f>
        <v>0</v>
      </c>
      <c r="D1660" t="s">
        <v>23500</v>
      </c>
      <c r="E1660" t="s">
        <v>25159</v>
      </c>
    </row>
    <row r="1661" spans="1:5">
      <c r="A1661" t="s">
        <v>6</v>
      </c>
      <c r="B1661" t="s">
        <v>1666</v>
      </c>
      <c r="C1661">
        <f>HYPERLINK("C:\Users\franc\OneDrive\Documentos\MALENTIN KARIME\VTA. PROPIEDAD\2017\RUBEN PIZARRO FLORES A Calixto Pizarro con ella.doc", "Abrir Documento")</f>
        <v>0</v>
      </c>
      <c r="D1661" t="s">
        <v>23500</v>
      </c>
      <c r="E1661" t="s">
        <v>25160</v>
      </c>
    </row>
    <row r="1662" spans="1:5">
      <c r="A1662" t="s">
        <v>6</v>
      </c>
      <c r="B1662" t="s">
        <v>1667</v>
      </c>
      <c r="C1662">
        <f>HYPERLINK("C:\Users\franc\OneDrive\Documentos\MALENTIN KARIME\VTA. PROPIEDAD\2017\RUBEN ARANGUIZ Y SERGIO SEGOVIA con conyuge.doc", "Abrir Documento")</f>
        <v>0</v>
      </c>
      <c r="D1662" t="s">
        <v>23500</v>
      </c>
      <c r="E1662" t="s">
        <v>25161</v>
      </c>
    </row>
    <row r="1663" spans="1:5">
      <c r="A1663" t="s">
        <v>6</v>
      </c>
      <c r="B1663" t="s">
        <v>1668</v>
      </c>
      <c r="C1663">
        <f>HYPERLINK("C:\Users\franc\OneDrive\Documentos\MALENTIN KARIME\VTA. PROPIEDAD\2017\ROXANA PIZARRO JOFRE cony. administrador.doc", "Abrir Documento")</f>
        <v>0</v>
      </c>
      <c r="D1663" t="s">
        <v>23500</v>
      </c>
      <c r="E1663" t="s">
        <v>25162</v>
      </c>
    </row>
    <row r="1664" spans="1:5">
      <c r="A1664" t="s">
        <v>6</v>
      </c>
      <c r="B1664" t="s">
        <v>1669</v>
      </c>
      <c r="C1664">
        <f>HYPERLINK("C:\Users\franc\OneDrive\Documentos\MALENTIN KARIME\VTA. PROPIEDAD\2017\ROMERLIO ROBLES CARVAJAL A Waldemar Carvajal solteros.doc", "Abrir Documento")</f>
        <v>0</v>
      </c>
      <c r="D1664" t="s">
        <v>23500</v>
      </c>
      <c r="E1664" t="s">
        <v>25163</v>
      </c>
    </row>
    <row r="1665" spans="1:5">
      <c r="A1665" t="s">
        <v>6</v>
      </c>
      <c r="B1665" t="s">
        <v>1670</v>
      </c>
      <c r="C1665">
        <f>HYPERLINK("C:\Users\franc\OneDrive\Documentos\MALENTIN KARIME\VTA. PROPIEDAD\2017\ROBERTO ARAYA ROJAS A Barbara Olivares con ella.doc", "Abrir Documento")</f>
        <v>0</v>
      </c>
      <c r="D1665" t="s">
        <v>23500</v>
      </c>
      <c r="E1665" t="s">
        <v>25164</v>
      </c>
    </row>
    <row r="1666" spans="1:5">
      <c r="A1666" t="s">
        <v>6</v>
      </c>
      <c r="B1666" t="s">
        <v>1671</v>
      </c>
      <c r="C1666">
        <f>HYPERLINK("C:\Users\franc\OneDrive\Documentos\MALENTIN KARIME\VTA. PROPIEDAD\2017\RICARDO VALDIVIA A Magaly Chinga.doc", "Abrir Documento")</f>
        <v>0</v>
      </c>
      <c r="D1666" t="s">
        <v>23500</v>
      </c>
      <c r="E1666" t="s">
        <v>25165</v>
      </c>
    </row>
    <row r="1667" spans="1:5">
      <c r="A1667" t="s">
        <v>6</v>
      </c>
      <c r="B1667" t="s">
        <v>1672</v>
      </c>
      <c r="C1667">
        <f>HYPERLINK("C:\Users\franc\OneDrive\Documentos\MALENTIN KARIME\VTA. PROPIEDAD\2017\RICARDO ARAYA A Cecilia Araya poder.doc", "Abrir Documento")</f>
        <v>0</v>
      </c>
      <c r="D1667" t="s">
        <v>23500</v>
      </c>
      <c r="E1667" t="s">
        <v>25166</v>
      </c>
    </row>
    <row r="1668" spans="1:5">
      <c r="A1668" t="s">
        <v>6</v>
      </c>
      <c r="B1668" t="s">
        <v>1673</v>
      </c>
      <c r="C1668">
        <f>HYPERLINK("C:\Users\franc\OneDrive\Documentos\MALENTIN KARIME\VTA. PROPIEDAD\2017\RAUL ARIAS ROJAS derechos Guanaqueros.doc", "Abrir Documento")</f>
        <v>0</v>
      </c>
      <c r="D1668" t="s">
        <v>23500</v>
      </c>
      <c r="E1668" t="s">
        <v>25167</v>
      </c>
    </row>
    <row r="1669" spans="1:5">
      <c r="A1669" t="s">
        <v>6</v>
      </c>
      <c r="B1669" t="s">
        <v>1674</v>
      </c>
      <c r="C1669">
        <f>HYPERLINK("C:\Users\franc\OneDrive\Documentos\MALENTIN KARIME\VTA. PROPIEDAD\2017\RAUL ANGEL GONZALEZ.doc", "Abrir Documento")</f>
        <v>0</v>
      </c>
      <c r="D1669" t="s">
        <v>23500</v>
      </c>
      <c r="E1669" t="s">
        <v>25168</v>
      </c>
    </row>
    <row r="1670" spans="1:5">
      <c r="A1670" t="s">
        <v>6</v>
      </c>
      <c r="B1670" t="s">
        <v>1675</v>
      </c>
      <c r="C1670">
        <f>HYPERLINK("C:\Users\franc\OneDrive\Documentos\MALENTIN KARIME\VTA. PROPIEDAD\2017\PERFECTO OLIVARES TAPIA Y OTROS Sucesion.doc", "Abrir Documento")</f>
        <v>0</v>
      </c>
      <c r="D1670" t="s">
        <v>23500</v>
      </c>
      <c r="E1670" t="s">
        <v>25169</v>
      </c>
    </row>
    <row r="1671" spans="1:5">
      <c r="A1671" t="s">
        <v>6</v>
      </c>
      <c r="B1671" t="s">
        <v>1676</v>
      </c>
      <c r="C1671">
        <f>HYPERLINK("C:\Users\franc\OneDrive\Documentos\MALENTIN KARIME\VTA. PROPIEDAD\2017\PERFECTO OLIVARES TAPIA Y OTROS Sucesion 2018.doc", "Abrir Documento")</f>
        <v>0</v>
      </c>
      <c r="D1671" t="s">
        <v>23500</v>
      </c>
      <c r="E1671" t="s">
        <v>25170</v>
      </c>
    </row>
    <row r="1672" spans="1:5">
      <c r="A1672" t="s">
        <v>6</v>
      </c>
      <c r="B1672" t="s">
        <v>1677</v>
      </c>
      <c r="C1672">
        <f>HYPERLINK("C:\Users\franc\OneDrive\Documentos\MALENTIN KARIME\VTA. PROPIEDAD\2017\PEDRO VILLEGAS AROS con conyuge tierra.doc", "Abrir Documento")</f>
        <v>0</v>
      </c>
      <c r="D1672" t="s">
        <v>23500</v>
      </c>
      <c r="E1672" t="s">
        <v>25171</v>
      </c>
    </row>
    <row r="1673" spans="1:5">
      <c r="A1673" t="s">
        <v>6</v>
      </c>
      <c r="B1673" t="s">
        <v>1678</v>
      </c>
      <c r="C1673">
        <f>HYPERLINK("C:\Users\franc\OneDrive\Documentos\MALENTIN KARIME\VTA. PROPIEDAD\2017\PATRICIA GALLARDO A ANA GALLARDO minuta.doc", "Abrir Documento")</f>
        <v>0</v>
      </c>
      <c r="D1673" t="s">
        <v>23500</v>
      </c>
      <c r="E1673" t="s">
        <v>25172</v>
      </c>
    </row>
    <row r="1674" spans="1:5">
      <c r="A1674" t="s">
        <v>6</v>
      </c>
      <c r="B1674" t="s">
        <v>1679</v>
      </c>
      <c r="C1674">
        <f>HYPERLINK("C:\Users\franc\OneDrive\Documentos\MALENTIN KARIME\VTA. PROPIEDAD\2017\Osiel Marambio a José Alfaro.doc", "Abrir Documento")</f>
        <v>0</v>
      </c>
      <c r="D1674" t="s">
        <v>23500</v>
      </c>
      <c r="E1674" t="s">
        <v>25173</v>
      </c>
    </row>
    <row r="1675" spans="1:5">
      <c r="A1675" t="s">
        <v>6</v>
      </c>
      <c r="B1675" t="s">
        <v>1680</v>
      </c>
      <c r="C1675">
        <f>HYPERLINK("C:\Users\franc\OneDrive\Documentos\MALENTIN KARIME\VTA. PROPIEDAD\2017\OSCAR JIMENEZ ECHEVERRIA A Francisco Jimenez Derechos.doc", "Abrir Documento")</f>
        <v>0</v>
      </c>
      <c r="D1675" t="s">
        <v>23500</v>
      </c>
      <c r="E1675" t="s">
        <v>25174</v>
      </c>
    </row>
    <row r="1676" spans="1:5">
      <c r="A1676" t="s">
        <v>6</v>
      </c>
      <c r="B1676" t="s">
        <v>1681</v>
      </c>
      <c r="C1676">
        <f>HYPERLINK("C:\Users\franc\OneDrive\Documentos\MALENTIN KARIME\VTA. PROPIEDAD\2017\NORA PIZARRO RODRIGUEZ A Dorys Rodriguez  solteros 2018.doc", "Abrir Documento")</f>
        <v>0</v>
      </c>
      <c r="D1676" t="s">
        <v>23500</v>
      </c>
      <c r="E1676" t="s">
        <v>25175</v>
      </c>
    </row>
    <row r="1677" spans="1:5">
      <c r="A1677" t="s">
        <v>6</v>
      </c>
      <c r="B1677" t="s">
        <v>1682</v>
      </c>
      <c r="C1677">
        <f>HYPERLINK("C:\Users\franc\OneDrive\Documentos\MALENTIN KARIME\VTA. PROPIEDAD\2017\NINFA OGALDE DELGADO Minuta Gabriel.doc", "Abrir Documento")</f>
        <v>0</v>
      </c>
      <c r="D1677" t="s">
        <v>23500</v>
      </c>
      <c r="E1677" t="s">
        <v>25176</v>
      </c>
    </row>
    <row r="1678" spans="1:5">
      <c r="A1678" t="s">
        <v>6</v>
      </c>
      <c r="B1678" t="s">
        <v>1683</v>
      </c>
      <c r="C1678">
        <f>HYPERLINK("C:\Users\franc\OneDrive\Documentos\MALENTIN KARIME\VTA. PROPIEDAD\2017\NELSON URQUETA ARANCIBIA Soltero.doc", "Abrir Documento")</f>
        <v>0</v>
      </c>
      <c r="D1678" t="s">
        <v>23500</v>
      </c>
      <c r="E1678" t="s">
        <v>25177</v>
      </c>
    </row>
    <row r="1679" spans="1:5">
      <c r="A1679" t="s">
        <v>6</v>
      </c>
      <c r="B1679" t="s">
        <v>1684</v>
      </c>
      <c r="C1679">
        <f>HYPERLINK("C:\Users\franc\OneDrive\Documentos\MALENTIN KARIME\VTA. PROPIEDAD\2017\MIGUEL VEGA PASTEN.doc", "Abrir Documento")</f>
        <v>0</v>
      </c>
      <c r="D1679" t="s">
        <v>23500</v>
      </c>
      <c r="E1679" t="s">
        <v>25178</v>
      </c>
    </row>
    <row r="1680" spans="1:5">
      <c r="A1680" t="s">
        <v>6</v>
      </c>
      <c r="B1680" t="s">
        <v>1685</v>
      </c>
      <c r="C1680">
        <f>HYPERLINK("C:\Users\franc\OneDrive\Documentos\MALENTIN KARIME\VTA. PROPIEDAD\2017\MIGUEL MORALES GOMEZ A Juan Morales Derechos 2018.doc", "Abrir Documento")</f>
        <v>0</v>
      </c>
      <c r="D1680" t="s">
        <v>23500</v>
      </c>
      <c r="E1680" t="s">
        <v>25179</v>
      </c>
    </row>
    <row r="1681" spans="1:5">
      <c r="A1681" t="s">
        <v>6</v>
      </c>
      <c r="B1681" t="s">
        <v>1686</v>
      </c>
      <c r="C1681">
        <f>HYPERLINK("C:\Users\franc\OneDrive\Documentos\MALENTIN KARIME\VTA. PROPIEDAD\2017\MAVIS GUERRERO A PATRICIO CASTILLO100 Derechos.doc", "Abrir Documento")</f>
        <v>0</v>
      </c>
      <c r="D1681" t="s">
        <v>23500</v>
      </c>
      <c r="E1681" t="s">
        <v>25180</v>
      </c>
    </row>
    <row r="1682" spans="1:5">
      <c r="A1682" t="s">
        <v>6</v>
      </c>
      <c r="B1682" t="s">
        <v>1687</v>
      </c>
      <c r="C1682">
        <f>HYPERLINK("C:\Users\franc\OneDrive\Documentos\MALENTIN KARIME\VTA. PROPIEDAD\2017\MARY GODOY A HERNANI GODOY solteros.doc", "Abrir Documento")</f>
        <v>0</v>
      </c>
      <c r="D1682" t="s">
        <v>23500</v>
      </c>
      <c r="E1682" t="s">
        <v>25181</v>
      </c>
    </row>
    <row r="1683" spans="1:5">
      <c r="A1683" t="s">
        <v>6</v>
      </c>
      <c r="B1683" t="s">
        <v>1688</v>
      </c>
      <c r="C1683">
        <f>HYPERLINK("C:\Users\franc\OneDrive\Documentos\MALENTIN KARIME\VTA. PROPIEDAD\2017\MARTA NORA HUERTA.doc", "Abrir Documento")</f>
        <v>0</v>
      </c>
      <c r="D1683" t="s">
        <v>23500</v>
      </c>
      <c r="E1683" t="s">
        <v>25182</v>
      </c>
    </row>
    <row r="1684" spans="1:5">
      <c r="A1684" t="s">
        <v>6</v>
      </c>
      <c r="B1684" t="s">
        <v>1689</v>
      </c>
      <c r="C1684">
        <f>HYPERLINK("C:\Users\franc\OneDrive\Documentos\MALENTIN KARIME\VTA. PROPIEDAD\2017\MARIO TORO TORO A DENIS CORTES tierra y agua.doc", "Abrir Documento")</f>
        <v>0</v>
      </c>
      <c r="D1684" t="s">
        <v>23500</v>
      </c>
      <c r="E1684" t="s">
        <v>25183</v>
      </c>
    </row>
    <row r="1685" spans="1:5">
      <c r="A1685" t="s">
        <v>6</v>
      </c>
      <c r="B1685" t="s">
        <v>1690</v>
      </c>
      <c r="C1685">
        <f>HYPERLINK("C:\Users\franc\OneDrive\Documentos\MALENTIN KARIME\VTA. PROPIEDAD\2017\MARIA OLIVARES A Sandra Ojeda minuta.doc", "Abrir Documento")</f>
        <v>0</v>
      </c>
      <c r="D1685" t="s">
        <v>23500</v>
      </c>
      <c r="E1685" t="s">
        <v>25184</v>
      </c>
    </row>
    <row r="1686" spans="1:5">
      <c r="A1686" t="s">
        <v>6</v>
      </c>
      <c r="B1686" t="s">
        <v>1691</v>
      </c>
      <c r="C1686">
        <f>HYPERLINK("C:\Users\franc\OneDrive\Documentos\MALENTIN KARIME\VTA. PROPIEDAD\2017\MANUEL JIMENEZ RAMIREZ con conyuge.doc", "Abrir Documento")</f>
        <v>0</v>
      </c>
      <c r="D1686" t="s">
        <v>23500</v>
      </c>
      <c r="E1686" t="s">
        <v>25185</v>
      </c>
    </row>
    <row r="1687" spans="1:5">
      <c r="A1687" t="s">
        <v>6</v>
      </c>
      <c r="B1687" t="s">
        <v>1692</v>
      </c>
      <c r="C1687">
        <f>HYPERLINK("C:\Users\franc\OneDrive\Documentos\MALENTIN KARIME\VTA. PROPIEDAD\2017\MANUEL CELIZ CARVAJAL vta con usufructo.doc", "Abrir Documento")</f>
        <v>0</v>
      </c>
      <c r="D1687" t="s">
        <v>23500</v>
      </c>
      <c r="E1687" t="s">
        <v>25186</v>
      </c>
    </row>
    <row r="1688" spans="1:5">
      <c r="A1688" t="s">
        <v>6</v>
      </c>
      <c r="B1688" t="s">
        <v>1693</v>
      </c>
      <c r="C1688">
        <f>HYPERLINK("C:\Users\franc\OneDrive\Documentos\MALENTIN KARIME\VTA. PROPIEDAD\2017\MANUEL ALVAREZ GALLARDO A Pilar Ossandon Solteros.doc", "Abrir Documento")</f>
        <v>0</v>
      </c>
      <c r="D1688" t="s">
        <v>23500</v>
      </c>
      <c r="E1688" t="s">
        <v>25187</v>
      </c>
    </row>
    <row r="1689" spans="1:5">
      <c r="A1689" t="s">
        <v>6</v>
      </c>
      <c r="B1689" t="s">
        <v>1694</v>
      </c>
      <c r="C1689">
        <f>HYPERLINK("C:\Users\franc\OneDrive\Documentos\MALENTIN KARIME\VTA. PROPIEDAD\2017\LUZ HIDALGO ARAYA A VIVIANA ARAYA.doc", "Abrir Documento")</f>
        <v>0</v>
      </c>
      <c r="D1689" t="s">
        <v>23500</v>
      </c>
      <c r="E1689" t="s">
        <v>25188</v>
      </c>
    </row>
    <row r="1690" spans="1:5">
      <c r="A1690" t="s">
        <v>6</v>
      </c>
      <c r="B1690" t="s">
        <v>1695</v>
      </c>
      <c r="C1690">
        <f>HYPERLINK("C:\Users\franc\OneDrive\Documentos\MALENTIN KARIME\VTA. PROPIEDAD\2017\LUZ HIDALGO ARAYA A VIVIANA ARAYA ST 5 Y  1.doc", "Abrir Documento")</f>
        <v>0</v>
      </c>
      <c r="D1690" t="s">
        <v>23500</v>
      </c>
      <c r="E1690" t="s">
        <v>25189</v>
      </c>
    </row>
    <row r="1691" spans="1:5">
      <c r="A1691" t="s">
        <v>6</v>
      </c>
      <c r="B1691" t="s">
        <v>1696</v>
      </c>
      <c r="C1691">
        <f>HYPERLINK("C:\Users\franc\OneDrive\Documentos\MALENTIN KARIME\VTA. PROPIEDAD\2017\LUZ HIDALGO ARAYA A VIVIANA ARAYA LOTE A -3.doc", "Abrir Documento")</f>
        <v>0</v>
      </c>
      <c r="D1691" t="s">
        <v>23500</v>
      </c>
      <c r="E1691" t="s">
        <v>25190</v>
      </c>
    </row>
    <row r="1692" spans="1:5">
      <c r="A1692" t="s">
        <v>6</v>
      </c>
      <c r="B1692" t="s">
        <v>1697</v>
      </c>
      <c r="C1692">
        <f>HYPERLINK("C:\Users\franc\OneDrive\Documentos\MALENTIN KARIME\VTA. PROPIEDAD\2017\LUZ HIDALGO ARAYA A VIVIANA ARAYA LOTE A -3-4-3 .doc", "Abrir Documento")</f>
        <v>0</v>
      </c>
      <c r="D1692" t="s">
        <v>23500</v>
      </c>
      <c r="E1692" t="s">
        <v>25191</v>
      </c>
    </row>
    <row r="1693" spans="1:5">
      <c r="A1693" t="s">
        <v>6</v>
      </c>
      <c r="B1693" t="s">
        <v>1698</v>
      </c>
      <c r="C1693">
        <f>HYPERLINK("C:\Users\franc\OneDrive\Documentos\MALENTIN KARIME\VTA. PROPIEDAD\2017\LUZ HIDALGO ARAYA A VIVIANA ARAYA LOTE A -3-4-1 .doc", "Abrir Documento")</f>
        <v>0</v>
      </c>
      <c r="D1693" t="s">
        <v>23500</v>
      </c>
      <c r="E1693" t="s">
        <v>25192</v>
      </c>
    </row>
    <row r="1694" spans="1:5">
      <c r="A1694" t="s">
        <v>6</v>
      </c>
      <c r="B1694" t="s">
        <v>1699</v>
      </c>
      <c r="C1694">
        <f>HYPERLINK("C:\Users\franc\OneDrive\Documentos\MALENTIN KARIME\VTA. PROPIEDAD\2017\LUZ HIDALGO ARAYA A VIVIANA ARAYA A 27.doc", "Abrir Documento")</f>
        <v>0</v>
      </c>
      <c r="D1694" t="s">
        <v>23500</v>
      </c>
      <c r="E1694" t="s">
        <v>25193</v>
      </c>
    </row>
    <row r="1695" spans="1:5">
      <c r="A1695" t="s">
        <v>6</v>
      </c>
      <c r="B1695" t="s">
        <v>1700</v>
      </c>
      <c r="C1695">
        <f>HYPERLINK("C:\Users\franc\OneDrive\Documentos\MALENTIN KARIME\VTA. PROPIEDAD\2017\LUIS VILLALOBOS GUTIERREZ con conyuge.doc", "Abrir Documento")</f>
        <v>0</v>
      </c>
      <c r="D1695" t="s">
        <v>23500</v>
      </c>
      <c r="E1695" t="s">
        <v>25194</v>
      </c>
    </row>
    <row r="1696" spans="1:5">
      <c r="A1696" t="s">
        <v>6</v>
      </c>
      <c r="B1696" t="s">
        <v>1701</v>
      </c>
      <c r="C1696">
        <f>HYPERLINK("C:\Users\franc\OneDrive\Documentos\MALENTIN KARIME\VTA. PROPIEDAD\2017\LUIS SALFATE divorciado firma con ex.doc", "Abrir Documento")</f>
        <v>0</v>
      </c>
      <c r="D1696" t="s">
        <v>23500</v>
      </c>
      <c r="E1696" t="s">
        <v>25195</v>
      </c>
    </row>
    <row r="1697" spans="1:5">
      <c r="A1697" t="s">
        <v>6</v>
      </c>
      <c r="B1697" t="s">
        <v>1702</v>
      </c>
      <c r="C1697">
        <f>HYPERLINK("C:\Users\franc\OneDrive\Documentos\MALENTIN KARIME\VTA. PROPIEDAD\2017\LUIS BRAVO PATIÑO A Celia Soto vta con usufructo 2018.doc", "Abrir Documento")</f>
        <v>0</v>
      </c>
      <c r="D1697" t="s">
        <v>23500</v>
      </c>
      <c r="E1697" t="s">
        <v>25196</v>
      </c>
    </row>
    <row r="1698" spans="1:5">
      <c r="A1698" t="s">
        <v>6</v>
      </c>
      <c r="B1698" t="s">
        <v>1703</v>
      </c>
      <c r="C1698">
        <f>HYPERLINK("C:\Users\franc\OneDrive\Documentos\MALENTIN KARIME\VTA. PROPIEDAD\2017\LORETO GALINDO A VICTOR GARCIA Derechos.doc", "Abrir Documento")</f>
        <v>0</v>
      </c>
      <c r="D1698" t="s">
        <v>23500</v>
      </c>
      <c r="E1698" t="s">
        <v>25197</v>
      </c>
    </row>
    <row r="1699" spans="1:5">
      <c r="A1699" t="s">
        <v>6</v>
      </c>
      <c r="B1699" t="s">
        <v>1704</v>
      </c>
      <c r="C1699">
        <f>HYPERLINK("C:\Users\franc\OneDrive\Documentos\MALENTIN KARIME\VTA. PROPIEDAD\2017\LORENA CADIZ BARRA A Cristian Salgado.doc", "Abrir Documento")</f>
        <v>0</v>
      </c>
      <c r="D1699" t="s">
        <v>23500</v>
      </c>
      <c r="E1699" t="s">
        <v>25198</v>
      </c>
    </row>
    <row r="1700" spans="1:5">
      <c r="A1700" t="s">
        <v>6</v>
      </c>
      <c r="B1700" t="s">
        <v>1705</v>
      </c>
      <c r="C1700">
        <f>HYPERLINK("C:\Users\franc\OneDrive\Documentos\MALENTIN KARIME\VTA. PROPIEDAD\2017\LILIA GONZALEZ MELLA  A Natalia Castillo derechos.doc", "Abrir Documento")</f>
        <v>0</v>
      </c>
      <c r="D1700" t="s">
        <v>23500</v>
      </c>
      <c r="E1700" t="s">
        <v>25199</v>
      </c>
    </row>
    <row r="1701" spans="1:5">
      <c r="A1701" t="s">
        <v>6</v>
      </c>
      <c r="B1701" t="s">
        <v>1706</v>
      </c>
      <c r="C1701">
        <f>HYPERLINK("C:\Users\franc\OneDrive\Documentos\MALENTIN KARIME\VTA. PROPIEDAD\2017\LILIA GONZALEZ MELLA  A Jacqueline Castillo derechos.doc", "Abrir Documento")</f>
        <v>0</v>
      </c>
      <c r="D1701" t="s">
        <v>23500</v>
      </c>
      <c r="E1701" t="s">
        <v>25200</v>
      </c>
    </row>
    <row r="1702" spans="1:5">
      <c r="A1702" t="s">
        <v>6</v>
      </c>
      <c r="B1702" t="s">
        <v>1707</v>
      </c>
      <c r="C1702">
        <f>HYPERLINK("C:\Users\franc\OneDrive\Documentos\MALENTIN KARIME\VTA. PROPIEDAD\2017\LIDIA CORTES GONZALEZ conyuge adm.doc", "Abrir Documento")</f>
        <v>0</v>
      </c>
      <c r="D1702" t="s">
        <v>23500</v>
      </c>
      <c r="E1702" t="s">
        <v>25201</v>
      </c>
    </row>
    <row r="1703" spans="1:5">
      <c r="A1703" t="s">
        <v>6</v>
      </c>
      <c r="B1703" t="s">
        <v>1708</v>
      </c>
      <c r="C1703">
        <f>HYPERLINK("C:\Users\franc\OneDrive\Documentos\MALENTIN KARIME\VTA. PROPIEDAD\2017\LAURA PEREZ Y MARIA COFRE Compraventa derecho y goce.doc", "Abrir Documento")</f>
        <v>0</v>
      </c>
      <c r="D1703" t="s">
        <v>23500</v>
      </c>
      <c r="E1703" t="s">
        <v>25202</v>
      </c>
    </row>
    <row r="1704" spans="1:5">
      <c r="A1704" t="s">
        <v>6</v>
      </c>
      <c r="B1704" t="s">
        <v>1709</v>
      </c>
      <c r="C1704">
        <f>HYPERLINK("C:\Users\franc\OneDrive\Documentos\MALENTIN KARIME\VTA. PROPIEDAD\2017\KAREN LUTTGUES A DARWIN GUERRERO.doc", "Abrir Documento")</f>
        <v>0</v>
      </c>
      <c r="D1704" t="s">
        <v>23500</v>
      </c>
      <c r="E1704" t="s">
        <v>25203</v>
      </c>
    </row>
    <row r="1705" spans="1:5">
      <c r="A1705" t="s">
        <v>6</v>
      </c>
      <c r="B1705" t="s">
        <v>1710</v>
      </c>
      <c r="C1705">
        <f>HYPERLINK("C:\Users\franc\OneDrive\Documentos\MALENTIN KARIME\VTA. PROPIEDAD\2017\KAREN LUTTGUES A BRAYAN LUTTGUES LOTE 26 A.doc", "Abrir Documento")</f>
        <v>0</v>
      </c>
      <c r="D1705" t="s">
        <v>23500</v>
      </c>
      <c r="E1705" t="s">
        <v>25204</v>
      </c>
    </row>
    <row r="1706" spans="1:5">
      <c r="A1706" t="s">
        <v>6</v>
      </c>
      <c r="B1706" t="s">
        <v>1711</v>
      </c>
      <c r="C1706">
        <f>HYPERLINK("C:\Users\franc\OneDrive\Documentos\MALENTIN KARIME\VTA. PROPIEDAD\2017\JULIO ROBLES CASTRO A Aurora Robles cvta usufructo.doc", "Abrir Documento")</f>
        <v>0</v>
      </c>
      <c r="D1706" t="s">
        <v>23500</v>
      </c>
      <c r="E1706" t="s">
        <v>25205</v>
      </c>
    </row>
    <row r="1707" spans="1:5">
      <c r="A1707" t="s">
        <v>6</v>
      </c>
      <c r="B1707" t="s">
        <v>1712</v>
      </c>
      <c r="C1707">
        <f>HYPERLINK("C:\Users\franc\OneDrive\Documentos\MALENTIN KARIME\VTA. PROPIEDAD\2017\JULIO LUTTGUES A VIVIANA ARAYA.doc", "Abrir Documento")</f>
        <v>0</v>
      </c>
      <c r="D1707" t="s">
        <v>23500</v>
      </c>
      <c r="E1707" t="s">
        <v>25206</v>
      </c>
    </row>
    <row r="1708" spans="1:5">
      <c r="A1708" t="s">
        <v>6</v>
      </c>
      <c r="B1708" t="s">
        <v>1713</v>
      </c>
      <c r="C1708">
        <f>HYPERLINK("C:\Users\franc\OneDrive\Documentos\MALENTIN KARIME\VTA. PROPIEDAD\2017\JULIO LUTTGUES A VIVIANA ARAYA Lote A fusionado.doc", "Abrir Documento")</f>
        <v>0</v>
      </c>
      <c r="D1708" t="s">
        <v>23500</v>
      </c>
      <c r="E1708" t="s">
        <v>25207</v>
      </c>
    </row>
    <row r="1709" spans="1:5">
      <c r="A1709" t="s">
        <v>6</v>
      </c>
      <c r="B1709" t="s">
        <v>1714</v>
      </c>
      <c r="C1709">
        <f>HYPERLINK("C:\Users\franc\OneDrive\Documentos\MALENTIN KARIME\VTA. PROPIEDAD\2017\JULIA MUÑOZ OLIVARES A Mabel Valenzuela Solteros.doc", "Abrir Documento")</f>
        <v>0</v>
      </c>
      <c r="D1709" t="s">
        <v>23500</v>
      </c>
      <c r="E1709" t="s">
        <v>25208</v>
      </c>
    </row>
    <row r="1710" spans="1:5">
      <c r="A1710" t="s">
        <v>6</v>
      </c>
      <c r="B1710" t="s">
        <v>1715</v>
      </c>
      <c r="C1710">
        <f>HYPERLINK("C:\Users\franc\OneDrive\Documentos\MALENTIN KARIME\VTA. PROPIEDAD\2017\JUANA ROJAS RIVERA A Luis Pasten2017.doc", "Abrir Documento")</f>
        <v>0</v>
      </c>
      <c r="D1710" t="s">
        <v>23500</v>
      </c>
      <c r="E1710" t="s">
        <v>25209</v>
      </c>
    </row>
    <row r="1711" spans="1:5">
      <c r="A1711" t="s">
        <v>6</v>
      </c>
      <c r="B1711" t="s">
        <v>1716</v>
      </c>
      <c r="C1711">
        <f>HYPERLINK("C:\Users\franc\OneDrive\Documentos\MALENTIN KARIME\VTA. PROPIEDAD\2017\JUAN ROJAS GALAN A Sergio Jiménez con instruccion.doc", "Abrir Documento")</f>
        <v>0</v>
      </c>
      <c r="D1711" t="s">
        <v>23500</v>
      </c>
      <c r="E1711" t="s">
        <v>25210</v>
      </c>
    </row>
    <row r="1712" spans="1:5">
      <c r="A1712" t="s">
        <v>6</v>
      </c>
      <c r="B1712" t="s">
        <v>1717</v>
      </c>
      <c r="C1712">
        <f>HYPERLINK("C:\Users\franc\OneDrive\Documentos\MALENTIN KARIME\VTA. PROPIEDAD\2017\JUAN CASTRO A Eduardo Lopez.doc", "Abrir Documento")</f>
        <v>0</v>
      </c>
      <c r="D1712" t="s">
        <v>23500</v>
      </c>
      <c r="E1712" t="s">
        <v>25211</v>
      </c>
    </row>
    <row r="1713" spans="1:5">
      <c r="A1713" t="s">
        <v>6</v>
      </c>
      <c r="B1713" t="s">
        <v>1718</v>
      </c>
      <c r="C1713">
        <f>HYPERLINK("C:\Users\franc\OneDrive\Documentos\MALENTIN KARIME\VTA. PROPIEDAD\2017\JOSE GASTON ROJAS ROJAS Derechos 100.doc", "Abrir Documento")</f>
        <v>0</v>
      </c>
      <c r="D1713" t="s">
        <v>23500</v>
      </c>
      <c r="E1713" t="s">
        <v>25212</v>
      </c>
    </row>
    <row r="1714" spans="1:5">
      <c r="A1714" t="s">
        <v>6</v>
      </c>
      <c r="B1714" t="s">
        <v>1719</v>
      </c>
      <c r="C1714">
        <f>HYPERLINK("C:\Users\franc\OneDrive\Documentos\MALENTIN KARIME\VTA. PROPIEDAD\2017\JORGE ADAOS PIZARRO 2019.doc", "Abrir Documento")</f>
        <v>0</v>
      </c>
      <c r="D1714" t="s">
        <v>23500</v>
      </c>
      <c r="E1714" t="s">
        <v>25213</v>
      </c>
    </row>
    <row r="1715" spans="1:5">
      <c r="A1715" t="s">
        <v>6</v>
      </c>
      <c r="B1715" t="s">
        <v>1720</v>
      </c>
      <c r="C1715">
        <f>HYPERLINK("C:\Users\franc\OneDrive\Documentos\MALENTIN KARIME\VTA. PROPIEDAD\2017\JOCELYN GODOY GODOY Soltera 2018.doc", "Abrir Documento")</f>
        <v>0</v>
      </c>
      <c r="D1715" t="s">
        <v>23500</v>
      </c>
      <c r="E1715" t="s">
        <v>25214</v>
      </c>
    </row>
    <row r="1716" spans="1:5">
      <c r="A1716" t="s">
        <v>6</v>
      </c>
      <c r="B1716" t="s">
        <v>1721</v>
      </c>
      <c r="C1716">
        <f>HYPERLINK("C:\Users\franc\OneDrive\Documentos\MALENTIN KARIME\VTA. PROPIEDAD\2017\JESSICA CARVAJAL A Janet Castillocon adm.doc", "Abrir Documento")</f>
        <v>0</v>
      </c>
      <c r="D1716" t="s">
        <v>23500</v>
      </c>
      <c r="E1716" t="s">
        <v>25215</v>
      </c>
    </row>
    <row r="1717" spans="1:5">
      <c r="A1717" t="s">
        <v>6</v>
      </c>
      <c r="B1717" t="s">
        <v>1722</v>
      </c>
      <c r="C1717">
        <f>HYPERLINK("C:\Users\franc\OneDrive\Documentos\MALENTIN KARIME\VTA. PROPIEDAD\2017\JAIME GUERRERO A Salvador Vega 2018.doc", "Abrir Documento")</f>
        <v>0</v>
      </c>
      <c r="D1717" t="s">
        <v>23500</v>
      </c>
      <c r="E1717" t="s">
        <v>25216</v>
      </c>
    </row>
    <row r="1718" spans="1:5">
      <c r="A1718" t="s">
        <v>6</v>
      </c>
      <c r="B1718" t="s">
        <v>1723</v>
      </c>
      <c r="C1718">
        <f>HYPERLINK("C:\Users\franc\OneDrive\Documentos\MALENTIN KARIME\VTA. PROPIEDAD\2017\ITALIA RAMIREZ A Carlos Navea Ramirez viuda.doc", "Abrir Documento")</f>
        <v>0</v>
      </c>
      <c r="D1718" t="s">
        <v>23500</v>
      </c>
      <c r="E1718" t="s">
        <v>25217</v>
      </c>
    </row>
    <row r="1719" spans="1:5">
      <c r="A1719" t="s">
        <v>6</v>
      </c>
      <c r="B1719" t="s">
        <v>1724</v>
      </c>
      <c r="C1719">
        <f>HYPERLINK("C:\Users\franc\OneDrive\Documentos\MALENTIN KARIME\VTA. PROPIEDAD\2017\ISABEL OPAZO DONOSO A Mario Araya.doc", "Abrir Documento")</f>
        <v>0</v>
      </c>
      <c r="D1719" t="s">
        <v>23500</v>
      </c>
      <c r="E1719" t="s">
        <v>25218</v>
      </c>
    </row>
    <row r="1720" spans="1:5">
      <c r="A1720" t="s">
        <v>6</v>
      </c>
      <c r="B1720" t="s">
        <v>1725</v>
      </c>
      <c r="C1720">
        <f>HYPERLINK("C:\Users\franc\OneDrive\Documentos\MALENTIN KARIME\VTA. PROPIEDAD\2017\IRMA ORDENEZ ALVAREZ 2018 derecho goce y tierra.doc", "Abrir Documento")</f>
        <v>0</v>
      </c>
      <c r="D1720" t="s">
        <v>23500</v>
      </c>
      <c r="E1720" t="s">
        <v>25219</v>
      </c>
    </row>
    <row r="1721" spans="1:5">
      <c r="A1721" t="s">
        <v>6</v>
      </c>
      <c r="B1721" t="s">
        <v>1726</v>
      </c>
      <c r="C1721">
        <f>HYPERLINK("C:\Users\franc\OneDrive\Documentos\MALENTIN KARIME\VTA. PROPIEDAD\2017\INSTRUCCIONES Maya 2018.doc", "Abrir Documento")</f>
        <v>0</v>
      </c>
      <c r="D1721" t="s">
        <v>23500</v>
      </c>
      <c r="E1721" t="s">
        <v>25220</v>
      </c>
    </row>
    <row r="1722" spans="1:5">
      <c r="A1722" t="s">
        <v>6</v>
      </c>
      <c r="B1722" t="s">
        <v>1727</v>
      </c>
      <c r="C1722">
        <f>HYPERLINK("C:\Users\franc\OneDrive\Documentos\MALENTIN KARIME\VTA. PROPIEDAD\2017\INSTRUCCIONES Ema Lopez.doc", "Abrir Documento")</f>
        <v>0</v>
      </c>
      <c r="D1722" t="s">
        <v>23500</v>
      </c>
      <c r="E1722" t="s">
        <v>25221</v>
      </c>
    </row>
    <row r="1723" spans="1:5">
      <c r="A1723" t="s">
        <v>6</v>
      </c>
      <c r="B1723" t="s">
        <v>1728</v>
      </c>
      <c r="C1723">
        <f>HYPERLINK("C:\Users\franc\OneDrive\Documentos\MALENTIN KARIME\VTA. PROPIEDAD\2017\HUMBERTO CONTRERAS Y ROSA CONTRERAS Esposa}.doc", "Abrir Documento")</f>
        <v>0</v>
      </c>
      <c r="D1723" t="s">
        <v>23500</v>
      </c>
      <c r="E1723" t="s">
        <v>25222</v>
      </c>
    </row>
    <row r="1724" spans="1:5">
      <c r="A1724" t="s">
        <v>6</v>
      </c>
      <c r="B1724" t="s">
        <v>1729</v>
      </c>
      <c r="C1724">
        <f>HYPERLINK("C:\Users\franc\OneDrive\Documentos\MALENTIN KARIME\VTA. PROPIEDAD\2017\HUGO MICHEA TAPIA A ALEJANDRO CORTES Solteros 2018.doc", "Abrir Documento")</f>
        <v>0</v>
      </c>
      <c r="D1724" t="s">
        <v>23500</v>
      </c>
      <c r="E1724" t="s">
        <v>25223</v>
      </c>
    </row>
    <row r="1725" spans="1:5">
      <c r="A1725" t="s">
        <v>6</v>
      </c>
      <c r="B1725" t="s">
        <v>1730</v>
      </c>
      <c r="C1725">
        <f>HYPERLINK("C:\Users\franc\OneDrive\Documentos\MALENTIN KARIME\VTA. PROPIEDAD\2017\HUGO MARAMBIO.doc", "Abrir Documento")</f>
        <v>0</v>
      </c>
      <c r="D1725" t="s">
        <v>23500</v>
      </c>
      <c r="E1725" t="s">
        <v>25224</v>
      </c>
    </row>
    <row r="1726" spans="1:5">
      <c r="A1726" t="s">
        <v>6</v>
      </c>
      <c r="B1726" t="s">
        <v>1731</v>
      </c>
      <c r="C1726">
        <f>HYPERLINK("C:\Users\franc\OneDrive\Documentos\MALENTIN KARIME\VTA. PROPIEDAD\2017\HUGO CASTILLO A claudio castillo minuta.doc", "Abrir Documento")</f>
        <v>0</v>
      </c>
      <c r="D1726" t="s">
        <v>23500</v>
      </c>
      <c r="E1726" t="s">
        <v>25225</v>
      </c>
    </row>
    <row r="1727" spans="1:5">
      <c r="A1727" t="s">
        <v>6</v>
      </c>
      <c r="B1727" t="s">
        <v>1732</v>
      </c>
      <c r="C1727">
        <f>HYPERLINK("C:\Users\franc\OneDrive\Documentos\MALENTIN KARIME\VTA. PROPIEDAD\2017\HERMAN LOPEZ VICENCIO A Jorge Lopez 100.doc", "Abrir Documento")</f>
        <v>0</v>
      </c>
      <c r="D1727" t="s">
        <v>23500</v>
      </c>
      <c r="E1727" t="s">
        <v>25226</v>
      </c>
    </row>
    <row r="1728" spans="1:5">
      <c r="A1728" t="s">
        <v>6</v>
      </c>
      <c r="B1728" t="s">
        <v>1733</v>
      </c>
      <c r="C1728">
        <f>HYPERLINK("C:\Users\franc\OneDrive\Documentos\MALENTIN KARIME\VTA. PROPIEDAD\2017\GUILLERMO DIAZ Y CIA. LTDA.}.doc", "Abrir Documento")</f>
        <v>0</v>
      </c>
      <c r="D1728" t="s">
        <v>23500</v>
      </c>
      <c r="E1728" t="s">
        <v>25227</v>
      </c>
    </row>
    <row r="1729" spans="1:5">
      <c r="A1729" t="s">
        <v>6</v>
      </c>
      <c r="B1729" t="s">
        <v>1734</v>
      </c>
      <c r="C1729">
        <f>HYPERLINK("C:\Users\franc\OneDrive\Documentos\MALENTIN KARIME\VTA. PROPIEDAD\2017\GINO ANGOTZI A FARID JACOB Solteros 2018.doc", "Abrir Documento")</f>
        <v>0</v>
      </c>
      <c r="D1729" t="s">
        <v>23500</v>
      </c>
      <c r="E1729" t="s">
        <v>25228</v>
      </c>
    </row>
    <row r="1730" spans="1:5">
      <c r="A1730" t="s">
        <v>6</v>
      </c>
      <c r="B1730" t="s">
        <v>1735</v>
      </c>
      <c r="C1730">
        <f>HYPERLINK("C:\Users\franc\OneDrive\Documentos\MALENTIN KARIME\VTA. PROPIEDAD\2017\GEORGINA VARAS RAMIREZ.doc", "Abrir Documento")</f>
        <v>0</v>
      </c>
      <c r="D1730" t="s">
        <v>23500</v>
      </c>
      <c r="E1730" t="s">
        <v>25229</v>
      </c>
    </row>
    <row r="1731" spans="1:5">
      <c r="A1731" t="s">
        <v>6</v>
      </c>
      <c r="B1731" t="s">
        <v>1736</v>
      </c>
      <c r="C1731">
        <f>HYPERLINK("C:\Users\franc\OneDrive\Documentos\MALENTIN KARIME\VTA. PROPIEDAD\2017\GEORGINA VARAS RAMIREZ final.doc", "Abrir Documento")</f>
        <v>0</v>
      </c>
      <c r="D1731" t="s">
        <v>23500</v>
      </c>
      <c r="E1731" t="s">
        <v>25230</v>
      </c>
    </row>
    <row r="1732" spans="1:5">
      <c r="A1732" t="s">
        <v>6</v>
      </c>
      <c r="B1732" t="s">
        <v>1737</v>
      </c>
      <c r="C1732">
        <f>HYPERLINK("C:\Users\franc\OneDrive\Documentos\MALENTIN KARIME\VTA. PROPIEDAD\2017\FRANCISCO RIVERA CASTILLO con conyuge.doc", "Abrir Documento")</f>
        <v>0</v>
      </c>
      <c r="D1732" t="s">
        <v>23500</v>
      </c>
      <c r="E1732" t="s">
        <v>25231</v>
      </c>
    </row>
    <row r="1733" spans="1:5">
      <c r="A1733" t="s">
        <v>6</v>
      </c>
      <c r="B1733" t="s">
        <v>1738</v>
      </c>
      <c r="C1733">
        <f>HYPERLINK("C:\Users\franc\OneDrive\Documentos\MALENTIN KARIME\VTA. PROPIEDAD\2017\FRANCISCO MAYO vta con usufructo.doc", "Abrir Documento")</f>
        <v>0</v>
      </c>
      <c r="D1733" t="s">
        <v>23500</v>
      </c>
      <c r="E1733" t="s">
        <v>25232</v>
      </c>
    </row>
    <row r="1734" spans="1:5">
      <c r="A1734" t="s">
        <v>6</v>
      </c>
      <c r="B1734" t="s">
        <v>1739</v>
      </c>
      <c r="C1734">
        <f>HYPERLINK("C:\Users\franc\OneDrive\Documentos\MALENTIN KARIME\VTA. PROPIEDAD\2017\Francisco Araya a Elsa Araya y  otro (1).doc", "Abrir Documento")</f>
        <v>0</v>
      </c>
      <c r="D1734" t="s">
        <v>23500</v>
      </c>
      <c r="E1734" t="s">
        <v>25233</v>
      </c>
    </row>
    <row r="1735" spans="1:5">
      <c r="A1735" t="s">
        <v>6</v>
      </c>
      <c r="B1735" t="s">
        <v>1740</v>
      </c>
      <c r="C1735">
        <f>HYPERLINK("C:\Users\franc\OneDrive\Documentos\MALENTIN KARIME\VTA. PROPIEDAD\2017\FLORENCIA VALDERRAMA A Nibaldo Barraza.doc", "Abrir Documento")</f>
        <v>0</v>
      </c>
      <c r="D1735" t="s">
        <v>23500</v>
      </c>
      <c r="E1735" t="s">
        <v>25234</v>
      </c>
    </row>
    <row r="1736" spans="1:5">
      <c r="A1736" t="s">
        <v>6</v>
      </c>
      <c r="B1736" t="s">
        <v>1741</v>
      </c>
      <c r="C1736">
        <f>HYPERLINK("C:\Users\franc\OneDrive\Documentos\MALENTIN KARIME\VTA. PROPIEDAD\2017\EVELYN ULLOA A Jovita Fuentes CVillagran.doc", "Abrir Documento")</f>
        <v>0</v>
      </c>
      <c r="D1736" t="s">
        <v>23500</v>
      </c>
      <c r="E1736" t="s">
        <v>25235</v>
      </c>
    </row>
    <row r="1737" spans="1:5">
      <c r="A1737" t="s">
        <v>6</v>
      </c>
      <c r="B1737" t="s">
        <v>1742</v>
      </c>
      <c r="C1737">
        <f>HYPERLINK("C:\Users\franc\OneDrive\Documentos\MALENTIN KARIME\VTA. PROPIEDAD\2017\ERICA ALVAREZ A RODRIGO VALDES con adm.doc", "Abrir Documento")</f>
        <v>0</v>
      </c>
      <c r="D1737" t="s">
        <v>23500</v>
      </c>
      <c r="E1737" t="s">
        <v>25236</v>
      </c>
    </row>
    <row r="1738" spans="1:5">
      <c r="A1738" t="s">
        <v>6</v>
      </c>
      <c r="B1738" t="s">
        <v>1743</v>
      </c>
      <c r="C1738">
        <f>HYPERLINK("C:\Users\franc\OneDrive\Documentos\MALENTIN KARIME\VTA. PROPIEDAD\2017\EMA LOPEZ COLLAO A JOSE VALDES Cony adm.doc", "Abrir Documento")</f>
        <v>0</v>
      </c>
      <c r="D1738" t="s">
        <v>23500</v>
      </c>
      <c r="E1738" t="s">
        <v>25237</v>
      </c>
    </row>
    <row r="1739" spans="1:5">
      <c r="A1739" t="s">
        <v>6</v>
      </c>
      <c r="B1739" t="s">
        <v>1744</v>
      </c>
      <c r="C1739">
        <f>HYPERLINK("C:\Users\franc\OneDrive\Documentos\MALENTIN KARIME\VTA. PROPIEDAD\2017\ELEAZAR CARVAJAL A Exequiel Lopez.doc", "Abrir Documento")</f>
        <v>0</v>
      </c>
      <c r="D1739" t="s">
        <v>23500</v>
      </c>
      <c r="E1739" t="s">
        <v>25238</v>
      </c>
    </row>
    <row r="1740" spans="1:5">
      <c r="A1740" t="s">
        <v>6</v>
      </c>
      <c r="B1740" t="s">
        <v>1745</v>
      </c>
      <c r="C1740">
        <f>HYPERLINK("C:\Users\franc\OneDrive\Documentos\MALENTIN KARIME\VTA. PROPIEDAD\2017\ELBA BARRAZA A CRISTINA VEGA (administrador )cvta usufructo.doc", "Abrir Documento")</f>
        <v>0</v>
      </c>
      <c r="D1740" t="s">
        <v>23500</v>
      </c>
      <c r="E1740" t="s">
        <v>25239</v>
      </c>
    </row>
    <row r="1741" spans="1:5">
      <c r="A1741" t="s">
        <v>6</v>
      </c>
      <c r="B1741" t="s">
        <v>1746</v>
      </c>
      <c r="C1741">
        <f>HYPERLINK("C:\Users\franc\OneDrive\Documentos\MALENTIN KARIME\VTA. PROPIEDAD\2017\EDITH RAMOS A Pabla Robledo.doc", "Abrir Documento")</f>
        <v>0</v>
      </c>
      <c r="D1741" t="s">
        <v>23500</v>
      </c>
      <c r="E1741" t="s">
        <v>25240</v>
      </c>
    </row>
    <row r="1742" spans="1:5">
      <c r="A1742" t="s">
        <v>6</v>
      </c>
      <c r="B1742" t="s">
        <v>1747</v>
      </c>
      <c r="C1742">
        <f>HYPERLINK("C:\Users\franc\OneDrive\Documentos\MALENTIN KARIME\VTA. PROPIEDAD\2017\Edith Albanez Campusano a Luis Guererro.doc", "Abrir Documento")</f>
        <v>0</v>
      </c>
      <c r="D1742" t="s">
        <v>23500</v>
      </c>
      <c r="E1742" t="s">
        <v>25241</v>
      </c>
    </row>
    <row r="1743" spans="1:5">
      <c r="A1743" t="s">
        <v>6</v>
      </c>
      <c r="B1743" t="s">
        <v>1748</v>
      </c>
      <c r="C1743">
        <f>HYPERLINK("C:\Users\franc\OneDrive\Documentos\MALENTIN KARIME\VTA. PROPIEDAD\2017\DILIA CARVAJAL OLIVARES A Emilio Alvarado con autorizacion marital.doc", "Abrir Documento")</f>
        <v>0</v>
      </c>
      <c r="D1743" t="s">
        <v>23500</v>
      </c>
      <c r="E1743" t="s">
        <v>25242</v>
      </c>
    </row>
    <row r="1744" spans="1:5">
      <c r="A1744" t="s">
        <v>6</v>
      </c>
      <c r="B1744" t="s">
        <v>1749</v>
      </c>
      <c r="C1744">
        <f>HYPERLINK("C:\Users\franc\OneDrive\Documentos\MALENTIN KARIME\VTA. PROPIEDAD\2017\DENIS RODRIGUEZ A LORENA OLIVARES art 150 vend.doc", "Abrir Documento")</f>
        <v>0</v>
      </c>
      <c r="D1744" t="s">
        <v>23500</v>
      </c>
      <c r="E1744" t="s">
        <v>25243</v>
      </c>
    </row>
    <row r="1745" spans="1:5">
      <c r="A1745" t="s">
        <v>6</v>
      </c>
      <c r="B1745" t="s">
        <v>1750</v>
      </c>
      <c r="C1745">
        <f>HYPERLINK("C:\Users\franc\OneDrive\Documentos\MALENTIN KARIME\VTA. PROPIEDAD\2017\DEMETRIO CASTRO CON NOEMI GUERRA con ella.doc", "Abrir Documento")</f>
        <v>0</v>
      </c>
      <c r="D1745" t="s">
        <v>23500</v>
      </c>
      <c r="E1745" t="s">
        <v>25244</v>
      </c>
    </row>
    <row r="1746" spans="1:5">
      <c r="A1746" t="s">
        <v>6</v>
      </c>
      <c r="B1746" t="s">
        <v>1751</v>
      </c>
      <c r="C1746">
        <f>HYPERLINK("C:\Users\franc\OneDrive\Documentos\MALENTIN KARIME\VTA. PROPIEDAD\2017\DANISA MUÑOZ A Bernarda Muñoz solteros.doc", "Abrir Documento")</f>
        <v>0</v>
      </c>
      <c r="D1746" t="s">
        <v>23500</v>
      </c>
      <c r="E1746" t="s">
        <v>25245</v>
      </c>
    </row>
    <row r="1747" spans="1:5">
      <c r="A1747" t="s">
        <v>6</v>
      </c>
      <c r="B1747" t="s">
        <v>1752</v>
      </c>
      <c r="C1747">
        <f>HYPERLINK("C:\Users\franc\OneDrive\Documentos\MALENTIN KARIME\VTA. PROPIEDAD\2017\DANIELA SEGOVIA A Milicent Guzman solteras.doc", "Abrir Documento")</f>
        <v>0</v>
      </c>
      <c r="D1747" t="s">
        <v>23500</v>
      </c>
      <c r="E1747" t="s">
        <v>25246</v>
      </c>
    </row>
    <row r="1748" spans="1:5">
      <c r="A1748" t="s">
        <v>6</v>
      </c>
      <c r="B1748" t="s">
        <v>1753</v>
      </c>
      <c r="C1748">
        <f>HYPERLINK("C:\Users\franc\OneDrive\Documentos\MALENTIN KARIME\VTA. PROPIEDAD\2017\CONSTRUCTORA OLIVARES &amp; CORTES A Javier Olivares.doc", "Abrir Documento")</f>
        <v>0</v>
      </c>
      <c r="D1748" t="s">
        <v>23500</v>
      </c>
      <c r="E1748" t="s">
        <v>25247</v>
      </c>
    </row>
    <row r="1749" spans="1:5">
      <c r="A1749" t="s">
        <v>6</v>
      </c>
      <c r="B1749" t="s">
        <v>1754</v>
      </c>
      <c r="C1749">
        <f>HYPERLINK("C:\Users\franc\OneDrive\Documentos\MALENTIN KARIME\VTA. PROPIEDAD\2017\CLAUDIO BRICEÑO A Sergio Pizarro solteros.doc", "Abrir Documento")</f>
        <v>0</v>
      </c>
      <c r="D1749" t="s">
        <v>23500</v>
      </c>
      <c r="E1749" t="s">
        <v>25248</v>
      </c>
    </row>
    <row r="1750" spans="1:5">
      <c r="A1750" t="s">
        <v>6</v>
      </c>
      <c r="B1750" t="s">
        <v>1755</v>
      </c>
      <c r="C1750">
        <f>HYPERLINK("C:\Users\franc\OneDrive\Documentos\MALENTIN KARIME\VTA. PROPIEDAD\2017\CEFERINO VALLE VALLE.doc", "Abrir Documento")</f>
        <v>0</v>
      </c>
      <c r="D1750" t="s">
        <v>23500</v>
      </c>
      <c r="E1750" t="s">
        <v>25249</v>
      </c>
    </row>
    <row r="1751" spans="1:5">
      <c r="A1751" t="s">
        <v>6</v>
      </c>
      <c r="B1751" t="s">
        <v>1756</v>
      </c>
      <c r="C1751">
        <f>HYPERLINK("C:\Users\franc\OneDrive\Documentos\MALENTIN KARIME\VTA. PROPIEDAD\2017\CARMEN SEGOVIA SALAZAR Tierra y agua auto.doc", "Abrir Documento")</f>
        <v>0</v>
      </c>
      <c r="D1751" t="s">
        <v>23500</v>
      </c>
      <c r="E1751" t="s">
        <v>25250</v>
      </c>
    </row>
    <row r="1752" spans="1:5">
      <c r="A1752" t="s">
        <v>6</v>
      </c>
      <c r="B1752" t="s">
        <v>1757</v>
      </c>
      <c r="C1752">
        <f>HYPERLINK("C:\Users\franc\OneDrive\Documentos\MALENTIN KARIME\VTA. PROPIEDAD\2017\CARMEN SEGOVIA SALAZAR Tierra auto.doc", "Abrir Documento")</f>
        <v>0</v>
      </c>
      <c r="D1752" t="s">
        <v>23500</v>
      </c>
      <c r="E1752" t="s">
        <v>25251</v>
      </c>
    </row>
    <row r="1753" spans="1:5">
      <c r="A1753" t="s">
        <v>6</v>
      </c>
      <c r="B1753" t="s">
        <v>1758</v>
      </c>
      <c r="C1753">
        <f>HYPERLINK("C:\Users\franc\OneDrive\Documentos\MALENTIN KARIME\VTA. PROPIEDAD\2017\CARMEN SEGOVIA SALAZAR Agua auto.doc", "Abrir Documento")</f>
        <v>0</v>
      </c>
      <c r="D1753" t="s">
        <v>23500</v>
      </c>
      <c r="E1753" t="s">
        <v>25252</v>
      </c>
    </row>
    <row r="1754" spans="1:5">
      <c r="A1754" t="s">
        <v>6</v>
      </c>
      <c r="B1754" t="s">
        <v>1759</v>
      </c>
      <c r="C1754">
        <f>HYPERLINK("C:\Users\franc\OneDrive\Documentos\MALENTIN KARIME\VTA. PROPIEDAD\2017\CARMEN RODRIGUEZ A JORGE MIRANDA.doc", "Abrir Documento")</f>
        <v>0</v>
      </c>
      <c r="D1754" t="s">
        <v>23500</v>
      </c>
      <c r="E1754" t="s">
        <v>25253</v>
      </c>
    </row>
    <row r="1755" spans="1:5">
      <c r="A1755" t="s">
        <v>6</v>
      </c>
      <c r="B1755" t="s">
        <v>1760</v>
      </c>
      <c r="C1755">
        <f>HYPERLINK("C:\Users\franc\OneDrive\Documentos\MALENTIN KARIME\VTA. PROPIEDAD\2017\CARMEN CORTES TORRES solteros.doc", "Abrir Documento")</f>
        <v>0</v>
      </c>
      <c r="D1755" t="s">
        <v>23500</v>
      </c>
      <c r="E1755" t="s">
        <v>25254</v>
      </c>
    </row>
    <row r="1756" spans="1:5">
      <c r="A1756" t="s">
        <v>6</v>
      </c>
      <c r="B1756" t="s">
        <v>1761</v>
      </c>
      <c r="C1756">
        <f>HYPERLINK("C:\Users\franc\OneDrive\Documentos\MALENTIN KARIME\VTA. PROPIEDAD\2017\CARMEN CARMONA A Daniel Cortes.doc", "Abrir Documento")</f>
        <v>0</v>
      </c>
      <c r="D1756" t="s">
        <v>23500</v>
      </c>
      <c r="E1756" t="s">
        <v>25255</v>
      </c>
    </row>
    <row r="1757" spans="1:5">
      <c r="A1757" t="s">
        <v>6</v>
      </c>
      <c r="B1757" t="s">
        <v>1762</v>
      </c>
      <c r="C1757">
        <f>HYPERLINK("C:\Users\franc\OneDrive\Documentos\MALENTIN KARIME\VTA. PROPIEDAD\2017\CARLOS EGAÑA PIZARRO A Angelica Egaña derechos.doc", "Abrir Documento")</f>
        <v>0</v>
      </c>
      <c r="D1757" t="s">
        <v>23500</v>
      </c>
      <c r="E1757" t="s">
        <v>25256</v>
      </c>
    </row>
    <row r="1758" spans="1:5">
      <c r="A1758" t="s">
        <v>6</v>
      </c>
      <c r="B1758" t="s">
        <v>1763</v>
      </c>
      <c r="C1758">
        <f>HYPERLINK("C:\Users\franc\OneDrive\Documentos\MALENTIN KARIME\VTA. PROPIEDAD\2017\BERNARDO ZEPEDA PEREZ A Yonel Zepeda solteros.doc", "Abrir Documento")</f>
        <v>0</v>
      </c>
      <c r="D1758" t="s">
        <v>23500</v>
      </c>
      <c r="E1758" t="s">
        <v>25257</v>
      </c>
    </row>
    <row r="1759" spans="1:5">
      <c r="A1759" t="s">
        <v>6</v>
      </c>
      <c r="B1759" t="s">
        <v>1764</v>
      </c>
      <c r="C1759">
        <f>HYPERLINK("C:\Users\franc\OneDrive\Documentos\MALENTIN KARIME\VTA. PROPIEDAD\2017\BERNARDITA LOPEZ Soltera.doc", "Abrir Documento")</f>
        <v>0</v>
      </c>
      <c r="D1759" t="s">
        <v>23500</v>
      </c>
      <c r="E1759" t="s">
        <v>25258</v>
      </c>
    </row>
    <row r="1760" spans="1:5">
      <c r="A1760" t="s">
        <v>6</v>
      </c>
      <c r="B1760" t="s">
        <v>1765</v>
      </c>
      <c r="C1760">
        <f>HYPERLINK("C:\Users\franc\OneDrive\Documentos\MALENTIN KARIME\VTA. PROPIEDAD\2017\BERNARDA ADAROS A Berta Diaz solteros.doc", "Abrir Documento")</f>
        <v>0</v>
      </c>
      <c r="D1760" t="s">
        <v>23500</v>
      </c>
      <c r="E1760" t="s">
        <v>25259</v>
      </c>
    </row>
    <row r="1761" spans="1:5">
      <c r="A1761" t="s">
        <v>6</v>
      </c>
      <c r="B1761" t="s">
        <v>1766</v>
      </c>
      <c r="C1761">
        <f>HYPERLINK("C:\Users\franc\OneDrive\Documentos\MALENTIN KARIME\VTA. PROPIEDAD\2017\ARTURO NARANJO A VERONICA BARRAZA.doc", "Abrir Documento")</f>
        <v>0</v>
      </c>
      <c r="D1761" t="s">
        <v>23500</v>
      </c>
      <c r="E1761" t="s">
        <v>25260</v>
      </c>
    </row>
    <row r="1762" spans="1:5">
      <c r="A1762" t="s">
        <v>6</v>
      </c>
      <c r="B1762" t="s">
        <v>1767</v>
      </c>
      <c r="C1762">
        <f>HYPERLINK("C:\Users\franc\OneDrive\Documentos\MALENTIN KARIME\VTA. PROPIEDAD\2017\ARTEMIO ALVARADO A Luis ROjas.doc", "Abrir Documento")</f>
        <v>0</v>
      </c>
      <c r="D1762" t="s">
        <v>23500</v>
      </c>
      <c r="E1762" t="s">
        <v>25261</v>
      </c>
    </row>
    <row r="1763" spans="1:5">
      <c r="A1763" t="s">
        <v>6</v>
      </c>
      <c r="B1763" t="s">
        <v>1768</v>
      </c>
      <c r="C1763">
        <f>HYPERLINK("C:\Users\franc\OneDrive\Documentos\MALENTIN KARIME\VTA. PROPIEDAD\2017\ANGELA LEON A Felipe Castillo.doc", "Abrir Documento")</f>
        <v>0</v>
      </c>
      <c r="D1763" t="s">
        <v>23500</v>
      </c>
      <c r="E1763" t="s">
        <v>25262</v>
      </c>
    </row>
    <row r="1764" spans="1:5">
      <c r="A1764" t="s">
        <v>6</v>
      </c>
      <c r="B1764" t="s">
        <v>1769</v>
      </c>
      <c r="C1764">
        <f>HYPERLINK("C:\Users\franc\OneDrive\Documentos\MALENTIN KARIME\VTA. PROPIEDAD\2017\AMANDA DEL CARMEN BARRAZA BARRAZA, Compraventa tierra.doc", "Abrir Documento")</f>
        <v>0</v>
      </c>
      <c r="D1764" t="s">
        <v>23500</v>
      </c>
      <c r="E1764" t="s">
        <v>25263</v>
      </c>
    </row>
    <row r="1765" spans="1:5">
      <c r="A1765" t="s">
        <v>6</v>
      </c>
      <c r="B1765" t="s">
        <v>1770</v>
      </c>
      <c r="C1765">
        <f>HYPERLINK("C:\Users\franc\OneDrive\Documentos\MALENTIN KARIME\VTA. PROPIEDAD\2017\AMANDA DEL CARMEN BARRAZA BARRAZA, Compraventa derecho y tierra.doc", "Abrir Documento")</f>
        <v>0</v>
      </c>
      <c r="D1765" t="s">
        <v>23500</v>
      </c>
      <c r="E1765" t="s">
        <v>25264</v>
      </c>
    </row>
    <row r="1766" spans="1:5">
      <c r="A1766" t="s">
        <v>6</v>
      </c>
      <c r="B1766" t="s">
        <v>1771</v>
      </c>
      <c r="C1766">
        <f>HYPERLINK("C:\Users\franc\OneDrive\Documentos\MALENTIN KARIME\VTA. PROPIEDAD\2017\ALIRO GUERRERO A Waldo Rodriguez.doc", "Abrir Documento")</f>
        <v>0</v>
      </c>
      <c r="D1766" t="s">
        <v>23500</v>
      </c>
      <c r="E1766" t="s">
        <v>25265</v>
      </c>
    </row>
    <row r="1767" spans="1:5">
      <c r="A1767" t="s">
        <v>6</v>
      </c>
      <c r="B1767" t="s">
        <v>1772</v>
      </c>
      <c r="C1767">
        <f>HYPERLINK("C:\Users\franc\OneDrive\Documentos\MALENTIN KARIME\VTA. PROPIEDAD\2017\ALFONSO PASTEN HENRIQUEZ A COMERCIAL TOLEDO GIANZO con conyuge.doc", "Abrir Documento")</f>
        <v>0</v>
      </c>
      <c r="D1767" t="s">
        <v>23500</v>
      </c>
      <c r="E1767" t="s">
        <v>25266</v>
      </c>
    </row>
    <row r="1768" spans="1:5">
      <c r="A1768" t="s">
        <v>6</v>
      </c>
      <c r="B1768" t="s">
        <v>1773</v>
      </c>
      <c r="C1768">
        <f>HYPERLINK("C:\Users\franc\OneDrive\Documentos\MALENTIN KARIME\VTA. PROPIEDAD\2016\YANETT PJIZARRO A María Pizarro.doc", "Abrir Documento")</f>
        <v>0</v>
      </c>
      <c r="D1768" t="s">
        <v>23500</v>
      </c>
      <c r="E1768" t="s">
        <v>25267</v>
      </c>
    </row>
    <row r="1769" spans="1:5">
      <c r="A1769" t="s">
        <v>6</v>
      </c>
      <c r="B1769" t="s">
        <v>1774</v>
      </c>
      <c r="C1769">
        <f>HYPERLINK("C:\Users\franc\OneDrive\Documentos\MALENTIN KARIME\VTA. PROPIEDAD\2016\YANET PIZARRO Derechos.doc", "Abrir Documento")</f>
        <v>0</v>
      </c>
      <c r="D1769" t="s">
        <v>23500</v>
      </c>
      <c r="E1769" t="s">
        <v>25268</v>
      </c>
    </row>
    <row r="1770" spans="1:5">
      <c r="A1770" t="s">
        <v>6</v>
      </c>
      <c r="B1770" t="s">
        <v>1775</v>
      </c>
      <c r="C1770">
        <f>HYPERLINK("C:\Users\franc\OneDrive\Documentos\MALENTIN KARIME\VTA. PROPIEDAD\2016\VERNA ROJAS ARRAÑO Cony adm.doc", "Abrir Documento")</f>
        <v>0</v>
      </c>
      <c r="D1770" t="s">
        <v>23500</v>
      </c>
      <c r="E1770" t="s">
        <v>25269</v>
      </c>
    </row>
    <row r="1771" spans="1:5">
      <c r="A1771" t="s">
        <v>6</v>
      </c>
      <c r="B1771" t="s">
        <v>1776</v>
      </c>
      <c r="C1771">
        <f>HYPERLINK("C:\Users\franc\OneDrive\Documentos\MALENTIN KARIME\VTA. PROPIEDAD\2016\SUCESION VEGA ORDENES 2016.doc", "Abrir Documento")</f>
        <v>0</v>
      </c>
      <c r="D1771" t="s">
        <v>23500</v>
      </c>
      <c r="E1771" t="s">
        <v>25270</v>
      </c>
    </row>
    <row r="1772" spans="1:5">
      <c r="A1772" t="s">
        <v>6</v>
      </c>
      <c r="B1772" t="s">
        <v>1777</v>
      </c>
      <c r="C1772">
        <f>HYPERLINK("C:\Users\franc\OneDrive\Documentos\MALENTIN KARIME\VTA. PROPIEDAD\2016\SILVIA ROJAS ROJAS A MARIA ROJAS ROJAS Solteras.doc", "Abrir Documento")</f>
        <v>0</v>
      </c>
      <c r="D1772" t="s">
        <v>23500</v>
      </c>
      <c r="E1772" t="s">
        <v>25271</v>
      </c>
    </row>
    <row r="1773" spans="1:5">
      <c r="A1773" t="s">
        <v>6</v>
      </c>
      <c r="B1773" t="s">
        <v>1778</v>
      </c>
      <c r="C1773">
        <f>HYPERLINK("C:\Users\franc\OneDrive\Documentos\MALENTIN KARIME\VTA. PROPIEDAD\2016\SERGIO ARAYA ARAYA A Emilia Araya Alquinta solteras.doc", "Abrir Documento")</f>
        <v>0</v>
      </c>
      <c r="D1773" t="s">
        <v>23500</v>
      </c>
      <c r="E1773" t="s">
        <v>25272</v>
      </c>
    </row>
    <row r="1774" spans="1:5">
      <c r="A1774" t="s">
        <v>6</v>
      </c>
      <c r="B1774" t="s">
        <v>1779</v>
      </c>
      <c r="C1774">
        <f>HYPERLINK("C:\Users\franc\OneDrive\Documentos\MALENTIN KARIME\VTA. PROPIEDAD\2016\PEDRO CAMPOS RIVERA A Mireya Araya con poder.doc", "Abrir Documento")</f>
        <v>0</v>
      </c>
      <c r="D1774" t="s">
        <v>23500</v>
      </c>
      <c r="E1774" t="s">
        <v>25273</v>
      </c>
    </row>
    <row r="1775" spans="1:5">
      <c r="A1775" t="s">
        <v>6</v>
      </c>
      <c r="B1775" t="s">
        <v>1780</v>
      </c>
      <c r="C1775">
        <f>HYPERLINK("C:\Users\franc\OneDrive\Documentos\MALENTIN KARIME\VTA. PROPIEDAD\2016\OLIVIA SEGOVIA A Jose Alfaro Segovia.doc", "Abrir Documento")</f>
        <v>0</v>
      </c>
      <c r="D1775" t="s">
        <v>23500</v>
      </c>
      <c r="E1775" t="s">
        <v>25274</v>
      </c>
    </row>
    <row r="1776" spans="1:5">
      <c r="A1776" t="s">
        <v>6</v>
      </c>
      <c r="B1776" t="s">
        <v>1781</v>
      </c>
      <c r="C1776">
        <f>HYPERLINK("C:\Users\franc\OneDrive\Documentos\MALENTIN KARIME\VTA. PROPIEDAD\2016\NORMA RIVERA A BERLINDA OLIVARES Solteras.doc", "Abrir Documento")</f>
        <v>0</v>
      </c>
      <c r="D1776" t="s">
        <v>23500</v>
      </c>
      <c r="E1776" t="s">
        <v>25275</v>
      </c>
    </row>
    <row r="1777" spans="1:5">
      <c r="A1777" t="s">
        <v>6</v>
      </c>
      <c r="B1777" t="s">
        <v>1782</v>
      </c>
      <c r="C1777">
        <f>HYPERLINK("C:\Users\franc\OneDrive\Documentos\MALENTIN KARIME\VTA. PROPIEDAD\2016\MIGUELINA RODRIGUEZ DIAZ A Lady Cortes y otra.doc", "Abrir Documento")</f>
        <v>0</v>
      </c>
      <c r="D1777" t="s">
        <v>23500</v>
      </c>
      <c r="E1777" t="s">
        <v>25276</v>
      </c>
    </row>
    <row r="1778" spans="1:5">
      <c r="A1778" t="s">
        <v>6</v>
      </c>
      <c r="B1778" t="s">
        <v>1783</v>
      </c>
      <c r="C1778">
        <f>HYPERLINK("C:\Users\franc\OneDrive\Documentos\MALENTIN KARIME\VTA. PROPIEDAD\2016\MARLENE AGUILERA A ELVIRA PIZARRO Minuta.doc", "Abrir Documento")</f>
        <v>0</v>
      </c>
      <c r="D1778" t="s">
        <v>23500</v>
      </c>
      <c r="E1778" t="s">
        <v>25277</v>
      </c>
    </row>
    <row r="1779" spans="1:5">
      <c r="A1779" t="s">
        <v>6</v>
      </c>
      <c r="B1779" t="s">
        <v>1784</v>
      </c>
      <c r="C1779">
        <f>HYPERLINK("C:\Users\franc\OneDrive\Documentos\MALENTIN KARIME\VTA. PROPIEDAD\2016\MARCIA ARAYA PEREIRA A Lady Toro Minuta.doc", "Abrir Documento")</f>
        <v>0</v>
      </c>
      <c r="D1779" t="s">
        <v>23500</v>
      </c>
      <c r="E1779" t="s">
        <v>25278</v>
      </c>
    </row>
    <row r="1780" spans="1:5">
      <c r="A1780" t="s">
        <v>6</v>
      </c>
      <c r="B1780" t="s">
        <v>1785</v>
      </c>
      <c r="C1780">
        <f>HYPERLINK("C:\Users\franc\OneDrive\Documentos\MALENTIN KARIME\VTA. PROPIEDAD\2016\LUIS MALUENDA ROJAS A Katerine Segovia y otros SAG.doc", "Abrir Documento")</f>
        <v>0</v>
      </c>
      <c r="D1780" t="s">
        <v>23500</v>
      </c>
      <c r="E1780" t="s">
        <v>25279</v>
      </c>
    </row>
    <row r="1781" spans="1:5">
      <c r="A1781" t="s">
        <v>6</v>
      </c>
      <c r="B1781" t="s">
        <v>1786</v>
      </c>
      <c r="C1781">
        <f>HYPERLINK("C:\Users\franc\OneDrive\Documentos\MALENTIN KARIME\VTA. PROPIEDAD\2016\LUIS CAMPUSANO CODOCEO A Hugo Cortes.doc", "Abrir Documento")</f>
        <v>0</v>
      </c>
      <c r="D1781" t="s">
        <v>23500</v>
      </c>
      <c r="E1781" t="s">
        <v>25280</v>
      </c>
    </row>
    <row r="1782" spans="1:5">
      <c r="A1782" t="s">
        <v>6</v>
      </c>
      <c r="B1782" t="s">
        <v>1787</v>
      </c>
      <c r="C1782">
        <f>HYPERLINK("C:\Users\franc\OneDrive\Documentos\MALENTIN KARIME\VTA. PROPIEDAD\2016\JUAN CALLAJAN A GERMAN REBOLLEDO con poder.doc", "Abrir Documento")</f>
        <v>0</v>
      </c>
      <c r="D1782" t="s">
        <v>23500</v>
      </c>
      <c r="E1782" t="s">
        <v>25281</v>
      </c>
    </row>
    <row r="1783" spans="1:5">
      <c r="A1783" t="s">
        <v>6</v>
      </c>
      <c r="B1783" t="s">
        <v>1788</v>
      </c>
      <c r="C1783">
        <f>HYPERLINK("C:\Users\franc\OneDrive\Documentos\MALENTIN KARIME\VTA. PROPIEDAD\2016\JORGE ROBLES Cony adm.doc", "Abrir Documento")</f>
        <v>0</v>
      </c>
      <c r="D1783" t="s">
        <v>23500</v>
      </c>
      <c r="E1783" t="s">
        <v>25282</v>
      </c>
    </row>
    <row r="1784" spans="1:5">
      <c r="A1784" t="s">
        <v>6</v>
      </c>
      <c r="B1784" t="s">
        <v>1789</v>
      </c>
      <c r="C1784">
        <f>HYPERLINK("C:\Users\franc\OneDrive\Documentos\MALENTIN KARIME\VTA. PROPIEDAD\2016\JERONIMO ROJAS ARAYA Derechos.doc", "Abrir Documento")</f>
        <v>0</v>
      </c>
      <c r="D1784" t="s">
        <v>23500</v>
      </c>
      <c r="E1784" t="s">
        <v>25283</v>
      </c>
    </row>
    <row r="1785" spans="1:5">
      <c r="A1785" t="s">
        <v>6</v>
      </c>
      <c r="B1785" t="s">
        <v>1790</v>
      </c>
      <c r="C1785">
        <f>HYPERLINK("C:\Users\franc\OneDrive\Documentos\MALENTIN KARIME\VTA. PROPIEDAD\2016\JAQUELINE RIVERA REYES.doc", "Abrir Documento")</f>
        <v>0</v>
      </c>
      <c r="D1785" t="s">
        <v>23500</v>
      </c>
      <c r="E1785" t="s">
        <v>25284</v>
      </c>
    </row>
    <row r="1786" spans="1:5">
      <c r="A1786" t="s">
        <v>6</v>
      </c>
      <c r="B1786" t="s">
        <v>1791</v>
      </c>
      <c r="C1786">
        <f>HYPERLINK("C:\Users\franc\OneDrive\Documentos\MALENTIN KARIME\VTA. PROPIEDAD\2016\INES FABIOLA RIVERA CANIBILO Y OTROS 2016.doc", "Abrir Documento")</f>
        <v>0</v>
      </c>
      <c r="D1786" t="s">
        <v>23500</v>
      </c>
      <c r="E1786" t="s">
        <v>25285</v>
      </c>
    </row>
    <row r="1787" spans="1:5">
      <c r="A1787" t="s">
        <v>6</v>
      </c>
      <c r="B1787" t="s">
        <v>1792</v>
      </c>
      <c r="C1787">
        <f>HYPERLINK("C:\Users\franc\OneDrive\Documentos\MALENTIN KARIME\VTA. PROPIEDAD\2016\HILDA ORTIZ LUNA A Grimaldina Carmona Minuta.doc", "Abrir Documento")</f>
        <v>0</v>
      </c>
      <c r="D1787" t="s">
        <v>23500</v>
      </c>
      <c r="E1787" t="s">
        <v>25286</v>
      </c>
    </row>
    <row r="1788" spans="1:5">
      <c r="A1788" t="s">
        <v>6</v>
      </c>
      <c r="B1788" t="s">
        <v>1793</v>
      </c>
      <c r="C1788">
        <f>HYPERLINK("C:\Users\franc\OneDrive\Documentos\MALENTIN KARIME\VTA. PROPIEDAD\2016\HECTOR RIVERA A YANETT VENEGAS.doc", "Abrir Documento")</f>
        <v>0</v>
      </c>
      <c r="D1788" t="s">
        <v>23500</v>
      </c>
      <c r="E1788" t="s">
        <v>25287</v>
      </c>
    </row>
    <row r="1789" spans="1:5">
      <c r="A1789" t="s">
        <v>6</v>
      </c>
      <c r="B1789" t="s">
        <v>1794</v>
      </c>
      <c r="C1789">
        <f>HYPERLINK("C:\Users\franc\OneDrive\Documentos\MALENTIN KARIME\VTA. PROPIEDAD\2016\GUILLERMO ESPINOZA SEGOVIAvta con usufructo.doc", "Abrir Documento")</f>
        <v>0</v>
      </c>
      <c r="D1789" t="s">
        <v>23500</v>
      </c>
      <c r="E1789" t="s">
        <v>25288</v>
      </c>
    </row>
    <row r="1790" spans="1:5">
      <c r="A1790" t="s">
        <v>6</v>
      </c>
      <c r="B1790" t="s">
        <v>1795</v>
      </c>
      <c r="C1790">
        <f>HYPERLINK("C:\Users\franc\OneDrive\Documentos\MALENTIN KARIME\VTA. PROPIEDAD\2016\FRESIA DEL ROSARIO PARRA100 Derechos.doc", "Abrir Documento")</f>
        <v>0</v>
      </c>
      <c r="D1790" t="s">
        <v>23500</v>
      </c>
      <c r="E1790" t="s">
        <v>25289</v>
      </c>
    </row>
    <row r="1791" spans="1:5">
      <c r="A1791" t="s">
        <v>6</v>
      </c>
      <c r="B1791" t="s">
        <v>1796</v>
      </c>
      <c r="C1791">
        <f>HYPERLINK("C:\Users\franc\OneDrive\Documentos\MALENTIN KARIME\VTA. PROPIEDAD\2016\FRANCISCO RIVERA A OMAR MOYA Minuta G Rodr.doc", "Abrir Documento")</f>
        <v>0</v>
      </c>
      <c r="D1791" t="s">
        <v>23500</v>
      </c>
      <c r="E1791" t="s">
        <v>25290</v>
      </c>
    </row>
    <row r="1792" spans="1:5">
      <c r="A1792" t="s">
        <v>6</v>
      </c>
      <c r="B1792" t="s">
        <v>1797</v>
      </c>
      <c r="C1792">
        <f>HYPERLINK("C:\Users\franc\OneDrive\Documentos\MALENTIN KARIME\VTA. PROPIEDAD\2016\ELENA CORTES ALVAREZ A Elena Cortés.doc", "Abrir Documento")</f>
        <v>0</v>
      </c>
      <c r="D1792" t="s">
        <v>23500</v>
      </c>
      <c r="E1792" t="s">
        <v>25291</v>
      </c>
    </row>
    <row r="1793" spans="1:5">
      <c r="A1793" t="s">
        <v>6</v>
      </c>
      <c r="B1793" t="s">
        <v>1798</v>
      </c>
      <c r="C1793">
        <f>HYPERLINK("C:\Users\franc\OneDrive\Documentos\MALENTIN KARIME\VTA. PROPIEDAD\2016\EDGAR IBACETA A Alex Fiorentino.doc", "Abrir Documento")</f>
        <v>0</v>
      </c>
      <c r="D1793" t="s">
        <v>23500</v>
      </c>
      <c r="E1793" t="s">
        <v>25292</v>
      </c>
    </row>
    <row r="1794" spans="1:5">
      <c r="A1794" t="s">
        <v>6</v>
      </c>
      <c r="B1794" t="s">
        <v>1799</v>
      </c>
      <c r="C1794">
        <f>HYPERLINK("C:\Users\franc\OneDrive\Documentos\MALENTIN KARIME\VTA. PROPIEDAD\2016\CECILIA GONZALEZ Y OTRA A Dario Gonzalez derechos.doc", "Abrir Documento")</f>
        <v>0</v>
      </c>
      <c r="D1794" t="s">
        <v>23500</v>
      </c>
      <c r="E1794" t="s">
        <v>25293</v>
      </c>
    </row>
    <row r="1795" spans="1:5">
      <c r="A1795" t="s">
        <v>6</v>
      </c>
      <c r="B1795" t="s">
        <v>1800</v>
      </c>
      <c r="C1795">
        <f>HYPERLINK("C:\Users\franc\OneDrive\Documentos\MALENTIN KARIME\VTA. PROPIEDAD\2016\BENJAMIN BAEZA A Miriam Velasquez.doc", "Abrir Documento")</f>
        <v>0</v>
      </c>
      <c r="D1795" t="s">
        <v>23500</v>
      </c>
      <c r="E1795" t="s">
        <v>25294</v>
      </c>
    </row>
    <row r="1796" spans="1:5">
      <c r="A1796" t="s">
        <v>6</v>
      </c>
      <c r="B1796" t="s">
        <v>1801</v>
      </c>
      <c r="C1796">
        <f>HYPERLINK("C:\Users\franc\OneDrive\Documentos\MALENTIN KARIME\VTA. PROPIEDAD\2016\BALTAZAR RAMIREZ ARAYA A sonia salazar (minuta).doc", "Abrir Documento")</f>
        <v>0</v>
      </c>
      <c r="D1796" t="s">
        <v>23500</v>
      </c>
      <c r="E1796" t="s">
        <v>25295</v>
      </c>
    </row>
    <row r="1797" spans="1:5">
      <c r="A1797" t="s">
        <v>6</v>
      </c>
      <c r="B1797" t="s">
        <v>1802</v>
      </c>
      <c r="C1797">
        <f>HYPERLINK("C:\Users\franc\OneDrive\Documentos\MALENTIN KARIME\VTA. PROPIEDAD\2016\ALAN MARIN A Michael López Minuta.doc", "Abrir Documento")</f>
        <v>0</v>
      </c>
      <c r="D1797" t="s">
        <v>23500</v>
      </c>
      <c r="E1797" t="s">
        <v>25296</v>
      </c>
    </row>
    <row r="1798" spans="1:5">
      <c r="A1798" t="s">
        <v>6</v>
      </c>
      <c r="B1798" t="s">
        <v>1803</v>
      </c>
      <c r="C1798">
        <f>HYPERLINK("C:\Users\franc\OneDrive\Documentos\MALENTIN KARIME\VTA. PROPIEDAD\2015\ZAPATA TREVERTON.doc", "Abrir Documento")</f>
        <v>0</v>
      </c>
      <c r="D1798" t="s">
        <v>23500</v>
      </c>
      <c r="E1798" t="s">
        <v>25297</v>
      </c>
    </row>
    <row r="1799" spans="1:5">
      <c r="A1799" t="s">
        <v>6</v>
      </c>
      <c r="B1799" t="s">
        <v>1804</v>
      </c>
      <c r="C1799">
        <f>HYPERLINK("C:\Users\franc\OneDrive\Documentos\MALENTIN KARIME\VTA. PROPIEDAD\2015\YOLANDA CONTRERAS A Orlando y otro.doc", "Abrir Documento")</f>
        <v>0</v>
      </c>
      <c r="D1799" t="s">
        <v>23500</v>
      </c>
      <c r="E1799" t="s">
        <v>25298</v>
      </c>
    </row>
    <row r="1800" spans="1:5">
      <c r="A1800" t="s">
        <v>6</v>
      </c>
      <c r="B1800" t="s">
        <v>1805</v>
      </c>
      <c r="C1800">
        <f>HYPERLINK("C:\Users\franc\OneDrive\Documentos\MALENTIN KARIME\VTA. PROPIEDAD\2015\YOLANDA CONTRERAS A  REGINA CONTRERAS  y otrodoc.doc", "Abrir Documento")</f>
        <v>0</v>
      </c>
      <c r="D1800" t="s">
        <v>23500</v>
      </c>
      <c r="E1800" t="s">
        <v>25299</v>
      </c>
    </row>
    <row r="1801" spans="1:5">
      <c r="A1801" t="s">
        <v>6</v>
      </c>
      <c r="B1801" t="s">
        <v>1806</v>
      </c>
      <c r="C1801">
        <f>HYPERLINK("C:\Users\franc\OneDrive\Documentos\MALENTIN KARIME\VTA. PROPIEDAD\2015\VICTOR GARCIA A MABEL RAMIREZ sotleros.doc", "Abrir Documento")</f>
        <v>0</v>
      </c>
      <c r="D1801" t="s">
        <v>23500</v>
      </c>
      <c r="E1801" t="s">
        <v>25300</v>
      </c>
    </row>
    <row r="1802" spans="1:5">
      <c r="A1802" t="s">
        <v>6</v>
      </c>
      <c r="B1802" t="s">
        <v>1807</v>
      </c>
      <c r="C1802">
        <f>HYPERLINK("C:\Users\franc\OneDrive\Documentos\MALENTIN KARIME\VTA. PROPIEDAD\2015\SUSANA DIAZ ASTUDILLO Subdivision.doc", "Abrir Documento")</f>
        <v>0</v>
      </c>
      <c r="D1802" t="s">
        <v>23500</v>
      </c>
      <c r="E1802" t="s">
        <v>25301</v>
      </c>
    </row>
    <row r="1803" spans="1:5">
      <c r="A1803" t="s">
        <v>6</v>
      </c>
      <c r="B1803" t="s">
        <v>1808</v>
      </c>
      <c r="C1803">
        <f>HYPERLINK("C:\Users\franc\OneDrive\Documentos\MALENTIN KARIME\VTA. PROPIEDAD\2015\SUFANG WONG FONTECILLA A Hipolito Fernández viudo a casado.doc", "Abrir Documento")</f>
        <v>0</v>
      </c>
      <c r="D1803" t="s">
        <v>23500</v>
      </c>
      <c r="E1803" t="s">
        <v>25302</v>
      </c>
    </row>
    <row r="1804" spans="1:5">
      <c r="A1804" t="s">
        <v>6</v>
      </c>
      <c r="B1804" t="s">
        <v>1809</v>
      </c>
      <c r="C1804">
        <f>HYPERLINK("C:\Users\franc\OneDrive\Documentos\MALENTIN KARIME\VTA. PROPIEDAD\2015\SUCESION PARRA CISTERNAS Con agua.doc", "Abrir Documento")</f>
        <v>0</v>
      </c>
      <c r="D1804" t="s">
        <v>23500</v>
      </c>
      <c r="E1804" t="s">
        <v>25303</v>
      </c>
    </row>
    <row r="1805" spans="1:5">
      <c r="A1805" t="s">
        <v>6</v>
      </c>
      <c r="B1805" t="s">
        <v>1810</v>
      </c>
      <c r="C1805">
        <f>HYPERLINK("C:\Users\franc\OneDrive\Documentos\MALENTIN KARIME\VTA. PROPIEDAD\2015\SUCESION ORELLANA ARAYA.doc", "Abrir Documento")</f>
        <v>0</v>
      </c>
      <c r="D1805" t="s">
        <v>23500</v>
      </c>
      <c r="E1805" t="s">
        <v>25304</v>
      </c>
    </row>
    <row r="1806" spans="1:5">
      <c r="A1806" t="s">
        <v>6</v>
      </c>
      <c r="B1806" t="s">
        <v>1811</v>
      </c>
      <c r="C1806">
        <f>HYPERLINK("C:\Users\franc\OneDrive\Documentos\MALENTIN KARIME\VTA. PROPIEDAD\2015\SUCESION MALEBRAN Mayo 2015.doc", "Abrir Documento")</f>
        <v>0</v>
      </c>
      <c r="D1806" t="s">
        <v>23500</v>
      </c>
      <c r="E1806" t="s">
        <v>25305</v>
      </c>
    </row>
    <row r="1807" spans="1:5">
      <c r="A1807" t="s">
        <v>6</v>
      </c>
      <c r="B1807" t="s">
        <v>1812</v>
      </c>
      <c r="C1807">
        <f>HYPERLINK("C:\Users\franc\OneDrive\Documentos\MALENTIN KARIME\VTA. PROPIEDAD\2015\SUCESION ESPINOSA BUGUEÑO100 Derechos.doc", "Abrir Documento")</f>
        <v>0</v>
      </c>
      <c r="D1807" t="s">
        <v>23500</v>
      </c>
      <c r="E1807" t="s">
        <v>25306</v>
      </c>
    </row>
    <row r="1808" spans="1:5">
      <c r="A1808" t="s">
        <v>6</v>
      </c>
      <c r="B1808" t="s">
        <v>1813</v>
      </c>
      <c r="C1808">
        <f>HYPERLINK("C:\Users\franc\OneDrive\Documentos\MALENTIN KARIME\VTA. PROPIEDAD\2015\SUCESION CORTES DIAZ.doc", "Abrir Documento")</f>
        <v>0</v>
      </c>
      <c r="D1808" t="s">
        <v>23500</v>
      </c>
      <c r="E1808" t="s">
        <v>25307</v>
      </c>
    </row>
    <row r="1809" spans="1:5">
      <c r="A1809" t="s">
        <v>6</v>
      </c>
      <c r="B1809" t="s">
        <v>1814</v>
      </c>
      <c r="C1809">
        <f>HYPERLINK("C:\Users\franc\OneDrive\Documentos\MALENTIN KARIME\VTA. PROPIEDAD\2015\SUCESION CONTRERAS compra para.doc", "Abrir Documento")</f>
        <v>0</v>
      </c>
      <c r="D1809" t="s">
        <v>23500</v>
      </c>
      <c r="E1809" t="s">
        <v>25308</v>
      </c>
    </row>
    <row r="1810" spans="1:5">
      <c r="A1810" t="s">
        <v>6</v>
      </c>
      <c r="B1810" t="s">
        <v>1815</v>
      </c>
      <c r="C1810">
        <f>HYPERLINK("C:\Users\franc\OneDrive\Documentos\MALENTIN KARIME\VTA. PROPIEDAD\2015\SUCESION CONTRERAS compra para final.doc", "Abrir Documento")</f>
        <v>0</v>
      </c>
      <c r="D1810" t="s">
        <v>23500</v>
      </c>
      <c r="E1810" t="s">
        <v>25309</v>
      </c>
    </row>
    <row r="1811" spans="1:5">
      <c r="A1811" t="s">
        <v>6</v>
      </c>
      <c r="B1811" t="s">
        <v>1816</v>
      </c>
      <c r="C1811">
        <f>HYPERLINK("C:\Users\franc\OneDrive\Documentos\MALENTIN KARIME\VTA. PROPIEDAD\2015\SUCESION ARAYA ROJAS.doc", "Abrir Documento")</f>
        <v>0</v>
      </c>
      <c r="D1811" t="s">
        <v>23500</v>
      </c>
      <c r="E1811" t="s">
        <v>25310</v>
      </c>
    </row>
    <row r="1812" spans="1:5">
      <c r="A1812" t="s">
        <v>6</v>
      </c>
      <c r="B1812" t="s">
        <v>1817</v>
      </c>
      <c r="C1812">
        <f>HYPERLINK("C:\Users\franc\OneDrive\Documentos\MALENTIN KARIME\VTA. PROPIEDAD\2015\SEGISFREDO LEON VELIZ a Ana Echanez 2015.doc", "Abrir Documento")</f>
        <v>0</v>
      </c>
      <c r="D1812" t="s">
        <v>23500</v>
      </c>
      <c r="E1812" t="s">
        <v>25311</v>
      </c>
    </row>
    <row r="1813" spans="1:5">
      <c r="A1813" t="s">
        <v>6</v>
      </c>
      <c r="B1813" t="s">
        <v>1818</v>
      </c>
      <c r="C1813">
        <f>HYPERLINK("C:\Users\franc\OneDrive\Documentos\MALENTIN KARIME\VTA. PROPIEDAD\2015\SEGISFREDO LEON VELIZ a Ana Echanez 2015 minuta.doc", "Abrir Documento")</f>
        <v>0</v>
      </c>
      <c r="D1813" t="s">
        <v>23500</v>
      </c>
      <c r="E1813" t="s">
        <v>25312</v>
      </c>
    </row>
    <row r="1814" spans="1:5">
      <c r="A1814" t="s">
        <v>6</v>
      </c>
      <c r="B1814" t="s">
        <v>1819</v>
      </c>
      <c r="C1814">
        <f>HYPERLINK("C:\Users\franc\OneDrive\Documentos\MALENTIN KARIME\VTA. PROPIEDAD\2015\SAMUEL TAPIA TAPIA A WILSON FLORES.doc", "Abrir Documento")</f>
        <v>0</v>
      </c>
      <c r="D1814" t="s">
        <v>23500</v>
      </c>
      <c r="E1814" t="s">
        <v>25313</v>
      </c>
    </row>
    <row r="1815" spans="1:5">
      <c r="A1815" t="s">
        <v>6</v>
      </c>
      <c r="B1815" t="s">
        <v>1820</v>
      </c>
      <c r="C1815">
        <f>HYPERLINK("C:\Users\franc\OneDrive\Documentos\MALENTIN KARIME\VTA. PROPIEDAD\2015\ROXANA RIVERA ARABENA A MYRIAM RIVERA poder compra.doc", "Abrir Documento")</f>
        <v>0</v>
      </c>
      <c r="D1815" t="s">
        <v>23500</v>
      </c>
      <c r="E1815" t="s">
        <v>25314</v>
      </c>
    </row>
    <row r="1816" spans="1:5">
      <c r="A1816" t="s">
        <v>6</v>
      </c>
      <c r="B1816" t="s">
        <v>1821</v>
      </c>
      <c r="C1816">
        <f>HYPERLINK("C:\Users\franc\OneDrive\Documentos\MALENTIN KARIME\VTA. PROPIEDAD\2015\ROMELIO ROBLES CARVAJAL Art 150.doc", "Abrir Documento")</f>
        <v>0</v>
      </c>
      <c r="D1816" t="s">
        <v>23500</v>
      </c>
      <c r="E1816" t="s">
        <v>25315</v>
      </c>
    </row>
    <row r="1817" spans="1:5">
      <c r="A1817" t="s">
        <v>6</v>
      </c>
      <c r="B1817" t="s">
        <v>1822</v>
      </c>
      <c r="C1817">
        <f>HYPERLINK("C:\Users\franc\OneDrive\Documentos\MALENTIN KARIME\VTA. PROPIEDAD\2015\RODRIGO DE CASACUBERTA a JOSE CARVAJAL.doc", "Abrir Documento")</f>
        <v>0</v>
      </c>
      <c r="D1817" t="s">
        <v>23500</v>
      </c>
      <c r="E1817" t="s">
        <v>25316</v>
      </c>
    </row>
    <row r="1818" spans="1:5">
      <c r="A1818" t="s">
        <v>6</v>
      </c>
      <c r="B1818" t="s">
        <v>1823</v>
      </c>
      <c r="C1818">
        <f>HYPERLINK("C:\Users\franc\OneDrive\Documentos\MALENTIN KARIME\VTA. PROPIEDAD\2015\RENE TELLO A ALFREDO VALDIVIA.doc", "Abrir Documento")</f>
        <v>0</v>
      </c>
      <c r="D1818" t="s">
        <v>23500</v>
      </c>
      <c r="E1818" t="s">
        <v>25317</v>
      </c>
    </row>
    <row r="1819" spans="1:5">
      <c r="A1819" t="s">
        <v>6</v>
      </c>
      <c r="B1819" t="s">
        <v>1824</v>
      </c>
      <c r="C1819">
        <f>HYPERLINK("C:\Users\franc\OneDrive\Documentos\MALENTIN KARIME\VTA. PROPIEDAD\2015\PATRICIO GARCIA ALFARO A Haydee Torres Cony autoriza.doc", "Abrir Documento")</f>
        <v>0</v>
      </c>
      <c r="D1819" t="s">
        <v>23500</v>
      </c>
      <c r="E1819" t="s">
        <v>25318</v>
      </c>
    </row>
    <row r="1820" spans="1:5">
      <c r="A1820" t="s">
        <v>6</v>
      </c>
      <c r="B1820" t="s">
        <v>1825</v>
      </c>
      <c r="C1820">
        <f>HYPERLINK("C:\Users\franc\OneDrive\Documentos\MALENTIN KARIME\VTA. PROPIEDAD\2015\OSVALDO PARRA A GILDA PARRA.doc", "Abrir Documento")</f>
        <v>0</v>
      </c>
      <c r="D1820" t="s">
        <v>23500</v>
      </c>
      <c r="E1820" t="s">
        <v>25319</v>
      </c>
    </row>
    <row r="1821" spans="1:5">
      <c r="A1821" t="s">
        <v>6</v>
      </c>
      <c r="B1821" t="s">
        <v>1826</v>
      </c>
      <c r="C1821">
        <f>HYPERLINK("C:\Users\franc\OneDrive\Documentos\MALENTIN KARIME\VTA. PROPIEDAD\2015\OSCAR TAIBA ORELLANA A Jaime GonzàlezProh.Legal.doc", "Abrir Documento")</f>
        <v>0</v>
      </c>
      <c r="D1821" t="s">
        <v>23500</v>
      </c>
      <c r="E1821" t="s">
        <v>25320</v>
      </c>
    </row>
    <row r="1822" spans="1:5">
      <c r="A1822" t="s">
        <v>6</v>
      </c>
      <c r="B1822" t="s">
        <v>1827</v>
      </c>
      <c r="C1822">
        <f>HYPERLINK("C:\Users\franc\OneDrive\Documentos\MALENTIN KARIME\VTA. PROPIEDAD\2015\NILO PIZARRO SALAZAR A Valeska Pizarro y otro usufructo.doc", "Abrir Documento")</f>
        <v>0</v>
      </c>
      <c r="D1822" t="s">
        <v>23500</v>
      </c>
      <c r="E1822" t="s">
        <v>25321</v>
      </c>
    </row>
    <row r="1823" spans="1:5">
      <c r="A1823" t="s">
        <v>6</v>
      </c>
      <c r="B1823" t="s">
        <v>1828</v>
      </c>
      <c r="C1823">
        <f>HYPERLINK("C:\Users\franc\OneDrive\Documentos\MALENTIN KARIME\VTA. PROPIEDAD\2015\NELSO MUÑOZ ROSEL A Miguel Tapia Cony autoriza.doc", "Abrir Documento")</f>
        <v>0</v>
      </c>
      <c r="D1823" t="s">
        <v>23500</v>
      </c>
      <c r="E1823" t="s">
        <v>25322</v>
      </c>
    </row>
    <row r="1824" spans="1:5">
      <c r="A1824" t="s">
        <v>6</v>
      </c>
      <c r="B1824" t="s">
        <v>1829</v>
      </c>
      <c r="C1824">
        <f>HYPERLINK("C:\Users\franc\OneDrive\Documentos\MALENTIN KARIME\VTA. PROPIEDAD\2015\NANCY MERCADO RIVERA borrador.doc", "Abrir Documento")</f>
        <v>0</v>
      </c>
      <c r="D1824" t="s">
        <v>23500</v>
      </c>
      <c r="E1824" t="s">
        <v>25323</v>
      </c>
    </row>
    <row r="1825" spans="1:5">
      <c r="A1825" t="s">
        <v>6</v>
      </c>
      <c r="B1825" t="s">
        <v>1830</v>
      </c>
      <c r="C1825">
        <f>HYPERLINK("C:\Users\franc\OneDrive\Documentos\MALENTIN KARIME\VTA. PROPIEDAD\2015\NANCY MERCADO RIVERA A Clemente Fuentealba.doc", "Abrir Documento")</f>
        <v>0</v>
      </c>
      <c r="D1825" t="s">
        <v>23500</v>
      </c>
      <c r="E1825" t="s">
        <v>25324</v>
      </c>
    </row>
    <row r="1826" spans="1:5">
      <c r="A1826" t="s">
        <v>6</v>
      </c>
      <c r="B1826" t="s">
        <v>1831</v>
      </c>
      <c r="C1826">
        <f>HYPERLINK("C:\Users\franc\OneDrive\Documentos\MALENTIN KARIME\VTA. PROPIEDAD\2015\MISAEL GONZALEZ A JERY SIERRA Solteros.doc", "Abrir Documento")</f>
        <v>0</v>
      </c>
      <c r="D1826" t="s">
        <v>23500</v>
      </c>
      <c r="E1826" t="s">
        <v>25325</v>
      </c>
    </row>
    <row r="1827" spans="1:5">
      <c r="A1827" t="s">
        <v>6</v>
      </c>
      <c r="B1827" t="s">
        <v>1832</v>
      </c>
      <c r="C1827">
        <f>HYPERLINK("C:\Users\franc\OneDrive\Documentos\MALENTIN KARIME\VTA. PROPIEDAD\2015\MISAEL ARAYA A Laura Guerrero100 Derechos.doc", "Abrir Documento")</f>
        <v>0</v>
      </c>
      <c r="D1827" t="s">
        <v>23500</v>
      </c>
      <c r="E1827" t="s">
        <v>25326</v>
      </c>
    </row>
    <row r="1828" spans="1:5">
      <c r="A1828" t="s">
        <v>6</v>
      </c>
      <c r="B1828" t="s">
        <v>1833</v>
      </c>
      <c r="C1828">
        <f>HYPERLINK("C:\Users\franc\OneDrive\Documentos\MALENTIN KARIME\VTA. PROPIEDAD\2015\MIRIAM ADONES A Carmen Roja Conyuge Administrador.doc", "Abrir Documento")</f>
        <v>0</v>
      </c>
      <c r="D1828" t="s">
        <v>23500</v>
      </c>
      <c r="E1828" t="s">
        <v>25327</v>
      </c>
    </row>
    <row r="1829" spans="1:5">
      <c r="A1829" t="s">
        <v>6</v>
      </c>
      <c r="B1829" t="s">
        <v>1834</v>
      </c>
      <c r="C1829">
        <f>HYPERLINK("C:\Users\franc\OneDrive\Documentos\MALENTIN KARIME\VTA. PROPIEDAD\2015\MARTA NORA HUERTA.doc", "Abrir Documento")</f>
        <v>0</v>
      </c>
      <c r="D1829" t="s">
        <v>23500</v>
      </c>
      <c r="E1829" t="s">
        <v>25328</v>
      </c>
    </row>
    <row r="1830" spans="1:5">
      <c r="A1830" t="s">
        <v>6</v>
      </c>
      <c r="B1830" t="s">
        <v>1835</v>
      </c>
      <c r="C1830">
        <f>HYPERLINK("C:\Users\franc\OneDrive\Documentos\MALENTIN KARIME\VTA. PROPIEDAD\2015\MARIO GARCIA A ARINDA VENEGAS Cony autoriza.doc", "Abrir Documento")</f>
        <v>0</v>
      </c>
      <c r="D1830" t="s">
        <v>23500</v>
      </c>
      <c r="E1830" t="s">
        <v>25329</v>
      </c>
    </row>
    <row r="1831" spans="1:5">
      <c r="A1831" t="s">
        <v>6</v>
      </c>
      <c r="B1831" t="s">
        <v>1836</v>
      </c>
      <c r="C1831">
        <f>HYPERLINK("C:\Users\franc\OneDrive\Documentos\MALENTIN KARIME\VTA. PROPIEDAD\2015\MARIANO GONZALEZ A MARGARITA GONZALEZDerechos.doc", "Abrir Documento")</f>
        <v>0</v>
      </c>
      <c r="D1831" t="s">
        <v>23500</v>
      </c>
      <c r="E1831" t="s">
        <v>25330</v>
      </c>
    </row>
    <row r="1832" spans="1:5">
      <c r="A1832" t="s">
        <v>6</v>
      </c>
      <c r="B1832" t="s">
        <v>1837</v>
      </c>
      <c r="C1832">
        <f>HYPERLINK("C:\Users\franc\OneDrive\Documentos\MALENTIN KARIME\VTA. PROPIEDAD\2015\MARIA RODRIGUEZ PIZARRO A HECTOR URIBE Cony autoriza adm.doc", "Abrir Documento")</f>
        <v>0</v>
      </c>
      <c r="D1832" t="s">
        <v>23500</v>
      </c>
      <c r="E1832" t="s">
        <v>25331</v>
      </c>
    </row>
    <row r="1833" spans="1:5">
      <c r="A1833" t="s">
        <v>6</v>
      </c>
      <c r="B1833" t="s">
        <v>1838</v>
      </c>
      <c r="C1833">
        <f>HYPERLINK("C:\Users\franc\OneDrive\Documentos\MALENTIN KARIME\VTA. PROPIEDAD\2015\MARIA CORTES CORTES A Sandra Soria.doc", "Abrir Documento")</f>
        <v>0</v>
      </c>
      <c r="D1833" t="s">
        <v>23500</v>
      </c>
      <c r="E1833" t="s">
        <v>25332</v>
      </c>
    </row>
    <row r="1834" spans="1:5">
      <c r="A1834" t="s">
        <v>6</v>
      </c>
      <c r="B1834" t="s">
        <v>1839</v>
      </c>
      <c r="C1834">
        <f>HYPERLINK("C:\Users\franc\OneDrive\Documentos\MALENTIN KARIME\VTA. PROPIEDAD\2015\LUISA EGEA VERGARA.doc", "Abrir Documento")</f>
        <v>0</v>
      </c>
      <c r="D1834" t="s">
        <v>23500</v>
      </c>
      <c r="E1834" t="s">
        <v>25333</v>
      </c>
    </row>
    <row r="1835" spans="1:5">
      <c r="A1835" t="s">
        <v>6</v>
      </c>
      <c r="B1835" t="s">
        <v>1840</v>
      </c>
      <c r="C1835">
        <f>HYPERLINK("C:\Users\franc\OneDrive\Documentos\MALENTIN KARIME\VTA. PROPIEDAD\2015\LUIS CHANDIA  A Julio Barahona Derechos.doc", "Abrir Documento")</f>
        <v>0</v>
      </c>
      <c r="D1835" t="s">
        <v>23500</v>
      </c>
      <c r="E1835" t="s">
        <v>25334</v>
      </c>
    </row>
    <row r="1836" spans="1:5">
      <c r="A1836" t="s">
        <v>6</v>
      </c>
      <c r="B1836" t="s">
        <v>1841</v>
      </c>
      <c r="C1836">
        <f>HYPERLINK("C:\Users\franc\OneDrive\Documentos\MALENTIN KARIME\VTA. PROPIEDAD\2015\LUIS ALBERTO GODOY GODOY  Y OTROvta con usufructo.doc", "Abrir Documento")</f>
        <v>0</v>
      </c>
      <c r="D1836" t="s">
        <v>23500</v>
      </c>
      <c r="E1836" t="s">
        <v>25335</v>
      </c>
    </row>
    <row r="1837" spans="1:5">
      <c r="A1837" t="s">
        <v>6</v>
      </c>
      <c r="B1837" t="s">
        <v>1842</v>
      </c>
      <c r="C1837">
        <f>HYPERLINK("C:\Users\franc\OneDrive\Documentos\MALENTIN KARIME\VTA. PROPIEDAD\2015\JULIO MUÑOZ VELASQUEZ A MANOLO TABILO SUBDIV SAG.doc", "Abrir Documento")</f>
        <v>0</v>
      </c>
      <c r="D1837" t="s">
        <v>23500</v>
      </c>
      <c r="E1837" t="s">
        <v>25336</v>
      </c>
    </row>
    <row r="1838" spans="1:5">
      <c r="A1838" t="s">
        <v>6</v>
      </c>
      <c r="B1838" t="s">
        <v>1843</v>
      </c>
      <c r="C1838">
        <f>HYPERLINK("C:\Users\franc\OneDrive\Documentos\MALENTIN KARIME\VTA. PROPIEDAD\2015\JULIO HENRIQUEZ JEVEZ A Pamela Benavente.doc", "Abrir Documento")</f>
        <v>0</v>
      </c>
      <c r="D1838" t="s">
        <v>23500</v>
      </c>
      <c r="E1838" t="s">
        <v>25337</v>
      </c>
    </row>
    <row r="1839" spans="1:5">
      <c r="A1839" t="s">
        <v>6</v>
      </c>
      <c r="B1839" t="s">
        <v>1844</v>
      </c>
      <c r="C1839">
        <f>HYPERLINK("C:\Users\franc\OneDrive\Documentos\MALENTIN KARIME\VTA. PROPIEDAD\2015\JUAN VARAS ARAYA A Marcos Moya CON CONYUGE.doc", "Abrir Documento")</f>
        <v>0</v>
      </c>
      <c r="D1839" t="s">
        <v>23500</v>
      </c>
      <c r="E1839" t="s">
        <v>25338</v>
      </c>
    </row>
    <row r="1840" spans="1:5">
      <c r="A1840" t="s">
        <v>6</v>
      </c>
      <c r="B1840" t="s">
        <v>1845</v>
      </c>
      <c r="C1840">
        <f>HYPERLINK("C:\Users\franc\OneDrive\Documentos\MALENTIN KARIME\VTA. PROPIEDAD\2015\JUAN MORALES TELLO Subdivision SAG.doc", "Abrir Documento")</f>
        <v>0</v>
      </c>
      <c r="D1840" t="s">
        <v>23500</v>
      </c>
      <c r="E1840" t="s">
        <v>25339</v>
      </c>
    </row>
    <row r="1841" spans="1:5">
      <c r="A1841" t="s">
        <v>6</v>
      </c>
      <c r="B1841" t="s">
        <v>1846</v>
      </c>
      <c r="C1841">
        <f>HYPERLINK("C:\Users\franc\OneDrive\Documentos\MALENTIN KARIME\VTA. PROPIEDAD\2015\JUAN DIAZ CORTES A  VICTOR VEGA Cony autoriza.doc", "Abrir Documento")</f>
        <v>0</v>
      </c>
      <c r="D1841" t="s">
        <v>23500</v>
      </c>
      <c r="E1841" t="s">
        <v>25340</v>
      </c>
    </row>
    <row r="1842" spans="1:5">
      <c r="A1842" t="s">
        <v>6</v>
      </c>
      <c r="B1842" t="s">
        <v>1847</v>
      </c>
      <c r="C1842">
        <f>HYPERLINK("C:\Users\franc\OneDrive\Documentos\MALENTIN KARIME\VTA. PROPIEDAD\2015\JUAN CODOCEO CAMPUSANO 2 prop.doc", "Abrir Documento")</f>
        <v>0</v>
      </c>
      <c r="D1842" t="s">
        <v>23500</v>
      </c>
      <c r="E1842" t="s">
        <v>25341</v>
      </c>
    </row>
    <row r="1843" spans="1:5">
      <c r="A1843" t="s">
        <v>6</v>
      </c>
      <c r="B1843" t="s">
        <v>1848</v>
      </c>
      <c r="C1843">
        <f>HYPERLINK("C:\Users\franc\OneDrive\Documentos\MALENTIN KARIME\VTA. PROPIEDAD\2015\JACQUELINE ROJAS A EDUARDO ARAYA vta con usufructo.doc", "Abrir Documento")</f>
        <v>0</v>
      </c>
      <c r="D1843" t="s">
        <v>23500</v>
      </c>
      <c r="E1843" t="s">
        <v>25342</v>
      </c>
    </row>
    <row r="1844" spans="1:5">
      <c r="A1844" t="s">
        <v>6</v>
      </c>
      <c r="B1844" t="s">
        <v>1849</v>
      </c>
      <c r="C1844">
        <f>HYPERLINK("C:\Users\franc\OneDrive\Documentos\MALENTIN KARIME\VTA. PROPIEDAD\2015\Ismael Layana a Melinda Carvajal.doc", "Abrir Documento")</f>
        <v>0</v>
      </c>
      <c r="D1844" t="s">
        <v>23500</v>
      </c>
      <c r="E1844" t="s">
        <v>25343</v>
      </c>
    </row>
    <row r="1845" spans="1:5">
      <c r="A1845" t="s">
        <v>6</v>
      </c>
      <c r="B1845" t="s">
        <v>1850</v>
      </c>
      <c r="C1845">
        <f>HYPERLINK("C:\Users\franc\OneDrive\Documentos\MALENTIN KARIME\VTA. PROPIEDAD\2015\INES OLIVARES ARAYA Y OTROS A Edith Gomez Sucesio´n.doc", "Abrir Documento")</f>
        <v>0</v>
      </c>
      <c r="D1845" t="s">
        <v>23500</v>
      </c>
      <c r="E1845" t="s">
        <v>25344</v>
      </c>
    </row>
    <row r="1846" spans="1:5">
      <c r="A1846" t="s">
        <v>6</v>
      </c>
      <c r="B1846" t="s">
        <v>1851</v>
      </c>
      <c r="C1846">
        <f>HYPERLINK("C:\Users\franc\OneDrive\Documentos\MALENTIN KARIME\VTA. PROPIEDAD\2015\INES FABIOLA RIVERA CANIBILO Y OTROS.doc", "Abrir Documento")</f>
        <v>0</v>
      </c>
      <c r="D1846" t="s">
        <v>23500</v>
      </c>
      <c r="E1846" t="s">
        <v>25345</v>
      </c>
    </row>
    <row r="1847" spans="1:5">
      <c r="A1847" t="s">
        <v>6</v>
      </c>
      <c r="B1847" t="s">
        <v>1852</v>
      </c>
      <c r="C1847">
        <f>HYPERLINK("C:\Users\franc\OneDrive\Documentos\MALENTIN KARIME\VTA. PROPIEDAD\2015\INES FABIOLA RIVERA CANIBILO Y OTROS borrador.doc", "Abrir Documento")</f>
        <v>0</v>
      </c>
      <c r="D1847" t="s">
        <v>23500</v>
      </c>
      <c r="E1847" t="s">
        <v>25346</v>
      </c>
    </row>
    <row r="1848" spans="1:5">
      <c r="A1848" t="s">
        <v>6</v>
      </c>
      <c r="B1848" t="s">
        <v>1853</v>
      </c>
      <c r="C1848">
        <f>HYPERLINK("C:\Users\franc\OneDrive\Documentos\MALENTIN KARIME\VTA. PROPIEDAD\2015\IBAR CASTRO A COMITE VIOLETA PARRA.doc", "Abrir Documento")</f>
        <v>0</v>
      </c>
      <c r="D1848" t="s">
        <v>23500</v>
      </c>
      <c r="E1848" t="s">
        <v>25347</v>
      </c>
    </row>
    <row r="1849" spans="1:5">
      <c r="A1849" t="s">
        <v>6</v>
      </c>
      <c r="B1849" t="s">
        <v>1854</v>
      </c>
      <c r="C1849">
        <f>HYPERLINK("C:\Users\franc\OneDrive\Documentos\MALENTIN KARIME\VTA. PROPIEDAD\2015\HUGO CASTRO CORTES A Ana Cortes.doc", "Abrir Documento")</f>
        <v>0</v>
      </c>
      <c r="D1849" t="s">
        <v>23500</v>
      </c>
      <c r="E1849" t="s">
        <v>25348</v>
      </c>
    </row>
    <row r="1850" spans="1:5">
      <c r="A1850" t="s">
        <v>6</v>
      </c>
      <c r="B1850" t="s">
        <v>1855</v>
      </c>
      <c r="C1850">
        <f>HYPERLINK("C:\Users\franc\OneDrive\Documentos\MALENTIN KARIME\VTA. PROPIEDAD\2015\HONORINDA MUÑOZ soltear.doc", "Abrir Documento")</f>
        <v>0</v>
      </c>
      <c r="D1850" t="s">
        <v>23500</v>
      </c>
      <c r="E1850" t="s">
        <v>25349</v>
      </c>
    </row>
    <row r="1851" spans="1:5">
      <c r="A1851" t="s">
        <v>6</v>
      </c>
      <c r="B1851" t="s">
        <v>1856</v>
      </c>
      <c r="C1851">
        <f>HYPERLINK("C:\Users\franc\OneDrive\Documentos\MALENTIN KARIME\VTA. PROPIEDAD\2015\HILDA VARAS ARAYA, usufructo y venta.doc", "Abrir Documento")</f>
        <v>0</v>
      </c>
      <c r="D1851" t="s">
        <v>23500</v>
      </c>
      <c r="E1851" t="s">
        <v>25350</v>
      </c>
    </row>
    <row r="1852" spans="1:5">
      <c r="A1852" t="s">
        <v>6</v>
      </c>
      <c r="B1852" t="s">
        <v>1857</v>
      </c>
      <c r="C1852">
        <f>HYPERLINK("C:\Users\franc\OneDrive\Documentos\MALENTIN KARIME\VTA. PROPIEDAD\2015\HERMINIO LOPEZ A OCTAVIO PIZARRO Cony autoriza.doc", "Abrir Documento")</f>
        <v>0</v>
      </c>
      <c r="D1852" t="s">
        <v>23500</v>
      </c>
      <c r="E1852" t="s">
        <v>25351</v>
      </c>
    </row>
    <row r="1853" spans="1:5">
      <c r="A1853" t="s">
        <v>6</v>
      </c>
      <c r="B1853" t="s">
        <v>1858</v>
      </c>
      <c r="C1853">
        <f>HYPERLINK("C:\Users\franc\OneDrive\Documentos\MALENTIN KARIME\VTA. PROPIEDAD\2015\GUSTAVO CORTEZ ROJAS Varios.doc", "Abrir Documento")</f>
        <v>0</v>
      </c>
      <c r="D1853" t="s">
        <v>23500</v>
      </c>
      <c r="E1853" t="s">
        <v>25352</v>
      </c>
    </row>
    <row r="1854" spans="1:5">
      <c r="A1854" t="s">
        <v>6</v>
      </c>
      <c r="B1854" t="s">
        <v>1859</v>
      </c>
      <c r="C1854">
        <f>HYPERLINK("C:\Users\franc\OneDrive\Documentos\MALENTIN KARIME\VTA. PROPIEDAD\2015\GONZALO CORTES VALDIVIA Y Rosalia Cortes con conyuge.doc", "Abrir Documento")</f>
        <v>0</v>
      </c>
      <c r="D1854" t="s">
        <v>23500</v>
      </c>
      <c r="E1854" t="s">
        <v>25353</v>
      </c>
    </row>
    <row r="1855" spans="1:5">
      <c r="A1855" t="s">
        <v>6</v>
      </c>
      <c r="B1855" t="s">
        <v>1860</v>
      </c>
      <c r="C1855">
        <f>HYPERLINK("C:\Users\franc\OneDrive\Documentos\MALENTIN KARIME\VTA. PROPIEDAD\2015\GONZALO CORTES VALDIVIA (COMUNIDAD AGR PUNITAQUI).doc", "Abrir Documento")</f>
        <v>0</v>
      </c>
      <c r="D1855" t="s">
        <v>23500</v>
      </c>
      <c r="E1855" t="s">
        <v>25354</v>
      </c>
    </row>
    <row r="1856" spans="1:5">
      <c r="A1856" t="s">
        <v>6</v>
      </c>
      <c r="B1856" t="s">
        <v>1861</v>
      </c>
      <c r="C1856">
        <f>HYPERLINK("C:\Users\franc\OneDrive\Documentos\MALENTIN KARIME\VTA. PROPIEDAD\2015\GONZALO CORTES VALDIVIA  sin rosalia.doc", "Abrir Documento")</f>
        <v>0</v>
      </c>
      <c r="D1856" t="s">
        <v>23500</v>
      </c>
      <c r="E1856" t="s">
        <v>25355</v>
      </c>
    </row>
    <row r="1857" spans="1:5">
      <c r="A1857" t="s">
        <v>6</v>
      </c>
      <c r="B1857" t="s">
        <v>1862</v>
      </c>
      <c r="C1857">
        <f>HYPERLINK("C:\Users\franc\OneDrive\Documentos\MALENTIN KARIME\VTA. PROPIEDAD\2015\GONZALO CORTES A VALDIVIA A HIJA Cony autoriza.doc", "Abrir Documento")</f>
        <v>0</v>
      </c>
      <c r="D1857" t="s">
        <v>23500</v>
      </c>
      <c r="E1857" t="s">
        <v>25356</v>
      </c>
    </row>
    <row r="1858" spans="1:5">
      <c r="A1858" t="s">
        <v>6</v>
      </c>
      <c r="B1858" t="s">
        <v>1863</v>
      </c>
      <c r="C1858">
        <f>HYPERLINK("C:\Users\franc\OneDrive\Documentos\MALENTIN KARIME\VTA. PROPIEDAD\2015\GERARDO RAMIREZ A Rodrigo Gomez del Pino.doc", "Abrir Documento")</f>
        <v>0</v>
      </c>
      <c r="D1858" t="s">
        <v>23500</v>
      </c>
      <c r="E1858" t="s">
        <v>25357</v>
      </c>
    </row>
    <row r="1859" spans="1:5">
      <c r="A1859" t="s">
        <v>6</v>
      </c>
      <c r="B1859" t="s">
        <v>1864</v>
      </c>
      <c r="C1859">
        <f>HYPERLINK("C:\Users\franc\OneDrive\Documentos\MALENTIN KARIME\VTA. PROPIEDAD\2015\GEORGINA VARAS RAMIREZ.doc", "Abrir Documento")</f>
        <v>0</v>
      </c>
      <c r="D1859" t="s">
        <v>23500</v>
      </c>
      <c r="E1859" t="s">
        <v>25358</v>
      </c>
    </row>
    <row r="1860" spans="1:5">
      <c r="A1860" t="s">
        <v>6</v>
      </c>
      <c r="B1860" t="s">
        <v>1865</v>
      </c>
      <c r="C1860">
        <f>HYPERLINK("C:\Users\franc\OneDrive\Documentos\MALENTIN KARIME\VTA. PROPIEDAD\2015\GABRIEL CATALDO A CLAUDIO CATALDO.doc", "Abrir Documento")</f>
        <v>0</v>
      </c>
      <c r="D1860" t="s">
        <v>23500</v>
      </c>
      <c r="E1860" t="s">
        <v>25359</v>
      </c>
    </row>
    <row r="1861" spans="1:5">
      <c r="A1861" t="s">
        <v>6</v>
      </c>
      <c r="B1861" t="s">
        <v>1866</v>
      </c>
      <c r="C1861">
        <f>HYPERLINK("C:\Users\franc\OneDrive\Documentos\MALENTIN KARIME\VTA. PROPIEDAD\2015\FRANCISCO PASTEN PASTEN Cony autoriza.doc", "Abrir Documento")</f>
        <v>0</v>
      </c>
      <c r="D1861" t="s">
        <v>23500</v>
      </c>
      <c r="E1861" t="s">
        <v>25360</v>
      </c>
    </row>
    <row r="1862" spans="1:5">
      <c r="A1862" t="s">
        <v>6</v>
      </c>
      <c r="B1862" t="s">
        <v>1867</v>
      </c>
      <c r="C1862">
        <f>HYPERLINK("C:\Users\franc\OneDrive\Documentos\MALENTIN KARIME\VTA. PROPIEDAD\2015\FILOMENO CASTILLO A Maria Castillo usufructo.doc", "Abrir Documento")</f>
        <v>0</v>
      </c>
      <c r="D1862" t="s">
        <v>23500</v>
      </c>
      <c r="E1862" t="s">
        <v>25361</v>
      </c>
    </row>
    <row r="1863" spans="1:5">
      <c r="A1863" t="s">
        <v>6</v>
      </c>
      <c r="B1863" t="s">
        <v>1868</v>
      </c>
      <c r="C1863">
        <f>HYPERLINK("C:\Users\franc\OneDrive\Documentos\MALENTIN KARIME\VTA. PROPIEDAD\2015\FERNANDA NAVEA A Juana Garcia Solteros.doc", "Abrir Documento")</f>
        <v>0</v>
      </c>
      <c r="D1863" t="s">
        <v>23500</v>
      </c>
      <c r="E1863" t="s">
        <v>25362</v>
      </c>
    </row>
    <row r="1864" spans="1:5">
      <c r="A1864" t="s">
        <v>6</v>
      </c>
      <c r="B1864" t="s">
        <v>1869</v>
      </c>
      <c r="C1864">
        <f>HYPERLINK("C:\Users\franc\OneDrive\Documentos\MALENTIN KARIME\VTA. PROPIEDAD\2015\FABIAN ALVAREZ GUZMAN A  cony auto.doc", "Abrir Documento")</f>
        <v>0</v>
      </c>
      <c r="D1864" t="s">
        <v>23500</v>
      </c>
      <c r="E1864" t="s">
        <v>25363</v>
      </c>
    </row>
    <row r="1865" spans="1:5">
      <c r="A1865" t="s">
        <v>6</v>
      </c>
      <c r="B1865" t="s">
        <v>1870</v>
      </c>
      <c r="C1865">
        <f>HYPERLINK("C:\Users\franc\OneDrive\Documentos\MALENTIN KARIME\VTA. PROPIEDAD\2015\EUDOCIO VEGA ARAYA  con usufructo.doc", "Abrir Documento")</f>
        <v>0</v>
      </c>
      <c r="D1865" t="s">
        <v>23500</v>
      </c>
      <c r="E1865" t="s">
        <v>25364</v>
      </c>
    </row>
    <row r="1866" spans="1:5">
      <c r="A1866" t="s">
        <v>6</v>
      </c>
      <c r="B1866" t="s">
        <v>1871</v>
      </c>
      <c r="C1866">
        <f>HYPERLINK("C:\Users\franc\OneDrive\Documentos\MALENTIN KARIME\VTA. PROPIEDAD\2015\ESTUDIO I BUENAVENTURA LTDA..doc", "Abrir Documento")</f>
        <v>0</v>
      </c>
      <c r="D1866" t="s">
        <v>23500</v>
      </c>
      <c r="E1866" t="s">
        <v>25365</v>
      </c>
    </row>
    <row r="1867" spans="1:5">
      <c r="A1867" t="s">
        <v>6</v>
      </c>
      <c r="B1867" t="s">
        <v>1872</v>
      </c>
      <c r="C1867">
        <f>HYPERLINK("C:\Users\franc\OneDrive\Documentos\MALENTIN KARIME\VTA. PROPIEDAD\2015\EMELINDA TAPIA TAPIA cvta usufructo.doc", "Abrir Documento")</f>
        <v>0</v>
      </c>
      <c r="D1867" t="s">
        <v>23500</v>
      </c>
      <c r="E1867" t="s">
        <v>25366</v>
      </c>
    </row>
    <row r="1868" spans="1:5">
      <c r="A1868" t="s">
        <v>6</v>
      </c>
      <c r="B1868" t="s">
        <v>1873</v>
      </c>
      <c r="C1868">
        <f>HYPERLINK("C:\Users\franc\OneDrive\Documentos\MALENTIN KARIME\VTA. PROPIEDAD\2015\EMELINDA TAPIA TAPIA cvta usufructo 2 hijos.doc", "Abrir Documento")</f>
        <v>0</v>
      </c>
      <c r="D1868" t="s">
        <v>23500</v>
      </c>
      <c r="E1868" t="s">
        <v>25367</v>
      </c>
    </row>
    <row r="1869" spans="1:5">
      <c r="A1869" t="s">
        <v>6</v>
      </c>
      <c r="B1869" t="s">
        <v>1874</v>
      </c>
      <c r="C1869">
        <f>HYPERLINK("C:\Users\franc\OneDrive\Documentos\MALENTIN KARIME\VTA. PROPIEDAD\2015\ELIANA ARQUEROS PASTEN viuda.doc", "Abrir Documento")</f>
        <v>0</v>
      </c>
      <c r="D1869" t="s">
        <v>23500</v>
      </c>
      <c r="E1869" t="s">
        <v>25368</v>
      </c>
    </row>
    <row r="1870" spans="1:5">
      <c r="A1870" t="s">
        <v>6</v>
      </c>
      <c r="B1870" t="s">
        <v>1875</v>
      </c>
      <c r="C1870">
        <f>HYPERLINK("C:\Users\franc\OneDrive\Documentos\MALENTIN KARIME\VTA. PROPIEDAD\2015\ELBA PERINES A ALEXIS LEON art 150, vende.doc", "Abrir Documento")</f>
        <v>0</v>
      </c>
      <c r="D1870" t="s">
        <v>23500</v>
      </c>
      <c r="E1870" t="s">
        <v>25369</v>
      </c>
    </row>
    <row r="1871" spans="1:5">
      <c r="A1871" t="s">
        <v>6</v>
      </c>
      <c r="B1871" t="s">
        <v>1876</v>
      </c>
      <c r="C1871">
        <f>HYPERLINK("C:\Users\franc\OneDrive\Documentos\MALENTIN KARIME\VTA. PROPIEDAD\2015\EGLANTINA OLIVARES A JOSE ZEPEDA.doc", "Abrir Documento")</f>
        <v>0</v>
      </c>
      <c r="D1871" t="s">
        <v>23500</v>
      </c>
      <c r="E1871" t="s">
        <v>25370</v>
      </c>
    </row>
    <row r="1872" spans="1:5">
      <c r="A1872" t="s">
        <v>6</v>
      </c>
      <c r="B1872" t="s">
        <v>1877</v>
      </c>
      <c r="C1872">
        <f>HYPERLINK("C:\Users\franc\OneDrive\Documentos\MALENTIN KARIME\VTA. PROPIEDAD\2015\EDUARDO VIGORENA A BERMANS VIGORENA Derechos.doc", "Abrir Documento")</f>
        <v>0</v>
      </c>
      <c r="D1872" t="s">
        <v>23500</v>
      </c>
      <c r="E1872" t="s">
        <v>25371</v>
      </c>
    </row>
    <row r="1873" spans="1:5">
      <c r="A1873" t="s">
        <v>6</v>
      </c>
      <c r="B1873" t="s">
        <v>1878</v>
      </c>
      <c r="C1873">
        <f>HYPERLINK("C:\Users\franc\OneDrive\Documentos\MALENTIN KARIME\VTA. PROPIEDAD\2015\EDUARDO MIRANDA.doc", "Abrir Documento")</f>
        <v>0</v>
      </c>
      <c r="D1873" t="s">
        <v>23500</v>
      </c>
      <c r="E1873" t="s">
        <v>25372</v>
      </c>
    </row>
    <row r="1874" spans="1:5">
      <c r="A1874" t="s">
        <v>6</v>
      </c>
      <c r="B1874" t="s">
        <v>1879</v>
      </c>
      <c r="C1874">
        <f>HYPERLINK("C:\Users\franc\OneDrive\Documentos\MALENTIN KARIME\VTA. PROPIEDAD\2015\DIEGO MORGAN AMENGUAL A María Aviles compra Art 150.doc", "Abrir Documento")</f>
        <v>0</v>
      </c>
      <c r="D1874" t="s">
        <v>23500</v>
      </c>
      <c r="E1874" t="s">
        <v>25373</v>
      </c>
    </row>
    <row r="1875" spans="1:5">
      <c r="A1875" t="s">
        <v>6</v>
      </c>
      <c r="B1875" t="s">
        <v>1880</v>
      </c>
      <c r="C1875">
        <f>HYPERLINK("C:\Users\franc\OneDrive\Documentos\MALENTIN KARIME\VTA. PROPIEDAD\2015\DESLINDES Amanda Castellanos.doc", "Abrir Documento")</f>
        <v>0</v>
      </c>
      <c r="D1875" t="s">
        <v>23500</v>
      </c>
      <c r="E1875" t="s">
        <v>25374</v>
      </c>
    </row>
    <row r="1876" spans="1:5">
      <c r="A1876" t="s">
        <v>6</v>
      </c>
      <c r="B1876" t="s">
        <v>1881</v>
      </c>
      <c r="C1876">
        <f>HYPERLINK("C:\Users\franc\OneDrive\Documentos\MALENTIN KARIME\VTA. PROPIEDAD\2015\COMUNIDAD LA COIPA A Cecilia Lopez y otra Minuta.doc", "Abrir Documento")</f>
        <v>0</v>
      </c>
      <c r="D1876" t="s">
        <v>23500</v>
      </c>
      <c r="E1876" t="s">
        <v>25375</v>
      </c>
    </row>
    <row r="1877" spans="1:5">
      <c r="A1877" t="s">
        <v>6</v>
      </c>
      <c r="B1877" t="s">
        <v>1882</v>
      </c>
      <c r="C1877">
        <f>HYPERLINK("C:\Users\franc\OneDrive\Documentos\MALENTIN KARIME\VTA. PROPIEDAD\2015\COMUNIDAD LA COIPA  (HERNAN PEREZ).doc", "Abrir Documento")</f>
        <v>0</v>
      </c>
      <c r="D1877" t="s">
        <v>23500</v>
      </c>
      <c r="E1877" t="s">
        <v>25376</v>
      </c>
    </row>
    <row r="1878" spans="1:5">
      <c r="A1878" t="s">
        <v>6</v>
      </c>
      <c r="B1878" t="s">
        <v>1883</v>
      </c>
      <c r="C1878">
        <f>HYPERLINK("C:\Users\franc\OneDrive\Documentos\MALENTIN KARIME\VTA. PROPIEDAD\2015\CLEMENTE FUENTEALBA Y OTROS.doc", "Abrir Documento")</f>
        <v>0</v>
      </c>
      <c r="D1878" t="s">
        <v>23500</v>
      </c>
      <c r="E1878" t="s">
        <v>25377</v>
      </c>
    </row>
    <row r="1879" spans="1:5">
      <c r="A1879" t="s">
        <v>6</v>
      </c>
      <c r="B1879" t="s">
        <v>1884</v>
      </c>
      <c r="C1879">
        <f>HYPERLINK("C:\Users\franc\OneDrive\Documentos\MALENTIN KARIME\VTA. PROPIEDAD\2015\CECILIA GONZALEZ Y OTRA A Dario Gonzalez derechos.doc", "Abrir Documento")</f>
        <v>0</v>
      </c>
      <c r="D1879" t="s">
        <v>23500</v>
      </c>
      <c r="E1879" t="s">
        <v>25378</v>
      </c>
    </row>
    <row r="1880" spans="1:5">
      <c r="A1880" t="s">
        <v>6</v>
      </c>
      <c r="B1880" t="s">
        <v>1885</v>
      </c>
      <c r="C1880">
        <f>HYPERLINK("C:\Users\franc\OneDrive\Documentos\MALENTIN KARIME\VTA. PROPIEDAD\2015\CATALINA SANTANDER A Audelina Miranda y otro USUFRUCTO.doc", "Abrir Documento")</f>
        <v>0</v>
      </c>
      <c r="D1880" t="s">
        <v>23500</v>
      </c>
      <c r="E1880" t="s">
        <v>25379</v>
      </c>
    </row>
    <row r="1881" spans="1:5">
      <c r="A1881" t="s">
        <v>6</v>
      </c>
      <c r="B1881" t="s">
        <v>1886</v>
      </c>
      <c r="C1881">
        <f>HYPERLINK("C:\Users\franc\OneDrive\Documentos\MALENTIN KARIME\VTA. PROPIEDAD\2015\CARMEN VIDELA TELLO A Javier AcuñaDerechos.doc", "Abrir Documento")</f>
        <v>0</v>
      </c>
      <c r="D1881" t="s">
        <v>23500</v>
      </c>
      <c r="E1881" t="s">
        <v>25380</v>
      </c>
    </row>
    <row r="1882" spans="1:5">
      <c r="A1882" t="s">
        <v>6</v>
      </c>
      <c r="B1882" t="s">
        <v>1887</v>
      </c>
      <c r="C1882">
        <f>HYPERLINK("C:\Users\franc\OneDrive\Documentos\MALENTIN KARIME\VTA. PROPIEDAD\2015\CARMEN ARAYA ARAYA Eliana Arancibia Derechos.doc", "Abrir Documento")</f>
        <v>0</v>
      </c>
      <c r="D1882" t="s">
        <v>23500</v>
      </c>
      <c r="E1882" t="s">
        <v>25381</v>
      </c>
    </row>
    <row r="1883" spans="1:5">
      <c r="A1883" t="s">
        <v>6</v>
      </c>
      <c r="B1883" t="s">
        <v>1888</v>
      </c>
      <c r="C1883">
        <f>HYPERLINK("C:\Users\franc\OneDrive\Documentos\MALENTIN KARIME\VTA. PROPIEDAD\2015\CARLOS SIERRA LOPEZ A Bernardino Cortes sotleros.doc", "Abrir Documento")</f>
        <v>0</v>
      </c>
      <c r="D1883" t="s">
        <v>23500</v>
      </c>
      <c r="E1883" t="s">
        <v>25382</v>
      </c>
    </row>
    <row r="1884" spans="1:5">
      <c r="A1884" t="s">
        <v>6</v>
      </c>
      <c r="B1884" t="s">
        <v>1889</v>
      </c>
      <c r="C1884">
        <f>HYPERLINK("C:\Users\franc\OneDrive\Documentos\MALENTIN KARIME\VTA. PROPIEDAD\2015\BORIS PIZARRO MILLA Derechos, Proh Legal.doc", "Abrir Documento")</f>
        <v>0</v>
      </c>
      <c r="D1884" t="s">
        <v>23500</v>
      </c>
      <c r="E1884" t="s">
        <v>25383</v>
      </c>
    </row>
    <row r="1885" spans="1:5">
      <c r="A1885" t="s">
        <v>6</v>
      </c>
      <c r="B1885" t="s">
        <v>1890</v>
      </c>
      <c r="C1885">
        <f>HYPERLINK("C:\Users\franc\OneDrive\Documentos\MALENTIN KARIME\VTA. PROPIEDAD\2015\BLAS ALCAYAGA A Victoria Jaime Cony autoriza.doc", "Abrir Documento")</f>
        <v>0</v>
      </c>
      <c r="D1885" t="s">
        <v>23500</v>
      </c>
      <c r="E1885" t="s">
        <v>25384</v>
      </c>
    </row>
    <row r="1886" spans="1:5">
      <c r="A1886" t="s">
        <v>6</v>
      </c>
      <c r="B1886" t="s">
        <v>1891</v>
      </c>
      <c r="C1886">
        <f>HYPERLINK("C:\Users\franc\OneDrive\Documentos\MALENTIN KARIME\VTA. PROPIEDAD\2015\BERNABE HARDT LOPEZ A Esteban Zepeda.doc", "Abrir Documento")</f>
        <v>0</v>
      </c>
      <c r="D1886" t="s">
        <v>23500</v>
      </c>
      <c r="E1886" t="s">
        <v>25385</v>
      </c>
    </row>
    <row r="1887" spans="1:5">
      <c r="A1887" t="s">
        <v>6</v>
      </c>
      <c r="B1887" t="s">
        <v>1892</v>
      </c>
      <c r="C1887">
        <f>HYPERLINK("C:\Users\franc\OneDrive\Documentos\MALENTIN KARIME\VTA. PROPIEDAD\2015\ANIBAL CERDA LEYTON A Yessenia Cerda cony auto.doc", "Abrir Documento")</f>
        <v>0</v>
      </c>
      <c r="D1887" t="s">
        <v>23500</v>
      </c>
      <c r="E1887" t="s">
        <v>25386</v>
      </c>
    </row>
    <row r="1888" spans="1:5">
      <c r="A1888" t="s">
        <v>6</v>
      </c>
      <c r="B1888" t="s">
        <v>1893</v>
      </c>
      <c r="C1888">
        <f>HYPERLINK("C:\Users\franc\OneDrive\Documentos\MALENTIN KARIME\VTA. PROPIEDAD\2015\ANGELINA GALLEGUILLOS A GABRIEL GALLEGUILLOS Solteros.doc", "Abrir Documento")</f>
        <v>0</v>
      </c>
      <c r="D1888" t="s">
        <v>23500</v>
      </c>
      <c r="E1888" t="s">
        <v>25387</v>
      </c>
    </row>
    <row r="1889" spans="1:5">
      <c r="A1889" t="s">
        <v>6</v>
      </c>
      <c r="B1889" t="s">
        <v>1894</v>
      </c>
      <c r="C1889">
        <f>HYPERLINK("C:\Users\franc\OneDrive\Documentos\MALENTIN KARIME\VTA. PROPIEDAD\2015\ANGELA FLORES FLORES A Pedro Fuentes Ortis y otros Derechos.doc", "Abrir Documento")</f>
        <v>0</v>
      </c>
      <c r="D1889" t="s">
        <v>23500</v>
      </c>
      <c r="E1889" t="s">
        <v>25388</v>
      </c>
    </row>
    <row r="1890" spans="1:5">
      <c r="A1890" t="s">
        <v>6</v>
      </c>
      <c r="B1890" t="s">
        <v>1895</v>
      </c>
      <c r="C1890">
        <f>HYPERLINK("C:\Users\franc\OneDrive\Documentos\MALENTIN KARIME\VTA. PROPIEDAD\2015\ANA CHANDIA CONCHA A Julio Barahona Derechos.doc", "Abrir Documento")</f>
        <v>0</v>
      </c>
      <c r="D1890" t="s">
        <v>23500</v>
      </c>
      <c r="E1890" t="s">
        <v>25389</v>
      </c>
    </row>
    <row r="1891" spans="1:5">
      <c r="A1891" t="s">
        <v>6</v>
      </c>
      <c r="B1891" t="s">
        <v>1896</v>
      </c>
      <c r="C1891">
        <f>HYPERLINK("C:\Users\franc\OneDrive\Documentos\MALENTIN KARIME\VTA. PROPIEDAD\2015\ANA BENAVENTE CASTILLO Y Raquel Collao poder dueño.doc", "Abrir Documento")</f>
        <v>0</v>
      </c>
      <c r="D1891" t="s">
        <v>23500</v>
      </c>
      <c r="E1891" t="s">
        <v>25390</v>
      </c>
    </row>
    <row r="1892" spans="1:5">
      <c r="A1892" t="s">
        <v>6</v>
      </c>
      <c r="B1892" t="s">
        <v>1897</v>
      </c>
      <c r="C1892">
        <f>HYPERLINK("C:\Users\franc\OneDrive\Documentos\MALENTIN KARIME\VTA. PROPIEDAD\2015\AMANDA CASTELLANOS LOTE DOS A.doc", "Abrir Documento")</f>
        <v>0</v>
      </c>
      <c r="D1892" t="s">
        <v>23500</v>
      </c>
      <c r="E1892" t="s">
        <v>25391</v>
      </c>
    </row>
    <row r="1893" spans="1:5">
      <c r="A1893" t="s">
        <v>6</v>
      </c>
      <c r="B1893" t="s">
        <v>1898</v>
      </c>
      <c r="C1893">
        <f>HYPERLINK("C:\Users\franc\OneDrive\Documentos\MALENTIN KARIME\VTA. PROPIEDAD\2015\AMANDA CASTELLANOS a Yoanna Zambra.doc", "Abrir Documento")</f>
        <v>0</v>
      </c>
      <c r="D1893" t="s">
        <v>23500</v>
      </c>
      <c r="E1893" t="s">
        <v>25392</v>
      </c>
    </row>
    <row r="1894" spans="1:5">
      <c r="A1894" t="s">
        <v>6</v>
      </c>
      <c r="B1894" t="s">
        <v>1899</v>
      </c>
      <c r="C1894">
        <f>HYPERLINK("C:\Users\franc\OneDrive\Documentos\MALENTIN KARIME\VTA. PROPIEDAD\2015\AMANDA CASTELLANOS a Román Hidalgo.doc", "Abrir Documento")</f>
        <v>0</v>
      </c>
      <c r="D1894" t="s">
        <v>23500</v>
      </c>
      <c r="E1894" t="s">
        <v>25393</v>
      </c>
    </row>
    <row r="1895" spans="1:5">
      <c r="A1895" t="s">
        <v>6</v>
      </c>
      <c r="B1895" t="s">
        <v>1900</v>
      </c>
      <c r="C1895">
        <f>HYPERLINK("C:\Users\franc\OneDrive\Documentos\MALENTIN KARIME\VTA. PROPIEDAD\2015\AMANDA CASTELLANOS a Patricio Zambra.doc", "Abrir Documento")</f>
        <v>0</v>
      </c>
      <c r="D1895" t="s">
        <v>23500</v>
      </c>
      <c r="E1895" t="s">
        <v>25394</v>
      </c>
    </row>
    <row r="1896" spans="1:5">
      <c r="A1896" t="s">
        <v>6</v>
      </c>
      <c r="B1896" t="s">
        <v>1901</v>
      </c>
      <c r="C1896">
        <f>HYPERLINK("C:\Users\franc\OneDrive\Documentos\MALENTIN KARIME\VTA. PROPIEDAD\2015\AMANDA CASTELLANOS a Luis Zambra Castellanos.doc", "Abrir Documento")</f>
        <v>0</v>
      </c>
      <c r="D1896" t="s">
        <v>23500</v>
      </c>
      <c r="E1896" t="s">
        <v>25395</v>
      </c>
    </row>
    <row r="1897" spans="1:5">
      <c r="A1897" t="s">
        <v>6</v>
      </c>
      <c r="B1897" t="s">
        <v>1902</v>
      </c>
      <c r="C1897">
        <f>HYPERLINK("C:\Users\franc\OneDrive\Documentos\MALENTIN KARIME\VTA. PROPIEDAD\2015\AMANDA CASTELLANOS  a Roberto Cofre.doc", "Abrir Documento")</f>
        <v>0</v>
      </c>
      <c r="D1897" t="s">
        <v>23500</v>
      </c>
      <c r="E1897" t="s">
        <v>25396</v>
      </c>
    </row>
    <row r="1898" spans="1:5">
      <c r="A1898" t="s">
        <v>6</v>
      </c>
      <c r="B1898" t="s">
        <v>1903</v>
      </c>
      <c r="C1898">
        <f>HYPERLINK("C:\Users\franc\OneDrive\Documentos\MALENTIN KARIME\VTA. PROPIEDAD\2015\ALICIA DEL CARMEN CARVAJAL MOLINA Solteras con Art 150.doc", "Abrir Documento")</f>
        <v>0</v>
      </c>
      <c r="D1898" t="s">
        <v>23500</v>
      </c>
      <c r="E1898" t="s">
        <v>25397</v>
      </c>
    </row>
    <row r="1899" spans="1:5">
      <c r="A1899" t="s">
        <v>6</v>
      </c>
      <c r="B1899" t="s">
        <v>1904</v>
      </c>
      <c r="C1899">
        <f>HYPERLINK("C:\Users\franc\OneDrive\Documentos\MALENTIN KARIME\VTA. PROPIEDAD\2015\ALFONSO CASTILLO A Carmen Vega Cony autoriza.doc", "Abrir Documento")</f>
        <v>0</v>
      </c>
      <c r="D1899" t="s">
        <v>23500</v>
      </c>
      <c r="E1899" t="s">
        <v>25398</v>
      </c>
    </row>
    <row r="1900" spans="1:5">
      <c r="A1900" t="s">
        <v>6</v>
      </c>
      <c r="B1900" t="s">
        <v>1905</v>
      </c>
      <c r="C1900">
        <f>HYPERLINK("C:\Users\franc\OneDrive\Documentos\MALENTIN KARIME\VTA. PROPIEDAD\2015\ABEL GONZALEZ YAÑEZ A Angelica Gonzalez Cony autoriza.doc", "Abrir Documento")</f>
        <v>0</v>
      </c>
      <c r="D1900" t="s">
        <v>23500</v>
      </c>
      <c r="E1900" t="s">
        <v>25399</v>
      </c>
    </row>
    <row r="1901" spans="1:5">
      <c r="A1901" t="s">
        <v>6</v>
      </c>
      <c r="B1901" t="s">
        <v>1906</v>
      </c>
      <c r="C1901">
        <f>HYPERLINK("C:\Users\franc\OneDrive\Documentos\MALENTIN KARIME\VTA. PROPIEDAD\2015\ABEL GONZALEZ YAÑEZ A Angelica Gonzalez Cony autoriza SIN USUFR.doc", "Abrir Documento")</f>
        <v>0</v>
      </c>
      <c r="D1901" t="s">
        <v>23500</v>
      </c>
      <c r="E1901" t="s">
        <v>25400</v>
      </c>
    </row>
    <row r="1902" spans="1:5">
      <c r="A1902" t="s">
        <v>6</v>
      </c>
      <c r="B1902" t="s">
        <v>1907</v>
      </c>
      <c r="C1902">
        <f>HYPERLINK("C:\Users\franc\OneDrive\Documentos\MALENTIN KARIME\VTA. PROPIEDAD\2014\VICTORIANO CORTES DIAZ Derechos.doc", "Abrir Documento")</f>
        <v>0</v>
      </c>
      <c r="D1902" t="s">
        <v>23500</v>
      </c>
      <c r="E1902" t="s">
        <v>25401</v>
      </c>
    </row>
    <row r="1903" spans="1:5">
      <c r="A1903" t="s">
        <v>6</v>
      </c>
      <c r="B1903" t="s">
        <v>1908</v>
      </c>
      <c r="C1903">
        <f>HYPERLINK("C:\Users\franc\OneDrive\Documentos\MALENTIN KARIME\VTA. PROPIEDAD\2014\VALENTIN CONTRERAS OLIVARES.doc", "Abrir Documento")</f>
        <v>0</v>
      </c>
      <c r="D1903" t="s">
        <v>23500</v>
      </c>
      <c r="E1903" t="s">
        <v>25402</v>
      </c>
    </row>
    <row r="1904" spans="1:5">
      <c r="A1904" t="s">
        <v>6</v>
      </c>
      <c r="B1904" t="s">
        <v>1909</v>
      </c>
      <c r="C1904">
        <f>HYPERLINK("C:\Users\franc\OneDrive\Documentos\MALENTIN KARIME\VTA. PROPIEDAD\2014\URBANA BORQUEZ DELGADO A Geraldo Robledo solteros.doc", "Abrir Documento")</f>
        <v>0</v>
      </c>
      <c r="D1904" t="s">
        <v>23500</v>
      </c>
      <c r="E1904" t="s">
        <v>25403</v>
      </c>
    </row>
    <row r="1905" spans="1:5">
      <c r="A1905" t="s">
        <v>6</v>
      </c>
      <c r="B1905" t="s">
        <v>1910</v>
      </c>
      <c r="C1905">
        <f>HYPERLINK("C:\Users\franc\OneDrive\Documentos\MALENTIN KARIME\VTA. PROPIEDAD\2014\TASACIONES Clemente Fuentealba.doc", "Abrir Documento")</f>
        <v>0</v>
      </c>
      <c r="D1905" t="s">
        <v>23500</v>
      </c>
      <c r="E1905" t="s">
        <v>25404</v>
      </c>
    </row>
    <row r="1906" spans="1:5">
      <c r="A1906" t="s">
        <v>6</v>
      </c>
      <c r="B1906" t="s">
        <v>1911</v>
      </c>
      <c r="C1906">
        <f>HYPERLINK("C:\Users\franc\OneDrive\Documentos\MALENTIN KARIME\VTA. PROPIEDAD\2014\TASACIONES Clemente Fuentealba a Pedro Sanchez.doc", "Abrir Documento")</f>
        <v>0</v>
      </c>
      <c r="D1906" t="s">
        <v>23500</v>
      </c>
      <c r="E1906" t="s">
        <v>25405</v>
      </c>
    </row>
    <row r="1907" spans="1:5">
      <c r="A1907" t="s">
        <v>6</v>
      </c>
      <c r="B1907" t="s">
        <v>1912</v>
      </c>
      <c r="C1907">
        <f>HYPERLINK("C:\Users\franc\OneDrive\Documentos\MALENTIN KARIME\VTA. PROPIEDAD\2014\SYLVIA SARRIA RAMIREZ A María AcuñaCVTA USUFRUC.doc", "Abrir Documento")</f>
        <v>0</v>
      </c>
      <c r="D1907" t="s">
        <v>23500</v>
      </c>
      <c r="E1907" t="s">
        <v>25406</v>
      </c>
    </row>
    <row r="1908" spans="1:5">
      <c r="A1908" t="s">
        <v>6</v>
      </c>
      <c r="B1908" t="s">
        <v>1913</v>
      </c>
      <c r="C1908">
        <f>HYPERLINK("C:\Users\franc\OneDrive\Documentos\MALENTIN KARIME\VTA. PROPIEDAD\2014\Sucesion ROJAS CISTERNAS.doc", "Abrir Documento")</f>
        <v>0</v>
      </c>
      <c r="D1908" t="s">
        <v>23500</v>
      </c>
      <c r="E1908" t="s">
        <v>25407</v>
      </c>
    </row>
    <row r="1909" spans="1:5">
      <c r="A1909" t="s">
        <v>6</v>
      </c>
      <c r="B1909" t="s">
        <v>1914</v>
      </c>
      <c r="C1909">
        <f>HYPERLINK("C:\Users\franc\OneDrive\Documentos\MALENTIN KARIME\VTA. PROPIEDAD\2014\SILVIA CORTES PASTEN A Irma Alvarado Cony adm.doc", "Abrir Documento")</f>
        <v>0</v>
      </c>
      <c r="D1909" t="s">
        <v>23500</v>
      </c>
      <c r="E1909" t="s">
        <v>25408</v>
      </c>
    </row>
    <row r="1910" spans="1:5">
      <c r="A1910" t="s">
        <v>6</v>
      </c>
      <c r="B1910" t="s">
        <v>1915</v>
      </c>
      <c r="C1910">
        <f>HYPERLINK("C:\Users\franc\OneDrive\Documentos\MALENTIN KARIME\VTA. PROPIEDAD\2014\SERGIO RIVERA DOMINGUEZ  con poder.doc", "Abrir Documento")</f>
        <v>0</v>
      </c>
      <c r="D1910" t="s">
        <v>23500</v>
      </c>
      <c r="E1910" t="s">
        <v>25409</v>
      </c>
    </row>
    <row r="1911" spans="1:5">
      <c r="A1911" t="s">
        <v>6</v>
      </c>
      <c r="B1911" t="s">
        <v>1916</v>
      </c>
      <c r="C1911">
        <f>HYPERLINK("C:\Users\franc\OneDrive\Documentos\MALENTIN KARIME\VTA. PROPIEDAD\2014\SEGISFREDO LEON VELIZ a Ana Echanez  Con agua.doc", "Abrir Documento")</f>
        <v>0</v>
      </c>
      <c r="D1911" t="s">
        <v>23500</v>
      </c>
      <c r="E1911" t="s">
        <v>25410</v>
      </c>
    </row>
    <row r="1912" spans="1:5">
      <c r="A1912" t="s">
        <v>6</v>
      </c>
      <c r="B1912" t="s">
        <v>1917</v>
      </c>
      <c r="C1912">
        <f>HYPERLINK("C:\Users\franc\OneDrive\Documentos\MALENTIN KARIME\VTA. PROPIEDAD\2014\SEGISFREDO LEON VELIZ a Ana Echanez  Con agua BORRADOR.doc", "Abrir Documento")</f>
        <v>0</v>
      </c>
      <c r="D1912" t="s">
        <v>23500</v>
      </c>
      <c r="E1912" t="s">
        <v>25411</v>
      </c>
    </row>
    <row r="1913" spans="1:5">
      <c r="A1913" t="s">
        <v>6</v>
      </c>
      <c r="B1913" t="s">
        <v>1918</v>
      </c>
      <c r="C1913">
        <f>HYPERLINK("C:\Users\franc\OneDrive\Documentos\MALENTIN KARIME\VTA. PROPIEDAD\2014\SEBASTIAN CONTRERAS 18 B 6.doc", "Abrir Documento")</f>
        <v>0</v>
      </c>
      <c r="D1913" t="s">
        <v>23500</v>
      </c>
      <c r="E1913" t="s">
        <v>25412</v>
      </c>
    </row>
    <row r="1914" spans="1:5">
      <c r="A1914" t="s">
        <v>6</v>
      </c>
      <c r="B1914" t="s">
        <v>1919</v>
      </c>
      <c r="C1914">
        <f>HYPERLINK("C:\Users\franc\OneDrive\Documentos\MALENTIN KARIME\VTA. PROPIEDAD\2014\ROSA RAMIREZ MALUENDA Cesion Minuta NUEVA Genara.doc", "Abrir Documento")</f>
        <v>0</v>
      </c>
      <c r="D1914" t="s">
        <v>23500</v>
      </c>
      <c r="E1914" t="s">
        <v>25413</v>
      </c>
    </row>
    <row r="1915" spans="1:5">
      <c r="A1915" t="s">
        <v>6</v>
      </c>
      <c r="B1915" t="s">
        <v>1920</v>
      </c>
      <c r="C1915">
        <f>HYPERLINK("C:\Users\franc\OneDrive\Documentos\MALENTIN KARIME\VTA. PROPIEDAD\2014\ROSA RAMIREZ MALUENDA Cesion Minuta GenaraCESION DE DERECHOS FAMILIA MALUENDA SEGOVIA-1.doc", "Abrir Documento")</f>
        <v>0</v>
      </c>
      <c r="D1915" t="s">
        <v>23500</v>
      </c>
      <c r="E1915" t="s">
        <v>25414</v>
      </c>
    </row>
    <row r="1916" spans="1:5">
      <c r="A1916" t="s">
        <v>6</v>
      </c>
      <c r="B1916" t="s">
        <v>1921</v>
      </c>
      <c r="C1916">
        <f>HYPERLINK("C:\Users\franc\OneDrive\Documentos\MALENTIN KARIME\VTA. PROPIEDAD\2014\ROSA ADONES Y OTROS A Edith Cortes ANA POZO Minuta.doc", "Abrir Documento")</f>
        <v>0</v>
      </c>
      <c r="D1916" t="s">
        <v>23500</v>
      </c>
      <c r="E1916" t="s">
        <v>25415</v>
      </c>
    </row>
    <row r="1917" spans="1:5">
      <c r="A1917" t="s">
        <v>6</v>
      </c>
      <c r="B1917" t="s">
        <v>1922</v>
      </c>
      <c r="C1917">
        <f>HYPERLINK("C:\Users\franc\OneDrive\Documentos\MALENTIN KARIME\VTA. PROPIEDAD\2014\RODRIGO DE CASACUBERTA.doc", "Abrir Documento")</f>
        <v>0</v>
      </c>
      <c r="D1917" t="s">
        <v>23500</v>
      </c>
      <c r="E1917" t="s">
        <v>25416</v>
      </c>
    </row>
    <row r="1918" spans="1:5">
      <c r="A1918" t="s">
        <v>6</v>
      </c>
      <c r="B1918" t="s">
        <v>1923</v>
      </c>
      <c r="C1918">
        <f>HYPERLINK("C:\Users\franc\OneDrive\Documentos\MALENTIN KARIME\VTA. PROPIEDAD\2014\RICARDO MONTERO ROJAS A Jose Contreras agua y tierra.doc", "Abrir Documento")</f>
        <v>0</v>
      </c>
      <c r="D1918" t="s">
        <v>23500</v>
      </c>
      <c r="E1918" t="s">
        <v>25417</v>
      </c>
    </row>
    <row r="1919" spans="1:5">
      <c r="A1919" t="s">
        <v>6</v>
      </c>
      <c r="B1919" t="s">
        <v>1924</v>
      </c>
      <c r="C1919">
        <f>HYPERLINK("C:\Users\franc\OneDrive\Documentos\MALENTIN KARIME\VTA. PROPIEDAD\2014\RICARDO CORTES ARAYA.doc", "Abrir Documento")</f>
        <v>0</v>
      </c>
      <c r="D1919" t="s">
        <v>23500</v>
      </c>
      <c r="E1919" t="s">
        <v>25418</v>
      </c>
    </row>
    <row r="1920" spans="1:5">
      <c r="A1920" t="s">
        <v>6</v>
      </c>
      <c r="B1920" t="s">
        <v>1925</v>
      </c>
      <c r="C1920">
        <f>HYPERLINK("C:\Users\franc\OneDrive\Documentos\MALENTIN KARIME\VTA. PROPIEDAD\2014\RAQUEL PINTO AGUILERA poderes.doc", "Abrir Documento")</f>
        <v>0</v>
      </c>
      <c r="D1920" t="s">
        <v>23500</v>
      </c>
      <c r="E1920" t="s">
        <v>25419</v>
      </c>
    </row>
    <row r="1921" spans="1:5">
      <c r="A1921" t="s">
        <v>6</v>
      </c>
      <c r="B1921" t="s">
        <v>1926</v>
      </c>
      <c r="C1921">
        <f>HYPERLINK("C:\Users\franc\OneDrive\Documentos\MALENTIN KARIME\VTA. PROPIEDAD\2014\PAMELA POBLETE HERRERA A Carlos Bruna  solteros.doc", "Abrir Documento")</f>
        <v>0</v>
      </c>
      <c r="D1921" t="s">
        <v>23500</v>
      </c>
      <c r="E1921" t="s">
        <v>25420</v>
      </c>
    </row>
    <row r="1922" spans="1:5">
      <c r="A1922" t="s">
        <v>6</v>
      </c>
      <c r="B1922" t="s">
        <v>1927</v>
      </c>
      <c r="C1922">
        <f>HYPERLINK("C:\Users\franc\OneDrive\Documentos\MALENTIN KARIME\VTA. PROPIEDAD\2014\OTILIO TABILO A Marta Huerta poder.doc", "Abrir Documento")</f>
        <v>0</v>
      </c>
      <c r="D1922" t="s">
        <v>23500</v>
      </c>
      <c r="E1922" t="s">
        <v>25421</v>
      </c>
    </row>
    <row r="1923" spans="1:5">
      <c r="A1923" t="s">
        <v>6</v>
      </c>
      <c r="B1923" t="s">
        <v>1928</v>
      </c>
      <c r="C1923">
        <f>HYPERLINK("C:\Users\franc\OneDrive\Documentos\MALENTIN KARIME\VTA. PROPIEDAD\2014\OSVALDO ARAYA A Sebastian Araya Cony autoriza.doc", "Abrir Documento")</f>
        <v>0</v>
      </c>
      <c r="D1923" t="s">
        <v>23500</v>
      </c>
      <c r="E1923" t="s">
        <v>25422</v>
      </c>
    </row>
    <row r="1924" spans="1:5">
      <c r="A1924" t="s">
        <v>6</v>
      </c>
      <c r="B1924" t="s">
        <v>1929</v>
      </c>
      <c r="C1924">
        <f>HYPERLINK("C:\Users\franc\OneDrive\Documentos\MALENTIN KARIME\VTA. PROPIEDAD\2014\OLGA CORTES ROJAS A LEANDRO GALLARDO Minuta.doc", "Abrir Documento")</f>
        <v>0</v>
      </c>
      <c r="D1924" t="s">
        <v>23500</v>
      </c>
      <c r="E1924" t="s">
        <v>25423</v>
      </c>
    </row>
    <row r="1925" spans="1:5">
      <c r="A1925" t="s">
        <v>6</v>
      </c>
      <c r="B1925" t="s">
        <v>1930</v>
      </c>
      <c r="C1925">
        <f>HYPERLINK("C:\Users\franc\OneDrive\Documentos\MALENTIN KARIME\VTA. PROPIEDAD\2014\OLGA CORTES ROJAS A LEANDRO GALLARDO Minuta borrador.doc", "Abrir Documento")</f>
        <v>0</v>
      </c>
      <c r="D1925" t="s">
        <v>23500</v>
      </c>
      <c r="E1925" t="s">
        <v>25424</v>
      </c>
    </row>
    <row r="1926" spans="1:5">
      <c r="A1926" t="s">
        <v>6</v>
      </c>
      <c r="B1926" t="s">
        <v>1931</v>
      </c>
      <c r="C1926">
        <f>HYPERLINK("C:\Users\franc\OneDrive\Documentos\MALENTIN KARIME\VTA. PROPIEDAD\2014\NELSON MIRANDA FLORES A NELSON Hijo.doc", "Abrir Documento")</f>
        <v>0</v>
      </c>
      <c r="D1926" t="s">
        <v>23500</v>
      </c>
      <c r="E1926" t="s">
        <v>25425</v>
      </c>
    </row>
    <row r="1927" spans="1:5">
      <c r="A1927" t="s">
        <v>6</v>
      </c>
      <c r="B1927" t="s">
        <v>1932</v>
      </c>
      <c r="C1927">
        <f>HYPERLINK("C:\Users\franc\OneDrive\Documentos\MALENTIN KARIME\VTA. PROPIEDAD\2014\NELSON MIRANDA FLORES A Amanda Caceres cHijo.doc", "Abrir Documento")</f>
        <v>0</v>
      </c>
      <c r="D1927" t="s">
        <v>23500</v>
      </c>
      <c r="E1927" t="s">
        <v>25426</v>
      </c>
    </row>
    <row r="1928" spans="1:5">
      <c r="A1928" t="s">
        <v>6</v>
      </c>
      <c r="B1928" t="s">
        <v>1933</v>
      </c>
      <c r="C1928">
        <f>HYPERLINK("C:\Users\franc\OneDrive\Documentos\MALENTIN KARIME\VTA. PROPIEDAD\2014\MONICA DIAZ RIVERA  solteros.doc", "Abrir Documento")</f>
        <v>0</v>
      </c>
      <c r="D1928" t="s">
        <v>23500</v>
      </c>
      <c r="E1928" t="s">
        <v>25427</v>
      </c>
    </row>
    <row r="1929" spans="1:5">
      <c r="A1929" t="s">
        <v>6</v>
      </c>
      <c r="B1929" t="s">
        <v>1934</v>
      </c>
      <c r="C1929">
        <f>HYPERLINK("C:\Users\franc\OneDrive\Documentos\MALENTIN KARIME\VTA. PROPIEDAD\2014\MARIA OSSANDON Y Juan Araya Con agua.doc", "Abrir Documento")</f>
        <v>0</v>
      </c>
      <c r="D1929" t="s">
        <v>23500</v>
      </c>
      <c r="E1929" t="s">
        <v>25428</v>
      </c>
    </row>
    <row r="1930" spans="1:5">
      <c r="A1930" t="s">
        <v>6</v>
      </c>
      <c r="B1930" t="s">
        <v>1935</v>
      </c>
      <c r="C1930">
        <f>HYPERLINK("C:\Users\franc\OneDrive\Documentos\MALENTIN KARIME\VTA. PROPIEDAD\2014\MARIA JULIETA BARRIOS CORTES  casada 150.doc", "Abrir Documento")</f>
        <v>0</v>
      </c>
      <c r="D1930" t="s">
        <v>23500</v>
      </c>
      <c r="E1930" t="s">
        <v>25429</v>
      </c>
    </row>
    <row r="1931" spans="1:5">
      <c r="A1931" t="s">
        <v>6</v>
      </c>
      <c r="B1931" t="s">
        <v>1936</v>
      </c>
      <c r="C1931">
        <f>HYPERLINK("C:\Users\franc\OneDrive\Documentos\MALENTIN KARIME\VTA. PROPIEDAD\2014\MARIA FERNANDEZ CORTES Resciliacion PATY ALFARO.doc", "Abrir Documento")</f>
        <v>0</v>
      </c>
      <c r="D1931" t="s">
        <v>23500</v>
      </c>
      <c r="E1931" t="s">
        <v>25430</v>
      </c>
    </row>
    <row r="1932" spans="1:5">
      <c r="A1932" t="s">
        <v>6</v>
      </c>
      <c r="B1932" t="s">
        <v>1937</v>
      </c>
      <c r="C1932">
        <f>HYPERLINK("C:\Users\franc\OneDrive\Documentos\MALENTIN KARIME\VTA. PROPIEDAD\2014\MARIA CODOCEO CASTRO A Julio Codoceo Derechos.doc", "Abrir Documento")</f>
        <v>0</v>
      </c>
      <c r="D1932" t="s">
        <v>23500</v>
      </c>
      <c r="E1932" t="s">
        <v>25431</v>
      </c>
    </row>
    <row r="1933" spans="1:5">
      <c r="A1933" t="s">
        <v>6</v>
      </c>
      <c r="B1933" t="s">
        <v>1938</v>
      </c>
      <c r="C1933">
        <f>HYPERLINK("C:\Users\franc\OneDrive\Documentos\MALENTIN KARIME\VTA. PROPIEDAD\2014\MARIA BUGUEÑO CARRASCO Derechos.doc", "Abrir Documento")</f>
        <v>0</v>
      </c>
      <c r="D1933" t="s">
        <v>23500</v>
      </c>
      <c r="E1933" t="s">
        <v>25432</v>
      </c>
    </row>
    <row r="1934" spans="1:5">
      <c r="A1934" t="s">
        <v>6</v>
      </c>
      <c r="B1934" t="s">
        <v>1939</v>
      </c>
      <c r="C1934">
        <f>HYPERLINK("C:\Users\franc\OneDrive\Documentos\MALENTIN KARIME\VTA. PROPIEDAD\2014\MARIA ANGEL ARTAL A Luis Guerra subdiv.doc", "Abrir Documento")</f>
        <v>0</v>
      </c>
      <c r="D1934" t="s">
        <v>23500</v>
      </c>
      <c r="E1934" t="s">
        <v>25433</v>
      </c>
    </row>
    <row r="1935" spans="1:5">
      <c r="A1935" t="s">
        <v>6</v>
      </c>
      <c r="B1935" t="s">
        <v>1940</v>
      </c>
      <c r="C1935">
        <f>HYPERLINK("C:\Users\franc\OneDrive\Documentos\MALENTIN KARIME\VTA. PROPIEDAD\2014\MARGARITA ROJAS AVENDAÑO Art 150.doc", "Abrir Documento")</f>
        <v>0</v>
      </c>
      <c r="D1935" t="s">
        <v>23500</v>
      </c>
      <c r="E1935" t="s">
        <v>25434</v>
      </c>
    </row>
    <row r="1936" spans="1:5">
      <c r="A1936" t="s">
        <v>6</v>
      </c>
      <c r="B1936" t="s">
        <v>1941</v>
      </c>
      <c r="C1936">
        <f>HYPERLINK("C:\Users\franc\OneDrive\Documentos\MALENTIN KARIME\VTA. PROPIEDAD\2014\MARCO CORTES DIAZ A Juan Cuello sotleros.doc", "Abrir Documento")</f>
        <v>0</v>
      </c>
      <c r="D1936" t="s">
        <v>23500</v>
      </c>
      <c r="E1936" t="s">
        <v>25435</v>
      </c>
    </row>
    <row r="1937" spans="1:5">
      <c r="A1937" t="s">
        <v>6</v>
      </c>
      <c r="B1937" t="s">
        <v>1942</v>
      </c>
      <c r="C1937">
        <f>HYPERLINK("C:\Users\franc\OneDrive\Documentos\MALENTIN KARIME\VTA. PROPIEDAD\2014\LORENZO DIAZ OLIVARES Derechos.doc", "Abrir Documento")</f>
        <v>0</v>
      </c>
      <c r="D1937" t="s">
        <v>23500</v>
      </c>
      <c r="E1937" t="s">
        <v>25436</v>
      </c>
    </row>
    <row r="1938" spans="1:5">
      <c r="A1938" t="s">
        <v>6</v>
      </c>
      <c r="B1938" t="s">
        <v>1943</v>
      </c>
      <c r="C1938">
        <f>HYPERLINK("C:\Users\franc\OneDrive\Documentos\MALENTIN KARIME\VTA. PROPIEDAD\2014\JUAN MUNDACA RODRIGUEZ Y OTROS Minuta.doc", "Abrir Documento")</f>
        <v>0</v>
      </c>
      <c r="D1938" t="s">
        <v>23500</v>
      </c>
      <c r="E1938" t="s">
        <v>25437</v>
      </c>
    </row>
    <row r="1939" spans="1:5">
      <c r="A1939" t="s">
        <v>6</v>
      </c>
      <c r="B1939" t="s">
        <v>1944</v>
      </c>
      <c r="C1939">
        <f>HYPERLINK("C:\Users\franc\OneDrive\Documentos\MALENTIN KARIME\VTA. PROPIEDAD\2014\JUAN CARLOS MARIN JIMENEZ A Luis Tapia MINUTA.doc", "Abrir Documento")</f>
        <v>0</v>
      </c>
      <c r="D1939" t="s">
        <v>23500</v>
      </c>
      <c r="E1939" t="s">
        <v>25438</v>
      </c>
    </row>
    <row r="1940" spans="1:5">
      <c r="A1940" t="s">
        <v>6</v>
      </c>
      <c r="B1940" t="s">
        <v>1945</v>
      </c>
      <c r="C1940">
        <f>HYPERLINK("C:\Users\franc\OneDrive\Documentos\MALENTIN KARIME\VTA. PROPIEDAD\2014\JUAN CARLOS MARIN JIMENEZ A Luis Tapia MINUTA  INSTRUCCIONES.doc", "Abrir Documento")</f>
        <v>0</v>
      </c>
      <c r="D1940" t="s">
        <v>23500</v>
      </c>
      <c r="E1940" t="s">
        <v>25439</v>
      </c>
    </row>
    <row r="1941" spans="1:5">
      <c r="A1941" t="s">
        <v>6</v>
      </c>
      <c r="B1941" t="s">
        <v>1946</v>
      </c>
      <c r="C1941">
        <f>HYPERLINK("C:\Users\franc\OneDrive\Documentos\MALENTIN KARIME\VTA. PROPIEDAD\2014\JUAN CARLOS MARIN JIMENEZ A BORRADOR C. PROP.doc", "Abrir Documento")</f>
        <v>0</v>
      </c>
      <c r="D1941" t="s">
        <v>23500</v>
      </c>
      <c r="E1941" t="s">
        <v>25440</v>
      </c>
    </row>
    <row r="1942" spans="1:5">
      <c r="A1942" t="s">
        <v>6</v>
      </c>
      <c r="B1942" t="s">
        <v>1947</v>
      </c>
      <c r="C1942">
        <f>HYPERLINK("C:\Users\franc\OneDrive\Documentos\MALENTIN KARIME\VTA. PROPIEDAD\2014\JUAN ALFONSO MUÑOZ MUÑOZ Cony autoriza Y 150.doc", "Abrir Documento")</f>
        <v>0</v>
      </c>
      <c r="D1942" t="s">
        <v>23500</v>
      </c>
      <c r="E1942" t="s">
        <v>25441</v>
      </c>
    </row>
    <row r="1943" spans="1:5">
      <c r="A1943" t="s">
        <v>6</v>
      </c>
      <c r="B1943" t="s">
        <v>1948</v>
      </c>
      <c r="C1943">
        <f>HYPERLINK("C:\Users\franc\OneDrive\Documentos\MALENTIN KARIME\VTA. PROPIEDAD\2014\JOVA ARGANDOÑA A Claudia Valverde derechos.doc", "Abrir Documento")</f>
        <v>0</v>
      </c>
      <c r="D1943" t="s">
        <v>23500</v>
      </c>
      <c r="E1943" t="s">
        <v>25442</v>
      </c>
    </row>
    <row r="1944" spans="1:5">
      <c r="A1944" t="s">
        <v>6</v>
      </c>
      <c r="B1944" t="s">
        <v>1949</v>
      </c>
      <c r="C1944">
        <f>HYPERLINK("C:\Users\franc\OneDrive\Documentos\MALENTIN KARIME\VTA. PROPIEDAD\2014\JORGE RIVERA DURAN y Jhonny Araya.doc", "Abrir Documento")</f>
        <v>0</v>
      </c>
      <c r="D1944" t="s">
        <v>23500</v>
      </c>
      <c r="E1944" t="s">
        <v>25443</v>
      </c>
    </row>
    <row r="1945" spans="1:5">
      <c r="A1945" t="s">
        <v>6</v>
      </c>
      <c r="B1945" t="s">
        <v>1950</v>
      </c>
      <c r="C1945">
        <f>HYPERLINK("C:\Users\franc\OneDrive\Documentos\MALENTIN KARIME\VTA. PROPIEDAD\2014\JOAQUIN ALVAREZ TAPIA A Jorge Castillo Cony autoriza.doc", "Abrir Documento")</f>
        <v>0</v>
      </c>
      <c r="D1945" t="s">
        <v>23500</v>
      </c>
      <c r="E1945" t="s">
        <v>25444</v>
      </c>
    </row>
    <row r="1946" spans="1:5">
      <c r="A1946" t="s">
        <v>6</v>
      </c>
      <c r="B1946" t="s">
        <v>1951</v>
      </c>
      <c r="C1946">
        <f>HYPERLINK("C:\Users\franc\OneDrive\Documentos\MALENTIN KARIME\VTA. PROPIEDAD\2014\JANET MOROSO VERGARA.doc", "Abrir Documento")</f>
        <v>0</v>
      </c>
      <c r="D1946" t="s">
        <v>23500</v>
      </c>
      <c r="E1946" t="s">
        <v>25445</v>
      </c>
    </row>
    <row r="1947" spans="1:5">
      <c r="A1947" t="s">
        <v>6</v>
      </c>
      <c r="B1947" t="s">
        <v>1952</v>
      </c>
      <c r="C1947">
        <f>HYPERLINK("C:\Users\franc\OneDrive\Documentos\MALENTIN KARIME\VTA. PROPIEDAD\2014\IVO YURIS A HERNAN HONRORS.doc", "Abrir Documento")</f>
        <v>0</v>
      </c>
      <c r="D1947" t="s">
        <v>23500</v>
      </c>
      <c r="E1947" t="s">
        <v>25446</v>
      </c>
    </row>
    <row r="1948" spans="1:5">
      <c r="A1948" t="s">
        <v>6</v>
      </c>
      <c r="B1948" t="s">
        <v>1953</v>
      </c>
      <c r="C1948">
        <f>HYPERLINK("C:\Users\franc\OneDrive\Documentos\MALENTIN KARIME\VTA. PROPIEDAD\2014\IVO YURIS A HERNAN HONRORS VERSION final.doc", "Abrir Documento")</f>
        <v>0</v>
      </c>
      <c r="D1948" t="s">
        <v>23500</v>
      </c>
      <c r="E1948" t="s">
        <v>25447</v>
      </c>
    </row>
    <row r="1949" spans="1:5">
      <c r="A1949" t="s">
        <v>6</v>
      </c>
      <c r="B1949" t="s">
        <v>1954</v>
      </c>
      <c r="C1949">
        <f>HYPERLINK("C:\Users\franc\OneDrive\Documentos\MALENTIN KARIME\VTA. PROPIEDAD\2014\IRENE PIZARRO ARAYA A DORIS PIZARRO Art 150.doc", "Abrir Documento")</f>
        <v>0</v>
      </c>
      <c r="D1949" t="s">
        <v>23500</v>
      </c>
      <c r="E1949" t="s">
        <v>25448</v>
      </c>
    </row>
    <row r="1950" spans="1:5">
      <c r="A1950" t="s">
        <v>6</v>
      </c>
      <c r="B1950" t="s">
        <v>1955</v>
      </c>
      <c r="C1950">
        <f>HYPERLINK("C:\Users\franc\OneDrive\Documentos\MALENTIN KARIME\VTA. PROPIEDAD\2014\INSTRUCCIONES Clemente.doc", "Abrir Documento")</f>
        <v>0</v>
      </c>
      <c r="D1950" t="s">
        <v>23500</v>
      </c>
      <c r="E1950" t="s">
        <v>25449</v>
      </c>
    </row>
    <row r="1951" spans="1:5">
      <c r="A1951" t="s">
        <v>6</v>
      </c>
      <c r="B1951" t="s">
        <v>1956</v>
      </c>
      <c r="C1951">
        <f>HYPERLINK("C:\Users\franc\OneDrive\Documentos\MALENTIN KARIME\VTA. PROPIEDAD\2014\INSTRUCCIONES CARLOS CARVAJAL.doc", "Abrir Documento")</f>
        <v>0</v>
      </c>
      <c r="D1951" t="s">
        <v>23500</v>
      </c>
      <c r="E1951" t="s">
        <v>25450</v>
      </c>
    </row>
    <row r="1952" spans="1:5">
      <c r="A1952" t="s">
        <v>6</v>
      </c>
      <c r="B1952" t="s">
        <v>1957</v>
      </c>
      <c r="C1952">
        <f>HYPERLINK("C:\Users\franc\OneDrive\Documentos\MALENTIN KARIME\VTA. PROPIEDAD\2014\INSTRUCCIONES BERNABE HARDT.doc", "Abrir Documento")</f>
        <v>0</v>
      </c>
      <c r="D1952" t="s">
        <v>23500</v>
      </c>
      <c r="E1952" t="s">
        <v>25451</v>
      </c>
    </row>
    <row r="1953" spans="1:5">
      <c r="A1953" t="s">
        <v>6</v>
      </c>
      <c r="B1953" t="s">
        <v>1958</v>
      </c>
      <c r="C1953">
        <f>HYPERLINK("C:\Users\franc\OneDrive\Documentos\MALENTIN KARIME\VTA. PROPIEDAD\2014\INSTRUCCIONES AROLDO TELLO.doc", "Abrir Documento")</f>
        <v>0</v>
      </c>
      <c r="D1953" t="s">
        <v>23500</v>
      </c>
      <c r="E1953" t="s">
        <v>25452</v>
      </c>
    </row>
    <row r="1954" spans="1:5">
      <c r="A1954" t="s">
        <v>6</v>
      </c>
      <c r="B1954" t="s">
        <v>1959</v>
      </c>
      <c r="C1954">
        <f>HYPERLINK("C:\Users\franc\OneDrive\Documentos\MALENTIN KARIME\VTA. PROPIEDAD\2014\HUGO DIAZ BRITO Y ANA DIAZ  Con agua.doc", "Abrir Documento")</f>
        <v>0</v>
      </c>
      <c r="D1954" t="s">
        <v>23500</v>
      </c>
      <c r="E1954" t="s">
        <v>25453</v>
      </c>
    </row>
    <row r="1955" spans="1:5">
      <c r="A1955" t="s">
        <v>6</v>
      </c>
      <c r="B1955" t="s">
        <v>1960</v>
      </c>
      <c r="C1955">
        <f>HYPERLINK("C:\Users\franc\OneDrive\Documentos\MALENTIN KARIME\VTA. PROPIEDAD\2014\HECTOR VELOZO INOSTROZA 7A 25.doc", "Abrir Documento")</f>
        <v>0</v>
      </c>
      <c r="D1955" t="s">
        <v>23500</v>
      </c>
      <c r="E1955" t="s">
        <v>25454</v>
      </c>
    </row>
    <row r="1956" spans="1:5">
      <c r="A1956" t="s">
        <v>6</v>
      </c>
      <c r="B1956" t="s">
        <v>1961</v>
      </c>
      <c r="C1956">
        <f>HYPERLINK("C:\Users\franc\OneDrive\Documentos\MALENTIN KARIME\VTA. PROPIEDAD\2014\HECTOR VELOZO INOSTROZA 7A 24.doc", "Abrir Documento")</f>
        <v>0</v>
      </c>
      <c r="D1956" t="s">
        <v>23500</v>
      </c>
      <c r="E1956" t="s">
        <v>25455</v>
      </c>
    </row>
    <row r="1957" spans="1:5">
      <c r="A1957" t="s">
        <v>6</v>
      </c>
      <c r="B1957" t="s">
        <v>1962</v>
      </c>
      <c r="C1957">
        <f>HYPERLINK("C:\Users\franc\OneDrive\Documentos\MALENTIN KARIME\VTA. PROPIEDAD\2014\GREGORIO PORTILLA A Leandro Gallardo MINUTA Maritza R.doc", "Abrir Documento")</f>
        <v>0</v>
      </c>
      <c r="D1957" t="s">
        <v>23500</v>
      </c>
      <c r="E1957" t="s">
        <v>25456</v>
      </c>
    </row>
    <row r="1958" spans="1:5">
      <c r="A1958" t="s">
        <v>6</v>
      </c>
      <c r="B1958" t="s">
        <v>1963</v>
      </c>
      <c r="C1958">
        <f>HYPERLINK("C:\Users\franc\OneDrive\Documentos\MALENTIN KARIME\VTA. PROPIEDAD\2014\FRANCISCA ARAYA DIAZ Y OTRA A Elizabeth Jimenez.doc", "Abrir Documento")</f>
        <v>0</v>
      </c>
      <c r="D1958" t="s">
        <v>23500</v>
      </c>
      <c r="E1958" t="s">
        <v>25457</v>
      </c>
    </row>
    <row r="1959" spans="1:5">
      <c r="A1959" t="s">
        <v>6</v>
      </c>
      <c r="B1959" t="s">
        <v>1964</v>
      </c>
      <c r="C1959">
        <f>HYPERLINK("C:\Users\franc\OneDrive\Documentos\MALENTIN KARIME\VTA. PROPIEDAD\2014\FLORA TAPIA A Blanca Tapia minuta.doc", "Abrir Documento")</f>
        <v>0</v>
      </c>
      <c r="D1959" t="s">
        <v>23500</v>
      </c>
      <c r="E1959" t="s">
        <v>25458</v>
      </c>
    </row>
    <row r="1960" spans="1:5">
      <c r="A1960" t="s">
        <v>6</v>
      </c>
      <c r="B1960" t="s">
        <v>1965</v>
      </c>
      <c r="C1960">
        <f>HYPERLINK("C:\Users\franc\OneDrive\Documentos\MALENTIN KARIME\VTA. PROPIEDAD\2014\FANTINA BRICENO A SUSANA ROJAS Cony adm.doc", "Abrir Documento")</f>
        <v>0</v>
      </c>
      <c r="D1960" t="s">
        <v>23500</v>
      </c>
      <c r="E1960" t="s">
        <v>25459</v>
      </c>
    </row>
    <row r="1961" spans="1:5">
      <c r="A1961" t="s">
        <v>6</v>
      </c>
      <c r="B1961" t="s">
        <v>1966</v>
      </c>
      <c r="C1961">
        <f>HYPERLINK("C:\Users\franc\OneDrive\Documentos\MALENTIN KARIME\VTA. PROPIEDAD\2014\ELIZABETH VARGAS JOFRE cvta usufructo.doc", "Abrir Documento")</f>
        <v>0</v>
      </c>
      <c r="D1961" t="s">
        <v>23500</v>
      </c>
      <c r="E1961" t="s">
        <v>25460</v>
      </c>
    </row>
    <row r="1962" spans="1:5">
      <c r="A1962" t="s">
        <v>6</v>
      </c>
      <c r="B1962" t="s">
        <v>1967</v>
      </c>
      <c r="C1962">
        <f>HYPERLINK("C:\Users\franc\OneDrive\Documentos\MALENTIN KARIME\VTA. PROPIEDAD\2014\EDUARDO VIGORENA MANCILLA 100 Derechos.doc", "Abrir Documento")</f>
        <v>0</v>
      </c>
      <c r="D1962" t="s">
        <v>23500</v>
      </c>
      <c r="E1962" t="s">
        <v>25461</v>
      </c>
    </row>
    <row r="1963" spans="1:5">
      <c r="A1963" t="s">
        <v>6</v>
      </c>
      <c r="B1963" t="s">
        <v>1968</v>
      </c>
      <c r="C1963">
        <f>HYPERLINK("C:\Users\franc\OneDrive\Documentos\MALENTIN KARIME\VTA. PROPIEDAD\2014\EDUARDO ARAYA ROJAS A Viviana Cortes Rivera Art 150.doc", "Abrir Documento")</f>
        <v>0</v>
      </c>
      <c r="D1963" t="s">
        <v>23500</v>
      </c>
      <c r="E1963" t="s">
        <v>25462</v>
      </c>
    </row>
    <row r="1964" spans="1:5">
      <c r="A1964" t="s">
        <v>6</v>
      </c>
      <c r="B1964" t="s">
        <v>1969</v>
      </c>
      <c r="C1964">
        <f>HYPERLINK("C:\Users\franc\OneDrive\Documentos\MALENTIN KARIME\VTA. PROPIEDAD\2014\EDMUNDO LOYOLA Cony autoriza.doc", "Abrir Documento")</f>
        <v>0</v>
      </c>
      <c r="D1964" t="s">
        <v>23500</v>
      </c>
      <c r="E1964" t="s">
        <v>25463</v>
      </c>
    </row>
    <row r="1965" spans="1:5">
      <c r="A1965" t="s">
        <v>6</v>
      </c>
      <c r="B1965" t="s">
        <v>1970</v>
      </c>
      <c r="C1965">
        <f>HYPERLINK("C:\Users\franc\OneDrive\Documentos\MALENTIN KARIME\VTA. PROPIEDAD\2014\DUALDO CONTRERAS  AVILA A Adelina Albornoz CVTA USUFRUC.doc", "Abrir Documento")</f>
        <v>0</v>
      </c>
      <c r="D1965" t="s">
        <v>23500</v>
      </c>
      <c r="E1965" t="s">
        <v>25464</v>
      </c>
    </row>
    <row r="1966" spans="1:5">
      <c r="A1966" t="s">
        <v>6</v>
      </c>
      <c r="B1966" t="s">
        <v>1971</v>
      </c>
      <c r="C1966">
        <f>HYPERLINK("C:\Users\franc\OneDrive\Documentos\MALENTIN KARIME\VTA. PROPIEDAD\2014\DIGNA ROJAS ARAYA 100 Derechos.doc", "Abrir Documento")</f>
        <v>0</v>
      </c>
      <c r="D1966" t="s">
        <v>23500</v>
      </c>
      <c r="E1966" t="s">
        <v>25465</v>
      </c>
    </row>
    <row r="1967" spans="1:5">
      <c r="A1967" t="s">
        <v>6</v>
      </c>
      <c r="B1967" t="s">
        <v>1972</v>
      </c>
      <c r="C1967">
        <f>HYPERLINK("C:\Users\franc\OneDrive\Documentos\MALENTIN KARIME\VTA. PROPIEDAD\2014\DAVID USEDO ROJAS Y ART 150.doc", "Abrir Documento")</f>
        <v>0</v>
      </c>
      <c r="D1967" t="s">
        <v>23500</v>
      </c>
      <c r="E1967" t="s">
        <v>25466</v>
      </c>
    </row>
    <row r="1968" spans="1:5">
      <c r="A1968" t="s">
        <v>6</v>
      </c>
      <c r="B1968" t="s">
        <v>1973</v>
      </c>
      <c r="C1968">
        <f>HYPERLINK("C:\Users\franc\OneDrive\Documentos\MALENTIN KARIME\VTA. PROPIEDAD\2014\CLODOMIRO ALVAREZ herencia.doc", "Abrir Documento")</f>
        <v>0</v>
      </c>
      <c r="D1968" t="s">
        <v>23500</v>
      </c>
      <c r="E1968" t="s">
        <v>25467</v>
      </c>
    </row>
    <row r="1969" spans="1:5">
      <c r="A1969" t="s">
        <v>6</v>
      </c>
      <c r="B1969" t="s">
        <v>1974</v>
      </c>
      <c r="C1969">
        <f>HYPERLINK("C:\Users\franc\OneDrive\Documentos\MALENTIN KARIME\VTA. PROPIEDAD\2014\CLAUDIA VASQUEZ CASTILO A Elba Castillo  solteros.doc", "Abrir Documento")</f>
        <v>0</v>
      </c>
      <c r="D1969" t="s">
        <v>23500</v>
      </c>
      <c r="E1969" t="s">
        <v>25468</v>
      </c>
    </row>
    <row r="1970" spans="1:5">
      <c r="A1970" t="s">
        <v>6</v>
      </c>
      <c r="B1970" t="s">
        <v>1975</v>
      </c>
      <c r="C1970">
        <f>HYPERLINK("C:\Users\franc\OneDrive\Documentos\MALENTIN KARIME\VTA. PROPIEDAD\2014\CAROL CORTES ARAYA A LORENZO CORTES JOFRE Corporacion Judicical.doc", "Abrir Documento")</f>
        <v>0</v>
      </c>
      <c r="D1970" t="s">
        <v>23500</v>
      </c>
      <c r="E1970" t="s">
        <v>25469</v>
      </c>
    </row>
    <row r="1971" spans="1:5">
      <c r="A1971" t="s">
        <v>6</v>
      </c>
      <c r="B1971" t="s">
        <v>1976</v>
      </c>
      <c r="C1971">
        <f>HYPERLINK("C:\Users\franc\OneDrive\Documentos\MALENTIN KARIME\VTA. PROPIEDAD\2014\CARLOS CARVAJAL RODRIGUEZ 18 B 5.doc", "Abrir Documento")</f>
        <v>0</v>
      </c>
      <c r="D1971" t="s">
        <v>23500</v>
      </c>
      <c r="E1971" t="s">
        <v>25470</v>
      </c>
    </row>
    <row r="1972" spans="1:5">
      <c r="A1972" t="s">
        <v>6</v>
      </c>
      <c r="B1972" t="s">
        <v>1977</v>
      </c>
      <c r="C1972">
        <f>HYPERLINK("C:\Users\franc\OneDrive\Documentos\MALENTIN KARIME\VTA. PROPIEDAD\2014\CARLOS CARVAJAL RODRIGUEZ 18 B 3 sin poder.doc", "Abrir Documento")</f>
        <v>0</v>
      </c>
      <c r="D1972" t="s">
        <v>23500</v>
      </c>
      <c r="E1972" t="s">
        <v>25471</v>
      </c>
    </row>
    <row r="1973" spans="1:5">
      <c r="A1973" t="s">
        <v>6</v>
      </c>
      <c r="B1973" t="s">
        <v>1978</v>
      </c>
      <c r="C1973">
        <f>HYPERLINK("C:\Users\franc\OneDrive\Documentos\MALENTIN KARIME\VTA. PROPIEDAD\2014\CARLOS CARVAJAL RODRIGUEZ 18 B 14.doc", "Abrir Documento")</f>
        <v>0</v>
      </c>
      <c r="D1973" t="s">
        <v>23500</v>
      </c>
      <c r="E1973" t="s">
        <v>25472</v>
      </c>
    </row>
    <row r="1974" spans="1:5">
      <c r="A1974" t="s">
        <v>6</v>
      </c>
      <c r="B1974" t="s">
        <v>1979</v>
      </c>
      <c r="C1974">
        <f>HYPERLINK("C:\Users\franc\OneDrive\Documentos\MALENTIN KARIME\VTA. PROPIEDAD\2014\CARLOS CARVAJAL RODRIGUEZ 18 B 13 poder.doc", "Abrir Documento")</f>
        <v>0</v>
      </c>
      <c r="D1974" t="s">
        <v>23500</v>
      </c>
      <c r="E1974" t="s">
        <v>25473</v>
      </c>
    </row>
    <row r="1975" spans="1:5">
      <c r="A1975" t="s">
        <v>6</v>
      </c>
      <c r="B1975" t="s">
        <v>1980</v>
      </c>
      <c r="C1975">
        <f>HYPERLINK("C:\Users\franc\OneDrive\Documentos\MALENTIN KARIME\VTA. PROPIEDAD\2014\CARLOS CARVAJAL RODRIGUEZ 18 B 12 sin poder.doc", "Abrir Documento")</f>
        <v>0</v>
      </c>
      <c r="D1975" t="s">
        <v>23500</v>
      </c>
      <c r="E1975" t="s">
        <v>25474</v>
      </c>
    </row>
    <row r="1976" spans="1:5">
      <c r="A1976" t="s">
        <v>6</v>
      </c>
      <c r="B1976" t="s">
        <v>1981</v>
      </c>
      <c r="C1976">
        <f>HYPERLINK("C:\Users\franc\OneDrive\Documentos\MALENTIN KARIME\VTA. PROPIEDAD\2014\CARLOS CARVAJAL RODRIGUEZ 18 B 12 sin poder fianl.doc", "Abrir Documento")</f>
        <v>0</v>
      </c>
      <c r="D1976" t="s">
        <v>23500</v>
      </c>
      <c r="E1976" t="s">
        <v>25475</v>
      </c>
    </row>
    <row r="1977" spans="1:5">
      <c r="A1977" t="s">
        <v>6</v>
      </c>
      <c r="B1977" t="s">
        <v>1982</v>
      </c>
      <c r="C1977">
        <f>HYPERLINK("C:\Users\franc\OneDrive\Documentos\MALENTIN KARIME\VTA. PROPIEDAD\2014\CARLOS CARVAJAL RODRIGUEZ 18 B 10 poder.doc", "Abrir Documento")</f>
        <v>0</v>
      </c>
      <c r="D1977" t="s">
        <v>23500</v>
      </c>
      <c r="E1977" t="s">
        <v>25476</v>
      </c>
    </row>
    <row r="1978" spans="1:5">
      <c r="A1978" t="s">
        <v>6</v>
      </c>
      <c r="B1978" t="s">
        <v>1983</v>
      </c>
      <c r="C1978">
        <f>HYPERLINK("C:\Users\franc\OneDrive\Documentos\MALENTIN KARIME\VTA. PROPIEDAD\2014\CARLOS CARVAJAL RODRIGUEZ 18 B 1 poder.doc", "Abrir Documento")</f>
        <v>0</v>
      </c>
      <c r="D1978" t="s">
        <v>23500</v>
      </c>
      <c r="E1978" t="s">
        <v>25477</v>
      </c>
    </row>
    <row r="1979" spans="1:5">
      <c r="A1979" t="s">
        <v>6</v>
      </c>
      <c r="B1979" t="s">
        <v>1984</v>
      </c>
      <c r="C1979">
        <f>HYPERLINK("C:\Users\franc\OneDrive\Documentos\MALENTIN KARIME\VTA. PROPIEDAD\2014\CARLOS CARVAJAL RODRIGUEZ 18 A 2 modelo.doc", "Abrir Documento")</f>
        <v>0</v>
      </c>
      <c r="D1979" t="s">
        <v>23500</v>
      </c>
      <c r="E1979" t="s">
        <v>25478</v>
      </c>
    </row>
    <row r="1980" spans="1:5">
      <c r="A1980" t="s">
        <v>6</v>
      </c>
      <c r="B1980" t="s">
        <v>1985</v>
      </c>
      <c r="C1980">
        <f>HYPERLINK("C:\Users\franc\OneDrive\Documentos\MALENTIN KARIME\VTA. PROPIEDAD\2014\CARLOS CARVAJAL RODRIGUEZ 18 A 12.doc", "Abrir Documento")</f>
        <v>0</v>
      </c>
      <c r="D1980" t="s">
        <v>23500</v>
      </c>
      <c r="E1980" t="s">
        <v>25479</v>
      </c>
    </row>
    <row r="1981" spans="1:5">
      <c r="A1981" t="s">
        <v>6</v>
      </c>
      <c r="B1981" t="s">
        <v>1986</v>
      </c>
      <c r="C1981">
        <f>HYPERLINK("C:\Users\franc\OneDrive\Documentos\MALENTIN KARIME\VTA. PROPIEDAD\2014\CARLOS CARVAJAL Recibo de Dinero.doc", "Abrir Documento")</f>
        <v>0</v>
      </c>
      <c r="D1981" t="s">
        <v>23500</v>
      </c>
      <c r="E1981" t="s">
        <v>25480</v>
      </c>
    </row>
    <row r="1982" spans="1:5">
      <c r="A1982" t="s">
        <v>6</v>
      </c>
      <c r="B1982" t="s">
        <v>1987</v>
      </c>
      <c r="C1982">
        <f>HYPERLINK("C:\Users\franc\OneDrive\Documentos\MALENTIN KARIME\VTA. PROPIEDAD\2014\ATANASIO ALFARO A Zaida Aguilera CVTA USUFRUC.doc", "Abrir Documento")</f>
        <v>0</v>
      </c>
      <c r="D1982" t="s">
        <v>23500</v>
      </c>
      <c r="E1982" t="s">
        <v>25481</v>
      </c>
    </row>
    <row r="1983" spans="1:5">
      <c r="A1983" t="s">
        <v>6</v>
      </c>
      <c r="B1983" t="s">
        <v>1988</v>
      </c>
      <c r="C1983">
        <f>HYPERLINK("C:\Users\franc\OneDrive\Documentos\MALENTIN KARIME\VTA. PROPIEDAD\2014\ANIBAL CUELLO RAMIREZ.doc", "Abrir Documento")</f>
        <v>0</v>
      </c>
      <c r="D1983" t="s">
        <v>23500</v>
      </c>
      <c r="E1983" t="s">
        <v>25482</v>
      </c>
    </row>
    <row r="1984" spans="1:5">
      <c r="A1984" t="s">
        <v>6</v>
      </c>
      <c r="B1984" t="s">
        <v>1989</v>
      </c>
      <c r="C1984">
        <f>HYPERLINK("C:\Users\franc\OneDrive\Documentos\MALENTIN KARIME\VTA. PROPIEDAD\YESSICA GONZALEZ A RAFAEL ARAYA.doc", "Abrir Documento")</f>
        <v>0</v>
      </c>
      <c r="D1984" t="s">
        <v>23500</v>
      </c>
      <c r="E1984" t="s">
        <v>25483</v>
      </c>
    </row>
    <row r="1985" spans="1:5">
      <c r="A1985" t="s">
        <v>6</v>
      </c>
      <c r="B1985" t="s">
        <v>1990</v>
      </c>
      <c r="C1985">
        <f>HYPERLINK("C:\Users\franc\OneDrive\Documentos\MALENTIN KARIME\VTA. PROPIEDAD\XIMENA ABBOTT LARRAIN.doc", "Abrir Documento")</f>
        <v>0</v>
      </c>
      <c r="D1985" t="s">
        <v>23500</v>
      </c>
      <c r="E1985" t="s">
        <v>25484</v>
      </c>
    </row>
    <row r="1986" spans="1:5">
      <c r="A1986" t="s">
        <v>6</v>
      </c>
      <c r="B1986" t="s">
        <v>1991</v>
      </c>
      <c r="C1986">
        <f>HYPERLINK("C:\Users\franc\OneDrive\Documentos\MALENTIN KARIME\VTA. PROPIEDAD\VIVIANA ARAYA HIDALGO A ULISES OCHOA MOROSO.doc", "Abrir Documento")</f>
        <v>0</v>
      </c>
      <c r="D1986" t="s">
        <v>23500</v>
      </c>
      <c r="E1986" t="s">
        <v>25485</v>
      </c>
    </row>
    <row r="1987" spans="1:5">
      <c r="A1987" t="s">
        <v>6</v>
      </c>
      <c r="B1987" t="s">
        <v>1992</v>
      </c>
      <c r="C1987">
        <f>HYPERLINK("C:\Users\franc\OneDrive\Documentos\MALENTIN KARIME\VTA. PROPIEDAD\UVALDO LEYTON ALFARO A SANDRA LEYTON autoriza cónyuge.doc", "Abrir Documento")</f>
        <v>0</v>
      </c>
      <c r="D1987" t="s">
        <v>23500</v>
      </c>
      <c r="E1987" t="s">
        <v>25486</v>
      </c>
    </row>
    <row r="1988" spans="1:5">
      <c r="A1988" t="s">
        <v>6</v>
      </c>
      <c r="B1988" t="s">
        <v>1993</v>
      </c>
      <c r="C1988">
        <f>HYPERLINK("C:\Users\franc\OneDrive\Documentos\MALENTIN KARIME\VTA. PROPIEDAD\URSULA LUTTGUES A  JUAN ARAYA Proh.Legal.doc", "Abrir Documento")</f>
        <v>0</v>
      </c>
      <c r="D1988" t="s">
        <v>23500</v>
      </c>
      <c r="E1988" t="s">
        <v>25487</v>
      </c>
    </row>
    <row r="1989" spans="1:5">
      <c r="A1989" t="s">
        <v>6</v>
      </c>
      <c r="B1989" t="s">
        <v>1994</v>
      </c>
      <c r="C1989">
        <f>HYPERLINK("C:\Users\franc\OneDrive\Documentos\MALENTIN KARIME\VTA. PROPIEDAD\TERESA CORTES TELLO A PAMELA GONZALEZ.doc", "Abrir Documento")</f>
        <v>0</v>
      </c>
      <c r="D1989" t="s">
        <v>23500</v>
      </c>
      <c r="E1989" t="s">
        <v>25488</v>
      </c>
    </row>
    <row r="1990" spans="1:5">
      <c r="A1990" t="s">
        <v>6</v>
      </c>
      <c r="B1990" t="s">
        <v>1995</v>
      </c>
      <c r="C1990">
        <f>HYPERLINK("C:\Users\franc\OneDrive\Documentos\MALENTIN KARIME\VTA. PROPIEDAD\TASACIONES Y SERVICIOS INMOBILIARIOS LTDA..doc", "Abrir Documento")</f>
        <v>0</v>
      </c>
      <c r="D1990" t="s">
        <v>23500</v>
      </c>
      <c r="E1990" t="s">
        <v>25489</v>
      </c>
    </row>
    <row r="1991" spans="1:5">
      <c r="A1991" t="s">
        <v>6</v>
      </c>
      <c r="B1991" t="s">
        <v>1996</v>
      </c>
      <c r="C1991">
        <f>HYPERLINK("C:\Users\franc\OneDrive\Documentos\MALENTIN KARIME\VTA. PROPIEDAD\SYLVIA FLORES ALVAREZ Con agua.doc", "Abrir Documento")</f>
        <v>0</v>
      </c>
      <c r="D1991" t="s">
        <v>23500</v>
      </c>
      <c r="E1991" t="s">
        <v>25490</v>
      </c>
    </row>
    <row r="1992" spans="1:5">
      <c r="A1992" t="s">
        <v>6</v>
      </c>
      <c r="B1992" t="s">
        <v>1997</v>
      </c>
      <c r="C1992">
        <f>HYPERLINK("C:\Users\franc\OneDrive\Documentos\MALENTIN KARIME\VTA. PROPIEDAD\SYLVIA ELENA A RODRIGO  ALCAYA Proh.Legal Terreno.doc", "Abrir Documento")</f>
        <v>0</v>
      </c>
      <c r="D1992" t="s">
        <v>23500</v>
      </c>
      <c r="E1992" t="s">
        <v>25491</v>
      </c>
    </row>
    <row r="1993" spans="1:5">
      <c r="A1993" t="s">
        <v>6</v>
      </c>
      <c r="B1993" t="s">
        <v>1998</v>
      </c>
      <c r="C1993">
        <f>HYPERLINK("C:\Users\franc\OneDrive\Documentos\MALENTIN KARIME\VTA. PROPIEDAD\sucesion IRMA GONZALEZ Y VICTOR.doc", "Abrir Documento")</f>
        <v>0</v>
      </c>
      <c r="D1993" t="s">
        <v>23500</v>
      </c>
      <c r="E1993" t="s">
        <v>25492</v>
      </c>
    </row>
    <row r="1994" spans="1:5">
      <c r="A1994" t="s">
        <v>6</v>
      </c>
      <c r="B1994" t="s">
        <v>1999</v>
      </c>
      <c r="C1994">
        <f>HYPERLINK("C:\Users\franc\OneDrive\Documentos\MALENTIN KARIME\VTA. PROPIEDAD\SUCESION BUGUEÑO TELLO.doc", "Abrir Documento")</f>
        <v>0</v>
      </c>
      <c r="D1994" t="s">
        <v>23500</v>
      </c>
      <c r="E1994" t="s">
        <v>25493</v>
      </c>
    </row>
    <row r="1995" spans="1:5">
      <c r="A1995" t="s">
        <v>6</v>
      </c>
      <c r="B1995" t="s">
        <v>2000</v>
      </c>
      <c r="C1995">
        <f>HYPERLINK("C:\Users\franc\OneDrive\Documentos\MALENTIN KARIME\VTA. PROPIEDAD\SUCESION AMELIA MEDALLA DELSO Derechos.doc", "Abrir Documento")</f>
        <v>0</v>
      </c>
      <c r="D1995" t="s">
        <v>23500</v>
      </c>
      <c r="E1995" t="s">
        <v>25494</v>
      </c>
    </row>
    <row r="1996" spans="1:5">
      <c r="A1996" t="s">
        <v>6</v>
      </c>
      <c r="B1996" t="s">
        <v>2001</v>
      </c>
      <c r="C1996">
        <f>HYPERLINK("C:\Users\franc\OneDrive\Documentos\MALENTIN KARIME\VTA. PROPIEDAD\SILVIA PLAZA OROSTEGUI A Orieta Cisternas.doc", "Abrir Documento")</f>
        <v>0</v>
      </c>
      <c r="D1996" t="s">
        <v>23500</v>
      </c>
      <c r="E1996" t="s">
        <v>25495</v>
      </c>
    </row>
    <row r="1997" spans="1:5">
      <c r="A1997" t="s">
        <v>6</v>
      </c>
      <c r="B1997" t="s">
        <v>2002</v>
      </c>
      <c r="C1997">
        <f>HYPERLINK("C:\Users\franc\OneDrive\Documentos\MALENTIN KARIME\VTA. PROPIEDAD\SERGIO PASCUAL a Bernardo Barraza 100 Derechos.doc", "Abrir Documento")</f>
        <v>0</v>
      </c>
      <c r="D1997" t="s">
        <v>23500</v>
      </c>
      <c r="E1997" t="s">
        <v>25496</v>
      </c>
    </row>
    <row r="1998" spans="1:5">
      <c r="A1998" t="s">
        <v>6</v>
      </c>
      <c r="B1998" t="s">
        <v>2003</v>
      </c>
      <c r="C1998">
        <f>HYPERLINK("C:\Users\franc\OneDrive\Documentos\MALENTIN KARIME\VTA. PROPIEDAD\SANDRA GAETE OLMEDO A ANA ARENAS solteros.doc", "Abrir Documento")</f>
        <v>0</v>
      </c>
      <c r="D1998" t="s">
        <v>23500</v>
      </c>
      <c r="E1998" t="s">
        <v>25497</v>
      </c>
    </row>
    <row r="1999" spans="1:5">
      <c r="A1999" t="s">
        <v>6</v>
      </c>
      <c r="B1999" t="s">
        <v>2004</v>
      </c>
      <c r="C1999">
        <f>HYPERLINK("C:\Users\franc\OneDrive\Documentos\MALENTIN KARIME\VTA. PROPIEDAD\SANDRA GAETE OLMEDO A Ana Arenas Miranda.doc", "Abrir Documento")</f>
        <v>0</v>
      </c>
      <c r="D1999" t="s">
        <v>23500</v>
      </c>
      <c r="E1999" t="s">
        <v>25498</v>
      </c>
    </row>
    <row r="2000" spans="1:5">
      <c r="A2000" t="s">
        <v>6</v>
      </c>
      <c r="B2000" t="s">
        <v>2005</v>
      </c>
      <c r="C2000">
        <f>HYPERLINK("C:\Users\franc\OneDrive\Documentos\MALENTIN KARIME\VTA. PROPIEDAD\SANDRA GAETE OLMEDO A Ana Arenas Miranda AUTOCONTRATAR.doc", "Abrir Documento")</f>
        <v>0</v>
      </c>
      <c r="D2000" t="s">
        <v>23500</v>
      </c>
      <c r="E2000" t="s">
        <v>25499</v>
      </c>
    </row>
    <row r="2001" spans="1:5">
      <c r="A2001" t="s">
        <v>6</v>
      </c>
      <c r="B2001" t="s">
        <v>2006</v>
      </c>
      <c r="C2001">
        <f>HYPERLINK("C:\Users\franc\OneDrive\Documentos\MALENTIN KARIME\VTA. PROPIEDAD\SAMUEL VILLARROEL A Ella solteros.doc", "Abrir Documento")</f>
        <v>0</v>
      </c>
      <c r="D2001" t="s">
        <v>23500</v>
      </c>
      <c r="E2001" t="s">
        <v>25500</v>
      </c>
    </row>
    <row r="2002" spans="1:5">
      <c r="A2002" t="s">
        <v>6</v>
      </c>
      <c r="B2002" t="s">
        <v>2007</v>
      </c>
      <c r="C2002">
        <f>HYPERLINK("C:\Users\franc\OneDrive\Documentos\MALENTIN KARIME\VTA. PROPIEDAD\ROSA VARAS ROBLES A Ceferino Segovia Solteras.doc", "Abrir Documento")</f>
        <v>0</v>
      </c>
      <c r="D2002" t="s">
        <v>23500</v>
      </c>
      <c r="E2002" t="s">
        <v>25501</v>
      </c>
    </row>
    <row r="2003" spans="1:5">
      <c r="A2003" t="s">
        <v>6</v>
      </c>
      <c r="B2003" t="s">
        <v>2008</v>
      </c>
      <c r="C2003">
        <f>HYPERLINK("C:\Users\franc\OneDrive\Documentos\MALENTIN KARIME\VTA. PROPIEDAD\ROSA TAPIA A SILVA URQUETA Conyuge Administrador.doc", "Abrir Documento")</f>
        <v>0</v>
      </c>
      <c r="D2003" t="s">
        <v>23500</v>
      </c>
      <c r="E2003" t="s">
        <v>25502</v>
      </c>
    </row>
    <row r="2004" spans="1:5">
      <c r="A2004" t="s">
        <v>6</v>
      </c>
      <c r="B2004" t="s">
        <v>2009</v>
      </c>
      <c r="C2004">
        <f>HYPERLINK("C:\Users\franc\OneDrive\Documentos\MALENTIN KARIME\VTA. PROPIEDAD\ROSA OCHOA PAEZ Sucesion y p.p.doc", "Abrir Documento")</f>
        <v>0</v>
      </c>
      <c r="D2004" t="s">
        <v>23500</v>
      </c>
      <c r="E2004" t="s">
        <v>25503</v>
      </c>
    </row>
    <row r="2005" spans="1:5">
      <c r="A2005" t="s">
        <v>6</v>
      </c>
      <c r="B2005" t="s">
        <v>2010</v>
      </c>
      <c r="C2005">
        <f>HYPERLINK("C:\Users\franc\OneDrive\Documentos\MALENTIN KARIME\VTA. PROPIEDAD\ROSA CORTES RUBINA A CINTIHA ROJAS RIVERA.doc", "Abrir Documento")</f>
        <v>0</v>
      </c>
      <c r="D2005" t="s">
        <v>23500</v>
      </c>
      <c r="E2005" t="s">
        <v>25504</v>
      </c>
    </row>
    <row r="2006" spans="1:5">
      <c r="A2006" t="s">
        <v>6</v>
      </c>
      <c r="B2006" t="s">
        <v>2011</v>
      </c>
      <c r="C2006">
        <f>HYPERLINK("C:\Users\franc\OneDrive\Documentos\MALENTIN KARIME\VTA. PROPIEDAD\ROSA CORTES A ABEL CORTES.doc", "Abrir Documento")</f>
        <v>0</v>
      </c>
      <c r="D2006" t="s">
        <v>23500</v>
      </c>
      <c r="E2006" t="s">
        <v>25505</v>
      </c>
    </row>
    <row r="2007" spans="1:5">
      <c r="A2007" t="s">
        <v>6</v>
      </c>
      <c r="B2007" t="s">
        <v>2012</v>
      </c>
      <c r="C2007">
        <f>HYPERLINK("C:\Users\franc\OneDrive\Documentos\MALENTIN KARIME\VTA. PROPIEDAD\ROSA CASTILLO GENERAL A MIGUEL GODOY Minuta Luis gallardo.doc", "Abrir Documento")</f>
        <v>0</v>
      </c>
      <c r="D2007" t="s">
        <v>23500</v>
      </c>
      <c r="E2007" t="s">
        <v>25506</v>
      </c>
    </row>
    <row r="2008" spans="1:5">
      <c r="A2008" t="s">
        <v>6</v>
      </c>
      <c r="B2008" t="s">
        <v>2013</v>
      </c>
      <c r="C2008">
        <f>HYPERLINK("C:\Users\franc\OneDrive\Documentos\MALENTIN KARIME\VTA. PROPIEDAD\RENE GODOY A GALVARINO GONZALEZ Monte Patria Minuta.doc", "Abrir Documento")</f>
        <v>0</v>
      </c>
      <c r="D2008" t="s">
        <v>23500</v>
      </c>
      <c r="E2008" t="s">
        <v>25507</v>
      </c>
    </row>
    <row r="2009" spans="1:5">
      <c r="A2009" t="s">
        <v>6</v>
      </c>
      <c r="B2009" t="s">
        <v>2014</v>
      </c>
      <c r="C2009">
        <f>HYPERLINK("C:\Users\franc\OneDrive\Documentos\MALENTIN KARIME\VTA. PROPIEDAD\RAUL MALUENDA A Massiel Maluenda Cvta Usufructo.doc", "Abrir Documento")</f>
        <v>0</v>
      </c>
      <c r="D2009" t="s">
        <v>23500</v>
      </c>
      <c r="E2009" t="s">
        <v>25508</v>
      </c>
    </row>
    <row r="2010" spans="1:5">
      <c r="A2010" t="s">
        <v>6</v>
      </c>
      <c r="B2010" t="s">
        <v>2015</v>
      </c>
      <c r="C2010">
        <f>HYPERLINK("C:\Users\franc\OneDrive\Documentos\MALENTIN KARIME\VTA. PROPIEDAD\RAUL CONTRERAS A mery contreras ubillo usufructo.doc", "Abrir Documento")</f>
        <v>0</v>
      </c>
      <c r="D2010" t="s">
        <v>23500</v>
      </c>
      <c r="E2010" t="s">
        <v>25509</v>
      </c>
    </row>
    <row r="2011" spans="1:5">
      <c r="A2011" t="s">
        <v>6</v>
      </c>
      <c r="B2011" t="s">
        <v>2016</v>
      </c>
      <c r="C2011">
        <f>HYPERLINK("C:\Users\franc\OneDrive\Documentos\MALENTIN KARIME\VTA. PROPIEDAD\PEDRO ROJO A HUGO DIAZ Servd.doc", "Abrir Documento")</f>
        <v>0</v>
      </c>
      <c r="D2011" t="s">
        <v>23500</v>
      </c>
      <c r="E2011" t="s">
        <v>25510</v>
      </c>
    </row>
    <row r="2012" spans="1:5">
      <c r="A2012" t="s">
        <v>6</v>
      </c>
      <c r="B2012" t="s">
        <v>2017</v>
      </c>
      <c r="C2012">
        <f>HYPERLINK("C:\Users\franc\OneDrive\Documentos\MALENTIN KARIME\VTA. PROPIEDAD\PEDRO PIÑONES ANTIQUERA A PEDRO VEGA.doc", "Abrir Documento")</f>
        <v>0</v>
      </c>
      <c r="D2012" t="s">
        <v>23500</v>
      </c>
      <c r="E2012" t="s">
        <v>25511</v>
      </c>
    </row>
    <row r="2013" spans="1:5">
      <c r="A2013" t="s">
        <v>6</v>
      </c>
      <c r="B2013" t="s">
        <v>2018</v>
      </c>
      <c r="C2013">
        <f>HYPERLINK("C:\Users\franc\OneDrive\Documentos\MALENTIN KARIME\VTA. PROPIEDAD\PATRICIO JIMENEZ A LUIS ARAYA.doc", "Abrir Documento")</f>
        <v>0</v>
      </c>
      <c r="D2013" t="s">
        <v>23500</v>
      </c>
      <c r="E2013" t="s">
        <v>25512</v>
      </c>
    </row>
    <row r="2014" spans="1:5">
      <c r="A2014" t="s">
        <v>6</v>
      </c>
      <c r="B2014" t="s">
        <v>2019</v>
      </c>
      <c r="C2014">
        <f>HYPERLINK("C:\Users\franc\OneDrive\Documentos\MALENTIN KARIME\VTA. PROPIEDAD\PATRICIA VALENZUELA ARAYA.doc", "Abrir Documento")</f>
        <v>0</v>
      </c>
      <c r="D2014" t="s">
        <v>23500</v>
      </c>
      <c r="E2014" t="s">
        <v>25513</v>
      </c>
    </row>
    <row r="2015" spans="1:5">
      <c r="A2015" t="s">
        <v>6</v>
      </c>
      <c r="B2015" t="s">
        <v>2020</v>
      </c>
      <c r="C2015">
        <f>HYPERLINK("C:\Users\franc\OneDrive\Documentos\MALENTIN KARIME\VTA. PROPIEDAD\PAMELA CAMPOS DIAZ Derechos.doc", "Abrir Documento")</f>
        <v>0</v>
      </c>
      <c r="D2015" t="s">
        <v>23500</v>
      </c>
      <c r="E2015" t="s">
        <v>25514</v>
      </c>
    </row>
    <row r="2016" spans="1:5">
      <c r="A2016" t="s">
        <v>6</v>
      </c>
      <c r="B2016" t="s">
        <v>2021</v>
      </c>
      <c r="C2016">
        <f>HYPERLINK("C:\Users\franc\OneDrive\Documentos\MALENTIN KARIME\VTA. PROPIEDAD\OSCAR FERNANDEZ MORA.doc", "Abrir Documento")</f>
        <v>0</v>
      </c>
      <c r="D2016" t="s">
        <v>23500</v>
      </c>
      <c r="E2016" t="s">
        <v>25515</v>
      </c>
    </row>
    <row r="2017" spans="1:5">
      <c r="A2017" t="s">
        <v>6</v>
      </c>
      <c r="B2017" t="s">
        <v>2022</v>
      </c>
      <c r="C2017">
        <f>HYPERLINK("C:\Users\franc\OneDrive\Documentos\MALENTIN KARIME\VTA. PROPIEDAD\OSCAR FERNANDEZ MORA Instrucciones.doc", "Abrir Documento")</f>
        <v>0</v>
      </c>
      <c r="D2017" t="s">
        <v>23500</v>
      </c>
      <c r="E2017" t="s">
        <v>25516</v>
      </c>
    </row>
    <row r="2018" spans="1:5">
      <c r="A2018" t="s">
        <v>6</v>
      </c>
      <c r="B2018" t="s">
        <v>2023</v>
      </c>
      <c r="C2018">
        <f>HYPERLINK("C:\Users\franc\OneDrive\Documentos\MALENTIN KARIME\VTA. PROPIEDAD\ORLANDA DIAZ A IVAN JAIME solteros DERECHOS.doc", "Abrir Documento")</f>
        <v>0</v>
      </c>
      <c r="D2018" t="s">
        <v>23500</v>
      </c>
      <c r="E2018" t="s">
        <v>25517</v>
      </c>
    </row>
    <row r="2019" spans="1:5">
      <c r="A2019" t="s">
        <v>6</v>
      </c>
      <c r="B2019" t="s">
        <v>2024</v>
      </c>
      <c r="C2019">
        <f>HYPERLINK("C:\Users\franc\OneDrive\Documentos\MALENTIN KARIME\VTA. PROPIEDAD\NORBERTO DIAZ DIAZ A MARINA ELGUEDA ARAYAProh.Legal.doc", "Abrir Documento")</f>
        <v>0</v>
      </c>
      <c r="D2019" t="s">
        <v>23500</v>
      </c>
      <c r="E2019" t="s">
        <v>25518</v>
      </c>
    </row>
    <row r="2020" spans="1:5">
      <c r="A2020" t="s">
        <v>6</v>
      </c>
      <c r="B2020" t="s">
        <v>2025</v>
      </c>
      <c r="C2020">
        <f>HYPERLINK("C:\Users\franc\OneDrive\Documentos\MALENTIN KARIME\VTA. PROPIEDAD\NOELFA TAPIA A Susana Morales solteros.doc", "Abrir Documento")</f>
        <v>0</v>
      </c>
      <c r="D2020" t="s">
        <v>23500</v>
      </c>
      <c r="E2020" t="s">
        <v>25519</v>
      </c>
    </row>
    <row r="2021" spans="1:5">
      <c r="A2021" t="s">
        <v>6</v>
      </c>
      <c r="B2021" t="s">
        <v>2026</v>
      </c>
      <c r="C2021">
        <f>HYPERLINK("C:\Users\franc\OneDrive\Documentos\MALENTIN KARIME\VTA. PROPIEDAD\NEVA PEÑA CERECEDA  Minuta l. Gallardo.doc", "Abrir Documento")</f>
        <v>0</v>
      </c>
      <c r="D2021" t="s">
        <v>23500</v>
      </c>
      <c r="E2021" t="s">
        <v>25520</v>
      </c>
    </row>
    <row r="2022" spans="1:5">
      <c r="A2022" t="s">
        <v>6</v>
      </c>
      <c r="B2022" t="s">
        <v>2027</v>
      </c>
      <c r="C2022">
        <f>HYPERLINK("C:\Users\franc\OneDrive\Documentos\MALENTIN KARIME\VTA. PROPIEDAD\NELIDA IRENE ZUMARAN PROH LEGAL.doc", "Abrir Documento")</f>
        <v>0</v>
      </c>
      <c r="D2022" t="s">
        <v>23500</v>
      </c>
      <c r="E2022" t="s">
        <v>25521</v>
      </c>
    </row>
    <row r="2023" spans="1:5">
      <c r="A2023" t="s">
        <v>6</v>
      </c>
      <c r="B2023" t="s">
        <v>2028</v>
      </c>
      <c r="C2023">
        <f>HYPERLINK("C:\Users\franc\OneDrive\Documentos\MALENTIN KARIME\VTA. PROPIEDAD\NEIDA CARVAJAL A JULIO ANTIÑIR solteros.doc", "Abrir Documento")</f>
        <v>0</v>
      </c>
      <c r="D2023" t="s">
        <v>23500</v>
      </c>
      <c r="E2023" t="s">
        <v>25522</v>
      </c>
    </row>
    <row r="2024" spans="1:5">
      <c r="A2024" t="s">
        <v>6</v>
      </c>
      <c r="B2024" t="s">
        <v>2029</v>
      </c>
      <c r="C2024">
        <f>HYPERLINK("C:\Users\franc\OneDrive\Documentos\MALENTIN KARIME\VTA. PROPIEDAD\MODELO CVTA Conyuge.doc", "Abrir Documento")</f>
        <v>0</v>
      </c>
      <c r="D2024" t="s">
        <v>23500</v>
      </c>
      <c r="E2024" t="s">
        <v>25523</v>
      </c>
    </row>
    <row r="2025" spans="1:5">
      <c r="A2025" t="s">
        <v>6</v>
      </c>
      <c r="B2025" t="s">
        <v>2030</v>
      </c>
      <c r="C2025">
        <f>HYPERLINK("C:\Users\franc\OneDrive\Documentos\MALENTIN KARIME\VTA. PROPIEDAD\MIRIAM SEGOVIA QUEVEDO A VICTOR SILVA Y OTROS.doc", "Abrir Documento")</f>
        <v>0</v>
      </c>
      <c r="D2025" t="s">
        <v>23500</v>
      </c>
      <c r="E2025" t="s">
        <v>25524</v>
      </c>
    </row>
    <row r="2026" spans="1:5">
      <c r="A2026" t="s">
        <v>6</v>
      </c>
      <c r="B2026" t="s">
        <v>2031</v>
      </c>
      <c r="C2026">
        <f>HYPERLINK("C:\Users\franc\OneDrive\Documentos\MALENTIN KARIME\VTA. PROPIEDAD\MILTON MALDONADO Y OTRO a Carlos Montiel.doc", "Abrir Documento")</f>
        <v>0</v>
      </c>
      <c r="D2026" t="s">
        <v>23500</v>
      </c>
      <c r="E2026" t="s">
        <v>25525</v>
      </c>
    </row>
    <row r="2027" spans="1:5">
      <c r="A2027" t="s">
        <v>6</v>
      </c>
      <c r="B2027" t="s">
        <v>2032</v>
      </c>
      <c r="C2027">
        <f>HYPERLINK("C:\Users\franc\OneDrive\Documentos\MALENTIN KARIME\VTA. PROPIEDAD\MELANIA CABELLO BARRAZA  Conyuge Administrador.doc", "Abrir Documento")</f>
        <v>0</v>
      </c>
      <c r="D2027" t="s">
        <v>23500</v>
      </c>
      <c r="E2027" t="s">
        <v>25526</v>
      </c>
    </row>
    <row r="2028" spans="1:5">
      <c r="A2028" t="s">
        <v>6</v>
      </c>
      <c r="B2028" t="s">
        <v>2033</v>
      </c>
      <c r="C2028">
        <f>HYPERLINK("C:\Users\franc\OneDrive\Documentos\MALENTIN KARIME\VTA. PROPIEDAD\MAUREEN VALENCIA GUZMAN A Paulina Galvez Agosto 13.doc", "Abrir Documento")</f>
        <v>0</v>
      </c>
      <c r="D2028" t="s">
        <v>23500</v>
      </c>
      <c r="E2028" t="s">
        <v>25527</v>
      </c>
    </row>
    <row r="2029" spans="1:5">
      <c r="A2029" t="s">
        <v>6</v>
      </c>
      <c r="B2029" t="s">
        <v>2034</v>
      </c>
      <c r="C2029">
        <f>HYPERLINK("C:\Users\franc\OneDrive\Documentos\MALENTIN KARIME\VTA. PROPIEDAD\MATILDE ZEPEDA A Emilia Zepeda.doc", "Abrir Documento")</f>
        <v>0</v>
      </c>
      <c r="D2029" t="s">
        <v>23500</v>
      </c>
      <c r="E2029" t="s">
        <v>25528</v>
      </c>
    </row>
    <row r="2030" spans="1:5">
      <c r="A2030" t="s">
        <v>6</v>
      </c>
      <c r="B2030" t="s">
        <v>2035</v>
      </c>
      <c r="C2030">
        <f>HYPERLINK("C:\Users\franc\OneDrive\Documentos\MALENTIN KARIME\VTA. PROPIEDAD\MARÍA SOLEDAD.doc", "Abrir Documento")</f>
        <v>0</v>
      </c>
      <c r="D2030" t="s">
        <v>23500</v>
      </c>
      <c r="E2030" t="s">
        <v>25529</v>
      </c>
    </row>
    <row r="2031" spans="1:5">
      <c r="A2031" t="s">
        <v>6</v>
      </c>
      <c r="B2031" t="s">
        <v>2036</v>
      </c>
      <c r="C2031">
        <f>HYPERLINK("C:\Users\franc\OneDrive\Documentos\MALENTIN KARIME\VTA. PROPIEDAD\MARIO CESPEDES MUÑOZ sucesion.doc", "Abrir Documento")</f>
        <v>0</v>
      </c>
      <c r="D2031" t="s">
        <v>23500</v>
      </c>
      <c r="E2031" t="s">
        <v>25530</v>
      </c>
    </row>
    <row r="2032" spans="1:5">
      <c r="A2032" t="s">
        <v>6</v>
      </c>
      <c r="B2032" t="s">
        <v>2037</v>
      </c>
      <c r="C2032">
        <f>HYPERLINK("C:\Users\franc\OneDrive\Documentos\MALENTIN KARIME\VTA. PROPIEDAD\MARIANA PLAZA A NILDA PLAZA.doc", "Abrir Documento")</f>
        <v>0</v>
      </c>
      <c r="D2032" t="s">
        <v>23500</v>
      </c>
      <c r="E2032" t="s">
        <v>25531</v>
      </c>
    </row>
    <row r="2033" spans="1:5">
      <c r="A2033" t="s">
        <v>6</v>
      </c>
      <c r="B2033" t="s">
        <v>2038</v>
      </c>
      <c r="C2033">
        <f>HYPERLINK("C:\Users\franc\OneDrive\Documentos\MALENTIN KARIME\VTA. PROPIEDAD\MARIA TAPIA OSSANDON A CARLOS AGUIRRE Conyuge Administrador.doc", "Abrir Documento")</f>
        <v>0</v>
      </c>
      <c r="D2033" t="s">
        <v>23500</v>
      </c>
      <c r="E2033" t="s">
        <v>25532</v>
      </c>
    </row>
    <row r="2034" spans="1:5">
      <c r="A2034" t="s">
        <v>6</v>
      </c>
      <c r="B2034" t="s">
        <v>2039</v>
      </c>
      <c r="C2034">
        <f>HYPERLINK("C:\Users\franc\OneDrive\Documentos\MALENTIN KARIME\VTA. PROPIEDAD\MARIA ROJAS GONZALEZ A PATRICIO CORTES.doc", "Abrir Documento")</f>
        <v>0</v>
      </c>
      <c r="D2034" t="s">
        <v>23500</v>
      </c>
      <c r="E2034" t="s">
        <v>25533</v>
      </c>
    </row>
    <row r="2035" spans="1:5">
      <c r="A2035" t="s">
        <v>6</v>
      </c>
      <c r="B2035" t="s">
        <v>2040</v>
      </c>
      <c r="C2035">
        <f>HYPERLINK("C:\Users\franc\OneDrive\Documentos\MALENTIN KARIME\VTA. PROPIEDAD\MARIA ROJAS CRUZ Y OTRA A Margarita Bugueño Derechos.doc", "Abrir Documento")</f>
        <v>0</v>
      </c>
      <c r="D2035" t="s">
        <v>23500</v>
      </c>
      <c r="E2035" t="s">
        <v>25534</v>
      </c>
    </row>
    <row r="2036" spans="1:5">
      <c r="A2036" t="s">
        <v>6</v>
      </c>
      <c r="B2036" t="s">
        <v>2041</v>
      </c>
      <c r="C2036">
        <f>HYPERLINK("C:\Users\franc\OneDrive\Documentos\MALENTIN KARIME\VTA. PROPIEDAD\MARIA MUÑOZ CISTERNAS A LADYS ROJAS MUÑOZ cvta usufructo.doc", "Abrir Documento")</f>
        <v>0</v>
      </c>
      <c r="D2036" t="s">
        <v>23500</v>
      </c>
      <c r="E2036" t="s">
        <v>25535</v>
      </c>
    </row>
    <row r="2037" spans="1:5">
      <c r="A2037" t="s">
        <v>6</v>
      </c>
      <c r="B2037" t="s">
        <v>2042</v>
      </c>
      <c r="C2037">
        <f>HYPERLINK("C:\Users\franc\OneDrive\Documentos\MALENTIN KARIME\VTA. PROPIEDAD\MARIA ISABEL GONZALEZ A JOSE MORALES MUÑOZ.doc", "Abrir Documento")</f>
        <v>0</v>
      </c>
      <c r="D2037" t="s">
        <v>23500</v>
      </c>
      <c r="E2037" t="s">
        <v>25536</v>
      </c>
    </row>
    <row r="2038" spans="1:5">
      <c r="A2038" t="s">
        <v>6</v>
      </c>
      <c r="B2038" t="s">
        <v>2043</v>
      </c>
      <c r="C2038">
        <f>HYPERLINK("C:\Users\franc\OneDrive\Documentos\MALENTIN KARIME\VTA. PROPIEDAD\MARIA HERNANDEZ LEYTON A LUIS CORTES.doc", "Abrir Documento")</f>
        <v>0</v>
      </c>
      <c r="D2038" t="s">
        <v>23500</v>
      </c>
      <c r="E2038" t="s">
        <v>25537</v>
      </c>
    </row>
    <row r="2039" spans="1:5">
      <c r="A2039" t="s">
        <v>6</v>
      </c>
      <c r="B2039" t="s">
        <v>2044</v>
      </c>
      <c r="C2039">
        <f>HYPERLINK("C:\Users\franc\OneDrive\Documentos\MALENTIN KARIME\VTA. PROPIEDAD\MARIA GEMITA NOVOA PALACIOS a LIDIA FLORES Solteras.doc", "Abrir Documento")</f>
        <v>0</v>
      </c>
      <c r="D2039" t="s">
        <v>23500</v>
      </c>
      <c r="E2039" t="s">
        <v>25538</v>
      </c>
    </row>
    <row r="2040" spans="1:5">
      <c r="A2040" t="s">
        <v>6</v>
      </c>
      <c r="B2040" t="s">
        <v>2045</v>
      </c>
      <c r="C2040">
        <f>HYPERLINK("C:\Users\franc\OneDrive\Documentos\MALENTIN KARIME\VTA. PROPIEDAD\MARIA CORTES A VANESSA MUÑOZ.doc", "Abrir Documento")</f>
        <v>0</v>
      </c>
      <c r="D2040" t="s">
        <v>23500</v>
      </c>
      <c r="E2040" t="s">
        <v>25539</v>
      </c>
    </row>
    <row r="2041" spans="1:5">
      <c r="A2041" t="s">
        <v>6</v>
      </c>
      <c r="B2041" t="s">
        <v>2046</v>
      </c>
      <c r="C2041">
        <f>HYPERLINK("C:\Users\franc\OneDrive\Documentos\MALENTIN KARIME\VTA. PROPIEDAD\MARIA ANGEL ARTAL A ALDO SALINAS  Proh.Legal.doc", "Abrir Documento")</f>
        <v>0</v>
      </c>
      <c r="D2041" t="s">
        <v>23500</v>
      </c>
      <c r="E2041" t="s">
        <v>25540</v>
      </c>
    </row>
    <row r="2042" spans="1:5">
      <c r="A2042" t="s">
        <v>6</v>
      </c>
      <c r="B2042" t="s">
        <v>2047</v>
      </c>
      <c r="C2042">
        <f>HYPERLINK("C:\Users\franc\OneDrive\Documentos\MALENTIN KARIME\VTA. PROPIEDAD\MARIA AGUIRRE ARAYA  A Daniel Araya y otro cvta usufructo.doc", "Abrir Documento")</f>
        <v>0</v>
      </c>
      <c r="D2042" t="s">
        <v>23500</v>
      </c>
      <c r="E2042" t="s">
        <v>25541</v>
      </c>
    </row>
    <row r="2043" spans="1:5">
      <c r="A2043" t="s">
        <v>6</v>
      </c>
      <c r="B2043" t="s">
        <v>2048</v>
      </c>
      <c r="C2043">
        <f>HYPERLINK("C:\Users\franc\OneDrive\Documentos\MALENTIN KARIME\VTA. PROPIEDAD\MARIA AGUIRRE ARAYA  A Daniel Araya y Derechos.doc", "Abrir Documento")</f>
        <v>0</v>
      </c>
      <c r="D2043" t="s">
        <v>23500</v>
      </c>
      <c r="E2043" t="s">
        <v>25542</v>
      </c>
    </row>
    <row r="2044" spans="1:5">
      <c r="A2044" t="s">
        <v>6</v>
      </c>
      <c r="B2044" t="s">
        <v>2049</v>
      </c>
      <c r="C2044">
        <f>HYPERLINK("C:\Users\franc\OneDrive\Documentos\MALENTIN KARIME\VTA. PROPIEDAD\MARIA AGUIRRE A PETRONILA VELASQUEZ.doc", "Abrir Documento")</f>
        <v>0</v>
      </c>
      <c r="D2044" t="s">
        <v>23500</v>
      </c>
      <c r="E2044" t="s">
        <v>25543</v>
      </c>
    </row>
    <row r="2045" spans="1:5">
      <c r="A2045" t="s">
        <v>6</v>
      </c>
      <c r="B2045" t="s">
        <v>2050</v>
      </c>
      <c r="C2045">
        <f>HYPERLINK("C:\Users\franc\OneDrive\Documentos\MALENTIN KARIME\VTA. PROPIEDAD\MARGARITA DONOSO ARAYA A Carlos Rivera cvta usufructo.doc", "Abrir Documento")</f>
        <v>0</v>
      </c>
      <c r="D2045" t="s">
        <v>23500</v>
      </c>
      <c r="E2045" t="s">
        <v>25544</v>
      </c>
    </row>
    <row r="2046" spans="1:5">
      <c r="A2046" t="s">
        <v>6</v>
      </c>
      <c r="B2046" t="s">
        <v>2051</v>
      </c>
      <c r="C2046">
        <f>HYPERLINK("C:\Users\franc\OneDrive\Documentos\MALENTIN KARIME\VTA. PROPIEDAD\MARGARITA BRAVO A CARMEN VALDIVIA Solteras.doc", "Abrir Documento")</f>
        <v>0</v>
      </c>
      <c r="D2046" t="s">
        <v>23500</v>
      </c>
      <c r="E2046" t="s">
        <v>25545</v>
      </c>
    </row>
    <row r="2047" spans="1:5">
      <c r="A2047" t="s">
        <v>6</v>
      </c>
      <c r="B2047" t="s">
        <v>2052</v>
      </c>
      <c r="C2047">
        <f>HYPERLINK("C:\Users\franc\OneDrive\Documentos\MALENTIN KARIME\VTA. PROPIEDAD\MANUEL ROBLES ARAYA a Angel Robles C.doc", "Abrir Documento")</f>
        <v>0</v>
      </c>
      <c r="D2047" t="s">
        <v>23500</v>
      </c>
      <c r="E2047" t="s">
        <v>25546</v>
      </c>
    </row>
    <row r="2048" spans="1:5">
      <c r="A2048" t="s">
        <v>6</v>
      </c>
      <c r="B2048" t="s">
        <v>2053</v>
      </c>
      <c r="C2048">
        <f>HYPERLINK("C:\Users\franc\OneDrive\Documentos\MALENTIN KARIME\VTA. PROPIEDAD\MANAGEMET LTDA.Ç.doc", "Abrir Documento")</f>
        <v>0</v>
      </c>
      <c r="D2048" t="s">
        <v>23500</v>
      </c>
      <c r="E2048" t="s">
        <v>25547</v>
      </c>
    </row>
    <row r="2049" spans="1:5">
      <c r="A2049" t="s">
        <v>6</v>
      </c>
      <c r="B2049" t="s">
        <v>2054</v>
      </c>
      <c r="C2049">
        <f>HYPERLINK("C:\Users\franc\OneDrive\Documentos\MALENTIN KARIME\VTA. PROPIEDAD\LUZ CORONADO A OCTAVIO MIRANDA.doc", "Abrir Documento")</f>
        <v>0</v>
      </c>
      <c r="D2049" t="s">
        <v>23500</v>
      </c>
      <c r="E2049" t="s">
        <v>25548</v>
      </c>
    </row>
    <row r="2050" spans="1:5">
      <c r="A2050" t="s">
        <v>6</v>
      </c>
      <c r="B2050" t="s">
        <v>2055</v>
      </c>
      <c r="C2050">
        <f>HYPERLINK("C:\Users\franc\OneDrive\Documentos\MALENTIN KARIME\VTA. PROPIEDAD\LUIS PIZARRO A MARIA BARRAZA.doc", "Abrir Documento")</f>
        <v>0</v>
      </c>
      <c r="D2050" t="s">
        <v>23500</v>
      </c>
      <c r="E2050" t="s">
        <v>25549</v>
      </c>
    </row>
    <row r="2051" spans="1:5">
      <c r="A2051" t="s">
        <v>6</v>
      </c>
      <c r="B2051" t="s">
        <v>2056</v>
      </c>
      <c r="C2051">
        <f>HYPERLINK("C:\Users\franc\OneDrive\Documentos\MALENTIN KARIME\VTA. PROPIEDAD\LUIS OLIVARES OLIVARES A ALBINA ORELLANA autoriza cónyuge.doc", "Abrir Documento")</f>
        <v>0</v>
      </c>
      <c r="D2051" t="s">
        <v>23500</v>
      </c>
      <c r="E2051" t="s">
        <v>25550</v>
      </c>
    </row>
    <row r="2052" spans="1:5">
      <c r="A2052" t="s">
        <v>6</v>
      </c>
      <c r="B2052" t="s">
        <v>2057</v>
      </c>
      <c r="C2052">
        <f>HYPERLINK("C:\Users\franc\OneDrive\Documentos\MALENTIN KARIME\VTA. PROPIEDAD\LUIS JOFRE GONZALEZ Subd Minuta Orlando Gallardo.doc", "Abrir Documento")</f>
        <v>0</v>
      </c>
      <c r="D2052" t="s">
        <v>23500</v>
      </c>
      <c r="E2052" t="s">
        <v>25551</v>
      </c>
    </row>
    <row r="2053" spans="1:5">
      <c r="A2053" t="s">
        <v>6</v>
      </c>
      <c r="B2053" t="s">
        <v>2058</v>
      </c>
      <c r="C2053">
        <f>HYPERLINK("C:\Users\franc\OneDrive\Documentos\MALENTIN KARIME\VTA. PROPIEDAD\LUIS FLORES A SAUL INOSTROZACony autoriza.doc", "Abrir Documento")</f>
        <v>0</v>
      </c>
      <c r="D2053" t="s">
        <v>23500</v>
      </c>
      <c r="E2053" t="s">
        <v>25552</v>
      </c>
    </row>
    <row r="2054" spans="1:5">
      <c r="A2054" t="s">
        <v>6</v>
      </c>
      <c r="B2054" t="s">
        <v>2059</v>
      </c>
      <c r="C2054">
        <f>HYPERLINK("C:\Users\franc\OneDrive\Documentos\MALENTIN KARIME\VTA. PROPIEDAD\LUIS AURELIO OLIVARES O A ALBINA ORELLANA MOLINA Derechos.doc", "Abrir Documento")</f>
        <v>0</v>
      </c>
      <c r="D2054" t="s">
        <v>23500</v>
      </c>
      <c r="E2054" t="s">
        <v>25553</v>
      </c>
    </row>
    <row r="2055" spans="1:5">
      <c r="A2055" t="s">
        <v>6</v>
      </c>
      <c r="B2055" t="s">
        <v>2060</v>
      </c>
      <c r="C2055">
        <f>HYPERLINK("C:\Users\franc\OneDrive\Documentos\MALENTIN KARIME\VTA. PROPIEDAD\LUIS  INOSTROZA BRIONES A ALAMIRO BRIONES VARAS.doc", "Abrir Documento")</f>
        <v>0</v>
      </c>
      <c r="D2055" t="s">
        <v>23500</v>
      </c>
      <c r="E2055" t="s">
        <v>25554</v>
      </c>
    </row>
    <row r="2056" spans="1:5">
      <c r="A2056" t="s">
        <v>6</v>
      </c>
      <c r="B2056" t="s">
        <v>2061</v>
      </c>
      <c r="C2056">
        <f>HYPERLINK("C:\Users\franc\OneDrive\Documentos\MALENTIN KARIME\VTA. PROPIEDAD\LUCY ASTUDILLO MICHEA.doc", "Abrir Documento")</f>
        <v>0</v>
      </c>
      <c r="D2056" t="s">
        <v>23500</v>
      </c>
      <c r="E2056" t="s">
        <v>25555</v>
      </c>
    </row>
    <row r="2057" spans="1:5">
      <c r="A2057" t="s">
        <v>6</v>
      </c>
      <c r="B2057" t="s">
        <v>2062</v>
      </c>
      <c r="C2057">
        <f>HYPERLINK("C:\Users\franc\OneDrive\Documentos\MALENTIN KARIME\VTA. PROPIEDAD\LORENZO CORTES JOFRE Corporacion Judicical.doc", "Abrir Documento")</f>
        <v>0</v>
      </c>
      <c r="D2057" t="s">
        <v>23500</v>
      </c>
      <c r="E2057" t="s">
        <v>25556</v>
      </c>
    </row>
    <row r="2058" spans="1:5">
      <c r="A2058" t="s">
        <v>6</v>
      </c>
      <c r="B2058" t="s">
        <v>2063</v>
      </c>
      <c r="C2058">
        <f>HYPERLINK("C:\Users\franc\OneDrive\Documentos\MALENTIN KARIME\VTA. PROPIEDAD\LORENA SANDOVAL VELOSO A Lilian MirandaProh.Legal.doc", "Abrir Documento")</f>
        <v>0</v>
      </c>
      <c r="D2058" t="s">
        <v>23500</v>
      </c>
      <c r="E2058" t="s">
        <v>25557</v>
      </c>
    </row>
    <row r="2059" spans="1:5">
      <c r="A2059" t="s">
        <v>6</v>
      </c>
      <c r="B2059" t="s">
        <v>2064</v>
      </c>
      <c r="C2059">
        <f>HYPERLINK("C:\Users\franc\OneDrive\Documentos\MALENTIN KARIME\VTA. PROPIEDAD\LISSETTE CERVA CORTES  A DILIA CARVAJAL Sep bienes.doc", "Abrir Documento")</f>
        <v>0</v>
      </c>
      <c r="D2059" t="s">
        <v>23500</v>
      </c>
      <c r="E2059" t="s">
        <v>25558</v>
      </c>
    </row>
    <row r="2060" spans="1:5">
      <c r="A2060" t="s">
        <v>6</v>
      </c>
      <c r="B2060" t="s">
        <v>2065</v>
      </c>
      <c r="C2060">
        <f>HYPERLINK("C:\Users\franc\OneDrive\Documentos\MALENTIN KARIME\VTA. PROPIEDAD\LIDIA DEL ROSARIO CISTERNA A Juan lara Cisterna Cvta usufructo.doc", "Abrir Documento")</f>
        <v>0</v>
      </c>
      <c r="D2060" t="s">
        <v>23500</v>
      </c>
      <c r="E2060" t="s">
        <v>25559</v>
      </c>
    </row>
    <row r="2061" spans="1:5">
      <c r="A2061" t="s">
        <v>6</v>
      </c>
      <c r="B2061" t="s">
        <v>2066</v>
      </c>
      <c r="C2061">
        <f>HYPERLINK("C:\Users\franc\OneDrive\Documentos\MALENTIN KARIME\VTA. PROPIEDAD\LEONIDES CORTES A MARITZA MICHEA.doc", "Abrir Documento")</f>
        <v>0</v>
      </c>
      <c r="D2061" t="s">
        <v>23500</v>
      </c>
      <c r="E2061" t="s">
        <v>25560</v>
      </c>
    </row>
    <row r="2062" spans="1:5">
      <c r="A2062" t="s">
        <v>6</v>
      </c>
      <c r="B2062" t="s">
        <v>2067</v>
      </c>
      <c r="C2062">
        <f>HYPERLINK("C:\Users\franc\OneDrive\Documentos\MALENTIN KARIME\VTA. PROPIEDAD\LAURA FUENTEALBA A Clemente Fuentealba.doc", "Abrir Documento")</f>
        <v>0</v>
      </c>
      <c r="D2062" t="s">
        <v>23500</v>
      </c>
      <c r="E2062" t="s">
        <v>25561</v>
      </c>
    </row>
    <row r="2063" spans="1:5">
      <c r="A2063" t="s">
        <v>6</v>
      </c>
      <c r="B2063" t="s">
        <v>2068</v>
      </c>
      <c r="C2063">
        <f>HYPERLINK("C:\Users\franc\OneDrive\Documentos\MALENTIN KARIME\VTA. PROPIEDAD\LAURA ELGUEDA CORTES.doc", "Abrir Documento")</f>
        <v>0</v>
      </c>
      <c r="D2063" t="s">
        <v>23500</v>
      </c>
      <c r="E2063" t="s">
        <v>25562</v>
      </c>
    </row>
    <row r="2064" spans="1:5">
      <c r="A2064" t="s">
        <v>6</v>
      </c>
      <c r="B2064" t="s">
        <v>2069</v>
      </c>
      <c r="C2064">
        <f>HYPERLINK("C:\Users\franc\OneDrive\Documentos\MALENTIN KARIME\VTA. PROPIEDAD\JUANA OLIVARES ARAYA A JUAN RAMOS.doc", "Abrir Documento")</f>
        <v>0</v>
      </c>
      <c r="D2064" t="s">
        <v>23500</v>
      </c>
      <c r="E2064" t="s">
        <v>25563</v>
      </c>
    </row>
    <row r="2065" spans="1:5">
      <c r="A2065" t="s">
        <v>6</v>
      </c>
      <c r="B2065" t="s">
        <v>2070</v>
      </c>
      <c r="C2065">
        <f>HYPERLINK("C:\Users\franc\OneDrive\Documentos\MALENTIN KARIME\VTA. PROPIEDAD\JUANA CAMPOS A ISABEL TORRES solteros.doc", "Abrir Documento")</f>
        <v>0</v>
      </c>
      <c r="D2065" t="s">
        <v>23500</v>
      </c>
      <c r="E2065" t="s">
        <v>25564</v>
      </c>
    </row>
    <row r="2066" spans="1:5">
      <c r="A2066" t="s">
        <v>6</v>
      </c>
      <c r="B2066" t="s">
        <v>2071</v>
      </c>
      <c r="C2066">
        <f>HYPERLINK("C:\Users\franc\OneDrive\Documentos\MALENTIN KARIME\VTA. PROPIEDAD\JUANA ARAYA OYARCE A ESIQUIEL CORTES Conyuge Administrador.doc", "Abrir Documento")</f>
        <v>0</v>
      </c>
      <c r="D2066" t="s">
        <v>23500</v>
      </c>
      <c r="E2066" t="s">
        <v>25565</v>
      </c>
    </row>
    <row r="2067" spans="1:5">
      <c r="A2067" t="s">
        <v>6</v>
      </c>
      <c r="B2067" t="s">
        <v>2072</v>
      </c>
      <c r="C2067">
        <f>HYPERLINK("C:\Users\franc\OneDrive\Documentos\MALENTIN KARIME\VTA. PROPIEDAD\JUAN VELASQUEZ VASQUEZ  Subdivision.doc", "Abrir Documento")</f>
        <v>0</v>
      </c>
      <c r="D2067" t="s">
        <v>23500</v>
      </c>
      <c r="E2067" t="s">
        <v>25566</v>
      </c>
    </row>
    <row r="2068" spans="1:5">
      <c r="A2068" t="s">
        <v>6</v>
      </c>
      <c r="B2068" t="s">
        <v>2073</v>
      </c>
      <c r="C2068">
        <f>HYPERLINK("C:\Users\franc\OneDrive\Documentos\MALENTIN KARIME\VTA. PROPIEDAD\JUAN PORTILLA ALBURQUENQUE A Empresa Individual  LOTE 8.doc", "Abrir Documento")</f>
        <v>0</v>
      </c>
      <c r="D2068" t="s">
        <v>23500</v>
      </c>
      <c r="E2068" t="s">
        <v>25567</v>
      </c>
    </row>
    <row r="2069" spans="1:5">
      <c r="A2069" t="s">
        <v>6</v>
      </c>
      <c r="B2069" t="s">
        <v>2074</v>
      </c>
      <c r="C2069">
        <f>HYPERLINK("C:\Users\franc\OneDrive\Documentos\MALENTIN KARIME\VTA. PROPIEDAD\JUAN PONCE A JANBIER PONCE Aut conyuge.doc", "Abrir Documento")</f>
        <v>0</v>
      </c>
      <c r="D2069" t="s">
        <v>23500</v>
      </c>
      <c r="E2069" t="s">
        <v>25568</v>
      </c>
    </row>
    <row r="2070" spans="1:5">
      <c r="A2070" t="s">
        <v>6</v>
      </c>
      <c r="B2070" t="s">
        <v>2075</v>
      </c>
      <c r="C2070">
        <f>HYPERLINK("C:\Users\franc\OneDrive\Documentos\MALENTIN KARIME\VTA. PROPIEDAD\JUAN DE DIOS A MARIANA PLAZA.doc", "Abrir Documento")</f>
        <v>0</v>
      </c>
      <c r="D2070" t="s">
        <v>23500</v>
      </c>
      <c r="E2070" t="s">
        <v>25569</v>
      </c>
    </row>
    <row r="2071" spans="1:5">
      <c r="A2071" t="s">
        <v>6</v>
      </c>
      <c r="B2071" t="s">
        <v>2076</v>
      </c>
      <c r="C2071">
        <f>HYPERLINK("C:\Users\franc\OneDrive\Documentos\MALENTIN KARIME\VTA. PROPIEDAD\JUAN CORTES BUGUEÑO A ELBA BUGUEÑO RIVERA Derechos.doc", "Abrir Documento")</f>
        <v>0</v>
      </c>
      <c r="D2071" t="s">
        <v>23500</v>
      </c>
      <c r="E2071" t="s">
        <v>25570</v>
      </c>
    </row>
    <row r="2072" spans="1:5">
      <c r="A2072" t="s">
        <v>6</v>
      </c>
      <c r="B2072" t="s">
        <v>2077</v>
      </c>
      <c r="C2072">
        <f>HYPERLINK("C:\Users\franc\OneDrive\Documentos\MALENTIN KARIME\VTA. PROPIEDAD\JUAN COLLAO ARAYA A Sandra Collao Proh.Legal.doc", "Abrir Documento")</f>
        <v>0</v>
      </c>
      <c r="D2072" t="s">
        <v>23500</v>
      </c>
      <c r="E2072" t="s">
        <v>25571</v>
      </c>
    </row>
    <row r="2073" spans="1:5">
      <c r="A2073" t="s">
        <v>6</v>
      </c>
      <c r="B2073" t="s">
        <v>2078</v>
      </c>
      <c r="C2073">
        <f>HYPERLINK("C:\Users\franc\OneDrive\Documentos\MALENTIN KARIME\VTA. PROPIEDAD\JUAN COLLAO ARAYA A Janette Collao Proh.Legal.doc", "Abrir Documento")</f>
        <v>0</v>
      </c>
      <c r="D2073" t="s">
        <v>23500</v>
      </c>
      <c r="E2073" t="s">
        <v>25572</v>
      </c>
    </row>
    <row r="2074" spans="1:5">
      <c r="A2074" t="s">
        <v>6</v>
      </c>
      <c r="B2074" t="s">
        <v>2079</v>
      </c>
      <c r="C2074">
        <f>HYPERLINK("C:\Users\franc\OneDrive\Documentos\MALENTIN KARIME\VTA. PROPIEDAD\JUAN CASTILLO CARVAJAL A MIRIAM MONARDEZ GOMEZh.Legal.doc", "Abrir Documento")</f>
        <v>0</v>
      </c>
      <c r="D2074" t="s">
        <v>23500</v>
      </c>
      <c r="E2074" t="s">
        <v>25573</v>
      </c>
    </row>
    <row r="2075" spans="1:5">
      <c r="A2075" t="s">
        <v>6</v>
      </c>
      <c r="B2075" t="s">
        <v>2080</v>
      </c>
      <c r="C2075">
        <f>HYPERLINK("C:\Users\franc\OneDrive\Documentos\MALENTIN KARIME\VTA. PROPIEDAD\JUAN CASTILLO CARVAJAL A MIGUEL MALUENDA NARANJOProh.Legal.doc", "Abrir Documento")</f>
        <v>0</v>
      </c>
      <c r="D2075" t="s">
        <v>23500</v>
      </c>
      <c r="E2075" t="s">
        <v>25574</v>
      </c>
    </row>
    <row r="2076" spans="1:5">
      <c r="A2076" t="s">
        <v>6</v>
      </c>
      <c r="B2076" t="s">
        <v>2081</v>
      </c>
      <c r="C2076">
        <f>HYPERLINK("C:\Users\franc\OneDrive\Documentos\MALENTIN KARIME\VTA. PROPIEDAD\JUAN AHUMADA VARGAS Y OTROS A MARIETTA URQUIETA Minuta C. Araya.doc", "Abrir Documento")</f>
        <v>0</v>
      </c>
      <c r="D2076" t="s">
        <v>23500</v>
      </c>
      <c r="E2076" t="s">
        <v>25575</v>
      </c>
    </row>
    <row r="2077" spans="1:5">
      <c r="A2077" t="s">
        <v>6</v>
      </c>
      <c r="B2077" t="s">
        <v>2082</v>
      </c>
      <c r="C2077">
        <f>HYPERLINK("C:\Users\franc\OneDrive\Documentos\MALENTIN KARIME\VTA. PROPIEDAD\JOSE SEGOVIA NARANJO A SANDRA SEGOVIA vta con usufructo.doc", "Abrir Documento")</f>
        <v>0</v>
      </c>
      <c r="D2077" t="s">
        <v>23500</v>
      </c>
      <c r="E2077" t="s">
        <v>25576</v>
      </c>
    </row>
    <row r="2078" spans="1:5">
      <c r="A2078" t="s">
        <v>6</v>
      </c>
      <c r="B2078" t="s">
        <v>2083</v>
      </c>
      <c r="C2078">
        <f>HYPERLINK("C:\Users\franc\OneDrive\Documentos\MALENTIN KARIME\VTA. PROPIEDAD\JOSE GODOY GODOY A LUIS GODOY OTROvta con usufructo.doc", "Abrir Documento")</f>
        <v>0</v>
      </c>
      <c r="D2078" t="s">
        <v>23500</v>
      </c>
      <c r="E2078" t="s">
        <v>25577</v>
      </c>
    </row>
    <row r="2079" spans="1:5">
      <c r="A2079" t="s">
        <v>6</v>
      </c>
      <c r="B2079" t="s">
        <v>2084</v>
      </c>
      <c r="C2079">
        <f>HYPERLINK("C:\Users\franc\OneDrive\Documentos\MALENTIN KARIME\VTA. PROPIEDAD\JOSE CONTRERAS GALLARDO A Pamela Pizarro (COMUNIDAD AGR PUNITAQUI).doc", "Abrir Documento")</f>
        <v>0</v>
      </c>
      <c r="D2079" t="s">
        <v>23500</v>
      </c>
      <c r="E2079" t="s">
        <v>25578</v>
      </c>
    </row>
    <row r="2080" spans="1:5">
      <c r="A2080" t="s">
        <v>6</v>
      </c>
      <c r="B2080" t="s">
        <v>2085</v>
      </c>
      <c r="C2080">
        <f>HYPERLINK("C:\Users\franc\OneDrive\Documentos\MALENTIN KARIME\VTA. PROPIEDAD\JOSE CARVAJAL ULLOA Comprador.doc", "Abrir Documento")</f>
        <v>0</v>
      </c>
      <c r="D2080" t="s">
        <v>23500</v>
      </c>
      <c r="E2080" t="s">
        <v>25579</v>
      </c>
    </row>
    <row r="2081" spans="1:5">
      <c r="A2081" t="s">
        <v>6</v>
      </c>
      <c r="B2081" t="s">
        <v>2086</v>
      </c>
      <c r="C2081">
        <f>HYPERLINK("C:\Users\franc\OneDrive\Documentos\MALENTIN KARIME\VTA. PROPIEDAD\JOSE CAIMANQUE CASTILLO.doc", "Abrir Documento")</f>
        <v>0</v>
      </c>
      <c r="D2081" t="s">
        <v>23500</v>
      </c>
      <c r="E2081" t="s">
        <v>25580</v>
      </c>
    </row>
    <row r="2082" spans="1:5">
      <c r="A2082" t="s">
        <v>6</v>
      </c>
      <c r="B2082" t="s">
        <v>2087</v>
      </c>
      <c r="C2082">
        <f>HYPERLINK("C:\Users\franc\OneDrive\Documentos\MALENTIN KARIME\VTA. PROPIEDAD\JORGE MORALES A CARLOS VEGA cvta usufructo.doc", "Abrir Documento")</f>
        <v>0</v>
      </c>
      <c r="D2082" t="s">
        <v>23500</v>
      </c>
      <c r="E2082" t="s">
        <v>25581</v>
      </c>
    </row>
    <row r="2083" spans="1:5">
      <c r="A2083" t="s">
        <v>6</v>
      </c>
      <c r="B2083" t="s">
        <v>2088</v>
      </c>
      <c r="C2083">
        <f>HYPERLINK("C:\Users\franc\OneDrive\Documentos\MALENTIN KARIME\VTA. PROPIEDAD\JOAQUIN ARAYA VERGARA A ANDRES ARAYA ROJA  Cony autoriza.doc", "Abrir Documento")</f>
        <v>0</v>
      </c>
      <c r="D2083" t="s">
        <v>23500</v>
      </c>
      <c r="E2083" t="s">
        <v>25582</v>
      </c>
    </row>
    <row r="2084" spans="1:5">
      <c r="A2084" t="s">
        <v>6</v>
      </c>
      <c r="B2084" t="s">
        <v>2089</v>
      </c>
      <c r="C2084">
        <f>HYPERLINK("C:\Users\franc\OneDrive\Documentos\MALENTIN KARIME\VTA. PROPIEDAD\JESUS VENEGAS OLIVARES A  BERTA CORTES solteros.doc", "Abrir Documento")</f>
        <v>0</v>
      </c>
      <c r="D2084" t="s">
        <v>23500</v>
      </c>
      <c r="E2084" t="s">
        <v>25583</v>
      </c>
    </row>
    <row r="2085" spans="1:5">
      <c r="A2085" t="s">
        <v>6</v>
      </c>
      <c r="B2085" t="s">
        <v>2090</v>
      </c>
      <c r="C2085">
        <f>HYPERLINK("C:\Users\franc\OneDrive\Documentos\MALENTIN KARIME\VTA. PROPIEDAD\JACQUELINE PALTA VARAS A WILFREDO RIVERA conyuge Administrador.doc", "Abrir Documento")</f>
        <v>0</v>
      </c>
      <c r="D2085" t="s">
        <v>23500</v>
      </c>
      <c r="E2085" t="s">
        <v>25584</v>
      </c>
    </row>
    <row r="2086" spans="1:5">
      <c r="A2086" t="s">
        <v>6</v>
      </c>
      <c r="B2086" t="s">
        <v>2091</v>
      </c>
      <c r="C2086">
        <f>HYPERLINK("C:\Users\franc\OneDrive\Documentos\MALENTIN KARIME\VTA. PROPIEDAD\JACOB MUNDACA GUERRERO A GLENDA ALVAREZ autoriza cónyuge.doc", "Abrir Documento")</f>
        <v>0</v>
      </c>
      <c r="D2086" t="s">
        <v>23500</v>
      </c>
      <c r="E2086" t="s">
        <v>25585</v>
      </c>
    </row>
    <row r="2087" spans="1:5">
      <c r="A2087" t="s">
        <v>6</v>
      </c>
      <c r="B2087" t="s">
        <v>2092</v>
      </c>
      <c r="C2087">
        <f>HYPERLINK("C:\Users\franc\OneDrive\Documentos\MALENTIN KARIME\VTA. PROPIEDAD\JACINTO SEGOVIA MILLA Soltero.doc", "Abrir Documento")</f>
        <v>0</v>
      </c>
      <c r="D2087" t="s">
        <v>23500</v>
      </c>
      <c r="E2087" t="s">
        <v>25586</v>
      </c>
    </row>
    <row r="2088" spans="1:5">
      <c r="A2088" t="s">
        <v>6</v>
      </c>
      <c r="B2088" t="s">
        <v>2093</v>
      </c>
      <c r="C2088">
        <f>HYPERLINK("C:\Users\franc\OneDrive\Documentos\MALENTIN KARIME\VTA. PROPIEDAD\IVAN ROBLES CARVAJAL Bienes Nac.doc", "Abrir Documento")</f>
        <v>0</v>
      </c>
      <c r="D2088" t="s">
        <v>23500</v>
      </c>
      <c r="E2088" t="s">
        <v>25587</v>
      </c>
    </row>
    <row r="2089" spans="1:5">
      <c r="A2089" t="s">
        <v>6</v>
      </c>
      <c r="B2089" t="s">
        <v>2094</v>
      </c>
      <c r="C2089">
        <f>HYPERLINK("C:\Users\franc\OneDrive\Documentos\MALENTIN KARIME\VTA. PROPIEDAD\IVAN BOLADOS ARAYA Minuta C. Ardiles.doc", "Abrir Documento")</f>
        <v>0</v>
      </c>
      <c r="D2089" t="s">
        <v>23500</v>
      </c>
      <c r="E2089" t="s">
        <v>25588</v>
      </c>
    </row>
    <row r="2090" spans="1:5">
      <c r="A2090" t="s">
        <v>6</v>
      </c>
      <c r="B2090" t="s">
        <v>2095</v>
      </c>
      <c r="C2090">
        <f>HYPERLINK("C:\Users\franc\OneDrive\Documentos\MALENTIN KARIME\VTA. PROPIEDAD\ISMAEL CARRASCO GUERRA.doc", "Abrir Documento")</f>
        <v>0</v>
      </c>
      <c r="D2090" t="s">
        <v>23500</v>
      </c>
      <c r="E2090" t="s">
        <v>25589</v>
      </c>
    </row>
    <row r="2091" spans="1:5">
      <c r="A2091" t="s">
        <v>6</v>
      </c>
      <c r="B2091" t="s">
        <v>2096</v>
      </c>
      <c r="C2091">
        <f>HYPERLINK("C:\Users\franc\OneDrive\Documentos\MALENTIN KARIME\VTA. PROPIEDAD\ISABEL VALDIVIA VEGA A Carlos Guzmán cvta usufructo.doc", "Abrir Documento")</f>
        <v>0</v>
      </c>
      <c r="D2091" t="s">
        <v>23500</v>
      </c>
      <c r="E2091" t="s">
        <v>25590</v>
      </c>
    </row>
    <row r="2092" spans="1:5">
      <c r="A2092" t="s">
        <v>6</v>
      </c>
      <c r="B2092" t="s">
        <v>2097</v>
      </c>
      <c r="C2092">
        <f>HYPERLINK("C:\Users\franc\OneDrive\Documentos\MALENTIN KARIME\VTA. PROPIEDAD\IRIS TAPIA CUELLO A LORENA ARAYA solteros.doc", "Abrir Documento")</f>
        <v>0</v>
      </c>
      <c r="D2092" t="s">
        <v>23500</v>
      </c>
      <c r="E2092" t="s">
        <v>25591</v>
      </c>
    </row>
    <row r="2093" spans="1:5">
      <c r="A2093" t="s">
        <v>6</v>
      </c>
      <c r="B2093" t="s">
        <v>2098</v>
      </c>
      <c r="C2093">
        <f>HYPERLINK("C:\Users\franc\OneDrive\Documentos\MALENTIN KARIME\VTA. PROPIEDAD\Inventario Luis Jofre Vega.doc", "Abrir Documento")</f>
        <v>0</v>
      </c>
      <c r="D2093" t="s">
        <v>23500</v>
      </c>
      <c r="E2093" t="s">
        <v>25592</v>
      </c>
    </row>
    <row r="2094" spans="1:5">
      <c r="A2094" t="s">
        <v>6</v>
      </c>
      <c r="B2094" t="s">
        <v>2099</v>
      </c>
      <c r="C2094">
        <f>HYPERLINK("C:\Users\franc\OneDrive\Documentos\MALENTIN KARIME\VTA. PROPIEDAD\INSTRUCCIONES ARSEN GRIGORIAN.doc", "Abrir Documento")</f>
        <v>0</v>
      </c>
      <c r="D2094" t="s">
        <v>23500</v>
      </c>
      <c r="E2094" t="s">
        <v>25593</v>
      </c>
    </row>
    <row r="2095" spans="1:5">
      <c r="A2095" t="s">
        <v>6</v>
      </c>
      <c r="B2095" t="s">
        <v>2100</v>
      </c>
      <c r="C2095">
        <f>HYPERLINK("C:\Users\franc\OneDrive\Documentos\MALENTIN KARIME\VTA. PROPIEDAD\INSTRUCCIONES ARANCIBIA FLORES.doc", "Abrir Documento")</f>
        <v>0</v>
      </c>
      <c r="D2095" t="s">
        <v>23500</v>
      </c>
      <c r="E2095" t="s">
        <v>25594</v>
      </c>
    </row>
    <row r="2096" spans="1:5">
      <c r="A2096" t="s">
        <v>6</v>
      </c>
      <c r="B2096" t="s">
        <v>2101</v>
      </c>
      <c r="C2096">
        <f>HYPERLINK("C:\Users\franc\OneDrive\Documentos\MALENTIN KARIME\VTA. PROPIEDAD\HUMBERTO SALINAS A ANA CODOCEO solteros.doc", "Abrir Documento")</f>
        <v>0</v>
      </c>
      <c r="D2096" t="s">
        <v>23500</v>
      </c>
      <c r="E2096" t="s">
        <v>25595</v>
      </c>
    </row>
    <row r="2097" spans="1:5">
      <c r="A2097" t="s">
        <v>6</v>
      </c>
      <c r="B2097" t="s">
        <v>2102</v>
      </c>
      <c r="C2097">
        <f>HYPERLINK("C:\Users\franc\OneDrive\Documentos\MALENTIN KARIME\VTA. PROPIEDAD\HUMBERTO CUELLO A Jimena Berrios 150.doc", "Abrir Documento")</f>
        <v>0</v>
      </c>
      <c r="D2097" t="s">
        <v>23500</v>
      </c>
      <c r="E2097" t="s">
        <v>25596</v>
      </c>
    </row>
    <row r="2098" spans="1:5">
      <c r="A2098" t="s">
        <v>6</v>
      </c>
      <c r="B2098" t="s">
        <v>2103</v>
      </c>
      <c r="C2098">
        <f>HYPERLINK("C:\Users\franc\OneDrive\Documentos\MALENTIN KARIME\VTA. PROPIEDAD\HUGO YAÑEZ A REGINALDO AGUILERA.doc", "Abrir Documento")</f>
        <v>0</v>
      </c>
      <c r="D2098" t="s">
        <v>23500</v>
      </c>
      <c r="E2098" t="s">
        <v>25597</v>
      </c>
    </row>
    <row r="2099" spans="1:5">
      <c r="A2099" t="s">
        <v>6</v>
      </c>
      <c r="B2099" t="s">
        <v>2104</v>
      </c>
      <c r="C2099">
        <f>HYPERLINK("C:\Users\franc\OneDrive\Documentos\MALENTIN KARIME\VTA. PROPIEDAD\HORACIO DEL ROSARIO LOPEZ.doc", "Abrir Documento")</f>
        <v>0</v>
      </c>
      <c r="D2099" t="s">
        <v>23500</v>
      </c>
      <c r="E2099" t="s">
        <v>25598</v>
      </c>
    </row>
    <row r="2100" spans="1:5">
      <c r="A2100" t="s">
        <v>6</v>
      </c>
      <c r="B2100" t="s">
        <v>2105</v>
      </c>
      <c r="C2100">
        <f>HYPERLINK("C:\Users\franc\OneDrive\Documentos\MALENTIN KARIME\VTA. PROPIEDAD\HORACIO DEL ROSARIO LOPEZ II Promesa.doc", "Abrir Documento")</f>
        <v>0</v>
      </c>
      <c r="D2100" t="s">
        <v>23500</v>
      </c>
      <c r="E2100" t="s">
        <v>25599</v>
      </c>
    </row>
    <row r="2101" spans="1:5">
      <c r="A2101" t="s">
        <v>6</v>
      </c>
      <c r="B2101" t="s">
        <v>2106</v>
      </c>
      <c r="C2101">
        <f>HYPERLINK("C:\Users\franc\OneDrive\Documentos\MALENTIN KARIME\VTA. PROPIEDAD\HORACIO DEL ROSARIO LOPEZ A NELSON CASTILLO vta..doc", "Abrir Documento")</f>
        <v>0</v>
      </c>
      <c r="D2101" t="s">
        <v>23500</v>
      </c>
      <c r="E2101" t="s">
        <v>25600</v>
      </c>
    </row>
    <row r="2102" spans="1:5">
      <c r="A2102" t="s">
        <v>6</v>
      </c>
      <c r="B2102" t="s">
        <v>2107</v>
      </c>
      <c r="C2102">
        <f>HYPERLINK("C:\Users\franc\OneDrive\Documentos\MALENTIN KARIME\VTA. PROPIEDAD\HORACIO DEL ROSARIO LOPEZ A Juan Santelicaes vta..doc", "Abrir Documento")</f>
        <v>0</v>
      </c>
      <c r="D2102" t="s">
        <v>23500</v>
      </c>
      <c r="E2102" t="s">
        <v>25601</v>
      </c>
    </row>
    <row r="2103" spans="1:5">
      <c r="A2103" t="s">
        <v>6</v>
      </c>
      <c r="B2103" t="s">
        <v>2108</v>
      </c>
      <c r="C2103">
        <f>HYPERLINK("C:\Users\franc\OneDrive\Documentos\MALENTIN KARIME\VTA. PROPIEDAD\HERMOGENES GUERRERO JOFRE Y OTROS autoriza cónyuge.doc", "Abrir Documento")</f>
        <v>0</v>
      </c>
      <c r="D2103" t="s">
        <v>23500</v>
      </c>
      <c r="E2103" t="s">
        <v>25602</v>
      </c>
    </row>
    <row r="2104" spans="1:5">
      <c r="A2104" t="s">
        <v>6</v>
      </c>
      <c r="B2104" t="s">
        <v>2109</v>
      </c>
      <c r="C2104">
        <f>HYPERLINK("C:\Users\franc\OneDrive\Documentos\MALENTIN KARIME\VTA. PROPIEDAD\GUSTAVO CORTEZ ROJAS A ERICA LAYANA.doc", "Abrir Documento")</f>
        <v>0</v>
      </c>
      <c r="D2104" t="s">
        <v>23500</v>
      </c>
      <c r="E2104" t="s">
        <v>25603</v>
      </c>
    </row>
    <row r="2105" spans="1:5">
      <c r="A2105" t="s">
        <v>6</v>
      </c>
      <c r="B2105" t="s">
        <v>2110</v>
      </c>
      <c r="C2105">
        <f>HYPERLINK("C:\Users\franc\OneDrive\Documentos\MALENTIN KARIME\VTA. PROPIEDAD\GUILLERMO CORTES HUERTA A ELSA CORTES PIZARRO.doc", "Abrir Documento")</f>
        <v>0</v>
      </c>
      <c r="D2105" t="s">
        <v>23500</v>
      </c>
      <c r="E2105" t="s">
        <v>25604</v>
      </c>
    </row>
    <row r="2106" spans="1:5">
      <c r="A2106" t="s">
        <v>6</v>
      </c>
      <c r="B2106" t="s">
        <v>2111</v>
      </c>
      <c r="C2106">
        <f>HYPERLINK("C:\Users\franc\OneDrive\Documentos\MALENTIN KARIME\VTA. PROPIEDAD\GUILLE CODOCEO A ORIEL ARAYA Minuta JOSE GOMILA.doc", "Abrir Documento")</f>
        <v>0</v>
      </c>
      <c r="D2106" t="s">
        <v>23500</v>
      </c>
      <c r="E2106" t="s">
        <v>25605</v>
      </c>
    </row>
    <row r="2107" spans="1:5">
      <c r="A2107" t="s">
        <v>6</v>
      </c>
      <c r="B2107" t="s">
        <v>2112</v>
      </c>
      <c r="C2107">
        <f>HYPERLINK("C:\Users\franc\OneDrive\Documentos\MALENTIN KARIME\VTA. PROPIEDAD\GUILERMO ROJAS DELGADO A LUIS BRUNADerechos.doc", "Abrir Documento")</f>
        <v>0</v>
      </c>
      <c r="D2107" t="s">
        <v>23500</v>
      </c>
      <c r="E2107" t="s">
        <v>25606</v>
      </c>
    </row>
    <row r="2108" spans="1:5">
      <c r="A2108" t="s">
        <v>6</v>
      </c>
      <c r="B2108" t="s">
        <v>2113</v>
      </c>
      <c r="C2108">
        <f>HYPERLINK("C:\Users\franc\OneDrive\Documentos\MALENTIN KARIME\VTA. PROPIEDAD\GRIGORIAN ARSEN A FRANCISCO PEREZ.doc", "Abrir Documento")</f>
        <v>0</v>
      </c>
      <c r="D2108" t="s">
        <v>23500</v>
      </c>
      <c r="E2108" t="s">
        <v>25607</v>
      </c>
    </row>
    <row r="2109" spans="1:5">
      <c r="A2109" t="s">
        <v>6</v>
      </c>
      <c r="B2109" t="s">
        <v>2114</v>
      </c>
      <c r="C2109">
        <f>HYPERLINK("C:\Users\franc\OneDrive\Documentos\MALENTIN KARIME\VTA. PROPIEDAD\GONZALO CORTES A Gonzalo Antonio Cortes 100 Derechos.doc", "Abrir Documento")</f>
        <v>0</v>
      </c>
      <c r="D2109" t="s">
        <v>23500</v>
      </c>
      <c r="E2109" t="s">
        <v>25608</v>
      </c>
    </row>
    <row r="2110" spans="1:5">
      <c r="A2110" t="s">
        <v>6</v>
      </c>
      <c r="B2110" t="s">
        <v>2115</v>
      </c>
      <c r="C2110">
        <f>HYPERLINK("C:\Users\franc\OneDrive\Documentos\MALENTIN KARIME\VTA. PROPIEDAD\GLEN GLONZALEZ A Kely Marambio.doc", "Abrir Documento")</f>
        <v>0</v>
      </c>
      <c r="D2110" t="s">
        <v>23500</v>
      </c>
      <c r="E2110" t="s">
        <v>25609</v>
      </c>
    </row>
    <row r="2111" spans="1:5">
      <c r="A2111" t="s">
        <v>6</v>
      </c>
      <c r="B2111" t="s">
        <v>2116</v>
      </c>
      <c r="C2111">
        <f>HYPERLINK("C:\Users\franc\OneDrive\Documentos\MALENTIN KARIME\VTA. PROPIEDAD\GLADYS NAVARRO A LUIS NAVARRO.doc", "Abrir Documento")</f>
        <v>0</v>
      </c>
      <c r="D2111" t="s">
        <v>23500</v>
      </c>
      <c r="E2111" t="s">
        <v>25610</v>
      </c>
    </row>
    <row r="2112" spans="1:5">
      <c r="A2112" t="s">
        <v>6</v>
      </c>
      <c r="B2112" t="s">
        <v>2117</v>
      </c>
      <c r="C2112">
        <f>HYPERLINK("C:\Users\franc\OneDrive\Documentos\MALENTIN KARIME\VTA. PROPIEDAD\GLADYS LOPEZ A CONSUELO PARRA cvta usufructo.doc", "Abrir Documento")</f>
        <v>0</v>
      </c>
      <c r="D2112" t="s">
        <v>23500</v>
      </c>
      <c r="E2112" t="s">
        <v>25611</v>
      </c>
    </row>
    <row r="2113" spans="1:5">
      <c r="A2113" t="s">
        <v>6</v>
      </c>
      <c r="B2113" t="s">
        <v>2118</v>
      </c>
      <c r="C2113">
        <f>HYPERLINK("C:\Users\franc\OneDrive\Documentos\MALENTIN KARIME\VTA. PROPIEDAD\GABRIELA ALVARADO ARAYA 100 Derechos.doc", "Abrir Documento")</f>
        <v>0</v>
      </c>
      <c r="D2113" t="s">
        <v>23500</v>
      </c>
      <c r="E2113" t="s">
        <v>25612</v>
      </c>
    </row>
    <row r="2114" spans="1:5">
      <c r="A2114" t="s">
        <v>6</v>
      </c>
      <c r="B2114" t="s">
        <v>2119</v>
      </c>
      <c r="C2114">
        <f>HYPERLINK("C:\Users\franc\OneDrive\Documentos\MALENTIN KARIME\VTA. PROPIEDAD\GABRIEL BRAVO CORTES A Rodrigo Zarate y otros Cony autoriza.doc", "Abrir Documento")</f>
        <v>0</v>
      </c>
      <c r="D2114" t="s">
        <v>23500</v>
      </c>
      <c r="E2114" t="s">
        <v>25613</v>
      </c>
    </row>
    <row r="2115" spans="1:5">
      <c r="A2115" t="s">
        <v>6</v>
      </c>
      <c r="B2115" t="s">
        <v>2120</v>
      </c>
      <c r="C2115">
        <f>HYPERLINK("C:\Users\franc\OneDrive\Documentos\MALENTIN KARIME\VTA. PROPIEDAD\GABRIEL BRAVO CORTES A GONZAO BRAVOCony autoriza.doc", "Abrir Documento")</f>
        <v>0</v>
      </c>
      <c r="D2115" t="s">
        <v>23500</v>
      </c>
      <c r="E2115" t="s">
        <v>25614</v>
      </c>
    </row>
    <row r="2116" spans="1:5">
      <c r="A2116" t="s">
        <v>6</v>
      </c>
      <c r="B2116" t="s">
        <v>2121</v>
      </c>
      <c r="C2116">
        <f>HYPERLINK("C:\Users\franc\OneDrive\Documentos\MALENTIN KARIME\VTA. PROPIEDAD\FRANCISCO GONZALEZ A MARIA CARVAJAL Minuta María Ines.doc", "Abrir Documento")</f>
        <v>0</v>
      </c>
      <c r="D2116" t="s">
        <v>23500</v>
      </c>
      <c r="E2116" t="s">
        <v>25615</v>
      </c>
    </row>
    <row r="2117" spans="1:5">
      <c r="A2117" t="s">
        <v>6</v>
      </c>
      <c r="B2117" t="s">
        <v>2122</v>
      </c>
      <c r="C2117">
        <f>HYPERLINK("C:\Users\franc\OneDrive\Documentos\MALENTIN KARIME\VTA. PROPIEDAD\FRANCISCO FARIAS A LORENA ARAYA.doc", "Abrir Documento")</f>
        <v>0</v>
      </c>
      <c r="D2117" t="s">
        <v>23500</v>
      </c>
      <c r="E2117" t="s">
        <v>25616</v>
      </c>
    </row>
    <row r="2118" spans="1:5">
      <c r="A2118" t="s">
        <v>6</v>
      </c>
      <c r="B2118" t="s">
        <v>2123</v>
      </c>
      <c r="C2118">
        <f>HYPERLINK("C:\Users\franc\OneDrive\Documentos\MALENTIN KARIME\VTA. PROPIEDAD\FLORA RAMIREZ Subdivision.doc", "Abrir Documento")</f>
        <v>0</v>
      </c>
      <c r="D2118" t="s">
        <v>23500</v>
      </c>
      <c r="E2118" t="s">
        <v>25617</v>
      </c>
    </row>
    <row r="2119" spans="1:5">
      <c r="A2119" t="s">
        <v>6</v>
      </c>
      <c r="B2119" t="s">
        <v>2124</v>
      </c>
      <c r="C2119">
        <f>HYPERLINK("C:\Users\franc\OneDrive\Documentos\MALENTIN KARIME\VTA. PROPIEDAD\ESCRITURA COMPRAVENTA WALTER JOFRE Y OTRA A CARLOS ARAYA MORALES.doc", "Abrir Documento")</f>
        <v>0</v>
      </c>
      <c r="D2119" t="s">
        <v>23500</v>
      </c>
      <c r="E2119" t="s">
        <v>25618</v>
      </c>
    </row>
    <row r="2120" spans="1:5">
      <c r="A2120" t="s">
        <v>6</v>
      </c>
      <c r="B2120" t="s">
        <v>2125</v>
      </c>
      <c r="C2120">
        <f>HYPERLINK("C:\Users\franc\OneDrive\Documentos\MALENTIN KARIME\VTA. PROPIEDAD\ERASMO BERRIOS ALFARO.doc", "Abrir Documento")</f>
        <v>0</v>
      </c>
      <c r="D2120" t="s">
        <v>23500</v>
      </c>
      <c r="E2120" t="s">
        <v>25619</v>
      </c>
    </row>
    <row r="2121" spans="1:5">
      <c r="A2121" t="s">
        <v>6</v>
      </c>
      <c r="B2121" t="s">
        <v>2126</v>
      </c>
      <c r="C2121">
        <f>HYPERLINK("C:\Users\franc\OneDrive\Documentos\MALENTIN KARIME\VTA. PROPIEDAD\EMA TORO CARVAJAL (COMUNIDAD AGR PUNITAQUI).doc", "Abrir Documento")</f>
        <v>0</v>
      </c>
      <c r="D2121" t="s">
        <v>23500</v>
      </c>
      <c r="E2121" t="s">
        <v>25620</v>
      </c>
    </row>
    <row r="2122" spans="1:5">
      <c r="A2122" t="s">
        <v>6</v>
      </c>
      <c r="B2122" t="s">
        <v>2127</v>
      </c>
      <c r="C2122">
        <f>HYPERLINK("C:\Users\franc\OneDrive\Documentos\MALENTIN KARIME\VTA. PROPIEDAD\ELENA RIVERA ROJAS A NANCY MERCADO Conyuge Administrador.doc", "Abrir Documento")</f>
        <v>0</v>
      </c>
      <c r="D2122" t="s">
        <v>23500</v>
      </c>
      <c r="E2122" t="s">
        <v>25621</v>
      </c>
    </row>
    <row r="2123" spans="1:5">
      <c r="A2123" t="s">
        <v>6</v>
      </c>
      <c r="B2123" t="s">
        <v>2128</v>
      </c>
      <c r="C2123">
        <f>HYPERLINK("C:\Users\franc\OneDrive\Documentos\MALENTIN KARIME\VTA. PROPIEDAD\ELENA RIVERA ROJAS A NANCY MERCADO Conyuge Administrador   Final.doc", "Abrir Documento")</f>
        <v>0</v>
      </c>
      <c r="D2123" t="s">
        <v>23500</v>
      </c>
      <c r="E2123" t="s">
        <v>25622</v>
      </c>
    </row>
    <row r="2124" spans="1:5">
      <c r="A2124" t="s">
        <v>6</v>
      </c>
      <c r="B2124" t="s">
        <v>2129</v>
      </c>
      <c r="C2124">
        <f>HYPERLINK("C:\Users\franc\OneDrive\Documentos\MALENTIN KARIME\VTA. PROPIEDAD\EDUARDO RIVERA GALLARDO solteros.doc", "Abrir Documento")</f>
        <v>0</v>
      </c>
      <c r="D2124" t="s">
        <v>23500</v>
      </c>
      <c r="E2124" t="s">
        <v>25623</v>
      </c>
    </row>
    <row r="2125" spans="1:5">
      <c r="A2125" t="s">
        <v>6</v>
      </c>
      <c r="B2125" t="s">
        <v>2130</v>
      </c>
      <c r="C2125">
        <f>HYPERLINK("C:\Users\franc\OneDrive\Documentos\MALENTIN KARIME\VTA. PROPIEDAD\EDUARDO JULIO GALLARDO A Patricia JulioCony autoriza.doc", "Abrir Documento")</f>
        <v>0</v>
      </c>
      <c r="D2125" t="s">
        <v>23500</v>
      </c>
      <c r="E2125" t="s">
        <v>25624</v>
      </c>
    </row>
    <row r="2126" spans="1:5">
      <c r="A2126" t="s">
        <v>6</v>
      </c>
      <c r="B2126" t="s">
        <v>2131</v>
      </c>
      <c r="C2126">
        <f>HYPERLINK("C:\Users\franc\OneDrive\Documentos\MALENTIN KARIME\VTA. PROPIEDAD\EDUARDO DEL CARMEN AGUILERA RIVERA.doc", "Abrir Documento")</f>
        <v>0</v>
      </c>
      <c r="D2126" t="s">
        <v>23500</v>
      </c>
      <c r="E2126" t="s">
        <v>25625</v>
      </c>
    </row>
    <row r="2127" spans="1:5">
      <c r="A2127" t="s">
        <v>6</v>
      </c>
      <c r="B2127" t="s">
        <v>2132</v>
      </c>
      <c r="C2127">
        <f>HYPERLINK("C:\Users\franc\OneDrive\Documentos\MALENTIN KARIME\VTA. PROPIEDAD\EDUARDO AROS JOFRE Subd Minuta Orlando Gallardo.doc", "Abrir Documento")</f>
        <v>0</v>
      </c>
      <c r="D2127" t="s">
        <v>23500</v>
      </c>
      <c r="E2127" t="s">
        <v>25626</v>
      </c>
    </row>
    <row r="2128" spans="1:5">
      <c r="A2128" t="s">
        <v>6</v>
      </c>
      <c r="B2128" t="s">
        <v>2133</v>
      </c>
      <c r="C2128">
        <f>HYPERLINK("C:\Users\franc\OneDrive\Documentos\MALENTIN KARIME\VTA. PROPIEDAD\EDUARDO ARAYA SANTANDER cvta usufructo.doc", "Abrir Documento")</f>
        <v>0</v>
      </c>
      <c r="D2128" t="s">
        <v>23500</v>
      </c>
      <c r="E2128" t="s">
        <v>25627</v>
      </c>
    </row>
    <row r="2129" spans="1:5">
      <c r="A2129" t="s">
        <v>6</v>
      </c>
      <c r="B2129" t="s">
        <v>2134</v>
      </c>
      <c r="C2129">
        <f>HYPERLINK("C:\Users\franc\OneDrive\Documentos\MALENTIN KARIME\VTA. PROPIEDAD\DUALDO CONTRERAS A Eduardo Contreras.doc", "Abrir Documento")</f>
        <v>0</v>
      </c>
      <c r="D2129" t="s">
        <v>23500</v>
      </c>
      <c r="E2129" t="s">
        <v>25628</v>
      </c>
    </row>
    <row r="2130" spans="1:5">
      <c r="A2130" t="s">
        <v>6</v>
      </c>
      <c r="B2130" t="s">
        <v>2135</v>
      </c>
      <c r="C2130">
        <f>HYPERLINK("C:\Users\franc\OneDrive\Documentos\MALENTIN KARIME\VTA. PROPIEDAD\DOMINGO YAÑEZ A FABIAN YAÑEZ.doc", "Abrir Documento")</f>
        <v>0</v>
      </c>
      <c r="D2130" t="s">
        <v>23500</v>
      </c>
      <c r="E2130" t="s">
        <v>25629</v>
      </c>
    </row>
    <row r="2131" spans="1:5">
      <c r="A2131" t="s">
        <v>6</v>
      </c>
      <c r="B2131" t="s">
        <v>2136</v>
      </c>
      <c r="C2131">
        <f>HYPERLINK("C:\Users\franc\OneDrive\Documentos\MALENTIN KARIME\VTA. PROPIEDAD\DOLLY TABILO A NANCY MERCADO.doc", "Abrir Documento")</f>
        <v>0</v>
      </c>
      <c r="D2131" t="s">
        <v>23500</v>
      </c>
      <c r="E2131" t="s">
        <v>25630</v>
      </c>
    </row>
    <row r="2132" spans="1:5">
      <c r="A2132" t="s">
        <v>6</v>
      </c>
      <c r="B2132" t="s">
        <v>2137</v>
      </c>
      <c r="C2132">
        <f>HYPERLINK("C:\Users\franc\OneDrive\Documentos\MALENTIN KARIME\VTA. PROPIEDAD\DOLLY TABILO A NANCY MERCADO borrador.doc", "Abrir Documento")</f>
        <v>0</v>
      </c>
      <c r="D2132" t="s">
        <v>23500</v>
      </c>
      <c r="E2132" t="s">
        <v>25631</v>
      </c>
    </row>
    <row r="2133" spans="1:5">
      <c r="A2133" t="s">
        <v>6</v>
      </c>
      <c r="B2133" t="s">
        <v>2138</v>
      </c>
      <c r="C2133">
        <f>HYPERLINK("C:\Users\franc\OneDrive\Documentos\MALENTIN KARIME\VTA. PROPIEDAD\CRISTINA VILLALOBOS ROJAS A Daniela Astorga solteros.doc", "Abrir Documento")</f>
        <v>0</v>
      </c>
      <c r="D2133" t="s">
        <v>23500</v>
      </c>
      <c r="E2133" t="s">
        <v>25632</v>
      </c>
    </row>
    <row r="2134" spans="1:5">
      <c r="A2134" t="s">
        <v>6</v>
      </c>
      <c r="B2134" t="s">
        <v>2139</v>
      </c>
      <c r="C2134">
        <f>HYPERLINK("C:\Users\franc\OneDrive\Documentos\MALENTIN KARIME\VTA. PROPIEDAD\CRISTIAN GALLARDO A MARISOL MEDINACony autoriza.doc", "Abrir Documento")</f>
        <v>0</v>
      </c>
      <c r="D2134" t="s">
        <v>23500</v>
      </c>
      <c r="E2134" t="s">
        <v>25633</v>
      </c>
    </row>
    <row r="2135" spans="1:5">
      <c r="A2135" t="s">
        <v>6</v>
      </c>
      <c r="B2135" t="s">
        <v>2140</v>
      </c>
      <c r="C2135">
        <f>HYPERLINK("C:\Users\franc\OneDrive\Documentos\MALENTIN KARIME\VTA. PROPIEDAD\CRISTIAN CACERES CARO A MASSIEL ARANCIBIA Y OTRA Minuta.doc", "Abrir Documento")</f>
        <v>0</v>
      </c>
      <c r="D2135" t="s">
        <v>23500</v>
      </c>
      <c r="E2135" t="s">
        <v>25634</v>
      </c>
    </row>
    <row r="2136" spans="1:5">
      <c r="A2136" t="s">
        <v>6</v>
      </c>
      <c r="B2136" t="s">
        <v>2141</v>
      </c>
      <c r="C2136">
        <f>HYPERLINK("C:\Users\franc\OneDrive\Documentos\MALENTIN KARIME\VTA. PROPIEDAD\CRISTIAN ARAYA A LUCINDA ROJAS.doc", "Abrir Documento")</f>
        <v>0</v>
      </c>
      <c r="D2136" t="s">
        <v>23500</v>
      </c>
      <c r="E2136" t="s">
        <v>25635</v>
      </c>
    </row>
    <row r="2137" spans="1:5">
      <c r="A2137" t="s">
        <v>6</v>
      </c>
      <c r="B2137" t="s">
        <v>2142</v>
      </c>
      <c r="C2137">
        <f>HYPERLINK("C:\Users\franc\OneDrive\Documentos\MALENTIN KARIME\VTA. PROPIEDAD\COMERCIAL GIBSON LIMITADA.doc", "Abrir Documento")</f>
        <v>0</v>
      </c>
      <c r="D2137" t="s">
        <v>23500</v>
      </c>
      <c r="E2137" t="s">
        <v>25636</v>
      </c>
    </row>
    <row r="2138" spans="1:5">
      <c r="A2138" t="s">
        <v>6</v>
      </c>
      <c r="B2138" t="s">
        <v>2143</v>
      </c>
      <c r="C2138">
        <f>HYPERLINK("C:\Users\franc\OneDrive\Documentos\MALENTIN KARIME\VTA. PROPIEDAD\COMERCIAL E INVERSIONES AMELIA MIRANDA.doc", "Abrir Documento")</f>
        <v>0</v>
      </c>
      <c r="D2138" t="s">
        <v>23500</v>
      </c>
      <c r="E2138" t="s">
        <v>25637</v>
      </c>
    </row>
    <row r="2139" spans="1:5">
      <c r="A2139" t="s">
        <v>6</v>
      </c>
      <c r="B2139" t="s">
        <v>2144</v>
      </c>
      <c r="C2139">
        <f>HYPERLINK("C:\Users\franc\OneDrive\Documentos\MALENTIN KARIME\VTA. PROPIEDAD\CERTIFICO promesa.doc", "Abrir Documento")</f>
        <v>0</v>
      </c>
      <c r="D2139" t="s">
        <v>23500</v>
      </c>
      <c r="E2139" t="s">
        <v>25638</v>
      </c>
    </row>
    <row r="2140" spans="1:5">
      <c r="A2140" t="s">
        <v>6</v>
      </c>
      <c r="B2140" t="s">
        <v>2145</v>
      </c>
      <c r="C2140">
        <f>HYPERLINK("C:\Users\franc\OneDrive\Documentos\MALENTIN KARIME\VTA. PROPIEDAD\CECILIA ANDRADE MONARDES Compradora.doc", "Abrir Documento")</f>
        <v>0</v>
      </c>
      <c r="D2140" t="s">
        <v>23500</v>
      </c>
      <c r="E2140" t="s">
        <v>25639</v>
      </c>
    </row>
    <row r="2141" spans="1:5">
      <c r="A2141" t="s">
        <v>6</v>
      </c>
      <c r="B2141" t="s">
        <v>2146</v>
      </c>
      <c r="C2141">
        <f>HYPERLINK("C:\Users\franc\OneDrive\Documentos\MALENTIN KARIME\VTA. PROPIEDAD\CARMEN MIRANDA MIRANDA Solteras.doc", "Abrir Documento")</f>
        <v>0</v>
      </c>
      <c r="D2141" t="s">
        <v>23500</v>
      </c>
      <c r="E2141" t="s">
        <v>25640</v>
      </c>
    </row>
    <row r="2142" spans="1:5">
      <c r="A2142" t="s">
        <v>6</v>
      </c>
      <c r="B2142" t="s">
        <v>2147</v>
      </c>
      <c r="C2142">
        <f>HYPERLINK("C:\Users\franc\OneDrive\Documentos\MALENTIN KARIME\VTA. PROPIEDAD\CARMEN JORQUERA BUGUEÑO A Waldo Ledezma cony administrador tierra y agua.doc", "Abrir Documento")</f>
        <v>0</v>
      </c>
      <c r="D2142" t="s">
        <v>23500</v>
      </c>
      <c r="E2142" t="s">
        <v>25641</v>
      </c>
    </row>
    <row r="2143" spans="1:5">
      <c r="A2143" t="s">
        <v>6</v>
      </c>
      <c r="B2143" t="s">
        <v>2148</v>
      </c>
      <c r="C2143">
        <f>HYPERLINK("C:\Users\franc\OneDrive\Documentos\MALENTIN KARIME\VTA. PROPIEDAD\CARLOS TAPIA GARCIA A CARLOS LETELIER Cony autoriza.doc", "Abrir Documento")</f>
        <v>0</v>
      </c>
      <c r="D2143" t="s">
        <v>23500</v>
      </c>
      <c r="E2143" t="s">
        <v>25642</v>
      </c>
    </row>
    <row r="2144" spans="1:5">
      <c r="A2144" t="s">
        <v>6</v>
      </c>
      <c r="B2144" t="s">
        <v>2149</v>
      </c>
      <c r="C2144">
        <f>HYPERLINK("C:\Users\franc\OneDrive\Documentos\MALENTIN KARIME\VTA. PROPIEDAD\CARLOS MARAMBIO A BERNARDITA MARAMBIO Derechos.doc", "Abrir Documento")</f>
        <v>0</v>
      </c>
      <c r="D2144" t="s">
        <v>23500</v>
      </c>
      <c r="E2144" t="s">
        <v>25643</v>
      </c>
    </row>
    <row r="2145" spans="1:5">
      <c r="A2145" t="s">
        <v>6</v>
      </c>
      <c r="B2145" t="s">
        <v>2150</v>
      </c>
      <c r="C2145">
        <f>HYPERLINK("C:\Users\franc\OneDrive\Documentos\MALENTIN KARIME\VTA. PROPIEDAD\CARLOS CARVAJAL RODRIGUEZ PC 18 C.doc", "Abrir Documento")</f>
        <v>0</v>
      </c>
      <c r="D2145" t="s">
        <v>23500</v>
      </c>
      <c r="E2145" t="s">
        <v>25644</v>
      </c>
    </row>
    <row r="2146" spans="1:5">
      <c r="A2146" t="s">
        <v>6</v>
      </c>
      <c r="B2146" t="s">
        <v>2151</v>
      </c>
      <c r="C2146">
        <f>HYPERLINK("C:\Users\franc\OneDrive\Documentos\MALENTIN KARIME\VTA. PROPIEDAD\CARLOS CARVAJAL RODRIGUEZ p.p. 18 A 5.doc", "Abrir Documento")</f>
        <v>0</v>
      </c>
      <c r="D2146" t="s">
        <v>23500</v>
      </c>
      <c r="E2146" t="s">
        <v>25645</v>
      </c>
    </row>
    <row r="2147" spans="1:5">
      <c r="A2147" t="s">
        <v>6</v>
      </c>
      <c r="B2147" t="s">
        <v>2152</v>
      </c>
      <c r="C2147">
        <f>HYPERLINK("C:\Users\franc\OneDrive\Documentos\MALENTIN KARIME\VTA. PROPIEDAD\CARLOS CARVAJAL RODRIGUEZ Nueva Foresta B.doc", "Abrir Documento")</f>
        <v>0</v>
      </c>
      <c r="D2147" t="s">
        <v>23500</v>
      </c>
      <c r="E2147" t="s">
        <v>25646</v>
      </c>
    </row>
    <row r="2148" spans="1:5">
      <c r="A2148" t="s">
        <v>6</v>
      </c>
      <c r="B2148" t="s">
        <v>2153</v>
      </c>
      <c r="C2148">
        <f>HYPERLINK("C:\Users\franc\OneDrive\Documentos\MALENTIN KARIME\VTA. PROPIEDAD\CARLOS CARVAJAL RODRIGUEZ lote f.doc", "Abrir Documento")</f>
        <v>0</v>
      </c>
      <c r="D2148" t="s">
        <v>23500</v>
      </c>
      <c r="E2148" t="s">
        <v>25647</v>
      </c>
    </row>
    <row r="2149" spans="1:5">
      <c r="A2149" t="s">
        <v>6</v>
      </c>
      <c r="B2149" t="s">
        <v>2154</v>
      </c>
      <c r="C2149">
        <f>HYPERLINK("C:\Users\franc\OneDrive\Documentos\MALENTIN KARIME\VTA. PROPIEDAD\CARLOS CARVAJAL RODRIGUEZ lOTE 18 F.doc", "Abrir Documento")</f>
        <v>0</v>
      </c>
      <c r="D2149" t="s">
        <v>23500</v>
      </c>
      <c r="E2149" t="s">
        <v>25648</v>
      </c>
    </row>
    <row r="2150" spans="1:5">
      <c r="A2150" t="s">
        <v>6</v>
      </c>
      <c r="B2150" t="s">
        <v>2155</v>
      </c>
      <c r="C2150">
        <f>HYPERLINK("C:\Users\franc\OneDrive\Documentos\MALENTIN KARIME\VTA. PROPIEDAD\CARLOS CARVAJAL RODRIGUEZ A ZAIDA MUNDACA.doc", "Abrir Documento")</f>
        <v>0</v>
      </c>
      <c r="D2150" t="s">
        <v>23500</v>
      </c>
      <c r="E2150" t="s">
        <v>25649</v>
      </c>
    </row>
    <row r="2151" spans="1:5">
      <c r="A2151" t="s">
        <v>6</v>
      </c>
      <c r="B2151" t="s">
        <v>2156</v>
      </c>
      <c r="C2151">
        <f>HYPERLINK("C:\Users\franc\OneDrive\Documentos\MALENTIN KARIME\VTA. PROPIEDAD\CARLOS CARVAJAL RODRIGUEZ A VIRJINIA JINEZ 42.doc", "Abrir Documento")</f>
        <v>0</v>
      </c>
      <c r="D2151" t="s">
        <v>23500</v>
      </c>
      <c r="E2151" t="s">
        <v>25650</v>
      </c>
    </row>
    <row r="2152" spans="1:5">
      <c r="A2152" t="s">
        <v>6</v>
      </c>
      <c r="B2152" t="s">
        <v>2157</v>
      </c>
      <c r="C2152">
        <f>HYPERLINK("C:\Users\franc\OneDrive\Documentos\MALENTIN KARIME\VTA. PROPIEDAD\CARLOS CARVAJAL RODRIGUEZ A SERGIO SALINAS  33.doc", "Abrir Documento")</f>
        <v>0</v>
      </c>
      <c r="D2152" t="s">
        <v>23500</v>
      </c>
      <c r="E2152" t="s">
        <v>25651</v>
      </c>
    </row>
    <row r="2153" spans="1:5">
      <c r="A2153" t="s">
        <v>6</v>
      </c>
      <c r="B2153" t="s">
        <v>2158</v>
      </c>
      <c r="C2153">
        <f>HYPERLINK("C:\Users\franc\OneDrive\Documentos\MALENTIN KARIME\VTA. PROPIEDAD\CARLOS CARVAJAL RODRIGUEZ A SERGIO LEON  31.doc", "Abrir Documento")</f>
        <v>0</v>
      </c>
      <c r="D2153" t="s">
        <v>23500</v>
      </c>
      <c r="E2153" t="s">
        <v>25652</v>
      </c>
    </row>
    <row r="2154" spans="1:5">
      <c r="A2154" t="s">
        <v>6</v>
      </c>
      <c r="B2154" t="s">
        <v>2159</v>
      </c>
      <c r="C2154">
        <f>HYPERLINK("C:\Users\franc\OneDrive\Documentos\MALENTIN KARIME\VTA. PROPIEDAD\CARLOS CARVAJAL RODRIGUEZ A SARA LANAS VEGA 43.doc", "Abrir Documento")</f>
        <v>0</v>
      </c>
      <c r="D2154" t="s">
        <v>23500</v>
      </c>
      <c r="E2154" t="s">
        <v>25653</v>
      </c>
    </row>
    <row r="2155" spans="1:5">
      <c r="A2155" t="s">
        <v>6</v>
      </c>
      <c r="B2155" t="s">
        <v>2160</v>
      </c>
      <c r="C2155">
        <f>HYPERLINK("C:\Users\franc\OneDrive\Documentos\MALENTIN KARIME\VTA. PROPIEDAD\CARLOS CARVAJAL RODRIGUEZ A ROGELIO PIZARRO Y OTRA.doc", "Abrir Documento")</f>
        <v>0</v>
      </c>
      <c r="D2155" t="s">
        <v>23500</v>
      </c>
      <c r="E2155" t="s">
        <v>25654</v>
      </c>
    </row>
    <row r="2156" spans="1:5">
      <c r="A2156" t="s">
        <v>6</v>
      </c>
      <c r="B2156" t="s">
        <v>2161</v>
      </c>
      <c r="C2156">
        <f>HYPERLINK("C:\Users\franc\OneDrive\Documentos\MALENTIN KARIME\VTA. PROPIEDAD\CARLOS CARVAJAL RODRIGUEZ A ROBERTO PIÑONES 41.doc", "Abrir Documento")</f>
        <v>0</v>
      </c>
      <c r="D2156" t="s">
        <v>23500</v>
      </c>
      <c r="E2156" t="s">
        <v>25655</v>
      </c>
    </row>
    <row r="2157" spans="1:5">
      <c r="A2157" t="s">
        <v>6</v>
      </c>
      <c r="B2157" t="s">
        <v>2162</v>
      </c>
      <c r="C2157">
        <f>HYPERLINK("C:\Users\franc\OneDrive\Documentos\MALENTIN KARIME\VTA. PROPIEDAD\CARLOS CARVAJAL RODRIGUEZ A PATRICIO DIAZ GALLEGUILLOS.doc", "Abrir Documento")</f>
        <v>0</v>
      </c>
      <c r="D2157" t="s">
        <v>23500</v>
      </c>
      <c r="E2157" t="s">
        <v>25656</v>
      </c>
    </row>
    <row r="2158" spans="1:5">
      <c r="A2158" t="s">
        <v>6</v>
      </c>
      <c r="B2158" t="s">
        <v>2163</v>
      </c>
      <c r="C2158">
        <f>HYPERLINK("C:\Users\franc\OneDrive\Documentos\MALENTIN KARIME\VTA. PROPIEDAD\CARLOS CARVAJAL RODRIGUEZ A OSVALDO GERALDO 26.doc", "Abrir Documento")</f>
        <v>0</v>
      </c>
      <c r="D2158" t="s">
        <v>23500</v>
      </c>
      <c r="E2158" t="s">
        <v>25657</v>
      </c>
    </row>
    <row r="2159" spans="1:5">
      <c r="A2159" t="s">
        <v>6</v>
      </c>
      <c r="B2159" t="s">
        <v>2164</v>
      </c>
      <c r="C2159">
        <f>HYPERLINK("C:\Users\franc\OneDrive\Documentos\MALENTIN KARIME\VTA. PROPIEDAD\CARLOS CARVAJAL RODRIGUEZ A mauricio gutierrez pp 18 4.doc", "Abrir Documento")</f>
        <v>0</v>
      </c>
      <c r="D2159" t="s">
        <v>23500</v>
      </c>
      <c r="E2159" t="s">
        <v>25658</v>
      </c>
    </row>
    <row r="2160" spans="1:5">
      <c r="A2160" t="s">
        <v>6</v>
      </c>
      <c r="B2160" t="s">
        <v>2165</v>
      </c>
      <c r="C2160">
        <f>HYPERLINK("C:\Users\franc\OneDrive\Documentos\MALENTIN KARIME\VTA. PROPIEDAD\CARLOS CARVAJAL RODRIGUEZ A MARILUZ GARCIA pp 18-19.doc", "Abrir Documento")</f>
        <v>0</v>
      </c>
      <c r="D2160" t="s">
        <v>23500</v>
      </c>
      <c r="E2160" t="s">
        <v>25659</v>
      </c>
    </row>
    <row r="2161" spans="1:5">
      <c r="A2161" t="s">
        <v>6</v>
      </c>
      <c r="B2161" t="s">
        <v>2166</v>
      </c>
      <c r="C2161">
        <f>HYPERLINK("C:\Users\franc\OneDrive\Documentos\MALENTIN KARIME\VTA. PROPIEDAD\CARLOS CARVAJAL RODRIGUEZ A MARIANO ALUCEMA GARCIA.doc", "Abrir Documento")</f>
        <v>0</v>
      </c>
      <c r="D2161" t="s">
        <v>23500</v>
      </c>
      <c r="E2161" t="s">
        <v>25660</v>
      </c>
    </row>
    <row r="2162" spans="1:5">
      <c r="A2162" t="s">
        <v>6</v>
      </c>
      <c r="B2162" t="s">
        <v>2167</v>
      </c>
      <c r="C2162">
        <f>HYPERLINK("C:\Users\franc\OneDrive\Documentos\MALENTIN KARIME\VTA. PROPIEDAD\CARLOS CARVAJAL RODRIGUEZ A MARIANELA SOLIS 30.doc", "Abrir Documento")</f>
        <v>0</v>
      </c>
      <c r="D2162" t="s">
        <v>23500</v>
      </c>
      <c r="E2162" t="s">
        <v>25661</v>
      </c>
    </row>
    <row r="2163" spans="1:5">
      <c r="A2163" t="s">
        <v>6</v>
      </c>
      <c r="B2163" t="s">
        <v>2168</v>
      </c>
      <c r="C2163">
        <f>HYPERLINK("C:\Users\franc\OneDrive\Documentos\MALENTIN KARIME\VTA. PROPIEDAD\CARLOS CARVAJAL RODRIGUEZ A MARIA ACEITUNO POZO.doc", "Abrir Documento")</f>
        <v>0</v>
      </c>
      <c r="D2163" t="s">
        <v>23500</v>
      </c>
      <c r="E2163" t="s">
        <v>25662</v>
      </c>
    </row>
    <row r="2164" spans="1:5">
      <c r="A2164" t="s">
        <v>6</v>
      </c>
      <c r="B2164" t="s">
        <v>2169</v>
      </c>
      <c r="C2164">
        <f>HYPERLINK("C:\Users\franc\OneDrive\Documentos\MALENTIN KARIME\VTA. PROPIEDAD\CARLOS CARVAJAL RODRIGUEZ A Luis Veliz Salgado 18 B Nueva modelo.doc", "Abrir Documento")</f>
        <v>0</v>
      </c>
      <c r="D2164" t="s">
        <v>23500</v>
      </c>
      <c r="E2164" t="s">
        <v>25663</v>
      </c>
    </row>
    <row r="2165" spans="1:5">
      <c r="A2165" t="s">
        <v>6</v>
      </c>
      <c r="B2165" t="s">
        <v>2170</v>
      </c>
      <c r="C2165">
        <f>HYPERLINK("C:\Users\franc\OneDrive\Documentos\MALENTIN KARIME\VTA. PROPIEDAD\CARLOS CARVAJAL RODRIGUEZ A LORENA RAMIREZ.doc", "Abrir Documento")</f>
        <v>0</v>
      </c>
      <c r="D2165" t="s">
        <v>23500</v>
      </c>
      <c r="E2165" t="s">
        <v>25664</v>
      </c>
    </row>
    <row r="2166" spans="1:5">
      <c r="A2166" t="s">
        <v>6</v>
      </c>
      <c r="B2166" t="s">
        <v>2171</v>
      </c>
      <c r="C2166">
        <f>HYPERLINK("C:\Users\franc\OneDrive\Documentos\MALENTIN KARIME\VTA. PROPIEDAD\CARLOS CARVAJAL RODRIGUEZ A JULIO ROJAS Y OTRO.doc", "Abrir Documento")</f>
        <v>0</v>
      </c>
      <c r="D2166" t="s">
        <v>23500</v>
      </c>
      <c r="E2166" t="s">
        <v>25665</v>
      </c>
    </row>
    <row r="2167" spans="1:5">
      <c r="A2167" t="s">
        <v>6</v>
      </c>
      <c r="B2167" t="s">
        <v>2172</v>
      </c>
      <c r="C2167">
        <f>HYPERLINK("C:\Users\franc\OneDrive\Documentos\MALENTIN KARIME\VTA. PROPIEDAD\CARLOS CARVAJAL RODRIGUEZ A JUAN ANTONIO ACUÑA.doc", "Abrir Documento")</f>
        <v>0</v>
      </c>
      <c r="D2167" t="s">
        <v>23500</v>
      </c>
      <c r="E2167" t="s">
        <v>25666</v>
      </c>
    </row>
    <row r="2168" spans="1:5">
      <c r="A2168" t="s">
        <v>6</v>
      </c>
      <c r="B2168" t="s">
        <v>2173</v>
      </c>
      <c r="C2168">
        <f>HYPERLINK("C:\Users\franc\OneDrive\Documentos\MALENTIN KARIME\VTA. PROPIEDAD\CARLOS CARVAJAL RODRIGUEZ A JOSE PEREZ DIAZ 20.doc", "Abrir Documento")</f>
        <v>0</v>
      </c>
      <c r="D2168" t="s">
        <v>23500</v>
      </c>
      <c r="E2168" t="s">
        <v>25667</v>
      </c>
    </row>
    <row r="2169" spans="1:5">
      <c r="A2169" t="s">
        <v>6</v>
      </c>
      <c r="B2169" t="s">
        <v>2174</v>
      </c>
      <c r="C2169">
        <f>HYPERLINK("C:\Users\franc\OneDrive\Documentos\MALENTIN KARIME\VTA. PROPIEDAD\CARLOS CARVAJAL RODRIGUEZ A JAIME PEREZ 34.doc", "Abrir Documento")</f>
        <v>0</v>
      </c>
      <c r="D2169" t="s">
        <v>23500</v>
      </c>
      <c r="E2169" t="s">
        <v>25668</v>
      </c>
    </row>
    <row r="2170" spans="1:5">
      <c r="A2170" t="s">
        <v>6</v>
      </c>
      <c r="B2170" t="s">
        <v>2175</v>
      </c>
      <c r="C2170">
        <f>HYPERLINK("C:\Users\franc\OneDrive\Documentos\MALENTIN KARIME\VTA. PROPIEDAD\CARLOS CARVAJAL RODRIGUEZ A HERMAN VARAS 29.doc", "Abrir Documento")</f>
        <v>0</v>
      </c>
      <c r="D2170" t="s">
        <v>23500</v>
      </c>
      <c r="E2170" t="s">
        <v>25669</v>
      </c>
    </row>
    <row r="2171" spans="1:5">
      <c r="A2171" t="s">
        <v>6</v>
      </c>
      <c r="B2171" t="s">
        <v>2176</v>
      </c>
      <c r="C2171">
        <f>HYPERLINK("C:\Users\franc\OneDrive\Documentos\MALENTIN KARIME\VTA. PROPIEDAD\CARLOS CARVAJAL RODRIGUEZ A GUSTAVO GONZALEZ 23.doc", "Abrir Documento")</f>
        <v>0</v>
      </c>
      <c r="D2171" t="s">
        <v>23500</v>
      </c>
      <c r="E2171" t="s">
        <v>25670</v>
      </c>
    </row>
    <row r="2172" spans="1:5">
      <c r="A2172" t="s">
        <v>6</v>
      </c>
      <c r="B2172" t="s">
        <v>2177</v>
      </c>
      <c r="C2172">
        <f>HYPERLINK("C:\Users\franc\OneDrive\Documentos\MALENTIN KARIME\VTA. PROPIEDAD\CARLOS CARVAJAL RODRIGUEZ A GABRIEL MANRIQUEZ 25 Y OTRA.doc", "Abrir Documento")</f>
        <v>0</v>
      </c>
      <c r="D2172" t="s">
        <v>23500</v>
      </c>
      <c r="E2172" t="s">
        <v>25671</v>
      </c>
    </row>
    <row r="2173" spans="1:5">
      <c r="A2173" t="s">
        <v>6</v>
      </c>
      <c r="B2173" t="s">
        <v>2178</v>
      </c>
      <c r="C2173">
        <f>HYPERLINK("C:\Users\franc\OneDrive\Documentos\MALENTIN KARIME\VTA. PROPIEDAD\CARLOS CARVAJAL RODRIGUEZ A FREDDY SAAVEDRA CASTILLO Y otros 20.doc", "Abrir Documento")</f>
        <v>0</v>
      </c>
      <c r="D2173" t="s">
        <v>23500</v>
      </c>
      <c r="E2173" t="s">
        <v>25672</v>
      </c>
    </row>
    <row r="2174" spans="1:5">
      <c r="A2174" t="s">
        <v>6</v>
      </c>
      <c r="B2174" t="s">
        <v>2179</v>
      </c>
      <c r="C2174">
        <f>HYPERLINK("C:\Users\franc\OneDrive\Documentos\MALENTIN KARIME\VTA. PROPIEDAD\CARLOS CARVAJAL RODRIGUEZ a ELDA CARRASCO D 2.doc", "Abrir Documento")</f>
        <v>0</v>
      </c>
      <c r="D2174" t="s">
        <v>23500</v>
      </c>
      <c r="E2174" t="s">
        <v>25673</v>
      </c>
    </row>
    <row r="2175" spans="1:5">
      <c r="A2175" t="s">
        <v>6</v>
      </c>
      <c r="B2175" t="s">
        <v>2180</v>
      </c>
      <c r="C2175">
        <f>HYPERLINK("C:\Users\franc\OneDrive\Documentos\MALENTIN KARIME\VTA. PROPIEDAD\CARLOS CARVAJAL RODRIGUEZ A EDUARDO LUTZ VALENZUELA pp 15.doc", "Abrir Documento")</f>
        <v>0</v>
      </c>
      <c r="D2175" t="s">
        <v>23500</v>
      </c>
      <c r="E2175" t="s">
        <v>25674</v>
      </c>
    </row>
    <row r="2176" spans="1:5">
      <c r="A2176" t="s">
        <v>6</v>
      </c>
      <c r="B2176" t="s">
        <v>2181</v>
      </c>
      <c r="C2176">
        <f>HYPERLINK("C:\Users\franc\OneDrive\Documentos\MALENTIN KARIME\VTA. PROPIEDAD\CARLOS CARVAJAL RODRIGUEZ A Eduardo Cortes 18 A 24.doc", "Abrir Documento")</f>
        <v>0</v>
      </c>
      <c r="D2176" t="s">
        <v>23500</v>
      </c>
      <c r="E2176" t="s">
        <v>25675</v>
      </c>
    </row>
    <row r="2177" spans="1:5">
      <c r="A2177" t="s">
        <v>6</v>
      </c>
      <c r="B2177" t="s">
        <v>2182</v>
      </c>
      <c r="C2177">
        <f>HYPERLINK("C:\Users\franc\OneDrive\Documentos\MALENTIN KARIME\VTA. PROPIEDAD\CARLOS CARVAJAL RODRIGUEZ a DANIEL PAUVIF Y OTRO L18F.doc", "Abrir Documento")</f>
        <v>0</v>
      </c>
      <c r="D2177" t="s">
        <v>23500</v>
      </c>
      <c r="E2177" t="s">
        <v>25676</v>
      </c>
    </row>
    <row r="2178" spans="1:5">
      <c r="A2178" t="s">
        <v>6</v>
      </c>
      <c r="B2178" t="s">
        <v>2183</v>
      </c>
      <c r="C2178">
        <f>HYPERLINK("C:\Users\franc\OneDrive\Documentos\MALENTIN KARIME\VTA. PROPIEDAD\CARLOS CARVAJAL RODRIGUEZ A CRISTIAN  ALVARADO 39.doc", "Abrir Documento")</f>
        <v>0</v>
      </c>
      <c r="D2178" t="s">
        <v>23500</v>
      </c>
      <c r="E2178" t="s">
        <v>25677</v>
      </c>
    </row>
    <row r="2179" spans="1:5">
      <c r="A2179" t="s">
        <v>6</v>
      </c>
      <c r="B2179" t="s">
        <v>2184</v>
      </c>
      <c r="C2179">
        <f>HYPERLINK("C:\Users\franc\OneDrive\Documentos\MALENTIN KARIME\VTA. PROPIEDAD\CARLOS CARVAJAL RODRIGUEZ A CLEOPATRA MENESES  38.doc", "Abrir Documento")</f>
        <v>0</v>
      </c>
      <c r="D2179" t="s">
        <v>23500</v>
      </c>
      <c r="E2179" t="s">
        <v>25678</v>
      </c>
    </row>
    <row r="2180" spans="1:5">
      <c r="A2180" t="s">
        <v>6</v>
      </c>
      <c r="B2180" t="s">
        <v>2185</v>
      </c>
      <c r="C2180">
        <f>HYPERLINK("C:\Users\franc\OneDrive\Documentos\MALENTIN KARIME\VTA. PROPIEDAD\CARLOS CARVAJAL RODRIGUEZ A CARMEN VIVAR CONCHA 32.doc", "Abrir Documento")</f>
        <v>0</v>
      </c>
      <c r="D2180" t="s">
        <v>23500</v>
      </c>
      <c r="E2180" t="s">
        <v>25679</v>
      </c>
    </row>
    <row r="2181" spans="1:5">
      <c r="A2181" t="s">
        <v>6</v>
      </c>
      <c r="B2181" t="s">
        <v>2186</v>
      </c>
      <c r="C2181">
        <f>HYPERLINK("C:\Users\franc\OneDrive\Documentos\MALENTIN KARIME\VTA. PROPIEDAD\CARLOS CARVAJAL RODRIGUEZ A CARMEN ARAYA PINTO 36,37.doc", "Abrir Documento")</f>
        <v>0</v>
      </c>
      <c r="D2181" t="s">
        <v>23500</v>
      </c>
      <c r="E2181" t="s">
        <v>25680</v>
      </c>
    </row>
    <row r="2182" spans="1:5">
      <c r="A2182" t="s">
        <v>6</v>
      </c>
      <c r="B2182" t="s">
        <v>2187</v>
      </c>
      <c r="C2182">
        <f>HYPERLINK("C:\Users\franc\OneDrive\Documentos\MALENTIN KARIME\VTA. PROPIEDAD\CARLOS CARVAJAL RODRIGUEZ A BRYAN SARMIENTO.doc", "Abrir Documento")</f>
        <v>0</v>
      </c>
      <c r="D2182" t="s">
        <v>23500</v>
      </c>
      <c r="E2182" t="s">
        <v>25681</v>
      </c>
    </row>
    <row r="2183" spans="1:5">
      <c r="A2183" t="s">
        <v>6</v>
      </c>
      <c r="B2183" t="s">
        <v>2188</v>
      </c>
      <c r="C2183">
        <f>HYPERLINK("C:\Users\franc\OneDrive\Documentos\MALENTIN KARIME\VTA. PROPIEDAD\CARLOS CARVAJAL RODRIGUEZ A ALVERTA SILVA.doc", "Abrir Documento")</f>
        <v>0</v>
      </c>
      <c r="D2183" t="s">
        <v>23500</v>
      </c>
      <c r="E2183" t="s">
        <v>25682</v>
      </c>
    </row>
    <row r="2184" spans="1:5">
      <c r="A2184" t="s">
        <v>6</v>
      </c>
      <c r="B2184" t="s">
        <v>2189</v>
      </c>
      <c r="C2184">
        <f>HYPERLINK("C:\Users\franc\OneDrive\Documentos\MALENTIN KARIME\VTA. PROPIEDAD\CARLOS CARVAJAL RODRIGUEZ A ALVERTA SILVA 47.doc", "Abrir Documento")</f>
        <v>0</v>
      </c>
      <c r="D2184" t="s">
        <v>23500</v>
      </c>
      <c r="E2184" t="s">
        <v>25683</v>
      </c>
    </row>
    <row r="2185" spans="1:5">
      <c r="A2185" t="s">
        <v>6</v>
      </c>
      <c r="B2185" t="s">
        <v>2190</v>
      </c>
      <c r="C2185">
        <f>HYPERLINK("C:\Users\franc\OneDrive\Documentos\MALENTIN KARIME\VTA. PROPIEDAD\CARLOS CARVAJAL RODRIGUEZ A ALFREDO SANTANDER 27 Y 28.doc", "Abrir Documento")</f>
        <v>0</v>
      </c>
      <c r="D2185" t="s">
        <v>23500</v>
      </c>
      <c r="E2185" t="s">
        <v>25684</v>
      </c>
    </row>
    <row r="2186" spans="1:5">
      <c r="A2186" t="s">
        <v>6</v>
      </c>
      <c r="B2186" t="s">
        <v>2191</v>
      </c>
      <c r="C2186">
        <f>HYPERLINK("C:\Users\franc\OneDrive\Documentos\MALENTIN KARIME\VTA. PROPIEDAD\CARLOS CARVAJAL RODRIGUEZ A Alex Lopez Millalonco Nueva Foresta B.doc", "Abrir Documento")</f>
        <v>0</v>
      </c>
      <c r="D2186" t="s">
        <v>23500</v>
      </c>
      <c r="E2186" t="s">
        <v>25685</v>
      </c>
    </row>
    <row r="2187" spans="1:5">
      <c r="A2187" t="s">
        <v>6</v>
      </c>
      <c r="B2187" t="s">
        <v>2192</v>
      </c>
      <c r="C2187">
        <f>HYPERLINK("C:\Users\franc\OneDrive\Documentos\MALENTIN KARIME\VTA. PROPIEDAD\CARLOS CARVAJAL RODRIGUEZ A  CLAUDIA NARANJO 18 C.doc", "Abrir Documento")</f>
        <v>0</v>
      </c>
      <c r="D2187" t="s">
        <v>23500</v>
      </c>
      <c r="E2187" t="s">
        <v>25686</v>
      </c>
    </row>
    <row r="2188" spans="1:5">
      <c r="A2188" t="s">
        <v>6</v>
      </c>
      <c r="B2188" t="s">
        <v>2193</v>
      </c>
      <c r="C2188">
        <f>HYPERLINK("C:\Users\franc\OneDrive\Documentos\MALENTIN KARIME\VTA. PROPIEDAD\CARLOS CARVAJAL RODRIGUEZ 18 B Nueva modelo.doc", "Abrir Documento")</f>
        <v>0</v>
      </c>
      <c r="D2188" t="s">
        <v>23500</v>
      </c>
      <c r="E2188" t="s">
        <v>25687</v>
      </c>
    </row>
    <row r="2189" spans="1:5">
      <c r="A2189" t="s">
        <v>6</v>
      </c>
      <c r="B2189" t="s">
        <v>2194</v>
      </c>
      <c r="C2189">
        <f>HYPERLINK("C:\Users\franc\OneDrive\Documentos\MALENTIN KARIME\varios de colegas\SUCESION CASTILLO IBACACHE judicial especial.doc", "Abrir Documento")</f>
        <v>0</v>
      </c>
      <c r="D2189" t="s">
        <v>23500</v>
      </c>
      <c r="E2189" t="s">
        <v>25688</v>
      </c>
    </row>
    <row r="2190" spans="1:5">
      <c r="A2190" t="s">
        <v>6</v>
      </c>
      <c r="B2190" t="s">
        <v>2195</v>
      </c>
      <c r="C2190">
        <f>HYPERLINK("C:\Users\franc\OneDrive\Documentos\MALENTIN KARIME\varios de colegas\Regl_Coprop_edificio.doc", "Abrir Documento")</f>
        <v>0</v>
      </c>
      <c r="D2190" t="s">
        <v>23500</v>
      </c>
      <c r="E2190" t="s">
        <v>25689</v>
      </c>
    </row>
    <row r="2191" spans="1:5">
      <c r="A2191" t="s">
        <v>6</v>
      </c>
      <c r="B2191" t="s">
        <v>2196</v>
      </c>
      <c r="C2191">
        <f>HYPERLINK("C:\Users\franc\OneDrive\Documentos\MALENTIN KARIME\varios de colegas\PROMESA E HIPOTECA JUNIO 14.doc", "Abrir Documento")</f>
        <v>0</v>
      </c>
      <c r="D2191" t="s">
        <v>23500</v>
      </c>
      <c r="E2191" t="s">
        <v>25690</v>
      </c>
    </row>
    <row r="2192" spans="1:5">
      <c r="A2192" t="s">
        <v>6</v>
      </c>
      <c r="B2192" t="s">
        <v>2197</v>
      </c>
      <c r="C2192">
        <f>HYPERLINK("C:\Users\franc\OneDrive\Documentos\MALENTIN KARIME\varios de colegas\PROMESA DE COMPRAVENTA MELLADO A NORTEANDIONO LOTE 0, 5 HAS 17.06.14-3.doc", "Abrir Documento")</f>
        <v>0</v>
      </c>
      <c r="D2192" t="s">
        <v>23500</v>
      </c>
      <c r="E2192" t="s">
        <v>25691</v>
      </c>
    </row>
    <row r="2193" spans="1:5">
      <c r="A2193" t="s">
        <v>6</v>
      </c>
      <c r="B2193" t="s">
        <v>2198</v>
      </c>
      <c r="C2193">
        <f>HYPERLINK("C:\Users\franc\OneDrive\Documentos\MALENTIN KARIME\varios de colegas\MANDATO JUDICIAL NUEVO.doc", "Abrir Documento")</f>
        <v>0</v>
      </c>
      <c r="D2193" t="s">
        <v>23500</v>
      </c>
      <c r="E2193" t="s">
        <v>25692</v>
      </c>
    </row>
    <row r="2194" spans="1:5">
      <c r="A2194" t="s">
        <v>6</v>
      </c>
      <c r="B2194" t="s">
        <v>2199</v>
      </c>
      <c r="C2194">
        <f>HYPERLINK("C:\Users\franc\OneDrive\Documentos\MALENTIN KARIME\varios de colegas\JUAN DURAND CAFFARENA A CECILIA CASTILLO TORREs.doc", "Abrir Documento")</f>
        <v>0</v>
      </c>
      <c r="D2194" t="s">
        <v>23500</v>
      </c>
      <c r="E2194" t="s">
        <v>25693</v>
      </c>
    </row>
    <row r="2195" spans="1:5">
      <c r="A2195" t="s">
        <v>6</v>
      </c>
      <c r="B2195" t="s">
        <v>2200</v>
      </c>
      <c r="C2195">
        <f>HYPERLINK("C:\Users\franc\OneDrive\Documentos\MALENTIN KARIME\varios de colegas\EXTRACTO SOC. AGROIND. Y TRANSP. VALLE DE TULAHUEN LTDA.doc", "Abrir Documento")</f>
        <v>0</v>
      </c>
      <c r="D2195" t="s">
        <v>23500</v>
      </c>
      <c r="E2195" t="s">
        <v>25694</v>
      </c>
    </row>
    <row r="2196" spans="1:5">
      <c r="A2196" t="s">
        <v>6</v>
      </c>
      <c r="B2196" t="s">
        <v>2201</v>
      </c>
      <c r="C2196">
        <f>HYPERLINK("C:\Users\franc\OneDrive\Documentos\MALENTIN KARIME\varios de colegas\Escritura pública de complementación Jorge Araya García a Banco de Chile.doc", "Abrir Documento")</f>
        <v>0</v>
      </c>
      <c r="D2196" t="s">
        <v>23500</v>
      </c>
      <c r="E2196" t="s">
        <v>25695</v>
      </c>
    </row>
    <row r="2197" spans="1:5">
      <c r="A2197" t="s">
        <v>6</v>
      </c>
      <c r="B2197" t="s">
        <v>2202</v>
      </c>
      <c r="C2197">
        <f>HYPERLINK("C:\Users\franc\OneDrive\Documentos\MALENTIN KARIME\varios de colegas\ESCRITURA CAROLNA ACUu00D1A.doc", "Abrir Documento")</f>
        <v>0</v>
      </c>
      <c r="D2197" t="s">
        <v>23500</v>
      </c>
      <c r="E2197" t="s">
        <v>25696</v>
      </c>
    </row>
    <row r="2198" spans="1:5">
      <c r="A2198" t="s">
        <v>6</v>
      </c>
      <c r="B2198" t="s">
        <v>2203</v>
      </c>
      <c r="C2198">
        <f>HYPERLINK("C:\Users\franc\OneDrive\Documentos\MALENTIN KARIME\varios de colegas\ESCRITURA CAROLINA ACUu00D1A.doc", "Abrir Documento")</f>
        <v>0</v>
      </c>
      <c r="D2198" t="s">
        <v>23500</v>
      </c>
      <c r="E2198" t="s">
        <v>25697</v>
      </c>
    </row>
    <row r="2199" spans="1:5">
      <c r="A2199" t="s">
        <v>6</v>
      </c>
      <c r="B2199" t="s">
        <v>2204</v>
      </c>
      <c r="C2199">
        <f>HYPERLINK("C:\Users\franc\OneDrive\Documentos\MALENTIN KARIME\varios de colegas\EP 260814 Mto Especial Promesas CV Lote 2 Ovalle Pacal a Gonzalo Zamorano Not Raby Rep 10868.pdf", "Abrir Documento")</f>
        <v>0</v>
      </c>
      <c r="D2199" t="s">
        <v>23500</v>
      </c>
      <c r="E2199" t="s">
        <v>25698</v>
      </c>
    </row>
    <row r="2200" spans="1:5">
      <c r="A2200" t="s">
        <v>6</v>
      </c>
      <c r="B2200" t="s">
        <v>2205</v>
      </c>
      <c r="C2200">
        <f>HYPERLINK("C:\Users\franc\OneDrive\Documentos\MALENTIN KARIME\varios de colegas\ELNOTA~1.DOC", "Abrir Documento")</f>
        <v>0</v>
      </c>
      <c r="D2200" t="s">
        <v>23500</v>
      </c>
      <c r="E2200" t="s">
        <v>25699</v>
      </c>
    </row>
    <row r="2201" spans="1:5">
      <c r="A2201" t="s">
        <v>6</v>
      </c>
      <c r="B2201" t="s">
        <v>2206</v>
      </c>
      <c r="C2201">
        <f>HYPERLINK("C:\Users\franc\OneDrive\Documentos\MALENTIN KARIME\varios de colegas\DEYSI CORTES.doc", "Abrir Documento")</f>
        <v>0</v>
      </c>
      <c r="D2201" t="s">
        <v>23500</v>
      </c>
      <c r="E2201" t="s">
        <v>25700</v>
      </c>
    </row>
    <row r="2202" spans="1:5">
      <c r="A2202" t="s">
        <v>6</v>
      </c>
      <c r="B2202" t="s">
        <v>2207</v>
      </c>
      <c r="C2202">
        <f>HYPERLINK("C:\Users\franc\OneDrive\Documentos\MALENTIN KARIME\varios de colegas\Compraventa Imprenta.doc", "Abrir Documento")</f>
        <v>0</v>
      </c>
      <c r="D2202" t="s">
        <v>23500</v>
      </c>
      <c r="E2202" t="s">
        <v>25701</v>
      </c>
    </row>
    <row r="2203" spans="1:5">
      <c r="A2203" t="s">
        <v>6</v>
      </c>
      <c r="B2203" t="s">
        <v>2208</v>
      </c>
      <c r="C2203">
        <f>HYPERLINK("C:\Users\franc\OneDrive\Documentos\MALENTIN KARIME\varios de colegas\CARLOS CARVAJAL RODRIGUEZ A Luis Veliz SalgadoLOTE 12 Nueva modelo.doc", "Abrir Documento")</f>
        <v>0</v>
      </c>
      <c r="D2203" t="s">
        <v>23500</v>
      </c>
      <c r="E2203" t="s">
        <v>25702</v>
      </c>
    </row>
    <row r="2204" spans="1:5">
      <c r="A2204" t="s">
        <v>6</v>
      </c>
      <c r="B2204" t="s">
        <v>2209</v>
      </c>
      <c r="C2204">
        <f>HYPERLINK("C:\Users\franc\OneDrive\Documentos\MALENTIN KARIME\varios de colegas\CARLOS CARVAJAL RODRIGUEZ A Luis Veliz Salgado 18 B Nueva modelo.doc", "Abrir Documento")</f>
        <v>0</v>
      </c>
      <c r="D2204" t="s">
        <v>23500</v>
      </c>
      <c r="E2204" t="s">
        <v>25703</v>
      </c>
    </row>
    <row r="2205" spans="1:5">
      <c r="A2205" t="s">
        <v>6</v>
      </c>
      <c r="B2205" t="s">
        <v>2210</v>
      </c>
      <c r="C2205">
        <f>HYPERLINK("C:\Users\franc\OneDrive\Documentos\MALENTIN KARIME\varios de colegas\CARLOS CARVAJAL RODRIGUEZ 18 B Nueva modelo.doc", "Abrir Documento")</f>
        <v>0</v>
      </c>
      <c r="D2205" t="s">
        <v>23500</v>
      </c>
      <c r="E2205" t="s">
        <v>25704</v>
      </c>
    </row>
    <row r="2206" spans="1:5">
      <c r="A2206" t="s">
        <v>6</v>
      </c>
      <c r="B2206" t="s">
        <v>2211</v>
      </c>
      <c r="C2206">
        <f>HYPERLINK("C:\Users\franc\OneDrive\Documentos\MALENTIN KARIME\varios de colegas\CARLOS CARVAJAL RODRIGUEZ 18 A 5-6MODELO CON CLAUSULA ESPECIAL abogado.doc", "Abrir Documento")</f>
        <v>0</v>
      </c>
      <c r="D2206" t="s">
        <v>23500</v>
      </c>
      <c r="E2206" t="s">
        <v>25705</v>
      </c>
    </row>
    <row r="2207" spans="1:5">
      <c r="A2207" t="s">
        <v>6</v>
      </c>
      <c r="B2207" t="s">
        <v>2212</v>
      </c>
      <c r="C2207">
        <f>HYPERLINK("C:\Users\franc\OneDrive\Documentos\MALENTIN KARIME\varios de colegas\AGRICOLA ROJAS  Sp A   09.05.14.doc", "Abrir Documento")</f>
        <v>0</v>
      </c>
      <c r="D2207" t="s">
        <v>23500</v>
      </c>
      <c r="E2207" t="s">
        <v>25706</v>
      </c>
    </row>
    <row r="2208" spans="1:5">
      <c r="A2208" t="s">
        <v>6</v>
      </c>
      <c r="B2208" t="s">
        <v>2213</v>
      </c>
      <c r="C2208">
        <f>HYPERLINK("C:\Users\franc\OneDrive\Documentos\MALENTIN KARIME\varios de colegas\ACTA REUNION DIRECTORIO 2015-1.doc", "Abrir Documento")</f>
        <v>0</v>
      </c>
      <c r="D2208" t="s">
        <v>23500</v>
      </c>
      <c r="E2208" t="s">
        <v>25707</v>
      </c>
    </row>
    <row r="2209" spans="1:5">
      <c r="A2209" t="s">
        <v>6</v>
      </c>
      <c r="B2209" t="s">
        <v>2214</v>
      </c>
      <c r="C2209">
        <f>HYPERLINK("C:\Users\franc\OneDrive\Documentos\MALENTIN KARIME\varios\TOMAS ELGUETA A Laura Elgueta.doc", "Abrir Documento")</f>
        <v>0</v>
      </c>
      <c r="D2209" t="s">
        <v>23500</v>
      </c>
      <c r="E2209" t="s">
        <v>25708</v>
      </c>
    </row>
    <row r="2210" spans="1:5">
      <c r="A2210" t="s">
        <v>6</v>
      </c>
      <c r="B2210" t="s">
        <v>2215</v>
      </c>
      <c r="C2210">
        <f>HYPERLINK("C:\Users\franc\OneDrive\Documentos\MALENTIN KARIME\varios\TITO BUGUEÑO.doc", "Abrir Documento")</f>
        <v>0</v>
      </c>
      <c r="D2210" t="s">
        <v>23500</v>
      </c>
      <c r="E2210" t="s">
        <v>25709</v>
      </c>
    </row>
    <row r="2211" spans="1:5">
      <c r="A2211" t="s">
        <v>6</v>
      </c>
      <c r="B2211" t="s">
        <v>2216</v>
      </c>
      <c r="C2211">
        <f>HYPERLINK("C:\Users\franc\OneDrive\Documentos\MALENTIN KARIME\varios\texto saneamiento.doc", "Abrir Documento")</f>
        <v>0</v>
      </c>
      <c r="D2211" t="s">
        <v>23500</v>
      </c>
      <c r="E2211" t="s">
        <v>25710</v>
      </c>
    </row>
    <row r="2212" spans="1:5">
      <c r="A2212" t="s">
        <v>6</v>
      </c>
      <c r="B2212" t="s">
        <v>2217</v>
      </c>
      <c r="C2212">
        <f>HYPERLINK("C:\Users\franc\OneDrive\Documentos\MALENTIN KARIME\varios\SOCIEDAD AGRICOLA LOS NOGALES Y MAL PASO Contrato uva.doc", "Abrir Documento")</f>
        <v>0</v>
      </c>
      <c r="D2212" t="s">
        <v>23500</v>
      </c>
      <c r="E2212" t="s">
        <v>25711</v>
      </c>
    </row>
    <row r="2213" spans="1:5">
      <c r="A2213" t="s">
        <v>6</v>
      </c>
      <c r="B2213" t="s">
        <v>2218</v>
      </c>
      <c r="C2213">
        <f>HYPERLINK("C:\Users\franc\OneDrive\Documentos\MALENTIN KARIME\varios\Sobre.doc", "Abrir Documento")</f>
        <v>0</v>
      </c>
      <c r="D2213" t="s">
        <v>23500</v>
      </c>
      <c r="E2213" t="s">
        <v>25712</v>
      </c>
    </row>
    <row r="2214" spans="1:5">
      <c r="A2214" t="s">
        <v>6</v>
      </c>
      <c r="B2214" t="s">
        <v>2219</v>
      </c>
      <c r="C2214">
        <f>HYPERLINK("C:\Users\franc\OneDrive\Documentos\MALENTIN KARIME\varios\Sobre PARTICULAR.doc", "Abrir Documento")</f>
        <v>0</v>
      </c>
      <c r="D2214" t="s">
        <v>23500</v>
      </c>
      <c r="E2214" t="s">
        <v>25713</v>
      </c>
    </row>
    <row r="2215" spans="1:5">
      <c r="A2215" t="s">
        <v>6</v>
      </c>
      <c r="B2215" t="s">
        <v>2220</v>
      </c>
      <c r="C2215">
        <f>HYPERLINK("C:\Users\franc\OneDrive\Documentos\MALENTIN KARIME\varios\Sobre CORPBANCA.doc", "Abrir Documento")</f>
        <v>0</v>
      </c>
      <c r="D2215" t="s">
        <v>23500</v>
      </c>
      <c r="E2215" t="s">
        <v>25714</v>
      </c>
    </row>
    <row r="2216" spans="1:5">
      <c r="A2216" t="s">
        <v>6</v>
      </c>
      <c r="B2216" t="s">
        <v>2221</v>
      </c>
      <c r="C2216">
        <f>HYPERLINK("C:\Users\franc\OneDrive\Documentos\MALENTIN KARIME\varios\Sobre COOPEUCH.doc", "Abrir Documento")</f>
        <v>0</v>
      </c>
      <c r="D2216" t="s">
        <v>23500</v>
      </c>
      <c r="E2216" t="s">
        <v>25715</v>
      </c>
    </row>
    <row r="2217" spans="1:5">
      <c r="A2217" t="s">
        <v>6</v>
      </c>
      <c r="B2217" t="s">
        <v>2222</v>
      </c>
      <c r="C2217">
        <f>HYPERLINK("C:\Users\franc\OneDrive\Documentos\MALENTIN KARIME\varios\SOBRE chico.doc", "Abrir Documento")</f>
        <v>0</v>
      </c>
      <c r="D2217" t="s">
        <v>23500</v>
      </c>
      <c r="E2217" t="s">
        <v>25716</v>
      </c>
    </row>
    <row r="2218" spans="1:5">
      <c r="A2218" t="s">
        <v>6</v>
      </c>
      <c r="B2218" t="s">
        <v>2223</v>
      </c>
      <c r="C2218">
        <f>HYPERLINK("C:\Users\franc\OneDrive\Documentos\MALENTIN KARIME\varios\Sobre BANCO.doc", "Abrir Documento")</f>
        <v>0</v>
      </c>
      <c r="D2218" t="s">
        <v>23500</v>
      </c>
      <c r="E2218" t="s">
        <v>25717</v>
      </c>
    </row>
    <row r="2219" spans="1:5">
      <c r="A2219" t="s">
        <v>6</v>
      </c>
      <c r="B2219" t="s">
        <v>2224</v>
      </c>
      <c r="C2219">
        <f>HYPERLINK("C:\Users\franc\OneDrive\Documentos\MALENTIN KARIME\varios\SIN EFECTO.doc", "Abrir Documento")</f>
        <v>0</v>
      </c>
      <c r="D2219" t="s">
        <v>23500</v>
      </c>
      <c r="E2219" t="s">
        <v>25718</v>
      </c>
    </row>
    <row r="2220" spans="1:5">
      <c r="A2220" t="s">
        <v>6</v>
      </c>
      <c r="B2220" t="s">
        <v>2225</v>
      </c>
      <c r="C2220">
        <f>HYPERLINK("C:\Users\franc\OneDrive\Documentos\MALENTIN KARIME\varios\SIN EFECTO retiro de firma.doc", "Abrir Documento")</f>
        <v>0</v>
      </c>
      <c r="D2220" t="s">
        <v>23500</v>
      </c>
      <c r="E2220" t="s">
        <v>25719</v>
      </c>
    </row>
    <row r="2221" spans="1:5">
      <c r="A2221" t="s">
        <v>6</v>
      </c>
      <c r="B2221" t="s">
        <v>2226</v>
      </c>
      <c r="C2221">
        <f>HYPERLINK("C:\Users\franc\OneDrive\Documentos\MALENTIN KARIME\varios\SIN EFECTO horiz 2.doc", "Abrir Documento")</f>
        <v>0</v>
      </c>
      <c r="D2221" t="s">
        <v>23500</v>
      </c>
      <c r="E2221" t="s">
        <v>25720</v>
      </c>
    </row>
    <row r="2222" spans="1:5">
      <c r="A2222" t="s">
        <v>6</v>
      </c>
      <c r="B2222" t="s">
        <v>2227</v>
      </c>
      <c r="C2222">
        <f>HYPERLINK("C:\Users\franc\OneDrive\Documentos\MALENTIN KARIME\varios\SIN EFECTO horiz 1.doc", "Abrir Documento")</f>
        <v>0</v>
      </c>
      <c r="D2222" t="s">
        <v>23500</v>
      </c>
      <c r="E2222" t="s">
        <v>25721</v>
      </c>
    </row>
    <row r="2223" spans="1:5">
      <c r="A2223" t="s">
        <v>6</v>
      </c>
      <c r="B2223" t="s">
        <v>2228</v>
      </c>
      <c r="C2223">
        <f>HYPERLINK("C:\Users\franc\OneDrive\Documentos\MALENTIN KARIME\varios\ROBERTO VEGA.doc", "Abrir Documento")</f>
        <v>0</v>
      </c>
      <c r="D2223" t="s">
        <v>23500</v>
      </c>
      <c r="E2223" t="s">
        <v>25722</v>
      </c>
    </row>
    <row r="2224" spans="1:5">
      <c r="A2224" t="s">
        <v>6</v>
      </c>
      <c r="B2224" t="s">
        <v>2229</v>
      </c>
      <c r="C2224">
        <f>HYPERLINK("C:\Users\franc\OneDrive\Documentos\MALENTIN KARIME\varios\retiro testamento.doc", "Abrir Documento")</f>
        <v>0</v>
      </c>
      <c r="D2224" t="s">
        <v>23500</v>
      </c>
      <c r="E2224" t="s">
        <v>25723</v>
      </c>
    </row>
    <row r="2225" spans="1:5">
      <c r="A2225" t="s">
        <v>6</v>
      </c>
      <c r="B2225" t="s">
        <v>2230</v>
      </c>
      <c r="C2225">
        <f>HYPERLINK("C:\Users\franc\OneDrive\Documentos\MALENTIN KARIME\varios\RAUL GALLEGUILLOS. ACDO DIVORCIO. OVALLE. ABRIL 2013.doc", "Abrir Documento")</f>
        <v>0</v>
      </c>
      <c r="D2225" t="s">
        <v>23500</v>
      </c>
      <c r="E2225" t="s">
        <v>25724</v>
      </c>
    </row>
    <row r="2226" spans="1:5">
      <c r="A2226" t="s">
        <v>6</v>
      </c>
      <c r="B2226" t="s">
        <v>2231</v>
      </c>
      <c r="C2226">
        <f>HYPERLINK("C:\Users\franc\OneDrive\Documentos\MALENTIN KARIME\varios\protocolizacion.doc", "Abrir Documento")</f>
        <v>0</v>
      </c>
      <c r="D2226" t="s">
        <v>23500</v>
      </c>
      <c r="E2226" t="s">
        <v>25725</v>
      </c>
    </row>
    <row r="2227" spans="1:5">
      <c r="A2227" t="s">
        <v>6</v>
      </c>
      <c r="B2227" t="s">
        <v>2232</v>
      </c>
      <c r="C2227">
        <f>HYPERLINK("C:\Users\franc\OneDrive\Documentos\MALENTIN KARIME\varios\PODER Serviu.doc", "Abrir Documento")</f>
        <v>0</v>
      </c>
      <c r="D2227" t="s">
        <v>23500</v>
      </c>
      <c r="E2227" t="s">
        <v>25726</v>
      </c>
    </row>
    <row r="2228" spans="1:5">
      <c r="A2228" t="s">
        <v>6</v>
      </c>
      <c r="B2228" t="s">
        <v>2233</v>
      </c>
      <c r="C2228">
        <f>HYPERLINK("C:\Users\franc\OneDrive\Documentos\MALENTIN KARIME\varios\PARENTESCO UNO.doc", "Abrir Documento")</f>
        <v>0</v>
      </c>
      <c r="D2228" t="s">
        <v>23500</v>
      </c>
      <c r="E2228" t="s">
        <v>25727</v>
      </c>
    </row>
    <row r="2229" spans="1:5">
      <c r="A2229" t="s">
        <v>6</v>
      </c>
      <c r="B2229" t="s">
        <v>2234</v>
      </c>
      <c r="C2229">
        <f>HYPERLINK("C:\Users\franc\OneDrive\Documentos\MALENTIN KARIME\varios\OFICIO SII.doc", "Abrir Documento")</f>
        <v>0</v>
      </c>
      <c r="D2229" t="s">
        <v>23500</v>
      </c>
      <c r="E2229" t="s">
        <v>25728</v>
      </c>
    </row>
    <row r="2230" spans="1:5">
      <c r="A2230" t="s">
        <v>6</v>
      </c>
      <c r="B2230" t="s">
        <v>2235</v>
      </c>
      <c r="C2230">
        <f>HYPERLINK("C:\Users\franc\OneDrive\Documentos\MALENTIN KARIME\varios\notificacion.doc", "Abrir Documento")</f>
        <v>0</v>
      </c>
      <c r="D2230" t="s">
        <v>23500</v>
      </c>
      <c r="E2230" t="s">
        <v>25729</v>
      </c>
    </row>
    <row r="2231" spans="1:5">
      <c r="A2231" t="s">
        <v>6</v>
      </c>
      <c r="B2231" t="s">
        <v>2236</v>
      </c>
      <c r="C2231">
        <f>HYPERLINK("C:\Users\franc\OneDrive\Documentos\MALENTIN KARIME\varios\notificacion FACTOTOAL.doc", "Abrir Documento")</f>
        <v>0</v>
      </c>
      <c r="D2231" t="s">
        <v>23500</v>
      </c>
      <c r="E2231" t="s">
        <v>25730</v>
      </c>
    </row>
    <row r="2232" spans="1:5">
      <c r="A2232" t="s">
        <v>6</v>
      </c>
      <c r="B2232" t="s">
        <v>2237</v>
      </c>
      <c r="C2232">
        <f>HYPERLINK("C:\Users\franc\OneDrive\Documentos\MALENTIN KARIME\varios\NOTA MARGEN Nueva.doc", "Abrir Documento")</f>
        <v>0</v>
      </c>
      <c r="D2232" t="s">
        <v>23500</v>
      </c>
      <c r="E2232" t="s">
        <v>25731</v>
      </c>
    </row>
    <row r="2233" spans="1:5">
      <c r="A2233" t="s">
        <v>6</v>
      </c>
      <c r="B2233" t="s">
        <v>2238</v>
      </c>
      <c r="C2233">
        <f>HYPERLINK("C:\Users\franc\OneDrive\Documentos\MALENTIN KARIME\varios\nota al margen.doc", "Abrir Documento")</f>
        <v>0</v>
      </c>
      <c r="D2233" t="s">
        <v>23500</v>
      </c>
      <c r="E2233" t="s">
        <v>25732</v>
      </c>
    </row>
    <row r="2234" spans="1:5">
      <c r="A2234" t="s">
        <v>6</v>
      </c>
      <c r="B2234" t="s">
        <v>2239</v>
      </c>
      <c r="C2234">
        <f>HYPERLINK("C:\Users\franc\OneDrive\Documentos\MALENTIN KARIME\varios\nota al margen segunda carilla.doc", "Abrir Documento")</f>
        <v>0</v>
      </c>
      <c r="D2234" t="s">
        <v>23500</v>
      </c>
      <c r="E2234" t="s">
        <v>25733</v>
      </c>
    </row>
    <row r="2235" spans="1:5">
      <c r="A2235" t="s">
        <v>6</v>
      </c>
      <c r="B2235" t="s">
        <v>2240</v>
      </c>
      <c r="C2235">
        <f>HYPERLINK("C:\Users\franc\OneDrive\Documentos\MALENTIN KARIME\varios\nota al margen primera carilla.doc", "Abrir Documento")</f>
        <v>0</v>
      </c>
      <c r="D2235" t="s">
        <v>23500</v>
      </c>
      <c r="E2235" t="s">
        <v>25734</v>
      </c>
    </row>
    <row r="2236" spans="1:5">
      <c r="A2236" t="s">
        <v>6</v>
      </c>
      <c r="B2236" t="s">
        <v>2241</v>
      </c>
      <c r="C2236">
        <f>HYPERLINK("C:\Users\franc\OneDrive\Documentos\MALENTIN KARIME\varios\nota al margen matriz1.doc", "Abrir Documento")</f>
        <v>0</v>
      </c>
      <c r="D2236" t="s">
        <v>23500</v>
      </c>
      <c r="E2236" t="s">
        <v>25735</v>
      </c>
    </row>
    <row r="2237" spans="1:5">
      <c r="A2237" t="s">
        <v>6</v>
      </c>
      <c r="B2237" t="s">
        <v>2242</v>
      </c>
      <c r="C2237">
        <f>HYPERLINK("C:\Users\franc\OneDrive\Documentos\MALENTIN KARIME\varios\nota al margen matriz.doc", "Abrir Documento")</f>
        <v>0</v>
      </c>
      <c r="D2237" t="s">
        <v>23500</v>
      </c>
      <c r="E2237" t="s">
        <v>25736</v>
      </c>
    </row>
    <row r="2238" spans="1:5">
      <c r="A2238" t="s">
        <v>6</v>
      </c>
      <c r="B2238" t="s">
        <v>2243</v>
      </c>
      <c r="C2238">
        <f>HYPERLINK("C:\Users\franc\OneDrive\Documentos\MALENTIN KARIME\varios\nota al margen matriz protocolizado.doc", "Abrir Documento")</f>
        <v>0</v>
      </c>
      <c r="D2238" t="s">
        <v>23500</v>
      </c>
      <c r="E2238" t="s">
        <v>25737</v>
      </c>
    </row>
    <row r="2239" spans="1:5">
      <c r="A2239" t="s">
        <v>6</v>
      </c>
      <c r="B2239" t="s">
        <v>2244</v>
      </c>
      <c r="C2239">
        <f>HYPERLINK("C:\Users\franc\OneDrive\Documentos\MALENTIN KARIME\varios\nota al margen matriz 22.doc", "Abrir Documento")</f>
        <v>0</v>
      </c>
      <c r="D2239" t="s">
        <v>23500</v>
      </c>
      <c r="E2239" t="s">
        <v>25738</v>
      </c>
    </row>
    <row r="2240" spans="1:5">
      <c r="A2240" t="s">
        <v>6</v>
      </c>
      <c r="B2240" t="s">
        <v>2245</v>
      </c>
      <c r="C2240">
        <f>HYPERLINK("C:\Users\franc\OneDrive\Documentos\MALENTIN KARIME\varios\nota al margen ERRROR.doc", "Abrir Documento")</f>
        <v>0</v>
      </c>
      <c r="D2240" t="s">
        <v>23500</v>
      </c>
      <c r="E2240" t="s">
        <v>25739</v>
      </c>
    </row>
    <row r="2241" spans="1:5">
      <c r="A2241" t="s">
        <v>6</v>
      </c>
      <c r="B2241" t="s">
        <v>2246</v>
      </c>
      <c r="C2241">
        <f>HYPERLINK("C:\Users\franc\OneDrive\Documentos\MALENTIN KARIME\varios\nota al margen ERROR BIMESTRE.doc", "Abrir Documento")</f>
        <v>0</v>
      </c>
      <c r="D2241" t="s">
        <v>23500</v>
      </c>
      <c r="E2241" t="s">
        <v>25740</v>
      </c>
    </row>
    <row r="2242" spans="1:5">
      <c r="A2242" t="s">
        <v>6</v>
      </c>
      <c r="B2242" t="s">
        <v>2247</v>
      </c>
      <c r="C2242">
        <f>HYPERLINK("C:\Users\franc\OneDrive\Documentos\MALENTIN KARIME\varios\nota al margen de rect.doc", "Abrir Documento")</f>
        <v>0</v>
      </c>
      <c r="D2242" t="s">
        <v>23500</v>
      </c>
      <c r="E2242" t="s">
        <v>25741</v>
      </c>
    </row>
    <row r="2243" spans="1:5">
      <c r="A2243" t="s">
        <v>6</v>
      </c>
      <c r="B2243" t="s">
        <v>2248</v>
      </c>
      <c r="C2243">
        <f>HYPERLINK("C:\Users\franc\OneDrive\Documentos\MALENTIN KARIME\varios\nota al margen de rat.doc", "Abrir Documento")</f>
        <v>0</v>
      </c>
      <c r="D2243" t="s">
        <v>23500</v>
      </c>
      <c r="E2243" t="s">
        <v>25742</v>
      </c>
    </row>
    <row r="2244" spans="1:5">
      <c r="A2244" t="s">
        <v>6</v>
      </c>
      <c r="B2244" t="s">
        <v>2249</v>
      </c>
      <c r="C2244">
        <f>HYPERLINK("C:\Users\franc\OneDrive\Documentos\MALENTIN KARIME\varios\nota al margen de rat 2.doc", "Abrir Documento")</f>
        <v>0</v>
      </c>
      <c r="D2244" t="s">
        <v>23500</v>
      </c>
      <c r="E2244" t="s">
        <v>25743</v>
      </c>
    </row>
    <row r="2245" spans="1:5">
      <c r="A2245" t="s">
        <v>6</v>
      </c>
      <c r="B2245" t="s">
        <v>2250</v>
      </c>
      <c r="C2245">
        <f>HYPERLINK("C:\Users\franc\OneDrive\Documentos\MALENTIN KARIME\varios\Nota al margen complementación antigua.doc", "Abrir Documento")</f>
        <v>0</v>
      </c>
      <c r="D2245" t="s">
        <v>23500</v>
      </c>
      <c r="E2245" t="s">
        <v>25744</v>
      </c>
    </row>
    <row r="2246" spans="1:5">
      <c r="A2246" t="s">
        <v>6</v>
      </c>
      <c r="B2246" t="s">
        <v>2251</v>
      </c>
      <c r="C2246">
        <f>HYPERLINK("C:\Users\franc\OneDrive\Documentos\MALENTIN KARIME\varios\nota al margen benedicto.doc", "Abrir Documento")</f>
        <v>0</v>
      </c>
      <c r="D2246" t="s">
        <v>23500</v>
      </c>
      <c r="E2246" t="s">
        <v>25745</v>
      </c>
    </row>
    <row r="2247" spans="1:5">
      <c r="A2247" t="s">
        <v>6</v>
      </c>
      <c r="B2247" t="s">
        <v>2252</v>
      </c>
      <c r="C2247">
        <f>HYPERLINK("C:\Users\franc\OneDrive\Documentos\MALENTIN KARIME\varios\nota al margen 3.doc", "Abrir Documento")</f>
        <v>0</v>
      </c>
      <c r="D2247" t="s">
        <v>23500</v>
      </c>
      <c r="E2247" t="s">
        <v>25746</v>
      </c>
    </row>
    <row r="2248" spans="1:5">
      <c r="A2248" t="s">
        <v>6</v>
      </c>
      <c r="B2248" t="s">
        <v>2253</v>
      </c>
      <c r="C2248">
        <f>HYPERLINK("C:\Users\franc\OneDrive\Documentos\MALENTIN KARIME\varios\nota a ruego.doc", "Abrir Documento")</f>
        <v>0</v>
      </c>
      <c r="D2248" t="s">
        <v>23500</v>
      </c>
      <c r="E2248" t="s">
        <v>25747</v>
      </c>
    </row>
    <row r="2249" spans="1:5">
      <c r="A2249" t="s">
        <v>6</v>
      </c>
      <c r="B2249" t="s">
        <v>2254</v>
      </c>
      <c r="C2249">
        <f>HYPERLINK("C:\Users\franc\OneDrive\Documentos\MALENTIN KARIME\varios\MINUTA Roberto Muñoz Rojas y otro.doc", "Abrir Documento")</f>
        <v>0</v>
      </c>
      <c r="D2249" t="s">
        <v>23500</v>
      </c>
      <c r="E2249" t="s">
        <v>25748</v>
      </c>
    </row>
    <row r="2250" spans="1:5">
      <c r="A2250" t="s">
        <v>6</v>
      </c>
      <c r="B2250" t="s">
        <v>2255</v>
      </c>
      <c r="C2250">
        <f>HYPERLINK("C:\Users\franc\OneDrive\Documentos\MALENTIN KARIME\varios\minuta al conservador VIRGINIA AGUILERA.doc", "Abrir Documento")</f>
        <v>0</v>
      </c>
      <c r="D2250" t="s">
        <v>23500</v>
      </c>
      <c r="E2250" t="s">
        <v>25749</v>
      </c>
    </row>
    <row r="2251" spans="1:5">
      <c r="A2251" t="s">
        <v>6</v>
      </c>
      <c r="B2251" t="s">
        <v>2256</v>
      </c>
      <c r="C2251">
        <f>HYPERLINK("C:\Users\franc\OneDrive\Documentos\MALENTIN KARIME\varios\minuta al conservador RAUL JORQUERA Y OTROS.doc", "Abrir Documento")</f>
        <v>0</v>
      </c>
      <c r="D2251" t="s">
        <v>23500</v>
      </c>
      <c r="E2251" t="s">
        <v>25750</v>
      </c>
    </row>
    <row r="2252" spans="1:5">
      <c r="A2252" t="s">
        <v>6</v>
      </c>
      <c r="B2252" t="s">
        <v>2257</v>
      </c>
      <c r="C2252">
        <f>HYPERLINK("C:\Users\franc\OneDrive\Documentos\MALENTIN KARIME\varios\minuta al conservador NORA VEGA.doc", "Abrir Documento")</f>
        <v>0</v>
      </c>
      <c r="D2252" t="s">
        <v>23500</v>
      </c>
      <c r="E2252" t="s">
        <v>25751</v>
      </c>
    </row>
    <row r="2253" spans="1:5">
      <c r="A2253" t="s">
        <v>6</v>
      </c>
      <c r="B2253" t="s">
        <v>2258</v>
      </c>
      <c r="C2253">
        <f>HYPERLINK("C:\Users\franc\OneDrive\Documentos\MALENTIN KARIME\varios\minuta al conservador INVERSIONES URBANA RIO LIMARI.doc", "Abrir Documento")</f>
        <v>0</v>
      </c>
      <c r="D2253" t="s">
        <v>23500</v>
      </c>
      <c r="E2253" t="s">
        <v>25752</v>
      </c>
    </row>
    <row r="2254" spans="1:5">
      <c r="A2254" t="s">
        <v>6</v>
      </c>
      <c r="B2254" t="s">
        <v>2259</v>
      </c>
      <c r="C2254">
        <f>HYPERLINK("C:\Users\franc\OneDrive\Documentos\MALENTIN KARIME\varios\minuta al conservador error.doc", "Abrir Documento")</f>
        <v>0</v>
      </c>
      <c r="D2254" t="s">
        <v>23500</v>
      </c>
      <c r="E2254" t="s">
        <v>25753</v>
      </c>
    </row>
    <row r="2255" spans="1:5">
      <c r="A2255" t="s">
        <v>6</v>
      </c>
      <c r="B2255" t="s">
        <v>2260</v>
      </c>
      <c r="C2255">
        <f>HYPERLINK("C:\Users\franc\OneDrive\Documentos\MALENTIN KARIME\varios\minuta al conservador ELIANA GONZALEZ.doc", "Abrir Documento")</f>
        <v>0</v>
      </c>
      <c r="D2255" t="s">
        <v>23500</v>
      </c>
      <c r="E2255" t="s">
        <v>25754</v>
      </c>
    </row>
    <row r="2256" spans="1:5">
      <c r="A2256" t="s">
        <v>6</v>
      </c>
      <c r="B2256" t="s">
        <v>2261</v>
      </c>
      <c r="C2256">
        <f>HYPERLINK("C:\Users\franc\OneDrive\Documentos\MALENTIN KARIME\varios\minuta al conservador ALBERTO STIEPOVICH.doc", "Abrir Documento")</f>
        <v>0</v>
      </c>
      <c r="D2256" t="s">
        <v>23500</v>
      </c>
      <c r="E2256" t="s">
        <v>25755</v>
      </c>
    </row>
    <row r="2257" spans="1:5">
      <c r="A2257" t="s">
        <v>6</v>
      </c>
      <c r="B2257" t="s">
        <v>2262</v>
      </c>
      <c r="C2257">
        <f>HYPERLINK("C:\Users\franc\OneDrive\Documentos\MALENTIN KARIME\varios\minuta al conservador AGRICOLA MAL PASO DEL LIMAR.doc", "Abrir Documento")</f>
        <v>0</v>
      </c>
      <c r="D2257" t="s">
        <v>23500</v>
      </c>
      <c r="E2257" t="s">
        <v>25756</v>
      </c>
    </row>
    <row r="2258" spans="1:5">
      <c r="A2258" t="s">
        <v>6</v>
      </c>
      <c r="B2258" t="s">
        <v>2263</v>
      </c>
      <c r="C2258">
        <f>HYPERLINK("C:\Users\franc\OneDrive\Documentos\MALENTIN KARIME\varios\minuta al conservador  DOBLE M.doc", "Abrir Documento")</f>
        <v>0</v>
      </c>
      <c r="D2258" t="s">
        <v>23500</v>
      </c>
      <c r="E2258" t="s">
        <v>25757</v>
      </c>
    </row>
    <row r="2259" spans="1:5">
      <c r="A2259" t="s">
        <v>6</v>
      </c>
      <c r="B2259" t="s">
        <v>2264</v>
      </c>
      <c r="C2259">
        <f>HYPERLINK("C:\Users\franc\OneDrive\Documentos\MALENTIN KARIME\varios\margen der e izq.doc", "Abrir Documento")</f>
        <v>0</v>
      </c>
      <c r="D2259" t="s">
        <v>23500</v>
      </c>
      <c r="E2259" t="s">
        <v>25758</v>
      </c>
    </row>
    <row r="2260" spans="1:5">
      <c r="A2260" t="s">
        <v>6</v>
      </c>
      <c r="B2260" t="s">
        <v>2265</v>
      </c>
      <c r="C2260">
        <f>HYPERLINK("C:\Users\franc\OneDrive\Documentos\MALENTIN KARIME\varios\MANDATO SII GILDA CANIHUANTE.doc", "Abrir Documento")</f>
        <v>0</v>
      </c>
      <c r="D2260" t="s">
        <v>23500</v>
      </c>
      <c r="E2260" t="s">
        <v>25759</v>
      </c>
    </row>
    <row r="2261" spans="1:5">
      <c r="A2261" t="s">
        <v>6</v>
      </c>
      <c r="B2261" t="s">
        <v>2266</v>
      </c>
      <c r="C2261">
        <f>HYPERLINK("C:\Users\franc\OneDrive\Documentos\MALENTIN KARIME\varios\mandato ARRIENDO CASA Juan Carlos Vega.doc", "Abrir Documento")</f>
        <v>0</v>
      </c>
      <c r="D2261" t="s">
        <v>23500</v>
      </c>
      <c r="E2261" t="s">
        <v>25760</v>
      </c>
    </row>
    <row r="2262" spans="1:5">
      <c r="A2262" t="s">
        <v>6</v>
      </c>
      <c r="B2262" t="s">
        <v>2267</v>
      </c>
      <c r="C2262">
        <f>HYPERLINK("C:\Users\franc\OneDrive\Documentos\MALENTIN KARIME\varios\Mandato 1.doc", "Abrir Documento")</f>
        <v>0</v>
      </c>
      <c r="D2262" t="s">
        <v>23500</v>
      </c>
      <c r="E2262" t="s">
        <v>25761</v>
      </c>
    </row>
    <row r="2263" spans="1:5">
      <c r="A2263" t="s">
        <v>6</v>
      </c>
      <c r="B2263" t="s">
        <v>2268</v>
      </c>
      <c r="C2263">
        <f>HYPERLINK("C:\Users\franc\OneDrive\Documentos\MALENTIN KARIME\varios\LUCILA BUGUEÑO Y Freddy Tapia ACUERDO ALIMENTOS.doc", "Abrir Documento")</f>
        <v>0</v>
      </c>
      <c r="D2263" t="s">
        <v>23500</v>
      </c>
      <c r="E2263" t="s">
        <v>25762</v>
      </c>
    </row>
    <row r="2264" spans="1:5">
      <c r="A2264" t="s">
        <v>6</v>
      </c>
      <c r="B2264" t="s">
        <v>2269</v>
      </c>
      <c r="C2264">
        <f>HYPERLINK("C:\Users\franc\OneDrive\Documentos\MALENTIN KARIME\varios\JEAN PONCE DE LEON.doc", "Abrir Documento")</f>
        <v>0</v>
      </c>
      <c r="D2264" t="s">
        <v>23500</v>
      </c>
      <c r="E2264" t="s">
        <v>25763</v>
      </c>
    </row>
    <row r="2265" spans="1:5">
      <c r="A2265" t="s">
        <v>6</v>
      </c>
      <c r="B2265" t="s">
        <v>2270</v>
      </c>
      <c r="C2265">
        <f>HYPERLINK("C:\Users\franc\OneDrive\Documentos\MALENTIN KARIME\varios\INSTRUCCIÓN pagare.doc", "Abrir Documento")</f>
        <v>0</v>
      </c>
      <c r="D2265" t="s">
        <v>23500</v>
      </c>
      <c r="E2265" t="s">
        <v>25764</v>
      </c>
    </row>
    <row r="2266" spans="1:5">
      <c r="A2266" t="s">
        <v>6</v>
      </c>
      <c r="B2266" t="s">
        <v>2271</v>
      </c>
      <c r="C2266">
        <f>HYPERLINK("C:\Users\franc\OneDrive\Documentos\MALENTIN KARIME\varios\Estado civil Serrano.doc", "Abrir Documento")</f>
        <v>0</v>
      </c>
      <c r="D2266" t="s">
        <v>23500</v>
      </c>
      <c r="E2266" t="s">
        <v>25765</v>
      </c>
    </row>
    <row r="2267" spans="1:5">
      <c r="A2267" t="s">
        <v>6</v>
      </c>
      <c r="B2267" t="s">
        <v>2272</v>
      </c>
      <c r="C2267">
        <f>HYPERLINK("C:\Users\franc\OneDrive\Documentos\MALENTIN KARIME\varios\EMMA ROJAS Minuta plano.doc", "Abrir Documento")</f>
        <v>0</v>
      </c>
      <c r="D2267" t="s">
        <v>23500</v>
      </c>
      <c r="E2267" t="s">
        <v>25766</v>
      </c>
    </row>
    <row r="2268" spans="1:5">
      <c r="A2268" t="s">
        <v>6</v>
      </c>
      <c r="B2268" t="s">
        <v>2273</v>
      </c>
      <c r="C2268">
        <f>HYPERLINK("C:\Users\franc\OneDrive\Documentos\MALENTIN KARIME\varios\DOCUMENTOS NECESARIOS PARA UNA VENTA.doc", "Abrir Documento")</f>
        <v>0</v>
      </c>
      <c r="D2268" t="s">
        <v>23500</v>
      </c>
      <c r="E2268" t="s">
        <v>25767</v>
      </c>
    </row>
    <row r="2269" spans="1:5">
      <c r="A2269" t="s">
        <v>6</v>
      </c>
      <c r="B2269" t="s">
        <v>2274</v>
      </c>
      <c r="C2269">
        <f>HYPERLINK("C:\Users\franc\OneDrive\Documentos\MALENTIN KARIME\varios\DOCUMENTOS NECESARIOS PARA UNA Cesion.doc", "Abrir Documento")</f>
        <v>0</v>
      </c>
      <c r="D2269" t="s">
        <v>23500</v>
      </c>
      <c r="E2269" t="s">
        <v>25768</v>
      </c>
    </row>
    <row r="2270" spans="1:5">
      <c r="A2270" t="s">
        <v>6</v>
      </c>
      <c r="B2270" t="s">
        <v>2275</v>
      </c>
      <c r="C2270">
        <f>HYPERLINK("C:\Users\franc\OneDrive\Documentos\MALENTIN KARIME\varios\doc adjuntos vengtas.doc", "Abrir Documento")</f>
        <v>0</v>
      </c>
      <c r="D2270" t="s">
        <v>23500</v>
      </c>
      <c r="E2270" t="s">
        <v>25769</v>
      </c>
    </row>
    <row r="2271" spans="1:5">
      <c r="A2271" t="s">
        <v>6</v>
      </c>
      <c r="B2271" t="s">
        <v>2276</v>
      </c>
      <c r="C2271">
        <f>HYPERLINK("C:\Users\franc\OneDrive\Documentos\MALENTIN KARIME\varios\DESAFECTACION DE BIEN FAMILIAR definitivo.doc", "Abrir Documento")</f>
        <v>0</v>
      </c>
      <c r="D2271" t="s">
        <v>23500</v>
      </c>
      <c r="E2271" t="s">
        <v>25770</v>
      </c>
    </row>
    <row r="2272" spans="1:5">
      <c r="A2272" t="s">
        <v>6</v>
      </c>
      <c r="B2272" t="s">
        <v>2277</v>
      </c>
      <c r="C2272">
        <f>HYPERLINK("C:\Users\franc\OneDrive\Documentos\MALENTIN KARIME\varios\DECLARACION Ariel.doc", "Abrir Documento")</f>
        <v>0</v>
      </c>
      <c r="D2272" t="s">
        <v>23500</v>
      </c>
      <c r="E2272" t="s">
        <v>25771</v>
      </c>
    </row>
    <row r="2273" spans="1:5">
      <c r="A2273" t="s">
        <v>6</v>
      </c>
      <c r="B2273" t="s">
        <v>2278</v>
      </c>
      <c r="C2273">
        <f>HYPERLINK("C:\Users\franc\OneDrive\Documentos\MALENTIN KARIME\varios\Copia de PROTOCOLIZADOS.xls", "Abrir Documento")</f>
        <v>0</v>
      </c>
      <c r="D2273" t="s">
        <v>23500</v>
      </c>
      <c r="E2273" t="s">
        <v>25772</v>
      </c>
    </row>
    <row r="2274" spans="1:5">
      <c r="A2274" t="s">
        <v>6</v>
      </c>
      <c r="B2274" t="s">
        <v>2279</v>
      </c>
      <c r="C2274">
        <f>HYPERLINK("C:\Users\franc\OneDrive\Documentos\MALENTIN KARIME\varios\Contrato de Suministro con Garantía Cinabrio julio 2012.doc", "Abrir Documento")</f>
        <v>0</v>
      </c>
      <c r="D2274" t="s">
        <v>23500</v>
      </c>
      <c r="E2274" t="s">
        <v>25773</v>
      </c>
    </row>
    <row r="2275" spans="1:5">
      <c r="A2275" t="s">
        <v>6</v>
      </c>
      <c r="B2275" t="s">
        <v>2280</v>
      </c>
      <c r="C2275">
        <f>HYPERLINK("C:\Users\franc\OneDrive\Documentos\MALENTIN KARIME\varios\Constancia.doc", "Abrir Documento")</f>
        <v>0</v>
      </c>
      <c r="D2275" t="s">
        <v>23500</v>
      </c>
      <c r="E2275" t="s">
        <v>25774</v>
      </c>
    </row>
    <row r="2276" spans="1:5">
      <c r="A2276" t="s">
        <v>6</v>
      </c>
      <c r="B2276" t="s">
        <v>2281</v>
      </c>
      <c r="C2276">
        <f>HYPERLINK("C:\Users\franc\OneDrive\Documentos\MALENTIN KARIME\varios\clausula SOLTERIA.doc", "Abrir Documento")</f>
        <v>0</v>
      </c>
      <c r="D2276" t="s">
        <v>23500</v>
      </c>
      <c r="E2276" t="s">
        <v>25775</v>
      </c>
    </row>
    <row r="2277" spans="1:5">
      <c r="A2277" t="s">
        <v>6</v>
      </c>
      <c r="B2277" t="s">
        <v>2282</v>
      </c>
      <c r="C2277">
        <f>HYPERLINK("C:\Users\franc\OneDrive\Documentos\MALENTIN KARIME\varios\clausula MANDATO.doc", "Abrir Documento")</f>
        <v>0</v>
      </c>
      <c r="D2277" t="s">
        <v>23500</v>
      </c>
      <c r="E2277" t="s">
        <v>25776</v>
      </c>
    </row>
    <row r="2278" spans="1:5">
      <c r="A2278" t="s">
        <v>6</v>
      </c>
      <c r="B2278" t="s">
        <v>2283</v>
      </c>
      <c r="C2278">
        <f>HYPERLINK("C:\Users\franc\OneDrive\Documentos\MALENTIN KARIME\varios\CIERRE3º BIMESTRE 2011.doc", "Abrir Documento")</f>
        <v>0</v>
      </c>
      <c r="D2278" t="s">
        <v>23500</v>
      </c>
      <c r="E2278" t="s">
        <v>25777</v>
      </c>
    </row>
    <row r="2279" spans="1:5">
      <c r="A2279" t="s">
        <v>6</v>
      </c>
      <c r="B2279" t="s">
        <v>2284</v>
      </c>
      <c r="C2279">
        <f>HYPERLINK("C:\Users\franc\OneDrive\Documentos\MALENTIN KARIME\varios\CIERRE BIMESTRE 6 2013.doc", "Abrir Documento")</f>
        <v>0</v>
      </c>
      <c r="D2279" t="s">
        <v>23500</v>
      </c>
      <c r="E2279" t="s">
        <v>25778</v>
      </c>
    </row>
    <row r="2280" spans="1:5">
      <c r="A2280" t="s">
        <v>6</v>
      </c>
      <c r="B2280" t="s">
        <v>2285</v>
      </c>
      <c r="C2280">
        <f>HYPERLINK("C:\Users\franc\OneDrive\Documentos\MALENTIN KARIME\varios\CIERRE BIMESTRE 5  2012.doc", "Abrir Documento")</f>
        <v>0</v>
      </c>
      <c r="D2280" t="s">
        <v>23500</v>
      </c>
      <c r="E2280" t="s">
        <v>25779</v>
      </c>
    </row>
    <row r="2281" spans="1:5">
      <c r="A2281" t="s">
        <v>6</v>
      </c>
      <c r="B2281" t="s">
        <v>2286</v>
      </c>
      <c r="C2281">
        <f>HYPERLINK("C:\Users\franc\OneDrive\Documentos\MALENTIN KARIME\varios\CIERRE BIMESTRE 4  2012.doc", "Abrir Documento")</f>
        <v>0</v>
      </c>
      <c r="D2281" t="s">
        <v>23500</v>
      </c>
      <c r="E2281" t="s">
        <v>25780</v>
      </c>
    </row>
    <row r="2282" spans="1:5">
      <c r="A2282" t="s">
        <v>6</v>
      </c>
      <c r="B2282" t="s">
        <v>2287</v>
      </c>
      <c r="C2282">
        <f>HYPERLINK("C:\Users\franc\OneDrive\Documentos\MALENTIN KARIME\varios\CIERRE BIMESTRE 2012.doc", "Abrir Documento")</f>
        <v>0</v>
      </c>
      <c r="D2282" t="s">
        <v>23500</v>
      </c>
      <c r="E2282" t="s">
        <v>25781</v>
      </c>
    </row>
    <row r="2283" spans="1:5">
      <c r="A2283" t="s">
        <v>6</v>
      </c>
      <c r="B2283" t="s">
        <v>2288</v>
      </c>
      <c r="C2283">
        <f>HYPERLINK("C:\Users\franc\OneDrive\Documentos\MALENTIN KARIME\varios\CIERRE BIMESTRE 2011.doc", "Abrir Documento")</f>
        <v>0</v>
      </c>
      <c r="D2283" t="s">
        <v>23500</v>
      </c>
      <c r="E2283" t="s">
        <v>25782</v>
      </c>
    </row>
    <row r="2284" spans="1:5">
      <c r="A2284" t="s">
        <v>6</v>
      </c>
      <c r="B2284" t="s">
        <v>2289</v>
      </c>
      <c r="C2284">
        <f>HYPERLINK("C:\Users\franc\OneDrive\Documentos\MALENTIN KARIME\varios\CIERRE 6°   BIMESTRE 2015.doc", "Abrir Documento")</f>
        <v>0</v>
      </c>
      <c r="D2284" t="s">
        <v>23500</v>
      </c>
      <c r="E2284" t="s">
        <v>25783</v>
      </c>
    </row>
    <row r="2285" spans="1:5">
      <c r="A2285" t="s">
        <v>6</v>
      </c>
      <c r="B2285" t="s">
        <v>2290</v>
      </c>
      <c r="C2285">
        <f>HYPERLINK("C:\Users\franc\OneDrive\Documentos\MALENTIN KARIME\varios\CIERRE 5º BIMESTRE 2013.doc", "Abrir Documento")</f>
        <v>0</v>
      </c>
      <c r="D2285" t="s">
        <v>23500</v>
      </c>
      <c r="E2285" t="s">
        <v>25784</v>
      </c>
    </row>
    <row r="2286" spans="1:5">
      <c r="A2286" t="s">
        <v>6</v>
      </c>
      <c r="B2286" t="s">
        <v>2291</v>
      </c>
      <c r="C2286">
        <f>HYPERLINK("C:\Users\franc\OneDrive\Documentos\MALENTIN KARIME\varios\CIERRE 5°   BIMESTRE 2015.doc", "Abrir Documento")</f>
        <v>0</v>
      </c>
      <c r="D2286" t="s">
        <v>23500</v>
      </c>
      <c r="E2286" t="s">
        <v>25785</v>
      </c>
    </row>
    <row r="2287" spans="1:5">
      <c r="A2287" t="s">
        <v>6</v>
      </c>
      <c r="B2287" t="s">
        <v>2292</v>
      </c>
      <c r="C2287">
        <f>HYPERLINK("C:\Users\franc\OneDrive\Documentos\MALENTIN KARIME\varios\CIERRE 5°   BIMESTRE 2014.doc", "Abrir Documento")</f>
        <v>0</v>
      </c>
      <c r="D2287" t="s">
        <v>23500</v>
      </c>
      <c r="E2287" t="s">
        <v>25786</v>
      </c>
    </row>
    <row r="2288" spans="1:5">
      <c r="A2288" t="s">
        <v>6</v>
      </c>
      <c r="B2288" t="s">
        <v>2293</v>
      </c>
      <c r="C2288">
        <f>HYPERLINK("C:\Users\franc\OneDrive\Documentos\MALENTIN KARIME\varios\CIERRE 4º BIMESTRE 2015.doc", "Abrir Documento")</f>
        <v>0</v>
      </c>
      <c r="D2288" t="s">
        <v>23500</v>
      </c>
      <c r="E2288" t="s">
        <v>25787</v>
      </c>
    </row>
    <row r="2289" spans="1:5">
      <c r="A2289" t="s">
        <v>6</v>
      </c>
      <c r="B2289" t="s">
        <v>2294</v>
      </c>
      <c r="C2289">
        <f>HYPERLINK("C:\Users\franc\OneDrive\Documentos\MALENTIN KARIME\varios\CIERRE 4º BIMESTRE 2014.doc", "Abrir Documento")</f>
        <v>0</v>
      </c>
      <c r="D2289" t="s">
        <v>23500</v>
      </c>
      <c r="E2289" t="s">
        <v>25788</v>
      </c>
    </row>
    <row r="2290" spans="1:5">
      <c r="A2290" t="s">
        <v>6</v>
      </c>
      <c r="B2290" t="s">
        <v>2295</v>
      </c>
      <c r="C2290">
        <f>HYPERLINK("C:\Users\franc\OneDrive\Documentos\MALENTIN KARIME\varios\CIERRE 4º BIMESTRE 2013.doc", "Abrir Documento")</f>
        <v>0</v>
      </c>
      <c r="D2290" t="s">
        <v>23500</v>
      </c>
      <c r="E2290" t="s">
        <v>25789</v>
      </c>
    </row>
    <row r="2291" spans="1:5">
      <c r="A2291" t="s">
        <v>6</v>
      </c>
      <c r="B2291" t="s">
        <v>2296</v>
      </c>
      <c r="C2291">
        <f>HYPERLINK("C:\Users\franc\OneDrive\Documentos\MALENTIN KARIME\varios\CIERRE 3º BIMESTRE 2015.doc", "Abrir Documento")</f>
        <v>0</v>
      </c>
      <c r="D2291" t="s">
        <v>23500</v>
      </c>
      <c r="E2291" t="s">
        <v>25790</v>
      </c>
    </row>
    <row r="2292" spans="1:5">
      <c r="A2292" t="s">
        <v>6</v>
      </c>
      <c r="B2292" t="s">
        <v>2297</v>
      </c>
      <c r="C2292">
        <f>HYPERLINK("C:\Users\franc\OneDrive\Documentos\MALENTIN KARIME\varios\CIERRE 3º BIMESTRE 2015 copia.doc", "Abrir Documento")</f>
        <v>0</v>
      </c>
      <c r="D2292" t="s">
        <v>23500</v>
      </c>
      <c r="E2292" t="s">
        <v>25791</v>
      </c>
    </row>
    <row r="2293" spans="1:5">
      <c r="A2293" t="s">
        <v>6</v>
      </c>
      <c r="B2293" t="s">
        <v>2298</v>
      </c>
      <c r="C2293">
        <f>HYPERLINK("C:\Users\franc\OneDrive\Documentos\MALENTIN KARIME\varios\CIERRE 3º BIMESTRE 2013.doc", "Abrir Documento")</f>
        <v>0</v>
      </c>
      <c r="D2293" t="s">
        <v>23500</v>
      </c>
      <c r="E2293" t="s">
        <v>25792</v>
      </c>
    </row>
    <row r="2294" spans="1:5">
      <c r="A2294" t="s">
        <v>6</v>
      </c>
      <c r="B2294" t="s">
        <v>2299</v>
      </c>
      <c r="C2294">
        <f>HYPERLINK("C:\Users\franc\OneDrive\Documentos\MALENTIN KARIME\varios\CIERRE 2º BIMESTRE 2015.doc", "Abrir Documento")</f>
        <v>0</v>
      </c>
      <c r="D2294" t="s">
        <v>23500</v>
      </c>
      <c r="E2294" t="s">
        <v>25793</v>
      </c>
    </row>
    <row r="2295" spans="1:5">
      <c r="A2295" t="s">
        <v>6</v>
      </c>
      <c r="B2295" t="s">
        <v>2300</v>
      </c>
      <c r="C2295">
        <f>HYPERLINK("C:\Users\franc\OneDrive\Documentos\MALENTIN KARIME\varios\CIERRE 2º BIMESTRE 2013.doc", "Abrir Documento")</f>
        <v>0</v>
      </c>
      <c r="D2295" t="s">
        <v>23500</v>
      </c>
      <c r="E2295" t="s">
        <v>25794</v>
      </c>
    </row>
    <row r="2296" spans="1:5">
      <c r="A2296" t="s">
        <v>6</v>
      </c>
      <c r="B2296" t="s">
        <v>2301</v>
      </c>
      <c r="C2296">
        <f>HYPERLINK("C:\Users\franc\OneDrive\Documentos\MALENTIN KARIME\varios\CIERRE 2º BIMESTRE 2011.doc", "Abrir Documento")</f>
        <v>0</v>
      </c>
      <c r="D2296" t="s">
        <v>23500</v>
      </c>
      <c r="E2296" t="s">
        <v>25795</v>
      </c>
    </row>
    <row r="2297" spans="1:5">
      <c r="A2297" t="s">
        <v>6</v>
      </c>
      <c r="B2297" t="s">
        <v>2302</v>
      </c>
      <c r="C2297">
        <f>HYPERLINK("C:\Users\franc\OneDrive\Documentos\MALENTIN KARIME\varios\CIERRE 1º BIMESTRE 2015.doc", "Abrir Documento")</f>
        <v>0</v>
      </c>
      <c r="D2297" t="s">
        <v>23500</v>
      </c>
      <c r="E2297" t="s">
        <v>25796</v>
      </c>
    </row>
    <row r="2298" spans="1:5">
      <c r="A2298" t="s">
        <v>6</v>
      </c>
      <c r="B2298" t="s">
        <v>2303</v>
      </c>
      <c r="C2298">
        <f>HYPERLINK("C:\Users\franc\OneDrive\Documentos\MALENTIN KARIME\varios\CIERRE 1º BIMESTRE 2011.doc", "Abrir Documento")</f>
        <v>0</v>
      </c>
      <c r="D2298" t="s">
        <v>23500</v>
      </c>
      <c r="E2298" t="s">
        <v>25797</v>
      </c>
    </row>
    <row r="2299" spans="1:5">
      <c r="A2299" t="s">
        <v>6</v>
      </c>
      <c r="B2299" t="s">
        <v>2304</v>
      </c>
      <c r="C2299">
        <f>HYPERLINK("C:\Users\franc\OneDrive\Documentos\MALENTIN KARIME\varios\CIERRE 1º 2013.doc", "Abrir Documento")</f>
        <v>0</v>
      </c>
      <c r="D2299" t="s">
        <v>23500</v>
      </c>
      <c r="E2299" t="s">
        <v>25798</v>
      </c>
    </row>
    <row r="2300" spans="1:5">
      <c r="A2300" t="s">
        <v>6</v>
      </c>
      <c r="B2300" t="s">
        <v>2305</v>
      </c>
      <c r="C2300">
        <f>HYPERLINK("C:\Users\franc\OneDrive\Documentos\MALENTIN KARIME\varios\CIERRE 1°   BIMESTRE 2017.doc", "Abrir Documento")</f>
        <v>0</v>
      </c>
      <c r="D2300" t="s">
        <v>23500</v>
      </c>
      <c r="E2300" t="s">
        <v>25799</v>
      </c>
    </row>
    <row r="2301" spans="1:5">
      <c r="A2301" t="s">
        <v>6</v>
      </c>
      <c r="B2301" t="s">
        <v>2306</v>
      </c>
      <c r="C2301">
        <f>HYPERLINK("C:\Users\franc\OneDrive\Documentos\MALENTIN KARIME\varios\CIERRE  6°   BIMESTRE 2014.doc", "Abrir Documento")</f>
        <v>0</v>
      </c>
      <c r="D2301" t="s">
        <v>23500</v>
      </c>
      <c r="E2301" t="s">
        <v>25800</v>
      </c>
    </row>
    <row r="2302" spans="1:5">
      <c r="A2302" t="s">
        <v>6</v>
      </c>
      <c r="B2302" t="s">
        <v>2307</v>
      </c>
      <c r="C2302">
        <f>HYPERLINK("C:\Users\franc\OneDrive\Documentos\MALENTIN KARIME\varios\CERTIF MATRIMONIO SIIOnline.doc", "Abrir Documento")</f>
        <v>0</v>
      </c>
      <c r="D2302" t="s">
        <v>23500</v>
      </c>
      <c r="E2302" t="s">
        <v>25801</v>
      </c>
    </row>
    <row r="2303" spans="1:5">
      <c r="A2303" t="s">
        <v>6</v>
      </c>
      <c r="B2303" t="s">
        <v>2308</v>
      </c>
      <c r="C2303">
        <f>HYPERLINK("C:\Users\franc\OneDrive\Documentos\MALENTIN KARIME\varios\CERTIF MATRIMONIO SIIOnline ISMAEL ARAYA.doc", "Abrir Documento")</f>
        <v>0</v>
      </c>
      <c r="D2303" t="s">
        <v>23500</v>
      </c>
      <c r="E2303" t="s">
        <v>25802</v>
      </c>
    </row>
    <row r="2304" spans="1:5">
      <c r="A2304" t="s">
        <v>6</v>
      </c>
      <c r="B2304" t="s">
        <v>2309</v>
      </c>
      <c r="C2304">
        <f>HYPERLINK("C:\Users\franc\OneDrive\Documentos\MALENTIN KARIME\varios\certif matrimonio registro.doc", "Abrir Documento")</f>
        <v>0</v>
      </c>
      <c r="D2304" t="s">
        <v>23500</v>
      </c>
      <c r="E2304" t="s">
        <v>25803</v>
      </c>
    </row>
    <row r="2305" spans="1:5">
      <c r="A2305" t="s">
        <v>6</v>
      </c>
      <c r="B2305" t="s">
        <v>2310</v>
      </c>
      <c r="C2305">
        <f>HYPERLINK("C:\Users\franc\OneDrive\Documentos\MALENTIN KARIME\varios\CERTFICADO Suplencia.doc", "Abrir Documento")</f>
        <v>0</v>
      </c>
      <c r="D2305" t="s">
        <v>23500</v>
      </c>
      <c r="E2305" t="s">
        <v>25804</v>
      </c>
    </row>
    <row r="2306" spans="1:5">
      <c r="A2306" t="s">
        <v>6</v>
      </c>
      <c r="B2306" t="s">
        <v>2311</v>
      </c>
      <c r="C2306">
        <f>HYPERLINK("C:\Users\franc\OneDrive\Documentos\MALENTIN KARIME\varios\CERTFICADO Corpbanca.doc", "Abrir Documento")</f>
        <v>0</v>
      </c>
      <c r="D2306" t="s">
        <v>23500</v>
      </c>
      <c r="E2306" t="s">
        <v>25805</v>
      </c>
    </row>
    <row r="2307" spans="1:5">
      <c r="A2307" t="s">
        <v>6</v>
      </c>
      <c r="B2307" t="s">
        <v>2312</v>
      </c>
      <c r="C2307">
        <f>HYPERLINK("C:\Users\franc\OneDrive\Documentos\MALENTIN KARIME\varios\CERT Divorcio.doc", "Abrir Documento")</f>
        <v>0</v>
      </c>
      <c r="D2307" t="s">
        <v>23500</v>
      </c>
      <c r="E2307" t="s">
        <v>25806</v>
      </c>
    </row>
    <row r="2308" spans="1:5">
      <c r="A2308" t="s">
        <v>6</v>
      </c>
      <c r="B2308" t="s">
        <v>2313</v>
      </c>
      <c r="C2308">
        <f>HYPERLINK("C:\Users\franc\OneDrive\Documentos\MALENTIN KARIME\varios\CARTA visto bueno2.doc", "Abrir Documento")</f>
        <v>0</v>
      </c>
      <c r="D2308" t="s">
        <v>23500</v>
      </c>
      <c r="E2308" t="s">
        <v>25807</v>
      </c>
    </row>
    <row r="2309" spans="1:5">
      <c r="A2309" t="s">
        <v>6</v>
      </c>
      <c r="B2309" t="s">
        <v>2314</v>
      </c>
      <c r="C2309">
        <f>HYPERLINK("C:\Users\franc\OneDrive\Documentos\MALENTIN KARIME\varios\CARTA visto bueno.doc", "Abrir Documento")</f>
        <v>0</v>
      </c>
      <c r="D2309" t="s">
        <v>23500</v>
      </c>
      <c r="E2309" t="s">
        <v>25808</v>
      </c>
    </row>
    <row r="2310" spans="1:5">
      <c r="A2310" t="s">
        <v>6</v>
      </c>
      <c r="B2310" t="s">
        <v>2315</v>
      </c>
      <c r="C2310">
        <f>HYPERLINK("C:\Users\franc\OneDrive\Documentos\MALENTIN KARIME\varios\CARTA visto bueno TRIBUNAL.doc", "Abrir Documento")</f>
        <v>0</v>
      </c>
      <c r="D2310" t="s">
        <v>23500</v>
      </c>
      <c r="E2310" t="s">
        <v>25809</v>
      </c>
    </row>
    <row r="2311" spans="1:5">
      <c r="A2311" t="s">
        <v>6</v>
      </c>
      <c r="B2311" t="s">
        <v>2316</v>
      </c>
      <c r="C2311">
        <f>HYPERLINK("C:\Users\franc\OneDrive\Documentos\MALENTIN KARIME\varios\CARTA visto bueno tesoreria.doc", "Abrir Documento")</f>
        <v>0</v>
      </c>
      <c r="D2311" t="s">
        <v>23500</v>
      </c>
      <c r="E2311" t="s">
        <v>25810</v>
      </c>
    </row>
    <row r="2312" spans="1:5">
      <c r="A2312" t="s">
        <v>6</v>
      </c>
      <c r="B2312" t="s">
        <v>2317</v>
      </c>
      <c r="C2312">
        <f>HYPERLINK("C:\Users\franc\OneDrive\Documentos\MALENTIN KARIME\varios\CARTA visto bueno corpt.doc", "Abrir Documento")</f>
        <v>0</v>
      </c>
      <c r="D2312" t="s">
        <v>23500</v>
      </c>
      <c r="E2312" t="s">
        <v>25811</v>
      </c>
    </row>
    <row r="2313" spans="1:5">
      <c r="A2313" t="s">
        <v>6</v>
      </c>
      <c r="B2313" t="s">
        <v>2318</v>
      </c>
      <c r="C2313">
        <f>HYPERLINK("C:\Users\franc\OneDrive\Documentos\MALENTIN KARIME\varios\CARTA visto bueno BCI.doc", "Abrir Documento")</f>
        <v>0</v>
      </c>
      <c r="D2313" t="s">
        <v>23500</v>
      </c>
      <c r="E2313" t="s">
        <v>25812</v>
      </c>
    </row>
    <row r="2314" spans="1:5">
      <c r="A2314" t="s">
        <v>6</v>
      </c>
      <c r="B2314" t="s">
        <v>2319</v>
      </c>
      <c r="C2314">
        <f>HYPERLINK("C:\Users\franc\OneDrive\Documentos\MALENTIN KARIME\varios\CARTA SERVIU.doc", "Abrir Documento")</f>
        <v>0</v>
      </c>
      <c r="D2314" t="s">
        <v>23500</v>
      </c>
      <c r="E2314" t="s">
        <v>25813</v>
      </c>
    </row>
    <row r="2315" spans="1:5">
      <c r="A2315" t="s">
        <v>6</v>
      </c>
      <c r="B2315" t="s">
        <v>2320</v>
      </c>
      <c r="C2315">
        <f>HYPERLINK("C:\Users\franc\OneDrive\Documentos\MALENTIN KARIME\varios\CARTA Serviu pesonal.doc", "Abrir Documento")</f>
        <v>0</v>
      </c>
      <c r="D2315" t="s">
        <v>23500</v>
      </c>
      <c r="E2315" t="s">
        <v>25814</v>
      </c>
    </row>
    <row r="2316" spans="1:5">
      <c r="A2316" t="s">
        <v>6</v>
      </c>
      <c r="B2316" t="s">
        <v>2321</v>
      </c>
      <c r="C2316">
        <f>HYPERLINK("C:\Users\franc\OneDrive\Documentos\MALENTIN KARIME\varios\CARTA REPERTORIO.doc", "Abrir Documento")</f>
        <v>0</v>
      </c>
      <c r="D2316" t="s">
        <v>23500</v>
      </c>
      <c r="E2316" t="s">
        <v>25815</v>
      </c>
    </row>
    <row r="2317" spans="1:5">
      <c r="A2317" t="s">
        <v>6</v>
      </c>
      <c r="B2317" t="s">
        <v>2322</v>
      </c>
      <c r="C2317">
        <f>HYPERLINK("C:\Users\franc\OneDrive\Documentos\MALENTIN KARIME\varios\CARTA PRENDA.doc", "Abrir Documento")</f>
        <v>0</v>
      </c>
      <c r="D2317" t="s">
        <v>23500</v>
      </c>
      <c r="E2317" t="s">
        <v>25816</v>
      </c>
    </row>
    <row r="2318" spans="1:5">
      <c r="A2318" t="s">
        <v>6</v>
      </c>
      <c r="B2318" t="s">
        <v>2323</v>
      </c>
      <c r="C2318">
        <f>HYPERLINK("C:\Users\franc\OneDrive\Documentos\MALENTIN KARIME\varios\CARTA PRENDA corpbanca.doc", "Abrir Documento")</f>
        <v>0</v>
      </c>
      <c r="D2318" t="s">
        <v>23500</v>
      </c>
      <c r="E2318" t="s">
        <v>25817</v>
      </c>
    </row>
    <row r="2319" spans="1:5">
      <c r="A2319" t="s">
        <v>6</v>
      </c>
      <c r="B2319" t="s">
        <v>2324</v>
      </c>
      <c r="C2319">
        <f>HYPERLINK("C:\Users\franc\OneDrive\Documentos\MALENTIN KARIME\varios\CARTA PODER SII JULIO MONTERO.doc", "Abrir Documento")</f>
        <v>0</v>
      </c>
      <c r="D2319" t="s">
        <v>23500</v>
      </c>
      <c r="E2319" t="s">
        <v>25818</v>
      </c>
    </row>
    <row r="2320" spans="1:5">
      <c r="A2320" t="s">
        <v>6</v>
      </c>
      <c r="B2320" t="s">
        <v>2325</v>
      </c>
      <c r="C2320">
        <f>HYPERLINK("C:\Users\franc\OneDrive\Documentos\MALENTIN KARIME\varios\CARTA LEASING.doc", "Abrir Documento")</f>
        <v>0</v>
      </c>
      <c r="D2320" t="s">
        <v>23500</v>
      </c>
      <c r="E2320" t="s">
        <v>25819</v>
      </c>
    </row>
    <row r="2321" spans="1:5">
      <c r="A2321" t="s">
        <v>6</v>
      </c>
      <c r="B2321" t="s">
        <v>2326</v>
      </c>
      <c r="C2321">
        <f>HYPERLINK("C:\Users\franc\OneDrive\Documentos\MALENTIN KARIME\varios\CARTA DGA.doc", "Abrir Documento")</f>
        <v>0</v>
      </c>
      <c r="D2321" t="s">
        <v>23500</v>
      </c>
      <c r="E2321" t="s">
        <v>25820</v>
      </c>
    </row>
    <row r="2322" spans="1:5">
      <c r="A2322" t="s">
        <v>6</v>
      </c>
      <c r="B2322" t="s">
        <v>2327</v>
      </c>
      <c r="C2322">
        <f>HYPERLINK("C:\Users\franc\OneDrive\Documentos\MALENTIN KARIME\varios\CARTA Coopeuch.doc", "Abrir Documento")</f>
        <v>0</v>
      </c>
      <c r="D2322" t="s">
        <v>23500</v>
      </c>
      <c r="E2322" t="s">
        <v>25821</v>
      </c>
    </row>
    <row r="2323" spans="1:5">
      <c r="A2323" t="s">
        <v>6</v>
      </c>
      <c r="B2323" t="s">
        <v>2328</v>
      </c>
      <c r="C2323">
        <f>HYPERLINK("C:\Users\franc\OneDrive\Documentos\MALENTIN KARIME\varios\CARTA conservador.doc", "Abrir Documento")</f>
        <v>0</v>
      </c>
      <c r="D2323" t="s">
        <v>23500</v>
      </c>
      <c r="E2323" t="s">
        <v>25822</v>
      </c>
    </row>
    <row r="2324" spans="1:5">
      <c r="A2324" t="s">
        <v>6</v>
      </c>
      <c r="B2324" t="s">
        <v>2329</v>
      </c>
      <c r="C2324">
        <f>HYPERLINK("C:\Users\franc\OneDrive\Documentos\MALENTIN KARIME\varios\CARTA BANCOESTADO.doc", "Abrir Documento")</f>
        <v>0</v>
      </c>
      <c r="D2324" t="s">
        <v>23500</v>
      </c>
      <c r="E2324" t="s">
        <v>25823</v>
      </c>
    </row>
    <row r="2325" spans="1:5">
      <c r="A2325" t="s">
        <v>6</v>
      </c>
      <c r="B2325" t="s">
        <v>2330</v>
      </c>
      <c r="C2325">
        <f>HYPERLINK("C:\Users\franc\OneDrive\Documentos\MALENTIN KARIME\varios\CARTA BANCHILE.doc", "Abrir Documento")</f>
        <v>0</v>
      </c>
      <c r="D2325" t="s">
        <v>23500</v>
      </c>
      <c r="E2325" t="s">
        <v>25824</v>
      </c>
    </row>
    <row r="2326" spans="1:5">
      <c r="A2326" t="s">
        <v>6</v>
      </c>
      <c r="B2326" t="s">
        <v>2331</v>
      </c>
      <c r="C2326">
        <f>HYPERLINK("C:\Users\franc\OneDrive\Documentos\MALENTIN KARIME\varios\CARTA ALZAMIENTO.doc", "Abrir Documento")</f>
        <v>0</v>
      </c>
      <c r="D2326" t="s">
        <v>23500</v>
      </c>
      <c r="E2326" t="s">
        <v>25825</v>
      </c>
    </row>
    <row r="2327" spans="1:5">
      <c r="A2327" t="s">
        <v>6</v>
      </c>
      <c r="B2327" t="s">
        <v>2332</v>
      </c>
      <c r="C2327">
        <f>HYPERLINK("C:\Users\franc\OneDrive\Documentos\MALENTIN KARIME\varios\CARTA ALZAMIENTO remate.doc", "Abrir Documento")</f>
        <v>0</v>
      </c>
      <c r="D2327" t="s">
        <v>23500</v>
      </c>
      <c r="E2327" t="s">
        <v>25826</v>
      </c>
    </row>
    <row r="2328" spans="1:5">
      <c r="A2328" t="s">
        <v>6</v>
      </c>
      <c r="B2328" t="s">
        <v>2333</v>
      </c>
      <c r="C2328">
        <f>HYPERLINK("C:\Users\franc\OneDrive\Documentos\MALENTIN KARIME\varios\CARTA ALZAMIENTO María Aguilera Castillo.doc", "Abrir Documento")</f>
        <v>0</v>
      </c>
      <c r="D2328" t="s">
        <v>23500</v>
      </c>
      <c r="E2328" t="s">
        <v>25827</v>
      </c>
    </row>
    <row r="2329" spans="1:5">
      <c r="A2329" t="s">
        <v>6</v>
      </c>
      <c r="B2329" t="s">
        <v>2334</v>
      </c>
      <c r="C2329">
        <f>HYPERLINK("C:\Users\franc\OneDrive\Documentos\MALENTIN KARIME\varios\CARTA ALZAMIENTO Ivan Milla.doc", "Abrir Documento")</f>
        <v>0</v>
      </c>
      <c r="D2329" t="s">
        <v>23500</v>
      </c>
      <c r="E2329" t="s">
        <v>25828</v>
      </c>
    </row>
    <row r="2330" spans="1:5">
      <c r="A2330" t="s">
        <v>6</v>
      </c>
      <c r="B2330" t="s">
        <v>2335</v>
      </c>
      <c r="C2330">
        <f>HYPERLINK("C:\Users\franc\OneDrive\Documentos\MALENTIN KARIME\varios\CARTA ALZAMIENTO Armando Carvajal.doc", "Abrir Documento")</f>
        <v>0</v>
      </c>
      <c r="D2330" t="s">
        <v>23500</v>
      </c>
      <c r="E2330" t="s">
        <v>25829</v>
      </c>
    </row>
    <row r="2331" spans="1:5">
      <c r="A2331" t="s">
        <v>6</v>
      </c>
      <c r="B2331" t="s">
        <v>2336</v>
      </c>
      <c r="C2331">
        <f>HYPERLINK("C:\Users\franc\OneDrive\Documentos\MALENTIN KARIME\varios\CARTA ALZAMIENTO 3.doc", "Abrir Documento")</f>
        <v>0</v>
      </c>
      <c r="D2331" t="s">
        <v>23500</v>
      </c>
      <c r="E2331" t="s">
        <v>25830</v>
      </c>
    </row>
    <row r="2332" spans="1:5">
      <c r="A2332" t="s">
        <v>6</v>
      </c>
      <c r="B2332" t="s">
        <v>2337</v>
      </c>
      <c r="C2332">
        <f>HYPERLINK("C:\Users\franc\OneDrive\Documentos\MALENTIN KARIME\varios\CARTA ALZAMIENTO 2.doc", "Abrir Documento")</f>
        <v>0</v>
      </c>
      <c r="D2332" t="s">
        <v>23500</v>
      </c>
      <c r="E2332" t="s">
        <v>25831</v>
      </c>
    </row>
    <row r="2333" spans="1:5">
      <c r="A2333" t="s">
        <v>6</v>
      </c>
      <c r="B2333" t="s">
        <v>2338</v>
      </c>
      <c r="C2333">
        <f>HYPERLINK("C:\Users\franc\OneDrive\Documentos\MALENTIN KARIME\varios\C.VENTA PATENTE.doc", "Abrir Documento")</f>
        <v>0</v>
      </c>
      <c r="D2333" t="s">
        <v>23500</v>
      </c>
      <c r="E2333" t="s">
        <v>25832</v>
      </c>
    </row>
    <row r="2334" spans="1:5">
      <c r="A2334" t="s">
        <v>6</v>
      </c>
      <c r="B2334" t="s">
        <v>2339</v>
      </c>
      <c r="C2334">
        <f>HYPERLINK("C:\Users\franc\OneDrive\Documentos\MALENTIN KARIME\varios\Autorizo la firma en Letras Cambio.doc", "Abrir Documento")</f>
        <v>0</v>
      </c>
      <c r="D2334" t="s">
        <v>23500</v>
      </c>
      <c r="E2334" t="s">
        <v>25833</v>
      </c>
    </row>
    <row r="2335" spans="1:5">
      <c r="A2335" t="s">
        <v>6</v>
      </c>
      <c r="B2335" t="s">
        <v>2340</v>
      </c>
      <c r="C2335">
        <f>HYPERLINK("C:\Users\franc\OneDrive\Documentos\MALENTIN KARIME\varios\Autorizo la firma DE PAGARE.doc", "Abrir Documento")</f>
        <v>0</v>
      </c>
      <c r="D2335" t="s">
        <v>23500</v>
      </c>
      <c r="E2335" t="s">
        <v>25834</v>
      </c>
    </row>
    <row r="2336" spans="1:5">
      <c r="A2336" t="s">
        <v>6</v>
      </c>
      <c r="B2336" t="s">
        <v>2341</v>
      </c>
      <c r="C2336">
        <f>HYPERLINK("C:\Users\franc\OneDrive\Documentos\MALENTIN KARIME\varios\Autorizo la firma DE PAGARE estampillas.doc", "Abrir Documento")</f>
        <v>0</v>
      </c>
      <c r="D2336" t="s">
        <v>23500</v>
      </c>
      <c r="E2336" t="s">
        <v>25835</v>
      </c>
    </row>
    <row r="2337" spans="1:5">
      <c r="A2337" t="s">
        <v>6</v>
      </c>
      <c r="B2337" t="s">
        <v>2342</v>
      </c>
      <c r="C2337">
        <f>HYPERLINK("C:\Users\franc\OneDrive\Documentos\MALENTIN KARIME\varios\Autorizo la firma de doña Carmen Luisa Videla Tello.doc", "Abrir Documento")</f>
        <v>0</v>
      </c>
      <c r="D2337" t="s">
        <v>23500</v>
      </c>
      <c r="E2337" t="s">
        <v>25836</v>
      </c>
    </row>
    <row r="2338" spans="1:5">
      <c r="A2338" t="s">
        <v>6</v>
      </c>
      <c r="B2338" t="s">
        <v>2343</v>
      </c>
      <c r="C2338">
        <f>HYPERLINK("C:\Users\franc\OneDrive\Documentos\MALENTIN KARIME\varios\Autorizo la firma de don MARIO EDUARDO BARRIOS BARRAZA.doc", "Abrir Documento")</f>
        <v>0</v>
      </c>
      <c r="D2338" t="s">
        <v>23500</v>
      </c>
      <c r="E2338" t="s">
        <v>25837</v>
      </c>
    </row>
    <row r="2339" spans="1:5">
      <c r="A2339" t="s">
        <v>6</v>
      </c>
      <c r="B2339" t="s">
        <v>2344</v>
      </c>
      <c r="C2339">
        <f>HYPERLINK("C:\Users\franc\OneDrive\Documentos\MALENTIN KARIME\varios\Autorizo la firma de don MARIO ALEJANDRO BARRIOS ROJAS.doc", "Abrir Documento")</f>
        <v>0</v>
      </c>
      <c r="D2339" t="s">
        <v>23500</v>
      </c>
      <c r="E2339" t="s">
        <v>25838</v>
      </c>
    </row>
    <row r="2340" spans="1:5">
      <c r="A2340" t="s">
        <v>6</v>
      </c>
      <c r="B2340" t="s">
        <v>2345</v>
      </c>
      <c r="C2340">
        <f>HYPERLINK("C:\Users\franc\OneDrive\Documentos\MALENTIN KARIME\varios\Autorizo la firma de don JUAN CLAUDIO LAGUNAS FLORES.doc", "Abrir Documento")</f>
        <v>0</v>
      </c>
      <c r="D2340" t="s">
        <v>23500</v>
      </c>
      <c r="E2340" t="s">
        <v>25839</v>
      </c>
    </row>
    <row r="2341" spans="1:5">
      <c r="A2341" t="s">
        <v>6</v>
      </c>
      <c r="B2341" t="s">
        <v>2346</v>
      </c>
      <c r="C2341">
        <f>HYPERLINK("C:\Users\franc\OneDrive\Documentos\MALENTIN KARIME\varios\Autorizo la firma de don CAMAL ANTONIO MUSALEM TAPIA.doc", "Abrir Documento")</f>
        <v>0</v>
      </c>
      <c r="D2341" t="s">
        <v>23500</v>
      </c>
      <c r="E2341" t="s">
        <v>25840</v>
      </c>
    </row>
    <row r="2342" spans="1:5">
      <c r="A2342" t="s">
        <v>6</v>
      </c>
      <c r="B2342" t="s">
        <v>2347</v>
      </c>
      <c r="C2342">
        <f>HYPERLINK("C:\Users\franc\OneDrive\Documentos\MALENTIN KARIME\varios\Autorizo la firma de  doña MONICA CARMEN TEDROS AGUILERA.doc", "Abrir Documento")</f>
        <v>0</v>
      </c>
      <c r="D2342" t="s">
        <v>23500</v>
      </c>
      <c r="E2342" t="s">
        <v>25841</v>
      </c>
    </row>
    <row r="2343" spans="1:5">
      <c r="A2343" t="s">
        <v>6</v>
      </c>
      <c r="B2343" t="s">
        <v>2348</v>
      </c>
      <c r="C2343">
        <f>HYPERLINK("C:\Users\franc\OneDrive\Documentos\MALENTIN KARIME\varios\Autorizo la firma de  doña MONICA CARMEN TEDROS AGUILERA por H G Y B.doc", "Abrir Documento")</f>
        <v>0</v>
      </c>
      <c r="D2343" t="s">
        <v>23500</v>
      </c>
      <c r="E2343" t="s">
        <v>25842</v>
      </c>
    </row>
    <row r="2344" spans="1:5">
      <c r="A2344" t="s">
        <v>6</v>
      </c>
      <c r="B2344" t="s">
        <v>2349</v>
      </c>
      <c r="C2344">
        <f>HYPERLINK("C:\Users\franc\OneDrive\Documentos\MALENTIN KARIME\varios\AUTORIZACION.doc", "Abrir Documento")</f>
        <v>0</v>
      </c>
      <c r="D2344" t="s">
        <v>23500</v>
      </c>
      <c r="E2344" t="s">
        <v>25843</v>
      </c>
    </row>
    <row r="2345" spans="1:5">
      <c r="A2345" t="s">
        <v>6</v>
      </c>
      <c r="B2345" t="s">
        <v>2350</v>
      </c>
      <c r="C2345">
        <f>HYPERLINK("C:\Users\franc\OneDrive\Documentos\MALENTIN KARIME\varios\AUTORIZACION ESCRITRUAS horizontal.doc", "Abrir Documento")</f>
        <v>0</v>
      </c>
      <c r="D2345" t="s">
        <v>23500</v>
      </c>
      <c r="E2345" t="s">
        <v>25844</v>
      </c>
    </row>
    <row r="2346" spans="1:5">
      <c r="A2346" t="s">
        <v>6</v>
      </c>
      <c r="B2346" t="s">
        <v>2351</v>
      </c>
      <c r="C2346">
        <f>HYPERLINK("C:\Users\franc\OneDrive\Documentos\MALENTIN KARIME\varios\AUTORIZACION ESCRITRUAS horizontal 2.doc", "Abrir Documento")</f>
        <v>0</v>
      </c>
      <c r="D2346" t="s">
        <v>23500</v>
      </c>
      <c r="E2346" t="s">
        <v>25845</v>
      </c>
    </row>
    <row r="2347" spans="1:5">
      <c r="A2347" t="s">
        <v>6</v>
      </c>
      <c r="B2347" t="s">
        <v>2352</v>
      </c>
      <c r="C2347">
        <f>HYPERLINK("C:\Users\franc\OneDrive\Documentos\MALENTIN KARIME\varios\AUTORIZACION ESCRITRUAS CON VIGENCIA.doc", "Abrir Documento")</f>
        <v>0</v>
      </c>
      <c r="D2347" t="s">
        <v>23500</v>
      </c>
      <c r="E2347" t="s">
        <v>25846</v>
      </c>
    </row>
    <row r="2348" spans="1:5">
      <c r="A2348" t="s">
        <v>6</v>
      </c>
      <c r="B2348" t="s">
        <v>2353</v>
      </c>
      <c r="C2348">
        <f>HYPERLINK("C:\Users\franc\OneDrive\Documentos\MALENTIN KARIME\varios\AUTORIZACION ESCRITRUAS CON VIGENCIA horizontal.doc", "Abrir Documento")</f>
        <v>0</v>
      </c>
      <c r="D2348" t="s">
        <v>23500</v>
      </c>
      <c r="E2348" t="s">
        <v>25847</v>
      </c>
    </row>
    <row r="2349" spans="1:5">
      <c r="A2349" t="s">
        <v>6</v>
      </c>
      <c r="B2349" t="s">
        <v>2354</v>
      </c>
      <c r="C2349">
        <f>HYPERLINK("C:\Users\franc\OneDrive\Documentos\MALENTIN KARIME\varios\ASGREGA IMPUESTO F-24.doc", "Abrir Documento")</f>
        <v>0</v>
      </c>
      <c r="D2349" t="s">
        <v>23500</v>
      </c>
      <c r="E2349" t="s">
        <v>25848</v>
      </c>
    </row>
    <row r="2350" spans="1:5">
      <c r="A2350" t="s">
        <v>6</v>
      </c>
      <c r="B2350" t="s">
        <v>2355</v>
      </c>
      <c r="C2350">
        <f>HYPERLINK("C:\Users\franc\OneDrive\Documentos\MALENTIN KARIME\varios\ASGREGA IMPUESTO F-23.doc", "Abrir Documento")</f>
        <v>0</v>
      </c>
      <c r="D2350" t="s">
        <v>23500</v>
      </c>
      <c r="E2350" t="s">
        <v>25849</v>
      </c>
    </row>
    <row r="2351" spans="1:5">
      <c r="A2351" t="s">
        <v>6</v>
      </c>
      <c r="B2351" t="s">
        <v>2356</v>
      </c>
      <c r="C2351">
        <f>HYPERLINK("C:\Users\franc\OneDrive\Documentos\MALENTIN KARIME\varios\APERTURA BIMESTRE.doc", "Abrir Documento")</f>
        <v>0</v>
      </c>
      <c r="D2351" t="s">
        <v>23500</v>
      </c>
      <c r="E2351" t="s">
        <v>25850</v>
      </c>
    </row>
    <row r="2352" spans="1:5">
      <c r="A2352" t="s">
        <v>6</v>
      </c>
      <c r="B2352" t="s">
        <v>2357</v>
      </c>
      <c r="C2352">
        <f>HYPERLINK("C:\Users\franc\OneDrive\Documentos\MALENTIN KARIME\varios\ANTONIO GALAZ A MIRZA ARAYA.doc", "Abrir Documento")</f>
        <v>0</v>
      </c>
      <c r="D2352" t="s">
        <v>23500</v>
      </c>
      <c r="E2352" t="s">
        <v>25851</v>
      </c>
    </row>
    <row r="2353" spans="1:5">
      <c r="A2353" t="s">
        <v>6</v>
      </c>
      <c r="B2353" t="s">
        <v>2358</v>
      </c>
      <c r="C2353">
        <f>HYPERLINK("C:\Users\franc\OneDrive\Documentos\MALENTIN KARIME\varios\AGREGA IMPUESTO.doc", "Abrir Documento")</f>
        <v>0</v>
      </c>
      <c r="D2353" t="s">
        <v>23500</v>
      </c>
      <c r="E2353" t="s">
        <v>25852</v>
      </c>
    </row>
    <row r="2354" spans="1:5">
      <c r="A2354" t="s">
        <v>6</v>
      </c>
      <c r="B2354" t="s">
        <v>2359</v>
      </c>
      <c r="C2354">
        <f>HYPERLINK("C:\Users\franc\OneDrive\Documentos\MALENTIN KARIME\varios\AGREGA IMPUESTO y F30.doc", "Abrir Documento")</f>
        <v>0</v>
      </c>
      <c r="D2354" t="s">
        <v>23500</v>
      </c>
      <c r="E2354" t="s">
        <v>25853</v>
      </c>
    </row>
    <row r="2355" spans="1:5">
      <c r="A2355" t="s">
        <v>6</v>
      </c>
      <c r="B2355" t="s">
        <v>2360</v>
      </c>
      <c r="C2355">
        <f>HYPERLINK("C:\Users\franc\OneDrive\Documentos\MALENTIN KARIME\varios\AGREGA IMPUESTO MUTUOBANCO SANTANDERdoc.doc", "Abrir Documento")</f>
        <v>0</v>
      </c>
      <c r="D2355" t="s">
        <v>23500</v>
      </c>
      <c r="E2355" t="s">
        <v>25854</v>
      </c>
    </row>
    <row r="2356" spans="1:5">
      <c r="A2356" t="s">
        <v>6</v>
      </c>
      <c r="B2356" t="s">
        <v>2361</v>
      </c>
      <c r="C2356">
        <f>HYPERLINK("C:\Users\franc\OneDrive\Documentos\MALENTIN KARIME\varios\AGREGA IMPUESTO F24.doc", "Abrir Documento")</f>
        <v>0</v>
      </c>
      <c r="D2356" t="s">
        <v>23500</v>
      </c>
      <c r="E2356" t="s">
        <v>25855</v>
      </c>
    </row>
    <row r="2357" spans="1:5">
      <c r="A2357" t="s">
        <v>6</v>
      </c>
      <c r="B2357" t="s">
        <v>2362</v>
      </c>
      <c r="C2357">
        <f>HYPERLINK("C:\Users\franc\OneDrive\Documentos\MALENTIN KARIME\varios\AGREGA IMPUESTO F24 y declaracion iva.doc", "Abrir Documento")</f>
        <v>0</v>
      </c>
      <c r="D2357" t="s">
        <v>23500</v>
      </c>
      <c r="E2357" t="s">
        <v>25856</v>
      </c>
    </row>
    <row r="2358" spans="1:5">
      <c r="A2358" t="s">
        <v>6</v>
      </c>
      <c r="B2358" t="s">
        <v>2363</v>
      </c>
      <c r="C2358">
        <f>HYPERLINK("C:\Users\franc\OneDrive\Documentos\MALENTIN KARIME\varios\Agrega impuesto f 24 copiado.doc", "Abrir Documento")</f>
        <v>0</v>
      </c>
      <c r="D2358" t="s">
        <v>23500</v>
      </c>
      <c r="E2358" t="s">
        <v>25857</v>
      </c>
    </row>
    <row r="2359" spans="1:5">
      <c r="A2359" t="s">
        <v>6</v>
      </c>
      <c r="B2359" t="s">
        <v>2364</v>
      </c>
      <c r="C2359">
        <f>HYPERLINK("C:\Users\franc\OneDrive\Documentos\MALENTIN KARIME\varios\ACUERDO-POCHOLAS.doc", "Abrir Documento")</f>
        <v>0</v>
      </c>
      <c r="D2359" t="s">
        <v>23500</v>
      </c>
      <c r="E2359" t="s">
        <v>25858</v>
      </c>
    </row>
    <row r="2360" spans="1:5">
      <c r="A2360" t="s">
        <v>6</v>
      </c>
      <c r="B2360" t="s">
        <v>2365</v>
      </c>
      <c r="C2360">
        <f>HYPERLINK("C:\Users\franc\OneDrive\Documentos\MALENTIN KARIME\varios\ACUERDO-ABETOS karime.doc", "Abrir Documento")</f>
        <v>0</v>
      </c>
      <c r="D2360" t="s">
        <v>23500</v>
      </c>
      <c r="E2360" t="s">
        <v>25859</v>
      </c>
    </row>
    <row r="2361" spans="1:5">
      <c r="A2361" t="s">
        <v>6</v>
      </c>
      <c r="B2361" t="s">
        <v>2366</v>
      </c>
      <c r="C2361">
        <f>HYPERLINK("C:\Users\franc\OneDrive\Documentos\MALENTIN KARIME\varios\ACTA VISITA 6º BIMESTRE 2011.doc", "Abrir Documento")</f>
        <v>0</v>
      </c>
      <c r="D2361" t="s">
        <v>23500</v>
      </c>
      <c r="E2361" t="s">
        <v>25860</v>
      </c>
    </row>
    <row r="2362" spans="1:5">
      <c r="A2362" t="s">
        <v>6</v>
      </c>
      <c r="B2362" t="s">
        <v>2367</v>
      </c>
      <c r="C2362">
        <f>HYPERLINK("C:\Users\franc\OneDrive\Documentos\MALENTIN KARIME\varios\ACTA VISITA 2º BIMESTRE 2012.doc", "Abrir Documento")</f>
        <v>0</v>
      </c>
      <c r="D2362" t="s">
        <v>23500</v>
      </c>
      <c r="E2362" t="s">
        <v>25861</v>
      </c>
    </row>
    <row r="2363" spans="1:5">
      <c r="A2363" t="s">
        <v>6</v>
      </c>
      <c r="B2363" t="s">
        <v>2368</v>
      </c>
      <c r="C2363">
        <f>HYPERLINK("C:\Users\franc\OneDrive\Documentos\MALENTIN KARIME\varios\ACTA VISITA 1º BIMESTRE 2012.doc", "Abrir Documento")</f>
        <v>0</v>
      </c>
      <c r="D2363" t="s">
        <v>23500</v>
      </c>
      <c r="E2363" t="s">
        <v>25862</v>
      </c>
    </row>
    <row r="2364" spans="1:5">
      <c r="A2364" t="s">
        <v>6</v>
      </c>
      <c r="B2364" t="s">
        <v>2369</v>
      </c>
      <c r="C2364">
        <f>HYPERLINK("C:\Users\franc\OneDrive\Documentos\MALENTIN KARIME\varios\ACTA  DE ENTREGA.doc", "Abrir Documento")</f>
        <v>0</v>
      </c>
      <c r="D2364" t="s">
        <v>23500</v>
      </c>
      <c r="E2364" t="s">
        <v>25863</v>
      </c>
    </row>
    <row r="2365" spans="1:5">
      <c r="A2365" t="s">
        <v>6</v>
      </c>
      <c r="B2365" t="s">
        <v>2370</v>
      </c>
      <c r="C2365">
        <f>HYPERLINK("C:\Users\franc\OneDrive\Documentos\MALENTIN KARIME\v\CONSERVADOR JAlfaro.doc", "Abrir Documento")</f>
        <v>0</v>
      </c>
      <c r="D2365" t="s">
        <v>23500</v>
      </c>
      <c r="E2365" t="s">
        <v>25864</v>
      </c>
    </row>
    <row r="2366" spans="1:5">
      <c r="A2366" t="s">
        <v>6</v>
      </c>
      <c r="B2366" t="s">
        <v>2371</v>
      </c>
      <c r="C2366">
        <f>HYPERLINK("C:\Users\franc\OneDrive\Documentos\MALENTIN KARIME\v\CONSERVADOR CFlores.doc", "Abrir Documento")</f>
        <v>0</v>
      </c>
      <c r="D2366" t="s">
        <v>23500</v>
      </c>
      <c r="E2366" t="s">
        <v>25865</v>
      </c>
    </row>
    <row r="2367" spans="1:5">
      <c r="A2367" t="s">
        <v>6</v>
      </c>
      <c r="B2367" t="s">
        <v>2372</v>
      </c>
      <c r="C2367">
        <f>HYPERLINK("C:\Users\franc\OneDrive\Documentos\MALENTIN KARIME\v\CARLOS FLORES A HIDROTEC Spa. ULTIMA VERSION.doc", "Abrir Documento")</f>
        <v>0</v>
      </c>
      <c r="D2367" t="s">
        <v>23500</v>
      </c>
      <c r="E2367" t="s">
        <v>25866</v>
      </c>
    </row>
    <row r="2368" spans="1:5">
      <c r="A2368" t="s">
        <v>6</v>
      </c>
      <c r="B2368" t="s">
        <v>2373</v>
      </c>
      <c r="C2368">
        <f>HYPERLINK("C:\Users\franc\OneDrive\Documentos\MALENTIN KARIME\v\CARLOS FLORES A HIDROTEC Spa. FINAL final final ULTIMO.doc", "Abrir Documento")</f>
        <v>0</v>
      </c>
      <c r="D2368" t="s">
        <v>23500</v>
      </c>
      <c r="E2368" t="s">
        <v>25867</v>
      </c>
    </row>
    <row r="2369" spans="1:5">
      <c r="A2369" t="s">
        <v>6</v>
      </c>
      <c r="B2369" t="s">
        <v>2374</v>
      </c>
      <c r="C2369">
        <f>HYPERLINK("C:\Users\franc\OneDrive\Documentos\MALENTIN KARIME\v\150319_Contrato de Arrendamiento_Quebrada Seca_Draft13_FB.doc", "Abrir Documento")</f>
        <v>0</v>
      </c>
      <c r="D2369" t="s">
        <v>23500</v>
      </c>
      <c r="E2369" t="s">
        <v>25868</v>
      </c>
    </row>
    <row r="2370" spans="1:5">
      <c r="A2370" t="s">
        <v>6</v>
      </c>
      <c r="B2370" t="s">
        <v>2375</v>
      </c>
      <c r="C2370">
        <f>HYPERLINK("C:\Users\franc\OneDrive\Documentos\MALENTIN KARIME\v\150318_Contrato arriendo Talquilla_para firma_FB-1.doc", "Abrir Documento")</f>
        <v>0</v>
      </c>
      <c r="D2370" t="s">
        <v>23500</v>
      </c>
      <c r="E2370" t="s">
        <v>25869</v>
      </c>
    </row>
    <row r="2371" spans="1:5">
      <c r="A2371" t="s">
        <v>6</v>
      </c>
      <c r="B2371" t="s">
        <v>2376</v>
      </c>
      <c r="C2371">
        <f>HYPERLINK("C:\Users\franc\OneDrive\Documentos\MALENTIN KARIME\USUFRUCTO\YENNY PEREIRA A AGUSTINA ALBANES Minuta.doc", "Abrir Documento")</f>
        <v>0</v>
      </c>
      <c r="D2371" t="s">
        <v>23500</v>
      </c>
      <c r="E2371" t="s">
        <v>25870</v>
      </c>
    </row>
    <row r="2372" spans="1:5">
      <c r="A2372" t="s">
        <v>6</v>
      </c>
      <c r="B2372" t="s">
        <v>2377</v>
      </c>
      <c r="C2372">
        <f>HYPERLINK("C:\Users\franc\OneDrive\Documentos\MALENTIN KARIME\USUFRUCTO\usufructo.doc", "Abrir Documento")</f>
        <v>0</v>
      </c>
      <c r="D2372" t="s">
        <v>23500</v>
      </c>
      <c r="E2372" t="s">
        <v>25871</v>
      </c>
    </row>
    <row r="2373" spans="1:5">
      <c r="A2373" t="s">
        <v>6</v>
      </c>
      <c r="B2373" t="s">
        <v>2378</v>
      </c>
      <c r="C2373">
        <f>HYPERLINK("C:\Users\franc\OneDrive\Documentos\MALENTIN KARIME\USUFRUCTO\TOMAS ELGUETA A LAURA ELGUETA Renuncia.doc", "Abrir Documento")</f>
        <v>0</v>
      </c>
      <c r="D2373" t="s">
        <v>23500</v>
      </c>
      <c r="E2373" t="s">
        <v>25872</v>
      </c>
    </row>
    <row r="2374" spans="1:5">
      <c r="A2374" t="s">
        <v>6</v>
      </c>
      <c r="B2374" t="s">
        <v>2379</v>
      </c>
      <c r="C2374">
        <f>HYPERLINK("C:\Users\franc\OneDrive\Documentos\MALENTIN KARIME\USUFRUCTO\SILVIA ARAYA CORTES A Herman Araya Cortes Renun D Uso.doc", "Abrir Documento")</f>
        <v>0</v>
      </c>
      <c r="D2374" t="s">
        <v>23500</v>
      </c>
      <c r="E2374" t="s">
        <v>25873</v>
      </c>
    </row>
    <row r="2375" spans="1:5">
      <c r="A2375" t="s">
        <v>6</v>
      </c>
      <c r="B2375" t="s">
        <v>2380</v>
      </c>
      <c r="C2375">
        <f>HYPERLINK("C:\Users\franc\OneDrive\Documentos\MALENTIN KARIME\USUFRUCTO\RAMONA ROJAS PASTEN A ISRAEL VALDIVIA.doc", "Abrir Documento")</f>
        <v>0</v>
      </c>
      <c r="D2375" t="s">
        <v>23500</v>
      </c>
      <c r="E2375" t="s">
        <v>25874</v>
      </c>
    </row>
    <row r="2376" spans="1:5">
      <c r="A2376" t="s">
        <v>6</v>
      </c>
      <c r="B2376" t="s">
        <v>2381</v>
      </c>
      <c r="C2376">
        <f>HYPERLINK("C:\Users\franc\OneDrive\Documentos\MALENTIN KARIME\USUFRUCTO\PEDRO CORTES ROBLES.doc", "Abrir Documento")</f>
        <v>0</v>
      </c>
      <c r="D2376" t="s">
        <v>23500</v>
      </c>
      <c r="E2376" t="s">
        <v>25875</v>
      </c>
    </row>
    <row r="2377" spans="1:5">
      <c r="A2377" t="s">
        <v>6</v>
      </c>
      <c r="B2377" t="s">
        <v>2382</v>
      </c>
      <c r="C2377">
        <f>HYPERLINK("C:\Users\franc\OneDrive\Documentos\MALENTIN KARIME\USUFRUCTO\LUZ OLIVARES Renuncia.doc", "Abrir Documento")</f>
        <v>0</v>
      </c>
      <c r="D2377" t="s">
        <v>23500</v>
      </c>
      <c r="E2377" t="s">
        <v>25876</v>
      </c>
    </row>
    <row r="2378" spans="1:5">
      <c r="A2378" t="s">
        <v>6</v>
      </c>
      <c r="B2378" t="s">
        <v>2383</v>
      </c>
      <c r="C2378">
        <f>HYPERLINK("C:\Users\franc\OneDrive\Documentos\MALENTIN KARIME\USUFRUCTO\JUANA LOPEZ ARAYA Resciliacion y renuncia.doc", "Abrir Documento")</f>
        <v>0</v>
      </c>
      <c r="D2378" t="s">
        <v>23500</v>
      </c>
      <c r="E2378" t="s">
        <v>25877</v>
      </c>
    </row>
    <row r="2379" spans="1:5">
      <c r="A2379" t="s">
        <v>6</v>
      </c>
      <c r="B2379" t="s">
        <v>2384</v>
      </c>
      <c r="C2379">
        <f>HYPERLINK("C:\Users\franc\OneDrive\Documentos\MALENTIN KARIME\USUFRUCTO\JAVIER CORTES AVILES.doc", "Abrir Documento")</f>
        <v>0</v>
      </c>
      <c r="D2379" t="s">
        <v>23500</v>
      </c>
      <c r="E2379" t="s">
        <v>25878</v>
      </c>
    </row>
    <row r="2380" spans="1:5">
      <c r="A2380" t="s">
        <v>6</v>
      </c>
      <c r="B2380" t="s">
        <v>2385</v>
      </c>
      <c r="C2380">
        <f>HYPERLINK("C:\Users\franc\OneDrive\Documentos\MALENTIN KARIME\USUFRUCTO\IVAN CASTILLO Resciliacion y renuncia.doc", "Abrir Documento")</f>
        <v>0</v>
      </c>
      <c r="D2380" t="s">
        <v>23500</v>
      </c>
      <c r="E2380" t="s">
        <v>25879</v>
      </c>
    </row>
    <row r="2381" spans="1:5">
      <c r="A2381" t="s">
        <v>6</v>
      </c>
      <c r="B2381" t="s">
        <v>2386</v>
      </c>
      <c r="C2381">
        <f>HYPERLINK("C:\Users\franc\OneDrive\Documentos\MALENTIN KARIME\USUFRUCTO\HUGO GUILLERMO ARAYA LARRAIN.doc", "Abrir Documento")</f>
        <v>0</v>
      </c>
      <c r="D2381" t="s">
        <v>23500</v>
      </c>
      <c r="E2381" t="s">
        <v>25880</v>
      </c>
    </row>
    <row r="2382" spans="1:5">
      <c r="A2382" t="s">
        <v>6</v>
      </c>
      <c r="B2382" t="s">
        <v>2387</v>
      </c>
      <c r="C2382">
        <f>HYPERLINK("C:\Users\franc\OneDrive\Documentos\MALENTIN KARIME\USUFRUCTO\HECTOR ESPINOSA Y ALBERTO ESPINOSA.doc", "Abrir Documento")</f>
        <v>0</v>
      </c>
      <c r="D2382" t="s">
        <v>23500</v>
      </c>
      <c r="E2382" t="s">
        <v>25881</v>
      </c>
    </row>
    <row r="2383" spans="1:5">
      <c r="A2383" t="s">
        <v>6</v>
      </c>
      <c r="B2383" t="s">
        <v>2388</v>
      </c>
      <c r="C2383">
        <f>HYPERLINK("C:\Users\franc\OneDrive\Documentos\MALENTIN KARIME\USUFRUCTO\ERNESTO CORTES CORTES Usufructo.doc", "Abrir Documento")</f>
        <v>0</v>
      </c>
      <c r="D2383" t="s">
        <v>23500</v>
      </c>
      <c r="E2383" t="s">
        <v>25882</v>
      </c>
    </row>
    <row r="2384" spans="1:5">
      <c r="A2384" t="s">
        <v>6</v>
      </c>
      <c r="B2384" t="s">
        <v>2389</v>
      </c>
      <c r="C2384">
        <f>HYPERLINK("C:\Users\franc\OneDrive\Documentos\MALENTIN KARIME\USUFRUCTO\EDUARDO ZEPEDA PEREZ Usufructo.doc", "Abrir Documento")</f>
        <v>0</v>
      </c>
      <c r="D2384" t="s">
        <v>23500</v>
      </c>
      <c r="E2384" t="s">
        <v>25883</v>
      </c>
    </row>
    <row r="2385" spans="1:5">
      <c r="A2385" t="s">
        <v>6</v>
      </c>
      <c r="B2385" t="s">
        <v>2390</v>
      </c>
      <c r="C2385">
        <f>HYPERLINK("C:\Users\franc\OneDrive\Documentos\MALENTIN KARIME\USUFRUCTO\EDUARDO ZEPEDA A CLARA BARRAZA Minuta.doc", "Abrir Documento")</f>
        <v>0</v>
      </c>
      <c r="D2385" t="s">
        <v>23500</v>
      </c>
      <c r="E2385" t="s">
        <v>25884</v>
      </c>
    </row>
    <row r="2386" spans="1:5">
      <c r="A2386" t="s">
        <v>6</v>
      </c>
      <c r="B2386" t="s">
        <v>2391</v>
      </c>
      <c r="C2386">
        <f>HYPERLINK("C:\Users\franc\OneDrive\Documentos\MALENTIN KARIME\USUFRUCTO\CRISTIAN LAZO A PATRICIA PIZARRO Minuta.doc", "Abrir Documento")</f>
        <v>0</v>
      </c>
      <c r="D2386" t="s">
        <v>23500</v>
      </c>
      <c r="E2386" t="s">
        <v>25885</v>
      </c>
    </row>
    <row r="2387" spans="1:5">
      <c r="A2387" t="s">
        <v>6</v>
      </c>
      <c r="B2387" t="s">
        <v>2392</v>
      </c>
      <c r="C2387">
        <f>HYPERLINK("C:\Users\franc\OneDrive\Documentos\MALENTIN KARIME\USUFRUCTO\CLAUDIO CORTES AVILES.doc", "Abrir Documento")</f>
        <v>0</v>
      </c>
      <c r="D2387" t="s">
        <v>23500</v>
      </c>
      <c r="E2387" t="s">
        <v>25886</v>
      </c>
    </row>
    <row r="2388" spans="1:5">
      <c r="A2388" t="s">
        <v>6</v>
      </c>
      <c r="B2388" t="s">
        <v>2393</v>
      </c>
      <c r="C2388">
        <f>HYPERLINK("C:\Users\franc\OneDrive\Documentos\MALENTIN KARIME\USUFRUCTO\ANA MARIA CERVA CORTES Renunc. Usufructo.doc", "Abrir Documento")</f>
        <v>0</v>
      </c>
      <c r="D2388" t="s">
        <v>23500</v>
      </c>
      <c r="E2388" t="s">
        <v>25887</v>
      </c>
    </row>
    <row r="2389" spans="1:5">
      <c r="A2389" t="s">
        <v>6</v>
      </c>
      <c r="B2389" t="s">
        <v>2394</v>
      </c>
      <c r="C2389">
        <f>HYPERLINK("C:\Users\franc\OneDrive\Documentos\MALENTIN KARIME\TRANSACCION\modelo transaccion.doc", "Abrir Documento")</f>
        <v>0</v>
      </c>
      <c r="D2389" t="s">
        <v>23500</v>
      </c>
      <c r="E2389" t="s">
        <v>25888</v>
      </c>
    </row>
    <row r="2390" spans="1:5">
      <c r="A2390" t="s">
        <v>6</v>
      </c>
      <c r="B2390" t="s">
        <v>2395</v>
      </c>
      <c r="C2390">
        <f>HYPERLINK("C:\Users\franc\OneDrive\Documentos\MALENTIN KARIME\TRANSACCION\LUIS RIVERA A PEDRO GALLARDO.doc", "Abrir Documento")</f>
        <v>0</v>
      </c>
      <c r="D2390" t="s">
        <v>23500</v>
      </c>
      <c r="E2390" t="s">
        <v>25889</v>
      </c>
    </row>
    <row r="2391" spans="1:5">
      <c r="A2391" t="s">
        <v>6</v>
      </c>
      <c r="B2391" t="s">
        <v>2396</v>
      </c>
      <c r="C2391">
        <f>HYPERLINK("C:\Users\franc\OneDrive\Documentos\MALENTIN KARIME\TRANSACCION\HECTOR CASTILLO A PEDRO GALLARDO.doc", "Abrir Documento")</f>
        <v>0</v>
      </c>
      <c r="D2391" t="s">
        <v>23500</v>
      </c>
      <c r="E2391" t="s">
        <v>25890</v>
      </c>
    </row>
    <row r="2392" spans="1:5">
      <c r="A2392" t="s">
        <v>6</v>
      </c>
      <c r="B2392" t="s">
        <v>2397</v>
      </c>
      <c r="C2392">
        <f>HYPERLINK("C:\Users\franc\OneDrive\Documentos\MALENTIN KARIME\TRANSACCION\DIKLODINA GONZALEZ A juan centellas trasaccion.doc", "Abrir Documento")</f>
        <v>0</v>
      </c>
      <c r="D2392" t="s">
        <v>23500</v>
      </c>
      <c r="E2392" t="s">
        <v>25891</v>
      </c>
    </row>
    <row r="2393" spans="1:5">
      <c r="A2393" t="s">
        <v>6</v>
      </c>
      <c r="B2393" t="s">
        <v>2398</v>
      </c>
      <c r="C2393">
        <f>HYPERLINK("C:\Users\franc\OneDrive\Documentos\MALENTIN KARIME\TRANSACCION\CLAUDIO TELLO Y VERONICA GONZALEZ cuidado personal.doc", "Abrir Documento")</f>
        <v>0</v>
      </c>
      <c r="D2393" t="s">
        <v>23500</v>
      </c>
      <c r="E2393" t="s">
        <v>25892</v>
      </c>
    </row>
    <row r="2394" spans="1:5">
      <c r="A2394" t="s">
        <v>6</v>
      </c>
      <c r="B2394" t="s">
        <v>2399</v>
      </c>
      <c r="C2394">
        <f>HYPERLINK("C:\Users\franc\OneDrive\Documentos\MALENTIN KARIME\TRANSACCION\CLAUDIA BURROWS ORTIZ y Patricio Pinto Villar.doc", "Abrir Documento")</f>
        <v>0</v>
      </c>
      <c r="D2394" t="s">
        <v>23500</v>
      </c>
      <c r="E2394" t="s">
        <v>25893</v>
      </c>
    </row>
    <row r="2395" spans="1:5">
      <c r="A2395" t="s">
        <v>6</v>
      </c>
      <c r="B2395" t="s">
        <v>2400</v>
      </c>
      <c r="C2395">
        <f>HYPERLINK("C:\Users\franc\OneDrive\Documentos\MALENTIN KARIME\TRANSACCION\CEGECAP.doc", "Abrir Documento")</f>
        <v>0</v>
      </c>
      <c r="D2395" t="s">
        <v>23500</v>
      </c>
      <c r="E2395" t="s">
        <v>25894</v>
      </c>
    </row>
    <row r="2396" spans="1:5">
      <c r="A2396" t="s">
        <v>6</v>
      </c>
      <c r="B2396" t="s">
        <v>2401</v>
      </c>
      <c r="C2396">
        <f>HYPERLINK("C:\Users\franc\OneDrive\Documentos\MALENTIN KARIME\TESTAMENTO\INFORME Testamentos\Formulario para Testamentos[2].doc", "Abrir Documento")</f>
        <v>0</v>
      </c>
      <c r="D2396" t="s">
        <v>23500</v>
      </c>
      <c r="E2396" t="s">
        <v>25895</v>
      </c>
    </row>
    <row r="2397" spans="1:5">
      <c r="A2397" t="s">
        <v>6</v>
      </c>
      <c r="B2397" t="s">
        <v>2402</v>
      </c>
      <c r="C2397">
        <f>HYPERLINK("C:\Users\franc\OneDrive\Documentos\MALENTIN KARIME\TESTAMENTO\INFORME Testamentos\Formulario para Testamentos[1].doc", "Abrir Documento")</f>
        <v>0</v>
      </c>
      <c r="D2397" t="s">
        <v>23500</v>
      </c>
      <c r="E2397" t="s">
        <v>25896</v>
      </c>
    </row>
    <row r="2398" spans="1:5">
      <c r="A2398" t="s">
        <v>6</v>
      </c>
      <c r="B2398" t="s">
        <v>2403</v>
      </c>
      <c r="C2398">
        <f>HYPERLINK("C:\Users\franc\OneDrive\Documentos\MALENTIN KARIME\TESTAMENTO\INFORME Testamentos\Formulario para Testamentos con testadores.doc", "Abrir Documento")</f>
        <v>0</v>
      </c>
      <c r="D2398" t="s">
        <v>23500</v>
      </c>
      <c r="E2398" t="s">
        <v>25897</v>
      </c>
    </row>
    <row r="2399" spans="1:5">
      <c r="A2399" t="s">
        <v>6</v>
      </c>
      <c r="B2399" t="s">
        <v>2404</v>
      </c>
      <c r="C2399">
        <f>HYPERLINK("C:\Users\franc\OneDrive\Documentos\MALENTIN KARIME\TESTAMENTO\INFORME Testamentos\Formulario para Testamentos con testadores mayo14.doc", "Abrir Documento")</f>
        <v>0</v>
      </c>
      <c r="D2399" t="s">
        <v>23500</v>
      </c>
      <c r="E2399" t="s">
        <v>25898</v>
      </c>
    </row>
    <row r="2400" spans="1:5">
      <c r="A2400" t="s">
        <v>6</v>
      </c>
      <c r="B2400" t="s">
        <v>2405</v>
      </c>
      <c r="C2400">
        <f>HYPERLINK("C:\Users\franc\OneDrive\Documentos\MALENTIN KARIME\TESTAMENTO\INFORME Testamentos\Formulario para Testamentos con testadores MAYO.doc", "Abrir Documento")</f>
        <v>0</v>
      </c>
      <c r="D2400" t="s">
        <v>23500</v>
      </c>
      <c r="E2400" t="s">
        <v>25899</v>
      </c>
    </row>
    <row r="2401" spans="1:5">
      <c r="A2401" t="s">
        <v>6</v>
      </c>
      <c r="B2401" t="s">
        <v>2406</v>
      </c>
      <c r="C2401">
        <f>HYPERLINK("C:\Users\franc\OneDrive\Documentos\MALENTIN KARIME\TESTAMENTO\INFORME Testamentos\Formulario para Testamentos con testadores MARZO15.doc", "Abrir Documento")</f>
        <v>0</v>
      </c>
      <c r="D2401" t="s">
        <v>23500</v>
      </c>
      <c r="E2401" t="s">
        <v>25900</v>
      </c>
    </row>
    <row r="2402" spans="1:5">
      <c r="A2402" t="s">
        <v>6</v>
      </c>
      <c r="B2402" t="s">
        <v>2407</v>
      </c>
      <c r="C2402">
        <f>HYPERLINK("C:\Users\franc\OneDrive\Documentos\MALENTIN KARIME\TESTAMENTO\INFORME Testamentos\Formulario para Testamentos con testadores JUNIO15.doc", "Abrir Documento")</f>
        <v>0</v>
      </c>
      <c r="D2402" t="s">
        <v>23500</v>
      </c>
      <c r="E2402" t="s">
        <v>25901</v>
      </c>
    </row>
    <row r="2403" spans="1:5">
      <c r="A2403" t="s">
        <v>6</v>
      </c>
      <c r="B2403" t="s">
        <v>2408</v>
      </c>
      <c r="C2403">
        <f>HYPERLINK("C:\Users\franc\OneDrive\Documentos\MALENTIN KARIME\TESTAMENTO\INFORME Testamentos\Formulario para Testamentos con testadores Junio14.doc", "Abrir Documento")</f>
        <v>0</v>
      </c>
      <c r="D2403" t="s">
        <v>23500</v>
      </c>
      <c r="E2403" t="s">
        <v>25902</v>
      </c>
    </row>
    <row r="2404" spans="1:5">
      <c r="A2404" t="s">
        <v>6</v>
      </c>
      <c r="B2404" t="s">
        <v>2409</v>
      </c>
      <c r="C2404">
        <f>HYPERLINK("C:\Users\franc\OneDrive\Documentos\MALENTIN KARIME\TESTAMENTO\INFORME Testamentos\Formulario para Testamentos con testadores JULIO15.doc", "Abrir Documento")</f>
        <v>0</v>
      </c>
      <c r="D2404" t="s">
        <v>23500</v>
      </c>
      <c r="E2404" t="s">
        <v>25903</v>
      </c>
    </row>
    <row r="2405" spans="1:5">
      <c r="A2405" t="s">
        <v>6</v>
      </c>
      <c r="B2405" t="s">
        <v>2410</v>
      </c>
      <c r="C2405">
        <f>HYPERLINK("C:\Users\franc\OneDrive\Documentos\MALENTIN KARIME\TESTAMENTO\INFORME Testamentos\Formulario para Testamentos con testadores FEBRERO.doc", "Abrir Documento")</f>
        <v>0</v>
      </c>
      <c r="D2405" t="s">
        <v>23500</v>
      </c>
      <c r="E2405" t="s">
        <v>25904</v>
      </c>
    </row>
    <row r="2406" spans="1:5">
      <c r="A2406" t="s">
        <v>6</v>
      </c>
      <c r="B2406" t="s">
        <v>2411</v>
      </c>
      <c r="C2406">
        <f>HYPERLINK("C:\Users\franc\OneDrive\Documentos\MALENTIN KARIME\TESTAMENTO\INFORME Testamentos\Formulario para Testamentos con testadores FEBRERO 15.doc", "Abrir Documento")</f>
        <v>0</v>
      </c>
      <c r="D2406" t="s">
        <v>23500</v>
      </c>
      <c r="E2406" t="s">
        <v>25905</v>
      </c>
    </row>
    <row r="2407" spans="1:5">
      <c r="A2407" t="s">
        <v>6</v>
      </c>
      <c r="B2407" t="s">
        <v>2412</v>
      </c>
      <c r="C2407">
        <f>HYPERLINK("C:\Users\franc\OneDrive\Documentos\MALENTIN KARIME\TESTAMENTO\INFORME Testamentos\Formulario para Testamentos con testadores AGOSTO15.doc", "Abrir Documento")</f>
        <v>0</v>
      </c>
      <c r="D2407" t="s">
        <v>23500</v>
      </c>
      <c r="E2407" t="s">
        <v>25906</v>
      </c>
    </row>
    <row r="2408" spans="1:5">
      <c r="A2408" t="s">
        <v>6</v>
      </c>
      <c r="B2408" t="s">
        <v>2413</v>
      </c>
      <c r="C2408">
        <f>HYPERLINK("C:\Users\franc\OneDrive\Documentos\MALENTIN KARIME\TESTAMENTO\2017\testamento.doc", "Abrir Documento")</f>
        <v>0</v>
      </c>
      <c r="D2408" t="s">
        <v>23500</v>
      </c>
      <c r="E2408" t="s">
        <v>25907</v>
      </c>
    </row>
    <row r="2409" spans="1:5">
      <c r="A2409" t="s">
        <v>6</v>
      </c>
      <c r="B2409" t="s">
        <v>2414</v>
      </c>
      <c r="C2409">
        <f>HYPERLINK("C:\Users\franc\OneDrive\Documentos\MALENTIN KARIME\TESTAMENTO\2017\MARY RIVERA CASTRO.doc", "Abrir Documento")</f>
        <v>0</v>
      </c>
      <c r="D2409" t="s">
        <v>23500</v>
      </c>
      <c r="E2409" t="s">
        <v>25908</v>
      </c>
    </row>
    <row r="2410" spans="1:5">
      <c r="A2410" t="s">
        <v>6</v>
      </c>
      <c r="B2410" t="s">
        <v>2415</v>
      </c>
      <c r="C2410">
        <f>HYPERLINK("C:\Users\franc\OneDrive\Documentos\MALENTIN KARIME\TESTAMENTO\2017\MARIA FIGARI Revoca.doc", "Abrir Documento")</f>
        <v>0</v>
      </c>
      <c r="D2410" t="s">
        <v>23500</v>
      </c>
      <c r="E2410" t="s">
        <v>25909</v>
      </c>
    </row>
    <row r="2411" spans="1:5">
      <c r="A2411" t="s">
        <v>6</v>
      </c>
      <c r="B2411" t="s">
        <v>2416</v>
      </c>
      <c r="C2411">
        <f>HYPERLINK("C:\Users\franc\OneDrive\Documentos\MALENTIN KARIME\TESTAMENTO\2017\GENARA CASTRO CONTRERAS.doc", "Abrir Documento")</f>
        <v>0</v>
      </c>
      <c r="D2411" t="s">
        <v>23500</v>
      </c>
      <c r="E2411" t="s">
        <v>25910</v>
      </c>
    </row>
    <row r="2412" spans="1:5">
      <c r="A2412" t="s">
        <v>6</v>
      </c>
      <c r="B2412" t="s">
        <v>2417</v>
      </c>
      <c r="C2412">
        <f>HYPERLINK("C:\Users\franc\OneDrive\Documentos\MALENTIN KARIME\TESTAMENTO\2017\ADAN DEL ROSARIO GUERRERO TOLEDO 2017.doc", "Abrir Documento")</f>
        <v>0</v>
      </c>
      <c r="D2412" t="s">
        <v>23500</v>
      </c>
      <c r="E2412" t="s">
        <v>25911</v>
      </c>
    </row>
    <row r="2413" spans="1:5">
      <c r="A2413" t="s">
        <v>6</v>
      </c>
      <c r="B2413" t="s">
        <v>2418</v>
      </c>
      <c r="C2413">
        <f>HYPERLINK("C:\Users\franc\OneDrive\Documentos\MALENTIN KARIME\TESTAMENTO\TESTAMENTO  armando alvarado.doc", "Abrir Documento")</f>
        <v>0</v>
      </c>
      <c r="D2413" t="s">
        <v>23500</v>
      </c>
      <c r="E2413" t="s">
        <v>25912</v>
      </c>
    </row>
    <row r="2414" spans="1:5">
      <c r="A2414" t="s">
        <v>6</v>
      </c>
      <c r="B2414" t="s">
        <v>2419</v>
      </c>
      <c r="C2414">
        <f>HYPERLINK("C:\Users\franc\OneDrive\Documentos\MALENTIN KARIME\TESTAMENTO\SERGIO CARVAJAL GUERRA.doc", "Abrir Documento")</f>
        <v>0</v>
      </c>
      <c r="D2414" t="s">
        <v>23500</v>
      </c>
      <c r="E2414" t="s">
        <v>25913</v>
      </c>
    </row>
    <row r="2415" spans="1:5">
      <c r="A2415" t="s">
        <v>6</v>
      </c>
      <c r="B2415" t="s">
        <v>2420</v>
      </c>
      <c r="C2415">
        <f>HYPERLINK("C:\Users\franc\OneDrive\Documentos\MALENTIN KARIME\TESTAMENTO\SALVADOR ALUCEMA.doc", "Abrir Documento")</f>
        <v>0</v>
      </c>
      <c r="D2415" t="s">
        <v>23500</v>
      </c>
      <c r="E2415" t="s">
        <v>25914</v>
      </c>
    </row>
    <row r="2416" spans="1:5">
      <c r="A2416" t="s">
        <v>6</v>
      </c>
      <c r="B2416" t="s">
        <v>2421</v>
      </c>
      <c r="C2416">
        <f>HYPERLINK("C:\Users\franc\OneDrive\Documentos\MALENTIN KARIME\TESTAMENTO\ROSARIO ARAYA ARAYA.doc", "Abrir Documento")</f>
        <v>0</v>
      </c>
      <c r="D2416" t="s">
        <v>23500</v>
      </c>
      <c r="E2416" t="s">
        <v>25915</v>
      </c>
    </row>
    <row r="2417" spans="1:5">
      <c r="A2417" t="s">
        <v>6</v>
      </c>
      <c r="B2417" t="s">
        <v>2422</v>
      </c>
      <c r="C2417">
        <f>HYPERLINK("C:\Users\franc\OneDrive\Documentos\MALENTIN KARIME\TESTAMENTO\ROJELIO DELGADO DELGADO.doc", "Abrir Documento")</f>
        <v>0</v>
      </c>
      <c r="D2417" t="s">
        <v>23500</v>
      </c>
      <c r="E2417" t="s">
        <v>25916</v>
      </c>
    </row>
    <row r="2418" spans="1:5">
      <c r="A2418" t="s">
        <v>6</v>
      </c>
      <c r="B2418" t="s">
        <v>2423</v>
      </c>
      <c r="C2418">
        <f>HYPERLINK("C:\Users\franc\OneDrive\Documentos\MALENTIN KARIME\TESTAMENTO\MARTHA OLIVIA CASTILLO ROJAS.doc", "Abrir Documento")</f>
        <v>0</v>
      </c>
      <c r="D2418" t="s">
        <v>23500</v>
      </c>
      <c r="E2418" t="s">
        <v>25917</v>
      </c>
    </row>
    <row r="2419" spans="1:5">
      <c r="A2419" t="s">
        <v>6</v>
      </c>
      <c r="B2419" t="s">
        <v>2424</v>
      </c>
      <c r="C2419">
        <f>HYPERLINK("C:\Users\franc\OneDrive\Documentos\MALENTIN KARIME\TESTAMENTO\MARTHA OLIVIA CASTILLO ROJAS 2016.doc", "Abrir Documento")</f>
        <v>0</v>
      </c>
      <c r="D2419" t="s">
        <v>23500</v>
      </c>
      <c r="E2419" t="s">
        <v>25918</v>
      </c>
    </row>
    <row r="2420" spans="1:5">
      <c r="A2420" t="s">
        <v>6</v>
      </c>
      <c r="B2420" t="s">
        <v>2425</v>
      </c>
      <c r="C2420">
        <f>HYPERLINK("C:\Users\franc\OneDrive\Documentos\MALENTIN KARIME\TESTAMENTO\MARTHA ALICIA CASTILLO ROJAS.doc", "Abrir Documento")</f>
        <v>0</v>
      </c>
      <c r="D2420" t="s">
        <v>23500</v>
      </c>
      <c r="E2420" t="s">
        <v>25919</v>
      </c>
    </row>
    <row r="2421" spans="1:5">
      <c r="A2421" t="s">
        <v>6</v>
      </c>
      <c r="B2421" t="s">
        <v>2426</v>
      </c>
      <c r="C2421">
        <f>HYPERLINK("C:\Users\franc\OneDrive\Documentos\MALENTIN KARIME\TESTAMENTO\MARIA RAMIREZ RAMIREZ Minuta.doc", "Abrir Documento")</f>
        <v>0</v>
      </c>
      <c r="D2421" t="s">
        <v>23500</v>
      </c>
      <c r="E2421" t="s">
        <v>25920</v>
      </c>
    </row>
    <row r="2422" spans="1:5">
      <c r="A2422" t="s">
        <v>6</v>
      </c>
      <c r="B2422" t="s">
        <v>2427</v>
      </c>
      <c r="C2422">
        <f>HYPERLINK("C:\Users\franc\OneDrive\Documentos\MALENTIN KARIME\TESTAMENTO\MARIA ALVARADO CARVAJAL.doc", "Abrir Documento")</f>
        <v>0</v>
      </c>
      <c r="D2422" t="s">
        <v>23500</v>
      </c>
      <c r="E2422" t="s">
        <v>25921</v>
      </c>
    </row>
    <row r="2423" spans="1:5">
      <c r="A2423" t="s">
        <v>6</v>
      </c>
      <c r="B2423" t="s">
        <v>2428</v>
      </c>
      <c r="C2423">
        <f>HYPERLINK("C:\Users\franc\OneDrive\Documentos\MALENTIN KARIME\TESTAMENTO\HECTOR GARCIA Minuta.doc", "Abrir Documento")</f>
        <v>0</v>
      </c>
      <c r="D2423" t="s">
        <v>23500</v>
      </c>
      <c r="E2423" t="s">
        <v>25922</v>
      </c>
    </row>
    <row r="2424" spans="1:5">
      <c r="A2424" t="s">
        <v>6</v>
      </c>
      <c r="B2424" t="s">
        <v>2429</v>
      </c>
      <c r="C2424">
        <f>HYPERLINK("C:\Users\franc\OneDrive\Documentos\MALENTIN KARIME\TESTAMENTO\FREDDY PINTO RAMOS.doc", "Abrir Documento")</f>
        <v>0</v>
      </c>
      <c r="D2424" t="s">
        <v>23500</v>
      </c>
      <c r="E2424" t="s">
        <v>25923</v>
      </c>
    </row>
    <row r="2425" spans="1:5">
      <c r="A2425" t="s">
        <v>6</v>
      </c>
      <c r="B2425" t="s">
        <v>2430</v>
      </c>
      <c r="C2425">
        <f>HYPERLINK("C:\Users\franc\OneDrive\Documentos\MALENTIN KARIME\TESTAMENTO\FELIPE CORTES TESTAMENTO ABIERTO.doc", "Abrir Documento")</f>
        <v>0</v>
      </c>
      <c r="D2425" t="s">
        <v>23500</v>
      </c>
      <c r="E2425" t="s">
        <v>25924</v>
      </c>
    </row>
    <row r="2426" spans="1:5">
      <c r="A2426" t="s">
        <v>6</v>
      </c>
      <c r="B2426" t="s">
        <v>2431</v>
      </c>
      <c r="C2426">
        <f>HYPERLINK("C:\Users\franc\OneDrive\Documentos\MALENTIN KARIME\TESTAMENTO\ELSA BUGUEÑO EGAÑA Ratifica.doc", "Abrir Documento")</f>
        <v>0</v>
      </c>
      <c r="D2426" t="s">
        <v>23500</v>
      </c>
      <c r="E2426" t="s">
        <v>25925</v>
      </c>
    </row>
    <row r="2427" spans="1:5">
      <c r="A2427" t="s">
        <v>6</v>
      </c>
      <c r="B2427" t="s">
        <v>2432</v>
      </c>
      <c r="C2427">
        <f>HYPERLINK("C:\Users\franc\OneDrive\Documentos\MALENTIN KARIME\TESTAMENTO\EDIT CARMONA ALZAMORA.doc", "Abrir Documento")</f>
        <v>0</v>
      </c>
      <c r="D2427" t="s">
        <v>23500</v>
      </c>
      <c r="E2427" t="s">
        <v>25926</v>
      </c>
    </row>
    <row r="2428" spans="1:5">
      <c r="A2428" t="s">
        <v>6</v>
      </c>
      <c r="B2428" t="s">
        <v>2433</v>
      </c>
      <c r="C2428">
        <f>HYPERLINK("C:\Users\franc\OneDrive\Documentos\MALENTIN KARIME\TESTAMENTO\CARMEN VILLALON CASTEX Testamento abierto.doc", "Abrir Documento")</f>
        <v>0</v>
      </c>
      <c r="D2428" t="s">
        <v>23500</v>
      </c>
      <c r="E2428" t="s">
        <v>25927</v>
      </c>
    </row>
    <row r="2429" spans="1:5">
      <c r="A2429" t="s">
        <v>6</v>
      </c>
      <c r="B2429" t="s">
        <v>2434</v>
      </c>
      <c r="C2429">
        <f>HYPERLINK("C:\Users\franc\OneDrive\Documentos\MALENTIN KARIME\TELEFONICA\JUAN VILLARROEL LOPEZ.doc", "Abrir Documento")</f>
        <v>0</v>
      </c>
      <c r="D2429" t="s">
        <v>23500</v>
      </c>
      <c r="E2429" t="s">
        <v>25928</v>
      </c>
    </row>
    <row r="2430" spans="1:5">
      <c r="A2430" t="s">
        <v>6</v>
      </c>
      <c r="B2430" t="s">
        <v>2435</v>
      </c>
      <c r="C2430">
        <f>HYPERLINK("C:\Users\franc\OneDrive\Documentos\MALENTIN KARIME\TELEFONICA\JUAN VILLARROEL LOPEZ nueva.doc", "Abrir Documento")</f>
        <v>0</v>
      </c>
      <c r="D2430" t="s">
        <v>23500</v>
      </c>
      <c r="E2430" t="s">
        <v>25929</v>
      </c>
    </row>
    <row r="2431" spans="1:5">
      <c r="A2431" t="s">
        <v>6</v>
      </c>
      <c r="B2431" t="s">
        <v>2436</v>
      </c>
      <c r="C2431">
        <f>HYPERLINK("C:\Users\franc\OneDrive\Documentos\MALENTIN KARIME\TELEFONICA\CONSTITUCION DE LA SOCIEDAD Scaneado.doc", "Abrir Documento")</f>
        <v>0</v>
      </c>
      <c r="D2431" t="s">
        <v>23500</v>
      </c>
      <c r="E2431" t="s">
        <v>25930</v>
      </c>
    </row>
    <row r="2432" spans="1:5">
      <c r="A2432" t="s">
        <v>6</v>
      </c>
      <c r="B2432" t="s">
        <v>2437</v>
      </c>
      <c r="C2432">
        <f>HYPERLINK("C:\Users\franc\OneDrive\Documentos\MALENTIN KARIME\TELEFONICA\COMUNIDAD AGRICOLA HUANA.doc", "Abrir Documento")</f>
        <v>0</v>
      </c>
      <c r="D2432" t="s">
        <v>23500</v>
      </c>
      <c r="E2432" t="s">
        <v>25931</v>
      </c>
    </row>
    <row r="2433" spans="1:5">
      <c r="A2433" t="s">
        <v>6</v>
      </c>
      <c r="B2433" t="s">
        <v>2438</v>
      </c>
      <c r="C2433">
        <f>HYPERLINK("C:\Users\franc\OneDrive\Documentos\MALENTIN KARIME\TELEFONICA\COMUNIDAD AGRICOLA HUANA abogado.doc", "Abrir Documento")</f>
        <v>0</v>
      </c>
      <c r="D2433" t="s">
        <v>23500</v>
      </c>
      <c r="E2433" t="s">
        <v>25932</v>
      </c>
    </row>
    <row r="2434" spans="1:5">
      <c r="A2434" t="s">
        <v>6</v>
      </c>
      <c r="B2434" t="s">
        <v>2439</v>
      </c>
      <c r="C2434">
        <f>HYPERLINK("C:\Users\franc\OneDrive\Documentos\MALENTIN KARIME\TANIA PEÑAILILLO\D USO SUBDIV\MIRTA ARACENA A CAROLINA   (NUEVA SUB) LOTE 1 - A J Y K.doc", "Abrir Documento")</f>
        <v>0</v>
      </c>
      <c r="D2434" t="s">
        <v>23500</v>
      </c>
      <c r="E2434" t="s">
        <v>25933</v>
      </c>
    </row>
    <row r="2435" spans="1:5">
      <c r="A2435" t="s">
        <v>6</v>
      </c>
      <c r="B2435" t="s">
        <v>2440</v>
      </c>
      <c r="C2435">
        <f>HYPERLINK("C:\Users\franc\OneDrive\Documentos\MALENTIN KARIME\TANIA PEÑAILILLO\TERESA ARAYA A TANYA PEÑA Minuta}.doc", "Abrir Documento")</f>
        <v>0</v>
      </c>
      <c r="D2435" t="s">
        <v>23500</v>
      </c>
      <c r="E2435" t="s">
        <v>25934</v>
      </c>
    </row>
    <row r="2436" spans="1:5">
      <c r="A2436" t="s">
        <v>6</v>
      </c>
      <c r="B2436" t="s">
        <v>2441</v>
      </c>
      <c r="C2436">
        <f>HYPERLINK("C:\Users\franc\OneDrive\Documentos\MALENTIN KARIME\TANIA PEÑAILILLO\Roman Contreras a Nilda Ledezma.doc", "Abrir Documento")</f>
        <v>0</v>
      </c>
      <c r="D2436" t="s">
        <v>23500</v>
      </c>
      <c r="E2436" t="s">
        <v>25935</v>
      </c>
    </row>
    <row r="2437" spans="1:5">
      <c r="A2437" t="s">
        <v>6</v>
      </c>
      <c r="B2437" t="s">
        <v>2442</v>
      </c>
      <c r="C2437">
        <f>HYPERLINK("C:\Users\franc\OneDrive\Documentos\MALENTIN KARIME\SOCIEDADES\2021\Minera San Pablo SpA.doc", "Abrir Documento")</f>
        <v>0</v>
      </c>
      <c r="D2437" t="s">
        <v>23500</v>
      </c>
      <c r="E2437" t="s">
        <v>25936</v>
      </c>
    </row>
    <row r="2438" spans="1:5">
      <c r="A2438" t="s">
        <v>6</v>
      </c>
      <c r="B2438" t="s">
        <v>2443</v>
      </c>
      <c r="C2438">
        <f>HYPERLINK("C:\Users\franc\OneDrive\Documentos\MALENTIN KARIME\SOCIEDADES\2021\MINERA ALTAIR SpA.doc", "Abrir Documento")</f>
        <v>0</v>
      </c>
      <c r="D2438" t="s">
        <v>23500</v>
      </c>
      <c r="E2438" t="s">
        <v>25937</v>
      </c>
    </row>
    <row r="2439" spans="1:5">
      <c r="A2439" t="s">
        <v>6</v>
      </c>
      <c r="B2439" t="s">
        <v>2444</v>
      </c>
      <c r="C2439">
        <f>HYPERLINK("C:\Users\franc\OneDrive\Documentos\MALENTIN KARIME\SOCIEDADES\2021\LOMAS DE BATUCO SpA.doc", "Abrir Documento")</f>
        <v>0</v>
      </c>
      <c r="D2439" t="s">
        <v>23500</v>
      </c>
      <c r="E2439" t="s">
        <v>25938</v>
      </c>
    </row>
    <row r="2440" spans="1:5">
      <c r="A2440" t="s">
        <v>6</v>
      </c>
      <c r="B2440" t="s">
        <v>2445</v>
      </c>
      <c r="C2440">
        <f>HYPERLINK("C:\Users\franc\OneDrive\Documentos\MALENTIN KARIME\SOCIEDADES\2021\LOMAS DE BATUCO SpA extracto.doc", "Abrir Documento")</f>
        <v>0</v>
      </c>
      <c r="D2440" t="s">
        <v>23500</v>
      </c>
      <c r="E2440" t="s">
        <v>25939</v>
      </c>
    </row>
    <row r="2441" spans="1:5">
      <c r="A2441" t="s">
        <v>6</v>
      </c>
      <c r="B2441" t="s">
        <v>2446</v>
      </c>
      <c r="C2441">
        <f>HYPERLINK("C:\Users\franc\OneDrive\Documentos\MALENTIN KARIME\SOCIEDADES\2021\Extracto 2 A'Quiles ltda. listo final.docx", "Abrir Documento")</f>
        <v>0</v>
      </c>
      <c r="D2441" t="s">
        <v>23501</v>
      </c>
      <c r="E2441" t="s">
        <v>25940</v>
      </c>
    </row>
    <row r="2442" spans="1:5">
      <c r="A2442" t="s">
        <v>6</v>
      </c>
      <c r="B2442" t="s">
        <v>2447</v>
      </c>
      <c r="C2442">
        <f>HYPERLINK("C:\Users\franc\OneDrive\Documentos\MALENTIN KARIME\SOCIEDADES\2018\sociedad agricola los alamos.doc", "Abrir Documento")</f>
        <v>0</v>
      </c>
      <c r="D2442" t="s">
        <v>23500</v>
      </c>
      <c r="E2442" t="s">
        <v>25941</v>
      </c>
    </row>
    <row r="2443" spans="1:5">
      <c r="A2443" t="s">
        <v>6</v>
      </c>
      <c r="B2443" t="s">
        <v>2448</v>
      </c>
      <c r="C2443">
        <f>HYPERLINK("C:\Users\franc\OneDrive\Documentos\MALENTIN KARIME\SOCIEDADES\2018\INMOBILIARIA E INVERSIONES AOPA Saneamiento.doc", "Abrir Documento")</f>
        <v>0</v>
      </c>
      <c r="D2443" t="s">
        <v>23500</v>
      </c>
      <c r="E2443" t="s">
        <v>25942</v>
      </c>
    </row>
    <row r="2444" spans="1:5">
      <c r="A2444" t="s">
        <v>6</v>
      </c>
      <c r="B2444" t="s">
        <v>2449</v>
      </c>
      <c r="C2444">
        <f>HYPERLINK("C:\Users\franc\OneDrive\Documentos\MALENTIN KARIME\SOCIEDADES\2018\INMOBILIARIA E INVERSIONES AOPA Saneam Extracto.doc", "Abrir Documento")</f>
        <v>0</v>
      </c>
      <c r="D2444" t="s">
        <v>23500</v>
      </c>
      <c r="E2444" t="s">
        <v>25943</v>
      </c>
    </row>
    <row r="2445" spans="1:5">
      <c r="A2445" t="s">
        <v>6</v>
      </c>
      <c r="B2445" t="s">
        <v>2450</v>
      </c>
      <c r="C2445">
        <f>HYPERLINK("C:\Users\franc\OneDrive\Documentos\MALENTIN KARIME\SOCIEDADES\2018\Extracto Servilux SpA.doc", "Abrir Documento")</f>
        <v>0</v>
      </c>
      <c r="D2445" t="s">
        <v>23500</v>
      </c>
      <c r="E2445" t="s">
        <v>25944</v>
      </c>
    </row>
    <row r="2446" spans="1:5">
      <c r="A2446" t="s">
        <v>6</v>
      </c>
      <c r="B2446" t="s">
        <v>2451</v>
      </c>
      <c r="C2446">
        <f>HYPERLINK("C:\Users\franc\OneDrive\Documentos\MALENTIN KARIME\SOCIEDADES\2018\Extracto Agricola Los Alamos Fusion.doc", "Abrir Documento")</f>
        <v>0</v>
      </c>
      <c r="D2446" t="s">
        <v>23500</v>
      </c>
      <c r="E2446" t="s">
        <v>25945</v>
      </c>
    </row>
    <row r="2447" spans="1:5">
      <c r="A2447" t="s">
        <v>6</v>
      </c>
      <c r="B2447" t="s">
        <v>2452</v>
      </c>
      <c r="C2447">
        <f>HYPERLINK("C:\Users\franc\OneDrive\Documentos\MALENTIN KARIME\SOCIEDADES\2018\Comercializadora y exportadora Diaguitas Nuts Ltda. EXTRACTO.doc", "Abrir Documento")</f>
        <v>0</v>
      </c>
      <c r="D2447" t="s">
        <v>23500</v>
      </c>
      <c r="E2447" t="s">
        <v>25946</v>
      </c>
    </row>
    <row r="2448" spans="1:5">
      <c r="A2448" t="s">
        <v>6</v>
      </c>
      <c r="B2448" t="s">
        <v>2453</v>
      </c>
      <c r="C2448">
        <f>HYPERLINK("C:\Users\franc\OneDrive\Documentos\MALENTIN KARIME\SOCIEDADES\2018\COMERCIALIZADORA Y EXPORT. DIAGUITAS NUTS LTDA..doc", "Abrir Documento")</f>
        <v>0</v>
      </c>
      <c r="D2448" t="s">
        <v>23500</v>
      </c>
      <c r="E2448" t="s">
        <v>25947</v>
      </c>
    </row>
    <row r="2449" spans="1:5">
      <c r="A2449" t="s">
        <v>6</v>
      </c>
      <c r="B2449" t="s">
        <v>2454</v>
      </c>
      <c r="C2449">
        <f>HYPERLINK("C:\Users\franc\OneDrive\Documentos\MALENTIN KARIME\SOCIEDADES\2017\TRANSPORTES LIZARDI ACUÑA LTDA..doc", "Abrir Documento")</f>
        <v>0</v>
      </c>
      <c r="D2449" t="s">
        <v>23500</v>
      </c>
      <c r="E2449" t="s">
        <v>25948</v>
      </c>
    </row>
    <row r="2450" spans="1:5">
      <c r="A2450" t="s">
        <v>6</v>
      </c>
      <c r="B2450" t="s">
        <v>2455</v>
      </c>
      <c r="C2450">
        <f>HYPERLINK("C:\Users\franc\OneDrive\Documentos\MALENTIN KARIME\SOCIEDADES\2017\SOCIEDAD TUQUI LTDA - CARLOS  TELLO.doc", "Abrir Documento")</f>
        <v>0</v>
      </c>
      <c r="D2450" t="s">
        <v>23500</v>
      </c>
      <c r="E2450" t="s">
        <v>25949</v>
      </c>
    </row>
    <row r="2451" spans="1:5">
      <c r="A2451" t="s">
        <v>6</v>
      </c>
      <c r="B2451" t="s">
        <v>2456</v>
      </c>
      <c r="C2451">
        <f>HYPERLINK("C:\Users\franc\OneDrive\Documentos\MALENTIN KARIME\SOCIEDADES\2017\SANEAMIENTO DE MODIFICACION DE SOCIEDAD AROS Y ASOCIADOS LIMITADA (1).doc", "Abrir Documento")</f>
        <v>0</v>
      </c>
      <c r="D2451" t="s">
        <v>23500</v>
      </c>
      <c r="E2451" t="s">
        <v>25950</v>
      </c>
    </row>
    <row r="2452" spans="1:5">
      <c r="A2452" t="s">
        <v>6</v>
      </c>
      <c r="B2452" t="s">
        <v>2457</v>
      </c>
      <c r="C2452">
        <f>HYPERLINK("C:\Users\franc\OneDrive\Documentos\MALENTIN KARIME\SOCIEDADES\2017\EXTRACTO MODIFICACION E.I.R.L. ifman huerta (5).doc", "Abrir Documento")</f>
        <v>0</v>
      </c>
      <c r="D2452" t="s">
        <v>23500</v>
      </c>
      <c r="E2452" t="s">
        <v>25951</v>
      </c>
    </row>
    <row r="2453" spans="1:5">
      <c r="A2453" t="s">
        <v>6</v>
      </c>
      <c r="B2453" t="s">
        <v>2458</v>
      </c>
      <c r="C2453">
        <f>HYPERLINK("C:\Users\franc\OneDrive\Documentos\MALENTIN KARIME\SOCIEDADES\2017\Extracto EXPLORACION Y CONSTRUCCION MINERA ECM.doc", "Abrir Documento")</f>
        <v>0</v>
      </c>
      <c r="D2453" t="s">
        <v>23500</v>
      </c>
      <c r="E2453" t="s">
        <v>25952</v>
      </c>
    </row>
    <row r="2454" spans="1:5">
      <c r="A2454" t="s">
        <v>6</v>
      </c>
      <c r="B2454" t="s">
        <v>2459</v>
      </c>
      <c r="C2454">
        <f>HYPERLINK("C:\Users\franc\OneDrive\Documentos\MALENTIN KARIME\SOCIEDADES\2017\EXPLORACION Y CONSTRUCCION MINERA.DOC", "Abrir Documento")</f>
        <v>0</v>
      </c>
      <c r="D2454" t="s">
        <v>23500</v>
      </c>
      <c r="E2454" t="s">
        <v>25953</v>
      </c>
    </row>
    <row r="2455" spans="1:5">
      <c r="A2455" t="s">
        <v>6</v>
      </c>
      <c r="B2455" t="s">
        <v>2460</v>
      </c>
      <c r="C2455">
        <f>HYPERLINK("C:\Users\franc\OneDrive\Documentos\MALENTIN KARIME\SOCIEDADES\2017\COMERCIAL IFMAN HUERTA E.I.R.L. Cesion y Modificacion.doc", "Abrir Documento")</f>
        <v>0</v>
      </c>
      <c r="D2455" t="s">
        <v>23500</v>
      </c>
      <c r="E2455" t="s">
        <v>25954</v>
      </c>
    </row>
    <row r="2456" spans="1:5">
      <c r="A2456" t="s">
        <v>6</v>
      </c>
      <c r="B2456" t="s">
        <v>2461</v>
      </c>
      <c r="C2456">
        <f>HYPERLINK("C:\Users\franc\OneDrive\Documentos\MALENTIN KARIME\SOCIEDADES\2017\AGRICOLA SANTA CATALINA SpA.doc", "Abrir Documento")</f>
        <v>0</v>
      </c>
      <c r="D2456" t="s">
        <v>23500</v>
      </c>
      <c r="E2456" t="s">
        <v>25955</v>
      </c>
    </row>
    <row r="2457" spans="1:5">
      <c r="A2457" t="s">
        <v>6</v>
      </c>
      <c r="B2457" t="s">
        <v>2462</v>
      </c>
      <c r="C2457">
        <f>HYPERLINK("C:\Users\franc\OneDrive\Documentos\MALENTIN KARIME\SOCIEDADES\2017\AGRICOLA SANTA CATALINA SpA EXTRACTO.doc", "Abrir Documento")</f>
        <v>0</v>
      </c>
      <c r="D2457" t="s">
        <v>23500</v>
      </c>
      <c r="E2457" t="s">
        <v>25956</v>
      </c>
    </row>
    <row r="2458" spans="1:5">
      <c r="A2458" t="s">
        <v>6</v>
      </c>
      <c r="B2458" t="s">
        <v>2463</v>
      </c>
      <c r="C2458">
        <f>HYPERLINK("C:\Users\franc\OneDrive\Documentos\MALENTIN KARIME\SOCIEDADES\2016\TOIGSA SpA.doc", "Abrir Documento")</f>
        <v>0</v>
      </c>
      <c r="D2458" t="s">
        <v>23500</v>
      </c>
      <c r="E2458" t="s">
        <v>25957</v>
      </c>
    </row>
    <row r="2459" spans="1:5">
      <c r="A2459" t="s">
        <v>6</v>
      </c>
      <c r="B2459" t="s">
        <v>2464</v>
      </c>
      <c r="C2459">
        <f>HYPERLINK("C:\Users\franc\OneDrive\Documentos\MALENTIN KARIME\SOCIEDADES\2016\JHONY y MICHAEL Soc..doc", "Abrir Documento")</f>
        <v>0</v>
      </c>
      <c r="D2459" t="s">
        <v>23500</v>
      </c>
      <c r="E2459" t="s">
        <v>25958</v>
      </c>
    </row>
    <row r="2460" spans="1:5">
      <c r="A2460" t="s">
        <v>6</v>
      </c>
      <c r="B2460" t="s">
        <v>2465</v>
      </c>
      <c r="C2460">
        <f>HYPERLINK("C:\Users\franc\OneDrive\Documentos\MALENTIN KARIME\SOCIEDADES\2016\EXTRACTO TOIGSA SpA.doc", "Abrir Documento")</f>
        <v>0</v>
      </c>
      <c r="D2460" t="s">
        <v>23500</v>
      </c>
      <c r="E2460" t="s">
        <v>25959</v>
      </c>
    </row>
    <row r="2461" spans="1:5">
      <c r="A2461" t="s">
        <v>6</v>
      </c>
      <c r="B2461" t="s">
        <v>2466</v>
      </c>
      <c r="C2461">
        <f>HYPERLINK("C:\Users\franc\OneDrive\Documentos\MALENTIN KARIME\SOCIEDADES\2016\Extracto Lizardi.doc", "Abrir Documento")</f>
        <v>0</v>
      </c>
      <c r="D2461" t="s">
        <v>23500</v>
      </c>
      <c r="E2461" t="s">
        <v>25960</v>
      </c>
    </row>
    <row r="2462" spans="1:5">
      <c r="A2462" t="s">
        <v>6</v>
      </c>
      <c r="B2462" t="s">
        <v>2467</v>
      </c>
      <c r="C2462">
        <f>HYPERLINK("C:\Users\franc\OneDrive\Documentos\MALENTIN KARIME\SOCIEDADES\2016\AGRICOLA EL  ARROYO LIMITADA Saneamiento.doc", "Abrir Documento")</f>
        <v>0</v>
      </c>
      <c r="D2462" t="s">
        <v>23500</v>
      </c>
      <c r="E2462" t="s">
        <v>25961</v>
      </c>
    </row>
    <row r="2463" spans="1:5">
      <c r="A2463" t="s">
        <v>6</v>
      </c>
      <c r="B2463" t="s">
        <v>2468</v>
      </c>
      <c r="C2463">
        <f>HYPERLINK("C:\Users\franc\OneDrive\Documentos\MALENTIN KARIME\SOCIEDADES\2015\VIÑEDOS EL DORADO LTDA..doc", "Abrir Documento")</f>
        <v>0</v>
      </c>
      <c r="D2463" t="s">
        <v>23500</v>
      </c>
      <c r="E2463" t="s">
        <v>25962</v>
      </c>
    </row>
    <row r="2464" spans="1:5">
      <c r="A2464" t="s">
        <v>6</v>
      </c>
      <c r="B2464" t="s">
        <v>2469</v>
      </c>
      <c r="C2464">
        <f>HYPERLINK("C:\Users\franc\OneDrive\Documentos\MALENTIN KARIME\SOCIEDADES\2015\VIÑEDOS  EL DORADO LIMITADA Extracto.doc", "Abrir Documento")</f>
        <v>0</v>
      </c>
      <c r="D2464" t="s">
        <v>23500</v>
      </c>
      <c r="E2464" t="s">
        <v>25963</v>
      </c>
    </row>
    <row r="2465" spans="1:5">
      <c r="A2465" t="s">
        <v>6</v>
      </c>
      <c r="B2465" t="s">
        <v>2470</v>
      </c>
      <c r="C2465">
        <f>HYPERLINK("C:\Users\franc\OneDrive\Documentos\MALENTIN KARIME\SOCIEDADES\2015\TRANSPORTE ARENAS Y Arenas.doc", "Abrir Documento")</f>
        <v>0</v>
      </c>
      <c r="D2465" t="s">
        <v>23500</v>
      </c>
      <c r="E2465" t="s">
        <v>25964</v>
      </c>
    </row>
    <row r="2466" spans="1:5">
      <c r="A2466" t="s">
        <v>6</v>
      </c>
      <c r="B2466" t="s">
        <v>2471</v>
      </c>
      <c r="C2466">
        <f>HYPERLINK("C:\Users\franc\OneDrive\Documentos\MALENTIN KARIME\SOCIEDADES\2015\TRANSPORTE ARAYA Y ROJAS LIMITADA Saneamiento.doc", "Abrir Documento")</f>
        <v>0</v>
      </c>
      <c r="D2466" t="s">
        <v>23500</v>
      </c>
      <c r="E2466" t="s">
        <v>25965</v>
      </c>
    </row>
    <row r="2467" spans="1:5">
      <c r="A2467" t="s">
        <v>6</v>
      </c>
      <c r="B2467" t="s">
        <v>2472</v>
      </c>
      <c r="C2467">
        <f>HYPERLINK("C:\Users\franc\OneDrive\Documentos\MALENTIN KARIME\SOCIEDADES\2015\SpA ANTU WENTU.doc", "Abrir Documento")</f>
        <v>0</v>
      </c>
      <c r="D2467" t="s">
        <v>23500</v>
      </c>
      <c r="E2467" t="s">
        <v>25966</v>
      </c>
    </row>
    <row r="2468" spans="1:5">
      <c r="A2468" t="s">
        <v>6</v>
      </c>
      <c r="B2468" t="s">
        <v>2473</v>
      </c>
      <c r="C2468">
        <f>HYPERLINK("C:\Users\franc\OneDrive\Documentos\MALENTIN KARIME\SOCIEDADES\2015\ROBERTO.doc", "Abrir Documento")</f>
        <v>0</v>
      </c>
      <c r="D2468" t="s">
        <v>23500</v>
      </c>
      <c r="E2468" t="s">
        <v>25967</v>
      </c>
    </row>
    <row r="2469" spans="1:5">
      <c r="A2469" t="s">
        <v>6</v>
      </c>
      <c r="B2469" t="s">
        <v>2474</v>
      </c>
      <c r="C2469">
        <f>HYPERLINK("C:\Users\franc\OneDrive\Documentos\MALENTIN KARIME\SOCIEDADES\2015\JAIME PROHENS SOMMELLA Y CIA. Modificacion Colectiva.doc", "Abrir Documento")</f>
        <v>0</v>
      </c>
      <c r="D2469" t="s">
        <v>23500</v>
      </c>
      <c r="E2469" t="s">
        <v>25968</v>
      </c>
    </row>
    <row r="2470" spans="1:5">
      <c r="A2470" t="s">
        <v>6</v>
      </c>
      <c r="B2470" t="s">
        <v>2475</v>
      </c>
      <c r="C2470">
        <f>HYPERLINK("C:\Users\franc\OneDrive\Documentos\MALENTIN KARIME\SOCIEDADES\2015\INVERS. ACEITUNO Y ALEGRE (FINAL).doc", "Abrir Documento")</f>
        <v>0</v>
      </c>
      <c r="D2470" t="s">
        <v>23500</v>
      </c>
      <c r="E2470" t="s">
        <v>25969</v>
      </c>
    </row>
    <row r="2471" spans="1:5">
      <c r="A2471" t="s">
        <v>6</v>
      </c>
      <c r="B2471" t="s">
        <v>2476</v>
      </c>
      <c r="C2471">
        <f>HYPERLINK("C:\Users\franc\OneDrive\Documentos\MALENTIN KARIME\SOCIEDADES\2015\ING &amp; MAI INVERSIONES victor grandon.doc", "Abrir Documento")</f>
        <v>0</v>
      </c>
      <c r="D2471" t="s">
        <v>23500</v>
      </c>
      <c r="E2471" t="s">
        <v>25970</v>
      </c>
    </row>
    <row r="2472" spans="1:5">
      <c r="A2472" t="s">
        <v>6</v>
      </c>
      <c r="B2472" t="s">
        <v>2477</v>
      </c>
      <c r="C2472">
        <f>HYPERLINK("C:\Users\franc\OneDrive\Documentos\MALENTIN KARIME\SOCIEDADES\2015\IG &amp; MAI LTDA..doc", "Abrir Documento")</f>
        <v>0</v>
      </c>
      <c r="D2472" t="s">
        <v>23500</v>
      </c>
      <c r="E2472" t="s">
        <v>25971</v>
      </c>
    </row>
    <row r="2473" spans="1:5">
      <c r="A2473" t="s">
        <v>6</v>
      </c>
      <c r="B2473" t="s">
        <v>2478</v>
      </c>
      <c r="C2473">
        <f>HYPERLINK("C:\Users\franc\OneDrive\Documentos\MALENTIN KARIME\SOCIEDADES\2015\EXTRACTO SANEAMIENTO ARAYRO.doc", "Abrir Documento")</f>
        <v>0</v>
      </c>
      <c r="D2473" t="s">
        <v>23500</v>
      </c>
      <c r="E2473" t="s">
        <v>25972</v>
      </c>
    </row>
    <row r="2474" spans="1:5">
      <c r="A2474" t="s">
        <v>6</v>
      </c>
      <c r="B2474" t="s">
        <v>2479</v>
      </c>
      <c r="C2474">
        <f>HYPERLINK("C:\Users\franc\OneDrive\Documentos\MALENTIN KARIME\SOCIEDADES\2015\Extracto DRA. EDITH VALENZUELA.docx", "Abrir Documento")</f>
        <v>0</v>
      </c>
      <c r="D2474" t="s">
        <v>23501</v>
      </c>
      <c r="E2474" t="s">
        <v>25973</v>
      </c>
    </row>
    <row r="2475" spans="1:5">
      <c r="A2475" t="s">
        <v>6</v>
      </c>
      <c r="B2475" t="s">
        <v>2480</v>
      </c>
      <c r="C2475">
        <f>HYPERLINK("C:\Users\franc\OneDrive\Documentos\MALENTIN KARIME\SOCIEDADES\2015\Extracto ARENAS ARENAS.doc", "Abrir Documento")</f>
        <v>0</v>
      </c>
      <c r="D2475" t="s">
        <v>23500</v>
      </c>
      <c r="E2475" t="s">
        <v>25974</v>
      </c>
    </row>
    <row r="2476" spans="1:5">
      <c r="A2476" t="s">
        <v>6</v>
      </c>
      <c r="B2476" t="s">
        <v>2481</v>
      </c>
      <c r="C2476">
        <f>HYPERLINK("C:\Users\franc\OneDrive\Documentos\MALENTIN KARIME\SOCIEDADES\2015\EXTRACTO ACEITUNO Y ALEGRE LTDA..doc", "Abrir Documento")</f>
        <v>0</v>
      </c>
      <c r="D2476" t="s">
        <v>23500</v>
      </c>
      <c r="E2476" t="s">
        <v>25975</v>
      </c>
    </row>
    <row r="2477" spans="1:5">
      <c r="A2477" t="s">
        <v>6</v>
      </c>
      <c r="B2477" t="s">
        <v>2482</v>
      </c>
      <c r="C2477">
        <f>HYPERLINK("C:\Users\franc\OneDrive\Documentos\MALENTIN KARIME\SOCIEDADES\2015\CONSTRUCTORA DON ALONSO Extracto.doc", "Abrir Documento")</f>
        <v>0</v>
      </c>
      <c r="D2477" t="s">
        <v>23500</v>
      </c>
      <c r="E2477" t="s">
        <v>25976</v>
      </c>
    </row>
    <row r="2478" spans="1:5">
      <c r="A2478" t="s">
        <v>6</v>
      </c>
      <c r="B2478" t="s">
        <v>2483</v>
      </c>
      <c r="C2478">
        <f>HYPERLINK("C:\Users\franc\OneDrive\Documentos\MALENTIN KARIME\SOCIEDADES\2015\CONSTRUCTORA DON ALONSO Extracto correjido.doc", "Abrir Documento")</f>
        <v>0</v>
      </c>
      <c r="D2478" t="s">
        <v>23500</v>
      </c>
      <c r="E2478" t="s">
        <v>25977</v>
      </c>
    </row>
    <row r="2479" spans="1:5">
      <c r="A2479" t="s">
        <v>6</v>
      </c>
      <c r="B2479" t="s">
        <v>2484</v>
      </c>
      <c r="C2479">
        <f>HYPERLINK("C:\Users\franc\OneDrive\Documentos\MALENTIN KARIME\SOCIEDADES\2015\CONSTRUCTORA DON ALONSO compl.doc", "Abrir Documento")</f>
        <v>0</v>
      </c>
      <c r="D2479" t="s">
        <v>23500</v>
      </c>
      <c r="E2479" t="s">
        <v>25978</v>
      </c>
    </row>
    <row r="2480" spans="1:5">
      <c r="A2480" t="s">
        <v>6</v>
      </c>
      <c r="B2480" t="s">
        <v>2485</v>
      </c>
      <c r="C2480">
        <f>HYPERLINK("C:\Users\franc\OneDrive\Documentos\MALENTIN KARIME\SOCIEDADES\2015\ANTU WENTU SpA.doc", "Abrir Documento")</f>
        <v>0</v>
      </c>
      <c r="D2480" t="s">
        <v>23500</v>
      </c>
      <c r="E2480" t="s">
        <v>25979</v>
      </c>
    </row>
    <row r="2481" spans="1:5">
      <c r="A2481" t="s">
        <v>6</v>
      </c>
      <c r="B2481" t="s">
        <v>2486</v>
      </c>
      <c r="C2481">
        <f>HYPERLINK("C:\Users\franc\OneDrive\Documentos\MALENTIN KARIME\SOCIEDADES\2015\ALTERNATIVE H&amp;I LTDA..doc", "Abrir Documento")</f>
        <v>0</v>
      </c>
      <c r="D2481" t="s">
        <v>23500</v>
      </c>
      <c r="E2481" t="s">
        <v>25980</v>
      </c>
    </row>
    <row r="2482" spans="1:5">
      <c r="A2482" t="s">
        <v>6</v>
      </c>
      <c r="B2482" t="s">
        <v>2487</v>
      </c>
      <c r="C2482">
        <f>HYPERLINK("C:\Users\franc\OneDrive\Documentos\MALENTIN KARIME\SOCIEDADES\2014\TRANSPORTES DM Dabed colec civil.doc", "Abrir Documento")</f>
        <v>0</v>
      </c>
      <c r="D2482" t="s">
        <v>23500</v>
      </c>
      <c r="E2482" t="s">
        <v>25981</v>
      </c>
    </row>
    <row r="2483" spans="1:5">
      <c r="A2483" t="s">
        <v>6</v>
      </c>
      <c r="B2483" t="s">
        <v>2488</v>
      </c>
      <c r="C2483">
        <f>HYPERLINK("C:\Users\franc\OneDrive\Documentos\MALENTIN KARIME\SOCIEDADES\2014\TRANSFORMACION Constructora Mundaca a EIRL.doc", "Abrir Documento")</f>
        <v>0</v>
      </c>
      <c r="D2483" t="s">
        <v>23500</v>
      </c>
      <c r="E2483" t="s">
        <v>25982</v>
      </c>
    </row>
    <row r="2484" spans="1:5">
      <c r="A2484" t="s">
        <v>6</v>
      </c>
      <c r="B2484" t="s">
        <v>2489</v>
      </c>
      <c r="C2484">
        <f>HYPERLINK("C:\Users\franc\OneDrive\Documentos\MALENTIN KARIME\SOCIEDADES\2014\TRANSFORMACION Constructora Mundaca a EIRL NUEVA.doc", "Abrir Documento")</f>
        <v>0</v>
      </c>
      <c r="D2484" t="s">
        <v>23500</v>
      </c>
      <c r="E2484" t="s">
        <v>25983</v>
      </c>
    </row>
    <row r="2485" spans="1:5">
      <c r="A2485" t="s">
        <v>6</v>
      </c>
      <c r="B2485" t="s">
        <v>2490</v>
      </c>
      <c r="C2485">
        <f>HYPERLINK("C:\Users\franc\OneDrive\Documentos\MALENTIN KARIME\SOCIEDADES\2014\SPA RAUL NAVARRO.doc", "Abrir Documento")</f>
        <v>0</v>
      </c>
      <c r="D2485" t="s">
        <v>23500</v>
      </c>
      <c r="E2485" t="s">
        <v>25984</v>
      </c>
    </row>
    <row r="2486" spans="1:5">
      <c r="A2486" t="s">
        <v>6</v>
      </c>
      <c r="B2486" t="s">
        <v>2491</v>
      </c>
      <c r="C2486">
        <f>HYPERLINK("C:\Users\franc\OneDrive\Documentos\MALENTIN KARIME\SOCIEDADES\2014\SOCIEDAD AGRICOLA EL MIRADOR ORIENTE.doc", "Abrir Documento")</f>
        <v>0</v>
      </c>
      <c r="D2486" t="s">
        <v>23500</v>
      </c>
      <c r="E2486" t="s">
        <v>25985</v>
      </c>
    </row>
    <row r="2487" spans="1:5">
      <c r="A2487" t="s">
        <v>6</v>
      </c>
      <c r="B2487" t="s">
        <v>2492</v>
      </c>
      <c r="C2487">
        <f>HYPERLINK("C:\Users\franc\OneDrive\Documentos\MALENTIN KARIME\SOCIEDADES\2014\S.P.A. Constructora Mundaca (1).doc", "Abrir Documento")</f>
        <v>0</v>
      </c>
      <c r="D2487" t="s">
        <v>23500</v>
      </c>
      <c r="E2487" t="s">
        <v>25986</v>
      </c>
    </row>
    <row r="2488" spans="1:5">
      <c r="A2488" t="s">
        <v>6</v>
      </c>
      <c r="B2488" t="s">
        <v>2493</v>
      </c>
      <c r="C2488">
        <f>HYPERLINK("C:\Users\franc\OneDrive\Documentos\MALENTIN KARIME\SOCIEDADES\2014\EXTRACTO Transfomacion Mundaca Ltda..doc", "Abrir Documento")</f>
        <v>0</v>
      </c>
      <c r="D2488" t="s">
        <v>23500</v>
      </c>
      <c r="E2488" t="s">
        <v>25987</v>
      </c>
    </row>
    <row r="2489" spans="1:5">
      <c r="A2489" t="s">
        <v>6</v>
      </c>
      <c r="B2489" t="s">
        <v>2494</v>
      </c>
      <c r="C2489">
        <f>HYPERLINK("C:\Users\franc\OneDrive\Documentos\MALENTIN KARIME\SOCIEDADES\2014\EXTRACTO Transfomacion Mundaca Ltda. NUEVO.doc", "Abrir Documento")</f>
        <v>0</v>
      </c>
      <c r="D2489" t="s">
        <v>23500</v>
      </c>
      <c r="E2489" t="s">
        <v>25988</v>
      </c>
    </row>
    <row r="2490" spans="1:5">
      <c r="A2490" t="s">
        <v>6</v>
      </c>
      <c r="B2490" t="s">
        <v>2495</v>
      </c>
      <c r="C2490">
        <f>HYPERLINK("C:\Users\franc\OneDrive\Documentos\MALENTIN KARIME\SOCIEDADES\2014\EXTRACTO Spa Constructora Mundaca.doc", "Abrir Documento")</f>
        <v>0</v>
      </c>
      <c r="D2490" t="s">
        <v>23500</v>
      </c>
      <c r="E2490" t="s">
        <v>25989</v>
      </c>
    </row>
    <row r="2491" spans="1:5">
      <c r="A2491" t="s">
        <v>6</v>
      </c>
      <c r="B2491" t="s">
        <v>2496</v>
      </c>
      <c r="C2491">
        <f>HYPERLINK("C:\Users\franc\OneDrive\Documentos\MALENTIN KARIME\SOCIEDADES\2014\EXTRACTO SOC. AGROIND. Y TRANSP. VALLE DE TULAHUEN LTDA.doc", "Abrir Documento")</f>
        <v>0</v>
      </c>
      <c r="D2491" t="s">
        <v>23500</v>
      </c>
      <c r="E2491" t="s">
        <v>25990</v>
      </c>
    </row>
    <row r="2492" spans="1:5">
      <c r="A2492" t="s">
        <v>6</v>
      </c>
      <c r="B2492" t="s">
        <v>2497</v>
      </c>
      <c r="C2492">
        <f>HYPERLINK("C:\Users\franc\OneDrive\Documentos\MALENTIN KARIME\SOCIEDADES\2014\Extracto Riego Norte.doc", "Abrir Documento")</f>
        <v>0</v>
      </c>
      <c r="D2492" t="s">
        <v>23500</v>
      </c>
      <c r="E2492" t="s">
        <v>25991</v>
      </c>
    </row>
    <row r="2493" spans="1:5">
      <c r="A2493" t="s">
        <v>6</v>
      </c>
      <c r="B2493" t="s">
        <v>2498</v>
      </c>
      <c r="C2493">
        <f>HYPERLINK("C:\Users\franc\OneDrive\Documentos\MALENTIN KARIME\SOCIEDADES\2014\Extracto Constitucion Colectiva Comercial Transportes Dabed.doc", "Abrir Documento")</f>
        <v>0</v>
      </c>
      <c r="D2493" t="s">
        <v>23500</v>
      </c>
      <c r="E2493" t="s">
        <v>25992</v>
      </c>
    </row>
    <row r="2494" spans="1:5">
      <c r="A2494" t="s">
        <v>6</v>
      </c>
      <c r="B2494" t="s">
        <v>2499</v>
      </c>
      <c r="C2494">
        <f>HYPERLINK("C:\Users\franc\OneDrive\Documentos\MALENTIN KARIME\SOCIEDADES\2014\EDISON ARGANDOÑA Extracto.doc", "Abrir Documento")</f>
        <v>0</v>
      </c>
      <c r="D2494" t="s">
        <v>23500</v>
      </c>
      <c r="E2494" t="s">
        <v>25993</v>
      </c>
    </row>
    <row r="2495" spans="1:5">
      <c r="A2495" t="s">
        <v>6</v>
      </c>
      <c r="B2495" t="s">
        <v>2500</v>
      </c>
      <c r="C2495">
        <f>HYPERLINK("C:\Users\franc\OneDrive\Documentos\MALENTIN KARIME\SOCIEDADES\2014\CERRO CAMPANARIO Mod Capital.doc", "Abrir Documento")</f>
        <v>0</v>
      </c>
      <c r="D2495" t="s">
        <v>23500</v>
      </c>
      <c r="E2495" t="s">
        <v>25994</v>
      </c>
    </row>
    <row r="2496" spans="1:5">
      <c r="A2496" t="s">
        <v>6</v>
      </c>
      <c r="B2496" t="s">
        <v>2501</v>
      </c>
      <c r="C2496">
        <f>HYPERLINK("C:\Users\franc\OneDrive\Documentos\MALENTIN KARIME\SOCIEDADES\WILSON IRRIBARRA Y OTRO (Instrumento Privado).doc", "Abrir Documento")</f>
        <v>0</v>
      </c>
      <c r="D2496" t="s">
        <v>23500</v>
      </c>
      <c r="E2496" t="s">
        <v>25995</v>
      </c>
    </row>
    <row r="2497" spans="1:5">
      <c r="A2497" t="s">
        <v>6</v>
      </c>
      <c r="B2497" t="s">
        <v>2502</v>
      </c>
      <c r="C2497">
        <f>HYPERLINK("C:\Users\franc\OneDrive\Documentos\MALENTIN KARIME\SOCIEDADES\UMBRALES LTDA..doc", "Abrir Documento")</f>
        <v>0</v>
      </c>
      <c r="D2497" t="s">
        <v>23500</v>
      </c>
      <c r="E2497" t="s">
        <v>25996</v>
      </c>
    </row>
    <row r="2498" spans="1:5">
      <c r="A2498" t="s">
        <v>6</v>
      </c>
      <c r="B2498" t="s">
        <v>2503</v>
      </c>
      <c r="C2498">
        <f>HYPERLINK("C:\Users\franc\OneDrive\Documentos\MALENTIN KARIME\SOCIEDADES\TRAUMADENT Saneamiento.doc", "Abrir Documento")</f>
        <v>0</v>
      </c>
      <c r="D2498" t="s">
        <v>23500</v>
      </c>
      <c r="E2498" t="s">
        <v>25997</v>
      </c>
    </row>
    <row r="2499" spans="1:5">
      <c r="A2499" t="s">
        <v>6</v>
      </c>
      <c r="B2499" t="s">
        <v>2504</v>
      </c>
      <c r="C2499">
        <f>HYPERLINK("C:\Users\franc\OneDrive\Documentos\MALENTIN KARIME\SOCIEDADES\TRANSPORTES ARAYA Y ROJAS C.Ardiles.doc", "Abrir Documento")</f>
        <v>0</v>
      </c>
      <c r="D2499" t="s">
        <v>23500</v>
      </c>
      <c r="E2499" t="s">
        <v>25998</v>
      </c>
    </row>
    <row r="2500" spans="1:5">
      <c r="A2500" t="s">
        <v>6</v>
      </c>
      <c r="B2500" t="s">
        <v>2505</v>
      </c>
      <c r="C2500">
        <f>HYPERLINK("C:\Users\franc\OneDrive\Documentos\MALENTIN KARIME\SOCIEDADES\TRANSPORTES AROS LTDA..doc", "Abrir Documento")</f>
        <v>0</v>
      </c>
      <c r="D2500" t="s">
        <v>23500</v>
      </c>
      <c r="E2500" t="s">
        <v>25998</v>
      </c>
    </row>
    <row r="2501" spans="1:5">
      <c r="A2501" t="s">
        <v>6</v>
      </c>
      <c r="B2501" t="s">
        <v>2506</v>
      </c>
      <c r="C2501">
        <f>HYPERLINK("C:\Users\franc\OneDrive\Documentos\MALENTIN KARIME\SOCIEDADES\SPA Agricola Rojas.doc", "Abrir Documento")</f>
        <v>0</v>
      </c>
      <c r="D2501" t="s">
        <v>23500</v>
      </c>
      <c r="E2501" t="s">
        <v>25999</v>
      </c>
    </row>
    <row r="2502" spans="1:5">
      <c r="A2502" t="s">
        <v>6</v>
      </c>
      <c r="B2502" t="s">
        <v>2507</v>
      </c>
      <c r="C2502">
        <f>HYPERLINK("C:\Users\franc\OneDrive\Documentos\MALENTIN KARIME\SOCIEDADES\SOCIEDAD EDUC MATICES  Extracto.doc", "Abrir Documento")</f>
        <v>0</v>
      </c>
      <c r="D2502" t="s">
        <v>23500</v>
      </c>
      <c r="E2502" t="s">
        <v>26000</v>
      </c>
    </row>
    <row r="2503" spans="1:5">
      <c r="A2503" t="s">
        <v>6</v>
      </c>
      <c r="B2503" t="s">
        <v>2508</v>
      </c>
      <c r="C2503">
        <f>HYPERLINK("C:\Users\franc\OneDrive\Documentos\MALENTIN KARIME\SOCIEDADES\SOCIEDAD EDUC MATICES  Extracto DE ADOLFO LAY.doc", "Abrir Documento")</f>
        <v>0</v>
      </c>
      <c r="D2503" t="s">
        <v>23500</v>
      </c>
      <c r="E2503" t="s">
        <v>26001</v>
      </c>
    </row>
    <row r="2504" spans="1:5">
      <c r="A2504" t="s">
        <v>6</v>
      </c>
      <c r="B2504" t="s">
        <v>2509</v>
      </c>
      <c r="C2504">
        <f>HYPERLINK("C:\Users\franc\OneDrive\Documentos\MALENTIN KARIME\SOCIEDADES\SOCIEDAD AWA Y CIA..doc", "Abrir Documento")</f>
        <v>0</v>
      </c>
      <c r="D2504" t="s">
        <v>23500</v>
      </c>
      <c r="E2504" t="s">
        <v>26002</v>
      </c>
    </row>
    <row r="2505" spans="1:5">
      <c r="A2505" t="s">
        <v>6</v>
      </c>
      <c r="B2505" t="s">
        <v>2510</v>
      </c>
      <c r="C2505">
        <f>HYPERLINK("C:\Users\franc\OneDrive\Documentos\MALENTIN KARIME\SOCIEDADES\SOCIEDAD AWA Y CIA. Extracto.doc", "Abrir Documento")</f>
        <v>0</v>
      </c>
      <c r="D2505" t="s">
        <v>23500</v>
      </c>
      <c r="E2505" t="s">
        <v>26003</v>
      </c>
    </row>
    <row r="2506" spans="1:5">
      <c r="A2506" t="s">
        <v>6</v>
      </c>
      <c r="B2506" t="s">
        <v>2511</v>
      </c>
      <c r="C2506">
        <f>HYPERLINK("C:\Users\franc\OneDrive\Documentos\MALENTIN KARIME\SOCIEDADES\SOCIEDAD AGRICOLA OLE LTDA..doc", "Abrir Documento")</f>
        <v>0</v>
      </c>
      <c r="D2506" t="s">
        <v>23500</v>
      </c>
      <c r="E2506" t="s">
        <v>26004</v>
      </c>
    </row>
    <row r="2507" spans="1:5">
      <c r="A2507" t="s">
        <v>6</v>
      </c>
      <c r="B2507" t="s">
        <v>2512</v>
      </c>
      <c r="C2507">
        <f>HYPERLINK("C:\Users\franc\OneDrive\Documentos\MALENTIN KARIME\SOCIEDADES\SOC EDUCACIONAL MATICES LTDA, Modific Adolfo Lay.doc", "Abrir Documento")</f>
        <v>0</v>
      </c>
      <c r="D2507" t="s">
        <v>23500</v>
      </c>
      <c r="E2507" t="s">
        <v>26005</v>
      </c>
    </row>
    <row r="2508" spans="1:5">
      <c r="A2508" t="s">
        <v>6</v>
      </c>
      <c r="B2508" t="s">
        <v>2513</v>
      </c>
      <c r="C2508">
        <f>HYPERLINK("C:\Users\franc\OneDrive\Documentos\MALENTIN KARIME\SOCIEDADES\SOC DE TRANSPORTES E INV JUAN PARRA LTDA.Extracto.doc", "Abrir Documento")</f>
        <v>0</v>
      </c>
      <c r="D2508" t="s">
        <v>23500</v>
      </c>
      <c r="E2508" t="s">
        <v>26006</v>
      </c>
    </row>
    <row r="2509" spans="1:5">
      <c r="A2509" t="s">
        <v>6</v>
      </c>
      <c r="B2509" t="s">
        <v>2514</v>
      </c>
      <c r="C2509">
        <f>HYPERLINK("C:\Users\franc\OneDrive\Documentos\MALENTIN KARIME\SOCIEDADES\SICOVAL LTDA Hernán Perez.doc", "Abrir Documento")</f>
        <v>0</v>
      </c>
      <c r="D2509" t="s">
        <v>23500</v>
      </c>
      <c r="E2509" t="s">
        <v>26007</v>
      </c>
    </row>
    <row r="2510" spans="1:5">
      <c r="A2510" t="s">
        <v>6</v>
      </c>
      <c r="B2510" t="s">
        <v>2515</v>
      </c>
      <c r="C2510">
        <f>HYPERLINK("C:\Users\franc\OneDrive\Documentos\MALENTIN KARIME\SOCIEDADES\Saneamiento.doc", "Abrir Documento")</f>
        <v>0</v>
      </c>
      <c r="D2510" t="s">
        <v>23500</v>
      </c>
      <c r="E2510" t="s">
        <v>26008</v>
      </c>
    </row>
    <row r="2511" spans="1:5">
      <c r="A2511" t="s">
        <v>6</v>
      </c>
      <c r="B2511" t="s">
        <v>2516</v>
      </c>
      <c r="C2511">
        <f>HYPERLINK("C:\Users\franc\OneDrive\Documentos\MALENTIN KARIME\SOCIEDADES\SALUD INTEGRAL Extracto.doc", "Abrir Documento")</f>
        <v>0</v>
      </c>
      <c r="D2511" t="s">
        <v>23500</v>
      </c>
      <c r="E2511" t="s">
        <v>26009</v>
      </c>
    </row>
    <row r="2512" spans="1:5">
      <c r="A2512" t="s">
        <v>6</v>
      </c>
      <c r="B2512" t="s">
        <v>2517</v>
      </c>
      <c r="C2512">
        <f>HYPERLINK("C:\Users\franc\OneDrive\Documentos\MALENTIN KARIME\SOCIEDADES\SALUD INTEGRALLIMITADA.doc", "Abrir Documento")</f>
        <v>0</v>
      </c>
      <c r="D2512" t="s">
        <v>23500</v>
      </c>
      <c r="E2512" t="s">
        <v>26009</v>
      </c>
    </row>
    <row r="2513" spans="1:5">
      <c r="A2513" t="s">
        <v>6</v>
      </c>
      <c r="B2513" t="s">
        <v>2518</v>
      </c>
      <c r="C2513">
        <f>HYPERLINK("C:\Users\franc\OneDrive\Documentos\MALENTIN KARIME\SOCIEDADES\RIO GRANDE  Extracto.doc", "Abrir Documento")</f>
        <v>0</v>
      </c>
      <c r="D2513" t="s">
        <v>23500</v>
      </c>
      <c r="E2513" t="s">
        <v>26010</v>
      </c>
    </row>
    <row r="2514" spans="1:5">
      <c r="A2514" t="s">
        <v>6</v>
      </c>
      <c r="B2514" t="s">
        <v>2519</v>
      </c>
      <c r="C2514">
        <f>HYPERLINK("C:\Users\franc\OneDrive\Documentos\MALENTIN KARIME\SOCIEDADES\RICARDO PIZARRO Y OTROS (Instrumento Privado).doc", "Abrir Documento")</f>
        <v>0</v>
      </c>
      <c r="D2514" t="s">
        <v>23500</v>
      </c>
      <c r="E2514" t="s">
        <v>26011</v>
      </c>
    </row>
    <row r="2515" spans="1:5">
      <c r="A2515" t="s">
        <v>6</v>
      </c>
      <c r="B2515" t="s">
        <v>2520</v>
      </c>
      <c r="C2515">
        <f>HYPERLINK("C:\Users\franc\OneDrive\Documentos\MALENTIN KARIME\SOCIEDADES\PARRA CARVAJAL LTDA Saneamiento.doc", "Abrir Documento")</f>
        <v>0</v>
      </c>
      <c r="D2515" t="s">
        <v>23500</v>
      </c>
      <c r="E2515" t="s">
        <v>26012</v>
      </c>
    </row>
    <row r="2516" spans="1:5">
      <c r="A2516" t="s">
        <v>6</v>
      </c>
      <c r="B2516" t="s">
        <v>2521</v>
      </c>
      <c r="C2516">
        <f>HYPERLINK("C:\Users\franc\OneDrive\Documentos\MALENTIN KARIME\SOCIEDADES\PAMELA COFRE E ISAURO AGUILERA.doc", "Abrir Documento")</f>
        <v>0</v>
      </c>
      <c r="D2516" t="s">
        <v>23500</v>
      </c>
      <c r="E2516" t="s">
        <v>26013</v>
      </c>
    </row>
    <row r="2517" spans="1:5">
      <c r="A2517" t="s">
        <v>6</v>
      </c>
      <c r="B2517" t="s">
        <v>2522</v>
      </c>
      <c r="C2517">
        <f>HYPERLINK("C:\Users\franc\OneDrive\Documentos\MALENTIN KARIME\SOCIEDADES\OSCAR JOFRE Saneamiento.doc", "Abrir Documento")</f>
        <v>0</v>
      </c>
      <c r="D2517" t="s">
        <v>23500</v>
      </c>
      <c r="E2517" t="s">
        <v>26014</v>
      </c>
    </row>
    <row r="2518" spans="1:5">
      <c r="A2518" t="s">
        <v>6</v>
      </c>
      <c r="B2518" t="s">
        <v>2523</v>
      </c>
      <c r="C2518">
        <f>HYPERLINK("C:\Users\franc\OneDrive\Documentos\MALENTIN KARIME\SOCIEDADES\NANCY JULIO.doc", "Abrir Documento")</f>
        <v>0</v>
      </c>
      <c r="D2518" t="s">
        <v>23500</v>
      </c>
      <c r="E2518" t="s">
        <v>26015</v>
      </c>
    </row>
    <row r="2519" spans="1:5">
      <c r="A2519" t="s">
        <v>6</v>
      </c>
      <c r="B2519" t="s">
        <v>2524</v>
      </c>
      <c r="C2519">
        <f>HYPERLINK("C:\Users\franc\OneDrive\Documentos\MALENTIN KARIME\SOCIEDADES\OSCAR JOFRE Extracto.doc", "Abrir Documento")</f>
        <v>0</v>
      </c>
      <c r="D2519" t="s">
        <v>23500</v>
      </c>
      <c r="E2519" t="s">
        <v>26015</v>
      </c>
    </row>
    <row r="2520" spans="1:5">
      <c r="A2520" t="s">
        <v>6</v>
      </c>
      <c r="B2520" t="s">
        <v>2525</v>
      </c>
      <c r="C2520">
        <f>HYPERLINK("C:\Users\franc\OneDrive\Documentos\MALENTIN KARIME\SOCIEDADES\MINERA JUAN ALONSO SCM.doc", "Abrir Documento")</f>
        <v>0</v>
      </c>
      <c r="D2520" t="s">
        <v>23500</v>
      </c>
      <c r="E2520" t="s">
        <v>26016</v>
      </c>
    </row>
    <row r="2521" spans="1:5">
      <c r="A2521" t="s">
        <v>6</v>
      </c>
      <c r="B2521" t="s">
        <v>2526</v>
      </c>
      <c r="C2521">
        <f>HYPERLINK("C:\Users\franc\OneDrive\Documentos\MALENTIN KARIME\SOCIEDADES\MINERA ANA KAMILA SCM.doc", "Abrir Documento")</f>
        <v>0</v>
      </c>
      <c r="D2521" t="s">
        <v>23500</v>
      </c>
      <c r="E2521" t="s">
        <v>26017</v>
      </c>
    </row>
    <row r="2522" spans="1:5">
      <c r="A2522" t="s">
        <v>6</v>
      </c>
      <c r="B2522" t="s">
        <v>2527</v>
      </c>
      <c r="C2522">
        <f>HYPERLINK("C:\Users\franc\OneDrive\Documentos\MALENTIN KARIME\SOCIEDADES\MINERA ANA KAMILA SCM para extracto.doc", "Abrir Documento")</f>
        <v>0</v>
      </c>
      <c r="D2522" t="s">
        <v>23500</v>
      </c>
      <c r="E2522" t="s">
        <v>26018</v>
      </c>
    </row>
    <row r="2523" spans="1:5">
      <c r="A2523" t="s">
        <v>6</v>
      </c>
      <c r="B2523" t="s">
        <v>2528</v>
      </c>
      <c r="C2523">
        <f>HYPERLINK("C:\Users\franc\OneDrive\Documentos\MALENTIN KARIME\SOCIEDADES\MINERA ANA KAMILA SCM Extracto.doc", "Abrir Documento")</f>
        <v>0</v>
      </c>
      <c r="D2523" t="s">
        <v>23500</v>
      </c>
      <c r="E2523" t="s">
        <v>26019</v>
      </c>
    </row>
    <row r="2524" spans="1:5">
      <c r="A2524" t="s">
        <v>6</v>
      </c>
      <c r="B2524" t="s">
        <v>2529</v>
      </c>
      <c r="C2524">
        <f>HYPERLINK("C:\Users\franc\OneDrive\Documentos\MALENTIN KARIME\SOCIEDADES\LAS PIRCAS Dic. 2013.doc", "Abrir Documento")</f>
        <v>0</v>
      </c>
      <c r="D2524" t="s">
        <v>23500</v>
      </c>
      <c r="E2524" t="s">
        <v>26020</v>
      </c>
    </row>
    <row r="2525" spans="1:5">
      <c r="A2525" t="s">
        <v>6</v>
      </c>
      <c r="B2525" t="s">
        <v>2530</v>
      </c>
      <c r="C2525">
        <f>HYPERLINK("C:\Users\franc\OneDrive\Documentos\MALENTIN KARIME\SOCIEDADES\JAIME CAMPOSANO Extracto.doc", "Abrir Documento")</f>
        <v>0</v>
      </c>
      <c r="D2525" t="s">
        <v>23500</v>
      </c>
      <c r="E2525" t="s">
        <v>26021</v>
      </c>
    </row>
    <row r="2526" spans="1:5">
      <c r="A2526" t="s">
        <v>6</v>
      </c>
      <c r="B2526" t="s">
        <v>2531</v>
      </c>
      <c r="C2526">
        <f>HYPERLINK("C:\Users\franc\OneDrive\Documentos\MALENTIN KARIME\SOCIEDADES\INVERSIONES PARRA LTDA Extracto.doc", "Abrir Documento")</f>
        <v>0</v>
      </c>
      <c r="D2526" t="s">
        <v>23500</v>
      </c>
      <c r="E2526" t="s">
        <v>26022</v>
      </c>
    </row>
    <row r="2527" spans="1:5">
      <c r="A2527" t="s">
        <v>6</v>
      </c>
      <c r="B2527" t="s">
        <v>2532</v>
      </c>
      <c r="C2527">
        <f>HYPERLINK("C:\Users\franc\OneDrive\Documentos\MALENTIN KARIME\SOCIEDADES\INSTRUCCIONES.doc", "Abrir Documento")</f>
        <v>0</v>
      </c>
      <c r="D2527" t="s">
        <v>23500</v>
      </c>
      <c r="E2527" t="s">
        <v>26023</v>
      </c>
    </row>
    <row r="2528" spans="1:5">
      <c r="A2528" t="s">
        <v>6</v>
      </c>
      <c r="B2528" t="s">
        <v>2533</v>
      </c>
      <c r="C2528">
        <f>HYPERLINK("C:\Users\franc\OneDrive\Documentos\MALENTIN KARIME\SOCIEDADES\Inmobiliaria El Sauce Ltda.doc", "Abrir Documento")</f>
        <v>0</v>
      </c>
      <c r="D2528" t="s">
        <v>23500</v>
      </c>
      <c r="E2528" t="s">
        <v>26024</v>
      </c>
    </row>
    <row r="2529" spans="1:5">
      <c r="A2529" t="s">
        <v>6</v>
      </c>
      <c r="B2529" t="s">
        <v>2534</v>
      </c>
      <c r="C2529">
        <f>HYPERLINK("C:\Users\franc\OneDrive\Documentos\MALENTIN KARIME\SOCIEDADES\HERMANOS PEÑARANCIBIA LIMITADA Escritura.doc", "Abrir Documento")</f>
        <v>0</v>
      </c>
      <c r="D2529" t="s">
        <v>23500</v>
      </c>
      <c r="E2529" t="s">
        <v>26025</v>
      </c>
    </row>
    <row r="2530" spans="1:5">
      <c r="A2530" t="s">
        <v>6</v>
      </c>
      <c r="B2530" t="s">
        <v>2535</v>
      </c>
      <c r="C2530">
        <f>HYPERLINK("C:\Users\franc\OneDrive\Documentos\MALENTIN KARIME\SOCIEDADES\HERMANOS PEÑARANCIBIA LIMITADA Minuta de  Tania.doc", "Abrir Documento")</f>
        <v>0</v>
      </c>
      <c r="D2530" t="s">
        <v>23500</v>
      </c>
      <c r="E2530" t="s">
        <v>26025</v>
      </c>
    </row>
    <row r="2531" spans="1:5">
      <c r="A2531" t="s">
        <v>6</v>
      </c>
      <c r="B2531" t="s">
        <v>2536</v>
      </c>
      <c r="C2531">
        <f>HYPERLINK("C:\Users\franc\OneDrive\Documentos\MALENTIN KARIME\SOCIEDADES\GUILLERMO GUERRERO E.I.R.L. Modific..doc", "Abrir Documento")</f>
        <v>0</v>
      </c>
      <c r="D2531" t="s">
        <v>23500</v>
      </c>
      <c r="E2531" t="s">
        <v>26026</v>
      </c>
    </row>
    <row r="2532" spans="1:5">
      <c r="A2532" t="s">
        <v>6</v>
      </c>
      <c r="B2532" t="s">
        <v>2537</v>
      </c>
      <c r="C2532">
        <f>HYPERLINK("C:\Users\franc\OneDrive\Documentos\MALENTIN KARIME\SOCIEDADES\GUILLERMO GUERRERO E.I.R.L. Extracto.doc", "Abrir Documento")</f>
        <v>0</v>
      </c>
      <c r="D2532" t="s">
        <v>23500</v>
      </c>
      <c r="E2532" t="s">
        <v>26027</v>
      </c>
    </row>
    <row r="2533" spans="1:5">
      <c r="A2533" t="s">
        <v>6</v>
      </c>
      <c r="B2533" t="s">
        <v>2538</v>
      </c>
      <c r="C2533">
        <f>HYPERLINK("C:\Users\franc\OneDrive\Documentos\MALENTIN KARIME\SOCIEDADES\Extracto TRAUMADENT.doc", "Abrir Documento")</f>
        <v>0</v>
      </c>
      <c r="D2533" t="s">
        <v>23500</v>
      </c>
      <c r="E2533" t="s">
        <v>26028</v>
      </c>
    </row>
    <row r="2534" spans="1:5">
      <c r="A2534" t="s">
        <v>6</v>
      </c>
      <c r="B2534" t="s">
        <v>2539</v>
      </c>
      <c r="C2534">
        <f>HYPERLINK("C:\Users\franc\OneDrive\Documentos\MALENTIN KARIME\SOCIEDADES\Extracto Umbrales.doc", "Abrir Documento")</f>
        <v>0</v>
      </c>
      <c r="D2534" t="s">
        <v>23500</v>
      </c>
      <c r="E2534" t="s">
        <v>26028</v>
      </c>
    </row>
    <row r="2535" spans="1:5">
      <c r="A2535" t="s">
        <v>6</v>
      </c>
      <c r="B2535" t="s">
        <v>2540</v>
      </c>
      <c r="C2535">
        <f>HYPERLINK("C:\Users\franc\OneDrive\Documentos\MALENTIN KARIME\SOCIEDADES\Extracto TRANSPORTES RIO CLARO Recti.doc", "Abrir Documento")</f>
        <v>0</v>
      </c>
      <c r="D2535" t="s">
        <v>23500</v>
      </c>
      <c r="E2535" t="s">
        <v>26029</v>
      </c>
    </row>
    <row r="2536" spans="1:5">
      <c r="A2536" t="s">
        <v>6</v>
      </c>
      <c r="B2536" t="s">
        <v>2541</v>
      </c>
      <c r="C2536">
        <f>HYPERLINK("C:\Users\franc\OneDrive\Documentos\MALENTIN KARIME\SOCIEDADES\Extracto TRANSPORTES RIO CLARO Recti VERSION DOS.doc", "Abrir Documento")</f>
        <v>0</v>
      </c>
      <c r="D2536" t="s">
        <v>23500</v>
      </c>
      <c r="E2536" t="s">
        <v>26030</v>
      </c>
    </row>
    <row r="2537" spans="1:5">
      <c r="A2537" t="s">
        <v>6</v>
      </c>
      <c r="B2537" t="s">
        <v>2542</v>
      </c>
      <c r="C2537">
        <f>HYPERLINK("C:\Users\franc\OneDrive\Documentos\MALENTIN KARIME\SOCIEDADES\Extracto Sociedad Dra. Romina Villalobos.doc", "Abrir Documento")</f>
        <v>0</v>
      </c>
      <c r="D2537" t="s">
        <v>23500</v>
      </c>
      <c r="E2537" t="s">
        <v>26031</v>
      </c>
    </row>
    <row r="2538" spans="1:5">
      <c r="A2538" t="s">
        <v>6</v>
      </c>
      <c r="B2538" t="s">
        <v>2543</v>
      </c>
      <c r="C2538">
        <f>HYPERLINK("C:\Users\franc\OneDrive\Documentos\MALENTIN KARIME\SOCIEDADES\Extracto Soc Agricola San Francisco Ltda(1).doc", "Abrir Documento")</f>
        <v>0</v>
      </c>
      <c r="D2538" t="s">
        <v>23500</v>
      </c>
      <c r="E2538" t="s">
        <v>26032</v>
      </c>
    </row>
    <row r="2539" spans="1:5">
      <c r="A2539" t="s">
        <v>6</v>
      </c>
      <c r="B2539" t="s">
        <v>2544</v>
      </c>
      <c r="C2539">
        <f>HYPERLINK("C:\Users\franc\OneDrive\Documentos\MALENTIN KARIME\SOCIEDADES\Extracto SICOVAL.doc", "Abrir Documento")</f>
        <v>0</v>
      </c>
      <c r="D2539" t="s">
        <v>23500</v>
      </c>
      <c r="E2539" t="s">
        <v>26033</v>
      </c>
    </row>
    <row r="2540" spans="1:5">
      <c r="A2540" t="s">
        <v>6</v>
      </c>
      <c r="B2540" t="s">
        <v>2545</v>
      </c>
      <c r="C2540">
        <f>HYPERLINK("C:\Users\franc\OneDrive\Documentos\MALENTIN KARIME\SOCIEDADES\extracto San Fabian LTDA.doc", "Abrir Documento")</f>
        <v>0</v>
      </c>
      <c r="D2540" t="s">
        <v>23500</v>
      </c>
      <c r="E2540" t="s">
        <v>26034</v>
      </c>
    </row>
    <row r="2541" spans="1:5">
      <c r="A2541" t="s">
        <v>6</v>
      </c>
      <c r="B2541" t="s">
        <v>2546</v>
      </c>
      <c r="C2541">
        <f>HYPERLINK("C:\Users\franc\OneDrive\Documentos\MALENTIN KARIME\SOCIEDADES\EXTRACTO Nancy Julio EIRL.doc", "Abrir Documento")</f>
        <v>0</v>
      </c>
      <c r="D2541" t="s">
        <v>23500</v>
      </c>
      <c r="E2541" t="s">
        <v>26035</v>
      </c>
    </row>
    <row r="2542" spans="1:5">
      <c r="A2542" t="s">
        <v>6</v>
      </c>
      <c r="B2542" t="s">
        <v>2547</v>
      </c>
      <c r="C2542">
        <f>HYPERLINK("C:\Users\franc\OneDrive\Documentos\MALENTIN KARIME\SOCIEDADES\extracto INMOBILIARIA JUAN PORTILLA.doc", "Abrir Documento")</f>
        <v>0</v>
      </c>
      <c r="D2542" t="s">
        <v>23500</v>
      </c>
      <c r="E2542" t="s">
        <v>26036</v>
      </c>
    </row>
    <row r="2543" spans="1:5">
      <c r="A2543" t="s">
        <v>6</v>
      </c>
      <c r="B2543" t="s">
        <v>2548</v>
      </c>
      <c r="C2543">
        <f>HYPERLINK("C:\Users\franc\OneDrive\Documentos\MALENTIN KARIME\SOCIEDADES\EXTRACTO ESCRITURA DE SOCIEDAD DE RESPONSABILIDAD LIMITADA humeres porcile.doc", "Abrir Documento")</f>
        <v>0</v>
      </c>
      <c r="D2543" t="s">
        <v>23500</v>
      </c>
      <c r="E2543" t="s">
        <v>26037</v>
      </c>
    </row>
    <row r="2544" spans="1:5">
      <c r="A2544" t="s">
        <v>6</v>
      </c>
      <c r="B2544" t="s">
        <v>2549</v>
      </c>
      <c r="C2544">
        <f>HYPERLINK("C:\Users\franc\OneDrive\Documentos\MALENTIN KARIME\SOCIEDADES\Extracto ALTERNATIVE.doc", "Abrir Documento")</f>
        <v>0</v>
      </c>
      <c r="D2544" t="s">
        <v>23500</v>
      </c>
      <c r="E2544" t="s">
        <v>26038</v>
      </c>
    </row>
    <row r="2545" spans="1:5">
      <c r="A2545" t="s">
        <v>6</v>
      </c>
      <c r="B2545" t="s">
        <v>2550</v>
      </c>
      <c r="C2545">
        <f>HYPERLINK("C:\Users\franc\OneDrive\Documentos\MALENTIN KARIME\SOCIEDADES\Extracto ADOCAT.doc", "Abrir Documento")</f>
        <v>0</v>
      </c>
      <c r="D2545" t="s">
        <v>23500</v>
      </c>
      <c r="E2545" t="s">
        <v>26039</v>
      </c>
    </row>
    <row r="2546" spans="1:5">
      <c r="A2546" t="s">
        <v>6</v>
      </c>
      <c r="B2546" t="s">
        <v>2551</v>
      </c>
      <c r="C2546">
        <f>HYPERLINK("C:\Users\franc\OneDrive\Documentos\MALENTIN KARIME\SOCIEDADES\EXTRACTO  Inmob Los Sauces  Ltda.doc", "Abrir Documento")</f>
        <v>0</v>
      </c>
      <c r="D2546" t="s">
        <v>23500</v>
      </c>
      <c r="E2546" t="s">
        <v>26040</v>
      </c>
    </row>
    <row r="2547" spans="1:5">
      <c r="A2547" t="s">
        <v>6</v>
      </c>
      <c r="B2547" t="s">
        <v>2552</v>
      </c>
      <c r="C2547">
        <f>HYPERLINK("C:\Users\franc\OneDrive\Documentos\MALENTIN KARIME\SOCIEDADES\Escritura_Sicoval ltda.doc", "Abrir Documento")</f>
        <v>0</v>
      </c>
      <c r="D2547" t="s">
        <v>23500</v>
      </c>
      <c r="E2547" t="s">
        <v>26041</v>
      </c>
    </row>
    <row r="2548" spans="1:5">
      <c r="A2548" t="s">
        <v>6</v>
      </c>
      <c r="B2548" t="s">
        <v>2553</v>
      </c>
      <c r="C2548">
        <f>HYPERLINK("C:\Users\franc\OneDrive\Documentos\MALENTIN KARIME\SOCIEDADES\CONSTRUCCIONES SIERRA Y TORRES.doc", "Abrir Documento")</f>
        <v>0</v>
      </c>
      <c r="D2548" t="s">
        <v>23500</v>
      </c>
      <c r="E2548" t="s">
        <v>26042</v>
      </c>
    </row>
    <row r="2549" spans="1:5">
      <c r="A2549" t="s">
        <v>6</v>
      </c>
      <c r="B2549" t="s">
        <v>2554</v>
      </c>
      <c r="C2549">
        <f>HYPERLINK("C:\Users\franc\OneDrive\Documentos\MALENTIN KARIME\SOCIEDADES\CONSTRUCCIONES SIERRA Y TORRES Extracto.doc", "Abrir Documento")</f>
        <v>0</v>
      </c>
      <c r="D2549" t="s">
        <v>23500</v>
      </c>
      <c r="E2549" t="s">
        <v>26043</v>
      </c>
    </row>
    <row r="2550" spans="1:5">
      <c r="A2550" t="s">
        <v>6</v>
      </c>
      <c r="B2550" t="s">
        <v>2555</v>
      </c>
      <c r="C2550">
        <f>HYPERLINK("C:\Users\franc\OneDrive\Documentos\MALENTIN KARIME\SOCIEDADES\CONFERR Extracto.doc", "Abrir Documento")</f>
        <v>0</v>
      </c>
      <c r="D2550" t="s">
        <v>23500</v>
      </c>
      <c r="E2550" t="s">
        <v>26044</v>
      </c>
    </row>
    <row r="2551" spans="1:5">
      <c r="A2551" t="s">
        <v>6</v>
      </c>
      <c r="B2551" t="s">
        <v>2556</v>
      </c>
      <c r="C2551">
        <f>HYPERLINK("C:\Users\franc\OneDrive\Documentos\MALENTIN KARIME\SOCIEDADES\CONFERR  Modificaicion.doc", "Abrir Documento")</f>
        <v>0</v>
      </c>
      <c r="D2551" t="s">
        <v>23500</v>
      </c>
      <c r="E2551" t="s">
        <v>26045</v>
      </c>
    </row>
    <row r="2552" spans="1:5">
      <c r="A2552" t="s">
        <v>6</v>
      </c>
      <c r="B2552" t="s">
        <v>2557</v>
      </c>
      <c r="C2552">
        <f>HYPERLINK("C:\Users\franc\OneDrive\Documentos\MALENTIN KARIME\SOCIEDADES\COMERCIALIZADORA SAN FABIAN.doc", "Abrir Documento")</f>
        <v>0</v>
      </c>
      <c r="D2552" t="s">
        <v>23500</v>
      </c>
      <c r="E2552" t="s">
        <v>26046</v>
      </c>
    </row>
    <row r="2553" spans="1:5">
      <c r="A2553" t="s">
        <v>6</v>
      </c>
      <c r="B2553" t="s">
        <v>2558</v>
      </c>
      <c r="C2553">
        <f>HYPERLINK("C:\Users\franc\OneDrive\Documentos\MALENTIN KARIME\SOCIEDADES\COMERCIALIZADORA SAN FABIAN LTDA.doc", "Abrir Documento")</f>
        <v>0</v>
      </c>
      <c r="D2553" t="s">
        <v>23500</v>
      </c>
      <c r="E2553" t="s">
        <v>26047</v>
      </c>
    </row>
    <row r="2554" spans="1:5">
      <c r="A2554" t="s">
        <v>6</v>
      </c>
      <c r="B2554" t="s">
        <v>2559</v>
      </c>
      <c r="C2554">
        <f>HYPERLINK("C:\Users\franc\OneDrive\Documentos\MALENTIN KARIME\SOCIEDADES\COMERCIAL DOS MIL UNO.doc", "Abrir Documento")</f>
        <v>0</v>
      </c>
      <c r="D2554" t="s">
        <v>23500</v>
      </c>
      <c r="E2554" t="s">
        <v>26048</v>
      </c>
    </row>
    <row r="2555" spans="1:5">
      <c r="A2555" t="s">
        <v>6</v>
      </c>
      <c r="B2555" t="s">
        <v>2560</v>
      </c>
      <c r="C2555">
        <f>HYPERLINK("C:\Users\franc\OneDrive\Documentos\MALENTIN KARIME\SOCIEDADES\COLEGIO SALI HOCHSCHILD LTDA.doc", "Abrir Documento")</f>
        <v>0</v>
      </c>
      <c r="D2555" t="s">
        <v>23500</v>
      </c>
      <c r="E2555" t="s">
        <v>26049</v>
      </c>
    </row>
    <row r="2556" spans="1:5">
      <c r="A2556" t="s">
        <v>6</v>
      </c>
      <c r="B2556" t="s">
        <v>2561</v>
      </c>
      <c r="C2556">
        <f>HYPERLINK("C:\Users\franc\OneDrive\Documentos\MALENTIN KARIME\SOCIEDADES\COFMED PRESTACIONS MEDICAS Extracto.doc", "Abrir Documento")</f>
        <v>0</v>
      </c>
      <c r="D2556" t="s">
        <v>23500</v>
      </c>
      <c r="E2556" t="s">
        <v>26050</v>
      </c>
    </row>
    <row r="2557" spans="1:5">
      <c r="A2557" t="s">
        <v>6</v>
      </c>
      <c r="B2557" t="s">
        <v>2562</v>
      </c>
      <c r="C2557">
        <f>HYPERLINK("C:\Users\franc\OneDrive\Documentos\MALENTIN KARIME\SOCIEDADES\CENTRO DE CAPACITACION RIO GRANDE LTDA. Rectificacion.doc", "Abrir Documento")</f>
        <v>0</v>
      </c>
      <c r="D2557" t="s">
        <v>23500</v>
      </c>
      <c r="E2557" t="s">
        <v>26051</v>
      </c>
    </row>
    <row r="2558" spans="1:5">
      <c r="A2558" t="s">
        <v>6</v>
      </c>
      <c r="B2558" t="s">
        <v>2563</v>
      </c>
      <c r="C2558">
        <f>HYPERLINK("C:\Users\franc\OneDrive\Documentos\MALENTIN KARIME\SOCIEDADES\CATRUMI LTDA..doc", "Abrir Documento")</f>
        <v>0</v>
      </c>
      <c r="D2558" t="s">
        <v>23500</v>
      </c>
      <c r="E2558" t="s">
        <v>26052</v>
      </c>
    </row>
    <row r="2559" spans="1:5">
      <c r="A2559" t="s">
        <v>6</v>
      </c>
      <c r="B2559" t="s">
        <v>2564</v>
      </c>
      <c r="C2559">
        <f>HYPERLINK("C:\Users\franc\OneDrive\Documentos\MALENTIN KARIME\SOCIEDADES\Buenaventura ltda.-1.doc", "Abrir Documento")</f>
        <v>0</v>
      </c>
      <c r="D2559" t="s">
        <v>23500</v>
      </c>
      <c r="E2559" t="s">
        <v>26053</v>
      </c>
    </row>
    <row r="2560" spans="1:5">
      <c r="A2560" t="s">
        <v>6</v>
      </c>
      <c r="B2560" t="s">
        <v>2565</v>
      </c>
      <c r="C2560">
        <f>HYPERLINK("C:\Users\franc\OneDrive\Documentos\MALENTIN KARIME\SOCIEDADES\ASESORIAS E INVERSIONES CERRO BLANCO.doc", "Abrir Documento")</f>
        <v>0</v>
      </c>
      <c r="D2560" t="s">
        <v>23500</v>
      </c>
      <c r="E2560" t="s">
        <v>26054</v>
      </c>
    </row>
    <row r="2561" spans="1:5">
      <c r="A2561" t="s">
        <v>6</v>
      </c>
      <c r="B2561" t="s">
        <v>2566</v>
      </c>
      <c r="C2561">
        <f>HYPERLINK("C:\Users\franc\OneDrive\Documentos\MALENTIN KARIME\SOCIEDADES\ASESORIAS E INVERSIONES CERRO BLANCO 2.doc", "Abrir Documento")</f>
        <v>0</v>
      </c>
      <c r="D2561" t="s">
        <v>23500</v>
      </c>
      <c r="E2561" t="s">
        <v>26055</v>
      </c>
    </row>
    <row r="2562" spans="1:5">
      <c r="A2562" t="s">
        <v>6</v>
      </c>
      <c r="B2562" t="s">
        <v>2567</v>
      </c>
      <c r="C2562">
        <f>HYPERLINK("C:\Users\franc\OneDrive\Documentos\MALENTIN KARIME\SOCIEDADES\ARBUG LTDA..doc", "Abrir Documento")</f>
        <v>0</v>
      </c>
      <c r="D2562" t="s">
        <v>23500</v>
      </c>
      <c r="E2562" t="s">
        <v>26056</v>
      </c>
    </row>
    <row r="2563" spans="1:5">
      <c r="A2563" t="s">
        <v>6</v>
      </c>
      <c r="B2563" t="s">
        <v>2568</v>
      </c>
      <c r="C2563">
        <f>HYPERLINK("C:\Users\franc\OneDrive\Documentos\MALENTIN KARIME\SOCIEDADES\ALPACAS URANIA SpA.doc", "Abrir Documento")</f>
        <v>0</v>
      </c>
      <c r="D2563" t="s">
        <v>23500</v>
      </c>
      <c r="E2563" t="s">
        <v>26057</v>
      </c>
    </row>
    <row r="2564" spans="1:5">
      <c r="A2564" t="s">
        <v>6</v>
      </c>
      <c r="B2564" t="s">
        <v>2569</v>
      </c>
      <c r="C2564">
        <f>HYPERLINK("C:\Users\franc\OneDrive\Documentos\MALENTIN KARIME\SOCIEDADES\ALPACAS URANIA SpA Extracto.doc", "Abrir Documento")</f>
        <v>0</v>
      </c>
      <c r="D2564" t="s">
        <v>23500</v>
      </c>
      <c r="E2564" t="s">
        <v>26058</v>
      </c>
    </row>
    <row r="2565" spans="1:5">
      <c r="A2565" t="s">
        <v>6</v>
      </c>
      <c r="B2565" t="s">
        <v>2570</v>
      </c>
      <c r="C2565">
        <f>HYPERLINK("C:\Users\franc\OneDrive\Documentos\MALENTIN KARIME\SOCIEDADES\AGRICOLA SAN MARCOS Modificaicion.doc", "Abrir Documento")</f>
        <v>0</v>
      </c>
      <c r="D2565" t="s">
        <v>23500</v>
      </c>
      <c r="E2565" t="s">
        <v>26059</v>
      </c>
    </row>
    <row r="2566" spans="1:5">
      <c r="A2566" t="s">
        <v>6</v>
      </c>
      <c r="B2566" t="s">
        <v>2571</v>
      </c>
      <c r="C2566">
        <f>HYPERLINK("C:\Users\franc\OneDrive\Documentos\MALENTIN KARIME\SOCIEDADES\AGROCOMERCIAL LA TORRE  LTDA. Modificaicion.doc", "Abrir Documento")</f>
        <v>0</v>
      </c>
      <c r="D2566" t="s">
        <v>23500</v>
      </c>
      <c r="E2566" t="s">
        <v>26059</v>
      </c>
    </row>
    <row r="2567" spans="1:5">
      <c r="A2567" t="s">
        <v>6</v>
      </c>
      <c r="B2567" t="s">
        <v>2572</v>
      </c>
      <c r="C2567">
        <f>HYPERLINK("C:\Users\franc\OneDrive\Documentos\MALENTIN KARIME\SOCIEDADES\AGRICOLA SAN FRANCISCO Modific DIC.doc", "Abrir Documento")</f>
        <v>0</v>
      </c>
      <c r="D2567" t="s">
        <v>23500</v>
      </c>
      <c r="E2567" t="s">
        <v>26060</v>
      </c>
    </row>
    <row r="2568" spans="1:5">
      <c r="A2568" t="s">
        <v>6</v>
      </c>
      <c r="B2568" t="s">
        <v>2573</v>
      </c>
      <c r="C2568">
        <f>HYPERLINK("C:\Users\franc\OneDrive\Documentos\MALENTIN KARIME\SOCIEDADES\AGRICOLA SAN MARCOS Extracto.doc", "Abrir Documento")</f>
        <v>0</v>
      </c>
      <c r="D2568" t="s">
        <v>23500</v>
      </c>
      <c r="E2568" t="s">
        <v>26060</v>
      </c>
    </row>
    <row r="2569" spans="1:5">
      <c r="A2569" t="s">
        <v>6</v>
      </c>
      <c r="B2569" t="s">
        <v>2574</v>
      </c>
      <c r="C2569">
        <f>HYPERLINK("C:\Users\franc\OneDrive\Documentos\MALENTIN KARIME\SOCIEDADES\AGRICOLA Adocat.doc", "Abrir Documento")</f>
        <v>0</v>
      </c>
      <c r="D2569" t="s">
        <v>23500</v>
      </c>
      <c r="E2569" t="s">
        <v>26061</v>
      </c>
    </row>
    <row r="2570" spans="1:5">
      <c r="A2570" t="s">
        <v>6</v>
      </c>
      <c r="B2570" t="s">
        <v>2575</v>
      </c>
      <c r="C2570">
        <f>HYPERLINK("C:\Users\franc\OneDrive\Documentos\MALENTIN KARIME\SOCIEDADES\AGRICOLA Adocat Escritura.doc", "Abrir Documento")</f>
        <v>0</v>
      </c>
      <c r="D2570" t="s">
        <v>23500</v>
      </c>
      <c r="E2570" t="s">
        <v>26062</v>
      </c>
    </row>
    <row r="2571" spans="1:5">
      <c r="A2571" t="s">
        <v>6</v>
      </c>
      <c r="B2571" t="s">
        <v>2576</v>
      </c>
      <c r="C2571">
        <f>HYPERLINK("C:\Users\franc\OneDrive\Documentos\MALENTIN KARIME\SERVIU\PROHIBICION DERECHO USO CDAD\PATRICIA MALUENDA JOPIA Particular.doc", "Abrir Documento")</f>
        <v>0</v>
      </c>
      <c r="D2571" t="s">
        <v>23500</v>
      </c>
      <c r="E2571" t="s">
        <v>26063</v>
      </c>
    </row>
    <row r="2572" spans="1:5">
      <c r="A2572" t="s">
        <v>6</v>
      </c>
      <c r="B2572" t="s">
        <v>2577</v>
      </c>
      <c r="C2572">
        <f>HYPERLINK("C:\Users\franc\OneDrive\Documentos\MALENTIN KARIME\SOCIEDADES\ADOCAT.doc", "Abrir Documento")</f>
        <v>0</v>
      </c>
      <c r="D2572" t="s">
        <v>23500</v>
      </c>
      <c r="E2572" t="s">
        <v>26063</v>
      </c>
    </row>
    <row r="2573" spans="1:5">
      <c r="A2573" t="s">
        <v>6</v>
      </c>
      <c r="B2573" t="s">
        <v>2578</v>
      </c>
      <c r="C2573">
        <f>HYPERLINK("C:\Users\franc\OneDrive\Documentos\MALENTIN KARIME\SERVIU\PROHIBICION DERECHO USO CDAD\MARIA ZEPEDA MUÑOZ Particular.doc", "Abrir Documento")</f>
        <v>0</v>
      </c>
      <c r="D2573" t="s">
        <v>23500</v>
      </c>
      <c r="E2573" t="s">
        <v>26064</v>
      </c>
    </row>
    <row r="2574" spans="1:5">
      <c r="A2574" t="s">
        <v>6</v>
      </c>
      <c r="B2574" t="s">
        <v>2579</v>
      </c>
      <c r="C2574">
        <f>HYPERLINK("C:\Users\franc\OneDrive\Documentos\MALENTIN KARIME\SERVIU\PROHIBICION DERECHO USO CDAD\ANA GUILLERMINA CASTRO CASTRO Particular.doc", "Abrir Documento")</f>
        <v>0</v>
      </c>
      <c r="D2574" t="s">
        <v>23500</v>
      </c>
      <c r="E2574" t="s">
        <v>26065</v>
      </c>
    </row>
    <row r="2575" spans="1:5">
      <c r="A2575" t="s">
        <v>6</v>
      </c>
      <c r="B2575" t="s">
        <v>2580</v>
      </c>
      <c r="C2575">
        <f>HYPERLINK("C:\Users\franc\OneDrive\Documentos\MALENTIN KARIME\SERVIU\PROHIBICION DERECHO USO CDAD\CANDIA LOPEZPROHICION DERECHO USO COMUNIDAD.doc", "Abrir Documento")</f>
        <v>0</v>
      </c>
      <c r="D2575" t="s">
        <v>23500</v>
      </c>
      <c r="E2575" t="s">
        <v>26065</v>
      </c>
    </row>
    <row r="2576" spans="1:5">
      <c r="A2576" t="s">
        <v>6</v>
      </c>
      <c r="B2576" t="s">
        <v>2581</v>
      </c>
      <c r="C2576">
        <f>HYPERLINK("C:\Users\franc\OneDrive\Documentos\MALENTIN KARIME\SERVIU\2021\ROSALIA IRIARTE IRIARTE DS 1.doc", "Abrir Documento")</f>
        <v>0</v>
      </c>
      <c r="D2576" t="s">
        <v>23500</v>
      </c>
      <c r="E2576" t="s">
        <v>26066</v>
      </c>
    </row>
    <row r="2577" spans="1:5">
      <c r="A2577" t="s">
        <v>6</v>
      </c>
      <c r="B2577" t="s">
        <v>2582</v>
      </c>
      <c r="C2577">
        <f>HYPERLINK("C:\Users\franc\OneDrive\Documentos\MALENTIN KARIME\SERVIU\2021\MIRTA MIRANDA PALMA DS 49.doc", "Abrir Documento")</f>
        <v>0</v>
      </c>
      <c r="D2577" t="s">
        <v>23500</v>
      </c>
      <c r="E2577" t="s">
        <v>26067</v>
      </c>
    </row>
    <row r="2578" spans="1:5">
      <c r="A2578" t="s">
        <v>6</v>
      </c>
      <c r="B2578" t="s">
        <v>2583</v>
      </c>
      <c r="C2578">
        <f>HYPERLINK("C:\Users\franc\OneDrive\Documentos\MALENTIN KARIME\SERVIU\2021\JUANA CARVAJAL CORTES DS 49.doc", "Abrir Documento")</f>
        <v>0</v>
      </c>
      <c r="D2578" t="s">
        <v>23500</v>
      </c>
      <c r="E2578" t="s">
        <v>26068</v>
      </c>
    </row>
    <row r="2579" spans="1:5">
      <c r="A2579" t="s">
        <v>6</v>
      </c>
      <c r="B2579" t="s">
        <v>2584</v>
      </c>
      <c r="C2579">
        <f>HYPERLINK("C:\Users\franc\OneDrive\Documentos\MALENTIN KARIME\SERVIU\2021\LUISA MIRANDA PALMA DS 49.doc", "Abrir Documento")</f>
        <v>0</v>
      </c>
      <c r="D2579" t="s">
        <v>23500</v>
      </c>
      <c r="E2579" t="s">
        <v>26068</v>
      </c>
    </row>
    <row r="2580" spans="1:5">
      <c r="A2580" t="s">
        <v>6</v>
      </c>
      <c r="B2580" t="s">
        <v>2585</v>
      </c>
      <c r="C2580">
        <f>HYPERLINK("C:\Users\franc\OneDrive\Documentos\MALENTIN KARIME\SERVIU\2021\ELIZABETH VILLEGAS CAMPUSANO con resciliacion.-.doc", "Abrir Documento")</f>
        <v>0</v>
      </c>
      <c r="D2580" t="s">
        <v>23500</v>
      </c>
      <c r="E2580" t="s">
        <v>26069</v>
      </c>
    </row>
    <row r="2581" spans="1:5">
      <c r="A2581" t="s">
        <v>6</v>
      </c>
      <c r="B2581" t="s">
        <v>2586</v>
      </c>
      <c r="C2581">
        <f>HYPERLINK("C:\Users\franc\OneDrive\Documentos\MALENTIN KARIME\SERVIU\2021\JUAN BARRAZA VICENCIO 2021.doc", "Abrir Documento")</f>
        <v>0</v>
      </c>
      <c r="D2581" t="s">
        <v>23500</v>
      </c>
      <c r="E2581" t="s">
        <v>26069</v>
      </c>
    </row>
    <row r="2582" spans="1:5">
      <c r="A2582" t="s">
        <v>6</v>
      </c>
      <c r="B2582" t="s">
        <v>2587</v>
      </c>
      <c r="C2582">
        <f>HYPERLINK("C:\Users\franc\OneDrive\Documentos\MALENTIN KARIME\SERVIU\2021\BERNARDO CHAVEZ ARAYA DS 1.doc", "Abrir Documento")</f>
        <v>0</v>
      </c>
      <c r="D2582" t="s">
        <v>23500</v>
      </c>
      <c r="E2582" t="s">
        <v>26070</v>
      </c>
    </row>
    <row r="2583" spans="1:5">
      <c r="A2583" t="s">
        <v>6</v>
      </c>
      <c r="B2583" t="s">
        <v>2588</v>
      </c>
      <c r="C2583">
        <f>HYPERLINK("C:\Users\franc\OneDrive\Documentos\MALENTIN KARIME\SERVIU\2016\UBERLINDA ROJAS AGUILERA Mabel.doc", "Abrir Documento")</f>
        <v>0</v>
      </c>
      <c r="D2583" t="s">
        <v>23500</v>
      </c>
      <c r="E2583" t="s">
        <v>26071</v>
      </c>
    </row>
    <row r="2584" spans="1:5">
      <c r="A2584" t="s">
        <v>6</v>
      </c>
      <c r="B2584" t="s">
        <v>2589</v>
      </c>
      <c r="C2584">
        <f>HYPERLINK("C:\Users\franc\OneDrive\Documentos\MALENTIN KARIME\SERVIU\2016\Teresa Rivera Particular.doc", "Abrir Documento")</f>
        <v>0</v>
      </c>
      <c r="D2584" t="s">
        <v>23500</v>
      </c>
      <c r="E2584" t="s">
        <v>26072</v>
      </c>
    </row>
    <row r="2585" spans="1:5">
      <c r="A2585" t="s">
        <v>6</v>
      </c>
      <c r="B2585" t="s">
        <v>2590</v>
      </c>
      <c r="C2585">
        <f>HYPERLINK("C:\Users\franc\OneDrive\Documentos\MALENTIN KARIME\SERVIU\2016\SUCESION ERMO CORTES DS 1.doc", "Abrir Documento")</f>
        <v>0</v>
      </c>
      <c r="D2585" t="s">
        <v>23500</v>
      </c>
      <c r="E2585" t="s">
        <v>26073</v>
      </c>
    </row>
    <row r="2586" spans="1:5">
      <c r="A2586" t="s">
        <v>6</v>
      </c>
      <c r="B2586" t="s">
        <v>2591</v>
      </c>
      <c r="C2586">
        <f>HYPERLINK("C:\Users\franc\OneDrive\Documentos\MALENTIN KARIME\SERVIU\2016\SUCESION CUEVAS PASTEN DS 1.doc", "Abrir Documento")</f>
        <v>0</v>
      </c>
      <c r="D2586" t="s">
        <v>23500</v>
      </c>
      <c r="E2586" t="s">
        <v>26074</v>
      </c>
    </row>
    <row r="2587" spans="1:5">
      <c r="A2587" t="s">
        <v>6</v>
      </c>
      <c r="B2587" t="s">
        <v>2592</v>
      </c>
      <c r="C2587">
        <f>HYPERLINK("C:\Users\franc\OneDrive\Documentos\MALENTIN KARIME\SERVIU\2016\RUTH DOMINGUEZ OVANDO.doc", "Abrir Documento")</f>
        <v>0</v>
      </c>
      <c r="D2587" t="s">
        <v>23500</v>
      </c>
      <c r="E2587" t="s">
        <v>26075</v>
      </c>
    </row>
    <row r="2588" spans="1:5">
      <c r="A2588" t="s">
        <v>6</v>
      </c>
      <c r="B2588" t="s">
        <v>2593</v>
      </c>
      <c r="C2588">
        <f>HYPERLINK("C:\Users\franc\OneDrive\Documentos\MALENTIN KARIME\SERVIU\2016\RUTH DOMINGUEZ OVANDO declaracion y mandato.doc", "Abrir Documento")</f>
        <v>0</v>
      </c>
      <c r="D2588" t="s">
        <v>23500</v>
      </c>
      <c r="E2588" t="s">
        <v>26076</v>
      </c>
    </row>
    <row r="2589" spans="1:5">
      <c r="A2589" t="s">
        <v>6</v>
      </c>
      <c r="B2589" t="s">
        <v>2594</v>
      </c>
      <c r="C2589">
        <f>HYPERLINK("C:\Users\franc\OneDrive\Documentos\MALENTIN KARIME\SERVIU\2016\RICARDO LAYANA ADONES Particular.doc", "Abrir Documento")</f>
        <v>0</v>
      </c>
      <c r="D2589" t="s">
        <v>23500</v>
      </c>
      <c r="E2589" t="s">
        <v>26077</v>
      </c>
    </row>
    <row r="2590" spans="1:5">
      <c r="A2590" t="s">
        <v>6</v>
      </c>
      <c r="B2590" t="s">
        <v>2595</v>
      </c>
      <c r="C2590">
        <f>HYPERLINK("C:\Users\franc\OneDrive\Documentos\MALENTIN KARIME\SERVIU\2016\PROHIBICION FINAL ds 49MariaCisterna2017.doc", "Abrir Documento")</f>
        <v>0</v>
      </c>
      <c r="D2590" t="s">
        <v>23500</v>
      </c>
      <c r="E2590" t="s">
        <v>26078</v>
      </c>
    </row>
    <row r="2591" spans="1:5">
      <c r="A2591" t="s">
        <v>6</v>
      </c>
      <c r="B2591" t="s">
        <v>2596</v>
      </c>
      <c r="C2591">
        <f>HYPERLINK("C:\Users\franc\OneDrive\Documentos\MALENTIN KARIME\SERVIU\2016\PROHIBICION DERECHO USO POR ESCRITURA.doc", "Abrir Documento")</f>
        <v>0</v>
      </c>
      <c r="D2591" t="s">
        <v>23500</v>
      </c>
      <c r="E2591" t="s">
        <v>26079</v>
      </c>
    </row>
    <row r="2592" spans="1:5">
      <c r="A2592" t="s">
        <v>6</v>
      </c>
      <c r="B2592" t="s">
        <v>2597</v>
      </c>
      <c r="C2592">
        <f>HYPERLINK("C:\Users\franc\OneDrive\Documentos\MALENTIN KARIME\SERVIU\2016\Prohibicion Derecho Comunero.doc", "Abrir Documento")</f>
        <v>0</v>
      </c>
      <c r="D2592" t="s">
        <v>23500</v>
      </c>
      <c r="E2592" t="s">
        <v>26080</v>
      </c>
    </row>
    <row r="2593" spans="1:5">
      <c r="A2593" t="s">
        <v>6</v>
      </c>
      <c r="B2593" t="s">
        <v>2598</v>
      </c>
      <c r="C2593">
        <f>HYPERLINK("C:\Users\franc\OneDrive\Documentos\MALENTIN KARIME\SERVIU\2016\PROHIBICION CONYUGES.doc", "Abrir Documento")</f>
        <v>0</v>
      </c>
      <c r="D2593" t="s">
        <v>23500</v>
      </c>
      <c r="E2593" t="s">
        <v>26081</v>
      </c>
    </row>
    <row r="2594" spans="1:5">
      <c r="A2594" t="s">
        <v>6</v>
      </c>
      <c r="B2594" t="s">
        <v>2599</v>
      </c>
      <c r="C2594">
        <f>HYPERLINK("C:\Users\franc\OneDrive\Documentos\MALENTIN KARIME\SERVIU\2016\PAMENIA ARGANDOÑA DS 1.doc", "Abrir Documento")</f>
        <v>0</v>
      </c>
      <c r="D2594" t="s">
        <v>23500</v>
      </c>
      <c r="E2594" t="s">
        <v>26082</v>
      </c>
    </row>
    <row r="2595" spans="1:5">
      <c r="A2595" t="s">
        <v>6</v>
      </c>
      <c r="B2595" t="s">
        <v>2600</v>
      </c>
      <c r="C2595">
        <f>HYPERLINK("C:\Users\franc\OneDrive\Documentos\MALENTIN KARIME\SERVIU\2016\ORLANDO PIZARRO FLORES 2017.doc", "Abrir Documento")</f>
        <v>0</v>
      </c>
      <c r="D2595" t="s">
        <v>23500</v>
      </c>
      <c r="E2595" t="s">
        <v>26083</v>
      </c>
    </row>
    <row r="2596" spans="1:5">
      <c r="A2596" t="s">
        <v>6</v>
      </c>
      <c r="B2596" t="s">
        <v>2601</v>
      </c>
      <c r="C2596">
        <f>HYPERLINK("C:\Users\franc\OneDrive\Documentos\MALENTIN KARIME\SERVIU\2016\MAURICIO PIÑONES GARCIA BNac.doc", "Abrir Documento")</f>
        <v>0</v>
      </c>
      <c r="D2596" t="s">
        <v>23500</v>
      </c>
      <c r="E2596" t="s">
        <v>26084</v>
      </c>
    </row>
    <row r="2597" spans="1:5">
      <c r="A2597" t="s">
        <v>6</v>
      </c>
      <c r="B2597" t="s">
        <v>2602</v>
      </c>
      <c r="C2597">
        <f>HYPERLINK("C:\Users\franc\OneDrive\Documentos\MALENTIN KARIME\SERVIU\2016\MARITZA RIVERA GARCIA.doc", "Abrir Documento")</f>
        <v>0</v>
      </c>
      <c r="D2597" t="s">
        <v>23500</v>
      </c>
      <c r="E2597" t="s">
        <v>26085</v>
      </c>
    </row>
    <row r="2598" spans="1:5">
      <c r="A2598" t="s">
        <v>6</v>
      </c>
      <c r="B2598" t="s">
        <v>2603</v>
      </c>
      <c r="C2598">
        <f>HYPERLINK("C:\Users\franc\OneDrive\Documentos\MALENTIN KARIME\SERVIU\2016\MARIA VALDES MUÑOZ  andrea.doc", "Abrir Documento")</f>
        <v>0</v>
      </c>
      <c r="D2598" t="s">
        <v>23500</v>
      </c>
      <c r="E2598" t="s">
        <v>26086</v>
      </c>
    </row>
    <row r="2599" spans="1:5">
      <c r="A2599" t="s">
        <v>6</v>
      </c>
      <c r="B2599" t="s">
        <v>2604</v>
      </c>
      <c r="C2599">
        <f>HYPERLINK("C:\Users\franc\OneDrive\Documentos\MALENTIN KARIME\SERVIU\2016\MARIA CISTERNAS PALTA Prohibicion serviu prot.doc", "Abrir Documento")</f>
        <v>0</v>
      </c>
      <c r="D2599" t="s">
        <v>23500</v>
      </c>
      <c r="E2599" t="s">
        <v>26087</v>
      </c>
    </row>
    <row r="2600" spans="1:5">
      <c r="A2600" t="s">
        <v>6</v>
      </c>
      <c r="B2600" t="s">
        <v>2605</v>
      </c>
      <c r="C2600">
        <f>HYPERLINK("C:\Users\franc\OneDrive\Documentos\MALENTIN KARIME\SERVIU\2016\MARCELA LOPEZ  BORQUEZ nuevo form.doc", "Abrir Documento")</f>
        <v>0</v>
      </c>
      <c r="D2600" t="s">
        <v>23500</v>
      </c>
      <c r="E2600" t="s">
        <v>26088</v>
      </c>
    </row>
    <row r="2601" spans="1:5">
      <c r="A2601" t="s">
        <v>6</v>
      </c>
      <c r="B2601" t="s">
        <v>2606</v>
      </c>
      <c r="C2601">
        <f>HYPERLINK("C:\Users\franc\OneDrive\Documentos\MALENTIN KARIME\SERVIU\2016\LUPERFINA MILLA DS 1.doc", "Abrir Documento")</f>
        <v>0</v>
      </c>
      <c r="D2601" t="s">
        <v>23500</v>
      </c>
      <c r="E2601" t="s">
        <v>26089</v>
      </c>
    </row>
    <row r="2602" spans="1:5">
      <c r="A2602" t="s">
        <v>6</v>
      </c>
      <c r="B2602" t="s">
        <v>2607</v>
      </c>
      <c r="C2602">
        <f>HYPERLINK("C:\Users\franc\OneDrive\Documentos\MALENTIN KARIME\SERVIU\2016\JOSE LUIS VEGA LOPEZ.doc", "Abrir Documento")</f>
        <v>0</v>
      </c>
      <c r="D2602" t="s">
        <v>23500</v>
      </c>
      <c r="E2602" t="s">
        <v>26090</v>
      </c>
    </row>
    <row r="2603" spans="1:5">
      <c r="A2603" t="s">
        <v>6</v>
      </c>
      <c r="B2603" t="s">
        <v>2608</v>
      </c>
      <c r="C2603">
        <f>HYPERLINK("C:\Users\franc\OneDrive\Documentos\MALENTIN KARIME\SERVIU\2016\JAIME PIZARRO PAZ DS 1.doc", "Abrir Documento")</f>
        <v>0</v>
      </c>
      <c r="D2603" t="s">
        <v>23500</v>
      </c>
      <c r="E2603" t="s">
        <v>26091</v>
      </c>
    </row>
    <row r="2604" spans="1:5">
      <c r="A2604" t="s">
        <v>6</v>
      </c>
      <c r="B2604" t="s">
        <v>2609</v>
      </c>
      <c r="C2604">
        <f>HYPERLINK("C:\Users\franc\OneDrive\Documentos\MALENTIN KARIME\SERVIU\2016\INOCENCIO VENEGAS CORTES.doc", "Abrir Documento")</f>
        <v>0</v>
      </c>
      <c r="D2604" t="s">
        <v>23500</v>
      </c>
      <c r="E2604" t="s">
        <v>26092</v>
      </c>
    </row>
    <row r="2605" spans="1:5">
      <c r="A2605" t="s">
        <v>6</v>
      </c>
      <c r="B2605" t="s">
        <v>2610</v>
      </c>
      <c r="C2605">
        <f>HYPERLINK("C:\Users\franc\OneDrive\Documentos\MALENTIN KARIME\SERVIU\2016\HECTOR JORQUERA ECHEVERRIA DS1.doc", "Abrir Documento")</f>
        <v>0</v>
      </c>
      <c r="D2605" t="s">
        <v>23500</v>
      </c>
      <c r="E2605" t="s">
        <v>26093</v>
      </c>
    </row>
    <row r="2606" spans="1:5">
      <c r="A2606" t="s">
        <v>6</v>
      </c>
      <c r="B2606" t="s">
        <v>2611</v>
      </c>
      <c r="C2606">
        <f>HYPERLINK("C:\Users\franc\OneDrive\Documentos\MALENTIN KARIME\SERVIU\2016\GLADYS JARA ECHEVERRIA DS 1.doc", "Abrir Documento")</f>
        <v>0</v>
      </c>
      <c r="D2606" t="s">
        <v>23500</v>
      </c>
      <c r="E2606" t="s">
        <v>26094</v>
      </c>
    </row>
    <row r="2607" spans="1:5">
      <c r="A2607" t="s">
        <v>6</v>
      </c>
      <c r="B2607" t="s">
        <v>2612</v>
      </c>
      <c r="C2607">
        <f>HYPERLINK("C:\Users\franc\OneDrive\Documentos\MALENTIN KARIME\SERVIU\2016\Gabriel Uribe Particular.doc", "Abrir Documento")</f>
        <v>0</v>
      </c>
      <c r="D2607" t="s">
        <v>23500</v>
      </c>
      <c r="E2607" t="s">
        <v>26095</v>
      </c>
    </row>
    <row r="2608" spans="1:5">
      <c r="A2608" t="s">
        <v>6</v>
      </c>
      <c r="B2608" t="s">
        <v>2613</v>
      </c>
      <c r="C2608">
        <f>HYPERLINK("C:\Users\franc\OneDrive\Documentos\MALENTIN KARIME\SERVIU\2016\FRANCISCA CARVAJAL CONTRERAS.doc", "Abrir Documento")</f>
        <v>0</v>
      </c>
      <c r="D2608" t="s">
        <v>23500</v>
      </c>
      <c r="E2608" t="s">
        <v>26096</v>
      </c>
    </row>
    <row r="2609" spans="1:5">
      <c r="A2609" t="s">
        <v>6</v>
      </c>
      <c r="B2609" t="s">
        <v>2614</v>
      </c>
      <c r="C2609">
        <f>HYPERLINK("C:\Users\franc\OneDrive\Documentos\MALENTIN KARIME\SERVIU\2016\FANNY CARMONA FLORES DS 1.doc", "Abrir Documento")</f>
        <v>0</v>
      </c>
      <c r="D2609" t="s">
        <v>23500</v>
      </c>
      <c r="E2609" t="s">
        <v>26097</v>
      </c>
    </row>
    <row r="2610" spans="1:5">
      <c r="A2610" t="s">
        <v>6</v>
      </c>
      <c r="B2610" t="s">
        <v>2615</v>
      </c>
      <c r="C2610">
        <f>HYPERLINK("C:\Users\franc\OneDrive\Documentos\MALENTIN KARIME\SERVIU\2016\FABRIXIJO FARIAS CARVAJAL Declaracion y mandato ahorro.doc", "Abrir Documento")</f>
        <v>0</v>
      </c>
      <c r="D2610" t="s">
        <v>23500</v>
      </c>
      <c r="E2610" t="s">
        <v>26098</v>
      </c>
    </row>
    <row r="2611" spans="1:5">
      <c r="A2611" t="s">
        <v>6</v>
      </c>
      <c r="B2611" t="s">
        <v>2616</v>
      </c>
      <c r="C2611">
        <f>HYPERLINK("C:\Users\franc\OneDrive\Documentos\MALENTIN KARIME\SERVIU\2016\FABRIXIJO FARIAS CARVAJAL Derecho Uso Nuevo Final 2015.doc", "Abrir Documento")</f>
        <v>0</v>
      </c>
      <c r="D2611" t="s">
        <v>23500</v>
      </c>
      <c r="E2611" t="s">
        <v>26098</v>
      </c>
    </row>
    <row r="2612" spans="1:5">
      <c r="A2612" t="s">
        <v>6</v>
      </c>
      <c r="B2612" t="s">
        <v>2617</v>
      </c>
      <c r="C2612">
        <f>HYPERLINK("C:\Users\franc\OneDrive\Documentos\MALENTIN KARIME\SERVIU\2016\EGIDIA LOPEZ ROBLES 2018.doc", "Abrir Documento")</f>
        <v>0</v>
      </c>
      <c r="D2612" t="s">
        <v>23500</v>
      </c>
      <c r="E2612" t="s">
        <v>26099</v>
      </c>
    </row>
    <row r="2613" spans="1:5">
      <c r="A2613" t="s">
        <v>6</v>
      </c>
      <c r="B2613" t="s">
        <v>2618</v>
      </c>
      <c r="C2613">
        <f>HYPERLINK("C:\Users\franc\OneDrive\Documentos\MALENTIN KARIME\SERVIU\2016\DANIEL OLIVARES CASTRO Particular.doc", "Abrir Documento")</f>
        <v>0</v>
      </c>
      <c r="D2613" t="s">
        <v>23500</v>
      </c>
      <c r="E2613" t="s">
        <v>26100</v>
      </c>
    </row>
    <row r="2614" spans="1:5">
      <c r="A2614" t="s">
        <v>6</v>
      </c>
      <c r="B2614" t="s">
        <v>2619</v>
      </c>
      <c r="C2614">
        <f>HYPERLINK("C:\Users\franc\OneDrive\Documentos\MALENTIN KARIME\SERVIU\2016\CARMEN LOYOLA PALACIOS DS 1.doc", "Abrir Documento")</f>
        <v>0</v>
      </c>
      <c r="D2614" t="s">
        <v>23500</v>
      </c>
      <c r="E2614" t="s">
        <v>26101</v>
      </c>
    </row>
    <row r="2615" spans="1:5">
      <c r="A2615" t="s">
        <v>6</v>
      </c>
      <c r="B2615" t="s">
        <v>2620</v>
      </c>
      <c r="C2615">
        <f>HYPERLINK("C:\Users\franc\OneDrive\Documentos\MALENTIN KARIME\SERVIU\2016\ANGEL GONZALEZ GALVEZ.doc", "Abrir Documento")</f>
        <v>0</v>
      </c>
      <c r="D2615" t="s">
        <v>23500</v>
      </c>
      <c r="E2615" t="s">
        <v>26102</v>
      </c>
    </row>
    <row r="2616" spans="1:5">
      <c r="A2616" t="s">
        <v>6</v>
      </c>
      <c r="B2616" t="s">
        <v>2621</v>
      </c>
      <c r="C2616">
        <f>HYPERLINK("C:\Users\franc\OneDrive\Documentos\MALENTIN KARIME\SERVIU\2015\YOLANDA RODRIGUEZ Prohibicion Derecho Comunero.doc", "Abrir Documento")</f>
        <v>0</v>
      </c>
      <c r="D2616" t="s">
        <v>23500</v>
      </c>
      <c r="E2616" t="s">
        <v>26103</v>
      </c>
    </row>
    <row r="2617" spans="1:5">
      <c r="A2617" t="s">
        <v>6</v>
      </c>
      <c r="B2617" t="s">
        <v>2622</v>
      </c>
      <c r="C2617">
        <f>HYPERLINK("C:\Users\franc\OneDrive\Documentos\MALENTIN KARIME\SERVIU\2015\YESSICA CASTILLO BARRAZA.doc", "Abrir Documento")</f>
        <v>0</v>
      </c>
      <c r="D2617" t="s">
        <v>23500</v>
      </c>
      <c r="E2617" t="s">
        <v>26104</v>
      </c>
    </row>
    <row r="2618" spans="1:5">
      <c r="A2618" t="s">
        <v>6</v>
      </c>
      <c r="B2618" t="s">
        <v>2623</v>
      </c>
      <c r="C2618">
        <f>HYPERLINK("C:\Users\franc\OneDrive\Documentos\MALENTIN KARIME\SERVIU\2015\XIMENA MARAMBIO ANTIQUERA.doc", "Abrir Documento")</f>
        <v>0</v>
      </c>
      <c r="D2618" t="s">
        <v>23500</v>
      </c>
      <c r="E2618" t="s">
        <v>26105</v>
      </c>
    </row>
    <row r="2619" spans="1:5">
      <c r="A2619" t="s">
        <v>6</v>
      </c>
      <c r="B2619" t="s">
        <v>2624</v>
      </c>
      <c r="C2619">
        <f>HYPERLINK("C:\Users\franc\OneDrive\Documentos\MALENTIN KARIME\SERVIU\2015\VICENTE DIAZ VILLALOBOS conyuge.doc", "Abrir Documento")</f>
        <v>0</v>
      </c>
      <c r="D2619" t="s">
        <v>23500</v>
      </c>
      <c r="E2619" t="s">
        <v>26106</v>
      </c>
    </row>
    <row r="2620" spans="1:5">
      <c r="A2620" t="s">
        <v>6</v>
      </c>
      <c r="B2620" t="s">
        <v>2625</v>
      </c>
      <c r="C2620">
        <f>HYPERLINK("C:\Users\franc\OneDrive\Documentos\MALENTIN KARIME\SERVIU\2015\VIVIANA ROJAS RODRIGUEZ.doc", "Abrir Documento")</f>
        <v>0</v>
      </c>
      <c r="D2620" t="s">
        <v>23500</v>
      </c>
      <c r="E2620" t="s">
        <v>26106</v>
      </c>
    </row>
    <row r="2621" spans="1:5">
      <c r="A2621" t="s">
        <v>6</v>
      </c>
      <c r="B2621" t="s">
        <v>2626</v>
      </c>
      <c r="C2621">
        <f>HYPERLINK("C:\Users\franc\OneDrive\Documentos\MALENTIN KARIME\SERVIU\2015\SUSANA CONTRERAS.doc", "Abrir Documento")</f>
        <v>0</v>
      </c>
      <c r="D2621" t="s">
        <v>23500</v>
      </c>
      <c r="E2621" t="s">
        <v>26107</v>
      </c>
    </row>
    <row r="2622" spans="1:5">
      <c r="A2622" t="s">
        <v>6</v>
      </c>
      <c r="B2622" t="s">
        <v>2627</v>
      </c>
      <c r="C2622">
        <f>HYPERLINK("C:\Users\franc\OneDrive\Documentos\MALENTIN KARIME\SERVIU\2015\SYLVIA CRISTIAN OLIVARES lote subdiv.doc", "Abrir Documento")</f>
        <v>0</v>
      </c>
      <c r="D2622" t="s">
        <v>23500</v>
      </c>
      <c r="E2622" t="s">
        <v>26107</v>
      </c>
    </row>
    <row r="2623" spans="1:5">
      <c r="A2623" t="s">
        <v>6</v>
      </c>
      <c r="B2623" t="s">
        <v>2628</v>
      </c>
      <c r="C2623">
        <f>HYPERLINK("C:\Users\franc\OneDrive\Documentos\MALENTIN KARIME\SERVIU\2015\SANDRO OLIVARES ARAYA DS 49.doc", "Abrir Documento")</f>
        <v>0</v>
      </c>
      <c r="D2623" t="s">
        <v>23500</v>
      </c>
      <c r="E2623" t="s">
        <v>26108</v>
      </c>
    </row>
    <row r="2624" spans="1:5">
      <c r="A2624" t="s">
        <v>6</v>
      </c>
      <c r="B2624" t="s">
        <v>2629</v>
      </c>
      <c r="C2624">
        <f>HYPERLINK("C:\Users\franc\OneDrive\Documentos\MALENTIN KARIME\SERVIU\2015\SUSANA ADONES ARAYA.doc", "Abrir Documento")</f>
        <v>0</v>
      </c>
      <c r="D2624" t="s">
        <v>23500</v>
      </c>
      <c r="E2624" t="s">
        <v>26108</v>
      </c>
    </row>
    <row r="2625" spans="1:5">
      <c r="A2625" t="s">
        <v>6</v>
      </c>
      <c r="B2625" t="s">
        <v>2630</v>
      </c>
      <c r="C2625">
        <f>HYPERLINK("C:\Users\franc\OneDrive\Documentos\MALENTIN KARIME\SERVIU\2015\ROSA VALDIVIA ARAYA.doc", "Abrir Documento")</f>
        <v>0</v>
      </c>
      <c r="D2625" t="s">
        <v>23500</v>
      </c>
      <c r="E2625" t="s">
        <v>26109</v>
      </c>
    </row>
    <row r="2626" spans="1:5">
      <c r="A2626" t="s">
        <v>6</v>
      </c>
      <c r="B2626" t="s">
        <v>2631</v>
      </c>
      <c r="C2626">
        <f>HYPERLINK("C:\Users\franc\OneDrive\Documentos\MALENTIN KARIME\SERVIU\2015\ROSA VEGA VEGA.doc", "Abrir Documento")</f>
        <v>0</v>
      </c>
      <c r="D2626" t="s">
        <v>23500</v>
      </c>
      <c r="E2626" t="s">
        <v>26109</v>
      </c>
    </row>
    <row r="2627" spans="1:5">
      <c r="A2627" t="s">
        <v>6</v>
      </c>
      <c r="B2627" t="s">
        <v>2632</v>
      </c>
      <c r="C2627">
        <f>HYPERLINK("C:\Users\franc\OneDrive\Documentos\MALENTIN KARIME\SERVIU\2015\ROELIO BARRAZA.doc", "Abrir Documento")</f>
        <v>0</v>
      </c>
      <c r="D2627" t="s">
        <v>23500</v>
      </c>
      <c r="E2627" t="s">
        <v>26110</v>
      </c>
    </row>
    <row r="2628" spans="1:5">
      <c r="A2628" t="s">
        <v>6</v>
      </c>
      <c r="B2628" t="s">
        <v>2633</v>
      </c>
      <c r="C2628">
        <f>HYPERLINK("C:\Users\franc\OneDrive\Documentos\MALENTIN KARIME\SERVIU\2015\RODRIGO ZEPEDA CODOCEO.doc", "Abrir Documento")</f>
        <v>0</v>
      </c>
      <c r="D2628" t="s">
        <v>23500</v>
      </c>
      <c r="E2628" t="s">
        <v>26111</v>
      </c>
    </row>
    <row r="2629" spans="1:5">
      <c r="A2629" t="s">
        <v>6</v>
      </c>
      <c r="B2629" t="s">
        <v>2634</v>
      </c>
      <c r="C2629">
        <f>HYPERLINK("C:\Users\franc\OneDrive\Documentos\MALENTIN KARIME\SERVIU\2015\prohibicion serviu.doc", "Abrir Documento")</f>
        <v>0</v>
      </c>
      <c r="D2629" t="s">
        <v>23500</v>
      </c>
      <c r="E2629" t="s">
        <v>26112</v>
      </c>
    </row>
    <row r="2630" spans="1:5">
      <c r="A2630" t="s">
        <v>6</v>
      </c>
      <c r="B2630" t="s">
        <v>2635</v>
      </c>
      <c r="C2630">
        <f>HYPERLINK("C:\Users\franc\OneDrive\Documentos\MALENTIN KARIME\SERVIU\2015\RAMON RODRIGUEZ.doc", "Abrir Documento")</f>
        <v>0</v>
      </c>
      <c r="D2630" t="s">
        <v>23500</v>
      </c>
      <c r="E2630" t="s">
        <v>26112</v>
      </c>
    </row>
    <row r="2631" spans="1:5">
      <c r="A2631" t="s">
        <v>6</v>
      </c>
      <c r="B2631" t="s">
        <v>2636</v>
      </c>
      <c r="C2631">
        <f>HYPERLINK("C:\Users\franc\OneDrive\Documentos\MALENTIN KARIME\SERVIU\2015\PAMELA IBACACHE.doc", "Abrir Documento")</f>
        <v>0</v>
      </c>
      <c r="D2631" t="s">
        <v>23500</v>
      </c>
      <c r="E2631" t="s">
        <v>26113</v>
      </c>
    </row>
    <row r="2632" spans="1:5">
      <c r="A2632" t="s">
        <v>6</v>
      </c>
      <c r="B2632" t="s">
        <v>2637</v>
      </c>
      <c r="C2632">
        <f>HYPERLINK("C:\Users\franc\OneDrive\Documentos\MALENTIN KARIME\SERVIU\2015\NORMA OYARCE RIVERA.doc", "Abrir Documento")</f>
        <v>0</v>
      </c>
      <c r="D2632" t="s">
        <v>23500</v>
      </c>
      <c r="E2632" t="s">
        <v>26114</v>
      </c>
    </row>
    <row r="2633" spans="1:5">
      <c r="A2633" t="s">
        <v>6</v>
      </c>
      <c r="B2633" t="s">
        <v>2638</v>
      </c>
      <c r="C2633">
        <f>HYPERLINK("C:\Users\franc\OneDrive\Documentos\MALENTIN KARIME\SERVIU\2015\NICOLAS SALAS ARAYA.doc", "Abrir Documento")</f>
        <v>0</v>
      </c>
      <c r="D2633" t="s">
        <v>23500</v>
      </c>
      <c r="E2633" t="s">
        <v>26115</v>
      </c>
    </row>
    <row r="2634" spans="1:5">
      <c r="A2634" t="s">
        <v>6</v>
      </c>
      <c r="B2634" t="s">
        <v>2639</v>
      </c>
      <c r="C2634">
        <f>HYPERLINK("C:\Users\franc\OneDrive\Documentos\MALENTIN KARIME\SERVIU\2015\NOE FLORES VELASQUEZ.doc", "Abrir Documento")</f>
        <v>0</v>
      </c>
      <c r="D2634" t="s">
        <v>23500</v>
      </c>
      <c r="E2634" t="s">
        <v>26115</v>
      </c>
    </row>
    <row r="2635" spans="1:5">
      <c r="A2635" t="s">
        <v>6</v>
      </c>
      <c r="B2635" t="s">
        <v>2640</v>
      </c>
      <c r="C2635">
        <f>HYPERLINK("C:\Users\franc\OneDrive\Documentos\MALENTIN KARIME\SERVIU\2015\NANCY CASTILLO ORTIZ conyuge.doc", "Abrir Documento")</f>
        <v>0</v>
      </c>
      <c r="D2635" t="s">
        <v>23500</v>
      </c>
      <c r="E2635" t="s">
        <v>26116</v>
      </c>
    </row>
    <row r="2636" spans="1:5">
      <c r="A2636" t="s">
        <v>6</v>
      </c>
      <c r="B2636" t="s">
        <v>2641</v>
      </c>
      <c r="C2636">
        <f>HYPERLINK("C:\Users\franc\OneDrive\Documentos\MALENTIN KARIME\SERVIU\2015\NELSON PEÑA ALFARO.doc", "Abrir Documento")</f>
        <v>0</v>
      </c>
      <c r="D2636" t="s">
        <v>23500</v>
      </c>
      <c r="E2636" t="s">
        <v>26116</v>
      </c>
    </row>
    <row r="2637" spans="1:5">
      <c r="A2637" t="s">
        <v>6</v>
      </c>
      <c r="B2637" t="s">
        <v>2642</v>
      </c>
      <c r="C2637">
        <f>HYPERLINK("C:\Users\franc\OneDrive\Documentos\MALENTIN KARIME\SERVIU\2015\MELDA BAEZA CONTRERAS.doc", "Abrir Documento")</f>
        <v>0</v>
      </c>
      <c r="D2637" t="s">
        <v>23500</v>
      </c>
      <c r="E2637" t="s">
        <v>26117</v>
      </c>
    </row>
    <row r="2638" spans="1:5">
      <c r="A2638" t="s">
        <v>6</v>
      </c>
      <c r="B2638" t="s">
        <v>2643</v>
      </c>
      <c r="C2638">
        <f>HYPERLINK("C:\Users\franc\OneDrive\Documentos\MALENTIN KARIME\SERVIU\2015\MONICA ALVARADO GUZMAN DS49.doc", "Abrir Documento")</f>
        <v>0</v>
      </c>
      <c r="D2638" t="s">
        <v>23500</v>
      </c>
      <c r="E2638" t="s">
        <v>26117</v>
      </c>
    </row>
    <row r="2639" spans="1:5">
      <c r="A2639" t="s">
        <v>6</v>
      </c>
      <c r="B2639" t="s">
        <v>2644</v>
      </c>
      <c r="C2639">
        <f>HYPERLINK("C:\Users\franc\OneDrive\Documentos\MALENTIN KARIME\SERVIU\2015\MONICA ARANEDA ZEPEDA.doc", "Abrir Documento")</f>
        <v>0</v>
      </c>
      <c r="D2639" t="s">
        <v>23500</v>
      </c>
      <c r="E2639" t="s">
        <v>26117</v>
      </c>
    </row>
    <row r="2640" spans="1:5">
      <c r="A2640" t="s">
        <v>6</v>
      </c>
      <c r="B2640" t="s">
        <v>2645</v>
      </c>
      <c r="C2640">
        <f>HYPERLINK("C:\Users\franc\OneDrive\Documentos\MALENTIN KARIME\SERVIU\2015\MARIO SILVA ALVARADO DS49.doc", "Abrir Documento")</f>
        <v>0</v>
      </c>
      <c r="D2640" t="s">
        <v>23500</v>
      </c>
      <c r="E2640" t="s">
        <v>26118</v>
      </c>
    </row>
    <row r="2641" spans="1:5">
      <c r="A2641" t="s">
        <v>6</v>
      </c>
      <c r="B2641" t="s">
        <v>2646</v>
      </c>
      <c r="C2641">
        <f>HYPERLINK("C:\Users\franc\OneDrive\Documentos\MALENTIN KARIME\SERVIU\2015\MARINA CORTES BARRAZA.doc", "Abrir Documento")</f>
        <v>0</v>
      </c>
      <c r="D2641" t="s">
        <v>23500</v>
      </c>
      <c r="E2641" t="s">
        <v>26119</v>
      </c>
    </row>
    <row r="2642" spans="1:5">
      <c r="A2642" t="s">
        <v>6</v>
      </c>
      <c r="B2642" t="s">
        <v>2647</v>
      </c>
      <c r="C2642">
        <f>HYPERLINK("C:\Users\franc\OneDrive\Documentos\MALENTIN KARIME\SERVIU\2015\MARIA ROJAS SALAS ds 49.doc", "Abrir Documento")</f>
        <v>0</v>
      </c>
      <c r="D2642" t="s">
        <v>23500</v>
      </c>
      <c r="E2642" t="s">
        <v>26120</v>
      </c>
    </row>
    <row r="2643" spans="1:5">
      <c r="A2643" t="s">
        <v>6</v>
      </c>
      <c r="B2643" t="s">
        <v>2648</v>
      </c>
      <c r="C2643">
        <f>HYPERLINK("C:\Users\franc\OneDrive\Documentos\MALENTIN KARIME\SERVIU\2015\MARICELA BAEZA CASTRO.doc", "Abrir Documento")</f>
        <v>0</v>
      </c>
      <c r="D2643" t="s">
        <v>23500</v>
      </c>
      <c r="E2643" t="s">
        <v>26120</v>
      </c>
    </row>
    <row r="2644" spans="1:5">
      <c r="A2644" t="s">
        <v>6</v>
      </c>
      <c r="B2644" t="s">
        <v>2649</v>
      </c>
      <c r="C2644">
        <f>HYPERLINK("C:\Users\franc\OneDrive\Documentos\MALENTIN KARIME\SERVIU\2015\MARIA CORTES VALDIVIA conyuge.doc", "Abrir Documento")</f>
        <v>0</v>
      </c>
      <c r="D2644" t="s">
        <v>23500</v>
      </c>
      <c r="E2644" t="s">
        <v>26121</v>
      </c>
    </row>
    <row r="2645" spans="1:5">
      <c r="A2645" t="s">
        <v>6</v>
      </c>
      <c r="B2645" t="s">
        <v>2650</v>
      </c>
      <c r="C2645">
        <f>HYPERLINK("C:\Users\franc\OneDrive\Documentos\MALENTIN KARIME\SERVIU\2015\MARIA LOPEZ GONZALEZ.doc", "Abrir Documento")</f>
        <v>0</v>
      </c>
      <c r="D2645" t="s">
        <v>23500</v>
      </c>
      <c r="E2645" t="s">
        <v>26121</v>
      </c>
    </row>
    <row r="2646" spans="1:5">
      <c r="A2646" t="s">
        <v>6</v>
      </c>
      <c r="B2646" t="s">
        <v>2651</v>
      </c>
      <c r="C2646">
        <f>HYPERLINK("C:\Users\franc\OneDrive\Documentos\MALENTIN KARIME\SERVIU\2015\MARIA CODOCEO LEON.doc", "Abrir Documento")</f>
        <v>0</v>
      </c>
      <c r="D2646" t="s">
        <v>23500</v>
      </c>
      <c r="E2646" t="s">
        <v>26122</v>
      </c>
    </row>
    <row r="2647" spans="1:5">
      <c r="A2647" t="s">
        <v>6</v>
      </c>
      <c r="B2647" t="s">
        <v>2652</v>
      </c>
      <c r="C2647">
        <f>HYPERLINK("C:\Users\franc\OneDrive\Documentos\MALENTIN KARIME\SERVIU\2015\MARIA ANDRADE ULLOA.doc", "Abrir Documento")</f>
        <v>0</v>
      </c>
      <c r="D2647" t="s">
        <v>23500</v>
      </c>
      <c r="E2647" t="s">
        <v>26123</v>
      </c>
    </row>
    <row r="2648" spans="1:5">
      <c r="A2648" t="s">
        <v>6</v>
      </c>
      <c r="B2648" t="s">
        <v>2653</v>
      </c>
      <c r="C2648">
        <f>HYPERLINK("C:\Users\franc\OneDrive\Documentos\MALENTIN KARIME\SERVIU\2015\MARGARITA ROBLES.doc", "Abrir Documento")</f>
        <v>0</v>
      </c>
      <c r="D2648" t="s">
        <v>23500</v>
      </c>
      <c r="E2648" t="s">
        <v>26124</v>
      </c>
    </row>
    <row r="2649" spans="1:5">
      <c r="A2649" t="s">
        <v>6</v>
      </c>
      <c r="B2649" t="s">
        <v>2654</v>
      </c>
      <c r="C2649">
        <f>HYPERLINK("C:\Users\franc\OneDrive\Documentos\MALENTIN KARIME\SERVIU\2015\MAFALDA CARMEN DIAZ conyuge.doc", "Abrir Documento")</f>
        <v>0</v>
      </c>
      <c r="D2649" t="s">
        <v>23500</v>
      </c>
      <c r="E2649" t="s">
        <v>26125</v>
      </c>
    </row>
    <row r="2650" spans="1:5">
      <c r="A2650" t="s">
        <v>6</v>
      </c>
      <c r="B2650" t="s">
        <v>2655</v>
      </c>
      <c r="C2650">
        <f>HYPERLINK("C:\Users\franc\OneDrive\Documentos\MALENTIN KARIME\SERVIU\2015\LUPERFINO ZAPATA LARA.doc", "Abrir Documento")</f>
        <v>0</v>
      </c>
      <c r="D2650" t="s">
        <v>23500</v>
      </c>
      <c r="E2650" t="s">
        <v>26126</v>
      </c>
    </row>
    <row r="2651" spans="1:5">
      <c r="A2651" t="s">
        <v>6</v>
      </c>
      <c r="B2651" t="s">
        <v>2656</v>
      </c>
      <c r="C2651">
        <f>HYPERLINK("C:\Users\franc\OneDrive\Documentos\MALENTIN KARIME\SERVIU\2015\LUCY BUGUEÑO.doc", "Abrir Documento")</f>
        <v>0</v>
      </c>
      <c r="D2651" t="s">
        <v>23500</v>
      </c>
      <c r="E2651" t="s">
        <v>26127</v>
      </c>
    </row>
    <row r="2652" spans="1:5">
      <c r="A2652" t="s">
        <v>6</v>
      </c>
      <c r="B2652" t="s">
        <v>2657</v>
      </c>
      <c r="C2652">
        <f>HYPERLINK("C:\Users\franc\OneDrive\Documentos\MALENTIN KARIME\SERVIU\2015\LUIS CARVAJAL CARVAJAL.doc", "Abrir Documento")</f>
        <v>0</v>
      </c>
      <c r="D2652" t="s">
        <v>23500</v>
      </c>
      <c r="E2652" t="s">
        <v>26127</v>
      </c>
    </row>
    <row r="2653" spans="1:5">
      <c r="A2653" t="s">
        <v>6</v>
      </c>
      <c r="B2653" t="s">
        <v>2658</v>
      </c>
      <c r="C2653">
        <f>HYPERLINK("C:\Users\franc\OneDrive\Documentos\MALENTIN KARIME\SERVIU\2015\LEONILDA PAEZ FABRES varios.doc", "Abrir Documento")</f>
        <v>0</v>
      </c>
      <c r="D2653" t="s">
        <v>23500</v>
      </c>
      <c r="E2653" t="s">
        <v>26128</v>
      </c>
    </row>
    <row r="2654" spans="1:5">
      <c r="A2654" t="s">
        <v>6</v>
      </c>
      <c r="B2654" t="s">
        <v>2659</v>
      </c>
      <c r="C2654">
        <f>HYPERLINK("C:\Users\franc\OneDrive\Documentos\MALENTIN KARIME\SERVIU\2015\LEONILDA PAEZ FABRES prohibicionvarios.doc", "Abrir Documento")</f>
        <v>0</v>
      </c>
      <c r="D2654" t="s">
        <v>23500</v>
      </c>
      <c r="E2654" t="s">
        <v>26129</v>
      </c>
    </row>
    <row r="2655" spans="1:5">
      <c r="A2655" t="s">
        <v>6</v>
      </c>
      <c r="B2655" t="s">
        <v>2660</v>
      </c>
      <c r="C2655">
        <f>HYPERLINK("C:\Users\franc\OneDrive\Documentos\MALENTIN KARIME\SERVIU\2015\JUANA TORREJON TORREJON.doc", "Abrir Documento")</f>
        <v>0</v>
      </c>
      <c r="D2655" t="s">
        <v>23500</v>
      </c>
      <c r="E2655" t="s">
        <v>26130</v>
      </c>
    </row>
    <row r="2656" spans="1:5">
      <c r="A2656" t="s">
        <v>6</v>
      </c>
      <c r="B2656" t="s">
        <v>2661</v>
      </c>
      <c r="C2656">
        <f>HYPERLINK("C:\Users\franc\OneDrive\Documentos\MALENTIN KARIME\SERVIU\2015\JUANA ROBLES ROBLES.doc", "Abrir Documento")</f>
        <v>0</v>
      </c>
      <c r="D2656" t="s">
        <v>23500</v>
      </c>
      <c r="E2656" t="s">
        <v>26131</v>
      </c>
    </row>
    <row r="2657" spans="1:5">
      <c r="A2657" t="s">
        <v>6</v>
      </c>
      <c r="B2657" t="s">
        <v>2662</v>
      </c>
      <c r="C2657">
        <f>HYPERLINK("C:\Users\franc\OneDrive\Documentos\MALENTIN KARIME\SERVIU\2015\JUANA PIÑONES.doc", "Abrir Documento")</f>
        <v>0</v>
      </c>
      <c r="D2657" t="s">
        <v>23500</v>
      </c>
      <c r="E2657" t="s">
        <v>26132</v>
      </c>
    </row>
    <row r="2658" spans="1:5">
      <c r="A2658" t="s">
        <v>6</v>
      </c>
      <c r="B2658" t="s">
        <v>2663</v>
      </c>
      <c r="C2658">
        <f>HYPERLINK("C:\Users\franc\OneDrive\Documentos\MALENTIN KARIME\SERVIU\2015\JUANA CORTES MUÑOZ.doc", "Abrir Documento")</f>
        <v>0</v>
      </c>
      <c r="D2658" t="s">
        <v>23500</v>
      </c>
      <c r="E2658" t="s">
        <v>26133</v>
      </c>
    </row>
    <row r="2659" spans="1:5">
      <c r="A2659" t="s">
        <v>6</v>
      </c>
      <c r="B2659" t="s">
        <v>2664</v>
      </c>
      <c r="C2659">
        <f>HYPERLINK("C:\Users\franc\OneDrive\Documentos\MALENTIN KARIME\SERVIU\2015\JIMMY LARA JULIO.doc", "Abrir Documento")</f>
        <v>0</v>
      </c>
      <c r="D2659" t="s">
        <v>23500</v>
      </c>
      <c r="E2659" t="s">
        <v>26134</v>
      </c>
    </row>
    <row r="2660" spans="1:5">
      <c r="A2660" t="s">
        <v>6</v>
      </c>
      <c r="B2660" t="s">
        <v>2665</v>
      </c>
      <c r="C2660">
        <f>HYPERLINK("C:\Users\franc\OneDrive\Documentos\MALENTIN KARIME\SERVIU\2015\JOSEFINA MARAMBIO.doc", "Abrir Documento")</f>
        <v>0</v>
      </c>
      <c r="D2660" t="s">
        <v>23500</v>
      </c>
      <c r="E2660" t="s">
        <v>26134</v>
      </c>
    </row>
    <row r="2661" spans="1:5">
      <c r="A2661" t="s">
        <v>6</v>
      </c>
      <c r="B2661" t="s">
        <v>2666</v>
      </c>
      <c r="C2661">
        <f>HYPERLINK("C:\Users\franc\OneDrive\Documentos\MALENTIN KARIME\SERVIU\2015\HILDA CARVAJAL ORDENES.doc", "Abrir Documento")</f>
        <v>0</v>
      </c>
      <c r="D2661" t="s">
        <v>23500</v>
      </c>
      <c r="E2661" t="s">
        <v>26135</v>
      </c>
    </row>
    <row r="2662" spans="1:5">
      <c r="A2662" t="s">
        <v>6</v>
      </c>
      <c r="B2662" t="s">
        <v>2667</v>
      </c>
      <c r="C2662">
        <f>HYPERLINK("C:\Users\franc\OneDrive\Documentos\MALENTIN KARIME\SERVIU\2015\JACINTO CASTRO ROJAS.doc", "Abrir Documento")</f>
        <v>0</v>
      </c>
      <c r="D2662" t="s">
        <v>23500</v>
      </c>
      <c r="E2662" t="s">
        <v>26135</v>
      </c>
    </row>
    <row r="2663" spans="1:5">
      <c r="A2663" t="s">
        <v>6</v>
      </c>
      <c r="B2663" t="s">
        <v>2668</v>
      </c>
      <c r="C2663">
        <f>HYPERLINK("C:\Users\franc\OneDrive\Documentos\MALENTIN KARIME\SERVIU\2015\HECTOR IBACACHE.doc", "Abrir Documento")</f>
        <v>0</v>
      </c>
      <c r="D2663" t="s">
        <v>23500</v>
      </c>
      <c r="E2663" t="s">
        <v>26136</v>
      </c>
    </row>
    <row r="2664" spans="1:5">
      <c r="A2664" t="s">
        <v>6</v>
      </c>
      <c r="B2664" t="s">
        <v>2669</v>
      </c>
      <c r="C2664">
        <f>HYPERLINK("C:\Users\franc\OneDrive\Documentos\MALENTIN KARIME\SERVIU\2015\FRANCISCO GALLARDO CONTRERAS.doc", "Abrir Documento")</f>
        <v>0</v>
      </c>
      <c r="D2664" t="s">
        <v>23500</v>
      </c>
      <c r="E2664" t="s">
        <v>26137</v>
      </c>
    </row>
    <row r="2665" spans="1:5">
      <c r="A2665" t="s">
        <v>6</v>
      </c>
      <c r="B2665" t="s">
        <v>2670</v>
      </c>
      <c r="C2665">
        <f>HYPERLINK("C:\Users\franc\OneDrive\Documentos\MALENTIN KARIME\SERVIU\2015\ESIQUIEL CORTES GARCIA.doc", "Abrir Documento")</f>
        <v>0</v>
      </c>
      <c r="D2665" t="s">
        <v>23500</v>
      </c>
      <c r="E2665" t="s">
        <v>26138</v>
      </c>
    </row>
    <row r="2666" spans="1:5">
      <c r="A2666" t="s">
        <v>6</v>
      </c>
      <c r="B2666" t="s">
        <v>2671</v>
      </c>
      <c r="C2666">
        <f>HYPERLINK("C:\Users\franc\OneDrive\Documentos\MALENTIN KARIME\SERVIU\2015\FABIOLA ROJAS RODRIGUEZ.doc", "Abrir Documento")</f>
        <v>0</v>
      </c>
      <c r="D2666" t="s">
        <v>23500</v>
      </c>
      <c r="E2666" t="s">
        <v>26138</v>
      </c>
    </row>
    <row r="2667" spans="1:5">
      <c r="A2667" t="s">
        <v>6</v>
      </c>
      <c r="B2667" t="s">
        <v>2672</v>
      </c>
      <c r="C2667">
        <f>HYPERLINK("C:\Users\franc\OneDrive\Documentos\MALENTIN KARIME\SERVIU\2015\ERMO CORTES MARDONES.doc", "Abrir Documento")</f>
        <v>0</v>
      </c>
      <c r="D2667" t="s">
        <v>23500</v>
      </c>
      <c r="E2667" t="s">
        <v>26139</v>
      </c>
    </row>
    <row r="2668" spans="1:5">
      <c r="A2668" t="s">
        <v>6</v>
      </c>
      <c r="B2668" t="s">
        <v>2673</v>
      </c>
      <c r="C2668">
        <f>HYPERLINK("C:\Users\franc\OneDrive\Documentos\MALENTIN KARIME\SERVIU\2015\EMILIANA AVENDAÑO conyuge.doc", "Abrir Documento")</f>
        <v>0</v>
      </c>
      <c r="D2668" t="s">
        <v>23500</v>
      </c>
      <c r="E2668" t="s">
        <v>26140</v>
      </c>
    </row>
    <row r="2669" spans="1:5">
      <c r="A2669" t="s">
        <v>6</v>
      </c>
      <c r="B2669" t="s">
        <v>2674</v>
      </c>
      <c r="C2669">
        <f>HYPERLINK("C:\Users\franc\OneDrive\Documentos\MALENTIN KARIME\SERVIU\2015\EDILIA LOPEZ DIAZ.doc", "Abrir Documento")</f>
        <v>0</v>
      </c>
      <c r="D2669" t="s">
        <v>23500</v>
      </c>
      <c r="E2669" t="s">
        <v>26141</v>
      </c>
    </row>
    <row r="2670" spans="1:5">
      <c r="A2670" t="s">
        <v>6</v>
      </c>
      <c r="B2670" t="s">
        <v>2675</v>
      </c>
      <c r="C2670">
        <f>HYPERLINK("C:\Users\franc\OneDrive\Documentos\MALENTIN KARIME\SERVIU\2015\EDELMIRA LANAS ROJAS.doc", "Abrir Documento")</f>
        <v>0</v>
      </c>
      <c r="D2670" t="s">
        <v>23500</v>
      </c>
      <c r="E2670" t="s">
        <v>26142</v>
      </c>
    </row>
    <row r="2671" spans="1:5">
      <c r="A2671" t="s">
        <v>6</v>
      </c>
      <c r="B2671" t="s">
        <v>2676</v>
      </c>
      <c r="C2671">
        <f>HYPERLINK("C:\Users\franc\OneDrive\Documentos\MALENTIN KARIME\SERVIU\2015\DANISSA POZO GARCIA.doc", "Abrir Documento")</f>
        <v>0</v>
      </c>
      <c r="D2671" t="s">
        <v>23500</v>
      </c>
      <c r="E2671" t="s">
        <v>26143</v>
      </c>
    </row>
    <row r="2672" spans="1:5">
      <c r="A2672" t="s">
        <v>6</v>
      </c>
      <c r="B2672" t="s">
        <v>2677</v>
      </c>
      <c r="C2672">
        <f>HYPERLINK("C:\Users\franc\OneDrive\Documentos\MALENTIN KARIME\SERVIU\2015\CRISTINA PIZARRO PIZARRO.doc", "Abrir Documento")</f>
        <v>0</v>
      </c>
      <c r="D2672" t="s">
        <v>23500</v>
      </c>
      <c r="E2672" t="s">
        <v>26144</v>
      </c>
    </row>
    <row r="2673" spans="1:5">
      <c r="A2673" t="s">
        <v>6</v>
      </c>
      <c r="B2673" t="s">
        <v>2678</v>
      </c>
      <c r="C2673">
        <f>HYPERLINK("C:\Users\franc\OneDrive\Documentos\MALENTIN KARIME\SERVIU\2015\CELINDA MUÑOZ VELIZ.doc", "Abrir Documento")</f>
        <v>0</v>
      </c>
      <c r="D2673" t="s">
        <v>23500</v>
      </c>
      <c r="E2673" t="s">
        <v>26145</v>
      </c>
    </row>
    <row r="2674" spans="1:5">
      <c r="A2674" t="s">
        <v>6</v>
      </c>
      <c r="B2674" t="s">
        <v>2679</v>
      </c>
      <c r="C2674">
        <f>HYPERLINK("C:\Users\franc\OneDrive\Documentos\MALENTIN KARIME\SERVIU\2015\CECLIA PAVEZ ARDILESconyuge.doc", "Abrir Documento")</f>
        <v>0</v>
      </c>
      <c r="D2674" t="s">
        <v>23500</v>
      </c>
      <c r="E2674" t="s">
        <v>26146</v>
      </c>
    </row>
    <row r="2675" spans="1:5">
      <c r="A2675" t="s">
        <v>6</v>
      </c>
      <c r="B2675" t="s">
        <v>2680</v>
      </c>
      <c r="C2675">
        <f>HYPERLINK("C:\Users\franc\OneDrive\Documentos\MALENTIN KARIME\SERVIU\2015\CECILIA ANDRADE MONARDEZ.doc", "Abrir Documento")</f>
        <v>0</v>
      </c>
      <c r="D2675" t="s">
        <v>23500</v>
      </c>
      <c r="E2675" t="s">
        <v>26147</v>
      </c>
    </row>
    <row r="2676" spans="1:5">
      <c r="A2676" t="s">
        <v>6</v>
      </c>
      <c r="B2676" t="s">
        <v>2681</v>
      </c>
      <c r="C2676">
        <f>HYPERLINK("C:\Users\franc\OneDrive\Documentos\MALENTIN KARIME\SERVIU\2015\BERNARDO CONTRERAS AGUIRRE DS 49.doc", "Abrir Documento")</f>
        <v>0</v>
      </c>
      <c r="D2676" t="s">
        <v>23500</v>
      </c>
      <c r="E2676" t="s">
        <v>26148</v>
      </c>
    </row>
    <row r="2677" spans="1:5">
      <c r="A2677" t="s">
        <v>6</v>
      </c>
      <c r="B2677" t="s">
        <v>2682</v>
      </c>
      <c r="C2677">
        <f>HYPERLINK("C:\Users\franc\OneDrive\Documentos\MALENTIN KARIME\SERVIU\2015\BLAS OLIVARES VALVERDE DS49.doc", "Abrir Documento")</f>
        <v>0</v>
      </c>
      <c r="D2677" t="s">
        <v>23500</v>
      </c>
      <c r="E2677" t="s">
        <v>26148</v>
      </c>
    </row>
    <row r="2678" spans="1:5">
      <c r="A2678" t="s">
        <v>6</v>
      </c>
      <c r="B2678" t="s">
        <v>2683</v>
      </c>
      <c r="C2678">
        <f>HYPERLINK("C:\Users\franc\OneDrive\Documentos\MALENTIN KARIME\SERVIU\2015\ANSELMO GALLEGUILLOS.doc", "Abrir Documento")</f>
        <v>0</v>
      </c>
      <c r="D2678" t="s">
        <v>23500</v>
      </c>
      <c r="E2678" t="s">
        <v>26149</v>
      </c>
    </row>
    <row r="2679" spans="1:5">
      <c r="A2679" t="s">
        <v>6</v>
      </c>
      <c r="B2679" t="s">
        <v>2684</v>
      </c>
      <c r="C2679">
        <f>HYPERLINK("C:\Users\franc\OneDrive\Documentos\MALENTIN KARIME\SERVIU\2015\ANA RIVERA.doc", "Abrir Documento")</f>
        <v>0</v>
      </c>
      <c r="D2679" t="s">
        <v>23500</v>
      </c>
      <c r="E2679" t="s">
        <v>26150</v>
      </c>
    </row>
    <row r="2680" spans="1:5">
      <c r="A2680" t="s">
        <v>6</v>
      </c>
      <c r="B2680" t="s">
        <v>2685</v>
      </c>
      <c r="C2680">
        <f>HYPERLINK("C:\Users\franc\OneDrive\Documentos\MALENTIN KARIME\SERVIU\2015\ANA ESPINOLA ORTIZ.doc", "Abrir Documento")</f>
        <v>0</v>
      </c>
      <c r="D2680" t="s">
        <v>23500</v>
      </c>
      <c r="E2680" t="s">
        <v>26151</v>
      </c>
    </row>
    <row r="2681" spans="1:5">
      <c r="A2681" t="s">
        <v>6</v>
      </c>
      <c r="B2681" t="s">
        <v>2686</v>
      </c>
      <c r="C2681">
        <f>HYPERLINK("C:\Users\franc\OneDrive\Documentos\MALENTIN KARIME\SERVIU\2015\ANA CASTILLO JARA DS 1.doc", "Abrir Documento")</f>
        <v>0</v>
      </c>
      <c r="D2681" t="s">
        <v>23500</v>
      </c>
      <c r="E2681" t="s">
        <v>26152</v>
      </c>
    </row>
    <row r="2682" spans="1:5">
      <c r="A2682" t="s">
        <v>6</v>
      </c>
      <c r="B2682" t="s">
        <v>2687</v>
      </c>
      <c r="C2682">
        <f>HYPERLINK("C:\Users\franc\OneDrive\Documentos\MALENTIN KARIME\SERVIU\2015\AMERICA VALVERDE OLIVARES.doc", "Abrir Documento")</f>
        <v>0</v>
      </c>
      <c r="D2682" t="s">
        <v>23500</v>
      </c>
      <c r="E2682" t="s">
        <v>26153</v>
      </c>
    </row>
    <row r="2683" spans="1:5">
      <c r="A2683" t="s">
        <v>6</v>
      </c>
      <c r="B2683" t="s">
        <v>2688</v>
      </c>
      <c r="C2683">
        <f>HYPERLINK("C:\Users\franc\OneDrive\Documentos\MALENTIN KARIME\SERVIU\2015\ALICIA CISTERNAS CISTERNAS.doc", "Abrir Documento")</f>
        <v>0</v>
      </c>
      <c r="D2683" t="s">
        <v>23500</v>
      </c>
      <c r="E2683" t="s">
        <v>26154</v>
      </c>
    </row>
    <row r="2684" spans="1:5">
      <c r="A2684" t="s">
        <v>6</v>
      </c>
      <c r="B2684" t="s">
        <v>2689</v>
      </c>
      <c r="C2684">
        <f>HYPERLINK("C:\Users\franc\OneDrive\Documentos\MALENTIN KARIME\SERVIU\2014\YARMINE SOLANGE JAIME DIAZ.doc", "Abrir Documento")</f>
        <v>0</v>
      </c>
      <c r="D2684" t="s">
        <v>23500</v>
      </c>
      <c r="E2684" t="s">
        <v>26155</v>
      </c>
    </row>
    <row r="2685" spans="1:5">
      <c r="A2685" t="s">
        <v>6</v>
      </c>
      <c r="B2685" t="s">
        <v>2690</v>
      </c>
      <c r="C2685">
        <f>HYPERLINK("C:\Users\franc\OneDrive\Documentos\MALENTIN KARIME\SERVIU\2014\TERESA ALFARO ALFARO.doc", "Abrir Documento")</f>
        <v>0</v>
      </c>
      <c r="D2685" t="s">
        <v>23500</v>
      </c>
      <c r="E2685" t="s">
        <v>26156</v>
      </c>
    </row>
    <row r="2686" spans="1:5">
      <c r="A2686" t="s">
        <v>6</v>
      </c>
      <c r="B2686" t="s">
        <v>2691</v>
      </c>
      <c r="C2686">
        <f>HYPERLINK("C:\Users\franc\OneDrive\Documentos\MALENTIN KARIME\SERVIU\2014\SONIA RIVERA ROJAS.doc", "Abrir Documento")</f>
        <v>0</v>
      </c>
      <c r="D2686" t="s">
        <v>23500</v>
      </c>
      <c r="E2686" t="s">
        <v>26157</v>
      </c>
    </row>
    <row r="2687" spans="1:5">
      <c r="A2687" t="s">
        <v>6</v>
      </c>
      <c r="B2687" t="s">
        <v>2692</v>
      </c>
      <c r="C2687">
        <f>HYPERLINK("C:\Users\franc\OneDrive\Documentos\MALENTIN KARIME\SERVIU\2014\ROSA CONTADOR CARVAJAL Comp serviu.doc", "Abrir Documento")</f>
        <v>0</v>
      </c>
      <c r="D2687" t="s">
        <v>23500</v>
      </c>
      <c r="E2687" t="s">
        <v>26158</v>
      </c>
    </row>
    <row r="2688" spans="1:5">
      <c r="A2688" t="s">
        <v>6</v>
      </c>
      <c r="B2688" t="s">
        <v>2693</v>
      </c>
      <c r="C2688">
        <f>HYPERLINK("C:\Users\franc\OneDrive\Documentos\MALENTIN KARIME\SERVIU\2014\RICARDO CORTES GARCIA.doc", "Abrir Documento")</f>
        <v>0</v>
      </c>
      <c r="D2688" t="s">
        <v>23500</v>
      </c>
      <c r="E2688" t="s">
        <v>26159</v>
      </c>
    </row>
    <row r="2689" spans="1:5">
      <c r="A2689" t="s">
        <v>6</v>
      </c>
      <c r="B2689" t="s">
        <v>2694</v>
      </c>
      <c r="C2689">
        <f>HYPERLINK("C:\Users\franc\OneDrive\Documentos\MALENTIN KARIME\SERVIU\2014\RODRIGO PINEDA BUGUEÑO 1 lote del total.doc", "Abrir Documento")</f>
        <v>0</v>
      </c>
      <c r="D2689" t="s">
        <v>23500</v>
      </c>
      <c r="E2689" t="s">
        <v>26159</v>
      </c>
    </row>
    <row r="2690" spans="1:5">
      <c r="A2690" t="s">
        <v>6</v>
      </c>
      <c r="B2690" t="s">
        <v>2695</v>
      </c>
      <c r="C2690">
        <f>HYPERLINK("C:\Users\franc\OneDrive\Documentos\MALENTIN KARIME\SERVIU\2014\ROMINA VEGA VEGA.doc", "Abrir Documento")</f>
        <v>0</v>
      </c>
      <c r="D2690" t="s">
        <v>23500</v>
      </c>
      <c r="E2690" t="s">
        <v>26159</v>
      </c>
    </row>
    <row r="2691" spans="1:5">
      <c r="A2691" t="s">
        <v>6</v>
      </c>
      <c r="B2691" t="s">
        <v>2696</v>
      </c>
      <c r="C2691">
        <f>HYPERLINK("C:\Users\franc\OneDrive\Documentos\MALENTIN KARIME\SERVIU\2014\PASCUAL TAPIA ARAYA.doc", "Abrir Documento")</f>
        <v>0</v>
      </c>
      <c r="D2691" t="s">
        <v>23500</v>
      </c>
      <c r="E2691" t="s">
        <v>26160</v>
      </c>
    </row>
    <row r="2692" spans="1:5">
      <c r="A2692" t="s">
        <v>6</v>
      </c>
      <c r="B2692" t="s">
        <v>2697</v>
      </c>
      <c r="C2692">
        <f>HYPERLINK("C:\Users\franc\OneDrive\Documentos\MALENTIN KARIME\SERVIU\2014\PEDRO ALDUNATE.doc", "Abrir Documento")</f>
        <v>0</v>
      </c>
      <c r="D2692" t="s">
        <v>23500</v>
      </c>
      <c r="E2692" t="s">
        <v>26160</v>
      </c>
    </row>
    <row r="2693" spans="1:5">
      <c r="A2693" t="s">
        <v>6</v>
      </c>
      <c r="B2693" t="s">
        <v>2698</v>
      </c>
      <c r="C2693">
        <f>HYPERLINK("C:\Users\franc\OneDrive\Documentos\MALENTIN KARIME\SERVIU\2014\NOLVIA MERCEDES MUÑOZ ASTUDILLO.doc", "Abrir Documento")</f>
        <v>0</v>
      </c>
      <c r="D2693" t="s">
        <v>23500</v>
      </c>
      <c r="E2693" t="s">
        <v>26161</v>
      </c>
    </row>
    <row r="2694" spans="1:5">
      <c r="A2694" t="s">
        <v>6</v>
      </c>
      <c r="B2694" t="s">
        <v>2699</v>
      </c>
      <c r="C2694">
        <f>HYPERLINK("C:\Users\franc\OneDrive\Documentos\MALENTIN KARIME\SERVIU\2014\PAOLA MILLA ALFARO.doc", "Abrir Documento")</f>
        <v>0</v>
      </c>
      <c r="D2694" t="s">
        <v>23500</v>
      </c>
      <c r="E2694" t="s">
        <v>26161</v>
      </c>
    </row>
    <row r="2695" spans="1:5">
      <c r="A2695" t="s">
        <v>6</v>
      </c>
      <c r="B2695" t="s">
        <v>2700</v>
      </c>
      <c r="C2695">
        <f>HYPERLINK("C:\Users\franc\OneDrive\Documentos\MALENTIN KARIME\SERVIU\2014\MONICA MADRID MONARDEZ.doc", "Abrir Documento")</f>
        <v>0</v>
      </c>
      <c r="D2695" t="s">
        <v>23500</v>
      </c>
      <c r="E2695" t="s">
        <v>26162</v>
      </c>
    </row>
    <row r="2696" spans="1:5">
      <c r="A2696" t="s">
        <v>6</v>
      </c>
      <c r="B2696" t="s">
        <v>2701</v>
      </c>
      <c r="C2696">
        <f>HYPERLINK("C:\Users\franc\OneDrive\Documentos\MALENTIN KARIME\SERVIU\2014\MARIA PALLERO ALDUNATE.doc", "Abrir Documento")</f>
        <v>0</v>
      </c>
      <c r="D2696" t="s">
        <v>23500</v>
      </c>
      <c r="E2696" t="s">
        <v>26163</v>
      </c>
    </row>
    <row r="2697" spans="1:5">
      <c r="A2697" t="s">
        <v>6</v>
      </c>
      <c r="B2697" t="s">
        <v>2702</v>
      </c>
      <c r="C2697">
        <f>HYPERLINK("C:\Users\franc\OneDrive\Documentos\MALENTIN KARIME\SERVIU\2014\MARIA TORRES RAMOS.doc", "Abrir Documento")</f>
        <v>0</v>
      </c>
      <c r="D2697" t="s">
        <v>23500</v>
      </c>
      <c r="E2697" t="s">
        <v>26163</v>
      </c>
    </row>
    <row r="2698" spans="1:5">
      <c r="A2698" t="s">
        <v>6</v>
      </c>
      <c r="B2698" t="s">
        <v>2703</v>
      </c>
      <c r="C2698">
        <f>HYPERLINK("C:\Users\franc\OneDrive\Documentos\MALENTIN KARIME\SERVIU\2014\MARIA LUISA ROJAS ALUCEMA.doc", "Abrir Documento")</f>
        <v>0</v>
      </c>
      <c r="D2698" t="s">
        <v>23500</v>
      </c>
      <c r="E2698" t="s">
        <v>26164</v>
      </c>
    </row>
    <row r="2699" spans="1:5">
      <c r="A2699" t="s">
        <v>6</v>
      </c>
      <c r="B2699" t="s">
        <v>2704</v>
      </c>
      <c r="C2699">
        <f>HYPERLINK("C:\Users\franc\OneDrive\Documentos\MALENTIN KARIME\SERVIU\2014\MARIA OLIVIA PIZARRO.doc", "Abrir Documento")</f>
        <v>0</v>
      </c>
      <c r="D2699" t="s">
        <v>23500</v>
      </c>
      <c r="E2699" t="s">
        <v>26164</v>
      </c>
    </row>
    <row r="2700" spans="1:5">
      <c r="A2700" t="s">
        <v>6</v>
      </c>
      <c r="B2700" t="s">
        <v>2705</v>
      </c>
      <c r="C2700">
        <f>HYPERLINK("C:\Users\franc\OneDrive\Documentos\MALENTIN KARIME\SERVIU\2014\MARIA ARAYA ELORZA.doc", "Abrir Documento")</f>
        <v>0</v>
      </c>
      <c r="D2700" t="s">
        <v>23500</v>
      </c>
      <c r="E2700" t="s">
        <v>26165</v>
      </c>
    </row>
    <row r="2701" spans="1:5">
      <c r="A2701" t="s">
        <v>6</v>
      </c>
      <c r="B2701" t="s">
        <v>2706</v>
      </c>
      <c r="C2701">
        <f>HYPERLINK("C:\Users\franc\OneDrive\Documentos\MALENTIN KARIME\SERVIU\2014\MARCELA KARINA VALDIVIA ARAYA.doc", "Abrir Documento")</f>
        <v>0</v>
      </c>
      <c r="D2701" t="s">
        <v>23500</v>
      </c>
      <c r="E2701" t="s">
        <v>26166</v>
      </c>
    </row>
    <row r="2702" spans="1:5">
      <c r="A2702" t="s">
        <v>6</v>
      </c>
      <c r="B2702" t="s">
        <v>2707</v>
      </c>
      <c r="C2702">
        <f>HYPERLINK("C:\Users\franc\OneDrive\Documentos\MALENTIN KARIME\SERVIU\2014\JUAN ARAYA ALVAREZ.doc", "Abrir Documento")</f>
        <v>0</v>
      </c>
      <c r="D2702" t="s">
        <v>23500</v>
      </c>
      <c r="E2702" t="s">
        <v>26167</v>
      </c>
    </row>
    <row r="2703" spans="1:5">
      <c r="A2703" t="s">
        <v>6</v>
      </c>
      <c r="B2703" t="s">
        <v>2708</v>
      </c>
      <c r="C2703">
        <f>HYPERLINK("C:\Users\franc\OneDrive\Documentos\MALENTIN KARIME\SERVIU\2014\KARIME TAPIA Prohibicion serviu.doc", "Abrir Documento")</f>
        <v>0</v>
      </c>
      <c r="D2703" t="s">
        <v>23500</v>
      </c>
      <c r="E2703" t="s">
        <v>26167</v>
      </c>
    </row>
    <row r="2704" spans="1:5">
      <c r="A2704" t="s">
        <v>6</v>
      </c>
      <c r="B2704" t="s">
        <v>2709</v>
      </c>
      <c r="C2704">
        <f>HYPERLINK("C:\Users\franc\OneDrive\Documentos\MALENTIN KARIME\SERVIU\2014\LEONILDA PAEZ FABRES conyuge.doc", "Abrir Documento")</f>
        <v>0</v>
      </c>
      <c r="D2704" t="s">
        <v>23500</v>
      </c>
      <c r="E2704" t="s">
        <v>26167</v>
      </c>
    </row>
    <row r="2705" spans="1:5">
      <c r="A2705" t="s">
        <v>6</v>
      </c>
      <c r="B2705" t="s">
        <v>2710</v>
      </c>
      <c r="C2705">
        <f>HYPERLINK("C:\Users\franc\OneDrive\Documentos\MALENTIN KARIME\SERVIU\2014\JOSELYN MARTINEZ SILVA lote subdiv.doc", "Abrir Documento")</f>
        <v>0</v>
      </c>
      <c r="D2705" t="s">
        <v>23500</v>
      </c>
      <c r="E2705" t="s">
        <v>26168</v>
      </c>
    </row>
    <row r="2706" spans="1:5">
      <c r="A2706" t="s">
        <v>6</v>
      </c>
      <c r="B2706" t="s">
        <v>2711</v>
      </c>
      <c r="C2706">
        <f>HYPERLINK("C:\Users\franc\OneDrive\Documentos\MALENTIN KARIME\SERVIU\2014\JOSE CASANOVA ESTAY.doc", "Abrir Documento")</f>
        <v>0</v>
      </c>
      <c r="D2706" t="s">
        <v>23500</v>
      </c>
      <c r="E2706" t="s">
        <v>26169</v>
      </c>
    </row>
    <row r="2707" spans="1:5">
      <c r="A2707" t="s">
        <v>6</v>
      </c>
      <c r="B2707" t="s">
        <v>2712</v>
      </c>
      <c r="C2707">
        <f>HYPERLINK("C:\Users\franc\OneDrive\Documentos\MALENTIN KARIME\SERVIU\2014\JILBERTO MONARDEZ.doc", "Abrir Documento")</f>
        <v>0</v>
      </c>
      <c r="D2707" t="s">
        <v>23500</v>
      </c>
      <c r="E2707" t="s">
        <v>26170</v>
      </c>
    </row>
    <row r="2708" spans="1:5">
      <c r="A2708" t="s">
        <v>6</v>
      </c>
      <c r="B2708" t="s">
        <v>2713</v>
      </c>
      <c r="C2708">
        <f>HYPERLINK("C:\Users\franc\OneDrive\Documentos\MALENTIN KARIME\SERVIU\2014\JOHANA MUNDACA.doc", "Abrir Documento")</f>
        <v>0</v>
      </c>
      <c r="D2708" t="s">
        <v>23500</v>
      </c>
      <c r="E2708" t="s">
        <v>26170</v>
      </c>
    </row>
    <row r="2709" spans="1:5">
      <c r="A2709" t="s">
        <v>6</v>
      </c>
      <c r="B2709" t="s">
        <v>2714</v>
      </c>
      <c r="C2709">
        <f>HYPERLINK("C:\Users\franc\OneDrive\Documentos\MALENTIN KARIME\SERVIU\2014\HUGO ANTIQUERA ANTIQUERA.doc", "Abrir Documento")</f>
        <v>0</v>
      </c>
      <c r="D2709" t="s">
        <v>23500</v>
      </c>
      <c r="E2709" t="s">
        <v>26171</v>
      </c>
    </row>
    <row r="2710" spans="1:5">
      <c r="A2710" t="s">
        <v>6</v>
      </c>
      <c r="B2710" t="s">
        <v>2715</v>
      </c>
      <c r="C2710">
        <f>HYPERLINK("C:\Users\franc\OneDrive\Documentos\MALENTIN KARIME\SERVIU\2014\IRIS OLIVARES RODRIGUEZ.doc", "Abrir Documento")</f>
        <v>0</v>
      </c>
      <c r="D2710" t="s">
        <v>23500</v>
      </c>
      <c r="E2710" t="s">
        <v>26171</v>
      </c>
    </row>
    <row r="2711" spans="1:5">
      <c r="A2711" t="s">
        <v>6</v>
      </c>
      <c r="B2711" t="s">
        <v>2716</v>
      </c>
      <c r="C2711">
        <f>HYPERLINK("C:\Users\franc\OneDrive\Documentos\MALENTIN KARIME\SERVIU\2014\HORACIO LOPEZ.doc", "Abrir Documento")</f>
        <v>0</v>
      </c>
      <c r="D2711" t="s">
        <v>23500</v>
      </c>
      <c r="E2711" t="s">
        <v>26172</v>
      </c>
    </row>
    <row r="2712" spans="1:5">
      <c r="A2712" t="s">
        <v>6</v>
      </c>
      <c r="B2712" t="s">
        <v>2717</v>
      </c>
      <c r="C2712">
        <f>HYPERLINK("C:\Users\franc\OneDrive\Documentos\MALENTIN KARIME\SERVIU\2014\HORACIO DEL ROSARIO LOPEZ.doc", "Abrir Documento")</f>
        <v>0</v>
      </c>
      <c r="D2712" t="s">
        <v>23500</v>
      </c>
      <c r="E2712" t="s">
        <v>26173</v>
      </c>
    </row>
    <row r="2713" spans="1:5">
      <c r="A2713" t="s">
        <v>6</v>
      </c>
      <c r="B2713" t="s">
        <v>2718</v>
      </c>
      <c r="C2713">
        <f>HYPERLINK("C:\Users\franc\OneDrive\Documentos\MALENTIN KARIME\SERVIU\2014\GUSTAVO VALDIVIA ARAYA.doc", "Abrir Documento")</f>
        <v>0</v>
      </c>
      <c r="D2713" t="s">
        <v>23500</v>
      </c>
      <c r="E2713" t="s">
        <v>26174</v>
      </c>
    </row>
    <row r="2714" spans="1:5">
      <c r="A2714" t="s">
        <v>6</v>
      </c>
      <c r="B2714" t="s">
        <v>2719</v>
      </c>
      <c r="C2714">
        <f>HYPERLINK("C:\Users\franc\OneDrive\Documentos\MALENTIN KARIME\SERVIU\2014\GUSTAVO PIZARRO CORTES.doc", "Abrir Documento")</f>
        <v>0</v>
      </c>
      <c r="D2714" t="s">
        <v>23500</v>
      </c>
      <c r="E2714" t="s">
        <v>26175</v>
      </c>
    </row>
    <row r="2715" spans="1:5">
      <c r="A2715" t="s">
        <v>6</v>
      </c>
      <c r="B2715" t="s">
        <v>2720</v>
      </c>
      <c r="C2715">
        <f>HYPERLINK("C:\Users\franc\OneDrive\Documentos\MALENTIN KARIME\SERVIU\2014\GIOCONDA ALCAYA DIAZ.doc", "Abrir Documento")</f>
        <v>0</v>
      </c>
      <c r="D2715" t="s">
        <v>23500</v>
      </c>
      <c r="E2715" t="s">
        <v>26176</v>
      </c>
    </row>
    <row r="2716" spans="1:5">
      <c r="A2716" t="s">
        <v>6</v>
      </c>
      <c r="B2716" t="s">
        <v>2721</v>
      </c>
      <c r="C2716">
        <f>HYPERLINK("C:\Users\franc\OneDrive\Documentos\MALENTIN KARIME\SERVIU\2014\FELIX VARELA ROBLES.doc", "Abrir Documento")</f>
        <v>0</v>
      </c>
      <c r="D2716" t="s">
        <v>23500</v>
      </c>
      <c r="E2716" t="s">
        <v>26177</v>
      </c>
    </row>
    <row r="2717" spans="1:5">
      <c r="A2717" t="s">
        <v>6</v>
      </c>
      <c r="B2717" t="s">
        <v>2722</v>
      </c>
      <c r="C2717">
        <f>HYPERLINK("C:\Users\franc\OneDrive\Documentos\MALENTIN KARIME\SERVIU\2014\GABRIELA VIVIANA ROBLES ROBLES.doc", "Abrir Documento")</f>
        <v>0</v>
      </c>
      <c r="D2717" t="s">
        <v>23500</v>
      </c>
      <c r="E2717" t="s">
        <v>26177</v>
      </c>
    </row>
    <row r="2718" spans="1:5">
      <c r="A2718" t="s">
        <v>6</v>
      </c>
      <c r="B2718" t="s">
        <v>2723</v>
      </c>
      <c r="C2718">
        <f>HYPERLINK("C:\Users\franc\OneDrive\Documentos\MALENTIN KARIME\SERVIU\2014\DANISA ARAYA BARRAZAprohibicion D.Uso.doc", "Abrir Documento")</f>
        <v>0</v>
      </c>
      <c r="D2718" t="s">
        <v>23500</v>
      </c>
      <c r="E2718" t="s">
        <v>26178</v>
      </c>
    </row>
    <row r="2719" spans="1:5">
      <c r="A2719" t="s">
        <v>6</v>
      </c>
      <c r="B2719" t="s">
        <v>2724</v>
      </c>
      <c r="C2719">
        <f>HYPERLINK("C:\Users\franc\OneDrive\Documentos\MALENTIN KARIME\SERVIU\2014\EDUARDO BOLADOS ARAYA.doc", "Abrir Documento")</f>
        <v>0</v>
      </c>
      <c r="D2719" t="s">
        <v>23500</v>
      </c>
      <c r="E2719" t="s">
        <v>26178</v>
      </c>
    </row>
    <row r="2720" spans="1:5">
      <c r="A2720" t="s">
        <v>6</v>
      </c>
      <c r="B2720" t="s">
        <v>2725</v>
      </c>
      <c r="C2720">
        <f>HYPERLINK("C:\Users\franc\OneDrive\Documentos\MALENTIN KARIME\SERVIU\2014\COMITE VILLA LA PORTADA.doc", "Abrir Documento")</f>
        <v>0</v>
      </c>
      <c r="D2720" t="s">
        <v>23500</v>
      </c>
      <c r="E2720" t="s">
        <v>26179</v>
      </c>
    </row>
    <row r="2721" spans="1:5">
      <c r="A2721" t="s">
        <v>6</v>
      </c>
      <c r="B2721" t="s">
        <v>2726</v>
      </c>
      <c r="C2721">
        <f>HYPERLINK("C:\Users\franc\OneDrive\Documentos\MALENTIN KARIME\SERVIU\2014\CARLOS VENEGAS ALVAREZ.doc", "Abrir Documento")</f>
        <v>0</v>
      </c>
      <c r="D2721" t="s">
        <v>23500</v>
      </c>
      <c r="E2721" t="s">
        <v>26180</v>
      </c>
    </row>
    <row r="2722" spans="1:5">
      <c r="A2722" t="s">
        <v>6</v>
      </c>
      <c r="B2722" t="s">
        <v>2727</v>
      </c>
      <c r="C2722">
        <f>HYPERLINK("C:\Users\franc\OneDrive\Documentos\MALENTIN KARIME\SERVIU\2014\CARMEN VALDIVA ROJAS.doc", "Abrir Documento")</f>
        <v>0</v>
      </c>
      <c r="D2722" t="s">
        <v>23500</v>
      </c>
      <c r="E2722" t="s">
        <v>26180</v>
      </c>
    </row>
    <row r="2723" spans="1:5">
      <c r="A2723" t="s">
        <v>6</v>
      </c>
      <c r="B2723" t="s">
        <v>2728</v>
      </c>
      <c r="C2723">
        <f>HYPERLINK("C:\Users\franc\OneDrive\Documentos\MALENTIN KARIME\SERVIU\2014\CARLOS COLLAO COLLAO.doc", "Abrir Documento")</f>
        <v>0</v>
      </c>
      <c r="D2723" t="s">
        <v>23500</v>
      </c>
      <c r="E2723" t="s">
        <v>26181</v>
      </c>
    </row>
    <row r="2724" spans="1:5">
      <c r="A2724" t="s">
        <v>6</v>
      </c>
      <c r="B2724" t="s">
        <v>2729</v>
      </c>
      <c r="C2724">
        <f>HYPERLINK("C:\Users\franc\OneDrive\Documentos\MALENTIN KARIME\SERVIU\2014\BEATRIZ VALVERDE OLIVARES Ivar.doc", "Abrir Documento")</f>
        <v>0</v>
      </c>
      <c r="D2724" t="s">
        <v>23500</v>
      </c>
      <c r="E2724" t="s">
        <v>26182</v>
      </c>
    </row>
    <row r="2725" spans="1:5">
      <c r="A2725" t="s">
        <v>6</v>
      </c>
      <c r="B2725" t="s">
        <v>2730</v>
      </c>
      <c r="C2725">
        <f>HYPERLINK("C:\Users\franc\OneDrive\Documentos\MALENTIN KARIME\SERVIU\2014\ALEJANDRO OSSANDON SEGOVIA 20015.doc", "Abrir Documento")</f>
        <v>0</v>
      </c>
      <c r="D2725" t="s">
        <v>23500</v>
      </c>
      <c r="E2725" t="s">
        <v>26183</v>
      </c>
    </row>
    <row r="2726" spans="1:5">
      <c r="A2726" t="s">
        <v>6</v>
      </c>
      <c r="B2726" t="s">
        <v>2731</v>
      </c>
      <c r="C2726">
        <f>HYPERLINK("C:\Users\franc\OneDrive\Documentos\MALENTIN KARIME\SERVIU\YORDAN MORGADO.doc", "Abrir Documento")</f>
        <v>0</v>
      </c>
      <c r="D2726" t="s">
        <v>23500</v>
      </c>
      <c r="E2726" t="s">
        <v>26184</v>
      </c>
    </row>
    <row r="2727" spans="1:5">
      <c r="A2727" t="s">
        <v>6</v>
      </c>
      <c r="B2727" t="s">
        <v>2732</v>
      </c>
      <c r="C2727">
        <f>HYPERLINK("C:\Users\franc\OneDrive\Documentos\MALENTIN KARIME\SERVIU\WILFREDO CARMONA ALZAMORA.doc", "Abrir Documento")</f>
        <v>0</v>
      </c>
      <c r="D2727" t="s">
        <v>23500</v>
      </c>
      <c r="E2727" t="s">
        <v>26185</v>
      </c>
    </row>
    <row r="2728" spans="1:5">
      <c r="A2728" t="s">
        <v>6</v>
      </c>
      <c r="B2728" t="s">
        <v>2733</v>
      </c>
      <c r="C2728">
        <f>HYPERLINK("C:\Users\franc\OneDrive\Documentos\MALENTIN KARIME\SERVIU\XIMENA VELASQUEZ AROS.doc", "Abrir Documento")</f>
        <v>0</v>
      </c>
      <c r="D2728" t="s">
        <v>23500</v>
      </c>
      <c r="E2728" t="s">
        <v>26185</v>
      </c>
    </row>
    <row r="2729" spans="1:5">
      <c r="A2729" t="s">
        <v>6</v>
      </c>
      <c r="B2729" t="s">
        <v>2734</v>
      </c>
      <c r="C2729">
        <f>HYPERLINK("C:\Users\franc\OneDrive\Documentos\MALENTIN KARIME\SERVIU\PROHIBICION Derecho Uso Nuevo Final 2015.doc", "Abrir Documento")</f>
        <v>0</v>
      </c>
      <c r="D2729" t="s">
        <v>23500</v>
      </c>
      <c r="E2729" t="s">
        <v>26186</v>
      </c>
    </row>
    <row r="2730" spans="1:5">
      <c r="A2730" t="s">
        <v>6</v>
      </c>
      <c r="B2730" t="s">
        <v>2735</v>
      </c>
      <c r="C2730">
        <f>HYPERLINK("C:\Users\franc\OneDrive\Documentos\MALENTIN KARIME\SERVIU\PROHIBICION modelo.doc", "Abrir Documento")</f>
        <v>0</v>
      </c>
      <c r="D2730" t="s">
        <v>23500</v>
      </c>
      <c r="E2730" t="s">
        <v>26186</v>
      </c>
    </row>
    <row r="2731" spans="1:5">
      <c r="A2731" t="s">
        <v>6</v>
      </c>
      <c r="B2731" t="s">
        <v>2736</v>
      </c>
      <c r="C2731">
        <f>HYPERLINK("C:\Users\franc\OneDrive\Documentos\MALENTIN KARIME\SERVIU\prohibicion D.Uso.doc", "Abrir Documento")</f>
        <v>0</v>
      </c>
      <c r="D2731" t="s">
        <v>23500</v>
      </c>
      <c r="E2731" t="s">
        <v>26187</v>
      </c>
    </row>
    <row r="2732" spans="1:5">
      <c r="A2732" t="s">
        <v>6</v>
      </c>
      <c r="B2732" t="s">
        <v>2737</v>
      </c>
      <c r="C2732">
        <f>HYPERLINK("C:\Users\franc\OneDrive\Documentos\MALENTIN KARIME\SERVIU\prohibicion D.Uso GLADYS VICENCIO 2015.doc", "Abrir Documento")</f>
        <v>0</v>
      </c>
      <c r="D2732" t="s">
        <v>23500</v>
      </c>
      <c r="E2732" t="s">
        <v>26188</v>
      </c>
    </row>
    <row r="2733" spans="1:5">
      <c r="A2733" t="s">
        <v>6</v>
      </c>
      <c r="B2733" t="s">
        <v>2738</v>
      </c>
      <c r="C2733">
        <f>HYPERLINK("C:\Users\franc\OneDrive\Documentos\MALENTIN KARIME\SERVIU\prohibicion D.Uso MODELO 2015.doc", "Abrir Documento")</f>
        <v>0</v>
      </c>
      <c r="D2733" t="s">
        <v>23500</v>
      </c>
      <c r="E2733" t="s">
        <v>26188</v>
      </c>
    </row>
    <row r="2734" spans="1:5">
      <c r="A2734" t="s">
        <v>6</v>
      </c>
      <c r="B2734" t="s">
        <v>2739</v>
      </c>
      <c r="C2734">
        <f>HYPERLINK("C:\Users\franc\OneDrive\Documentos\MALENTIN KARIME\SERVIU\prohibicion D.Uso CDAD PUNITAQUI.doc", "Abrir Documento")</f>
        <v>0</v>
      </c>
      <c r="D2734" t="s">
        <v>23500</v>
      </c>
      <c r="E2734" t="s">
        <v>26189</v>
      </c>
    </row>
    <row r="2735" spans="1:5">
      <c r="A2735" t="s">
        <v>6</v>
      </c>
      <c r="B2735" t="s">
        <v>2740</v>
      </c>
      <c r="C2735">
        <f>HYPERLINK("C:\Users\franc\OneDrive\Documentos\MALENTIN KARIME\SERVIU\prohibicion D.Uso CDAD CANELILLA.doc", "Abrir Documento")</f>
        <v>0</v>
      </c>
      <c r="D2735" t="s">
        <v>23500</v>
      </c>
      <c r="E2735" t="s">
        <v>26190</v>
      </c>
    </row>
    <row r="2736" spans="1:5">
      <c r="A2736" t="s">
        <v>6</v>
      </c>
      <c r="B2736" t="s">
        <v>2741</v>
      </c>
      <c r="C2736">
        <f>HYPERLINK("C:\Users\franc\OneDrive\Documentos\MALENTIN KARIME\SERVIU\OLIVIA OLIVARES RIVERA.doc", "Abrir Documento")</f>
        <v>0</v>
      </c>
      <c r="D2736" t="s">
        <v>23500</v>
      </c>
      <c r="E2736" t="s">
        <v>26191</v>
      </c>
    </row>
    <row r="2737" spans="1:5">
      <c r="A2737" t="s">
        <v>6</v>
      </c>
      <c r="B2737" t="s">
        <v>2742</v>
      </c>
      <c r="C2737">
        <f>HYPERLINK("C:\Users\franc\OneDrive\Documentos\MALENTIN KARIME\SERVIU\prohibicion D.Uso ALEJANDRA PASTEN 2015.doc", "Abrir Documento")</f>
        <v>0</v>
      </c>
      <c r="D2737" t="s">
        <v>23500</v>
      </c>
      <c r="E2737" t="s">
        <v>26191</v>
      </c>
    </row>
    <row r="2738" spans="1:5">
      <c r="A2738" t="s">
        <v>6</v>
      </c>
      <c r="B2738" t="s">
        <v>2743</v>
      </c>
      <c r="C2738">
        <f>HYPERLINK("C:\Users\franc\OneDrive\Documentos\MALENTIN KARIME\SERVIU\OLIVIA OLIVARES RIVERA Complem.doc", "Abrir Documento")</f>
        <v>0</v>
      </c>
      <c r="D2738" t="s">
        <v>23500</v>
      </c>
      <c r="E2738" t="s">
        <v>26192</v>
      </c>
    </row>
    <row r="2739" spans="1:5">
      <c r="A2739" t="s">
        <v>6</v>
      </c>
      <c r="B2739" t="s">
        <v>2744</v>
      </c>
      <c r="C2739">
        <f>HYPERLINK("C:\Users\franc\OneDrive\Documentos\MALENTIN KARIME\SERVIU\NILDA ESTHER ARAYA ARAYA.doc", "Abrir Documento")</f>
        <v>0</v>
      </c>
      <c r="D2739" t="s">
        <v>23500</v>
      </c>
      <c r="E2739" t="s">
        <v>26193</v>
      </c>
    </row>
    <row r="2740" spans="1:5">
      <c r="A2740" t="s">
        <v>6</v>
      </c>
      <c r="B2740" t="s">
        <v>2745</v>
      </c>
      <c r="C2740">
        <f>HYPERLINK("C:\Users\franc\OneDrive\Documentos\MALENTIN KARIME\SERVIU\MARTINA ARAYA ARAYA Suplente.doc", "Abrir Documento")</f>
        <v>0</v>
      </c>
      <c r="D2740" t="s">
        <v>23500</v>
      </c>
      <c r="E2740" t="s">
        <v>26194</v>
      </c>
    </row>
    <row r="2741" spans="1:5">
      <c r="A2741" t="s">
        <v>6</v>
      </c>
      <c r="B2741" t="s">
        <v>2746</v>
      </c>
      <c r="C2741">
        <f>HYPERLINK("C:\Users\franc\OneDrive\Documentos\MALENTIN KARIME\SERVIU\MANDATO  serviu mabel.doc", "Abrir Documento")</f>
        <v>0</v>
      </c>
      <c r="D2741" t="s">
        <v>23500</v>
      </c>
      <c r="E2741" t="s">
        <v>26195</v>
      </c>
    </row>
    <row r="2742" spans="1:5">
      <c r="A2742" t="s">
        <v>6</v>
      </c>
      <c r="B2742" t="s">
        <v>2747</v>
      </c>
      <c r="C2742">
        <f>HYPERLINK("C:\Users\franc\OneDrive\Documentos\MALENTIN KARIME\SERVIU\MANDATO  serviu mabel a ruego.doc", "Abrir Documento")</f>
        <v>0</v>
      </c>
      <c r="D2742" t="s">
        <v>23500</v>
      </c>
      <c r="E2742" t="s">
        <v>26196</v>
      </c>
    </row>
    <row r="2743" spans="1:5">
      <c r="A2743" t="s">
        <v>6</v>
      </c>
      <c r="B2743" t="s">
        <v>2748</v>
      </c>
      <c r="C2743">
        <f>HYPERLINK("C:\Users\franc\OneDrive\Documentos\MALENTIN KARIME\SERVIU\HILDA DEL ROSARIO ARAYA.doc", "Abrir Documento")</f>
        <v>0</v>
      </c>
      <c r="D2743" t="s">
        <v>23500</v>
      </c>
      <c r="E2743" t="s">
        <v>26197</v>
      </c>
    </row>
    <row r="2744" spans="1:5">
      <c r="A2744" t="s">
        <v>6</v>
      </c>
      <c r="B2744" t="s">
        <v>2749</v>
      </c>
      <c r="C2744">
        <f>HYPERLINK("C:\Users\franc\OneDrive\Documentos\MALENTIN KARIME\SERVIU\FANNY CORTES A RICARDO CORTES (SUBSIDIO).doc", "Abrir Documento")</f>
        <v>0</v>
      </c>
      <c r="D2744" t="s">
        <v>23500</v>
      </c>
      <c r="E2744" t="s">
        <v>26198</v>
      </c>
    </row>
    <row r="2745" spans="1:5">
      <c r="A2745" t="s">
        <v>6</v>
      </c>
      <c r="B2745" t="s">
        <v>2750</v>
      </c>
      <c r="C2745">
        <f>HYPERLINK("C:\Users\franc\OneDrive\Documentos\MALENTIN KARIME\SERVIU\FRANCISCO CAMPOS ALVARADO.doc", "Abrir Documento")</f>
        <v>0</v>
      </c>
      <c r="D2745" t="s">
        <v>23500</v>
      </c>
      <c r="E2745" t="s">
        <v>26198</v>
      </c>
    </row>
    <row r="2746" spans="1:5">
      <c r="A2746" t="s">
        <v>6</v>
      </c>
      <c r="B2746" t="s">
        <v>2751</v>
      </c>
      <c r="C2746">
        <f>HYPERLINK("C:\Users\franc\OneDrive\Documentos\MALENTIN KARIME\SERVIU\DELMIRA BARRAZA.doc", "Abrir Documento")</f>
        <v>0</v>
      </c>
      <c r="D2746" t="s">
        <v>23500</v>
      </c>
      <c r="E2746" t="s">
        <v>26199</v>
      </c>
    </row>
    <row r="2747" spans="1:5">
      <c r="A2747" t="s">
        <v>6</v>
      </c>
      <c r="B2747" t="s">
        <v>2752</v>
      </c>
      <c r="C2747">
        <f>HYPERLINK("C:\Users\franc\OneDrive\Documentos\MALENTIN KARIME\SERVIU\DELMIRA BARRAZA final.doc", "Abrir Documento")</f>
        <v>0</v>
      </c>
      <c r="D2747" t="s">
        <v>23500</v>
      </c>
      <c r="E2747" t="s">
        <v>26200</v>
      </c>
    </row>
    <row r="2748" spans="1:5">
      <c r="A2748" t="s">
        <v>6</v>
      </c>
      <c r="B2748" t="s">
        <v>2753</v>
      </c>
      <c r="C2748">
        <f>HYPERLINK("C:\Users\franc\OneDrive\Documentos\MALENTIN KARIME\SERVIU\DELMIRA BARRAZA  Aclara.doc", "Abrir Documento")</f>
        <v>0</v>
      </c>
      <c r="D2748" t="s">
        <v>23500</v>
      </c>
      <c r="E2748" t="s">
        <v>26201</v>
      </c>
    </row>
    <row r="2749" spans="1:5">
      <c r="A2749" t="s">
        <v>6</v>
      </c>
      <c r="B2749" t="s">
        <v>2754</v>
      </c>
      <c r="C2749">
        <f>HYPERLINK("C:\Users\franc\OneDrive\Documentos\MALENTIN KARIME\SERVIU\DECLARACION NO PARENTESCO.doc", "Abrir Documento")</f>
        <v>0</v>
      </c>
      <c r="D2749" t="s">
        <v>23500</v>
      </c>
      <c r="E2749" t="s">
        <v>26202</v>
      </c>
    </row>
    <row r="2750" spans="1:5">
      <c r="A2750" t="s">
        <v>6</v>
      </c>
      <c r="B2750" t="s">
        <v>2755</v>
      </c>
      <c r="C2750">
        <f>HYPERLINK("C:\Users\franc\OneDrive\Documentos\MALENTIN KARIME\SERVIU\DECLARACION NO PARENTESCO.doc ANA CASTRO CASTRO.doc", "Abrir Documento")</f>
        <v>0</v>
      </c>
      <c r="D2750" t="s">
        <v>23500</v>
      </c>
      <c r="E2750" t="s">
        <v>26202</v>
      </c>
    </row>
    <row r="2751" spans="1:5">
      <c r="A2751" t="s">
        <v>6</v>
      </c>
      <c r="B2751" t="s">
        <v>2756</v>
      </c>
      <c r="C2751">
        <f>HYPERLINK("C:\Users\franc\OneDrive\Documentos\MALENTIN KARIME\SERVIU\DECLARACION NO PARENTESCO Y OTROS Ana Brunilda Pizarro Castro.doc", "Abrir Documento")</f>
        <v>0</v>
      </c>
      <c r="D2751" t="s">
        <v>23500</v>
      </c>
      <c r="E2751" t="s">
        <v>26203</v>
      </c>
    </row>
    <row r="2752" spans="1:5">
      <c r="A2752" t="s">
        <v>6</v>
      </c>
      <c r="B2752" t="s">
        <v>2757</v>
      </c>
      <c r="C2752">
        <f>HYPERLINK("C:\Users\franc\OneDrive\Documentos\MALENTIN KARIME\SERVIU\DECLARACION NO PARENTESCO Ruben Navea.doc", "Abrir Documento")</f>
        <v>0</v>
      </c>
      <c r="D2752" t="s">
        <v>23500</v>
      </c>
      <c r="E2752" t="s">
        <v>26204</v>
      </c>
    </row>
    <row r="2753" spans="1:5">
      <c r="A2753" t="s">
        <v>6</v>
      </c>
      <c r="B2753" t="s">
        <v>2758</v>
      </c>
      <c r="C2753">
        <f>HYPERLINK("C:\Users\franc\OneDrive\Documentos\MALENTIN KARIME\SERVIU\DECLARACION NO PARENTESCO karime.doc", "Abrir Documento")</f>
        <v>0</v>
      </c>
      <c r="D2753" t="s">
        <v>23500</v>
      </c>
      <c r="E2753" t="s">
        <v>26205</v>
      </c>
    </row>
    <row r="2754" spans="1:5">
      <c r="A2754" t="s">
        <v>6</v>
      </c>
      <c r="B2754" t="s">
        <v>2759</v>
      </c>
      <c r="C2754">
        <f>HYPERLINK("C:\Users\franc\OneDrive\Documentos\MALENTIN KARIME\SERVIU\DECLARACION NO PARENTESCO A RUEGO.doc", "Abrir Documento")</f>
        <v>0</v>
      </c>
      <c r="D2754" t="s">
        <v>23500</v>
      </c>
      <c r="E2754" t="s">
        <v>26206</v>
      </c>
    </row>
    <row r="2755" spans="1:5">
      <c r="A2755" t="s">
        <v>6</v>
      </c>
      <c r="B2755" t="s">
        <v>2760</v>
      </c>
      <c r="C2755">
        <f>HYPERLINK("C:\Users\franc\OneDrive\Documentos\MALENTIN KARIME\SERVIU\DECLARACION karime.doc", "Abrir Documento")</f>
        <v>0</v>
      </c>
      <c r="D2755" t="s">
        <v>23500</v>
      </c>
      <c r="E2755" t="s">
        <v>26207</v>
      </c>
    </row>
    <row r="2756" spans="1:5">
      <c r="A2756" t="s">
        <v>6</v>
      </c>
      <c r="B2756" t="s">
        <v>2761</v>
      </c>
      <c r="C2756">
        <f>HYPERLINK("C:\Users\franc\OneDrive\Documentos\MALENTIN KARIME\SERVIU\DECLARACION JURADAavala.docx", "Abrir Documento")</f>
        <v>0</v>
      </c>
      <c r="D2756" t="s">
        <v>23501</v>
      </c>
      <c r="E2756" t="s">
        <v>26208</v>
      </c>
    </row>
    <row r="2757" spans="1:5">
      <c r="A2757" t="s">
        <v>6</v>
      </c>
      <c r="B2757" t="s">
        <v>2762</v>
      </c>
      <c r="C2757">
        <f>HYPERLINK("C:\Users\franc\OneDrive\Documentos\MALENTIN KARIME\SERVIU\DECLARACION JURADA Claudina Julio.docx", "Abrir Documento")</f>
        <v>0</v>
      </c>
      <c r="D2757" t="s">
        <v>23501</v>
      </c>
      <c r="E2757" t="s">
        <v>26209</v>
      </c>
    </row>
    <row r="2758" spans="1:5">
      <c r="A2758" t="s">
        <v>6</v>
      </c>
      <c r="B2758" t="s">
        <v>2763</v>
      </c>
      <c r="C2758">
        <f>HYPERLINK("C:\Users\franc\OneDrive\Documentos\MALENTIN KARIME\SERVIU\ANGELICA COLAMAR.doc", "Abrir Documento")</f>
        <v>0</v>
      </c>
      <c r="D2758" t="s">
        <v>23500</v>
      </c>
      <c r="E2758" t="s">
        <v>26210</v>
      </c>
    </row>
    <row r="2759" spans="1:5">
      <c r="A2759" t="s">
        <v>6</v>
      </c>
      <c r="B2759" t="s">
        <v>2764</v>
      </c>
      <c r="C2759">
        <f>HYPERLINK("C:\Users\franc\OneDrive\Documentos\MALENTIN KARIME\SERVIU\ACTA DE RECEPCION DE ENTREGA.doc", "Abrir Documento")</f>
        <v>0</v>
      </c>
      <c r="D2759" t="s">
        <v>23500</v>
      </c>
      <c r="E2759" t="s">
        <v>26211</v>
      </c>
    </row>
    <row r="2760" spans="1:5">
      <c r="A2760" t="s">
        <v>6</v>
      </c>
      <c r="B2760" t="s">
        <v>2765</v>
      </c>
      <c r="C2760">
        <f>HYPERLINK("C:\Users\franc\OneDrive\Documentos\MALENTIN KARIME\SERVIU\ANA ARAYA PIZARRO Declara y Mandato.doc", "Abrir Documento")</f>
        <v>0</v>
      </c>
      <c r="D2760" t="s">
        <v>23500</v>
      </c>
      <c r="E2760" t="s">
        <v>26211</v>
      </c>
    </row>
    <row r="2761" spans="1:5">
      <c r="A2761" t="s">
        <v>6</v>
      </c>
      <c r="B2761" t="s">
        <v>2766</v>
      </c>
      <c r="C2761">
        <f>HYPERLINK("C:\Users\franc\OneDrive\Documentos\MALENTIN KARIME\SERVIU\ACTA DE RECEPCION DE ENTREGA Ximena Marambio.doc", "Abrir Documento")</f>
        <v>0</v>
      </c>
      <c r="D2761" t="s">
        <v>23500</v>
      </c>
      <c r="E2761" t="s">
        <v>26212</v>
      </c>
    </row>
    <row r="2762" spans="1:5">
      <c r="A2762" t="s">
        <v>6</v>
      </c>
      <c r="B2762" t="s">
        <v>2767</v>
      </c>
      <c r="C2762">
        <f>HYPERLINK("C:\Users\franc\OneDrive\Documentos\MALENTIN KARIME\SERVIU\ACTA DE RECEPCION DE ENTREGA sin subsidio.doc", "Abrir Documento")</f>
        <v>0</v>
      </c>
      <c r="D2762" t="s">
        <v>23500</v>
      </c>
      <c r="E2762" t="s">
        <v>26213</v>
      </c>
    </row>
    <row r="2763" spans="1:5">
      <c r="A2763" t="s">
        <v>6</v>
      </c>
      <c r="B2763" t="s">
        <v>2768</v>
      </c>
      <c r="C2763">
        <f>HYPERLINK("C:\Users\franc\OneDrive\Documentos\MALENTIN KARIME\SERVIDUMBRES\WILSON VELIZ A TELEFONICA MOVILES.doc", "Abrir Documento")</f>
        <v>0</v>
      </c>
      <c r="D2763" t="s">
        <v>23500</v>
      </c>
      <c r="E2763" t="s">
        <v>26214</v>
      </c>
    </row>
    <row r="2764" spans="1:5">
      <c r="A2764" t="s">
        <v>6</v>
      </c>
      <c r="B2764" t="s">
        <v>2769</v>
      </c>
      <c r="C2764">
        <f>HYPERLINK("C:\Users\franc\OneDrive\Documentos\MALENTIN KARIME\SERVIDUMBRES\modelo Yenny.doc", "Abrir Documento")</f>
        <v>0</v>
      </c>
      <c r="D2764" t="s">
        <v>23500</v>
      </c>
      <c r="E2764" t="s">
        <v>26215</v>
      </c>
    </row>
    <row r="2765" spans="1:5">
      <c r="A2765" t="s">
        <v>6</v>
      </c>
      <c r="B2765" t="s">
        <v>2770</v>
      </c>
      <c r="C2765">
        <f>HYPERLINK("C:\Users\franc\OneDrive\Documentos\MALENTIN KARIME\SERVIDUMBRES\JULIO CAIMANQUE A TELEFONICA MOVILES.doc", "Abrir Documento")</f>
        <v>0</v>
      </c>
      <c r="D2765" t="s">
        <v>23500</v>
      </c>
      <c r="E2765" t="s">
        <v>26216</v>
      </c>
    </row>
    <row r="2766" spans="1:5">
      <c r="A2766" t="s">
        <v>6</v>
      </c>
      <c r="B2766" t="s">
        <v>2771</v>
      </c>
      <c r="C2766">
        <f>HYPERLINK("C:\Users\franc\OneDrive\Documentos\MALENTIN KARIME\SERVIDUMBRES\JOSE MIGUEL MUNIZAGA.doc", "Abrir Documento")</f>
        <v>0</v>
      </c>
      <c r="D2766" t="s">
        <v>23500</v>
      </c>
      <c r="E2766" t="s">
        <v>26217</v>
      </c>
    </row>
    <row r="2767" spans="1:5">
      <c r="A2767" t="s">
        <v>6</v>
      </c>
      <c r="B2767" t="s">
        <v>2772</v>
      </c>
      <c r="C2767">
        <f>HYPERLINK("C:\Users\franc\OneDrive\Documentos\MALENTIN KARIME\SEPULTURA\RUBEN ESQUIVEL SEPULVEDA A MARIA CRISTINA CUELLO DIAZ  (Parque Ovalle).doc", "Abrir Documento")</f>
        <v>0</v>
      </c>
      <c r="D2767" t="s">
        <v>23500</v>
      </c>
      <c r="E2767" t="s">
        <v>26218</v>
      </c>
    </row>
    <row r="2768" spans="1:5">
      <c r="A2768" t="s">
        <v>6</v>
      </c>
      <c r="B2768" t="s">
        <v>2773</v>
      </c>
      <c r="C2768">
        <f>HYPERLINK("C:\Users\franc\OneDrive\Documentos\MALENTIN KARIME\SEPULTURA\DARWIN RIVERA A Florencia Rojo  (Parque Ovalle).doc", "Abrir Documento")</f>
        <v>0</v>
      </c>
      <c r="D2768" t="s">
        <v>23500</v>
      </c>
      <c r="E2768" t="s">
        <v>26219</v>
      </c>
    </row>
    <row r="2769" spans="1:5">
      <c r="A2769" t="s">
        <v>6</v>
      </c>
      <c r="B2769" t="s">
        <v>2774</v>
      </c>
      <c r="C2769">
        <f>HYPERLINK("C:\Users\franc\OneDrive\Documentos\MALENTIN KARIME\SEP BIENES\SERGIO PAINEVILO A ANA ALVAREZ Minuta.doc", "Abrir Documento")</f>
        <v>0</v>
      </c>
      <c r="D2769" t="s">
        <v>23500</v>
      </c>
      <c r="E2769" t="s">
        <v>26220</v>
      </c>
    </row>
    <row r="2770" spans="1:5">
      <c r="A2770" t="s">
        <v>6</v>
      </c>
      <c r="B2770" t="s">
        <v>2775</v>
      </c>
      <c r="C2770">
        <f>HYPERLINK("C:\Users\franc\OneDrive\Documentos\MALENTIN KARIME\SEPULTURA\CARLOS ROJAS  NUÑEZ A Patricia Rivera  (Parque Ovalle).doc", "Abrir Documento")</f>
        <v>0</v>
      </c>
      <c r="D2770" t="s">
        <v>23500</v>
      </c>
      <c r="E2770" t="s">
        <v>26220</v>
      </c>
    </row>
    <row r="2771" spans="1:5">
      <c r="A2771" t="s">
        <v>6</v>
      </c>
      <c r="B2771" t="s">
        <v>2776</v>
      </c>
      <c r="C2771">
        <f>HYPERLINK("C:\Users\franc\OneDrive\Documentos\MALENTIN KARIME\SEP BIENES\SERGIO PAINEVILO A ANA ALVAREZ Minuta nuevadoc.doc", "Abrir Documento")</f>
        <v>0</v>
      </c>
      <c r="D2771" t="s">
        <v>23500</v>
      </c>
      <c r="E2771" t="s">
        <v>26221</v>
      </c>
    </row>
    <row r="2772" spans="1:5">
      <c r="A2772" t="s">
        <v>6</v>
      </c>
      <c r="B2772" t="s">
        <v>2777</v>
      </c>
      <c r="C2772">
        <f>HYPERLINK("C:\Users\franc\OneDrive\Documentos\MALENTIN KARIME\SEP BIENES\RAFAEL ROJAS Y DANIELA SANDOVAL 2018 Minuta.doc", "Abrir Documento")</f>
        <v>0</v>
      </c>
      <c r="D2772" t="s">
        <v>23500</v>
      </c>
      <c r="E2772" t="s">
        <v>26222</v>
      </c>
    </row>
    <row r="2773" spans="1:5">
      <c r="A2773" t="s">
        <v>6</v>
      </c>
      <c r="B2773" t="s">
        <v>2778</v>
      </c>
      <c r="C2773">
        <f>HYPERLINK("C:\Users\franc\OneDrive\Documentos\MALENTIN KARIME\SEP BIENES\modelo.doc", "Abrir Documento")</f>
        <v>0</v>
      </c>
      <c r="D2773" t="s">
        <v>23500</v>
      </c>
      <c r="E2773" t="s">
        <v>26223</v>
      </c>
    </row>
    <row r="2774" spans="1:5">
      <c r="A2774" t="s">
        <v>6</v>
      </c>
      <c r="B2774" t="s">
        <v>2779</v>
      </c>
      <c r="C2774">
        <f>HYPERLINK("C:\Users\franc\OneDrive\Documentos\MALENTIN KARIME\SEP BIENES\MAURICIO MALDONADO SEP BIENES Minuta.doc", "Abrir Documento")</f>
        <v>0</v>
      </c>
      <c r="D2774" t="s">
        <v>23500</v>
      </c>
      <c r="E2774" t="s">
        <v>26224</v>
      </c>
    </row>
    <row r="2775" spans="1:5">
      <c r="A2775" t="s">
        <v>6</v>
      </c>
      <c r="B2775" t="s">
        <v>2780</v>
      </c>
      <c r="C2775">
        <f>HYPERLINK("C:\Users\franc\OneDrive\Documentos\MALENTIN KARIME\SEP BIENES\MAGALY ANTIQUERA A RODRIGO LEYTON.doc", "Abrir Documento")</f>
        <v>0</v>
      </c>
      <c r="D2775" t="s">
        <v>23500</v>
      </c>
      <c r="E2775" t="s">
        <v>26225</v>
      </c>
    </row>
    <row r="2776" spans="1:5">
      <c r="A2776" t="s">
        <v>6</v>
      </c>
      <c r="B2776" t="s">
        <v>2781</v>
      </c>
      <c r="C2776">
        <f>HYPERLINK("C:\Users\franc\OneDrive\Documentos\MALENTIN KARIME\SEP BIENES\MARIO MORGADO Y MARIA CERDA Minuta.doc", "Abrir Documento")</f>
        <v>0</v>
      </c>
      <c r="D2776" t="s">
        <v>23500</v>
      </c>
      <c r="E2776" t="s">
        <v>26225</v>
      </c>
    </row>
    <row r="2777" spans="1:5">
      <c r="A2777" t="s">
        <v>6</v>
      </c>
      <c r="B2777" t="s">
        <v>2782</v>
      </c>
      <c r="C2777">
        <f>HYPERLINK("C:\Users\franc\OneDrive\Documentos\MALENTIN KARIME\SEP BIENES\JUAN CAMPUSANO Y ADRIANA ANDRADE.doc", "Abrir Documento")</f>
        <v>0</v>
      </c>
      <c r="D2777" t="s">
        <v>23500</v>
      </c>
      <c r="E2777" t="s">
        <v>26226</v>
      </c>
    </row>
    <row r="2778" spans="1:5">
      <c r="A2778" t="s">
        <v>6</v>
      </c>
      <c r="B2778" t="s">
        <v>2783</v>
      </c>
      <c r="C2778">
        <f>HYPERLINK("C:\Users\franc\OneDrive\Documentos\MALENTIN KARIME\SEP BIENES\JOSE VALDIVIA VILCHES A MARIA PIZARRO.doc", "Abrir Documento")</f>
        <v>0</v>
      </c>
      <c r="D2778" t="s">
        <v>23500</v>
      </c>
      <c r="E2778" t="s">
        <v>26227</v>
      </c>
    </row>
    <row r="2779" spans="1:5">
      <c r="A2779" t="s">
        <v>6</v>
      </c>
      <c r="B2779" t="s">
        <v>2784</v>
      </c>
      <c r="C2779">
        <f>HYPERLINK("C:\Users\franc\OneDrive\Documentos\MALENTIN KARIME\SEP BIENES\JOSE RAMIREZ Y SANDRA SORIA Adolfo.doc", "Abrir Documento")</f>
        <v>0</v>
      </c>
      <c r="D2779" t="s">
        <v>23500</v>
      </c>
      <c r="E2779" t="s">
        <v>26228</v>
      </c>
    </row>
    <row r="2780" spans="1:5">
      <c r="A2780" t="s">
        <v>6</v>
      </c>
      <c r="B2780" t="s">
        <v>2785</v>
      </c>
      <c r="C2780">
        <f>HYPERLINK("C:\Users\franc\OneDrive\Documentos\MALENTIN KARIME\SEP BIENES\JORGE PASTENA A Karen Araya.doc", "Abrir Documento")</f>
        <v>0</v>
      </c>
      <c r="D2780" t="s">
        <v>23500</v>
      </c>
      <c r="E2780" t="s">
        <v>26229</v>
      </c>
    </row>
    <row r="2781" spans="1:5">
      <c r="A2781" t="s">
        <v>6</v>
      </c>
      <c r="B2781" t="s">
        <v>2786</v>
      </c>
      <c r="C2781">
        <f>HYPERLINK("C:\Users\franc\OneDrive\Documentos\MALENTIN KARIME\SEP BIENES\JORGE HIDALGO Y SONALI CORTES Minuta.doc", "Abrir Documento")</f>
        <v>0</v>
      </c>
      <c r="D2781" t="s">
        <v>23500</v>
      </c>
      <c r="E2781" t="s">
        <v>26230</v>
      </c>
    </row>
    <row r="2782" spans="1:5">
      <c r="A2782" t="s">
        <v>6</v>
      </c>
      <c r="B2782" t="s">
        <v>2787</v>
      </c>
      <c r="C2782">
        <f>HYPERLINK("C:\Users\franc\OneDrive\Documentos\MALENTIN KARIME\SEP BIENES\FABIOLA FARIAS Y DAVID CASTRO.doc", "Abrir Documento")</f>
        <v>0</v>
      </c>
      <c r="D2782" t="s">
        <v>23500</v>
      </c>
      <c r="E2782" t="s">
        <v>26231</v>
      </c>
    </row>
    <row r="2783" spans="1:5">
      <c r="A2783" t="s">
        <v>6</v>
      </c>
      <c r="B2783" t="s">
        <v>2788</v>
      </c>
      <c r="C2783">
        <f>HYPERLINK("C:\Users\franc\OneDrive\Documentos\MALENTIN KARIME\SEP BIENES\CLAUDIO NUÑEZ A Maritza Vergara.doc", "Abrir Documento")</f>
        <v>0</v>
      </c>
      <c r="D2783" t="s">
        <v>23500</v>
      </c>
      <c r="E2783" t="s">
        <v>26232</v>
      </c>
    </row>
    <row r="2784" spans="1:5">
      <c r="A2784" t="s">
        <v>6</v>
      </c>
      <c r="B2784" t="s">
        <v>2789</v>
      </c>
      <c r="C2784">
        <f>HYPERLINK("C:\Users\franc\OneDrive\Documentos\MALENTIN KARIME\SEP BIENES\EMEDITA MIRANDA A Guido Rodriguez.doc", "Abrir Documento")</f>
        <v>0</v>
      </c>
      <c r="D2784" t="s">
        <v>23500</v>
      </c>
      <c r="E2784" t="s">
        <v>26232</v>
      </c>
    </row>
    <row r="2785" spans="1:5">
      <c r="A2785" t="s">
        <v>6</v>
      </c>
      <c r="B2785" t="s">
        <v>2790</v>
      </c>
      <c r="C2785">
        <f>HYPERLINK("C:\Users\franc\OneDrive\Documentos\MALENTIN KARIME\SEP BIENES\ANGELICA CORDOVA A Christian Tabilo minuta.doc", "Abrir Documento")</f>
        <v>0</v>
      </c>
      <c r="D2785" t="s">
        <v>23500</v>
      </c>
      <c r="E2785" t="s">
        <v>26233</v>
      </c>
    </row>
    <row r="2786" spans="1:5">
      <c r="A2786" t="s">
        <v>6</v>
      </c>
      <c r="B2786" t="s">
        <v>2791</v>
      </c>
      <c r="C2786">
        <f>HYPERLINK("C:\Users\franc\OneDrive\Documentos\MALENTIN KARIME\SEP BIENES\ADOLFO CASTILLO Y MARIANET SAEZ Minuta.doc", "Abrir Documento")</f>
        <v>0</v>
      </c>
      <c r="D2786" t="s">
        <v>23500</v>
      </c>
      <c r="E2786" t="s">
        <v>26234</v>
      </c>
    </row>
    <row r="2787" spans="1:5">
      <c r="A2787" t="s">
        <v>6</v>
      </c>
      <c r="B2787" t="s">
        <v>2792</v>
      </c>
      <c r="C2787">
        <f>HYPERLINK("C:\Users\franc\OneDrive\Documentos\MALENTIN KARIME\Rosa\YENNI\ALFONSO ARTIGUES POR SOC. ANGOSTURA.- FIANZA SOLIDARIA.doc", "Abrir Documento")</f>
        <v>0</v>
      </c>
      <c r="D2787" t="s">
        <v>23500</v>
      </c>
      <c r="E2787" t="s">
        <v>26235</v>
      </c>
    </row>
    <row r="2788" spans="1:5">
      <c r="A2788" t="s">
        <v>6</v>
      </c>
      <c r="B2788" t="s">
        <v>2793</v>
      </c>
      <c r="C2788">
        <f>HYPERLINK("C:\Users\franc\OneDrive\Documentos\MALENTIN KARIME\Rosa\YENNI\Separación de bienes.doc", "Abrir Documento")</f>
        <v>0</v>
      </c>
      <c r="D2788" t="s">
        <v>23500</v>
      </c>
      <c r="E2788" t="s">
        <v>26235</v>
      </c>
    </row>
    <row r="2789" spans="1:5">
      <c r="A2789" t="s">
        <v>6</v>
      </c>
      <c r="B2789" t="s">
        <v>2794</v>
      </c>
      <c r="C2789">
        <f>HYPERLINK("C:\Users\franc\OneDrive\Documentos\MALENTIN KARIME\Rosa\VARIOS\VARIOS ROSA ELENA\CONTRATO INDEFINIDO.doc", "Abrir Documento")</f>
        <v>0</v>
      </c>
      <c r="D2789" t="s">
        <v>23500</v>
      </c>
      <c r="E2789" t="s">
        <v>26236</v>
      </c>
    </row>
    <row r="2790" spans="1:5">
      <c r="A2790" t="s">
        <v>6</v>
      </c>
      <c r="B2790" t="s">
        <v>2795</v>
      </c>
      <c r="C2790">
        <f>HYPERLINK("C:\Users\franc\OneDrive\Documentos\MALENTIN KARIME\Rosa\VARIOS\SE AGREGA DOCUMENTO\SE PROTOCOLIZA DOCUMENTO DESPUES DE FIRMA.doc", "Abrir Documento")</f>
        <v>0</v>
      </c>
      <c r="D2790" t="s">
        <v>23500</v>
      </c>
      <c r="E2790" t="s">
        <v>26237</v>
      </c>
    </row>
    <row r="2791" spans="1:5">
      <c r="A2791" t="s">
        <v>6</v>
      </c>
      <c r="B2791" t="s">
        <v>2796</v>
      </c>
      <c r="C2791">
        <f>HYPERLINK("C:\Users\franc\OneDrive\Documentos\MALENTIN KARIME\Rosa\VARIOS\VARIOS ROSA ELENA\CONTRATO DE TRABAJO Nº2 ROSA PEREZ VALDERRAMA.doc", "Abrir Documento")</f>
        <v>0</v>
      </c>
      <c r="D2791" t="s">
        <v>23500</v>
      </c>
      <c r="E2791" t="s">
        <v>26237</v>
      </c>
    </row>
    <row r="2792" spans="1:5">
      <c r="A2792" t="s">
        <v>6</v>
      </c>
      <c r="B2792" t="s">
        <v>2797</v>
      </c>
      <c r="C2792">
        <f>HYPERLINK("C:\Users\franc\OneDrive\Documentos\MALENTIN KARIME\Rosa\VARIOS\SE AGREGA DOCUMENTO\liquidación de sueldo.doc", "Abrir Documento")</f>
        <v>0</v>
      </c>
      <c r="D2792" t="s">
        <v>23500</v>
      </c>
      <c r="E2792" t="s">
        <v>26238</v>
      </c>
    </row>
    <row r="2793" spans="1:5">
      <c r="A2793" t="s">
        <v>6</v>
      </c>
      <c r="B2793" t="s">
        <v>2798</v>
      </c>
      <c r="C2793">
        <f>HYPERLINK("C:\Users\franc\OneDrive\Documentos\MALENTIN KARIME\Rosa\VARIOS\SE AGREGA DOCUMENTO\certificado matrimonio Farid Jacob.doc", "Abrir Documento")</f>
        <v>0</v>
      </c>
      <c r="D2793" t="s">
        <v>23500</v>
      </c>
      <c r="E2793" t="s">
        <v>26239</v>
      </c>
    </row>
    <row r="2794" spans="1:5">
      <c r="A2794" t="s">
        <v>6</v>
      </c>
      <c r="B2794" t="s">
        <v>2799</v>
      </c>
      <c r="C2794">
        <f>HYPERLINK("C:\Users\franc\OneDrive\Documentos\MALENTIN KARIME\Rosa\VARIOS\SE AGREGA DOCUMENTO\LEY 20.130.doc", "Abrir Documento")</f>
        <v>0</v>
      </c>
      <c r="D2794" t="s">
        <v>23500</v>
      </c>
      <c r="E2794" t="s">
        <v>26239</v>
      </c>
    </row>
    <row r="2795" spans="1:5">
      <c r="A2795" t="s">
        <v>6</v>
      </c>
      <c r="B2795" t="s">
        <v>2800</v>
      </c>
      <c r="C2795">
        <f>HYPERLINK("C:\Users\franc\OneDrive\Documentos\MALENTIN KARIME\Rosa\VARIOS\SE AGREGA DOCUMENTO\AGREGA rol de avaluol.doc", "Abrir Documento")</f>
        <v>0</v>
      </c>
      <c r="D2795" t="s">
        <v>23500</v>
      </c>
      <c r="E2795" t="s">
        <v>26240</v>
      </c>
    </row>
    <row r="2796" spans="1:5">
      <c r="A2796" t="s">
        <v>6</v>
      </c>
      <c r="B2796" t="s">
        <v>2801</v>
      </c>
      <c r="C2796">
        <f>HYPERLINK("C:\Users\franc\OneDrive\Documentos\MALENTIN KARIME\Rosa\VARIOS\SE AGREGA DOCUMENTO\AGREGA pago contribuciones.doc", "Abrir Documento")</f>
        <v>0</v>
      </c>
      <c r="D2796" t="s">
        <v>23500</v>
      </c>
      <c r="E2796" t="s">
        <v>26241</v>
      </c>
    </row>
    <row r="2797" spans="1:5">
      <c r="A2797" t="s">
        <v>6</v>
      </c>
      <c r="B2797" t="s">
        <v>2802</v>
      </c>
      <c r="C2797">
        <f>HYPERLINK("C:\Users\franc\OneDrive\Documentos\MALENTIN KARIME\Rosa\VARIOS\SE AGREGA DOCUMENTO\AGREGA IMPUESTO.doc", "Abrir Documento")</f>
        <v>0</v>
      </c>
      <c r="D2797" t="s">
        <v>23500</v>
      </c>
      <c r="E2797" t="s">
        <v>26242</v>
      </c>
    </row>
    <row r="2798" spans="1:5">
      <c r="A2798" t="s">
        <v>6</v>
      </c>
      <c r="B2798" t="s">
        <v>2803</v>
      </c>
      <c r="C2798">
        <f>HYPERLINK("C:\Users\franc\OneDrive\Documentos\MALENTIN KARIME\Rosa\VARIOS\SE AGREGA DOCUMENTO\AGREGA CERTIFICADO matrimonioROBERTO VEGA ALCAYAGA.doc", "Abrir Documento")</f>
        <v>0</v>
      </c>
      <c r="D2798" t="s">
        <v>23500</v>
      </c>
      <c r="E2798" t="s">
        <v>26243</v>
      </c>
    </row>
    <row r="2799" spans="1:5">
      <c r="A2799" t="s">
        <v>6</v>
      </c>
      <c r="B2799" t="s">
        <v>2804</v>
      </c>
      <c r="C2799">
        <f>HYPERLINK("C:\Users\franc\OneDrive\Documentos\MALENTIN KARIME\Rosa\VARIOS\SE AGREGA DOCUMENTO\AGREGA IMPUESTO MUTUO.doc", "Abrir Documento")</f>
        <v>0</v>
      </c>
      <c r="D2799" t="s">
        <v>23500</v>
      </c>
      <c r="E2799" t="s">
        <v>26243</v>
      </c>
    </row>
    <row r="2800" spans="1:5">
      <c r="A2800" t="s">
        <v>6</v>
      </c>
      <c r="B2800" t="s">
        <v>2805</v>
      </c>
      <c r="C2800">
        <f>HYPERLINK("C:\Users\franc\OneDrive\Documentos\MALENTIN KARIME\Rosa\VARIOS\PLANILLAS\PLANILLA PUBLICACIONES.doc", "Abrir Documento")</f>
        <v>0</v>
      </c>
      <c r="D2800" t="s">
        <v>23500</v>
      </c>
      <c r="E2800" t="s">
        <v>26244</v>
      </c>
    </row>
    <row r="2801" spans="1:5">
      <c r="A2801" t="s">
        <v>6</v>
      </c>
      <c r="B2801" t="s">
        <v>2806</v>
      </c>
      <c r="C2801">
        <f>HYPERLINK("C:\Users\franc\OneDrive\Documentos\MALENTIN KARIME\Rosa\VARIOS\SE AGREGA DOCUMENTO\AGREGA CERTIFICADO matrimonio normal.doc", "Abrir Documento")</f>
        <v>0</v>
      </c>
      <c r="D2801" t="s">
        <v>23500</v>
      </c>
      <c r="E2801" t="s">
        <v>26244</v>
      </c>
    </row>
    <row r="2802" spans="1:5">
      <c r="A2802" t="s">
        <v>6</v>
      </c>
      <c r="B2802" t="s">
        <v>2807</v>
      </c>
      <c r="C2802">
        <f>HYPERLINK("C:\Users\franc\OneDrive\Documentos\MALENTIN KARIME\Rosa\VARIOS\PLANILLAS\ANOTACION DE PUBLICACIONES.doc", "Abrir Documento")</f>
        <v>0</v>
      </c>
      <c r="D2802" t="s">
        <v>23500</v>
      </c>
      <c r="E2802" t="s">
        <v>26245</v>
      </c>
    </row>
    <row r="2803" spans="1:5">
      <c r="A2803" t="s">
        <v>6</v>
      </c>
      <c r="B2803" t="s">
        <v>2808</v>
      </c>
      <c r="C2803">
        <f>HYPERLINK("C:\Users\franc\OneDrive\Documentos\MALENTIN KARIME\Rosa\VARIOS\PLANILLAS\ANOTACION DE DOMINIO VIGENTE, PRENDA Y PROHBICION.doc", "Abrir Documento")</f>
        <v>0</v>
      </c>
      <c r="D2803" t="s">
        <v>23500</v>
      </c>
      <c r="E2803" t="s">
        <v>26246</v>
      </c>
    </row>
    <row r="2804" spans="1:5">
      <c r="A2804" t="s">
        <v>6</v>
      </c>
      <c r="B2804" t="s">
        <v>2809</v>
      </c>
      <c r="C2804">
        <f>HYPERLINK("C:\Users\franc\OneDrive\Documentos\MALENTIN KARIME\Rosa\VARIOS\NOTA AL MARGEN\notas al margen revocacion mandato judicial  ACTUAL.doc", "Abrir Documento")</f>
        <v>0</v>
      </c>
      <c r="D2804" t="s">
        <v>23500</v>
      </c>
      <c r="E2804" t="s">
        <v>26247</v>
      </c>
    </row>
    <row r="2805" spans="1:5">
      <c r="A2805" t="s">
        <v>6</v>
      </c>
      <c r="B2805" t="s">
        <v>2810</v>
      </c>
      <c r="C2805">
        <f>HYPERLINK("C:\Users\franc\OneDrive\Documentos\MALENTIN KARIME\Rosa\VARIOS\NOTA AL MARGEN\notas al margen Resciliación  ACTUAL.doc", "Abrir Documento")</f>
        <v>0</v>
      </c>
      <c r="D2805" t="s">
        <v>23500</v>
      </c>
      <c r="E2805" t="s">
        <v>26248</v>
      </c>
    </row>
    <row r="2806" spans="1:5">
      <c r="A2806" t="s">
        <v>6</v>
      </c>
      <c r="B2806" t="s">
        <v>2811</v>
      </c>
      <c r="C2806">
        <f>HYPERLINK("C:\Users\franc\OneDrive\Documentos\MALENTIN KARIME\Rosa\VARIOS\NOTA AL MARGEN\notas al margen Resciliación ANTERIOR.doc", "Abrir Documento")</f>
        <v>0</v>
      </c>
      <c r="D2806" t="s">
        <v>23500</v>
      </c>
      <c r="E2806" t="s">
        <v>26248</v>
      </c>
    </row>
    <row r="2807" spans="1:5">
      <c r="A2807" t="s">
        <v>6</v>
      </c>
      <c r="B2807" t="s">
        <v>2812</v>
      </c>
      <c r="C2807">
        <f>HYPERLINK("C:\Users\franc\OneDrive\Documentos\MALENTIN KARIME\Rosa\VARIOS\NOTA AL MARGEN\notas al margen Rectificación ANTERIOR.doc", "Abrir Documento")</f>
        <v>0</v>
      </c>
      <c r="D2807" t="s">
        <v>23500</v>
      </c>
      <c r="E2807" t="s">
        <v>26249</v>
      </c>
    </row>
    <row r="2808" spans="1:5">
      <c r="A2808" t="s">
        <v>6</v>
      </c>
      <c r="B2808" t="s">
        <v>2813</v>
      </c>
      <c r="C2808">
        <f>HYPERLINK("C:\Users\franc\OneDrive\Documentos\MALENTIN KARIME\Rosa\VARIOS\NOTA AL MARGEN\notas al margen Rectificación ACTUAL.doc", "Abrir Documento")</f>
        <v>0</v>
      </c>
      <c r="D2808" t="s">
        <v>23500</v>
      </c>
      <c r="E2808" t="s">
        <v>26250</v>
      </c>
    </row>
    <row r="2809" spans="1:5">
      <c r="A2809" t="s">
        <v>6</v>
      </c>
      <c r="B2809" t="s">
        <v>2814</v>
      </c>
      <c r="C2809">
        <f>HYPERLINK("C:\Users\franc\OneDrive\Documentos\MALENTIN KARIME\Rosa\VARIOS\NOTA AL MARGEN\notas al margen Complementación ANTERIOR.doc", "Abrir Documento")</f>
        <v>0</v>
      </c>
      <c r="D2809" t="s">
        <v>23500</v>
      </c>
      <c r="E2809" t="s">
        <v>26251</v>
      </c>
    </row>
    <row r="2810" spans="1:5">
      <c r="A2810" t="s">
        <v>6</v>
      </c>
      <c r="B2810" t="s">
        <v>2815</v>
      </c>
      <c r="C2810">
        <f>HYPERLINK("C:\Users\franc\OneDrive\Documentos\MALENTIN KARIME\Rosa\VARIOS\NOTA AL MARGEN\nota al margen 2.doc", "Abrir Documento")</f>
        <v>0</v>
      </c>
      <c r="D2810" t="s">
        <v>23500</v>
      </c>
      <c r="E2810" t="s">
        <v>26252</v>
      </c>
    </row>
    <row r="2811" spans="1:5">
      <c r="A2811" t="s">
        <v>6</v>
      </c>
      <c r="B2811" t="s">
        <v>2816</v>
      </c>
      <c r="C2811">
        <f>HYPERLINK("C:\Users\franc\OneDrive\Documentos\MALENTIN KARIME\Rosa\VARIOS\NOTA AL MARGEN\notas al margen  rectifica ANTERIOR.doc", "Abrir Documento")</f>
        <v>0</v>
      </c>
      <c r="D2811" t="s">
        <v>23500</v>
      </c>
      <c r="E2811" t="s">
        <v>26252</v>
      </c>
    </row>
    <row r="2812" spans="1:5">
      <c r="A2812" t="s">
        <v>6</v>
      </c>
      <c r="B2812" t="s">
        <v>2817</v>
      </c>
      <c r="C2812">
        <f>HYPERLINK("C:\Users\franc\OneDrive\Documentos\MALENTIN KARIME\Rosa\VARIOS\NOTA AL MARGEN\nota al margen 1 ACTUAL.doc", "Abrir Documento")</f>
        <v>0</v>
      </c>
      <c r="D2812" t="s">
        <v>23500</v>
      </c>
      <c r="E2812" t="s">
        <v>26253</v>
      </c>
    </row>
    <row r="2813" spans="1:5">
      <c r="A2813" t="s">
        <v>6</v>
      </c>
      <c r="B2813" t="s">
        <v>2818</v>
      </c>
      <c r="C2813">
        <f>HYPERLINK("C:\Users\franc\OneDrive\Documentos\MALENTIN KARIME\Rosa\VARIOS\MODELOS SOBRES\SOBRE.doc", "Abrir Documento")</f>
        <v>0</v>
      </c>
      <c r="D2813" t="s">
        <v>23500</v>
      </c>
      <c r="E2813" t="s">
        <v>26254</v>
      </c>
    </row>
    <row r="2814" spans="1:5">
      <c r="A2814" t="s">
        <v>6</v>
      </c>
      <c r="B2814" t="s">
        <v>2819</v>
      </c>
      <c r="C2814">
        <f>HYPERLINK("C:\Users\franc\OneDrive\Documentos\MALENTIN KARIME\Rosa\VARIOS\MODELOS SOBRES\SOBRE VARIOS.doc", "Abrir Documento")</f>
        <v>0</v>
      </c>
      <c r="D2814" t="s">
        <v>23500</v>
      </c>
      <c r="E2814" t="s">
        <v>26255</v>
      </c>
    </row>
    <row r="2815" spans="1:5">
      <c r="A2815" t="s">
        <v>6</v>
      </c>
      <c r="B2815" t="s">
        <v>2820</v>
      </c>
      <c r="C2815">
        <f>HYPERLINK("C:\Users\franc\OneDrive\Documentos\MALENTIN KARIME\Rosa\VARIOS\MODELOS SOBRES\SOBRE 3.doc", "Abrir Documento")</f>
        <v>0</v>
      </c>
      <c r="D2815" t="s">
        <v>23500</v>
      </c>
      <c r="E2815" t="s">
        <v>26256</v>
      </c>
    </row>
    <row r="2816" spans="1:5">
      <c r="A2816" t="s">
        <v>6</v>
      </c>
      <c r="B2816" t="s">
        <v>2821</v>
      </c>
      <c r="C2816">
        <f>HYPERLINK("C:\Users\franc\OneDrive\Documentos\MALENTIN KARIME\Rosa\VARIOS\MODELOS SOBRES\SOBRE FACTORONE.doc", "Abrir Documento")</f>
        <v>0</v>
      </c>
      <c r="D2816" t="s">
        <v>23500</v>
      </c>
      <c r="E2816" t="s">
        <v>26256</v>
      </c>
    </row>
    <row r="2817" spans="1:5">
      <c r="A2817" t="s">
        <v>6</v>
      </c>
      <c r="B2817" t="s">
        <v>2822</v>
      </c>
      <c r="C2817">
        <f>HYPERLINK("C:\Users\franc\OneDrive\Documentos\MALENTIN KARIME\Rosa\VARIOS\MODELOS SOBRES\SOBRE 2.doc", "Abrir Documento")</f>
        <v>0</v>
      </c>
      <c r="D2817" t="s">
        <v>23500</v>
      </c>
      <c r="E2817" t="s">
        <v>26257</v>
      </c>
    </row>
    <row r="2818" spans="1:5">
      <c r="A2818" t="s">
        <v>6</v>
      </c>
      <c r="B2818" t="s">
        <v>2823</v>
      </c>
      <c r="C2818">
        <f>HYPERLINK("C:\Users\franc\OneDrive\Documentos\MALENTIN KARIME\Rosa\VARIOS\MODELOS SOBRES\SOBRE 1.doc", "Abrir Documento")</f>
        <v>0</v>
      </c>
      <c r="D2818" t="s">
        <v>23500</v>
      </c>
      <c r="E2818" t="s">
        <v>26258</v>
      </c>
    </row>
    <row r="2819" spans="1:5">
      <c r="A2819" t="s">
        <v>6</v>
      </c>
      <c r="B2819" t="s">
        <v>2824</v>
      </c>
      <c r="C2819">
        <f>HYPERLINK("C:\Users\franc\OneDrive\Documentos\MALENTIN KARIME\Rosa\VARIOS\DON LUIS-BANCO\MODIFICACION RAUL CORTES.doc", "Abrir Documento")</f>
        <v>0</v>
      </c>
      <c r="D2819" t="s">
        <v>23500</v>
      </c>
      <c r="E2819" t="s">
        <v>26259</v>
      </c>
    </row>
    <row r="2820" spans="1:5">
      <c r="A2820" t="s">
        <v>6</v>
      </c>
      <c r="B2820" t="s">
        <v>2825</v>
      </c>
      <c r="C2820">
        <f>HYPERLINK("C:\Users\franc\OneDrive\Documentos\MALENTIN KARIME\Rosa\VARIOS\DON LUIS-BANCO\MARCELA CORTES A RAUL CORTES.doc", "Abrir Documento")</f>
        <v>0</v>
      </c>
      <c r="D2820" t="s">
        <v>23500</v>
      </c>
      <c r="E2820" t="s">
        <v>26260</v>
      </c>
    </row>
    <row r="2821" spans="1:5">
      <c r="A2821" t="s">
        <v>6</v>
      </c>
      <c r="B2821" t="s">
        <v>2826</v>
      </c>
      <c r="C2821">
        <f>HYPERLINK("C:\Users\franc\OneDrive\Documentos\MALENTIN KARIME\Rosa\VARIOS\DON LUIS-BANCO\MARCELA C. A RAUL CORTES.doc", "Abrir Documento")</f>
        <v>0</v>
      </c>
      <c r="D2821" t="s">
        <v>23500</v>
      </c>
      <c r="E2821" t="s">
        <v>26261</v>
      </c>
    </row>
    <row r="2822" spans="1:5">
      <c r="A2822" t="s">
        <v>6</v>
      </c>
      <c r="B2822" t="s">
        <v>2827</v>
      </c>
      <c r="C2822">
        <f>HYPERLINK("C:\Users\franc\OneDrive\Documentos\MALENTIN KARIME\Rosa\VARIOS\Don Luis\SII Online.doc", "Abrir Documento")</f>
        <v>0</v>
      </c>
      <c r="D2822" t="s">
        <v>23500</v>
      </c>
      <c r="E2822" t="s">
        <v>26262</v>
      </c>
    </row>
    <row r="2823" spans="1:5">
      <c r="A2823" t="s">
        <v>6</v>
      </c>
      <c r="B2823" t="s">
        <v>2828</v>
      </c>
      <c r="C2823">
        <f>HYPERLINK("C:\Users\franc\OneDrive\Documentos\MALENTIN KARIME\Rosa\VARIOS\Don Luis\DOCUMENTO PARA REMATE.doc", "Abrir Documento")</f>
        <v>0</v>
      </c>
      <c r="D2823" t="s">
        <v>23500</v>
      </c>
      <c r="E2823" t="s">
        <v>26263</v>
      </c>
    </row>
    <row r="2824" spans="1:5">
      <c r="A2824" t="s">
        <v>6</v>
      </c>
      <c r="B2824" t="s">
        <v>2829</v>
      </c>
      <c r="C2824">
        <f>HYPERLINK("C:\Users\franc\OneDrive\Documentos\MALENTIN KARIME\Rosa\VARIOS\Don Luis\DOCUMENTOS VARIOS DON LUIS.doc", "Abrir Documento")</f>
        <v>0</v>
      </c>
      <c r="D2824" t="s">
        <v>23500</v>
      </c>
      <c r="E2824" t="s">
        <v>26263</v>
      </c>
    </row>
    <row r="2825" spans="1:5">
      <c r="A2825" t="s">
        <v>6</v>
      </c>
      <c r="B2825" t="s">
        <v>2830</v>
      </c>
      <c r="C2825">
        <f>HYPERLINK("C:\Users\franc\OneDrive\Documentos\MALENTIN KARIME\Rosa\VARIOS\DECRETOS NOTARIOS SUPLENTES\decreto SANTIAGO CABRERA.doc", "Abrir Documento")</f>
        <v>0</v>
      </c>
      <c r="D2825" t="s">
        <v>23500</v>
      </c>
      <c r="E2825" t="s">
        <v>26264</v>
      </c>
    </row>
    <row r="2826" spans="1:5">
      <c r="A2826" t="s">
        <v>6</v>
      </c>
      <c r="B2826" t="s">
        <v>2831</v>
      </c>
      <c r="C2826">
        <f>HYPERLINK("C:\Users\franc\OneDrive\Documentos\MALENTIN KARIME\Rosa\VARIOS\DECRETOS NOTARIOS SUPLENTES\decreto SERGIO CORTES BELTRAN.doc", "Abrir Documento")</f>
        <v>0</v>
      </c>
      <c r="D2826" t="s">
        <v>23500</v>
      </c>
      <c r="E2826" t="s">
        <v>26264</v>
      </c>
    </row>
    <row r="2827" spans="1:5">
      <c r="A2827" t="s">
        <v>6</v>
      </c>
      <c r="B2827" t="s">
        <v>2832</v>
      </c>
      <c r="C2827">
        <f>HYPERLINK("C:\Users\franc\OneDrive\Documentos\MALENTIN KARIME\Rosa\VARIOS\DECRETOS NOTARIOS SUPLENTES\decreto MARIA INES NUÑEZ.doc", "Abrir Documento")</f>
        <v>0</v>
      </c>
      <c r="D2827" t="s">
        <v>23500</v>
      </c>
      <c r="E2827" t="s">
        <v>26265</v>
      </c>
    </row>
    <row r="2828" spans="1:5">
      <c r="A2828" t="s">
        <v>6</v>
      </c>
      <c r="B2828" t="s">
        <v>2833</v>
      </c>
      <c r="C2828">
        <f>HYPERLINK("C:\Users\franc\OneDrive\Documentos\MALENTIN KARIME\Rosa\VARIOS\DECRETOS NOTARIOS SUPLENTES\decreto ROBERTO CAMPUSANO.doc", "Abrir Documento")</f>
        <v>0</v>
      </c>
      <c r="D2828" t="s">
        <v>23500</v>
      </c>
      <c r="E2828" t="s">
        <v>26265</v>
      </c>
    </row>
    <row r="2829" spans="1:5">
      <c r="A2829" t="s">
        <v>6</v>
      </c>
      <c r="B2829" t="s">
        <v>2834</v>
      </c>
      <c r="C2829">
        <f>HYPERLINK("C:\Users\franc\OneDrive\Documentos\MALENTIN KARIME\Rosa\VARIOS\DECRETOS NOTARIOS SUPLENTES\decreto FRANCISCO SAAVEDRA.doc", "Abrir Documento")</f>
        <v>0</v>
      </c>
      <c r="D2829" t="s">
        <v>23500</v>
      </c>
      <c r="E2829" t="s">
        <v>26266</v>
      </c>
    </row>
    <row r="2830" spans="1:5">
      <c r="A2830" t="s">
        <v>6</v>
      </c>
      <c r="B2830" t="s">
        <v>2835</v>
      </c>
      <c r="C2830">
        <f>HYPERLINK("C:\Users\franc\OneDrive\Documentos\MALENTIN KARIME\Rosa\VARIOS\DECRETOS NOTARIOS SUPLENTES\decreto MANLIO METTIFOGO.doc", "Abrir Documento")</f>
        <v>0</v>
      </c>
      <c r="D2830" t="s">
        <v>23500</v>
      </c>
      <c r="E2830" t="s">
        <v>26266</v>
      </c>
    </row>
    <row r="2831" spans="1:5">
      <c r="A2831" t="s">
        <v>6</v>
      </c>
      <c r="B2831" t="s">
        <v>2836</v>
      </c>
      <c r="C2831">
        <f>HYPERLINK("C:\Users\franc\OneDrive\Documentos\MALENTIN KARIME\Rosa\VARIOS\DECRETOS NOTARIOS SUPLENTES\decreto CLAUDIO ARAYA CASTILLO.doc", "Abrir Documento")</f>
        <v>0</v>
      </c>
      <c r="D2831" t="s">
        <v>23500</v>
      </c>
      <c r="E2831" t="s">
        <v>26267</v>
      </c>
    </row>
    <row r="2832" spans="1:5">
      <c r="A2832" t="s">
        <v>6</v>
      </c>
      <c r="B2832" t="s">
        <v>2837</v>
      </c>
      <c r="C2832">
        <f>HYPERLINK("C:\Users\franc\OneDrive\Documentos\MALENTIN KARIME\Rosa\VARIOS\DECRETOS NOTARIOS SUPLENTES\decreto CATALINA NOELIA MULET DIAZ.doc", "Abrir Documento")</f>
        <v>0</v>
      </c>
      <c r="D2832" t="s">
        <v>23500</v>
      </c>
      <c r="E2832" t="s">
        <v>26268</v>
      </c>
    </row>
    <row r="2833" spans="1:5">
      <c r="A2833" t="s">
        <v>6</v>
      </c>
      <c r="B2833" t="s">
        <v>2838</v>
      </c>
      <c r="C2833">
        <f>HYPERLINK("C:\Users\franc\OneDrive\Documentos\MALENTIN KARIME\Rosa\VARIOS\CARTA A MAGISTRADOS\VALERIA MULET.doc", "Abrir Documento")</f>
        <v>0</v>
      </c>
      <c r="D2833" t="s">
        <v>23500</v>
      </c>
      <c r="E2833" t="s">
        <v>26269</v>
      </c>
    </row>
    <row r="2834" spans="1:5">
      <c r="A2834" t="s">
        <v>6</v>
      </c>
      <c r="B2834" t="s">
        <v>2839</v>
      </c>
      <c r="C2834">
        <f>HYPERLINK("C:\Users\franc\OneDrive\Documentos\MALENTIN KARIME\Rosa\VARIOS\DECRETOS NOTARIOS SUPLENTES\decreto ADOLFO LAY.doc", "Abrir Documento")</f>
        <v>0</v>
      </c>
      <c r="D2834" t="s">
        <v>23500</v>
      </c>
      <c r="E2834" t="s">
        <v>26269</v>
      </c>
    </row>
    <row r="2835" spans="1:5">
      <c r="A2835" t="s">
        <v>6</v>
      </c>
      <c r="B2835" t="s">
        <v>2840</v>
      </c>
      <c r="C2835">
        <f>HYPERLINK("C:\Users\franc\OneDrive\Documentos\MALENTIN KARIME\Rosa\VARIOS\CARTA A MAGISTRADOS\FRACISCO BRAVO RAMIREZ.doc", "Abrir Documento")</f>
        <v>0</v>
      </c>
      <c r="D2835" t="s">
        <v>23500</v>
      </c>
      <c r="E2835" t="s">
        <v>26270</v>
      </c>
    </row>
    <row r="2836" spans="1:5">
      <c r="A2836" t="s">
        <v>6</v>
      </c>
      <c r="B2836" t="s">
        <v>2841</v>
      </c>
      <c r="C2836">
        <f>HYPERLINK("C:\Users\franc\OneDrive\Documentos\MALENTIN KARIME\Rosa\VARIOS\CARTA A MAGISTRADOS\ANA NARANJO BISCHOF.doc", "Abrir Documento")</f>
        <v>0</v>
      </c>
      <c r="D2836" t="s">
        <v>23500</v>
      </c>
      <c r="E2836" t="s">
        <v>26271</v>
      </c>
    </row>
    <row r="2837" spans="1:5">
      <c r="A2837" t="s">
        <v>6</v>
      </c>
      <c r="B2837" t="s">
        <v>2842</v>
      </c>
      <c r="C2837">
        <f>HYPERLINK("C:\Users\franc\OneDrive\Documentos\MALENTIN KARIME\Rosa\VARIOS\AUTORIZACIONES\AUTORIZACION ESCRITURAS CON VIGENCIA.doc", "Abrir Documento")</f>
        <v>0</v>
      </c>
      <c r="D2837" t="s">
        <v>23500</v>
      </c>
      <c r="E2837" t="s">
        <v>26272</v>
      </c>
    </row>
    <row r="2838" spans="1:5">
      <c r="A2838" t="s">
        <v>6</v>
      </c>
      <c r="B2838" t="s">
        <v>2843</v>
      </c>
      <c r="C2838">
        <f>HYPERLINK("C:\Users\franc\OneDrive\Documentos\MALENTIN KARIME\Rosa\VARIOS\AUTORIZACIONES\Autorizo la firma para Letras.doc", "Abrir Documento")</f>
        <v>0</v>
      </c>
      <c r="D2838" t="s">
        <v>23500</v>
      </c>
      <c r="E2838" t="s">
        <v>26272</v>
      </c>
    </row>
    <row r="2839" spans="1:5">
      <c r="A2839" t="s">
        <v>6</v>
      </c>
      <c r="B2839" t="s">
        <v>2844</v>
      </c>
      <c r="C2839">
        <f>HYPERLINK("C:\Users\franc\OneDrive\Documentos\MALENTIN KARIME\Rosa\VARIOS\AUTORIZACIONES\AUTORIZACION ESCRITURAS CON VIGENCIA horizontal.doc", "Abrir Documento")</f>
        <v>0</v>
      </c>
      <c r="D2839" t="s">
        <v>23500</v>
      </c>
      <c r="E2839" t="s">
        <v>26273</v>
      </c>
    </row>
    <row r="2840" spans="1:5">
      <c r="A2840" t="s">
        <v>6</v>
      </c>
      <c r="B2840" t="s">
        <v>2845</v>
      </c>
      <c r="C2840">
        <f>HYPERLINK("C:\Users\franc\OneDrive\Documentos\MALENTIN KARIME\Rosa\VARIOS\AUTORIZACIONES\AUTORIZACION DIARIO OFICIAL.doc", "Abrir Documento")</f>
        <v>0</v>
      </c>
      <c r="D2840" t="s">
        <v>23500</v>
      </c>
      <c r="E2840" t="s">
        <v>26274</v>
      </c>
    </row>
    <row r="2841" spans="1:5">
      <c r="A2841" t="s">
        <v>6</v>
      </c>
      <c r="B2841" t="s">
        <v>2846</v>
      </c>
      <c r="C2841">
        <f>HYPERLINK("C:\Users\franc\OneDrive\Documentos\MALENTIN KARIME\Rosa\VARIOS\AUTORIZACIONES\AUTORIZACION DOCUMENTO PROTOCOLIZADO.doc", "Abrir Documento")</f>
        <v>0</v>
      </c>
      <c r="D2841" t="s">
        <v>23500</v>
      </c>
      <c r="E2841" t="s">
        <v>26274</v>
      </c>
    </row>
    <row r="2842" spans="1:5">
      <c r="A2842" t="s">
        <v>6</v>
      </c>
      <c r="B2842" t="s">
        <v>2847</v>
      </c>
      <c r="C2842">
        <f>HYPERLINK("C:\Users\franc\OneDrive\Documentos\MALENTIN KARIME\Rosa\VARIOS\AUTORIZACIONES\AUTORIZA LIBRO PARA COPIAS.doc", "Abrir Documento")</f>
        <v>0</v>
      </c>
      <c r="D2842" t="s">
        <v>23500</v>
      </c>
      <c r="E2842" t="s">
        <v>26275</v>
      </c>
    </row>
    <row r="2843" spans="1:5">
      <c r="A2843" t="s">
        <v>6</v>
      </c>
      <c r="B2843" t="s">
        <v>2848</v>
      </c>
      <c r="C2843">
        <f>HYPERLINK("C:\Users\franc\OneDrive\Documentos\MALENTIN KARIME\Rosa\VARIOS\AUTORIZACIONES\AUTORIZACION DE FIRMAS.doc", "Abrir Documento")</f>
        <v>0</v>
      </c>
      <c r="D2843" t="s">
        <v>23500</v>
      </c>
      <c r="E2843" t="s">
        <v>26275</v>
      </c>
    </row>
    <row r="2844" spans="1:5">
      <c r="A2844" t="s">
        <v>6</v>
      </c>
      <c r="B2844" t="s">
        <v>2849</v>
      </c>
      <c r="C2844">
        <f>HYPERLINK("C:\Users\franc\OneDrive\Documentos\MALENTIN KARIME\Rosa\VARIOS\AUTORIZACIONES\AUTORIZA LIBRO PARA COPIAS.- HORIZONTAL.doc", "Abrir Documento")</f>
        <v>0</v>
      </c>
      <c r="D2844" t="s">
        <v>23500</v>
      </c>
      <c r="E2844" t="s">
        <v>26276</v>
      </c>
    </row>
    <row r="2845" spans="1:5">
      <c r="A2845" t="s">
        <v>6</v>
      </c>
      <c r="B2845" t="s">
        <v>2850</v>
      </c>
      <c r="C2845">
        <f>HYPERLINK("C:\Users\franc\OneDrive\Documentos\MALENTIN KARIME\Rosa\VARIOS\VEN ESPIRITU SANTO.doc", "Abrir Documento")</f>
        <v>0</v>
      </c>
      <c r="D2845" t="s">
        <v>23500</v>
      </c>
      <c r="E2845" t="s">
        <v>26277</v>
      </c>
    </row>
    <row r="2846" spans="1:5">
      <c r="A2846" t="s">
        <v>6</v>
      </c>
      <c r="B2846" t="s">
        <v>2851</v>
      </c>
      <c r="C2846">
        <f>HYPERLINK("C:\Users\franc\OneDrive\Documentos\MALENTIN KARIME\Rosa\VARIOS\AUTORIZACIONES\AUTORIZA LIBRO PARA COPIAS actas.doc", "Abrir Documento")</f>
        <v>0</v>
      </c>
      <c r="D2846" t="s">
        <v>23500</v>
      </c>
      <c r="E2846" t="s">
        <v>26277</v>
      </c>
    </row>
    <row r="2847" spans="1:5">
      <c r="A2847" t="s">
        <v>6</v>
      </c>
      <c r="B2847" t="s">
        <v>2852</v>
      </c>
      <c r="C2847">
        <f>HYPERLINK("C:\Users\franc\OneDrive\Documentos\MALENTIN KARIME\Rosa\VARIOS\SOBRE VICTOR HUGO CORPBANCA.doc", "Abrir Documento")</f>
        <v>0</v>
      </c>
      <c r="D2847" t="s">
        <v>23500</v>
      </c>
      <c r="E2847" t="s">
        <v>26278</v>
      </c>
    </row>
    <row r="2848" spans="1:5">
      <c r="A2848" t="s">
        <v>6</v>
      </c>
      <c r="B2848" t="s">
        <v>2853</v>
      </c>
      <c r="C2848">
        <f>HYPERLINK("C:\Users\franc\OneDrive\Documentos\MALENTIN KARIME\Rosa\VARIOS\TIMBRE DE  PRIVILEGIO POBREZA.doc", "Abrir Documento")</f>
        <v>0</v>
      </c>
      <c r="D2848" t="s">
        <v>23500</v>
      </c>
      <c r="E2848" t="s">
        <v>26278</v>
      </c>
    </row>
    <row r="2849" spans="1:5">
      <c r="A2849" t="s">
        <v>6</v>
      </c>
      <c r="B2849" t="s">
        <v>2854</v>
      </c>
      <c r="C2849">
        <f>HYPERLINK("C:\Users\franc\OneDrive\Documentos\MALENTIN KARIME\Rosa\VARIOS\PERSONERIA BANCO SANTANDER[1].doc", "Abrir Documento")</f>
        <v>0</v>
      </c>
      <c r="D2849" t="s">
        <v>23500</v>
      </c>
      <c r="E2849" t="s">
        <v>26279</v>
      </c>
    </row>
    <row r="2850" spans="1:5">
      <c r="A2850" t="s">
        <v>6</v>
      </c>
      <c r="B2850" t="s">
        <v>2855</v>
      </c>
      <c r="C2850">
        <f>HYPERLINK("C:\Users\franc\OneDrive\Documentos\MALENTIN KARIME\Rosa\VARIOS\PERSONERIAS BANCO DE CHILE.doc", "Abrir Documento")</f>
        <v>0</v>
      </c>
      <c r="D2850" t="s">
        <v>23500</v>
      </c>
      <c r="E2850" t="s">
        <v>26279</v>
      </c>
    </row>
    <row r="2851" spans="1:5">
      <c r="A2851" t="s">
        <v>6</v>
      </c>
      <c r="B2851" t="s">
        <v>2856</v>
      </c>
      <c r="C2851">
        <f>HYPERLINK("C:\Users\franc\OneDrive\Documentos\MALENTIN KARIME\Rosa\VARIOS\PAGARE.doc", "Abrir Documento")</f>
        <v>0</v>
      </c>
      <c r="D2851" t="s">
        <v>23500</v>
      </c>
      <c r="E2851" t="s">
        <v>26280</v>
      </c>
    </row>
    <row r="2852" spans="1:5">
      <c r="A2852" t="s">
        <v>6</v>
      </c>
      <c r="B2852" t="s">
        <v>2857</v>
      </c>
      <c r="C2852">
        <f>HYPERLINK("C:\Users\franc\OneDrive\Documentos\MALENTIN KARIME\Rosa\VARIOS\NOMBRE LIBRO DE REPERTORIO.doc", "Abrir Documento")</f>
        <v>0</v>
      </c>
      <c r="D2852" t="s">
        <v>23500</v>
      </c>
      <c r="E2852" t="s">
        <v>26281</v>
      </c>
    </row>
    <row r="2853" spans="1:5">
      <c r="A2853" t="s">
        <v>6</v>
      </c>
      <c r="B2853" t="s">
        <v>2858</v>
      </c>
      <c r="C2853">
        <f>HYPERLINK("C:\Users\franc\OneDrive\Documentos\MALENTIN KARIME\Rosa\VARIOS\MODELO NOTARIO.doc", "Abrir Documento")</f>
        <v>0</v>
      </c>
      <c r="D2853" t="s">
        <v>23500</v>
      </c>
      <c r="E2853" t="s">
        <v>26282</v>
      </c>
    </row>
    <row r="2854" spans="1:5">
      <c r="A2854" t="s">
        <v>6</v>
      </c>
      <c r="B2854" t="s">
        <v>2859</v>
      </c>
      <c r="C2854">
        <f>HYPERLINK("C:\Users\franc\OneDrive\Documentos\MALENTIN KARIME\Rosa\VARIOS\LISTA MATERIALES.doc", "Abrir Documento")</f>
        <v>0</v>
      </c>
      <c r="D2854" t="s">
        <v>23500</v>
      </c>
      <c r="E2854" t="s">
        <v>26283</v>
      </c>
    </row>
    <row r="2855" spans="1:5">
      <c r="A2855" t="s">
        <v>6</v>
      </c>
      <c r="B2855" t="s">
        <v>2860</v>
      </c>
      <c r="C2855">
        <f>HYPERLINK("C:\Users\franc\OneDrive\Documentos\MALENTIN KARIME\Rosa\VARIOS\MINA LA YACO 1 AL 19 vender.doc", "Abrir Documento")</f>
        <v>0</v>
      </c>
      <c r="D2855" t="s">
        <v>23500</v>
      </c>
      <c r="E2855" t="s">
        <v>26283</v>
      </c>
    </row>
    <row r="2856" spans="1:5">
      <c r="A2856" t="s">
        <v>6</v>
      </c>
      <c r="B2856" t="s">
        <v>2861</v>
      </c>
      <c r="C2856">
        <f>HYPERLINK("C:\Users\franc\OneDrive\Documentos\MALENTIN KARIME\Rosa\VARIOS\INSERTO DOCUMENTOS.doc", "Abrir Documento")</f>
        <v>0</v>
      </c>
      <c r="D2856" t="s">
        <v>23500</v>
      </c>
      <c r="E2856" t="s">
        <v>26284</v>
      </c>
    </row>
    <row r="2857" spans="1:5">
      <c r="A2857" t="s">
        <v>6</v>
      </c>
      <c r="B2857" t="s">
        <v>2862</v>
      </c>
      <c r="C2857">
        <f>HYPERLINK("C:\Users\franc\OneDrive\Documentos\MALENTIN KARIME\Rosa\VARIOS\LEYENDA PARA AUTORIZAR DOC. PROTOCOLIZADO.doc", "Abrir Documento")</f>
        <v>0</v>
      </c>
      <c r="D2857" t="s">
        <v>23500</v>
      </c>
      <c r="E2857" t="s">
        <v>26284</v>
      </c>
    </row>
    <row r="2858" spans="1:5">
      <c r="A2858" t="s">
        <v>6</v>
      </c>
      <c r="B2858" t="s">
        <v>2863</v>
      </c>
      <c r="C2858">
        <f>HYPERLINK("C:\Users\franc\OneDrive\Documentos\MALENTIN KARIME\Rosa\VARIOS\FORMULARIO  24 SCOTIABANK-.doc", "Abrir Documento")</f>
        <v>0</v>
      </c>
      <c r="D2858" t="s">
        <v>23500</v>
      </c>
      <c r="E2858" t="s">
        <v>26285</v>
      </c>
    </row>
    <row r="2859" spans="1:5">
      <c r="A2859" t="s">
        <v>6</v>
      </c>
      <c r="B2859" t="s">
        <v>2864</v>
      </c>
      <c r="C2859">
        <f>HYPERLINK("C:\Users\franc\OneDrive\Documentos\MALENTIN KARIME\Rosa\VARIOS\hoja en blanco con membrete.doc", "Abrir Documento")</f>
        <v>0</v>
      </c>
      <c r="D2859" t="s">
        <v>23500</v>
      </c>
      <c r="E2859" t="s">
        <v>26285</v>
      </c>
    </row>
    <row r="2860" spans="1:5">
      <c r="A2860" t="s">
        <v>6</v>
      </c>
      <c r="B2860" t="s">
        <v>2865</v>
      </c>
      <c r="C2860">
        <f>HYPERLINK("C:\Users\franc\OneDrive\Documentos\MALENTIN KARIME\Rosa\VARIOS\FORMULARIO  24 SCOTIABANK- BULO pendiente.doc", "Abrir Documento")</f>
        <v>0</v>
      </c>
      <c r="D2860" t="s">
        <v>23500</v>
      </c>
      <c r="E2860" t="s">
        <v>26286</v>
      </c>
    </row>
    <row r="2861" spans="1:5">
      <c r="A2861" t="s">
        <v>6</v>
      </c>
      <c r="B2861" t="s">
        <v>2866</v>
      </c>
      <c r="C2861">
        <f>HYPERLINK("C:\Users\franc\OneDrive\Documentos\MALENTIN KARIME\Rosa\VARIOS\FORMULARIO  24 PARTICULARES.doc", "Abrir Documento")</f>
        <v>0</v>
      </c>
      <c r="D2861" t="s">
        <v>23500</v>
      </c>
      <c r="E2861" t="s">
        <v>26287</v>
      </c>
    </row>
    <row r="2862" spans="1:5">
      <c r="A2862" t="s">
        <v>6</v>
      </c>
      <c r="B2862" t="s">
        <v>2867</v>
      </c>
      <c r="C2862">
        <f>HYPERLINK("C:\Users\franc\OneDrive\Documentos\MALENTIN KARIME\Rosa\VARIOS\FORMULARIO  24 CORPBANCA.doc", "Abrir Documento")</f>
        <v>0</v>
      </c>
      <c r="D2862" t="s">
        <v>23500</v>
      </c>
      <c r="E2862" t="s">
        <v>26288</v>
      </c>
    </row>
    <row r="2863" spans="1:5">
      <c r="A2863" t="s">
        <v>6</v>
      </c>
      <c r="B2863" t="s">
        <v>2868</v>
      </c>
      <c r="C2863">
        <f>HYPERLINK("C:\Users\franc\OneDrive\Documentos\MALENTIN KARIME\Rosa\VARIOS\Firma a ruego.doc", "Abrir Documento")</f>
        <v>0</v>
      </c>
      <c r="D2863" t="s">
        <v>23500</v>
      </c>
      <c r="E2863" t="s">
        <v>26289</v>
      </c>
    </row>
    <row r="2864" spans="1:5">
      <c r="A2864" t="s">
        <v>6</v>
      </c>
      <c r="B2864" t="s">
        <v>2869</v>
      </c>
      <c r="C2864">
        <f>HYPERLINK("C:\Users\franc\OneDrive\Documentos\MALENTIN KARIME\Rosa\VARIOS\Firma a ruego problema sólo  para firmar.doc", "Abrir Documento")</f>
        <v>0</v>
      </c>
      <c r="D2864" t="s">
        <v>23500</v>
      </c>
      <c r="E2864" t="s">
        <v>26290</v>
      </c>
    </row>
    <row r="2865" spans="1:5">
      <c r="A2865" t="s">
        <v>6</v>
      </c>
      <c r="B2865" t="s">
        <v>2870</v>
      </c>
      <c r="C2865">
        <f>HYPERLINK("C:\Users\franc\OneDrive\Documentos\MALENTIN KARIME\Rosa\VARIOS\ejemplo  EXTRACTO E.I.R.L.doc", "Abrir Documento")</f>
        <v>0</v>
      </c>
      <c r="D2865" t="s">
        <v>23500</v>
      </c>
      <c r="E2865" t="s">
        <v>26291</v>
      </c>
    </row>
    <row r="2866" spans="1:5">
      <c r="A2866" t="s">
        <v>6</v>
      </c>
      <c r="B2866" t="s">
        <v>2871</v>
      </c>
      <c r="C2866">
        <f>HYPERLINK("C:\Users\franc\OneDrive\Documentos\MALENTIN KARIME\Rosa\VARIOS\extracto marcelo corral soc - modific soc agosto.doc", "Abrir Documento")</f>
        <v>0</v>
      </c>
      <c r="D2866" t="s">
        <v>23500</v>
      </c>
      <c r="E2866" t="s">
        <v>26291</v>
      </c>
    </row>
    <row r="2867" spans="1:5">
      <c r="A2867" t="s">
        <v>6</v>
      </c>
      <c r="B2867" t="s">
        <v>2872</v>
      </c>
      <c r="C2867">
        <f>HYPERLINK("C:\Users\franc\OneDrive\Documentos\MALENTIN KARIME\Rosa\VARIOS\DOCUMENTO DON ROBERTO VEGA.doc", "Abrir Documento")</f>
        <v>0</v>
      </c>
      <c r="D2867" t="s">
        <v>23500</v>
      </c>
      <c r="E2867" t="s">
        <v>26292</v>
      </c>
    </row>
    <row r="2868" spans="1:5">
      <c r="A2868" t="s">
        <v>6</v>
      </c>
      <c r="B2868" t="s">
        <v>2873</v>
      </c>
      <c r="C2868">
        <f>HYPERLINK("C:\Users\franc\OneDrive\Documentos\MALENTIN KARIME\Rosa\VARIOS\DOCUMENTOS NECESARIOS PARA UNA VENTA.doc", "Abrir Documento")</f>
        <v>0</v>
      </c>
      <c r="D2868" t="s">
        <v>23500</v>
      </c>
      <c r="E2868" t="s">
        <v>26292</v>
      </c>
    </row>
    <row r="2869" spans="1:5">
      <c r="A2869" t="s">
        <v>6</v>
      </c>
      <c r="B2869" t="s">
        <v>2874</v>
      </c>
      <c r="C2869">
        <f>HYPERLINK("C:\Users\franc\OneDrive\Documentos\MALENTIN KARIME\Rosa\VARIOS\DATOS EMPRESAS.doc", "Abrir Documento")</f>
        <v>0</v>
      </c>
      <c r="D2869" t="s">
        <v>23500</v>
      </c>
      <c r="E2869" t="s">
        <v>26293</v>
      </c>
    </row>
    <row r="2870" spans="1:5">
      <c r="A2870" t="s">
        <v>6</v>
      </c>
      <c r="B2870" t="s">
        <v>2875</v>
      </c>
      <c r="C2870">
        <f>HYPERLINK("C:\Users\franc\OneDrive\Documentos\MALENTIN KARIME\Rosa\VARIOS\Doc. entrega de llaves Don Luis.doc", "Abrir Documento")</f>
        <v>0</v>
      </c>
      <c r="D2870" t="s">
        <v>23500</v>
      </c>
      <c r="E2870" t="s">
        <v>26293</v>
      </c>
    </row>
    <row r="2871" spans="1:5">
      <c r="A2871" t="s">
        <v>6</v>
      </c>
      <c r="B2871" t="s">
        <v>2876</v>
      </c>
      <c r="C2871">
        <f>HYPERLINK("C:\Users\franc\OneDrive\Documentos\MALENTIN KARIME\Rosa\VARIOS\ctt[1]. David Troncoso Saavedra.doc", "Abrir Documento")</f>
        <v>0</v>
      </c>
      <c r="D2871" t="s">
        <v>23500</v>
      </c>
      <c r="E2871" t="s">
        <v>26294</v>
      </c>
    </row>
    <row r="2872" spans="1:5">
      <c r="A2872" t="s">
        <v>6</v>
      </c>
      <c r="B2872" t="s">
        <v>2877</v>
      </c>
      <c r="C2872">
        <f>HYPERLINK("C:\Users\franc\OneDrive\Documentos\MALENTIN KARIME\Rosa\VARIOS\Copia de PROTOCOLIZADOS.xls", "Abrir Documento")</f>
        <v>0</v>
      </c>
      <c r="D2872" t="s">
        <v>23500</v>
      </c>
      <c r="E2872" t="s">
        <v>26295</v>
      </c>
    </row>
    <row r="2873" spans="1:5">
      <c r="A2873" t="s">
        <v>6</v>
      </c>
      <c r="B2873" t="s">
        <v>2878</v>
      </c>
      <c r="C2873">
        <f>HYPERLINK("C:\Users\franc\OneDrive\Documentos\MALENTIN KARIME\Rosa\VARIOS\CLAUSULA se guarda para sí un terreno.doc", "Abrir Documento")</f>
        <v>0</v>
      </c>
      <c r="D2873" t="s">
        <v>23500</v>
      </c>
      <c r="E2873" t="s">
        <v>26296</v>
      </c>
    </row>
    <row r="2874" spans="1:5">
      <c r="A2874" t="s">
        <v>6</v>
      </c>
      <c r="B2874" t="s">
        <v>2879</v>
      </c>
      <c r="C2874">
        <f>HYPERLINK("C:\Users\franc\OneDrive\Documentos\MALENTIN KARIME\Rosa\VARIOS\CARTA.doc", "Abrir Documento")</f>
        <v>0</v>
      </c>
      <c r="D2874" t="s">
        <v>23500</v>
      </c>
      <c r="E2874" t="s">
        <v>26297</v>
      </c>
    </row>
    <row r="2875" spans="1:5">
      <c r="A2875" t="s">
        <v>6</v>
      </c>
      <c r="B2875" t="s">
        <v>2880</v>
      </c>
      <c r="C2875">
        <f>HYPERLINK("C:\Users\franc\OneDrive\Documentos\MALENTIN KARIME\Rosa\VARIOS\Cierre y Apertura Libro Repertorio.doc", "Abrir Documento")</f>
        <v>0</v>
      </c>
      <c r="D2875" t="s">
        <v>23500</v>
      </c>
      <c r="E2875" t="s">
        <v>26297</v>
      </c>
    </row>
    <row r="2876" spans="1:5">
      <c r="A2876" t="s">
        <v>6</v>
      </c>
      <c r="B2876" t="s">
        <v>2881</v>
      </c>
      <c r="C2876">
        <f>HYPERLINK("C:\Users\franc\OneDrive\Documentos\MALENTIN KARIME\Rosa\VARIOS\CARTA Nº2 C. BIENES RAICES.doc", "Abrir Documento")</f>
        <v>0</v>
      </c>
      <c r="D2876" t="s">
        <v>23500</v>
      </c>
      <c r="E2876" t="s">
        <v>26298</v>
      </c>
    </row>
    <row r="2877" spans="1:5">
      <c r="A2877" t="s">
        <v>6</v>
      </c>
      <c r="B2877" t="s">
        <v>2882</v>
      </c>
      <c r="C2877">
        <f>HYPERLINK("C:\Users\franc\OneDrive\Documentos\MALENTIN KARIME\Rosa\VARIOS\CARTA TESORERO REGIONAL.doc", "Abrir Documento")</f>
        <v>0</v>
      </c>
      <c r="D2877" t="s">
        <v>23500</v>
      </c>
      <c r="E2877" t="s">
        <v>26298</v>
      </c>
    </row>
    <row r="2878" spans="1:5">
      <c r="A2878" t="s">
        <v>6</v>
      </c>
      <c r="B2878" t="s">
        <v>2883</v>
      </c>
      <c r="C2878">
        <f>HYPERLINK("C:\Users\franc\OneDrive\Documentos\MALENTIN KARIME\Rosa\VARIOS\CARTA NOTIFICACION BCO. CORPBANCA.doc", "Abrir Documento")</f>
        <v>0</v>
      </c>
      <c r="D2878" t="s">
        <v>23500</v>
      </c>
      <c r="E2878" t="s">
        <v>26299</v>
      </c>
    </row>
    <row r="2879" spans="1:5">
      <c r="A2879" t="s">
        <v>6</v>
      </c>
      <c r="B2879" t="s">
        <v>2884</v>
      </c>
      <c r="C2879">
        <f>HYPERLINK("C:\Users\franc\OneDrive\Documentos\MALENTIN KARIME\Rosa\VARIOS\CARTA JUZGADO-REPERTORIO.doc", "Abrir Documento")</f>
        <v>0</v>
      </c>
      <c r="D2879" t="s">
        <v>23500</v>
      </c>
      <c r="E2879" t="s">
        <v>26300</v>
      </c>
    </row>
    <row r="2880" spans="1:5">
      <c r="A2880" t="s">
        <v>6</v>
      </c>
      <c r="B2880" t="s">
        <v>2885</v>
      </c>
      <c r="C2880">
        <f>HYPERLINK("C:\Users\franc\OneDrive\Documentos\MALENTIN KARIME\Rosa\VARIOS\CARTA INSTRUCCIONES MAYO 2011.doc", "Abrir Documento")</f>
        <v>0</v>
      </c>
      <c r="D2880" t="s">
        <v>23500</v>
      </c>
      <c r="E2880" t="s">
        <v>26301</v>
      </c>
    </row>
    <row r="2881" spans="1:5">
      <c r="A2881" t="s">
        <v>6</v>
      </c>
      <c r="B2881" t="s">
        <v>2886</v>
      </c>
      <c r="C2881">
        <f>HYPERLINK("C:\Users\franc\OneDrive\Documentos\MALENTIN KARIME\Rosa\VARIOS\CARTA ENVIOS VARIOS.doc", "Abrir Documento")</f>
        <v>0</v>
      </c>
      <c r="D2881" t="s">
        <v>23500</v>
      </c>
      <c r="E2881" t="s">
        <v>26302</v>
      </c>
    </row>
    <row r="2882" spans="1:5">
      <c r="A2882" t="s">
        <v>6</v>
      </c>
      <c r="B2882" t="s">
        <v>2887</v>
      </c>
      <c r="C2882">
        <f>HYPERLINK("C:\Users\franc\OneDrive\Documentos\MALENTIN KARIME\Rosa\VARIOS\CARTA GASTOS.doc", "Abrir Documento")</f>
        <v>0</v>
      </c>
      <c r="D2882" t="s">
        <v>23500</v>
      </c>
      <c r="E2882" t="s">
        <v>26302</v>
      </c>
    </row>
    <row r="2883" spans="1:5">
      <c r="A2883" t="s">
        <v>6</v>
      </c>
      <c r="B2883" t="s">
        <v>2888</v>
      </c>
      <c r="C2883">
        <f>HYPERLINK("C:\Users\franc\OneDrive\Documentos\MALENTIN KARIME\Rosa\VARIOS\CARTA bco. CORPBANCA.doc", "Abrir Documento")</f>
        <v>0</v>
      </c>
      <c r="D2883" t="s">
        <v>23500</v>
      </c>
      <c r="E2883" t="s">
        <v>26303</v>
      </c>
    </row>
    <row r="2884" spans="1:5">
      <c r="A2884" t="s">
        <v>6</v>
      </c>
      <c r="B2884" t="s">
        <v>2889</v>
      </c>
      <c r="C2884">
        <f>HYPERLINK("C:\Users\franc\OneDrive\Documentos\MALENTIN KARIME\Rosa\VARIOS\CARTA ALZAMIENTO[1].doc", "Abrir Documento")</f>
        <v>0</v>
      </c>
      <c r="D2884" t="s">
        <v>23500</v>
      </c>
      <c r="E2884" t="s">
        <v>26304</v>
      </c>
    </row>
    <row r="2885" spans="1:5">
      <c r="A2885" t="s">
        <v>6</v>
      </c>
      <c r="B2885" t="s">
        <v>2890</v>
      </c>
      <c r="C2885">
        <f>HYPERLINK("C:\Users\franc\OneDrive\Documentos\MALENTIN KARIME\Rosa\VARIOS\CARTA AL C.B.R. PROT. PLANO.doc", "Abrir Documento")</f>
        <v>0</v>
      </c>
      <c r="D2885" t="s">
        <v>23500</v>
      </c>
      <c r="E2885" t="s">
        <v>26305</v>
      </c>
    </row>
    <row r="2886" spans="1:5">
      <c r="A2886" t="s">
        <v>6</v>
      </c>
      <c r="B2886" t="s">
        <v>2891</v>
      </c>
      <c r="C2886">
        <f>HYPERLINK("C:\Users\franc\OneDrive\Documentos\MALENTIN KARIME\Rosa\VARIOS\AGRICOLA AGUSTIN ARAYA roberto.doc", "Abrir Documento")</f>
        <v>0</v>
      </c>
      <c r="D2886" t="s">
        <v>23500</v>
      </c>
      <c r="E2886" t="s">
        <v>26306</v>
      </c>
    </row>
    <row r="2887" spans="1:5">
      <c r="A2887" t="s">
        <v>6</v>
      </c>
      <c r="B2887" t="s">
        <v>2892</v>
      </c>
      <c r="C2887">
        <f>HYPERLINK("C:\Users\franc\OneDrive\Documentos\MALENTIN KARIME\Rosa\VARIOS\Autoriza firma de LOBOS - RENTERIA Y OTROS CONTRATO MUNICIPALIDAD.doc", "Abrir Documento")</f>
        <v>0</v>
      </c>
      <c r="D2887" t="s">
        <v>23500</v>
      </c>
      <c r="E2887" t="s">
        <v>26306</v>
      </c>
    </row>
    <row r="2888" spans="1:5">
      <c r="A2888" t="s">
        <v>6</v>
      </c>
      <c r="B2888" t="s">
        <v>2893</v>
      </c>
      <c r="C2888">
        <f>HYPERLINK("C:\Users\franc\OneDrive\Documentos\MALENTIN KARIME\Rosa\VARIOS\borrador sociedad.doc", "Abrir Documento")</f>
        <v>0</v>
      </c>
      <c r="D2888" t="s">
        <v>23500</v>
      </c>
      <c r="E2888" t="s">
        <v>26306</v>
      </c>
    </row>
    <row r="2889" spans="1:5">
      <c r="A2889" t="s">
        <v>6</v>
      </c>
      <c r="B2889" t="s">
        <v>2894</v>
      </c>
      <c r="C2889">
        <f>HYPERLINK("C:\Users\franc\OneDrive\Documentos\MALENTIN KARIME\Rosa\VARIOS\ACTA DE CONSTATACION DE HECHOS.doc", "Abrir Documento")</f>
        <v>0</v>
      </c>
      <c r="D2889" t="s">
        <v>23500</v>
      </c>
      <c r="E2889" t="s">
        <v>26307</v>
      </c>
    </row>
    <row r="2890" spans="1:5">
      <c r="A2890" t="s">
        <v>6</v>
      </c>
      <c r="B2890" t="s">
        <v>2895</v>
      </c>
      <c r="C2890">
        <f>HYPERLINK("C:\Users\franc\OneDrive\Documentos\MALENTIN KARIME\Rosa\VARIOS\agrega dcto. parte integrante de 1 escritura.doc", "Abrir Documento")</f>
        <v>0</v>
      </c>
      <c r="D2890" t="s">
        <v>23500</v>
      </c>
      <c r="E2890" t="s">
        <v>26307</v>
      </c>
    </row>
    <row r="2891" spans="1:5">
      <c r="A2891" t="s">
        <v>6</v>
      </c>
      <c r="B2891" t="s">
        <v>2896</v>
      </c>
      <c r="C2891">
        <f>HYPERLINK("C:\Users\franc\OneDrive\Documentos\MALENTIN KARIME\Rosa\UNI-AGRI\UNI-AGRI OCTUBRE 2010\fotos cuartel1.doc", "Abrir Documento")</f>
        <v>0</v>
      </c>
      <c r="D2891" t="s">
        <v>23500</v>
      </c>
      <c r="E2891" t="s">
        <v>26308</v>
      </c>
    </row>
    <row r="2892" spans="1:5">
      <c r="A2892" t="s">
        <v>6</v>
      </c>
      <c r="B2892" t="s">
        <v>2897</v>
      </c>
      <c r="C2892">
        <f>HYPERLINK("C:\Users\franc\OneDrive\Documentos\MALENTIN KARIME\Rosa\UNI-AGRI\UNI-AGRI OCTUBRE 2010\fotos cuartel2.doc", "Abrir Documento")</f>
        <v>0</v>
      </c>
      <c r="D2892" t="s">
        <v>23500</v>
      </c>
      <c r="E2892" t="s">
        <v>26308</v>
      </c>
    </row>
    <row r="2893" spans="1:5">
      <c r="A2893" t="s">
        <v>6</v>
      </c>
      <c r="B2893" t="s">
        <v>2898</v>
      </c>
      <c r="C2893">
        <f>HYPERLINK("C:\Users\franc\OneDrive\Documentos\MALENTIN KARIME\Rosa\UNI-AGRI\UNI-AGRI OCTUBRE 2010\ACTA UNI AGRI NUEVA AURORA.doc", "Abrir Documento")</f>
        <v>0</v>
      </c>
      <c r="D2893" t="s">
        <v>23500</v>
      </c>
      <c r="E2893" t="s">
        <v>26309</v>
      </c>
    </row>
    <row r="2894" spans="1:5">
      <c r="A2894" t="s">
        <v>6</v>
      </c>
      <c r="B2894" t="s">
        <v>2899</v>
      </c>
      <c r="C2894">
        <f>HYPERLINK("C:\Users\franc\OneDrive\Documentos\MALENTIN KARIME\Rosa\UNI-AGRI\UNI-AGRI OCTUBRE 2010\fotos cuarte ISLA.doc", "Abrir Documento")</f>
        <v>0</v>
      </c>
      <c r="D2894" t="s">
        <v>23500</v>
      </c>
      <c r="E2894" t="s">
        <v>26309</v>
      </c>
    </row>
    <row r="2895" spans="1:5">
      <c r="A2895" t="s">
        <v>6</v>
      </c>
      <c r="B2895" t="s">
        <v>2900</v>
      </c>
      <c r="C2895">
        <f>HYPERLINK("C:\Users\franc\OneDrive\Documentos\MALENTIN KARIME\Rosa\UNI-AGRI\UNI-AGRI MARZO 2010\UNI-AGRI LA COIPA\fotos cuartel 5 la coipa.doc", "Abrir Documento")</f>
        <v>0</v>
      </c>
      <c r="D2895" t="s">
        <v>23500</v>
      </c>
      <c r="E2895" t="s">
        <v>26310</v>
      </c>
    </row>
    <row r="2896" spans="1:5">
      <c r="A2896" t="s">
        <v>6</v>
      </c>
      <c r="B2896" t="s">
        <v>2901</v>
      </c>
      <c r="C2896">
        <f>HYPERLINK("C:\Users\franc\OneDrive\Documentos\MALENTIN KARIME\Rosa\UNI-AGRI\UNI-AGRI MARZO 2010\UNI-AGRI LA COIPA\fotos cuartel 6 la coipa.doc", "Abrir Documento")</f>
        <v>0</v>
      </c>
      <c r="D2896" t="s">
        <v>23500</v>
      </c>
      <c r="E2896" t="s">
        <v>26310</v>
      </c>
    </row>
    <row r="2897" spans="1:5">
      <c r="A2897" t="s">
        <v>6</v>
      </c>
      <c r="B2897" t="s">
        <v>2902</v>
      </c>
      <c r="C2897">
        <f>HYPERLINK("C:\Users\franc\OneDrive\Documentos\MALENTIN KARIME\Rosa\UNI-AGRI\UNI-AGRI MARZO 2010\UNI-AGRI LA COIPA\ACTA UNI AGRI LA COIPA.doc", "Abrir Documento")</f>
        <v>0</v>
      </c>
      <c r="D2897" t="s">
        <v>23500</v>
      </c>
      <c r="E2897" t="s">
        <v>26311</v>
      </c>
    </row>
    <row r="2898" spans="1:5">
      <c r="A2898" t="s">
        <v>6</v>
      </c>
      <c r="B2898" t="s">
        <v>2903</v>
      </c>
      <c r="C2898">
        <f>HYPERLINK("C:\Users\franc\OneDrive\Documentos\MALENTIN KARIME\Rosa\UNI-AGRI\UNI-AGRI MARZO 2010\UNI-AGRI LA COIPA\fotos cuartel 17 la coipa.doc", "Abrir Documento")</f>
        <v>0</v>
      </c>
      <c r="D2898" t="s">
        <v>23500</v>
      </c>
      <c r="E2898" t="s">
        <v>26311</v>
      </c>
    </row>
    <row r="2899" spans="1:5">
      <c r="A2899" t="s">
        <v>6</v>
      </c>
      <c r="B2899" t="s">
        <v>2904</v>
      </c>
      <c r="C2899">
        <f>HYPERLINK("C:\Users\franc\OneDrive\Documentos\MALENTIN KARIME\Rosa\UNI-AGRI\UNI-AGRI MARZO 2010\UNI-AGRI CHAÑARAL ALTO\fotos cuartel 9Chañaral ALTO.doc", "Abrir Documento")</f>
        <v>0</v>
      </c>
      <c r="D2899" t="s">
        <v>23500</v>
      </c>
      <c r="E2899" t="s">
        <v>26312</v>
      </c>
    </row>
    <row r="2900" spans="1:5">
      <c r="A2900" t="s">
        <v>6</v>
      </c>
      <c r="B2900" t="s">
        <v>2905</v>
      </c>
      <c r="C2900">
        <f>HYPERLINK("C:\Users\franc\OneDrive\Documentos\MALENTIN KARIME\Rosa\UNI-AGRI\UNI-AGRI MARZO 2010\UNI-AGRI CHAÑARAL ALTO\fotos cuartel 8 Chañaral ALTO.doc", "Abrir Documento")</f>
        <v>0</v>
      </c>
      <c r="D2900" t="s">
        <v>23500</v>
      </c>
      <c r="E2900" t="s">
        <v>26313</v>
      </c>
    </row>
    <row r="2901" spans="1:5">
      <c r="A2901" t="s">
        <v>6</v>
      </c>
      <c r="B2901" t="s">
        <v>2906</v>
      </c>
      <c r="C2901">
        <f>HYPERLINK("C:\Users\franc\OneDrive\Documentos\MALENTIN KARIME\Rosa\UNI-AGRI\UNI-AGRI MARZO 2010\UNI-AGRI CHAÑARAL ALTO\fotos cuartel 6 Chañaral ALTO.doc", "Abrir Documento")</f>
        <v>0</v>
      </c>
      <c r="D2901" t="s">
        <v>23500</v>
      </c>
      <c r="E2901" t="s">
        <v>26314</v>
      </c>
    </row>
    <row r="2902" spans="1:5">
      <c r="A2902" t="s">
        <v>6</v>
      </c>
      <c r="B2902" t="s">
        <v>2907</v>
      </c>
      <c r="C2902">
        <f>HYPERLINK("C:\Users\franc\OneDrive\Documentos\MALENTIN KARIME\Rosa\UNI-AGRI\UNI-AGRI MARZO 2010\UNI-AGRI CHAÑARAL ALTO\fotos cuartel 10 Chañaral ALTO.doc", "Abrir Documento")</f>
        <v>0</v>
      </c>
      <c r="D2902" t="s">
        <v>23500</v>
      </c>
      <c r="E2902" t="s">
        <v>26315</v>
      </c>
    </row>
    <row r="2903" spans="1:5">
      <c r="A2903" t="s">
        <v>6</v>
      </c>
      <c r="B2903" t="s">
        <v>2908</v>
      </c>
      <c r="C2903">
        <f>HYPERLINK("C:\Users\franc\OneDrive\Documentos\MALENTIN KARIME\Rosa\UNI-AGRI\UNI-AGRI MARZO 2010\UNI-AGRI CHAÑARAL ALTO\fotos cuartel 5 Chañaral ALTO.doc", "Abrir Documento")</f>
        <v>0</v>
      </c>
      <c r="D2903" t="s">
        <v>23500</v>
      </c>
      <c r="E2903" t="s">
        <v>26315</v>
      </c>
    </row>
    <row r="2904" spans="1:5">
      <c r="A2904" t="s">
        <v>6</v>
      </c>
      <c r="B2904" t="s">
        <v>2909</v>
      </c>
      <c r="C2904">
        <f>HYPERLINK("C:\Users\franc\OneDrive\Documentos\MALENTIN KARIME\Rosa\UNI-AGRI\UNI-AGRI MARZO 2010\UNI-AGRI CHAÑARAL ALTO\ACTA UNI AGRI LA CHAÑARAL ALTO.doc", "Abrir Documento")</f>
        <v>0</v>
      </c>
      <c r="D2904" t="s">
        <v>23500</v>
      </c>
      <c r="E2904" t="s">
        <v>26316</v>
      </c>
    </row>
    <row r="2905" spans="1:5">
      <c r="A2905" t="s">
        <v>6</v>
      </c>
      <c r="B2905" t="s">
        <v>2910</v>
      </c>
      <c r="C2905">
        <f>HYPERLINK("C:\Users\franc\OneDrive\Documentos\MALENTIN KARIME\Rosa\UNI-AGRI\UNI-AGRI MARZO 2010\UNI-AGRI CHACARILLAS\fotos cuartel 7000 la chacarilla.doc", "Abrir Documento")</f>
        <v>0</v>
      </c>
      <c r="D2905" t="s">
        <v>23500</v>
      </c>
      <c r="E2905" t="s">
        <v>26317</v>
      </c>
    </row>
    <row r="2906" spans="1:5">
      <c r="A2906" t="s">
        <v>6</v>
      </c>
      <c r="B2906" t="s">
        <v>2911</v>
      </c>
      <c r="C2906">
        <f>HYPERLINK("C:\Users\franc\OneDrive\Documentos\MALENTIN KARIME\Rosa\UNI-AGRI\UNI-AGRI MARZO 2010\UNI-AGRI CHACARILLAS\fotos cuartel 2 la chacarilla.doc", "Abrir Documento")</f>
        <v>0</v>
      </c>
      <c r="D2906" t="s">
        <v>23500</v>
      </c>
      <c r="E2906" t="s">
        <v>26318</v>
      </c>
    </row>
    <row r="2907" spans="1:5">
      <c r="A2907" t="s">
        <v>6</v>
      </c>
      <c r="B2907" t="s">
        <v>2912</v>
      </c>
      <c r="C2907">
        <f>HYPERLINK("C:\Users\franc\OneDrive\Documentos\MALENTIN KARIME\Rosa\UNI-AGRI\UNI-AGRI JUNIO 2010 II\FUNDO NUEVA AURORA\fotos cuartel3.doc", "Abrir Documento")</f>
        <v>0</v>
      </c>
      <c r="D2907" t="s">
        <v>23500</v>
      </c>
      <c r="E2907" t="s">
        <v>26319</v>
      </c>
    </row>
    <row r="2908" spans="1:5">
      <c r="A2908" t="s">
        <v>6</v>
      </c>
      <c r="B2908" t="s">
        <v>2913</v>
      </c>
      <c r="C2908">
        <f>HYPERLINK("C:\Users\franc\OneDrive\Documentos\MALENTIN KARIME\Rosa\UNI-AGRI\UNI-AGRI MARZO 2010\UNI-AGRI CHACARILLAS\ACTA UNI AGRI CHACARILLAS.doc", "Abrir Documento")</f>
        <v>0</v>
      </c>
      <c r="D2908" t="s">
        <v>23500</v>
      </c>
      <c r="E2908" t="s">
        <v>26319</v>
      </c>
    </row>
    <row r="2909" spans="1:5">
      <c r="A2909" t="s">
        <v>6</v>
      </c>
      <c r="B2909" t="s">
        <v>2914</v>
      </c>
      <c r="C2909">
        <f>HYPERLINK("C:\Users\franc\OneDrive\Documentos\MALENTIN KARIME\Rosa\UNI-AGRI\UNI-AGRI JUNIO 2010 II\FUNDO NUEVA AURORA\fotos cuartel 4.doc", "Abrir Documento")</f>
        <v>0</v>
      </c>
      <c r="D2909" t="s">
        <v>23500</v>
      </c>
      <c r="E2909" t="s">
        <v>26320</v>
      </c>
    </row>
    <row r="2910" spans="1:5">
      <c r="A2910" t="s">
        <v>6</v>
      </c>
      <c r="B2910" t="s">
        <v>2915</v>
      </c>
      <c r="C2910">
        <f>HYPERLINK("C:\Users\franc\OneDrive\Documentos\MALENTIN KARIME\Rosa\UNI-AGRI\UNI-AGRI JUNIO 2010 II\FUNDO NUEVA AURORA\fotos cuartel 5.doc", "Abrir Documento")</f>
        <v>0</v>
      </c>
      <c r="D2910" t="s">
        <v>23500</v>
      </c>
      <c r="E2910" t="s">
        <v>26320</v>
      </c>
    </row>
    <row r="2911" spans="1:5">
      <c r="A2911" t="s">
        <v>6</v>
      </c>
      <c r="B2911" t="s">
        <v>2916</v>
      </c>
      <c r="C2911">
        <f>HYPERLINK("C:\Users\franc\OneDrive\Documentos\MALENTIN KARIME\Rosa\UNI-AGRI\UNI-AGRI JUNIO 2010 II\FUNDO NUEVA AURORA\ACTA UNI AGRI NUEVA AURORA.doc", "Abrir Documento")</f>
        <v>0</v>
      </c>
      <c r="D2911" t="s">
        <v>23500</v>
      </c>
      <c r="E2911" t="s">
        <v>26321</v>
      </c>
    </row>
    <row r="2912" spans="1:5">
      <c r="A2912" t="s">
        <v>6</v>
      </c>
      <c r="B2912" t="s">
        <v>2917</v>
      </c>
      <c r="C2912">
        <f>HYPERLINK("C:\Users\franc\OneDrive\Documentos\MALENTIN KARIME\Rosa\UNI-AGRI\UNI-AGRI JUNIO 2010 II\FUNDO CAMARICO\fotos cuartel 3.doc", "Abrir Documento")</f>
        <v>0</v>
      </c>
      <c r="D2912" t="s">
        <v>23500</v>
      </c>
      <c r="E2912" t="s">
        <v>26322</v>
      </c>
    </row>
    <row r="2913" spans="1:5">
      <c r="A2913" t="s">
        <v>6</v>
      </c>
      <c r="B2913" t="s">
        <v>2918</v>
      </c>
      <c r="C2913">
        <f>HYPERLINK("C:\Users\franc\OneDrive\Documentos\MALENTIN KARIME\Rosa\UNI-AGRI\UNI-AGRI JUNIO 2010 II\FUNDO CAMARICO\fotos cuartel 4.doc", "Abrir Documento")</f>
        <v>0</v>
      </c>
      <c r="D2913" t="s">
        <v>23500</v>
      </c>
      <c r="E2913" t="s">
        <v>26322</v>
      </c>
    </row>
    <row r="2914" spans="1:5">
      <c r="A2914" t="s">
        <v>6</v>
      </c>
      <c r="B2914" t="s">
        <v>2919</v>
      </c>
      <c r="C2914">
        <f>HYPERLINK("C:\Users\franc\OneDrive\Documentos\MALENTIN KARIME\Rosa\UNI-AGRI\UNI-AGRI JUNIO 2010 II\FUNDO CAMARICO\ACTA UNI AGRI CAMARICO.doc", "Abrir Documento")</f>
        <v>0</v>
      </c>
      <c r="D2914" t="s">
        <v>23500</v>
      </c>
      <c r="E2914" t="s">
        <v>26323</v>
      </c>
    </row>
    <row r="2915" spans="1:5">
      <c r="A2915" t="s">
        <v>6</v>
      </c>
      <c r="B2915" t="s">
        <v>2920</v>
      </c>
      <c r="C2915">
        <f>HYPERLINK("C:\Users\franc\OneDrive\Documentos\MALENTIN KARIME\Rosa\UNI-AGRI\UNI-AGRI JUNIO 2010 II\FUNDO CAMARICO\fotos cuartel 2.doc", "Abrir Documento")</f>
        <v>0</v>
      </c>
      <c r="D2915" t="s">
        <v>23500</v>
      </c>
      <c r="E2915" t="s">
        <v>26323</v>
      </c>
    </row>
    <row r="2916" spans="1:5">
      <c r="A2916" t="s">
        <v>6</v>
      </c>
      <c r="B2916" t="s">
        <v>2921</v>
      </c>
      <c r="C2916">
        <f>HYPERLINK("C:\Users\franc\OneDrive\Documentos\MALENTIN KARIME\Rosa\UNI-AGRI\UNI-AGRI JUNIO 2010\FUNDO SANTA ROSA\fotos cuartel 16.doc", "Abrir Documento")</f>
        <v>0</v>
      </c>
      <c r="D2916" t="s">
        <v>23500</v>
      </c>
      <c r="E2916" t="s">
        <v>26324</v>
      </c>
    </row>
    <row r="2917" spans="1:5">
      <c r="A2917" t="s">
        <v>6</v>
      </c>
      <c r="B2917" t="s">
        <v>2922</v>
      </c>
      <c r="C2917">
        <f>HYPERLINK("C:\Users\franc\OneDrive\Documentos\MALENTIN KARIME\Rosa\UNI-AGRI\UNI-AGRI JUNIO 2010\FUNDO SANTA ROSA\ACTA UNI AGRI FUNDO SANTA ROSA.doc", "Abrir Documento")</f>
        <v>0</v>
      </c>
      <c r="D2917" t="s">
        <v>23500</v>
      </c>
      <c r="E2917" t="s">
        <v>26325</v>
      </c>
    </row>
    <row r="2918" spans="1:5">
      <c r="A2918" t="s">
        <v>6</v>
      </c>
      <c r="B2918" t="s">
        <v>2923</v>
      </c>
      <c r="C2918">
        <f>HYPERLINK("C:\Users\franc\OneDrive\Documentos\MALENTIN KARIME\Rosa\UNI-AGRI\UNI-AGRI JUNIO 2010\FUNDO SANTA ROSA\fotos cuartel 15.doc", "Abrir Documento")</f>
        <v>0</v>
      </c>
      <c r="D2918" t="s">
        <v>23500</v>
      </c>
      <c r="E2918" t="s">
        <v>26325</v>
      </c>
    </row>
    <row r="2919" spans="1:5">
      <c r="A2919" t="s">
        <v>6</v>
      </c>
      <c r="B2919" t="s">
        <v>2924</v>
      </c>
      <c r="C2919">
        <f>HYPERLINK("C:\Users\franc\OneDrive\Documentos\MALENTIN KARIME\Rosa\UNI-AGRI\UNI-AGRI JUNIO 2010\FUNDO LAS REPRESAS\fotos cuartel Nº3  las represas.doc", "Abrir Documento")</f>
        <v>0</v>
      </c>
      <c r="D2919" t="s">
        <v>23500</v>
      </c>
      <c r="E2919" t="s">
        <v>26326</v>
      </c>
    </row>
    <row r="2920" spans="1:5">
      <c r="A2920" t="s">
        <v>6</v>
      </c>
      <c r="B2920" t="s">
        <v>2925</v>
      </c>
      <c r="C2920">
        <f>HYPERLINK("C:\Users\franc\OneDrive\Documentos\MALENTIN KARIME\Rosa\UNI-AGRI\UNI-AGRI JUNIO 2010\FUNDO LAS REPRESAS\fotos granados variedad Mollar.doc", "Abrir Documento")</f>
        <v>0</v>
      </c>
      <c r="D2920" t="s">
        <v>23500</v>
      </c>
      <c r="E2920" t="s">
        <v>26326</v>
      </c>
    </row>
    <row r="2921" spans="1:5">
      <c r="A2921" t="s">
        <v>6</v>
      </c>
      <c r="B2921" t="s">
        <v>2926</v>
      </c>
      <c r="C2921">
        <f>HYPERLINK("C:\Users\franc\OneDrive\Documentos\MALENTIN KARIME\Rosa\UNI-AGRI\UNI-AGRI JUNIO 2010\FUNDO LAS REPRESAS\fotos cuartel cacho las represas.doc", "Abrir Documento")</f>
        <v>0</v>
      </c>
      <c r="D2921" t="s">
        <v>23500</v>
      </c>
      <c r="E2921" t="s">
        <v>26327</v>
      </c>
    </row>
    <row r="2922" spans="1:5">
      <c r="A2922" t="s">
        <v>6</v>
      </c>
      <c r="B2922" t="s">
        <v>2927</v>
      </c>
      <c r="C2922">
        <f>HYPERLINK("C:\Users\franc\OneDrive\Documentos\MALENTIN KARIME\Rosa\UNI-AGRI\UNI-AGRI JUNIO 2010\FUNDO LAS REPRESAS\ACTA UNI AGRI LAS REPRESAS.doc", "Abrir Documento")</f>
        <v>0</v>
      </c>
      <c r="D2922" t="s">
        <v>23500</v>
      </c>
      <c r="E2922" t="s">
        <v>26328</v>
      </c>
    </row>
    <row r="2923" spans="1:5">
      <c r="A2923" t="s">
        <v>6</v>
      </c>
      <c r="B2923" t="s">
        <v>2928</v>
      </c>
      <c r="C2923">
        <f>HYPERLINK("C:\Users\franc\OneDrive\Documentos\MALENTIN KARIME\Rosa\UNI-AGRI\UNI-AGRI JUNIO 2010\FUNDO LAS REPRESAS\fotos cuartel   Piedra las represas.doc", "Abrir Documento")</f>
        <v>0</v>
      </c>
      <c r="D2923" t="s">
        <v>23500</v>
      </c>
      <c r="E2923" t="s">
        <v>26328</v>
      </c>
    </row>
    <row r="2924" spans="1:5">
      <c r="A2924" t="s">
        <v>6</v>
      </c>
      <c r="B2924" t="s">
        <v>2929</v>
      </c>
      <c r="C2924">
        <f>HYPERLINK("C:\Users\franc\OneDrive\Documentos\MALENTIN KARIME\Rosa\UNI-AGRI\UNI-AGRI JUNIO 2010\FUNDO HUANILLA\fotos cuartel4.doc", "Abrir Documento")</f>
        <v>0</v>
      </c>
      <c r="D2924" t="s">
        <v>23500</v>
      </c>
      <c r="E2924" t="s">
        <v>26329</v>
      </c>
    </row>
    <row r="2925" spans="1:5">
      <c r="A2925" t="s">
        <v>6</v>
      </c>
      <c r="B2925" t="s">
        <v>2930</v>
      </c>
      <c r="C2925">
        <f>HYPERLINK("C:\Users\franc\OneDrive\Documentos\MALENTIN KARIME\Rosa\UNI-AGRI\UNI-AGRI JUNIO 2010\FUNDO HUANILLA\fotos cuartel 9.doc", "Abrir Documento")</f>
        <v>0</v>
      </c>
      <c r="D2925" t="s">
        <v>23500</v>
      </c>
      <c r="E2925" t="s">
        <v>26330</v>
      </c>
    </row>
    <row r="2926" spans="1:5">
      <c r="A2926" t="s">
        <v>6</v>
      </c>
      <c r="B2926" t="s">
        <v>2931</v>
      </c>
      <c r="C2926">
        <f>HYPERLINK("C:\Users\franc\OneDrive\Documentos\MALENTIN KARIME\Rosa\UNI-AGRI\UNI-AGRI JUNIO 2010\FUNDO HUANILLA\fotos cuartel 7.doc", "Abrir Documento")</f>
        <v>0</v>
      </c>
      <c r="D2926" t="s">
        <v>23500</v>
      </c>
      <c r="E2926" t="s">
        <v>26331</v>
      </c>
    </row>
    <row r="2927" spans="1:5">
      <c r="A2927" t="s">
        <v>6</v>
      </c>
      <c r="B2927" t="s">
        <v>2932</v>
      </c>
      <c r="C2927">
        <f>HYPERLINK("C:\Users\franc\OneDrive\Documentos\MALENTIN KARIME\Rosa\UNI-AGRI\UNI-AGRI JUNIO 2010\FUNDO HUANILLA\fotos cuartel 8.doc", "Abrir Documento")</f>
        <v>0</v>
      </c>
      <c r="D2927" t="s">
        <v>23500</v>
      </c>
      <c r="E2927" t="s">
        <v>26331</v>
      </c>
    </row>
    <row r="2928" spans="1:5">
      <c r="A2928" t="s">
        <v>6</v>
      </c>
      <c r="B2928" t="s">
        <v>2933</v>
      </c>
      <c r="C2928">
        <f>HYPERLINK("C:\Users\franc\OneDrive\Documentos\MALENTIN KARIME\Rosa\UNI-AGRI\UNI-AGRI JUNIO 2010\FUNDO HUANILLA\fotos cuartel 6.doc", "Abrir Documento")</f>
        <v>0</v>
      </c>
      <c r="D2928" t="s">
        <v>23500</v>
      </c>
      <c r="E2928" t="s">
        <v>26332</v>
      </c>
    </row>
    <row r="2929" spans="1:5">
      <c r="A2929" t="s">
        <v>6</v>
      </c>
      <c r="B2929" t="s">
        <v>2934</v>
      </c>
      <c r="C2929">
        <f>HYPERLINK("C:\Users\franc\OneDrive\Documentos\MALENTIN KARIME\Rosa\UNI-AGRI\UNI-AGRI JUNIO 2010\FUNDO HUANILLA\fotos cuartel 3.doc", "Abrir Documento")</f>
        <v>0</v>
      </c>
      <c r="D2929" t="s">
        <v>23500</v>
      </c>
      <c r="E2929" t="s">
        <v>26333</v>
      </c>
    </row>
    <row r="2930" spans="1:5">
      <c r="A2930" t="s">
        <v>6</v>
      </c>
      <c r="B2930" t="s">
        <v>2935</v>
      </c>
      <c r="C2930">
        <f>HYPERLINK("C:\Users\franc\OneDrive\Documentos\MALENTIN KARIME\Rosa\UNI-AGRI\UNI-AGRI JUNIO 2010\FUNDO HUANILLA\fotos cuartel 5.doc", "Abrir Documento")</f>
        <v>0</v>
      </c>
      <c r="D2930" t="s">
        <v>23500</v>
      </c>
      <c r="E2930" t="s">
        <v>26333</v>
      </c>
    </row>
    <row r="2931" spans="1:5">
      <c r="A2931" t="s">
        <v>6</v>
      </c>
      <c r="B2931" t="s">
        <v>2936</v>
      </c>
      <c r="C2931">
        <f>HYPERLINK("C:\Users\franc\OneDrive\Documentos\MALENTIN KARIME\Rosa\UNI-AGRI\UNI-AGRI JUNIO 2010\FUNDO HUANILLA\fotos cuartel 2.doc", "Abrir Documento")</f>
        <v>0</v>
      </c>
      <c r="D2931" t="s">
        <v>23500</v>
      </c>
      <c r="E2931" t="s">
        <v>26334</v>
      </c>
    </row>
    <row r="2932" spans="1:5">
      <c r="A2932" t="s">
        <v>6</v>
      </c>
      <c r="B2932" t="s">
        <v>2937</v>
      </c>
      <c r="C2932">
        <f>HYPERLINK("C:\Users\franc\OneDrive\Documentos\MALENTIN KARIME\Rosa\UNI-AGRI\UNI-AGRI JUNIO 2010\FUNDO HUANILLA\ACTA PREDIO HUANILLA.doc", "Abrir Documento")</f>
        <v>0</v>
      </c>
      <c r="D2932" t="s">
        <v>23500</v>
      </c>
      <c r="E2932" t="s">
        <v>26335</v>
      </c>
    </row>
    <row r="2933" spans="1:5">
      <c r="A2933" t="s">
        <v>6</v>
      </c>
      <c r="B2933" t="s">
        <v>2938</v>
      </c>
      <c r="C2933">
        <f>HYPERLINK("C:\Users\franc\OneDrive\Documentos\MALENTIN KARIME\Rosa\UNI-AGRI\UNI-AGRI AGOSTO 2010\fotos cuartel 4.doc", "Abrir Documento")</f>
        <v>0</v>
      </c>
      <c r="D2933" t="s">
        <v>23500</v>
      </c>
      <c r="E2933" t="s">
        <v>26336</v>
      </c>
    </row>
    <row r="2934" spans="1:5">
      <c r="A2934" t="s">
        <v>6</v>
      </c>
      <c r="B2934" t="s">
        <v>2939</v>
      </c>
      <c r="C2934">
        <f>HYPERLINK("C:\Users\franc\OneDrive\Documentos\MALENTIN KARIME\Rosa\UNI-AGRI\UNI-AGRI AGOSTO 2010\fotos cuartel 3.doc", "Abrir Documento")</f>
        <v>0</v>
      </c>
      <c r="D2934" t="s">
        <v>23500</v>
      </c>
      <c r="E2934" t="s">
        <v>26337</v>
      </c>
    </row>
    <row r="2935" spans="1:5">
      <c r="A2935" t="s">
        <v>6</v>
      </c>
      <c r="B2935" t="s">
        <v>2940</v>
      </c>
      <c r="C2935">
        <f>HYPERLINK("C:\Users\franc\OneDrive\Documentos\MALENTIN KARIME\Rosa\UNI-AGRI\UNI-AGRI AGOSTO 2010\fotos cuartel 2.doc", "Abrir Documento")</f>
        <v>0</v>
      </c>
      <c r="D2935" t="s">
        <v>23500</v>
      </c>
      <c r="E2935" t="s">
        <v>26338</v>
      </c>
    </row>
    <row r="2936" spans="1:5">
      <c r="A2936" t="s">
        <v>6</v>
      </c>
      <c r="B2936" t="s">
        <v>2941</v>
      </c>
      <c r="C2936">
        <f>HYPERLINK("C:\Users\franc\OneDrive\Documentos\MALENTIN KARIME\Rosa\UNI-AGRI\UNI-AGRI AGOSTO 2010\fotos cuartel 1.doc", "Abrir Documento")</f>
        <v>0</v>
      </c>
      <c r="D2936" t="s">
        <v>23500</v>
      </c>
      <c r="E2936" t="s">
        <v>26339</v>
      </c>
    </row>
    <row r="2937" spans="1:5">
      <c r="A2937" t="s">
        <v>6</v>
      </c>
      <c r="B2937" t="s">
        <v>2942</v>
      </c>
      <c r="C2937">
        <f>HYPERLINK("C:\Users\franc\OneDrive\Documentos\MALENTIN KARIME\Rosa\UNI-AGRI\UNI-AGRI AGOSTO 2010\ACTA FUNDO LAS REPRESAS.doc", "Abrir Documento")</f>
        <v>0</v>
      </c>
      <c r="D2937" t="s">
        <v>23500</v>
      </c>
      <c r="E2937" t="s">
        <v>26340</v>
      </c>
    </row>
    <row r="2938" spans="1:5">
      <c r="A2938" t="s">
        <v>6</v>
      </c>
      <c r="B2938" t="s">
        <v>2943</v>
      </c>
      <c r="C2938">
        <f>HYPERLINK("C:\Users\franc\OneDrive\Documentos\MALENTIN KARIME\Rosa\UNI-AGRI\MELOGRANO S.AI FEBRERO 2011\PALTOS HASS 2006.doc", "Abrir Documento")</f>
        <v>0</v>
      </c>
      <c r="D2938" t="s">
        <v>23500</v>
      </c>
      <c r="E2938" t="s">
        <v>26341</v>
      </c>
    </row>
    <row r="2939" spans="1:5">
      <c r="A2939" t="s">
        <v>6</v>
      </c>
      <c r="B2939" t="s">
        <v>2944</v>
      </c>
      <c r="C2939">
        <f>HYPERLINK("C:\Users\franc\OneDrive\Documentos\MALENTIN KARIME\Rosa\UNI-AGRI\MELOGRANO S.AI FEBRERO 2011\PALTOS HASS 2004.doc", "Abrir Documento")</f>
        <v>0</v>
      </c>
      <c r="D2939" t="s">
        <v>23500</v>
      </c>
      <c r="E2939" t="s">
        <v>26342</v>
      </c>
    </row>
    <row r="2940" spans="1:5">
      <c r="A2940" t="s">
        <v>6</v>
      </c>
      <c r="B2940" t="s">
        <v>2945</v>
      </c>
      <c r="C2940">
        <f>HYPERLINK("C:\Users\franc\OneDrive\Documentos\MALENTIN KARIME\Rosa\UNI-AGRI\MELOGRANO S.AI FEBRERO 2011\ACTA UNI AGRIMELOGRNO S.A..doc", "Abrir Documento")</f>
        <v>0</v>
      </c>
      <c r="D2940" t="s">
        <v>23500</v>
      </c>
      <c r="E2940" t="s">
        <v>26343</v>
      </c>
    </row>
    <row r="2941" spans="1:5">
      <c r="A2941" t="s">
        <v>6</v>
      </c>
      <c r="B2941" t="s">
        <v>2946</v>
      </c>
      <c r="C2941">
        <f>HYPERLINK("C:\Users\franc\OneDrive\Documentos\MALENTIN KARIME\Rosa\SOCIEDADES\EXTRACTOS\EXTRACTO- SPA.doc", "Abrir Documento")</f>
        <v>0</v>
      </c>
      <c r="D2941" t="s">
        <v>23500</v>
      </c>
      <c r="E2941" t="s">
        <v>26344</v>
      </c>
    </row>
    <row r="2942" spans="1:5">
      <c r="A2942" t="s">
        <v>6</v>
      </c>
      <c r="B2942" t="s">
        <v>2947</v>
      </c>
      <c r="C2942">
        <f>HYPERLINK("C:\Users\franc\OneDrive\Documentos\MALENTIN KARIME\Rosa\TESTAMENTOS\MANUELA GUZMAN.doc", "Abrir Documento")</f>
        <v>0</v>
      </c>
      <c r="D2942" t="s">
        <v>23500</v>
      </c>
      <c r="E2942" t="s">
        <v>26344</v>
      </c>
    </row>
    <row r="2943" spans="1:5">
      <c r="A2943" t="s">
        <v>6</v>
      </c>
      <c r="B2943" t="s">
        <v>2948</v>
      </c>
      <c r="C2943">
        <f>HYPERLINK("C:\Users\franc\OneDrive\Documentos\MALENTIN KARIME\Rosa\SOCIEDADES\EXTRACTOS\Extracto Sotaqui para la firma.doc", "Abrir Documento")</f>
        <v>0</v>
      </c>
      <c r="D2943" t="s">
        <v>23500</v>
      </c>
      <c r="E2943" t="s">
        <v>26345</v>
      </c>
    </row>
    <row r="2944" spans="1:5">
      <c r="A2944" t="s">
        <v>6</v>
      </c>
      <c r="B2944" t="s">
        <v>2949</v>
      </c>
      <c r="C2944">
        <f>HYPERLINK("C:\Users\franc\OneDrive\Documentos\MALENTIN KARIME\Rosa\SOCIEDADES\EXTRACTOS\extracto soc. capacitacion rio grande ltda..doc", "Abrir Documento")</f>
        <v>0</v>
      </c>
      <c r="D2944" t="s">
        <v>23500</v>
      </c>
      <c r="E2944" t="s">
        <v>26346</v>
      </c>
    </row>
    <row r="2945" spans="1:5">
      <c r="A2945" t="s">
        <v>6</v>
      </c>
      <c r="B2945" t="s">
        <v>2950</v>
      </c>
      <c r="C2945">
        <f>HYPERLINK("C:\Users\franc\OneDrive\Documentos\MALENTIN KARIME\Rosa\SOCIEDADES\EXTRACTOS\EXTRACTO MODIFICACION SOCIEDAD SERV. PROF..doc", "Abrir Documento")</f>
        <v>0</v>
      </c>
      <c r="D2945" t="s">
        <v>23500</v>
      </c>
      <c r="E2945" t="s">
        <v>26347</v>
      </c>
    </row>
    <row r="2946" spans="1:5">
      <c r="A2946" t="s">
        <v>6</v>
      </c>
      <c r="B2946" t="s">
        <v>2951</v>
      </c>
      <c r="C2946">
        <f>HYPERLINK("C:\Users\franc\OneDrive\Documentos\MALENTIN KARIME\Rosa\SOCIEDADES\EXTRACTOS\extracto Lomas del Desierto.doc", "Abrir Documento")</f>
        <v>0</v>
      </c>
      <c r="D2946" t="s">
        <v>23500</v>
      </c>
      <c r="E2946" t="s">
        <v>26348</v>
      </c>
    </row>
    <row r="2947" spans="1:5">
      <c r="A2947" t="s">
        <v>6</v>
      </c>
      <c r="B2947" t="s">
        <v>2952</v>
      </c>
      <c r="C2947">
        <f>HYPERLINK("C:\Users\franc\OneDrive\Documentos\MALENTIN KARIME\Rosa\SOCIEDADES\EXTRACTOS\extracto de escritura de cecilia vergara.doc", "Abrir Documento")</f>
        <v>0</v>
      </c>
      <c r="D2947" t="s">
        <v>23500</v>
      </c>
      <c r="E2947" t="s">
        <v>26349</v>
      </c>
    </row>
    <row r="2948" spans="1:5">
      <c r="A2948" t="s">
        <v>6</v>
      </c>
      <c r="B2948" t="s">
        <v>2953</v>
      </c>
      <c r="C2948">
        <f>HYPERLINK("C:\Users\franc\OneDrive\Documentos\MALENTIN KARIME\Rosa\SOCIEDADES\EXTRACTOS\extracto Alvaro Maya EIRl.doc", "Abrir Documento")</f>
        <v>0</v>
      </c>
      <c r="D2948" t="s">
        <v>23500</v>
      </c>
      <c r="E2948" t="s">
        <v>26350</v>
      </c>
    </row>
    <row r="2949" spans="1:5">
      <c r="A2949" t="s">
        <v>6</v>
      </c>
      <c r="B2949" t="s">
        <v>2954</v>
      </c>
      <c r="C2949">
        <f>HYPERLINK("C:\Users\franc\OneDrive\Documentos\MALENTIN KARIME\Rosa\SOCIEDADES\CONSTITUCION DE SOCIEDAD\MINUTA.doc", "Abrir Documento")</f>
        <v>0</v>
      </c>
      <c r="D2949" t="s">
        <v>23500</v>
      </c>
      <c r="E2949" t="s">
        <v>26351</v>
      </c>
    </row>
    <row r="2950" spans="1:5">
      <c r="A2950" t="s">
        <v>6</v>
      </c>
      <c r="B2950" t="s">
        <v>2955</v>
      </c>
      <c r="C2950">
        <f>HYPERLINK("C:\Users\franc\OneDrive\Documentos\MALENTIN KARIME\Rosa\SOCIEDADES\CONSTITUCION DE SOCIEDAD\EXTRACTO Nº 2, A.M.B. LTDA..doc", "Abrir Documento")</f>
        <v>0</v>
      </c>
      <c r="D2950" t="s">
        <v>23500</v>
      </c>
      <c r="E2950" t="s">
        <v>26352</v>
      </c>
    </row>
    <row r="2951" spans="1:5">
      <c r="A2951" t="s">
        <v>6</v>
      </c>
      <c r="B2951" t="s">
        <v>2956</v>
      </c>
      <c r="C2951">
        <f>HYPERLINK("C:\Users\franc\OneDrive\Documentos\MALENTIN KARIME\Rosa\SOCIEDADES\CONSTITUCION DE SOCIEDAD\CONSTITUCION DE SOCIEDAD.doc", "Abrir Documento")</f>
        <v>0</v>
      </c>
      <c r="D2951" t="s">
        <v>23500</v>
      </c>
      <c r="E2951" t="s">
        <v>26353</v>
      </c>
    </row>
    <row r="2952" spans="1:5">
      <c r="A2952" t="s">
        <v>6</v>
      </c>
      <c r="B2952" t="s">
        <v>2957</v>
      </c>
      <c r="C2952">
        <f>HYPERLINK("C:\Users\franc\OneDrive\Documentos\MALENTIN KARIME\Rosa\SOCIEDADES\borradores\SOCIEDAD SOTAQUI[1].doc", "Abrir Documento")</f>
        <v>0</v>
      </c>
      <c r="D2952" t="s">
        <v>23500</v>
      </c>
      <c r="E2952" t="s">
        <v>26354</v>
      </c>
    </row>
    <row r="2953" spans="1:5">
      <c r="A2953" t="s">
        <v>6</v>
      </c>
      <c r="B2953" t="s">
        <v>2958</v>
      </c>
      <c r="C2953">
        <f>HYPERLINK("C:\Users\franc\OneDrive\Documentos\MALENTIN KARIME\Rosa\SOCIEDADES\borradores\soc. de capacitacion rio grande limitada.doc", "Abrir Documento")</f>
        <v>0</v>
      </c>
      <c r="D2953" t="s">
        <v>23500</v>
      </c>
      <c r="E2953" t="s">
        <v>26355</v>
      </c>
    </row>
    <row r="2954" spans="1:5">
      <c r="A2954" t="s">
        <v>6</v>
      </c>
      <c r="B2954" t="s">
        <v>2959</v>
      </c>
      <c r="C2954">
        <f>HYPERLINK("C:\Users\franc\OneDrive\Documentos\MALENTIN KARIME\Rosa\SOCIEDADES\borradores\MOFICACION EIRL CECILIA VERGARA.doc", "Abrir Documento")</f>
        <v>0</v>
      </c>
      <c r="D2954" t="s">
        <v>23500</v>
      </c>
      <c r="E2954" t="s">
        <v>26356</v>
      </c>
    </row>
    <row r="2955" spans="1:5">
      <c r="A2955" t="s">
        <v>6</v>
      </c>
      <c r="B2955" t="s">
        <v>2960</v>
      </c>
      <c r="C2955">
        <f>HYPERLINK("C:\Users\franc\OneDrive\Documentos\MALENTIN KARIME\Rosa\SOCIEDADES\borradores\IMPLEMENTOS DE DEPORTES DEL LI. BORRADOR corregida.doc", "Abrir Documento")</f>
        <v>0</v>
      </c>
      <c r="D2955" t="s">
        <v>23500</v>
      </c>
      <c r="E2955" t="s">
        <v>26357</v>
      </c>
    </row>
    <row r="2956" spans="1:5">
      <c r="A2956" t="s">
        <v>6</v>
      </c>
      <c r="B2956" t="s">
        <v>2961</v>
      </c>
      <c r="C2956">
        <f>HYPERLINK("C:\Users\franc\OneDrive\Documentos\MALENTIN KARIME\Rosa\SOCIEDADES\borradores\ALVARO MAYA EIRL.doc", "Abrir Documento")</f>
        <v>0</v>
      </c>
      <c r="D2956" t="s">
        <v>23500</v>
      </c>
      <c r="E2956" t="s">
        <v>26358</v>
      </c>
    </row>
    <row r="2957" spans="1:5">
      <c r="A2957" t="s">
        <v>6</v>
      </c>
      <c r="B2957" t="s">
        <v>2962</v>
      </c>
      <c r="C2957">
        <f>HYPERLINK("C:\Users\franc\OneDrive\Documentos\MALENTIN KARIME\Rosa\SOCIEDADES\borradores\cecilia vergara  eirl-1 roberto vega.doc", "Abrir Documento")</f>
        <v>0</v>
      </c>
      <c r="D2957" t="s">
        <v>23500</v>
      </c>
      <c r="E2957" t="s">
        <v>26358</v>
      </c>
    </row>
    <row r="2958" spans="1:5">
      <c r="A2958" t="s">
        <v>6</v>
      </c>
      <c r="B2958" t="s">
        <v>2963</v>
      </c>
      <c r="C2958">
        <f>HYPERLINK("C:\Users\franc\OneDrive\Documentos\MALENTIN KARIME\Rosa\SOCIEDADES\SOCIEDAD AGRICOLA SOTAQUI.doc", "Abrir Documento")</f>
        <v>0</v>
      </c>
      <c r="D2958" t="s">
        <v>23500</v>
      </c>
      <c r="E2958" t="s">
        <v>26359</v>
      </c>
    </row>
    <row r="2959" spans="1:5">
      <c r="A2959" t="s">
        <v>6</v>
      </c>
      <c r="B2959" t="s">
        <v>2964</v>
      </c>
      <c r="C2959">
        <f>HYPERLINK("C:\Users\franc\OneDrive\Documentos\MALENTIN KARIME\Rosa\SOCIEDADES\socidad por acciones.doc", "Abrir Documento")</f>
        <v>0</v>
      </c>
      <c r="D2959" t="s">
        <v>23500</v>
      </c>
      <c r="E2959" t="s">
        <v>26360</v>
      </c>
    </row>
    <row r="2960" spans="1:5">
      <c r="A2960" t="s">
        <v>6</v>
      </c>
      <c r="B2960" t="s">
        <v>2965</v>
      </c>
      <c r="C2960">
        <f>HYPERLINK("C:\Users\franc\OneDrive\Documentos\MALENTIN KARIME\Rosa\SOCIEDADES\SOC. CAPACITACION RIO GRANDE LIMITADA.doc", "Abrir Documento")</f>
        <v>0</v>
      </c>
      <c r="D2960" t="s">
        <v>23500</v>
      </c>
      <c r="E2960" t="s">
        <v>26361</v>
      </c>
    </row>
    <row r="2961" spans="1:5">
      <c r="A2961" t="s">
        <v>6</v>
      </c>
      <c r="B2961" t="s">
        <v>2966</v>
      </c>
      <c r="C2961">
        <f>HYPERLINK("C:\Users\franc\OneDrive\Documentos\MALENTIN KARIME\Rosa\SOCIEDADES\MODIFICACION CECILIA VERGARA E.I.R.L.doc", "Abrir Documento")</f>
        <v>0</v>
      </c>
      <c r="D2961" t="s">
        <v>23500</v>
      </c>
      <c r="E2961" t="s">
        <v>26362</v>
      </c>
    </row>
    <row r="2962" spans="1:5">
      <c r="A2962" t="s">
        <v>6</v>
      </c>
      <c r="B2962" t="s">
        <v>2967</v>
      </c>
      <c r="C2962">
        <f>HYPERLINK("C:\Users\franc\OneDrive\Documentos\MALENTIN KARIME\Rosa\SOCIEDADES\SANTA ELENA ACLARATORIA.doc", "Abrir Documento")</f>
        <v>0</v>
      </c>
      <c r="D2962" t="s">
        <v>23500</v>
      </c>
      <c r="E2962" t="s">
        <v>26362</v>
      </c>
    </row>
    <row r="2963" spans="1:5">
      <c r="A2963" t="s">
        <v>6</v>
      </c>
      <c r="B2963" t="s">
        <v>2968</v>
      </c>
      <c r="C2963">
        <f>HYPERLINK("C:\Users\franc\OneDrive\Documentos\MALENTIN KARIME\Rosa\SOCIEDADES\MOD. SOC. MINERA LOMAS DEL DESIERTO LTDA..doc", "Abrir Documento")</f>
        <v>0</v>
      </c>
      <c r="D2963" t="s">
        <v>23500</v>
      </c>
      <c r="E2963" t="s">
        <v>26363</v>
      </c>
    </row>
    <row r="2964" spans="1:5">
      <c r="A2964" t="s">
        <v>6</v>
      </c>
      <c r="B2964" t="s">
        <v>2969</v>
      </c>
      <c r="C2964">
        <f>HYPERLINK("C:\Users\franc\OneDrive\Documentos\MALENTIN KARIME\Rosa\SOCIEDADES\MOD. SOC. SERVICIOS PROFES..doc", "Abrir Documento")</f>
        <v>0</v>
      </c>
      <c r="D2964" t="s">
        <v>23500</v>
      </c>
      <c r="E2964" t="s">
        <v>26363</v>
      </c>
    </row>
    <row r="2965" spans="1:5">
      <c r="A2965" t="s">
        <v>6</v>
      </c>
      <c r="B2965" t="s">
        <v>2970</v>
      </c>
      <c r="C2965">
        <f>HYPERLINK("C:\Users\franc\OneDrive\Documentos\MALENTIN KARIME\Rosa\SOCIEDADES\IMPLEMENTOS DE DEPORTES DEL LIMARI S.p.A.doc", "Abrir Documento")</f>
        <v>0</v>
      </c>
      <c r="D2965" t="s">
        <v>23500</v>
      </c>
      <c r="E2965" t="s">
        <v>26364</v>
      </c>
    </row>
    <row r="2966" spans="1:5">
      <c r="A2966" t="s">
        <v>6</v>
      </c>
      <c r="B2966" t="s">
        <v>2971</v>
      </c>
      <c r="C2966">
        <f>HYPERLINK("C:\Users\franc\OneDrive\Documentos\MALENTIN KARIME\Rosa\SOCIEDADES\EXTRACTO Santa Elena.doc", "Abrir Documento")</f>
        <v>0</v>
      </c>
      <c r="D2966" t="s">
        <v>23500</v>
      </c>
      <c r="E2966" t="s">
        <v>26365</v>
      </c>
    </row>
    <row r="2967" spans="1:5">
      <c r="A2967" t="s">
        <v>6</v>
      </c>
      <c r="B2967" t="s">
        <v>2972</v>
      </c>
      <c r="C2967">
        <f>HYPERLINK("C:\Users\franc\OneDrive\Documentos\MALENTIN KARIME\Rosa\SOCIEDADES\COMERCIAL VIVAR Y YAÑEZ.doc", "Abrir Documento")</f>
        <v>0</v>
      </c>
      <c r="D2967" t="s">
        <v>23500</v>
      </c>
      <c r="E2967" t="s">
        <v>26366</v>
      </c>
    </row>
    <row r="2968" spans="1:5">
      <c r="A2968" t="s">
        <v>6</v>
      </c>
      <c r="B2968" t="s">
        <v>2973</v>
      </c>
      <c r="C2968">
        <f>HYPERLINK("C:\Users\franc\OneDrive\Documentos\MALENTIN KARIME\Rosa\SOCIEDADES\CECILIA VERGARA SALAS ya firmada anterior%.doc", "Abrir Documento")</f>
        <v>0</v>
      </c>
      <c r="D2968" t="s">
        <v>23500</v>
      </c>
      <c r="E2968" t="s">
        <v>26367</v>
      </c>
    </row>
    <row r="2969" spans="1:5">
      <c r="A2969" t="s">
        <v>6</v>
      </c>
      <c r="B2969" t="s">
        <v>2974</v>
      </c>
      <c r="C2969">
        <f>HYPERLINK("C:\Users\franc\OneDrive\Documentos\MALENTIN KARIME\Rosa\SOCIEDADES\ALVARO MAYA E.I.R.L..doc", "Abrir Documento")</f>
        <v>0</v>
      </c>
      <c r="D2969" t="s">
        <v>23500</v>
      </c>
      <c r="E2969" t="s">
        <v>26368</v>
      </c>
    </row>
    <row r="2970" spans="1:5">
      <c r="A2970" t="s">
        <v>6</v>
      </c>
      <c r="B2970" t="s">
        <v>2975</v>
      </c>
      <c r="C2970">
        <f>HYPERLINK("C:\Users\franc\OneDrive\Documentos\MALENTIN KARIME\Rosa\SOCIEDADES\ACLARATORIA SANTA ELENA.doc", "Abrir Documento")</f>
        <v>0</v>
      </c>
      <c r="D2970" t="s">
        <v>23500</v>
      </c>
      <c r="E2970" t="s">
        <v>26369</v>
      </c>
    </row>
    <row r="2971" spans="1:5">
      <c r="A2971" t="s">
        <v>6</v>
      </c>
      <c r="B2971" t="s">
        <v>2976</v>
      </c>
      <c r="C2971">
        <f>HYPERLINK("C:\Users\franc\OneDrive\Documentos\MALENTIN KARIME\Rosa\SOCIEDADES\AGROCOMERCIAL ACME S.R. LTDA..doc", "Abrir Documento")</f>
        <v>0</v>
      </c>
      <c r="D2971" t="s">
        <v>23500</v>
      </c>
      <c r="E2971" t="s">
        <v>26369</v>
      </c>
    </row>
    <row r="2972" spans="1:5">
      <c r="A2972" t="s">
        <v>6</v>
      </c>
      <c r="B2972" t="s">
        <v>2977</v>
      </c>
      <c r="C2972">
        <f>HYPERLINK("C:\Users\franc\OneDrive\Documentos\MALENTIN KARIME\Rosa\SEPARACION DE BIENES\SEPARACION DE BIENES.doc", "Abrir Documento")</f>
        <v>0</v>
      </c>
      <c r="D2972" t="s">
        <v>23500</v>
      </c>
      <c r="E2972" t="s">
        <v>26370</v>
      </c>
    </row>
    <row r="2973" spans="1:5">
      <c r="A2973" t="s">
        <v>6</v>
      </c>
      <c r="B2973" t="s">
        <v>2978</v>
      </c>
      <c r="C2973">
        <f>HYPERLINK("C:\Users\franc\OneDrive\Documentos\MALENTIN KARIME\Rosa\REVOCACION TOTAL  MANDATOS\ROSA VILLALOBOS.doc", "Abrir Documento")</f>
        <v>0</v>
      </c>
      <c r="D2973" t="s">
        <v>23500</v>
      </c>
      <c r="E2973" t="s">
        <v>26371</v>
      </c>
    </row>
    <row r="2974" spans="1:5">
      <c r="A2974" t="s">
        <v>6</v>
      </c>
      <c r="B2974" t="s">
        <v>2979</v>
      </c>
      <c r="C2974">
        <f>HYPERLINK("C:\Users\franc\OneDrive\Documentos\MALENTIN KARIME\Rosa\SALIDA MENORES DEL PAIS\AUTORIZACION SALIDA MENORES DEL PAIS.doc", "Abrir Documento")</f>
        <v>0</v>
      </c>
      <c r="D2974" t="s">
        <v>23500</v>
      </c>
      <c r="E2974" t="s">
        <v>26371</v>
      </c>
    </row>
    <row r="2975" spans="1:5">
      <c r="A2975" t="s">
        <v>6</v>
      </c>
      <c r="B2975" t="s">
        <v>2980</v>
      </c>
      <c r="C2975">
        <f>HYPERLINK("C:\Users\franc\OneDrive\Documentos\MALENTIN KARIME\Rosa\REVOCACION TOTAL  MANDATOS\REVOCACION OCTUBRE 2010.doc", "Abrir Documento")</f>
        <v>0</v>
      </c>
      <c r="D2975" t="s">
        <v>23500</v>
      </c>
      <c r="E2975" t="s">
        <v>26372</v>
      </c>
    </row>
    <row r="2976" spans="1:5">
      <c r="A2976" t="s">
        <v>6</v>
      </c>
      <c r="B2976" t="s">
        <v>2981</v>
      </c>
      <c r="C2976">
        <f>HYPERLINK("C:\Users\franc\OneDrive\Documentos\MALENTIN KARIME\Rosa\REVOCACION TOTAL  MANDATOS\ROSA CORTES TABILO.doc", "Abrir Documento")</f>
        <v>0</v>
      </c>
      <c r="D2976" t="s">
        <v>23500</v>
      </c>
      <c r="E2976" t="s">
        <v>26372</v>
      </c>
    </row>
    <row r="2977" spans="1:5">
      <c r="A2977" t="s">
        <v>6</v>
      </c>
      <c r="B2977" t="s">
        <v>2982</v>
      </c>
      <c r="C2977">
        <f>HYPERLINK("C:\Users\franc\OneDrive\Documentos\MALENTIN KARIME\Rosa\REVOCACION TOTAL  MANDATOS\MARTA CANALES DE PERRIN testamento.doc", "Abrir Documento")</f>
        <v>0</v>
      </c>
      <c r="D2977" t="s">
        <v>23500</v>
      </c>
      <c r="E2977" t="s">
        <v>26373</v>
      </c>
    </row>
    <row r="2978" spans="1:5">
      <c r="A2978" t="s">
        <v>6</v>
      </c>
      <c r="B2978" t="s">
        <v>2983</v>
      </c>
      <c r="C2978">
        <f>HYPERLINK("C:\Users\franc\OneDrive\Documentos\MALENTIN KARIME\Rosa\REVOCACION TOTAL  MANDATOS\revocacion de testamento.doc", "Abrir Documento")</f>
        <v>0</v>
      </c>
      <c r="D2978" t="s">
        <v>23500</v>
      </c>
      <c r="E2978" t="s">
        <v>26373</v>
      </c>
    </row>
    <row r="2979" spans="1:5">
      <c r="A2979" t="s">
        <v>6</v>
      </c>
      <c r="B2979" t="s">
        <v>2984</v>
      </c>
      <c r="C2979">
        <f>HYPERLINK("C:\Users\franc\OneDrive\Documentos\MALENTIN KARIME\Rosa\RESCILIACION\VIRGINIA GUERRERO PICARTE A BENJAMIN GUERRERO PICARTE.doc", "Abrir Documento")</f>
        <v>0</v>
      </c>
      <c r="D2979" t="s">
        <v>23500</v>
      </c>
      <c r="E2979" t="s">
        <v>26374</v>
      </c>
    </row>
    <row r="2980" spans="1:5">
      <c r="A2980" t="s">
        <v>6</v>
      </c>
      <c r="B2980" t="s">
        <v>2985</v>
      </c>
      <c r="C2980">
        <f>HYPERLINK("C:\Users\franc\OneDrive\Documentos\MALENTIN KARIME\Rosa\REVOCACION TOTAL  MANDATOS\ANDREA MORENO SANTANDER.doc", "Abrir Documento")</f>
        <v>0</v>
      </c>
      <c r="D2980" t="s">
        <v>23500</v>
      </c>
      <c r="E2980" t="s">
        <v>26374</v>
      </c>
    </row>
    <row r="2981" spans="1:5">
      <c r="A2981" t="s">
        <v>6</v>
      </c>
      <c r="B2981" t="s">
        <v>2986</v>
      </c>
      <c r="C2981">
        <f>HYPERLINK("C:\Users\franc\OneDrive\Documentos\MALENTIN KARIME\Rosa\RESCILIACION\ROMELIO HONORES ARAYA A MANTENCION Y CONST....doc", "Abrir Documento")</f>
        <v>0</v>
      </c>
      <c r="D2981" t="s">
        <v>23500</v>
      </c>
      <c r="E2981" t="s">
        <v>26375</v>
      </c>
    </row>
    <row r="2982" spans="1:5">
      <c r="A2982" t="s">
        <v>6</v>
      </c>
      <c r="B2982" t="s">
        <v>2987</v>
      </c>
      <c r="C2982">
        <f>HYPERLINK("C:\Users\franc\OneDrive\Documentos\MALENTIN KARIME\Rosa\RESCILIACION\ALFONSO CARVAJAL A LIDIA CARVAJAL.doc", "Abrir Documento")</f>
        <v>0</v>
      </c>
      <c r="D2982" t="s">
        <v>23500</v>
      </c>
      <c r="E2982" t="s">
        <v>26376</v>
      </c>
    </row>
    <row r="2983" spans="1:5">
      <c r="A2983" t="s">
        <v>6</v>
      </c>
      <c r="B2983" t="s">
        <v>2988</v>
      </c>
      <c r="C2983">
        <f>HYPERLINK("C:\Users\franc\OneDrive\Documentos\MALENTIN KARIME\Rosa\RESCILIACION\INGRID GUERRERO A  BENJAMIN GUERRERO PICARTE.doc", "Abrir Documento")</f>
        <v>0</v>
      </c>
      <c r="D2983" t="s">
        <v>23500</v>
      </c>
      <c r="E2983" t="s">
        <v>26376</v>
      </c>
    </row>
    <row r="2984" spans="1:5">
      <c r="A2984" t="s">
        <v>6</v>
      </c>
      <c r="B2984" t="s">
        <v>2989</v>
      </c>
      <c r="C2984">
        <f>HYPERLINK("C:\Users\franc\OneDrive\Documentos\MALENTIN KARIME\Rosa\REPUDIO\FELIX ARAYA ADONES.doc", "Abrir Documento")</f>
        <v>0</v>
      </c>
      <c r="D2984" t="s">
        <v>23500</v>
      </c>
      <c r="E2984" t="s">
        <v>26377</v>
      </c>
    </row>
    <row r="2985" spans="1:5">
      <c r="A2985" t="s">
        <v>6</v>
      </c>
      <c r="B2985" t="s">
        <v>2990</v>
      </c>
      <c r="C2985">
        <f>HYPERLINK("C:\Users\franc\OneDrive\Documentos\MALENTIN KARIME\Rosa\RESCILIACION\ADELMO CORTES Y OTRA A ALEJANDRA CORTES.doc", "Abrir Documento")</f>
        <v>0</v>
      </c>
      <c r="D2985" t="s">
        <v>23500</v>
      </c>
      <c r="E2985" t="s">
        <v>26377</v>
      </c>
    </row>
    <row r="2986" spans="1:5">
      <c r="A2986" t="s">
        <v>6</v>
      </c>
      <c r="B2986" t="s">
        <v>2991</v>
      </c>
      <c r="C2986">
        <f>HYPERLINK("C:\Users\franc\OneDrive\Documentos\MALENTIN KARIME\Rosa\REDUCCION E. PUBLICA\SOCIEDAD INMOB. AYLLU S.A..doc", "Abrir Documento")</f>
        <v>0</v>
      </c>
      <c r="D2986" t="s">
        <v>23500</v>
      </c>
      <c r="E2986" t="s">
        <v>26378</v>
      </c>
    </row>
    <row r="2987" spans="1:5">
      <c r="A2987" t="s">
        <v>6</v>
      </c>
      <c r="B2987" t="s">
        <v>2992</v>
      </c>
      <c r="C2987">
        <f>HYPERLINK("C:\Users\franc\OneDrive\Documentos\MALENTIN KARIME\Rosa\REDUCCION E. PUBLICA\RIO MOSTAZAL Nº 2.doc", "Abrir Documento")</f>
        <v>0</v>
      </c>
      <c r="D2987" t="s">
        <v>23500</v>
      </c>
      <c r="E2987" t="s">
        <v>26379</v>
      </c>
    </row>
    <row r="2988" spans="1:5">
      <c r="A2988" t="s">
        <v>6</v>
      </c>
      <c r="B2988" t="s">
        <v>2993</v>
      </c>
      <c r="C2988">
        <f>HYPERLINK("C:\Users\franc\OneDrive\Documentos\MALENTIN KARIME\Rosa\REDUCCION E. PUBLICA\SOC. EDUCACIONAL STA. MARIA 9 MAYO 2011.doc", "Abrir Documento")</f>
        <v>0</v>
      </c>
      <c r="D2988" t="s">
        <v>23500</v>
      </c>
      <c r="E2988" t="s">
        <v>26379</v>
      </c>
    </row>
    <row r="2989" spans="1:5">
      <c r="A2989" t="s">
        <v>6</v>
      </c>
      <c r="B2989" t="s">
        <v>2994</v>
      </c>
      <c r="C2989">
        <f>HYPERLINK("C:\Users\franc\OneDrive\Documentos\MALENTIN KARIME\Rosa\REDUCCION E. PUBLICA\RIO MOSTAZAL Nº 1.doc", "Abrir Documento")</f>
        <v>0</v>
      </c>
      <c r="D2989" t="s">
        <v>23500</v>
      </c>
      <c r="E2989" t="s">
        <v>26380</v>
      </c>
    </row>
    <row r="2990" spans="1:5">
      <c r="A2990" t="s">
        <v>6</v>
      </c>
      <c r="B2990" t="s">
        <v>2995</v>
      </c>
      <c r="C2990">
        <f>HYPERLINK("C:\Users\franc\OneDrive\Documentos\MALENTIN KARIME\Rosa\REDUCCION E. PUBLICA\REDUCCION ESMEL.doc", "Abrir Documento")</f>
        <v>0</v>
      </c>
      <c r="D2990" t="s">
        <v>23500</v>
      </c>
      <c r="E2990" t="s">
        <v>26381</v>
      </c>
    </row>
    <row r="2991" spans="1:5">
      <c r="A2991" t="s">
        <v>6</v>
      </c>
      <c r="B2991" t="s">
        <v>2996</v>
      </c>
      <c r="C2991">
        <f>HYPERLINK("C:\Users\franc\OneDrive\Documentos\MALENTIN KARIME\Rosa\REDUCCION E. PUBLICA\REDUCCION MARCELA PARDO Y MAURICIO TELLO.doc", "Abrir Documento")</f>
        <v>0</v>
      </c>
      <c r="D2991" t="s">
        <v>23500</v>
      </c>
      <c r="E2991" t="s">
        <v>26381</v>
      </c>
    </row>
    <row r="2992" spans="1:5">
      <c r="A2992" t="s">
        <v>6</v>
      </c>
      <c r="B2992" t="s">
        <v>2997</v>
      </c>
      <c r="C2992">
        <f>HYPERLINK("C:\Users\franc\OneDrive\Documentos\MALENTIN KARIME\Rosa\REDUCCION E. PUBLICA\PUNTO Nº 6, CANAL POTRERILLOS DEL RIO GRANDE.doc", "Abrir Documento")</f>
        <v>0</v>
      </c>
      <c r="D2992" t="s">
        <v>23500</v>
      </c>
      <c r="E2992" t="s">
        <v>26382</v>
      </c>
    </row>
    <row r="2993" spans="1:5">
      <c r="A2993" t="s">
        <v>6</v>
      </c>
      <c r="B2993" t="s">
        <v>2998</v>
      </c>
      <c r="C2993">
        <f>HYPERLINK("C:\Users\franc\OneDrive\Documentos\MALENTIN KARIME\Rosa\REDUCCION E. PUBLICA\PERMISO DE EDIFICACION don Pablo Doble M.doc", "Abrir Documento")</f>
        <v>0</v>
      </c>
      <c r="D2993" t="s">
        <v>23500</v>
      </c>
      <c r="E2993" t="s">
        <v>26383</v>
      </c>
    </row>
    <row r="2994" spans="1:5">
      <c r="A2994" t="s">
        <v>6</v>
      </c>
      <c r="B2994" t="s">
        <v>2999</v>
      </c>
      <c r="C2994">
        <f>HYPERLINK("C:\Users\franc\OneDrive\Documentos\MALENTIN KARIME\Rosa\REDUCCION E. PUBLICA\PERMISO DE EDIFICACION.doc", "Abrir Documento")</f>
        <v>0</v>
      </c>
      <c r="D2994" t="s">
        <v>23500</v>
      </c>
      <c r="E2994" t="s">
        <v>26383</v>
      </c>
    </row>
    <row r="2995" spans="1:5">
      <c r="A2995" t="s">
        <v>6</v>
      </c>
      <c r="B2995" t="s">
        <v>3000</v>
      </c>
      <c r="C2995">
        <f>HYPERLINK("C:\Users\franc\OneDrive\Documentos\MALENTIN KARIME\Rosa\REDUCCION E. PUBLICA\CYNTIA OGALDE LEON.doc", "Abrir Documento")</f>
        <v>0</v>
      </c>
      <c r="D2995" t="s">
        <v>23500</v>
      </c>
      <c r="E2995" t="s">
        <v>26384</v>
      </c>
    </row>
    <row r="2996" spans="1:5">
      <c r="A2996" t="s">
        <v>6</v>
      </c>
      <c r="B2996" t="s">
        <v>3001</v>
      </c>
      <c r="C2996">
        <f>HYPERLINK("C:\Users\franc\OneDrive\Documentos\MALENTIN KARIME\Rosa\REDUCCION E. PUBLICA\JUNTA CANAL CAMARICO.doc", "Abrir Documento")</f>
        <v>0</v>
      </c>
      <c r="D2996" t="s">
        <v>23500</v>
      </c>
      <c r="E2996" t="s">
        <v>26384</v>
      </c>
    </row>
    <row r="2997" spans="1:5">
      <c r="A2997" t="s">
        <v>6</v>
      </c>
      <c r="B2997" t="s">
        <v>3002</v>
      </c>
      <c r="C2997">
        <f>HYPERLINK("C:\Users\franc\OneDrive\Documentos\MALENTIN KARIME\Rosa\REDUCCION E. PUBLICA\CREACION GRUPO O. RESCATE URBANO GORU BOMBEROS OVALLE.doc", "Abrir Documento")</f>
        <v>0</v>
      </c>
      <c r="D2997" t="s">
        <v>23500</v>
      </c>
      <c r="E2997" t="s">
        <v>26385</v>
      </c>
    </row>
    <row r="2998" spans="1:5">
      <c r="A2998" t="s">
        <v>6</v>
      </c>
      <c r="B2998" t="s">
        <v>3003</v>
      </c>
      <c r="C2998">
        <f>HYPERLINK("C:\Users\franc\OneDrive\Documentos\MALENTIN KARIME\Rosa\REDUCCION E. PUBLICA\CYNTIA OGALDE LEON MODIFICADA POR EL JUZGADO.doc", "Abrir Documento")</f>
        <v>0</v>
      </c>
      <c r="D2998" t="s">
        <v>23500</v>
      </c>
      <c r="E2998" t="s">
        <v>26385</v>
      </c>
    </row>
    <row r="2999" spans="1:5">
      <c r="A2999" t="s">
        <v>6</v>
      </c>
      <c r="B2999" t="s">
        <v>3004</v>
      </c>
      <c r="C2999">
        <f>HYPERLINK("C:\Users\franc\OneDrive\Documentos\MALENTIN KARIME\Rosa\REDUCCION E. PUBLICA\CONST. DE DIREC. CUERPO BOMBEROS OVALLE.doc", "Abrir Documento")</f>
        <v>0</v>
      </c>
      <c r="D2999" t="s">
        <v>23500</v>
      </c>
      <c r="E2999" t="s">
        <v>26386</v>
      </c>
    </row>
    <row r="3000" spans="1:5">
      <c r="A3000" t="s">
        <v>6</v>
      </c>
      <c r="B3000" t="s">
        <v>3005</v>
      </c>
      <c r="C3000">
        <f>HYPERLINK("C:\Users\franc\OneDrive\Documentos\MALENTIN KARIME\Rosa\REDUCCION E. PUBLICA\CONTRATO DE ARRENDAMIENTO.doc", "Abrir Documento")</f>
        <v>0</v>
      </c>
      <c r="D3000" t="s">
        <v>23500</v>
      </c>
      <c r="E3000" t="s">
        <v>26386</v>
      </c>
    </row>
    <row r="3001" spans="1:5">
      <c r="A3001" t="s">
        <v>6</v>
      </c>
      <c r="B3001" t="s">
        <v>3006</v>
      </c>
      <c r="C3001">
        <f>HYPERLINK("C:\Users\franc\OneDrive\Documentos\MALENTIN KARIME\Rosa\REDUCCION E. PUBLICA\CONST. DE DIREC. CUERPO BOMBEROS OVALLE ENERO 2011.doc", "Abrir Documento")</f>
        <v>0</v>
      </c>
      <c r="D3001" t="s">
        <v>23500</v>
      </c>
      <c r="E3001" t="s">
        <v>26387</v>
      </c>
    </row>
    <row r="3002" spans="1:5">
      <c r="A3002" t="s">
        <v>6</v>
      </c>
      <c r="B3002" t="s">
        <v>3007</v>
      </c>
      <c r="C3002">
        <f>HYPERLINK("C:\Users\franc\OneDrive\Documentos\MALENTIN KARIME\Rosa\REDUCCION E. PUBLICA\COM. AGUAS COMP. Nº 6 Sotaqui.doc", "Abrir Documento")</f>
        <v>0</v>
      </c>
      <c r="D3002" t="s">
        <v>23500</v>
      </c>
      <c r="E3002" t="s">
        <v>26388</v>
      </c>
    </row>
    <row r="3003" spans="1:5">
      <c r="A3003" t="s">
        <v>6</v>
      </c>
      <c r="B3003" t="s">
        <v>3008</v>
      </c>
      <c r="C3003">
        <f>HYPERLINK("C:\Users\franc\OneDrive\Documentos\MALENTIN KARIME\Rosa\REDUCCION E. PUBLICA\CAMARICO Junta Gral Ord[1]. 2009.doc", "Abrir Documento")</f>
        <v>0</v>
      </c>
      <c r="D3003" t="s">
        <v>23500</v>
      </c>
      <c r="E3003" t="s">
        <v>26389</v>
      </c>
    </row>
    <row r="3004" spans="1:5">
      <c r="A3004" t="s">
        <v>6</v>
      </c>
      <c r="B3004" t="s">
        <v>3009</v>
      </c>
      <c r="C3004">
        <f>HYPERLINK("C:\Users\franc\OneDrive\Documentos\MALENTIN KARIME\Rosa\REDUCCION E. PUBLICA\CANAL DE CAMARICO.doc", "Abrir Documento")</f>
        <v>0</v>
      </c>
      <c r="D3004" t="s">
        <v>23500</v>
      </c>
      <c r="E3004" t="s">
        <v>26389</v>
      </c>
    </row>
    <row r="3005" spans="1:5">
      <c r="A3005" t="s">
        <v>6</v>
      </c>
      <c r="B3005" t="s">
        <v>3010</v>
      </c>
      <c r="C3005">
        <f>HYPERLINK("C:\Users\franc\OneDrive\Documentos\MALENTIN KARIME\Rosa\REDUCCION E. PUBLICA\ASISTENCIA ASAMBLEA 260710[1][1].doc", "Abrir Documento")</f>
        <v>0</v>
      </c>
      <c r="D3005" t="s">
        <v>23500</v>
      </c>
      <c r="E3005" t="s">
        <v>26390</v>
      </c>
    </row>
    <row r="3006" spans="1:5">
      <c r="A3006" t="s">
        <v>6</v>
      </c>
      <c r="B3006" t="s">
        <v>3011</v>
      </c>
      <c r="C3006">
        <f>HYPERLINK("C:\Users\franc\OneDrive\Documentos\MALENTIN KARIME\Rosa\REDUCCION E. PUBLICA\ACTA NUMERO 27 COM. AGUAS COMPUERTA 6.doc", "Abrir Documento")</f>
        <v>0</v>
      </c>
      <c r="D3006" t="s">
        <v>23500</v>
      </c>
      <c r="E3006" t="s">
        <v>26391</v>
      </c>
    </row>
    <row r="3007" spans="1:5">
      <c r="A3007" t="s">
        <v>6</v>
      </c>
      <c r="B3007" t="s">
        <v>3012</v>
      </c>
      <c r="C3007">
        <f>HYPERLINK("C:\Users\franc\OneDrive\Documentos\MALENTIN KARIME\Rosa\REDUCCION E. PUBLICA\Acta junta ordinaria 2010 notaria.doc", "Abrir Documento")</f>
        <v>0</v>
      </c>
      <c r="D3007" t="s">
        <v>23500</v>
      </c>
      <c r="E3007" t="s">
        <v>26392</v>
      </c>
    </row>
    <row r="3008" spans="1:5">
      <c r="A3008" t="s">
        <v>6</v>
      </c>
      <c r="B3008" t="s">
        <v>3013</v>
      </c>
      <c r="C3008">
        <f>HYPERLINK("C:\Users\franc\OneDrive\Documentos\MALENTIN KARIME\Rosa\REDUCCION E. PUBLICA\ACTA DE CONSTITUCION AÑO 2011 bomberos ovalle.doc", "Abrir Documento")</f>
        <v>0</v>
      </c>
      <c r="D3008" t="s">
        <v>23500</v>
      </c>
      <c r="E3008" t="s">
        <v>26393</v>
      </c>
    </row>
    <row r="3009" spans="1:5">
      <c r="A3009" t="s">
        <v>6</v>
      </c>
      <c r="B3009" t="s">
        <v>3014</v>
      </c>
      <c r="C3009">
        <f>HYPERLINK("C:\Users\franc\OneDrive\Documentos\MALENTIN KARIME\Rosa\REDUCCION E. PUBLICA\ACCIONISTASSOC. EDUCACIONAL STA. MARIA 27 ABRIL 2011.doc", "Abrir Documento")</f>
        <v>0</v>
      </c>
      <c r="D3009" t="s">
        <v>23500</v>
      </c>
      <c r="E3009" t="s">
        <v>26394</v>
      </c>
    </row>
    <row r="3010" spans="1:5">
      <c r="A3010" t="s">
        <v>6</v>
      </c>
      <c r="B3010" t="s">
        <v>3015</v>
      </c>
      <c r="C3010">
        <f>HYPERLINK("C:\Users\franc\OneDrive\Documentos\MALENTIN KARIME\Rosa\REDUCCION E. PUBLICA\ACTA CANAL CAMARICO.doc", "Abrir Documento")</f>
        <v>0</v>
      </c>
      <c r="D3010" t="s">
        <v>23500</v>
      </c>
      <c r="E3010" t="s">
        <v>26394</v>
      </c>
    </row>
    <row r="3011" spans="1:5">
      <c r="A3011" t="s">
        <v>6</v>
      </c>
      <c r="B3011" t="s">
        <v>3016</v>
      </c>
      <c r="C3011">
        <f>HYPERLINK("C:\Users\franc\OneDrive\Documentos\MALENTIN KARIME\Rosa\RECTIFICACION\SERGIO GALLEGUILLOS Escritura Rectificatoria.doc", "Abrir Documento")</f>
        <v>0</v>
      </c>
      <c r="D3011" t="s">
        <v>23500</v>
      </c>
      <c r="E3011" t="s">
        <v>26395</v>
      </c>
    </row>
    <row r="3012" spans="1:5">
      <c r="A3012" t="s">
        <v>6</v>
      </c>
      <c r="B3012" t="s">
        <v>3017</v>
      </c>
      <c r="C3012">
        <f>HYPERLINK("C:\Users\franc\OneDrive\Documentos\MALENTIN KARIME\Rosa\RECTIFICACION\RECTIF. SERGIO GALLEGUILLOS.doc", "Abrir Documento")</f>
        <v>0</v>
      </c>
      <c r="D3012" t="s">
        <v>23500</v>
      </c>
      <c r="E3012" t="s">
        <v>26396</v>
      </c>
    </row>
    <row r="3013" spans="1:5">
      <c r="A3013" t="s">
        <v>6</v>
      </c>
      <c r="B3013" t="s">
        <v>3018</v>
      </c>
      <c r="C3013">
        <f>HYPERLINK("C:\Users\franc\OneDrive\Documentos\MALENTIN KARIME\Rosa\RECTIFICACION\RECTIFICACION COMPRAVENTA.doc", "Abrir Documento")</f>
        <v>0</v>
      </c>
      <c r="D3013" t="s">
        <v>23500</v>
      </c>
      <c r="E3013" t="s">
        <v>26396</v>
      </c>
    </row>
    <row r="3014" spans="1:5">
      <c r="A3014" t="s">
        <v>6</v>
      </c>
      <c r="B3014" t="s">
        <v>3019</v>
      </c>
      <c r="C3014">
        <f>HYPERLINK("C:\Users\franc\OneDrive\Documentos\MALENTIN KARIME\Rosa\RECTIFICACION\RECTIF. ALBERTO HERNAN OGALE.- FEBRERO 2011 YENY.doc", "Abrir Documento")</f>
        <v>0</v>
      </c>
      <c r="D3014" t="s">
        <v>23500</v>
      </c>
      <c r="E3014" t="s">
        <v>26397</v>
      </c>
    </row>
    <row r="3015" spans="1:5">
      <c r="A3015" t="s">
        <v>6</v>
      </c>
      <c r="B3015" t="s">
        <v>3020</v>
      </c>
      <c r="C3015">
        <f>HYPERLINK("C:\Users\franc\OneDrive\Documentos\MALENTIN KARIME\Rosa\RECTIFICACION\MIRIAM CISTERNAS A PABLO RAMIREZ.doc", "Abrir Documento")</f>
        <v>0</v>
      </c>
      <c r="D3015" t="s">
        <v>23500</v>
      </c>
      <c r="E3015" t="s">
        <v>26398</v>
      </c>
    </row>
    <row r="3016" spans="1:5">
      <c r="A3016" t="s">
        <v>6</v>
      </c>
      <c r="B3016" t="s">
        <v>3021</v>
      </c>
      <c r="C3016">
        <f>HYPERLINK("C:\Users\franc\OneDrive\Documentos\MALENTIN KARIME\Rosa\RECTIFICACION\MARCELO ANGEL ARAYA.doc", "Abrir Documento")</f>
        <v>0</v>
      </c>
      <c r="D3016" t="s">
        <v>23500</v>
      </c>
      <c r="E3016" t="s">
        <v>26399</v>
      </c>
    </row>
    <row r="3017" spans="1:5">
      <c r="A3017" t="s">
        <v>6</v>
      </c>
      <c r="B3017" t="s">
        <v>3022</v>
      </c>
      <c r="C3017">
        <f>HYPERLINK("C:\Users\franc\OneDrive\Documentos\MALENTIN KARIME\Rosa\RECTIFICACION\MANDATO GENERAL. RUT. SERGIO GALLARDO ZEPEDA.doc", "Abrir Documento")</f>
        <v>0</v>
      </c>
      <c r="D3017" t="s">
        <v>23500</v>
      </c>
      <c r="E3017" t="s">
        <v>26400</v>
      </c>
    </row>
    <row r="3018" spans="1:5">
      <c r="A3018" t="s">
        <v>6</v>
      </c>
      <c r="B3018" t="s">
        <v>3023</v>
      </c>
      <c r="C3018">
        <f>HYPERLINK("C:\Users\franc\OneDrive\Documentos\MALENTIN KARIME\Rosa\RECTIFICACION\ESCRITURA COMPLEMENTARIA CESAR ALUCEMA.doc", "Abrir Documento")</f>
        <v>0</v>
      </c>
      <c r="D3018" t="s">
        <v>23500</v>
      </c>
      <c r="E3018" t="s">
        <v>26401</v>
      </c>
    </row>
    <row r="3019" spans="1:5">
      <c r="A3019" t="s">
        <v>6</v>
      </c>
      <c r="B3019" t="s">
        <v>3024</v>
      </c>
      <c r="C3019">
        <f>HYPERLINK("C:\Users\franc\OneDrive\Documentos\MALENTIN KARIME\Rosa\RECTIFICACION\COMPRAVENTA GLORIA VILLEGAS A AGRIC. DALBOSCO LTDA.doc", "Abrir Documento")</f>
        <v>0</v>
      </c>
      <c r="D3019" t="s">
        <v>23500</v>
      </c>
      <c r="E3019" t="s">
        <v>26402</v>
      </c>
    </row>
    <row r="3020" spans="1:5">
      <c r="A3020" t="s">
        <v>6</v>
      </c>
      <c r="B3020" t="s">
        <v>3025</v>
      </c>
      <c r="C3020">
        <f>HYPERLINK("C:\Users\franc\OneDrive\Documentos\MALENTIN KARIME\Rosa\RECTIFICACION\ESCRITURA COMPLEMENTARIA CESAR ALUCEMA-mayo 2011.doc", "Abrir Documento")</f>
        <v>0</v>
      </c>
      <c r="D3020" t="s">
        <v>23500</v>
      </c>
      <c r="E3020" t="s">
        <v>26402</v>
      </c>
    </row>
    <row r="3021" spans="1:5">
      <c r="A3021" t="s">
        <v>6</v>
      </c>
      <c r="B3021" t="s">
        <v>3026</v>
      </c>
      <c r="C3021">
        <f>HYPERLINK("C:\Users\franc\OneDrive\Documentos\MALENTIN KARIME\Rosa\RECTIFICACION\complementaria sergio galleguillos.doc", "Abrir Documento")</f>
        <v>0</v>
      </c>
      <c r="D3021" t="s">
        <v>23500</v>
      </c>
      <c r="E3021" t="s">
        <v>26403</v>
      </c>
    </row>
    <row r="3022" spans="1:5">
      <c r="A3022" t="s">
        <v>6</v>
      </c>
      <c r="B3022" t="s">
        <v>3027</v>
      </c>
      <c r="C3022">
        <f>HYPERLINK("C:\Users\franc\OneDrive\Documentos\MALENTIN KARIME\Rosa\RECTIFICACION\ALZAMIENTO MUNICIPALIDAD MARZO 2011.doc", "Abrir Documento")</f>
        <v>0</v>
      </c>
      <c r="D3022" t="s">
        <v>23500</v>
      </c>
      <c r="E3022" t="s">
        <v>26404</v>
      </c>
    </row>
    <row r="3023" spans="1:5">
      <c r="A3023" t="s">
        <v>6</v>
      </c>
      <c r="B3023" t="s">
        <v>3028</v>
      </c>
      <c r="C3023">
        <f>HYPERLINK("C:\Users\franc\OneDrive\Documentos\MALENTIN KARIME\Rosa\RECTIFICACION\CARLOS JIMNEZ a PASCUALA ALFARO.doc", "Abrir Documento")</f>
        <v>0</v>
      </c>
      <c r="D3023" t="s">
        <v>23500</v>
      </c>
      <c r="E3023" t="s">
        <v>26404</v>
      </c>
    </row>
    <row r="3024" spans="1:5">
      <c r="A3024" t="s">
        <v>6</v>
      </c>
      <c r="B3024" t="s">
        <v>3029</v>
      </c>
      <c r="C3024">
        <f>HYPERLINK("C:\Users\franc\OneDrive\Documentos\MALENTIN KARIME\Rosa\RECONOCIMIENTO DE DEUDA\AGUILERA BUSTAMANTE. MUTUO EN DINERO.doc", "Abrir Documento")</f>
        <v>0</v>
      </c>
      <c r="D3024" t="s">
        <v>23500</v>
      </c>
      <c r="E3024" t="s">
        <v>26405</v>
      </c>
    </row>
    <row r="3025" spans="1:5">
      <c r="A3025" t="s">
        <v>6</v>
      </c>
      <c r="B3025" t="s">
        <v>3030</v>
      </c>
      <c r="C3025">
        <f>HYPERLINK("C:\Users\franc\OneDrive\Documentos\MALENTIN KARIME\Rosa\RECONOCIMIENTO DE DEUDA\RECONOCIMIENTO DE DEUDA AGUILERA BUSTAMANTE.doc", "Abrir Documento")</f>
        <v>0</v>
      </c>
      <c r="D3025" t="s">
        <v>23500</v>
      </c>
      <c r="E3025" t="s">
        <v>26405</v>
      </c>
    </row>
    <row r="3026" spans="1:5">
      <c r="A3026" t="s">
        <v>6</v>
      </c>
      <c r="B3026" t="s">
        <v>3031</v>
      </c>
      <c r="C3026">
        <f>HYPERLINK("C:\Users\franc\OneDrive\Documentos\MALENTIN KARIME\Rosa\PROTOCOLIZACIONES\DECLARACION MAGISTRADOS\LORETO FIGUEROA TOLOSA.doc", "Abrir Documento")</f>
        <v>0</v>
      </c>
      <c r="D3026" t="s">
        <v>23500</v>
      </c>
      <c r="E3026" t="s">
        <v>26406</v>
      </c>
    </row>
    <row r="3027" spans="1:5">
      <c r="A3027" t="s">
        <v>6</v>
      </c>
      <c r="B3027" t="s">
        <v>3032</v>
      </c>
      <c r="C3027">
        <f>HYPERLINK("C:\Users\franc\OneDrive\Documentos\MALENTIN KARIME\Rosa\PROTOCOLIZACIONES\DECLARACION MAGISTRADOS\VIVIANA GUBELIN MEZA.doc", "Abrir Documento")</f>
        <v>0</v>
      </c>
      <c r="D3027" t="s">
        <v>23500</v>
      </c>
      <c r="E3027" t="s">
        <v>26406</v>
      </c>
    </row>
    <row r="3028" spans="1:5">
      <c r="A3028" t="s">
        <v>6</v>
      </c>
      <c r="B3028" t="s">
        <v>3033</v>
      </c>
      <c r="C3028">
        <f>HYPERLINK("C:\Users\franc\OneDrive\Documentos\MALENTIN KARIME\Rosa\PROTOCOLIZACIONES\COMITE VILLA ESPERANZA\REPT. 1.509.-.doc", "Abrir Documento")</f>
        <v>0</v>
      </c>
      <c r="D3028" t="s">
        <v>23500</v>
      </c>
      <c r="E3028" t="s">
        <v>26407</v>
      </c>
    </row>
    <row r="3029" spans="1:5">
      <c r="A3029" t="s">
        <v>6</v>
      </c>
      <c r="B3029" t="s">
        <v>3034</v>
      </c>
      <c r="C3029">
        <f>HYPERLINK("C:\Users\franc\OneDrive\Documentos\MALENTIN KARIME\Rosa\PROTOCOLIZACIONES\COMITE VILLA ESPERANZA\REPT. 1.494.-.doc", "Abrir Documento")</f>
        <v>0</v>
      </c>
      <c r="D3029" t="s">
        <v>23500</v>
      </c>
      <c r="E3029" t="s">
        <v>26408</v>
      </c>
    </row>
    <row r="3030" spans="1:5">
      <c r="A3030" t="s">
        <v>6</v>
      </c>
      <c r="B3030" t="s">
        <v>3035</v>
      </c>
      <c r="C3030">
        <f>HYPERLINK("C:\Users\franc\OneDrive\Documentos\MALENTIN KARIME\Rosa\PROTOCOLIZACIONES\COMITE VILLA ESPERANZA\REPT. 1.492.-.doc", "Abrir Documento")</f>
        <v>0</v>
      </c>
      <c r="D3030" t="s">
        <v>23500</v>
      </c>
      <c r="E3030" t="s">
        <v>26409</v>
      </c>
    </row>
    <row r="3031" spans="1:5">
      <c r="A3031" t="s">
        <v>6</v>
      </c>
      <c r="B3031" t="s">
        <v>3036</v>
      </c>
      <c r="C3031">
        <f>HYPERLINK("C:\Users\franc\OneDrive\Documentos\MALENTIN KARIME\Rosa\PROTOCOLIZACIONES\COMITE VILLA ESPERANZA\REPT. 1.493.-.doc", "Abrir Documento")</f>
        <v>0</v>
      </c>
      <c r="D3031" t="s">
        <v>23500</v>
      </c>
      <c r="E3031" t="s">
        <v>26409</v>
      </c>
    </row>
    <row r="3032" spans="1:5">
      <c r="A3032" t="s">
        <v>6</v>
      </c>
      <c r="B3032" t="s">
        <v>3037</v>
      </c>
      <c r="C3032">
        <f>HYPERLINK("C:\Users\franc\OneDrive\Documentos\MALENTIN KARIME\Rosa\PROTOCOLIZACIONES\COMITE VILLA ESPERANZA\REPT. 1.490.-.doc", "Abrir Documento")</f>
        <v>0</v>
      </c>
      <c r="D3032" t="s">
        <v>23500</v>
      </c>
      <c r="E3032" t="s">
        <v>26410</v>
      </c>
    </row>
    <row r="3033" spans="1:5">
      <c r="A3033" t="s">
        <v>6</v>
      </c>
      <c r="B3033" t="s">
        <v>3038</v>
      </c>
      <c r="C3033">
        <f>HYPERLINK("C:\Users\franc\OneDrive\Documentos\MALENTIN KARIME\Rosa\PROTOCOLIZACIONES\COMITE VILLA ESPERANZA\REPT. 1.491.-.doc", "Abrir Documento")</f>
        <v>0</v>
      </c>
      <c r="D3033" t="s">
        <v>23500</v>
      </c>
      <c r="E3033" t="s">
        <v>26410</v>
      </c>
    </row>
    <row r="3034" spans="1:5">
      <c r="A3034" t="s">
        <v>6</v>
      </c>
      <c r="B3034" t="s">
        <v>3039</v>
      </c>
      <c r="C3034">
        <f>HYPERLINK("C:\Users\franc\OneDrive\Documentos\MALENTIN KARIME\Rosa\PROTOCOLIZACIONES\COMITE VILLA ESPERANZA\REPT. 1.488.-.doc", "Abrir Documento")</f>
        <v>0</v>
      </c>
      <c r="D3034" t="s">
        <v>23500</v>
      </c>
      <c r="E3034" t="s">
        <v>26411</v>
      </c>
    </row>
    <row r="3035" spans="1:5">
      <c r="A3035" t="s">
        <v>6</v>
      </c>
      <c r="B3035" t="s">
        <v>3040</v>
      </c>
      <c r="C3035">
        <f>HYPERLINK("C:\Users\franc\OneDrive\Documentos\MALENTIN KARIME\Rosa\PROTOCOLIZACIONES\COMITE VILLA ESPERANZA\REPT. 1.489.-.doc", "Abrir Documento")</f>
        <v>0</v>
      </c>
      <c r="D3035" t="s">
        <v>23500</v>
      </c>
      <c r="E3035" t="s">
        <v>26411</v>
      </c>
    </row>
    <row r="3036" spans="1:5">
      <c r="A3036" t="s">
        <v>6</v>
      </c>
      <c r="B3036" t="s">
        <v>3041</v>
      </c>
      <c r="C3036">
        <f>HYPERLINK("C:\Users\franc\OneDrive\Documentos\MALENTIN KARIME\Rosa\PROTOCOLIZACIONES\COMITE VILLA ESPERANZA\REPT. 1.487.-.doc", "Abrir Documento")</f>
        <v>0</v>
      </c>
      <c r="D3036" t="s">
        <v>23500</v>
      </c>
      <c r="E3036" t="s">
        <v>26412</v>
      </c>
    </row>
    <row r="3037" spans="1:5">
      <c r="A3037" t="s">
        <v>6</v>
      </c>
      <c r="B3037" t="s">
        <v>3042</v>
      </c>
      <c r="C3037">
        <f>HYPERLINK("C:\Users\franc\OneDrive\Documentos\MALENTIN KARIME\Rosa\PROTOCOLIZACIONES\COMITE VILLA ESPERANZA\REPT. 1.484.-.doc", "Abrir Documento")</f>
        <v>0</v>
      </c>
      <c r="D3037" t="s">
        <v>23500</v>
      </c>
      <c r="E3037" t="s">
        <v>26413</v>
      </c>
    </row>
    <row r="3038" spans="1:5">
      <c r="A3038" t="s">
        <v>6</v>
      </c>
      <c r="B3038" t="s">
        <v>3043</v>
      </c>
      <c r="C3038">
        <f>HYPERLINK("C:\Users\franc\OneDrive\Documentos\MALENTIN KARIME\Rosa\PROTOCOLIZACIONES\COMITE VILLA ESPERANZA\REPT. 1.483.-.doc", "Abrir Documento")</f>
        <v>0</v>
      </c>
      <c r="D3038" t="s">
        <v>23500</v>
      </c>
      <c r="E3038" t="s">
        <v>26414</v>
      </c>
    </row>
    <row r="3039" spans="1:5">
      <c r="A3039" t="s">
        <v>6</v>
      </c>
      <c r="B3039" t="s">
        <v>3044</v>
      </c>
      <c r="C3039">
        <f>HYPERLINK("C:\Users\franc\OneDrive\Documentos\MALENTIN KARIME\Rosa\PROTOCOLIZACIONES\COMITE VILLA ESPERANZA\REPT. 1.482.-.doc", "Abrir Documento")</f>
        <v>0</v>
      </c>
      <c r="D3039" t="s">
        <v>23500</v>
      </c>
      <c r="E3039" t="s">
        <v>26415</v>
      </c>
    </row>
    <row r="3040" spans="1:5">
      <c r="A3040" t="s">
        <v>6</v>
      </c>
      <c r="B3040" t="s">
        <v>3045</v>
      </c>
      <c r="C3040">
        <f>HYPERLINK("C:\Users\franc\OneDrive\Documentos\MALENTIN KARIME\Rosa\PROTOCOLIZACIONES\COMITE VILLA ESPERANZA\REPT. 1.481.-.doc", "Abrir Documento")</f>
        <v>0</v>
      </c>
      <c r="D3040" t="s">
        <v>23500</v>
      </c>
      <c r="E3040" t="s">
        <v>26416</v>
      </c>
    </row>
    <row r="3041" spans="1:5">
      <c r="A3041" t="s">
        <v>6</v>
      </c>
      <c r="B3041" t="s">
        <v>3046</v>
      </c>
      <c r="C3041">
        <f>HYPERLINK("C:\Users\franc\OneDrive\Documentos\MALENTIN KARIME\Rosa\PROTOCOLIZACIONES\COMITE VILLA ESPERANZA\REPT. 1.480.-.doc", "Abrir Documento")</f>
        <v>0</v>
      </c>
      <c r="D3041" t="s">
        <v>23500</v>
      </c>
      <c r="E3041" t="s">
        <v>26417</v>
      </c>
    </row>
    <row r="3042" spans="1:5">
      <c r="A3042" t="s">
        <v>6</v>
      </c>
      <c r="B3042" t="s">
        <v>3047</v>
      </c>
      <c r="C3042">
        <f>HYPERLINK("C:\Users\franc\OneDrive\Documentos\MALENTIN KARIME\Rosa\PROTOCOLIZACIONES\COMITE VILLA ESPERANZA\REPT. 1.478.-.doc", "Abrir Documento")</f>
        <v>0</v>
      </c>
      <c r="D3042" t="s">
        <v>23500</v>
      </c>
      <c r="E3042" t="s">
        <v>26418</v>
      </c>
    </row>
    <row r="3043" spans="1:5">
      <c r="A3043" t="s">
        <v>6</v>
      </c>
      <c r="B3043" t="s">
        <v>3048</v>
      </c>
      <c r="C3043">
        <f>HYPERLINK("C:\Users\franc\OneDrive\Documentos\MALENTIN KARIME\Rosa\PROTOCOLIZACIONES\COMITE VILLA ESPERANZA\REPT. 1.479.-.doc", "Abrir Documento")</f>
        <v>0</v>
      </c>
      <c r="D3043" t="s">
        <v>23500</v>
      </c>
      <c r="E3043" t="s">
        <v>26418</v>
      </c>
    </row>
    <row r="3044" spans="1:5">
      <c r="A3044" t="s">
        <v>6</v>
      </c>
      <c r="B3044" t="s">
        <v>3049</v>
      </c>
      <c r="C3044">
        <f>HYPERLINK("C:\Users\franc\OneDrive\Documentos\MALENTIN KARIME\Rosa\PROTOCOLIZACIONES\COMITE VILLA ESPERANZA\REPT. 1.475.-.doc", "Abrir Documento")</f>
        <v>0</v>
      </c>
      <c r="D3044" t="s">
        <v>23500</v>
      </c>
      <c r="E3044" t="s">
        <v>26419</v>
      </c>
    </row>
    <row r="3045" spans="1:5">
      <c r="A3045" t="s">
        <v>6</v>
      </c>
      <c r="B3045" t="s">
        <v>3050</v>
      </c>
      <c r="C3045">
        <f>HYPERLINK("C:\Users\franc\OneDrive\Documentos\MALENTIN KARIME\Rosa\PROTOCOLIZACIONES\COMITE VILLA ESPERANZA\REPT. 1.476.-.doc", "Abrir Documento")</f>
        <v>0</v>
      </c>
      <c r="D3045" t="s">
        <v>23500</v>
      </c>
      <c r="E3045" t="s">
        <v>26419</v>
      </c>
    </row>
    <row r="3046" spans="1:5">
      <c r="A3046" t="s">
        <v>6</v>
      </c>
      <c r="B3046" t="s">
        <v>3051</v>
      </c>
      <c r="C3046">
        <f>HYPERLINK("C:\Users\franc\OneDrive\Documentos\MALENTIN KARIME\Rosa\PROTOCOLIZACIONES\COMITE VILLA ESPERANZA\REPT. 1.455.-.doc", "Abrir Documento")</f>
        <v>0</v>
      </c>
      <c r="D3046" t="s">
        <v>23500</v>
      </c>
      <c r="E3046" t="s">
        <v>26420</v>
      </c>
    </row>
    <row r="3047" spans="1:5">
      <c r="A3047" t="s">
        <v>6</v>
      </c>
      <c r="B3047" t="s">
        <v>3052</v>
      </c>
      <c r="C3047">
        <f>HYPERLINK("C:\Users\franc\OneDrive\Documentos\MALENTIN KARIME\Rosa\PROTOCOLIZACIONES\COMITE VILLA ESPERANZA\REPT. 1.456.-.doc", "Abrir Documento")</f>
        <v>0</v>
      </c>
      <c r="D3047" t="s">
        <v>23500</v>
      </c>
      <c r="E3047" t="s">
        <v>26420</v>
      </c>
    </row>
    <row r="3048" spans="1:5">
      <c r="A3048" t="s">
        <v>6</v>
      </c>
      <c r="B3048" t="s">
        <v>3053</v>
      </c>
      <c r="C3048">
        <f>HYPERLINK("C:\Users\franc\OneDrive\Documentos\MALENTIN KARIME\Rosa\PROTOCOLIZACIONES\COMITE VILLA ESPERANZA\REPT. 1.453.-.doc", "Abrir Documento")</f>
        <v>0</v>
      </c>
      <c r="D3048" t="s">
        <v>23500</v>
      </c>
      <c r="E3048" t="s">
        <v>26421</v>
      </c>
    </row>
    <row r="3049" spans="1:5">
      <c r="A3049" t="s">
        <v>6</v>
      </c>
      <c r="B3049" t="s">
        <v>3054</v>
      </c>
      <c r="C3049">
        <f>HYPERLINK("C:\Users\franc\OneDrive\Documentos\MALENTIN KARIME\Rosa\PROTOCOLIZACIONES\COMITE VILLA ESPERANZA\REPT. 1.454.doc", "Abrir Documento")</f>
        <v>0</v>
      </c>
      <c r="D3049" t="s">
        <v>23500</v>
      </c>
      <c r="E3049" t="s">
        <v>26421</v>
      </c>
    </row>
    <row r="3050" spans="1:5">
      <c r="A3050" t="s">
        <v>6</v>
      </c>
      <c r="B3050" t="s">
        <v>3055</v>
      </c>
      <c r="C3050">
        <f>HYPERLINK("C:\Users\franc\OneDrive\Documentos\MALENTIN KARIME\Rosa\PROTOCOLIZACIONES\COMITE VILLA ESPERANZA\REPT. 1.452.-.doc", "Abrir Documento")</f>
        <v>0</v>
      </c>
      <c r="D3050" t="s">
        <v>23500</v>
      </c>
      <c r="E3050" t="s">
        <v>26422</v>
      </c>
    </row>
    <row r="3051" spans="1:5">
      <c r="A3051" t="s">
        <v>6</v>
      </c>
      <c r="B3051" t="s">
        <v>3056</v>
      </c>
      <c r="C3051">
        <f>HYPERLINK("C:\Users\franc\OneDrive\Documentos\MALENTIN KARIME\Rosa\PROTOCOLIZACIONES\COMITE VILLA ESPERANZA\REPT. 1.451.-.doc", "Abrir Documento")</f>
        <v>0</v>
      </c>
      <c r="D3051" t="s">
        <v>23500</v>
      </c>
      <c r="E3051" t="s">
        <v>26423</v>
      </c>
    </row>
    <row r="3052" spans="1:5">
      <c r="A3052" t="s">
        <v>6</v>
      </c>
      <c r="B3052" t="s">
        <v>3057</v>
      </c>
      <c r="C3052">
        <f>HYPERLINK("C:\Users\franc\OneDrive\Documentos\MALENTIN KARIME\Rosa\PROTOCOLIZACIONES\COMITE VILLA ESPERANZA\REPT. 1.448.-.doc", "Abrir Documento")</f>
        <v>0</v>
      </c>
      <c r="D3052" t="s">
        <v>23500</v>
      </c>
      <c r="E3052" t="s">
        <v>26424</v>
      </c>
    </row>
    <row r="3053" spans="1:5">
      <c r="A3053" t="s">
        <v>6</v>
      </c>
      <c r="B3053" t="s">
        <v>3058</v>
      </c>
      <c r="C3053">
        <f>HYPERLINK("C:\Users\franc\OneDrive\Documentos\MALENTIN KARIME\Rosa\PROTOCOLIZACIONES\COMITE VILLA ESPERANZA\REPT. 1.450.-.doc", "Abrir Documento")</f>
        <v>0</v>
      </c>
      <c r="D3053" t="s">
        <v>23500</v>
      </c>
      <c r="E3053" t="s">
        <v>26424</v>
      </c>
    </row>
    <row r="3054" spans="1:5">
      <c r="A3054" t="s">
        <v>6</v>
      </c>
      <c r="B3054" t="s">
        <v>3059</v>
      </c>
      <c r="C3054">
        <f>HYPERLINK("C:\Users\franc\OneDrive\Documentos\MALENTIN KARIME\Rosa\PROTOCOLIZACIONES\COMITE VILLA ESPERANZA\REPT. 1.447.-.doc", "Abrir Documento")</f>
        <v>0</v>
      </c>
      <c r="D3054" t="s">
        <v>23500</v>
      </c>
      <c r="E3054" t="s">
        <v>26425</v>
      </c>
    </row>
    <row r="3055" spans="1:5">
      <c r="A3055" t="s">
        <v>6</v>
      </c>
      <c r="B3055" t="s">
        <v>3060</v>
      </c>
      <c r="C3055">
        <f>HYPERLINK("C:\Users\franc\OneDrive\Documentos\MALENTIN KARIME\Rosa\PROTOCOLIZACIONES\COMITE VILLA ESPERANZA\REPT. 1.446.-.doc", "Abrir Documento")</f>
        <v>0</v>
      </c>
      <c r="D3055" t="s">
        <v>23500</v>
      </c>
      <c r="E3055" t="s">
        <v>26426</v>
      </c>
    </row>
    <row r="3056" spans="1:5">
      <c r="A3056" t="s">
        <v>6</v>
      </c>
      <c r="B3056" t="s">
        <v>3061</v>
      </c>
      <c r="C3056">
        <f>HYPERLINK("C:\Users\franc\OneDrive\Documentos\MALENTIN KARIME\Rosa\PROTOCOLIZACIONES\COMITE VILLA ESPERANZA\REPT. 1.445.-.doc", "Abrir Documento")</f>
        <v>0</v>
      </c>
      <c r="D3056" t="s">
        <v>23500</v>
      </c>
      <c r="E3056" t="s">
        <v>26427</v>
      </c>
    </row>
    <row r="3057" spans="1:5">
      <c r="A3057" t="s">
        <v>6</v>
      </c>
      <c r="B3057" t="s">
        <v>3062</v>
      </c>
      <c r="C3057">
        <f>HYPERLINK("C:\Users\franc\OneDrive\Documentos\MALENTIN KARIME\Rosa\PROTOCOLIZACIONES\COMITE VILLA ESPERANZA\REPT. 1.425.doc", "Abrir Documento")</f>
        <v>0</v>
      </c>
      <c r="D3057" t="s">
        <v>23500</v>
      </c>
      <c r="E3057" t="s">
        <v>26428</v>
      </c>
    </row>
    <row r="3058" spans="1:5">
      <c r="A3058" t="s">
        <v>6</v>
      </c>
      <c r="B3058" t="s">
        <v>3063</v>
      </c>
      <c r="C3058">
        <f>HYPERLINK("C:\Users\franc\OneDrive\Documentos\MALENTIN KARIME\Rosa\PROTOCOLIZACIONES\COMITE VILLA ESPERANZA\REPT. 1.444.-.doc", "Abrir Documento")</f>
        <v>0</v>
      </c>
      <c r="D3058" t="s">
        <v>23500</v>
      </c>
      <c r="E3058" t="s">
        <v>26428</v>
      </c>
    </row>
    <row r="3059" spans="1:5">
      <c r="A3059" t="s">
        <v>6</v>
      </c>
      <c r="B3059" t="s">
        <v>3064</v>
      </c>
      <c r="C3059">
        <f>HYPERLINK("C:\Users\franc\OneDrive\Documentos\MALENTIN KARIME\Rosa\PROTOCOLIZACIONES\COMITE VILLA ESPERANZA\COMITE PRO CASA VILLA ESPERANZA simple.doc", "Abrir Documento")</f>
        <v>0</v>
      </c>
      <c r="D3059" t="s">
        <v>23500</v>
      </c>
      <c r="E3059" t="s">
        <v>26429</v>
      </c>
    </row>
    <row r="3060" spans="1:5">
      <c r="A3060" t="s">
        <v>6</v>
      </c>
      <c r="B3060" t="s">
        <v>3065</v>
      </c>
      <c r="C3060">
        <f>HYPERLINK("C:\Users\franc\OneDrive\Documentos\MALENTIN KARIME\Rosa\PROTOCOLIZACIONES\COMITE VILLA ESPERANZA\COMITE PRO CASA VILLA ESPERANZA varios.doc", "Abrir Documento")</f>
        <v>0</v>
      </c>
      <c r="D3060" t="s">
        <v>23500</v>
      </c>
      <c r="E3060" t="s">
        <v>26429</v>
      </c>
    </row>
    <row r="3061" spans="1:5">
      <c r="A3061" t="s">
        <v>6</v>
      </c>
      <c r="B3061" t="s">
        <v>3066</v>
      </c>
      <c r="C3061">
        <f>HYPERLINK("C:\Users\franc\OneDrive\Documentos\MALENTIN KARIME\Rosa\PROTOCOLIZACIONES\TAXIS COLECTIVOS LINEA 18 Nº3.doc", "Abrir Documento")</f>
        <v>0</v>
      </c>
      <c r="D3061" t="s">
        <v>23500</v>
      </c>
      <c r="E3061" t="s">
        <v>26430</v>
      </c>
    </row>
    <row r="3062" spans="1:5">
      <c r="A3062" t="s">
        <v>6</v>
      </c>
      <c r="B3062" t="s">
        <v>3067</v>
      </c>
      <c r="C3062">
        <f>HYPERLINK("C:\Users\franc\OneDrive\Documentos\MALENTIN KARIME\Rosa\PROTOCOLIZACIONES\TAXIS COLECTIVOS LINEA 18 Nº2.doc", "Abrir Documento")</f>
        <v>0</v>
      </c>
      <c r="D3062" t="s">
        <v>23500</v>
      </c>
      <c r="E3062" t="s">
        <v>26431</v>
      </c>
    </row>
    <row r="3063" spans="1:5">
      <c r="A3063" t="s">
        <v>6</v>
      </c>
      <c r="B3063" t="s">
        <v>3068</v>
      </c>
      <c r="C3063">
        <f>HYPERLINK("C:\Users\franc\OneDrive\Documentos\MALENTIN KARIME\Rosa\PROTOCOLIZACIONES\TAXIS COLECTIVOS LINEA 18 Nº1.doc", "Abrir Documento")</f>
        <v>0</v>
      </c>
      <c r="D3063" t="s">
        <v>23500</v>
      </c>
      <c r="E3063" t="s">
        <v>26432</v>
      </c>
    </row>
    <row r="3064" spans="1:5">
      <c r="A3064" t="s">
        <v>6</v>
      </c>
      <c r="B3064" t="s">
        <v>3069</v>
      </c>
      <c r="C3064">
        <f>HYPERLINK("C:\Users\franc\OneDrive\Documentos\MALENTIN KARIME\Rosa\PROTOCOLIZACIONES\SOCIEDAD AGRICOLA CARACHILLA Y TAMELCURA LTDA..doc", "Abrir Documento")</f>
        <v>0</v>
      </c>
      <c r="D3064" t="s">
        <v>23500</v>
      </c>
      <c r="E3064" t="s">
        <v>26433</v>
      </c>
    </row>
    <row r="3065" spans="1:5">
      <c r="A3065" t="s">
        <v>6</v>
      </c>
      <c r="B3065" t="s">
        <v>3070</v>
      </c>
      <c r="C3065">
        <f>HYPERLINK("C:\Users\franc\OneDrive\Documentos\MALENTIN KARIME\Rosa\PROTOCOLIZACIONES\SOCIEDAD DE VERANEO PACIFICO LTDA..doc", "Abrir Documento")</f>
        <v>0</v>
      </c>
      <c r="D3065" t="s">
        <v>23500</v>
      </c>
      <c r="E3065" t="s">
        <v>26433</v>
      </c>
    </row>
    <row r="3066" spans="1:5">
      <c r="A3066" t="s">
        <v>6</v>
      </c>
      <c r="B3066" t="s">
        <v>3071</v>
      </c>
      <c r="C3066">
        <f>HYPERLINK("C:\Users\franc\OneDrive\Documentos\MALENTIN KARIME\Rosa\PROTOCOLIZACIONES\SOC. AGRICOLA E INDUSTRIAL AJIAL DE QUILES.doc", "Abrir Documento")</f>
        <v>0</v>
      </c>
      <c r="D3066" t="s">
        <v>23500</v>
      </c>
      <c r="E3066" t="s">
        <v>26434</v>
      </c>
    </row>
    <row r="3067" spans="1:5">
      <c r="A3067" t="s">
        <v>6</v>
      </c>
      <c r="B3067" t="s">
        <v>3072</v>
      </c>
      <c r="C3067">
        <f>HYPERLINK("C:\Users\franc\OneDrive\Documentos\MALENTIN KARIME\Rosa\PROTOCOLIZACIONES\SOC. AGRICOLA E INDUSTRIAL AJIAL DE QUILES 2.doc", "Abrir Documento")</f>
        <v>0</v>
      </c>
      <c r="D3067" t="s">
        <v>23500</v>
      </c>
      <c r="E3067" t="s">
        <v>26435</v>
      </c>
    </row>
    <row r="3068" spans="1:5">
      <c r="A3068" t="s">
        <v>6</v>
      </c>
      <c r="B3068" t="s">
        <v>3073</v>
      </c>
      <c r="C3068">
        <f>HYPERLINK("C:\Users\franc\OneDrive\Documentos\MALENTIN KARIME\Rosa\PROTOCOLIZACIONES\SINDICATO  PROF. DE GARZONES.doc", "Abrir Documento")</f>
        <v>0</v>
      </c>
      <c r="D3068" t="s">
        <v>23500</v>
      </c>
      <c r="E3068" t="s">
        <v>26436</v>
      </c>
    </row>
    <row r="3069" spans="1:5">
      <c r="A3069" t="s">
        <v>6</v>
      </c>
      <c r="B3069" t="s">
        <v>3074</v>
      </c>
      <c r="C3069">
        <f>HYPERLINK("C:\Users\franc\OneDrive\Documentos\MALENTIN KARIME\Rosa\PROTOCOLIZACIONES\RECTIFICACION INVENTARIO PEDRO NOLASCO V..doc", "Abrir Documento")</f>
        <v>0</v>
      </c>
      <c r="D3069" t="s">
        <v>23500</v>
      </c>
      <c r="E3069" t="s">
        <v>26437</v>
      </c>
    </row>
    <row r="3070" spans="1:5">
      <c r="A3070" t="s">
        <v>6</v>
      </c>
      <c r="B3070" t="s">
        <v>3075</v>
      </c>
      <c r="C3070">
        <f>HYPERLINK("C:\Users\franc\OneDrive\Documentos\MALENTIN KARIME\Rosa\PROTOCOLIZACIONES\PROTOCOLIZACION COMITE VILLA ESPERANZA.doc", "Abrir Documento")</f>
        <v>0</v>
      </c>
      <c r="D3070" t="s">
        <v>23500</v>
      </c>
      <c r="E3070" t="s">
        <v>26438</v>
      </c>
    </row>
    <row r="3071" spans="1:5">
      <c r="A3071" t="s">
        <v>6</v>
      </c>
      <c r="B3071" t="s">
        <v>3076</v>
      </c>
      <c r="C3071">
        <f>HYPERLINK("C:\Users\franc\OneDrive\Documentos\MALENTIN KARIME\Rosa\PROTOCOLIZACIONES\PROTOCOLIZACION SUBSIDIO.doc", "Abrir Documento")</f>
        <v>0</v>
      </c>
      <c r="D3071" t="s">
        <v>23500</v>
      </c>
      <c r="E3071" t="s">
        <v>26438</v>
      </c>
    </row>
    <row r="3072" spans="1:5">
      <c r="A3072" t="s">
        <v>6</v>
      </c>
      <c r="B3072" t="s">
        <v>3077</v>
      </c>
      <c r="C3072">
        <f>HYPERLINK("C:\Users\franc\OneDrive\Documentos\MALENTIN KARIME\Rosa\PROTOCOLIZACIONES\PRENDA AGRA. INDAP A OSCAR BUGUEÑO BUGUEÑO.doc", "Abrir Documento")</f>
        <v>0</v>
      </c>
      <c r="D3072" t="s">
        <v>23500</v>
      </c>
      <c r="E3072" t="s">
        <v>26439</v>
      </c>
    </row>
    <row r="3073" spans="1:5">
      <c r="A3073" t="s">
        <v>6</v>
      </c>
      <c r="B3073" t="s">
        <v>3078</v>
      </c>
      <c r="C3073">
        <f>HYPERLINK("C:\Users\franc\OneDrive\Documentos\MALENTIN KARIME\Rosa\PROTOCOLIZACIONES\PRENDA AGRA. INDAP A ANDRES DIAZ CORTES.doc", "Abrir Documento")</f>
        <v>0</v>
      </c>
      <c r="D3073" t="s">
        <v>23500</v>
      </c>
      <c r="E3073" t="s">
        <v>26440</v>
      </c>
    </row>
    <row r="3074" spans="1:5">
      <c r="A3074" t="s">
        <v>6</v>
      </c>
      <c r="B3074" t="s">
        <v>3079</v>
      </c>
      <c r="C3074">
        <f>HYPERLINK("C:\Users\franc\OneDrive\Documentos\MALENTIN KARIME\Rosa\PROTOCOLIZACIONES\PODER ESPECIAL.doc", "Abrir Documento")</f>
        <v>0</v>
      </c>
      <c r="D3074" t="s">
        <v>23500</v>
      </c>
      <c r="E3074" t="s">
        <v>26441</v>
      </c>
    </row>
    <row r="3075" spans="1:5">
      <c r="A3075" t="s">
        <v>6</v>
      </c>
      <c r="B3075" t="s">
        <v>3080</v>
      </c>
      <c r="C3075">
        <f>HYPERLINK("C:\Users\franc\OneDrive\Documentos\MALENTIN KARIME\Rosa\PROTOCOLIZACIONES\PRENDA AGRA. DOLE CHILE A AG. LLANO NEGRO-teresita.doc", "Abrir Documento")</f>
        <v>0</v>
      </c>
      <c r="D3075" t="s">
        <v>23500</v>
      </c>
      <c r="E3075" t="s">
        <v>26441</v>
      </c>
    </row>
    <row r="3076" spans="1:5">
      <c r="A3076" t="s">
        <v>6</v>
      </c>
      <c r="B3076" t="s">
        <v>3081</v>
      </c>
      <c r="C3076">
        <f>HYPERLINK("C:\Users\franc\OneDrive\Documentos\MALENTIN KARIME\Rosa\PROTOCOLIZACIONES\MOD. CONTRATO REPOSICION ESCUELA LUCIA NUNEZ LA TORRE OVALLE.doc", "Abrir Documento")</f>
        <v>0</v>
      </c>
      <c r="D3076" t="s">
        <v>23500</v>
      </c>
      <c r="E3076" t="s">
        <v>26442</v>
      </c>
    </row>
    <row r="3077" spans="1:5">
      <c r="A3077" t="s">
        <v>6</v>
      </c>
      <c r="B3077" t="s">
        <v>3082</v>
      </c>
      <c r="C3077">
        <f>HYPERLINK("C:\Users\franc\OneDrive\Documentos\MALENTIN KARIME\Rosa\PROTOCOLIZACIONES\NICOLAS GARCIA GARCIA.doc", "Abrir Documento")</f>
        <v>0</v>
      </c>
      <c r="D3077" t="s">
        <v>23500</v>
      </c>
      <c r="E3077" t="s">
        <v>26442</v>
      </c>
    </row>
    <row r="3078" spans="1:5">
      <c r="A3078" t="s">
        <v>6</v>
      </c>
      <c r="B3078" t="s">
        <v>3083</v>
      </c>
      <c r="C3078">
        <f>HYPERLINK("C:\Users\franc\OneDrive\Documentos\MALENTIN KARIME\Rosa\PROTOCOLIZACIONES\MEJORAMIENTO AGUA POTABLE COLLIGUAY, LLIMPO, MANQUEHUEA Y MEDIA LUNA.doc", "Abrir Documento")</f>
        <v>0</v>
      </c>
      <c r="D3078" t="s">
        <v>23500</v>
      </c>
      <c r="E3078" t="s">
        <v>26443</v>
      </c>
    </row>
    <row r="3079" spans="1:5">
      <c r="A3079" t="s">
        <v>6</v>
      </c>
      <c r="B3079" t="s">
        <v>3084</v>
      </c>
      <c r="C3079">
        <f>HYPERLINK("C:\Users\franc\OneDrive\Documentos\MALENTIN KARIME\Rosa\PROTOCOLIZACIONES\MANDATO MARIA MALEBRAN.doc", "Abrir Documento")</f>
        <v>0</v>
      </c>
      <c r="D3079" t="s">
        <v>23500</v>
      </c>
      <c r="E3079" t="s">
        <v>26444</v>
      </c>
    </row>
    <row r="3080" spans="1:5">
      <c r="A3080" t="s">
        <v>6</v>
      </c>
      <c r="B3080" t="s">
        <v>3085</v>
      </c>
      <c r="C3080">
        <f>HYPERLINK("C:\Users\franc\OneDrive\Documentos\MALENTIN KARIME\Rosa\PROTOCOLIZACIONES\MANDATO CARMEN SANTELICES MARTINEZ.doc", "Abrir Documento")</f>
        <v>0</v>
      </c>
      <c r="D3080" t="s">
        <v>23500</v>
      </c>
      <c r="E3080" t="s">
        <v>26445</v>
      </c>
    </row>
    <row r="3081" spans="1:5">
      <c r="A3081" t="s">
        <v>6</v>
      </c>
      <c r="B3081" t="s">
        <v>3086</v>
      </c>
      <c r="C3081">
        <f>HYPERLINK("C:\Users\franc\OneDrive\Documentos\MALENTIN KARIME\Rosa\PROTOCOLIZACIONES\JUNTA DE VIGILANCIA RIO RAPEL Y AFLUENTES ACTA 274.doc", "Abrir Documento")</f>
        <v>0</v>
      </c>
      <c r="D3081" t="s">
        <v>23500</v>
      </c>
      <c r="E3081" t="s">
        <v>26446</v>
      </c>
    </row>
    <row r="3082" spans="1:5">
      <c r="A3082" t="s">
        <v>6</v>
      </c>
      <c r="B3082" t="s">
        <v>3087</v>
      </c>
      <c r="C3082">
        <f>HYPERLINK("C:\Users\franc\OneDrive\Documentos\MALENTIN KARIME\Rosa\PROTOCOLIZACIONES\JUNTA DE VIGILANCIA RIO RAPEL Y AFLUENTES ACTA 265.doc", "Abrir Documento")</f>
        <v>0</v>
      </c>
      <c r="D3082" t="s">
        <v>23500</v>
      </c>
      <c r="E3082" t="s">
        <v>26447</v>
      </c>
    </row>
    <row r="3083" spans="1:5">
      <c r="A3083" t="s">
        <v>6</v>
      </c>
      <c r="B3083" t="s">
        <v>3088</v>
      </c>
      <c r="C3083">
        <f>HYPERLINK("C:\Users\franc\OneDrive\Documentos\MALENTIN KARIME\Rosa\PROTOCOLIZACIONES\JUNTA DE VECINOS VILLA EL LIBERTADOR.doc", "Abrir Documento")</f>
        <v>0</v>
      </c>
      <c r="D3083" t="s">
        <v>23500</v>
      </c>
      <c r="E3083" t="s">
        <v>26448</v>
      </c>
    </row>
    <row r="3084" spans="1:5">
      <c r="A3084" t="s">
        <v>6</v>
      </c>
      <c r="B3084" t="s">
        <v>3089</v>
      </c>
      <c r="C3084">
        <f>HYPERLINK("C:\Users\franc\OneDrive\Documentos\MALENTIN KARIME\Rosa\PROTOCOLIZACIONES\JUAN MIRANDA MIRANDA.doc", "Abrir Documento")</f>
        <v>0</v>
      </c>
      <c r="D3084" t="s">
        <v>23500</v>
      </c>
      <c r="E3084" t="s">
        <v>26449</v>
      </c>
    </row>
    <row r="3085" spans="1:5">
      <c r="A3085" t="s">
        <v>6</v>
      </c>
      <c r="B3085" t="s">
        <v>3090</v>
      </c>
      <c r="C3085">
        <f>HYPERLINK("C:\Users\franc\OneDrive\Documentos\MALENTIN KARIME\Rosa\PROTOCOLIZACIONES\JUNTA DE VECINOS PUNILLA.doc", "Abrir Documento")</f>
        <v>0</v>
      </c>
      <c r="D3085" t="s">
        <v>23500</v>
      </c>
      <c r="E3085" t="s">
        <v>26449</v>
      </c>
    </row>
    <row r="3086" spans="1:5">
      <c r="A3086" t="s">
        <v>6</v>
      </c>
      <c r="B3086" t="s">
        <v>3091</v>
      </c>
      <c r="C3086">
        <f>HYPERLINK("C:\Users\franc\OneDrive\Documentos\MALENTIN KARIME\Rosa\PROTOCOLIZACIONES\JORGE CASANGA CASANGA.doc", "Abrir Documento")</f>
        <v>0</v>
      </c>
      <c r="D3086" t="s">
        <v>23500</v>
      </c>
      <c r="E3086" t="s">
        <v>26450</v>
      </c>
    </row>
    <row r="3087" spans="1:5">
      <c r="A3087" t="s">
        <v>6</v>
      </c>
      <c r="B3087" t="s">
        <v>3092</v>
      </c>
      <c r="C3087">
        <f>HYPERLINK("C:\Users\franc\OneDrive\Documentos\MALENTIN KARIME\Rosa\PROTOCOLIZACIONES\inventario MARIA BUGUEÑO.doc", "Abrir Documento")</f>
        <v>0</v>
      </c>
      <c r="D3087" t="s">
        <v>23500</v>
      </c>
      <c r="E3087" t="s">
        <v>26451</v>
      </c>
    </row>
    <row r="3088" spans="1:5">
      <c r="A3088" t="s">
        <v>6</v>
      </c>
      <c r="B3088" t="s">
        <v>3093</v>
      </c>
      <c r="C3088">
        <f>HYPERLINK("C:\Users\franc\OneDrive\Documentos\MALENTIN KARIME\Rosa\PROTOCOLIZACIONES\INVENTARIO PAULINA IRIARTE ANDRADES.doc", "Abrir Documento")</f>
        <v>0</v>
      </c>
      <c r="D3088" t="s">
        <v>23500</v>
      </c>
      <c r="E3088" t="s">
        <v>26451</v>
      </c>
    </row>
    <row r="3089" spans="1:5">
      <c r="A3089" t="s">
        <v>6</v>
      </c>
      <c r="B3089" t="s">
        <v>3094</v>
      </c>
      <c r="C3089">
        <f>HYPERLINK("C:\Users\franc\OneDrive\Documentos\MALENTIN KARIME\Rosa\PROTOCOLIZACIONES\INVENTARIO LILIANA GONZALEZ WENTZELL.doc", "Abrir Documento")</f>
        <v>0</v>
      </c>
      <c r="D3089" t="s">
        <v>23500</v>
      </c>
      <c r="E3089" t="s">
        <v>26452</v>
      </c>
    </row>
    <row r="3090" spans="1:5">
      <c r="A3090" t="s">
        <v>6</v>
      </c>
      <c r="B3090" t="s">
        <v>3095</v>
      </c>
      <c r="C3090">
        <f>HYPERLINK("C:\Users\franc\OneDrive\Documentos\MALENTIN KARIME\Rosa\PROTOCOLIZACIONES\INVENTARIO HILDA MARTINEZ GALLARDO.doc", "Abrir Documento")</f>
        <v>0</v>
      </c>
      <c r="D3090" t="s">
        <v>23500</v>
      </c>
      <c r="E3090" t="s">
        <v>26453</v>
      </c>
    </row>
    <row r="3091" spans="1:5">
      <c r="A3091" t="s">
        <v>6</v>
      </c>
      <c r="B3091" t="s">
        <v>3096</v>
      </c>
      <c r="C3091">
        <f>HYPERLINK("C:\Users\franc\OneDrive\Documentos\MALENTIN KARIME\Rosa\PROTOCOLIZACIONES\inventario JUAN ARAYA ARAYA.doc", "Abrir Documento")</f>
        <v>0</v>
      </c>
      <c r="D3091" t="s">
        <v>23500</v>
      </c>
      <c r="E3091" t="s">
        <v>26453</v>
      </c>
    </row>
    <row r="3092" spans="1:5">
      <c r="A3092" t="s">
        <v>6</v>
      </c>
      <c r="B3092" t="s">
        <v>3097</v>
      </c>
      <c r="C3092">
        <f>HYPERLINK("C:\Users\franc\OneDrive\Documentos\MALENTIN KARIME\Rosa\PROTOCOLIZACIONES\HUGO VARELA VARELA (ALZA. Y CANCE. HIPOT.).doc", "Abrir Documento")</f>
        <v>0</v>
      </c>
      <c r="D3092" t="s">
        <v>23500</v>
      </c>
      <c r="E3092" t="s">
        <v>26454</v>
      </c>
    </row>
    <row r="3093" spans="1:5">
      <c r="A3093" t="s">
        <v>6</v>
      </c>
      <c r="B3093" t="s">
        <v>3098</v>
      </c>
      <c r="C3093">
        <f>HYPERLINK("C:\Users\franc\OneDrive\Documentos\MALENTIN KARIME\Rosa\PROTOCOLIZACIONES\INVENTARIO DANIEL CORTES CASTILLO.doc", "Abrir Documento")</f>
        <v>0</v>
      </c>
      <c r="D3093" t="s">
        <v>23500</v>
      </c>
      <c r="E3093" t="s">
        <v>26454</v>
      </c>
    </row>
    <row r="3094" spans="1:5">
      <c r="A3094" t="s">
        <v>6</v>
      </c>
      <c r="B3094" t="s">
        <v>3099</v>
      </c>
      <c r="C3094">
        <f>HYPERLINK("C:\Users\franc\OneDrive\Documentos\MALENTIN KARIME\Rosa\PROTOCOLIZACIONES\FOTOCOPIA SIMPLE ACTA COMITE AGUA POTAB. SAMO BAJO.doc", "Abrir Documento")</f>
        <v>0</v>
      </c>
      <c r="D3094" t="s">
        <v>23500</v>
      </c>
      <c r="E3094" t="s">
        <v>26455</v>
      </c>
    </row>
    <row r="3095" spans="1:5">
      <c r="A3095" t="s">
        <v>6</v>
      </c>
      <c r="B3095" t="s">
        <v>3100</v>
      </c>
      <c r="C3095">
        <f>HYPERLINK("C:\Users\franc\OneDrive\Documentos\MALENTIN KARIME\Rosa\PROTOCOLIZACIONES\ESATATUTOS COM. AGRICOLA Y GANAD. INGA PICHASCA.doc", "Abrir Documento")</f>
        <v>0</v>
      </c>
      <c r="D3095" t="s">
        <v>23500</v>
      </c>
      <c r="E3095" t="s">
        <v>26456</v>
      </c>
    </row>
    <row r="3096" spans="1:5">
      <c r="A3096" t="s">
        <v>6</v>
      </c>
      <c r="B3096" t="s">
        <v>3101</v>
      </c>
      <c r="C3096">
        <f>HYPERLINK("C:\Users\franc\OneDrive\Documentos\MALENTIN KARIME\Rosa\PROTOCOLIZACIONES\EMPRESARIOS TRANSPORTE LOC. COLECTIVA ETRALCO S.A..doc", "Abrir Documento")</f>
        <v>0</v>
      </c>
      <c r="D3096" t="s">
        <v>23500</v>
      </c>
      <c r="E3096" t="s">
        <v>26457</v>
      </c>
    </row>
    <row r="3097" spans="1:5">
      <c r="A3097" t="s">
        <v>6</v>
      </c>
      <c r="B3097" t="s">
        <v>3102</v>
      </c>
      <c r="C3097">
        <f>HYPERLINK("C:\Users\franc\OneDrive\Documentos\MALENTIN KARIME\Rosa\PROTOCOLIZACIONES\EMILIO MUÑOZ ALZA. Y CANCEL. HIPOTECA.doc", "Abrir Documento")</f>
        <v>0</v>
      </c>
      <c r="D3097" t="s">
        <v>23500</v>
      </c>
      <c r="E3097" t="s">
        <v>26458</v>
      </c>
    </row>
    <row r="3098" spans="1:5">
      <c r="A3098" t="s">
        <v>6</v>
      </c>
      <c r="B3098" t="s">
        <v>3103</v>
      </c>
      <c r="C3098">
        <f>HYPERLINK("C:\Users\franc\OneDrive\Documentos\MALENTIN KARIME\Rosa\PROTOCOLIZACIONES\EMBALSE PALOMA AMABLE BARRAZA.doc", "Abrir Documento")</f>
        <v>0</v>
      </c>
      <c r="D3098" t="s">
        <v>23500</v>
      </c>
      <c r="E3098" t="s">
        <v>26459</v>
      </c>
    </row>
    <row r="3099" spans="1:5">
      <c r="A3099" t="s">
        <v>6</v>
      </c>
      <c r="B3099" t="s">
        <v>3104</v>
      </c>
      <c r="C3099">
        <f>HYPERLINK("C:\Users\franc\OneDrive\Documentos\MALENTIN KARIME\Rosa\PROTOCOLIZACIONES\DOCUMENTOS VARIOS AGRICOLA E INMOBILIARIA  MARCELO CORRAL LTDA..doc", "Abrir Documento")</f>
        <v>0</v>
      </c>
      <c r="D3099" t="s">
        <v>23500</v>
      </c>
      <c r="E3099" t="s">
        <v>26460</v>
      </c>
    </row>
    <row r="3100" spans="1:5">
      <c r="A3100" t="s">
        <v>6</v>
      </c>
      <c r="B3100" t="s">
        <v>3105</v>
      </c>
      <c r="C3100">
        <f>HYPERLINK("C:\Users\franc\OneDrive\Documentos\MALENTIN KARIME\Rosa\PROTOCOLIZACIONES\DOCUMENTOS VARIOS AGRICOLA LOS LEONES S.A.doc", "Abrir Documento")</f>
        <v>0</v>
      </c>
      <c r="D3100" t="s">
        <v>23500</v>
      </c>
      <c r="E3100" t="s">
        <v>26460</v>
      </c>
    </row>
    <row r="3101" spans="1:5">
      <c r="A3101" t="s">
        <v>6</v>
      </c>
      <c r="B3101" t="s">
        <v>3106</v>
      </c>
      <c r="C3101">
        <f>HYPERLINK("C:\Users\franc\OneDrive\Documentos\MALENTIN KARIME\Rosa\PROTOCOLIZACIONES\DECLARACION JURADA LUIS VALDES.doc", "Abrir Documento")</f>
        <v>0</v>
      </c>
      <c r="D3101" t="s">
        <v>23500</v>
      </c>
      <c r="E3101" t="s">
        <v>26461</v>
      </c>
    </row>
    <row r="3102" spans="1:5">
      <c r="A3102" t="s">
        <v>6</v>
      </c>
      <c r="B3102" t="s">
        <v>3107</v>
      </c>
      <c r="C3102">
        <f>HYPERLINK("C:\Users\franc\OneDrive\Documentos\MALENTIN KARIME\Rosa\PROTOCOLIZACIONES\CONTRATO PROPUESTA PUBLICA.doc", "Abrir Documento")</f>
        <v>0</v>
      </c>
      <c r="D3102" t="s">
        <v>23500</v>
      </c>
      <c r="E3102" t="s">
        <v>26462</v>
      </c>
    </row>
    <row r="3103" spans="1:5">
      <c r="A3103" t="s">
        <v>6</v>
      </c>
      <c r="B3103" t="s">
        <v>3108</v>
      </c>
      <c r="C3103">
        <f>HYPERLINK("C:\Users\franc\OneDrive\Documentos\MALENTIN KARIME\Rosa\PROTOCOLIZACIONES\CONTRATO DE EJECUCION JUAN CORTES MERCADO.doc", "Abrir Documento")</f>
        <v>0</v>
      </c>
      <c r="D3103" t="s">
        <v>23500</v>
      </c>
      <c r="E3103" t="s">
        <v>26463</v>
      </c>
    </row>
    <row r="3104" spans="1:5">
      <c r="A3104" t="s">
        <v>6</v>
      </c>
      <c r="B3104" t="s">
        <v>3109</v>
      </c>
      <c r="C3104">
        <f>HYPERLINK("C:\Users\franc\OneDrive\Documentos\MALENTIN KARIME\Rosa\PROTOCOLIZACIONES\CONTRATO AGENCIA CATALEJO S.A..doc", "Abrir Documento")</f>
        <v>0</v>
      </c>
      <c r="D3104" t="s">
        <v>23500</v>
      </c>
      <c r="E3104" t="s">
        <v>26464</v>
      </c>
    </row>
    <row r="3105" spans="1:5">
      <c r="A3105" t="s">
        <v>6</v>
      </c>
      <c r="B3105" t="s">
        <v>3110</v>
      </c>
      <c r="C3105">
        <f>HYPERLINK("C:\Users\franc\OneDrive\Documentos\MALENTIN KARIME\Rosa\PROTOCOLIZACIONES\CONTRATO DE EJECUCION JUAN CORTES MERCADO 2.doc", "Abrir Documento")</f>
        <v>0</v>
      </c>
      <c r="D3105" t="s">
        <v>23500</v>
      </c>
      <c r="E3105" t="s">
        <v>26464</v>
      </c>
    </row>
    <row r="3106" spans="1:5">
      <c r="A3106" t="s">
        <v>6</v>
      </c>
      <c r="B3106" t="s">
        <v>3111</v>
      </c>
      <c r="C3106">
        <f>HYPERLINK("C:\Users\franc\OneDrive\Documentos\MALENTIN KARIME\Rosa\PROTOCOLIZACIONES\COMUNIDAD EL ESPINAL DE SAN PEDRO.doc", "Abrir Documento")</f>
        <v>0</v>
      </c>
      <c r="D3106" t="s">
        <v>23500</v>
      </c>
      <c r="E3106" t="s">
        <v>26465</v>
      </c>
    </row>
    <row r="3107" spans="1:5">
      <c r="A3107" t="s">
        <v>6</v>
      </c>
      <c r="B3107" t="s">
        <v>3112</v>
      </c>
      <c r="C3107">
        <f>HYPERLINK("C:\Users\franc\OneDrive\Documentos\MALENTIN KARIME\Rosa\PROTOCOLIZACIONES\COMUNIDADA REGANTE EL RINCON.doc", "Abrir Documento")</f>
        <v>0</v>
      </c>
      <c r="D3107" t="s">
        <v>23500</v>
      </c>
      <c r="E3107" t="s">
        <v>26465</v>
      </c>
    </row>
    <row r="3108" spans="1:5">
      <c r="A3108" t="s">
        <v>6</v>
      </c>
      <c r="B3108" t="s">
        <v>3113</v>
      </c>
      <c r="C3108">
        <f>HYPERLINK("C:\Users\franc\OneDrive\Documentos\MALENTIN KARIME\Rosa\PROTOCOLIZACIONES\COMUNIDAD CHILECITO ACTA FS. 89.doc", "Abrir Documento")</f>
        <v>0</v>
      </c>
      <c r="D3108" t="s">
        <v>23500</v>
      </c>
      <c r="E3108" t="s">
        <v>26466</v>
      </c>
    </row>
    <row r="3109" spans="1:5">
      <c r="A3109" t="s">
        <v>6</v>
      </c>
      <c r="B3109" t="s">
        <v>3114</v>
      </c>
      <c r="C3109">
        <f>HYPERLINK("C:\Users\franc\OneDrive\Documentos\MALENTIN KARIME\Rosa\PROTOCOLIZACIONES\COMUNIDAD CHILECITO ACTA FS.91.doc", "Abrir Documento")</f>
        <v>0</v>
      </c>
      <c r="D3109" t="s">
        <v>23500</v>
      </c>
      <c r="E3109" t="s">
        <v>26466</v>
      </c>
    </row>
    <row r="3110" spans="1:5">
      <c r="A3110" t="s">
        <v>6</v>
      </c>
      <c r="B3110" t="s">
        <v>3115</v>
      </c>
      <c r="C3110">
        <f>HYPERLINK("C:\Users\franc\OneDrive\Documentos\MALENTIN KARIME\Rosa\PROTOCOLIZACIONES\COMUNIDAD CHILECITO ACTA FOS. 87.doc", "Abrir Documento")</f>
        <v>0</v>
      </c>
      <c r="D3110" t="s">
        <v>23500</v>
      </c>
      <c r="E3110" t="s">
        <v>26467</v>
      </c>
    </row>
    <row r="3111" spans="1:5">
      <c r="A3111" t="s">
        <v>6</v>
      </c>
      <c r="B3111" t="s">
        <v>3116</v>
      </c>
      <c r="C3111">
        <f>HYPERLINK("C:\Users\franc\OneDrive\Documentos\MALENTIN KARIME\Rosa\PROTOCOLIZACIONES\COMUNIDAD ALCONES SR. JUAN CARLOS2.doc", "Abrir Documento")</f>
        <v>0</v>
      </c>
      <c r="D3111" t="s">
        <v>23500</v>
      </c>
      <c r="E3111" t="s">
        <v>26468</v>
      </c>
    </row>
    <row r="3112" spans="1:5">
      <c r="A3112" t="s">
        <v>6</v>
      </c>
      <c r="B3112" t="s">
        <v>3117</v>
      </c>
      <c r="C3112">
        <f>HYPERLINK("C:\Users\franc\OneDrive\Documentos\MALENTIN KARIME\Rosa\PROTOCOLIZACIONES\COMUNIDAD ALCONES SR. JUAN CARLOS.doc", "Abrir Documento")</f>
        <v>0</v>
      </c>
      <c r="D3112" t="s">
        <v>23500</v>
      </c>
      <c r="E3112" t="s">
        <v>26469</v>
      </c>
    </row>
    <row r="3113" spans="1:5">
      <c r="A3113" t="s">
        <v>6</v>
      </c>
      <c r="B3113" t="s">
        <v>3118</v>
      </c>
      <c r="C3113">
        <f>HYPERLINK("C:\Users\franc\OneDrive\Documentos\MALENTIN KARIME\Rosa\PROTOCOLIZACIONES\COMUNIDAD ALCONES SR. JUAN CARLOS 15-03-2009.doc", "Abrir Documento")</f>
        <v>0</v>
      </c>
      <c r="D3113" t="s">
        <v>23500</v>
      </c>
      <c r="E3113" t="s">
        <v>26470</v>
      </c>
    </row>
    <row r="3114" spans="1:5">
      <c r="A3114" t="s">
        <v>6</v>
      </c>
      <c r="B3114" t="s">
        <v>3119</v>
      </c>
      <c r="C3114">
        <f>HYPERLINK("C:\Users\franc\OneDrive\Documentos\MALENTIN KARIME\Rosa\PROTOCOLIZACIONES\COMUNIDAD ALCONES SR. JUAN CARLOS marzo 2011.doc", "Abrir Documento")</f>
        <v>0</v>
      </c>
      <c r="D3114" t="s">
        <v>23500</v>
      </c>
      <c r="E3114" t="s">
        <v>26470</v>
      </c>
    </row>
    <row r="3115" spans="1:5">
      <c r="A3115" t="s">
        <v>6</v>
      </c>
      <c r="B3115" t="s">
        <v>3120</v>
      </c>
      <c r="C3115">
        <f>HYPERLINK("C:\Users\franc\OneDrive\Documentos\MALENTIN KARIME\Rosa\PROTOCOLIZACIONES\COMUNIDAD AGRICOLA LOS TRIGOS.doc", "Abrir Documento")</f>
        <v>0</v>
      </c>
      <c r="D3115" t="s">
        <v>23500</v>
      </c>
      <c r="E3115" t="s">
        <v>26471</v>
      </c>
    </row>
    <row r="3116" spans="1:5">
      <c r="A3116" t="s">
        <v>6</v>
      </c>
      <c r="B3116" t="s">
        <v>3121</v>
      </c>
      <c r="C3116">
        <f>HYPERLINK("C:\Users\franc\OneDrive\Documentos\MALENTIN KARIME\Rosa\PROTOCOLIZACIONES\comunidad agrícola TOME ALTO.doc", "Abrir Documento")</f>
        <v>0</v>
      </c>
      <c r="D3116" t="s">
        <v>23500</v>
      </c>
      <c r="E3116" t="s">
        <v>26471</v>
      </c>
    </row>
    <row r="3117" spans="1:5">
      <c r="A3117" t="s">
        <v>6</v>
      </c>
      <c r="B3117" t="s">
        <v>3122</v>
      </c>
      <c r="C3117">
        <f>HYPERLINK("C:\Users\franc\OneDrive\Documentos\MALENTIN KARIME\Rosa\PROTOCOLIZACIONES\COMUNIDAD AGRICOLA LITIPAMPA Combarbalá.doc", "Abrir Documento")</f>
        <v>0</v>
      </c>
      <c r="D3117" t="s">
        <v>23500</v>
      </c>
      <c r="E3117" t="s">
        <v>26472</v>
      </c>
    </row>
    <row r="3118" spans="1:5">
      <c r="A3118" t="s">
        <v>6</v>
      </c>
      <c r="B3118" t="s">
        <v>3123</v>
      </c>
      <c r="C3118">
        <f>HYPERLINK("C:\Users\franc\OneDrive\Documentos\MALENTIN KARIME\Rosa\PROTOCOLIZACIONES\COMUNIDAD AGRICOLA LA RINCONADA DE PUNITAQUI.doc", "Abrir Documento")</f>
        <v>0</v>
      </c>
      <c r="D3118" t="s">
        <v>23500</v>
      </c>
      <c r="E3118" t="s">
        <v>26473</v>
      </c>
    </row>
    <row r="3119" spans="1:5">
      <c r="A3119" t="s">
        <v>6</v>
      </c>
      <c r="B3119" t="s">
        <v>3124</v>
      </c>
      <c r="C3119">
        <f>HYPERLINK("C:\Users\franc\OneDrive\Documentos\MALENTIN KARIME\Rosa\PROTOCOLIZACIONES\COMUNIDAD AGRICOLA INGA PICHASCA sept. 2010.doc", "Abrir Documento")</f>
        <v>0</v>
      </c>
      <c r="D3119" t="s">
        <v>23500</v>
      </c>
      <c r="E3119" t="s">
        <v>26474</v>
      </c>
    </row>
    <row r="3120" spans="1:5">
      <c r="A3120" t="s">
        <v>6</v>
      </c>
      <c r="B3120" t="s">
        <v>3125</v>
      </c>
      <c r="C3120">
        <f>HYPERLINK("C:\Users\franc\OneDrive\Documentos\MALENTIN KARIME\Rosa\PROTOCOLIZACIONES\COMUNIDAD AGRICOLA INGA PICHASCA.doc", "Abrir Documento")</f>
        <v>0</v>
      </c>
      <c r="D3120" t="s">
        <v>23500</v>
      </c>
      <c r="E3120" t="s">
        <v>26474</v>
      </c>
    </row>
    <row r="3121" spans="1:5">
      <c r="A3121" t="s">
        <v>6</v>
      </c>
      <c r="B3121" t="s">
        <v>3126</v>
      </c>
      <c r="C3121">
        <f>HYPERLINK("C:\Users\franc\OneDrive\Documentos\MALENTIN KARIME\Rosa\PROTOCOLIZACIONES\COMUNIDAD AGRICOLA BLAS Y BULRREME.doc", "Abrir Documento")</f>
        <v>0</v>
      </c>
      <c r="D3121" t="s">
        <v>23500</v>
      </c>
      <c r="E3121" t="s">
        <v>26475</v>
      </c>
    </row>
    <row r="3122" spans="1:5">
      <c r="A3122" t="s">
        <v>6</v>
      </c>
      <c r="B3122" t="s">
        <v>3127</v>
      </c>
      <c r="C3122">
        <f>HYPERLINK("C:\Users\franc\OneDrive\Documentos\MALENTIN KARIME\Rosa\PROTOCOLIZACIONES\COMUNIDAD AGRIC EL ALTAR.doc", "Abrir Documento")</f>
        <v>0</v>
      </c>
      <c r="D3122" t="s">
        <v>23500</v>
      </c>
      <c r="E3122" t="s">
        <v>26476</v>
      </c>
    </row>
    <row r="3123" spans="1:5">
      <c r="A3123" t="s">
        <v>6</v>
      </c>
      <c r="B3123" t="s">
        <v>3128</v>
      </c>
      <c r="C3123">
        <f>HYPERLINK("C:\Users\franc\OneDrive\Documentos\MALENTIN KARIME\Rosa\PROTOCOLIZACIONES\COMUNIDAD AGRIC EL DURAZNO.doc", "Abrir Documento")</f>
        <v>0</v>
      </c>
      <c r="D3123" t="s">
        <v>23500</v>
      </c>
      <c r="E3123" t="s">
        <v>26476</v>
      </c>
    </row>
    <row r="3124" spans="1:5">
      <c r="A3124" t="s">
        <v>6</v>
      </c>
      <c r="B3124" t="s">
        <v>3129</v>
      </c>
      <c r="C3124">
        <f>HYPERLINK("C:\Users\franc\OneDrive\Documentos\MALENTIN KARIME\Rosa\PROTOCOLIZACIONES\COMUNIDAD AGRIC EL ALTAR 30-11-2008.doc", "Abrir Documento")</f>
        <v>0</v>
      </c>
      <c r="D3124" t="s">
        <v>23500</v>
      </c>
      <c r="E3124" t="s">
        <v>26477</v>
      </c>
    </row>
    <row r="3125" spans="1:5">
      <c r="A3125" t="s">
        <v>6</v>
      </c>
      <c r="B3125" t="s">
        <v>3130</v>
      </c>
      <c r="C3125">
        <f>HYPERLINK("C:\Users\franc\OneDrive\Documentos\MALENTIN KARIME\Rosa\PROTOCOLIZACIONES\COMUNIDAD AGRIC EL ALTAR 30-11-2008-2010.doc", "Abrir Documento")</f>
        <v>0</v>
      </c>
      <c r="D3125" t="s">
        <v>23500</v>
      </c>
      <c r="E3125" t="s">
        <v>26478</v>
      </c>
    </row>
    <row r="3126" spans="1:5">
      <c r="A3126" t="s">
        <v>6</v>
      </c>
      <c r="B3126" t="s">
        <v>3131</v>
      </c>
      <c r="C3126">
        <f>HYPERLINK("C:\Users\franc\OneDrive\Documentos\MALENTIN KARIME\Rosa\PROTOCOLIZACIONES\COMPRAVENTA ACCIONES DON VALENTINO S.A..doc", "Abrir Documento")</f>
        <v>0</v>
      </c>
      <c r="D3126" t="s">
        <v>23500</v>
      </c>
      <c r="E3126" t="s">
        <v>26479</v>
      </c>
    </row>
    <row r="3127" spans="1:5">
      <c r="A3127" t="s">
        <v>6</v>
      </c>
      <c r="B3127" t="s">
        <v>3132</v>
      </c>
      <c r="C3127">
        <f>HYPERLINK("C:\Users\franc\OneDrive\Documentos\MALENTIN KARIME\Rosa\PROTOCOLIZACIONES\COMPRAVENTA MINERA 1.doc", "Abrir Documento")</f>
        <v>0</v>
      </c>
      <c r="D3127" t="s">
        <v>23500</v>
      </c>
      <c r="E3127" t="s">
        <v>26479</v>
      </c>
    </row>
    <row r="3128" spans="1:5">
      <c r="A3128" t="s">
        <v>6</v>
      </c>
      <c r="B3128" t="s">
        <v>3133</v>
      </c>
      <c r="C3128">
        <f>HYPERLINK("C:\Users\franc\OneDrive\Documentos\MALENTIN KARIME\Rosa\PROTOCOLIZACIONES\COMITE REGANTES LOS COLORADOS PUNITAQUI.doc", "Abrir Documento")</f>
        <v>0</v>
      </c>
      <c r="D3128" t="s">
        <v>23500</v>
      </c>
      <c r="E3128" t="s">
        <v>26480</v>
      </c>
    </row>
    <row r="3129" spans="1:5">
      <c r="A3129" t="s">
        <v>6</v>
      </c>
      <c r="B3129" t="s">
        <v>3134</v>
      </c>
      <c r="C3129">
        <f>HYPERLINK("C:\Users\franc\OneDrive\Documentos\MALENTIN KARIME\Rosa\PROTOCOLIZACIONES\COMITE PRO CASASUEÑO PROPIO MAYO 2011.doc", "Abrir Documento")</f>
        <v>0</v>
      </c>
      <c r="D3129" t="s">
        <v>23500</v>
      </c>
      <c r="E3129" t="s">
        <v>26481</v>
      </c>
    </row>
    <row r="3130" spans="1:5">
      <c r="A3130" t="s">
        <v>6</v>
      </c>
      <c r="B3130" t="s">
        <v>3135</v>
      </c>
      <c r="C3130">
        <f>HYPERLINK("C:\Users\franc\OneDrive\Documentos\MALENTIN KARIME\Rosa\PROTOCOLIZACIONES\COMITE PRO CASA VILLA FLOR DEL NORTE.doc", "Abrir Documento")</f>
        <v>0</v>
      </c>
      <c r="D3130" t="s">
        <v>23500</v>
      </c>
      <c r="E3130" t="s">
        <v>26482</v>
      </c>
    </row>
    <row r="3131" spans="1:5">
      <c r="A3131" t="s">
        <v>6</v>
      </c>
      <c r="B3131" t="s">
        <v>3136</v>
      </c>
      <c r="C3131">
        <f>HYPERLINK("C:\Users\franc\OneDrive\Documentos\MALENTIN KARIME\Rosa\PROTOCOLIZACIONES\COMITE PRO CASA SUEÑO PROPIO.doc", "Abrir Documento")</f>
        <v>0</v>
      </c>
      <c r="D3131" t="s">
        <v>23500</v>
      </c>
      <c r="E3131" t="s">
        <v>26483</v>
      </c>
    </row>
    <row r="3132" spans="1:5">
      <c r="A3132" t="s">
        <v>6</v>
      </c>
      <c r="B3132" t="s">
        <v>3137</v>
      </c>
      <c r="C3132">
        <f>HYPERLINK("C:\Users\franc\OneDrive\Documentos\MALENTIN KARIME\Rosa\PROTOCOLIZACIONES\COMITE PRO CASA villa Esperanza  sept.2010.doc", "Abrir Documento")</f>
        <v>0</v>
      </c>
      <c r="D3132" t="s">
        <v>23500</v>
      </c>
      <c r="E3132" t="s">
        <v>26483</v>
      </c>
    </row>
    <row r="3133" spans="1:5">
      <c r="A3133" t="s">
        <v>6</v>
      </c>
      <c r="B3133" t="s">
        <v>3138</v>
      </c>
      <c r="C3133">
        <f>HYPERLINK("C:\Users\franc\OneDrive\Documentos\MALENTIN KARIME\Rosa\PROTOCOLIZACIONES\COMITE PRO CASA SUEÑO PROPIO Enero 2011.doc", "Abrir Documento")</f>
        <v>0</v>
      </c>
      <c r="D3133" t="s">
        <v>23500</v>
      </c>
      <c r="E3133" t="s">
        <v>26484</v>
      </c>
    </row>
    <row r="3134" spans="1:5">
      <c r="A3134" t="s">
        <v>6</v>
      </c>
      <c r="B3134" t="s">
        <v>3139</v>
      </c>
      <c r="C3134">
        <f>HYPERLINK("C:\Users\franc\OneDrive\Documentos\MALENTIN KARIME\Rosa\PROTOCOLIZACIONES\COMITE PRO CASA SUEÑO PROPIO sept. 2010.doc", "Abrir Documento")</f>
        <v>0</v>
      </c>
      <c r="D3134" t="s">
        <v>23500</v>
      </c>
      <c r="E3134" t="s">
        <v>26484</v>
      </c>
    </row>
    <row r="3135" spans="1:5">
      <c r="A3135" t="s">
        <v>6</v>
      </c>
      <c r="B3135" t="s">
        <v>3140</v>
      </c>
      <c r="C3135">
        <f>HYPERLINK("C:\Users\franc\OneDrive\Documentos\MALENTIN KARIME\Rosa\PROTOCOLIZACIONES\COMITE PRO CASA CHANARAL DE CAREN.doc", "Abrir Documento")</f>
        <v>0</v>
      </c>
      <c r="D3135" t="s">
        <v>23500</v>
      </c>
      <c r="E3135" t="s">
        <v>26485</v>
      </c>
    </row>
    <row r="3136" spans="1:5">
      <c r="A3136" t="s">
        <v>6</v>
      </c>
      <c r="B3136" t="s">
        <v>3141</v>
      </c>
      <c r="C3136">
        <f>HYPERLINK("C:\Users\franc\OneDrive\Documentos\MALENTIN KARIME\Rosa\PROTOCOLIZACIONES\COMITE PRO CASA JUAN PABLO I.doc", "Abrir Documento")</f>
        <v>0</v>
      </c>
      <c r="D3136" t="s">
        <v>23500</v>
      </c>
      <c r="E3136" t="s">
        <v>26485</v>
      </c>
    </row>
    <row r="3137" spans="1:5">
      <c r="A3137" t="s">
        <v>6</v>
      </c>
      <c r="B3137" t="s">
        <v>3142</v>
      </c>
      <c r="C3137">
        <f>HYPERLINK("C:\Users\franc\OneDrive\Documentos\MALENTIN KARIME\Rosa\PROTOCOLIZACIONES\COMITE AGUA POTABLE RURAL NUEVA ESPERANZA.doc", "Abrir Documento")</f>
        <v>0</v>
      </c>
      <c r="D3137" t="s">
        <v>23500</v>
      </c>
      <c r="E3137" t="s">
        <v>26486</v>
      </c>
    </row>
    <row r="3138" spans="1:5">
      <c r="A3138" t="s">
        <v>6</v>
      </c>
      <c r="B3138" t="s">
        <v>3143</v>
      </c>
      <c r="C3138">
        <f>HYPERLINK("C:\Users\franc\OneDrive\Documentos\MALENTIN KARIME\Rosa\PROTOCOLIZACIONES\COMITE AGUA POTABLE SAN MARCOS.doc", "Abrir Documento")</f>
        <v>0</v>
      </c>
      <c r="D3138" t="s">
        <v>23500</v>
      </c>
      <c r="E3138" t="s">
        <v>26486</v>
      </c>
    </row>
    <row r="3139" spans="1:5">
      <c r="A3139" t="s">
        <v>6</v>
      </c>
      <c r="B3139" t="s">
        <v>3144</v>
      </c>
      <c r="C3139">
        <f>HYPERLINK("C:\Users\franc\OneDrive\Documentos\MALENTIN KARIME\Rosa\PROTOCOLIZACIONES\COMITE AGUA POTABLE RURAL MEDIA LUNA COMBARBALA.doc", "Abrir Documento")</f>
        <v>0</v>
      </c>
      <c r="D3139" t="s">
        <v>23500</v>
      </c>
      <c r="E3139" t="s">
        <v>26487</v>
      </c>
    </row>
    <row r="3140" spans="1:5">
      <c r="A3140" t="s">
        <v>6</v>
      </c>
      <c r="B3140" t="s">
        <v>3145</v>
      </c>
      <c r="C3140">
        <f>HYPERLINK("C:\Users\franc\OneDrive\Documentos\MALENTIN KARIME\Rosa\PROTOCOLIZACIONES\COMITE AGUA POTABLE RURAL NUEVA ESPERANZA 31 enero 2011.doc", "Abrir Documento")</f>
        <v>0</v>
      </c>
      <c r="D3140" t="s">
        <v>23500</v>
      </c>
      <c r="E3140" t="s">
        <v>26487</v>
      </c>
    </row>
    <row r="3141" spans="1:5">
      <c r="A3141" t="s">
        <v>6</v>
      </c>
      <c r="B3141" t="s">
        <v>3146</v>
      </c>
      <c r="C3141">
        <f>HYPERLINK("C:\Users\franc\OneDrive\Documentos\MALENTIN KARIME\Rosa\PROTOCOLIZACIONES\COMITE AGUA POTABLE LA PORTADA SOTAQUI.doc", "Abrir Documento")</f>
        <v>0</v>
      </c>
      <c r="D3141" t="s">
        <v>23500</v>
      </c>
      <c r="E3141" t="s">
        <v>26488</v>
      </c>
    </row>
    <row r="3142" spans="1:5">
      <c r="A3142" t="s">
        <v>6</v>
      </c>
      <c r="B3142" t="s">
        <v>3147</v>
      </c>
      <c r="C3142">
        <f>HYPERLINK("C:\Users\franc\OneDrive\Documentos\MALENTIN KARIME\Rosa\PROTOCOLIZACIONES\COMITE AGUA POTABLE EL GUINDO.doc", "Abrir Documento")</f>
        <v>0</v>
      </c>
      <c r="D3142" t="s">
        <v>23500</v>
      </c>
      <c r="E3142" t="s">
        <v>26489</v>
      </c>
    </row>
    <row r="3143" spans="1:5">
      <c r="A3143" t="s">
        <v>6</v>
      </c>
      <c r="B3143" t="s">
        <v>3148</v>
      </c>
      <c r="C3143">
        <f>HYPERLINK("C:\Users\franc\OneDrive\Documentos\MALENTIN KARIME\Rosa\PROTOCOLIZACIONES\COMITE ADELANTO VICTOR DOMINGO SILVA.doc", "Abrir Documento")</f>
        <v>0</v>
      </c>
      <c r="D3143" t="s">
        <v>23500</v>
      </c>
      <c r="E3143" t="s">
        <v>26490</v>
      </c>
    </row>
    <row r="3144" spans="1:5">
      <c r="A3144" t="s">
        <v>6</v>
      </c>
      <c r="B3144" t="s">
        <v>3149</v>
      </c>
      <c r="C3144">
        <f>HYPERLINK("C:\Users\franc\OneDrive\Documentos\MALENTIN KARIME\Rosa\PROTOCOLIZACIONES\COM. FERNDO. ALVAREZ LOS CANELOS.doc", "Abrir Documento")</f>
        <v>0</v>
      </c>
      <c r="D3144" t="s">
        <v>23500</v>
      </c>
      <c r="E3144" t="s">
        <v>26491</v>
      </c>
    </row>
    <row r="3145" spans="1:5">
      <c r="A3145" t="s">
        <v>6</v>
      </c>
      <c r="B3145" t="s">
        <v>3150</v>
      </c>
      <c r="C3145">
        <f>HYPERLINK("C:\Users\franc\OneDrive\Documentos\MALENTIN KARIME\Rosa\PROTOCOLIZACIONES\COM. AGUA POTABLE. CAREN.doc", "Abrir Documento")</f>
        <v>0</v>
      </c>
      <c r="D3145" t="s">
        <v>23500</v>
      </c>
      <c r="E3145" t="s">
        <v>26492</v>
      </c>
    </row>
    <row r="3146" spans="1:5">
      <c r="A3146" t="s">
        <v>6</v>
      </c>
      <c r="B3146" t="s">
        <v>3151</v>
      </c>
      <c r="C3146">
        <f>HYPERLINK("C:\Users\franc\OneDrive\Documentos\MALENTIN KARIME\Rosa\PROTOCOLIZACIONES\COM. FERNDO. ALVAREZ LOS CANELOS 2.doc", "Abrir Documento")</f>
        <v>0</v>
      </c>
      <c r="D3146" t="s">
        <v>23500</v>
      </c>
      <c r="E3146" t="s">
        <v>26492</v>
      </c>
    </row>
    <row r="3147" spans="1:5">
      <c r="A3147" t="s">
        <v>6</v>
      </c>
      <c r="B3147" t="s">
        <v>3152</v>
      </c>
      <c r="C3147">
        <f>HYPERLINK("C:\Users\franc\OneDrive\Documentos\MALENTIN KARIME\Rosa\PROTOCOLIZACIONES\COM. AGRIC. LOS MAITENES DE SAMO ALTO.doc", "Abrir Documento")</f>
        <v>0</v>
      </c>
      <c r="D3147" t="s">
        <v>23500</v>
      </c>
      <c r="E3147" t="s">
        <v>26493</v>
      </c>
    </row>
    <row r="3148" spans="1:5">
      <c r="A3148" t="s">
        <v>6</v>
      </c>
      <c r="B3148" t="s">
        <v>3153</v>
      </c>
      <c r="C3148">
        <f>HYPERLINK("C:\Users\franc\OneDrive\Documentos\MALENTIN KARIME\Rosa\PROTOCOLIZACIONES\COLEGIO DE PROFESORES A.G..doc", "Abrir Documento")</f>
        <v>0</v>
      </c>
      <c r="D3148" t="s">
        <v>23500</v>
      </c>
      <c r="E3148" t="s">
        <v>26494</v>
      </c>
    </row>
    <row r="3149" spans="1:5">
      <c r="A3149" t="s">
        <v>6</v>
      </c>
      <c r="B3149" t="s">
        <v>3154</v>
      </c>
      <c r="C3149">
        <f>HYPERLINK("C:\Users\franc\OneDrive\Documentos\MALENTIN KARIME\Rosa\PROTOCOLIZACIONES\CLUB LIMARI PESCA Y TIRO AL VUELO eleccion directorio.doc", "Abrir Documento")</f>
        <v>0</v>
      </c>
      <c r="D3149" t="s">
        <v>23500</v>
      </c>
      <c r="E3149" t="s">
        <v>26495</v>
      </c>
    </row>
    <row r="3150" spans="1:5">
      <c r="A3150" t="s">
        <v>6</v>
      </c>
      <c r="B3150" t="s">
        <v>3155</v>
      </c>
      <c r="C3150">
        <f>HYPERLINK("C:\Users\franc\OneDrive\Documentos\MALENTIN KARIME\Rosa\PROTOCOLIZACIONES\CLUB LIMARI PESCA Y TIRO AL VUELO.doc", "Abrir Documento")</f>
        <v>0</v>
      </c>
      <c r="D3150" t="s">
        <v>23500</v>
      </c>
      <c r="E3150" t="s">
        <v>26495</v>
      </c>
    </row>
    <row r="3151" spans="1:5">
      <c r="A3151" t="s">
        <v>6</v>
      </c>
      <c r="B3151" t="s">
        <v>3156</v>
      </c>
      <c r="C3151">
        <f>HYPERLINK("C:\Users\franc\OneDrive\Documentos\MALENTIN KARIME\Rosa\PROTOCOLIZACIONES\CLUB DEPORTIVO F.C..doc", "Abrir Documento")</f>
        <v>0</v>
      </c>
      <c r="D3151" t="s">
        <v>23500</v>
      </c>
      <c r="E3151" t="s">
        <v>26496</v>
      </c>
    </row>
    <row r="3152" spans="1:5">
      <c r="A3152" t="s">
        <v>6</v>
      </c>
      <c r="B3152" t="s">
        <v>3157</v>
      </c>
      <c r="C3152">
        <f>HYPERLINK("C:\Users\franc\OneDrive\Documentos\MALENTIN KARIME\Rosa\PROTOCOLIZACIONES\CLUB ADULTO MAYOR  31-07-2010.doc", "Abrir Documento")</f>
        <v>0</v>
      </c>
      <c r="D3152" t="s">
        <v>23500</v>
      </c>
      <c r="E3152" t="s">
        <v>26497</v>
      </c>
    </row>
    <row r="3153" spans="1:5">
      <c r="A3153" t="s">
        <v>6</v>
      </c>
      <c r="B3153" t="s">
        <v>3158</v>
      </c>
      <c r="C3153">
        <f>HYPERLINK("C:\Users\franc\OneDrive\Documentos\MALENTIN KARIME\Rosa\PROTOCOLIZACIONES\CLUB ADULTO MAYOR  27-05-2011.doc", "Abrir Documento")</f>
        <v>0</v>
      </c>
      <c r="D3153" t="s">
        <v>23500</v>
      </c>
      <c r="E3153" t="s">
        <v>26498</v>
      </c>
    </row>
    <row r="3154" spans="1:5">
      <c r="A3154" t="s">
        <v>6</v>
      </c>
      <c r="B3154" t="s">
        <v>3159</v>
      </c>
      <c r="C3154">
        <f>HYPERLINK("C:\Users\franc\OneDrive\Documentos\MALENTIN KARIME\Rosa\PROTOCOLIZACIONES\CERTIFICADO.doc", "Abrir Documento")</f>
        <v>0</v>
      </c>
      <c r="D3154" t="s">
        <v>23500</v>
      </c>
      <c r="E3154" t="s">
        <v>26499</v>
      </c>
    </row>
    <row r="3155" spans="1:5">
      <c r="A3155" t="s">
        <v>6</v>
      </c>
      <c r="B3155" t="s">
        <v>3160</v>
      </c>
      <c r="C3155">
        <f>HYPERLINK("C:\Users\franc\OneDrive\Documentos\MALENTIN KARIME\Rosa\PROTOCOLIZACIONES\CANAL PERALITO.doc", "Abrir Documento")</f>
        <v>0</v>
      </c>
      <c r="D3155" t="s">
        <v>23500</v>
      </c>
      <c r="E3155" t="s">
        <v>26500</v>
      </c>
    </row>
    <row r="3156" spans="1:5">
      <c r="A3156" t="s">
        <v>6</v>
      </c>
      <c r="B3156" t="s">
        <v>3161</v>
      </c>
      <c r="C3156">
        <f>HYPERLINK("C:\Users\franc\OneDrive\Documentos\MALENTIN KARIME\Rosa\PROTOCOLIZACIONES\CARTA INFORMATIVA SOCOS.doc", "Abrir Documento")</f>
        <v>0</v>
      </c>
      <c r="D3156" t="s">
        <v>23500</v>
      </c>
      <c r="E3156" t="s">
        <v>26500</v>
      </c>
    </row>
    <row r="3157" spans="1:5">
      <c r="A3157" t="s">
        <v>6</v>
      </c>
      <c r="B3157" t="s">
        <v>3162</v>
      </c>
      <c r="C3157">
        <f>HYPERLINK("C:\Users\franc\OneDrive\Documentos\MALENTIN KARIME\Rosa\PROTOCOLIZACIONES\BOMBEROS 2º COMPAÑIA OVALLE.doc", "Abrir Documento")</f>
        <v>0</v>
      </c>
      <c r="D3157" t="s">
        <v>23500</v>
      </c>
      <c r="E3157" t="s">
        <v>26501</v>
      </c>
    </row>
    <row r="3158" spans="1:5">
      <c r="A3158" t="s">
        <v>6</v>
      </c>
      <c r="B3158" t="s">
        <v>3163</v>
      </c>
      <c r="C3158">
        <f>HYPERLINK("C:\Users\franc\OneDrive\Documentos\MALENTIN KARIME\Rosa\PROTOCOLIZACIONES\BOMBEROS 4º COMPAÑIA OVALLE.doc", "Abrir Documento")</f>
        <v>0</v>
      </c>
      <c r="D3158" t="s">
        <v>23500</v>
      </c>
      <c r="E3158" t="s">
        <v>26501</v>
      </c>
    </row>
    <row r="3159" spans="1:5">
      <c r="A3159" t="s">
        <v>6</v>
      </c>
      <c r="B3159" t="s">
        <v>3164</v>
      </c>
      <c r="C3159">
        <f>HYPERLINK("C:\Users\franc\OneDrive\Documentos\MALENTIN KARIME\Rosa\PROTOCOLIZACIONES\BOMBEROS 7º COMPAÑIA OVALLE.doc", "Abrir Documento")</f>
        <v>0</v>
      </c>
      <c r="D3159" t="s">
        <v>23500</v>
      </c>
      <c r="E3159" t="s">
        <v>26501</v>
      </c>
    </row>
    <row r="3160" spans="1:5">
      <c r="A3160" t="s">
        <v>6</v>
      </c>
      <c r="B3160" t="s">
        <v>3165</v>
      </c>
      <c r="C3160">
        <f>HYPERLINK("C:\Users\franc\OneDrive\Documentos\MALENTIN KARIME\Rosa\PROTOCOLIZACIONES\BOMBEROS 1º COMPAÑIA OVALLE.doc", "Abrir Documento")</f>
        <v>0</v>
      </c>
      <c r="D3160" t="s">
        <v>23500</v>
      </c>
      <c r="E3160" t="s">
        <v>26502</v>
      </c>
    </row>
    <row r="3161" spans="1:5">
      <c r="A3161" t="s">
        <v>6</v>
      </c>
      <c r="B3161" t="s">
        <v>3166</v>
      </c>
      <c r="C3161">
        <f>HYPERLINK("C:\Users\franc\OneDrive\Documentos\MALENTIN KARIME\Rosa\PROTOCOLIZACIONES\BOMBEROS 2º COMPAÑIA OVALLE ENRO 2011.doc", "Abrir Documento")</f>
        <v>0</v>
      </c>
      <c r="D3161" t="s">
        <v>23500</v>
      </c>
      <c r="E3161" t="s">
        <v>26502</v>
      </c>
    </row>
    <row r="3162" spans="1:5">
      <c r="A3162" t="s">
        <v>6</v>
      </c>
      <c r="B3162" t="s">
        <v>3167</v>
      </c>
      <c r="C3162">
        <f>HYPERLINK("C:\Users\franc\OneDrive\Documentos\MALENTIN KARIME\Rosa\PROTOCOLIZACIONES\BASILIO AGUIRRE ROJAS 2.doc", "Abrir Documento")</f>
        <v>0</v>
      </c>
      <c r="D3162" t="s">
        <v>23500</v>
      </c>
      <c r="E3162" t="s">
        <v>26503</v>
      </c>
    </row>
    <row r="3163" spans="1:5">
      <c r="A3163" t="s">
        <v>6</v>
      </c>
      <c r="B3163" t="s">
        <v>3168</v>
      </c>
      <c r="C3163">
        <f>HYPERLINK("C:\Users\franc\OneDrive\Documentos\MALENTIN KARIME\Rosa\PROTOCOLIZACIONES\BASILIO AGUIRRE ROJAS.doc", "Abrir Documento")</f>
        <v>0</v>
      </c>
      <c r="D3163" t="s">
        <v>23500</v>
      </c>
      <c r="E3163" t="s">
        <v>26503</v>
      </c>
    </row>
    <row r="3164" spans="1:5">
      <c r="A3164" t="s">
        <v>6</v>
      </c>
      <c r="B3164" t="s">
        <v>3169</v>
      </c>
      <c r="C3164">
        <f>HYPERLINK("C:\Users\franc\OneDrive\Documentos\MALENTIN KARIME\Rosa\PROTOCOLIZACIONES\AUTORIZACION NOTARIAL.doc", "Abrir Documento")</f>
        <v>0</v>
      </c>
      <c r="D3164" t="s">
        <v>23500</v>
      </c>
      <c r="E3164" t="s">
        <v>26504</v>
      </c>
    </row>
    <row r="3165" spans="1:5">
      <c r="A3165" t="s">
        <v>6</v>
      </c>
      <c r="B3165" t="s">
        <v>3170</v>
      </c>
      <c r="C3165">
        <f>HYPERLINK("C:\Users\franc\OneDrive\Documentos\MALENTIN KARIME\Rosa\PROTOCOLIZACIONES\AVISO TERMINO CONTRATO ARRENDAMIENTO SOCOS.doc", "Abrir Documento")</f>
        <v>0</v>
      </c>
      <c r="D3165" t="s">
        <v>23500</v>
      </c>
      <c r="E3165" t="s">
        <v>26504</v>
      </c>
    </row>
    <row r="3166" spans="1:5">
      <c r="A3166" t="s">
        <v>6</v>
      </c>
      <c r="B3166" t="s">
        <v>3171</v>
      </c>
      <c r="C3166">
        <f>HYPERLINK("C:\Users\franc\OneDrive\Documentos\MALENTIN KARIME\Rosa\PROTOCOLIZACIONES\AUTORIZACION ERNESTINA ARAYA BARRAZA.doc", "Abrir Documento")</f>
        <v>0</v>
      </c>
      <c r="D3166" t="s">
        <v>23500</v>
      </c>
      <c r="E3166" t="s">
        <v>26505</v>
      </c>
    </row>
    <row r="3167" spans="1:5">
      <c r="A3167" t="s">
        <v>6</v>
      </c>
      <c r="B3167" t="s">
        <v>3172</v>
      </c>
      <c r="C3167">
        <f>HYPERLINK("C:\Users\franc\OneDrive\Documentos\MALENTIN KARIME\Rosa\PROTOCOLIZACIONES\AUTORIZA LIBRO PARA COPIAS.doc", "Abrir Documento")</f>
        <v>0</v>
      </c>
      <c r="D3167" t="s">
        <v>23500</v>
      </c>
      <c r="E3167" t="s">
        <v>26506</v>
      </c>
    </row>
    <row r="3168" spans="1:5">
      <c r="A3168" t="s">
        <v>6</v>
      </c>
      <c r="B3168" t="s">
        <v>3173</v>
      </c>
      <c r="C3168">
        <f>HYPERLINK("C:\Users\franc\OneDrive\Documentos\MALENTIN KARIME\Rosa\PROTOCOLIZACIONES\AUTORIZA LIBRO PARA COPIAS.- HORIZONTAL.doc", "Abrir Documento")</f>
        <v>0</v>
      </c>
      <c r="D3168" t="s">
        <v>23500</v>
      </c>
      <c r="E3168" t="s">
        <v>26507</v>
      </c>
    </row>
    <row r="3169" spans="1:5">
      <c r="A3169" t="s">
        <v>6</v>
      </c>
      <c r="B3169" t="s">
        <v>3174</v>
      </c>
      <c r="C3169">
        <f>HYPERLINK("C:\Users\franc\OneDrive\Documentos\MALENTIN KARIME\Rosa\PROTOCOLIZACIONES\ASOCIACION DE CANALISTAS DEL CANAL CAMARICO.doc", "Abrir Documento")</f>
        <v>0</v>
      </c>
      <c r="D3169" t="s">
        <v>23500</v>
      </c>
      <c r="E3169" t="s">
        <v>26508</v>
      </c>
    </row>
    <row r="3170" spans="1:5">
      <c r="A3170" t="s">
        <v>6</v>
      </c>
      <c r="B3170" t="s">
        <v>3175</v>
      </c>
      <c r="C3170">
        <f>HYPERLINK("C:\Users\franc\OneDrive\Documentos\MALENTIN KARIME\Rosa\PROTOCOLIZACIONES\ASOCIACION DE RAYUELA OVALLE.doc", "Abrir Documento")</f>
        <v>0</v>
      </c>
      <c r="D3170" t="s">
        <v>23500</v>
      </c>
      <c r="E3170" t="s">
        <v>26508</v>
      </c>
    </row>
    <row r="3171" spans="1:5">
      <c r="A3171" t="s">
        <v>6</v>
      </c>
      <c r="B3171" t="s">
        <v>3176</v>
      </c>
      <c r="C3171">
        <f>HYPERLINK("C:\Users\franc\OneDrive\Documentos\MALENTIN KARIME\Rosa\PROTOCOLIZACIONES\ASOCIACION DE CANALISTAS DEL CANAL CAAMARICO 2.doc", "Abrir Documento")</f>
        <v>0</v>
      </c>
      <c r="D3171" t="s">
        <v>23500</v>
      </c>
      <c r="E3171" t="s">
        <v>26509</v>
      </c>
    </row>
    <row r="3172" spans="1:5">
      <c r="A3172" t="s">
        <v>6</v>
      </c>
      <c r="B3172" t="s">
        <v>3177</v>
      </c>
      <c r="C3172">
        <f>HYPERLINK("C:\Users\franc\OneDrive\Documentos\MALENTIN KARIME\Rosa\PROTOCOLIZACIONES\ASOC. GREMIAL MINERA PUNITAQUI.doc", "Abrir Documento")</f>
        <v>0</v>
      </c>
      <c r="D3172" t="s">
        <v>23500</v>
      </c>
      <c r="E3172" t="s">
        <v>26510</v>
      </c>
    </row>
    <row r="3173" spans="1:5">
      <c r="A3173" t="s">
        <v>6</v>
      </c>
      <c r="B3173" t="s">
        <v>3178</v>
      </c>
      <c r="C3173">
        <f>HYPERLINK("C:\Users\franc\OneDrive\Documentos\MALENTIN KARIME\Rosa\PROTOCOLIZACIONES\ASOC. GREMIAL MINERA DE OVALLE 2.doc", "Abrir Documento")</f>
        <v>0</v>
      </c>
      <c r="D3173" t="s">
        <v>23500</v>
      </c>
      <c r="E3173" t="s">
        <v>26511</v>
      </c>
    </row>
    <row r="3174" spans="1:5">
      <c r="A3174" t="s">
        <v>6</v>
      </c>
      <c r="B3174" t="s">
        <v>3179</v>
      </c>
      <c r="C3174">
        <f>HYPERLINK("C:\Users\franc\OneDrive\Documentos\MALENTIN KARIME\Rosa\PROTOCOLIZACIONES\ASOC. GREMIAL MINERA PUNITAQUI 2.doc", "Abrir Documento")</f>
        <v>0</v>
      </c>
      <c r="D3174" t="s">
        <v>23500</v>
      </c>
      <c r="E3174" t="s">
        <v>26511</v>
      </c>
    </row>
    <row r="3175" spans="1:5">
      <c r="A3175" t="s">
        <v>6</v>
      </c>
      <c r="B3175" t="s">
        <v>3180</v>
      </c>
      <c r="C3175">
        <f>HYPERLINK("C:\Users\franc\OneDrive\Documentos\MALENTIN KARIME\Rosa\PROTOCOLIZACIONES\ASOC. GREMIAL MINERA DE OVALLE 1.doc", "Abrir Documento")</f>
        <v>0</v>
      </c>
      <c r="D3175" t="s">
        <v>23500</v>
      </c>
      <c r="E3175" t="s">
        <v>26512</v>
      </c>
    </row>
    <row r="3176" spans="1:5">
      <c r="A3176" t="s">
        <v>6</v>
      </c>
      <c r="B3176" t="s">
        <v>3181</v>
      </c>
      <c r="C3176">
        <f>HYPERLINK("C:\Users\franc\OneDrive\Documentos\MALENTIN KARIME\Rosa\PROTOCOLIZACIONES\AGUA POTABLE V. SECA .HUAMPULLA YACONI BASILIO AGUIRRE.doc", "Abrir Documento")</f>
        <v>0</v>
      </c>
      <c r="D3176" t="s">
        <v>23500</v>
      </c>
      <c r="E3176" t="s">
        <v>26513</v>
      </c>
    </row>
    <row r="3177" spans="1:5">
      <c r="A3177" t="s">
        <v>6</v>
      </c>
      <c r="B3177" t="s">
        <v>3182</v>
      </c>
      <c r="C3177">
        <f>HYPERLINK("C:\Users\franc\OneDrive\Documentos\MALENTIN KARIME\Rosa\PROTOCOLIZACIONES\(ALZA. Y CANCE. HIPOT.) SAMUEL PEREZ MONTENEGRO.doc", "Abrir Documento")</f>
        <v>0</v>
      </c>
      <c r="D3177" t="s">
        <v>23500</v>
      </c>
      <c r="E3177" t="s">
        <v>26514</v>
      </c>
    </row>
    <row r="3178" spans="1:5">
      <c r="A3178" t="s">
        <v>6</v>
      </c>
      <c r="B3178" t="s">
        <v>3183</v>
      </c>
      <c r="C3178">
        <f>HYPERLINK("C:\Users\franc\OneDrive\Documentos\MALENTIN KARIME\Rosa\PROTOCOLIZACIONES\ACTA CONSTITUTIVA ASOC.  GREMIAL TRANSP. DUTRAPOL.doc", "Abrir Documento")</f>
        <v>0</v>
      </c>
      <c r="D3178" t="s">
        <v>23500</v>
      </c>
      <c r="E3178" t="s">
        <v>26514</v>
      </c>
    </row>
    <row r="3179" spans="1:5">
      <c r="A3179" t="s">
        <v>6</v>
      </c>
      <c r="B3179" t="s">
        <v>3184</v>
      </c>
      <c r="C3179">
        <f>HYPERLINK("C:\Users\franc\OneDrive\Documentos\MALENTIN KARIME\Rosa\PROTOCOLIZACIONES\(ALZA. Y CANCE. HIPOT.) RAUL BARRAZA CARVAJAL.doc", "Abrir Documento")</f>
        <v>0</v>
      </c>
      <c r="D3179" t="s">
        <v>23500</v>
      </c>
      <c r="E3179" t="s">
        <v>26515</v>
      </c>
    </row>
    <row r="3180" spans="1:5">
      <c r="A3180" t="s">
        <v>6</v>
      </c>
      <c r="B3180" t="s">
        <v>3185</v>
      </c>
      <c r="C3180">
        <f>HYPERLINK("C:\Users\franc\OneDrive\Documentos\MALENTIN KARIME\Rosa\PROTOCOLIZACION NOTARIO SUPLENTE\PROTO. NOMB. NOTARIO SANTIAGO CABRERA CIFUENTES.doc", "Abrir Documento")</f>
        <v>0</v>
      </c>
      <c r="D3180" t="s">
        <v>23500</v>
      </c>
      <c r="E3180" t="s">
        <v>26516</v>
      </c>
    </row>
    <row r="3181" spans="1:5">
      <c r="A3181" t="s">
        <v>6</v>
      </c>
      <c r="B3181" t="s">
        <v>3186</v>
      </c>
      <c r="C3181">
        <f>HYPERLINK("C:\Users\franc\OneDrive\Documentos\MALENTIN KARIME\Rosa\PROTOCOLIZACION NOTARIO SUPLENTE\PROTO. NOMB. NOTARIO SERGIO ROMAN CORTES BELTRAN.doc", "Abrir Documento")</f>
        <v>0</v>
      </c>
      <c r="D3181" t="s">
        <v>23500</v>
      </c>
      <c r="E3181" t="s">
        <v>26516</v>
      </c>
    </row>
    <row r="3182" spans="1:5">
      <c r="A3182" t="s">
        <v>6</v>
      </c>
      <c r="B3182" t="s">
        <v>3187</v>
      </c>
      <c r="C3182">
        <f>HYPERLINK("C:\Users\franc\OneDrive\Documentos\MALENTIN KARIME\Rosa\PROTOCOLIZACION NOTARIO SUPLENTE\PROTO. NOMB. NOTARIO ROBERTO VEGA CAMPUSANO.doc", "Abrir Documento")</f>
        <v>0</v>
      </c>
      <c r="D3182" t="s">
        <v>23500</v>
      </c>
      <c r="E3182" t="s">
        <v>26517</v>
      </c>
    </row>
    <row r="3183" spans="1:5">
      <c r="A3183" t="s">
        <v>6</v>
      </c>
      <c r="B3183" t="s">
        <v>3188</v>
      </c>
      <c r="C3183">
        <f>HYPERLINK("C:\Users\franc\OneDrive\Documentos\MALENTIN KARIME\Rosa\PROTOCOLIZACION NOTARIO SUPLENTE\PROTO. NOMB. NOTARIO MARIA NUÑEZ HERRERA.doc", "Abrir Documento")</f>
        <v>0</v>
      </c>
      <c r="D3183" t="s">
        <v>23500</v>
      </c>
      <c r="E3183" t="s">
        <v>26518</v>
      </c>
    </row>
    <row r="3184" spans="1:5">
      <c r="A3184" t="s">
        <v>6</v>
      </c>
      <c r="B3184" t="s">
        <v>3189</v>
      </c>
      <c r="C3184">
        <f>HYPERLINK("C:\Users\franc\OneDrive\Documentos\MALENTIN KARIME\Rosa\PROTOCOLIZACION NOTARIO SUPLENTE\PROTO. NOMB. NOTARIO CLAUDIO ARAYA CASTILLO.doc", "Abrir Documento")</f>
        <v>0</v>
      </c>
      <c r="D3184" t="s">
        <v>23500</v>
      </c>
      <c r="E3184" t="s">
        <v>26519</v>
      </c>
    </row>
    <row r="3185" spans="1:5">
      <c r="A3185" t="s">
        <v>6</v>
      </c>
      <c r="B3185" t="s">
        <v>3190</v>
      </c>
      <c r="C3185">
        <f>HYPERLINK("C:\Users\franc\OneDrive\Documentos\MALENTIN KARIME\Rosa\PROTOCOLIZACION NOTARIO SUPLENTE\PROTO. NOMB. NOTARIO ADOLFO LAY MONTALBAN.doc", "Abrir Documento")</f>
        <v>0</v>
      </c>
      <c r="D3185" t="s">
        <v>23500</v>
      </c>
      <c r="E3185" t="s">
        <v>26520</v>
      </c>
    </row>
    <row r="3186" spans="1:5">
      <c r="A3186" t="s">
        <v>6</v>
      </c>
      <c r="B3186" t="s">
        <v>3191</v>
      </c>
      <c r="C3186">
        <f>HYPERLINK("C:\Users\franc\OneDrive\Documentos\MALENTIN KARIME\Rosa\PROTOCOLIZACION NOTARIO SUPLENTE\PROTO. NOMB. NOTARIO CATALINA MULET.doc", "Abrir Documento")</f>
        <v>0</v>
      </c>
      <c r="D3186" t="s">
        <v>23500</v>
      </c>
      <c r="E3186" t="s">
        <v>26520</v>
      </c>
    </row>
    <row r="3187" spans="1:5">
      <c r="A3187" t="s">
        <v>6</v>
      </c>
      <c r="B3187" t="s">
        <v>3192</v>
      </c>
      <c r="C3187">
        <f>HYPERLINK("C:\Users\franc\OneDrive\Documentos\MALENTIN KARIME\Rosa\PROMESAS COMPRAVENTA\VEHICULO\VICTOR HIDALGO A ABEL OLIVARES.doc", "Abrir Documento")</f>
        <v>0</v>
      </c>
      <c r="D3187" t="s">
        <v>23500</v>
      </c>
      <c r="E3187" t="s">
        <v>26521</v>
      </c>
    </row>
    <row r="3188" spans="1:5">
      <c r="A3188" t="s">
        <v>6</v>
      </c>
      <c r="B3188" t="s">
        <v>3193</v>
      </c>
      <c r="C3188">
        <f>HYPERLINK("C:\Users\franc\OneDrive\Documentos\MALENTIN KARIME\Rosa\PROMESAS COMPRAVENTA\VEHICULO\ROSA LOPEZ A LUIS CONTRERAS.doc", "Abrir Documento")</f>
        <v>0</v>
      </c>
      <c r="D3188" t="s">
        <v>23500</v>
      </c>
      <c r="E3188" t="s">
        <v>26522</v>
      </c>
    </row>
    <row r="3189" spans="1:5">
      <c r="A3189" t="s">
        <v>6</v>
      </c>
      <c r="B3189" t="s">
        <v>3194</v>
      </c>
      <c r="C3189">
        <f>HYPERLINK("C:\Users\franc\OneDrive\Documentos\MALENTIN KARIME\Rosa\PROMESAS COMPRAVENTA\VEHICULO\RODRIGO ADAROS A GERARDO FARIAS ADAROS.doc", "Abrir Documento")</f>
        <v>0</v>
      </c>
      <c r="D3189" t="s">
        <v>23500</v>
      </c>
      <c r="E3189" t="s">
        <v>26523</v>
      </c>
    </row>
    <row r="3190" spans="1:5">
      <c r="A3190" t="s">
        <v>6</v>
      </c>
      <c r="B3190" t="s">
        <v>3195</v>
      </c>
      <c r="C3190">
        <f>HYPERLINK("C:\Users\franc\OneDrive\Documentos\MALENTIN KARIME\Rosa\PROMESAS COMPRAVENTA\VEHICULO\NANCY TOLEDO A VICTOR ALFARO Y OTRO.doc", "Abrir Documento")</f>
        <v>0</v>
      </c>
      <c r="D3190" t="s">
        <v>23500</v>
      </c>
      <c r="E3190" t="s">
        <v>26524</v>
      </c>
    </row>
    <row r="3191" spans="1:5">
      <c r="A3191" t="s">
        <v>6</v>
      </c>
      <c r="B3191" t="s">
        <v>3196</v>
      </c>
      <c r="C3191">
        <f>HYPERLINK("C:\Users\franc\OneDrive\Documentos\MALENTIN KARIME\Rosa\PROMESAS COMPRAVENTA\VEHICULO\PAGARE A PLAZO.doc", "Abrir Documento")</f>
        <v>0</v>
      </c>
      <c r="D3191" t="s">
        <v>23500</v>
      </c>
      <c r="E3191" t="s">
        <v>26524</v>
      </c>
    </row>
    <row r="3192" spans="1:5">
      <c r="A3192" t="s">
        <v>6</v>
      </c>
      <c r="B3192" t="s">
        <v>3197</v>
      </c>
      <c r="C3192">
        <f>HYPERLINK("C:\Users\franc\OneDrive\Documentos\MALENTIN KARIME\Rosa\PROMESAS COMPRAVENTA\VEHICULO\LUIS FIERRO A ROBINSON RADALJ.doc", "Abrir Documento")</f>
        <v>0</v>
      </c>
      <c r="D3192" t="s">
        <v>23500</v>
      </c>
      <c r="E3192" t="s">
        <v>26525</v>
      </c>
    </row>
    <row r="3193" spans="1:5">
      <c r="A3193" t="s">
        <v>6</v>
      </c>
      <c r="B3193" t="s">
        <v>3198</v>
      </c>
      <c r="C3193">
        <f>HYPERLINK("C:\Users\franc\OneDrive\Documentos\MALENTIN KARIME\Rosa\PROMESAS COMPRAVENTA\VEHICULO\MODELO PROMESA VEHICULO.doc", "Abrir Documento")</f>
        <v>0</v>
      </c>
      <c r="D3193" t="s">
        <v>23500</v>
      </c>
      <c r="E3193" t="s">
        <v>26525</v>
      </c>
    </row>
    <row r="3194" spans="1:5">
      <c r="A3194" t="s">
        <v>6</v>
      </c>
      <c r="B3194" t="s">
        <v>3199</v>
      </c>
      <c r="C3194">
        <f>HYPERLINK("C:\Users\franc\OneDrive\Documentos\MALENTIN KARIME\Rosa\PROMESAS COMPRAVENTA\VEHICULO\FRANCISCA CONTRERAS  A LUIS HONORES.doc", "Abrir Documento")</f>
        <v>0</v>
      </c>
      <c r="D3194" t="s">
        <v>23500</v>
      </c>
      <c r="E3194" t="s">
        <v>26526</v>
      </c>
    </row>
    <row r="3195" spans="1:5">
      <c r="A3195" t="s">
        <v>6</v>
      </c>
      <c r="B3195" t="s">
        <v>3200</v>
      </c>
      <c r="C3195">
        <f>HYPERLINK("C:\Users\franc\OneDrive\Documentos\MALENTIN KARIME\Rosa\PROMESAS COMPRAVENTA\VEHICULO\JULIO CORTES A JOSE PIZARRO.doc", "Abrir Documento")</f>
        <v>0</v>
      </c>
      <c r="D3195" t="s">
        <v>23500</v>
      </c>
      <c r="E3195" t="s">
        <v>26526</v>
      </c>
    </row>
    <row r="3196" spans="1:5">
      <c r="A3196" t="s">
        <v>6</v>
      </c>
      <c r="B3196" t="s">
        <v>3201</v>
      </c>
      <c r="C3196">
        <f>HYPERLINK("C:\Users\franc\OneDrive\Documentos\MALENTIN KARIME\Rosa\PROMESAS COMPRAVENTA\VEHICULO\DUALDO CONTRERAS A MARCOS CORTES.doc", "Abrir Documento")</f>
        <v>0</v>
      </c>
      <c r="D3196" t="s">
        <v>23500</v>
      </c>
      <c r="E3196" t="s">
        <v>26527</v>
      </c>
    </row>
    <row r="3197" spans="1:5">
      <c r="A3197" t="s">
        <v>6</v>
      </c>
      <c r="B3197" t="s">
        <v>3202</v>
      </c>
      <c r="C3197">
        <f>HYPERLINK("C:\Users\franc\OneDrive\Documentos\MALENTIN KARIME\Rosa\PROMESAS COMPRAVENTA\VEHICULO\FABIOLA SEGOVIA A CRISTOBAL RODRIGUEZ.doc", "Abrir Documento")</f>
        <v>0</v>
      </c>
      <c r="D3197" t="s">
        <v>23500</v>
      </c>
      <c r="E3197" t="s">
        <v>26527</v>
      </c>
    </row>
    <row r="3198" spans="1:5">
      <c r="A3198" t="s">
        <v>6</v>
      </c>
      <c r="B3198" t="s">
        <v>3203</v>
      </c>
      <c r="C3198">
        <f>HYPERLINK("C:\Users\franc\OneDrive\Documentos\MALENTIN KARIME\Rosa\PROMESAS COMPRAVENTA\VEHICULO\BERTA LAYANA A BENILDE ROCCO.doc", "Abrir Documento")</f>
        <v>0</v>
      </c>
      <c r="D3198" t="s">
        <v>23500</v>
      </c>
      <c r="E3198" t="s">
        <v>26528</v>
      </c>
    </row>
    <row r="3199" spans="1:5">
      <c r="A3199" t="s">
        <v>6</v>
      </c>
      <c r="B3199" t="s">
        <v>3204</v>
      </c>
      <c r="C3199">
        <f>HYPERLINK("C:\Users\franc\OneDrive\Documentos\MALENTIN KARIME\Rosa\PROMESAS COMPRAVENTA\VEHICULO\ALEX SOLIS A OSCIEL FLORES.doc", "Abrir Documento")</f>
        <v>0</v>
      </c>
      <c r="D3199" t="s">
        <v>23500</v>
      </c>
      <c r="E3199" t="s">
        <v>26529</v>
      </c>
    </row>
    <row r="3200" spans="1:5">
      <c r="A3200" t="s">
        <v>6</v>
      </c>
      <c r="B3200" t="s">
        <v>3205</v>
      </c>
      <c r="C3200">
        <f>HYPERLINK("C:\Users\franc\OneDrive\Documentos\MALENTIN KARIME\Rosa\PROMESAS COMPRAVENTA\BIEN RAIZ\PATRICIO ARAYA A EDITH HERRERA LOPEZ.doc", "Abrir Documento")</f>
        <v>0</v>
      </c>
      <c r="D3200" t="s">
        <v>23500</v>
      </c>
      <c r="E3200" t="s">
        <v>26530</v>
      </c>
    </row>
    <row r="3201" spans="1:5">
      <c r="A3201" t="s">
        <v>6</v>
      </c>
      <c r="B3201" t="s">
        <v>3206</v>
      </c>
      <c r="C3201">
        <f>HYPERLINK("C:\Users\franc\OneDrive\Documentos\MALENTIN KARIME\Rosa\PROMESAS COMPRAVENTA\MINA\ARMANDO RODRIGUEZ A ENTRE LOMA UNO DE OVALLE MINA.doc", "Abrir Documento")</f>
        <v>0</v>
      </c>
      <c r="D3201" t="s">
        <v>23500</v>
      </c>
      <c r="E3201" t="s">
        <v>26530</v>
      </c>
    </row>
    <row r="3202" spans="1:5">
      <c r="A3202" t="s">
        <v>6</v>
      </c>
      <c r="B3202" t="s">
        <v>3207</v>
      </c>
      <c r="C3202">
        <f>HYPERLINK("C:\Users\franc\OneDrive\Documentos\MALENTIN KARIME\Rosa\PROMESAS COMPRAVENTA\BIEN RAIZ\MELLADO MALUENDA  A LOS AROMOS LTDA..doc", "Abrir Documento")</f>
        <v>0</v>
      </c>
      <c r="D3202" t="s">
        <v>23500</v>
      </c>
      <c r="E3202" t="s">
        <v>26531</v>
      </c>
    </row>
    <row r="3203" spans="1:5">
      <c r="A3203" t="s">
        <v>6</v>
      </c>
      <c r="B3203" t="s">
        <v>3208</v>
      </c>
      <c r="C3203">
        <f>HYPERLINK("C:\Users\franc\OneDrive\Documentos\MALENTIN KARIME\Rosa\PROMESAS COMPRAVENTA\BIEN RAIZ\MELLADO MALUENDA  A NORTEANDINA.doc", "Abrir Documento")</f>
        <v>0</v>
      </c>
      <c r="D3203" t="s">
        <v>23500</v>
      </c>
      <c r="E3203" t="s">
        <v>26531</v>
      </c>
    </row>
    <row r="3204" spans="1:5">
      <c r="A3204" t="s">
        <v>6</v>
      </c>
      <c r="B3204" t="s">
        <v>3209</v>
      </c>
      <c r="C3204">
        <f>HYPERLINK("C:\Users\franc\OneDrive\Documentos\MALENTIN KARIME\Rosa\PROMESAS COMPRAVENTA\BIEN RAIZ\GABRIELA ALVARADO A MARCELA ALV. Y OTROS.doc", "Abrir Documento")</f>
        <v>0</v>
      </c>
      <c r="D3204" t="s">
        <v>23500</v>
      </c>
      <c r="E3204" t="s">
        <v>26532</v>
      </c>
    </row>
    <row r="3205" spans="1:5">
      <c r="A3205" t="s">
        <v>6</v>
      </c>
      <c r="B3205" t="s">
        <v>3210</v>
      </c>
      <c r="C3205">
        <f>HYPERLINK("C:\Users\franc\OneDrive\Documentos\MALENTIN KARIME\Rosa\PROMESAS COMPRAVENTA\BIEN RAIZ\LUIS TATAN A GERAL TATAN.doc", "Abrir Documento")</f>
        <v>0</v>
      </c>
      <c r="D3205" t="s">
        <v>23500</v>
      </c>
      <c r="E3205" t="s">
        <v>26532</v>
      </c>
    </row>
    <row r="3206" spans="1:5">
      <c r="A3206" t="s">
        <v>6</v>
      </c>
      <c r="B3206" t="s">
        <v>3211</v>
      </c>
      <c r="C3206">
        <f>HYPERLINK("C:\Users\franc\OneDrive\Documentos\MALENTIN KARIME\Rosa\PROMESAS COMPRAVENTA\MODELO PROMESA.doc", "Abrir Documento")</f>
        <v>0</v>
      </c>
      <c r="D3206" t="s">
        <v>23500</v>
      </c>
      <c r="E3206" t="s">
        <v>26533</v>
      </c>
    </row>
    <row r="3207" spans="1:5">
      <c r="A3207" t="s">
        <v>6</v>
      </c>
      <c r="B3207" t="s">
        <v>3212</v>
      </c>
      <c r="C3207">
        <f>HYPERLINK("C:\Users\franc\OneDrive\Documentos\MALENTIN KARIME\Rosa\PROHIBICION SERVIU\PROHIBICIONES\PEDRO VILLEGAS HUERTA.doc", "Abrir Documento")</f>
        <v>0</v>
      </c>
      <c r="D3207" t="s">
        <v>23500</v>
      </c>
      <c r="E3207" t="s">
        <v>26534</v>
      </c>
    </row>
    <row r="3208" spans="1:5">
      <c r="A3208" t="s">
        <v>6</v>
      </c>
      <c r="B3208" t="s">
        <v>3213</v>
      </c>
      <c r="C3208">
        <f>HYPERLINK("C:\Users\franc\OneDrive\Documentos\MALENTIN KARIME\Rosa\PROHIBICION SERVIU\PROHIBICIONES\HERNAN HONORES EPUL.doc", "Abrir Documento")</f>
        <v>0</v>
      </c>
      <c r="D3208" t="s">
        <v>23500</v>
      </c>
      <c r="E3208" t="s">
        <v>26535</v>
      </c>
    </row>
    <row r="3209" spans="1:5">
      <c r="A3209" t="s">
        <v>6</v>
      </c>
      <c r="B3209" t="s">
        <v>3214</v>
      </c>
      <c r="C3209">
        <f>HYPERLINK("C:\Users\franc\OneDrive\Documentos\MALENTIN KARIME\Rosa\PROHIBICION SERVIU\PROHIBICIONES\CESAR CONTRERAS TAPIA.doc", "Abrir Documento")</f>
        <v>0</v>
      </c>
      <c r="D3209" t="s">
        <v>23500</v>
      </c>
      <c r="E3209" t="s">
        <v>26536</v>
      </c>
    </row>
    <row r="3210" spans="1:5">
      <c r="A3210" t="s">
        <v>6</v>
      </c>
      <c r="B3210" t="s">
        <v>3215</v>
      </c>
      <c r="C3210">
        <f>HYPERLINK("C:\Users\franc\OneDrive\Documentos\MALENTIN KARIME\Rosa\PROHIBICION SERVIU\PROHIBICIONES\FELIPE RAMOS GONZALEZ.doc", "Abrir Documento")</f>
        <v>0</v>
      </c>
      <c r="D3210" t="s">
        <v>23500</v>
      </c>
      <c r="E3210" t="s">
        <v>26536</v>
      </c>
    </row>
    <row r="3211" spans="1:5">
      <c r="A3211" t="s">
        <v>6</v>
      </c>
      <c r="B3211" t="s">
        <v>3216</v>
      </c>
      <c r="C3211">
        <f>HYPERLINK("C:\Users\franc\OneDrive\Documentos\MALENTIN KARIME\Rosa\PROHIBICION SERVIU\PROHIBICIONES\BERTA LAGUNAS CABEZAS.doc", "Abrir Documento")</f>
        <v>0</v>
      </c>
      <c r="D3211" t="s">
        <v>23500</v>
      </c>
      <c r="E3211" t="s">
        <v>26537</v>
      </c>
    </row>
    <row r="3212" spans="1:5">
      <c r="A3212" t="s">
        <v>6</v>
      </c>
      <c r="B3212" t="s">
        <v>3217</v>
      </c>
      <c r="C3212">
        <f>HYPERLINK("C:\Users\franc\OneDrive\Documentos\MALENTIN KARIME\Rosa\PROHIBICION SERVIU\DECLARACION NO PARENTESCO\DECLARACION JURADA.doc", "Abrir Documento")</f>
        <v>0</v>
      </c>
      <c r="D3212" t="s">
        <v>23500</v>
      </c>
      <c r="E3212" t="s">
        <v>26538</v>
      </c>
    </row>
    <row r="3213" spans="1:5">
      <c r="A3213" t="s">
        <v>6</v>
      </c>
      <c r="B3213" t="s">
        <v>3218</v>
      </c>
      <c r="C3213">
        <f>HYPERLINK("C:\Users\franc\OneDrive\Documentos\MALENTIN KARIME\Rosa\PRENDAS PARTICULARES\Prenda Sin Desplazamiento Humberto Aguirre S A v3-2.doc", "Abrir Documento")</f>
        <v>0</v>
      </c>
      <c r="D3213" t="s">
        <v>23500</v>
      </c>
      <c r="E3213" t="s">
        <v>26539</v>
      </c>
    </row>
    <row r="3214" spans="1:5">
      <c r="A3214" t="s">
        <v>6</v>
      </c>
      <c r="B3214" t="s">
        <v>3219</v>
      </c>
      <c r="C3214">
        <f>HYPERLINK("C:\Users\franc\OneDrive\Documentos\MALENTIN KARIME\Rosa\PRENDAS PARTICULARES\Pr 20190 Digna Castillo a Inv. Dalmacia ppu XD 7189-1.doc", "Abrir Documento")</f>
        <v>0</v>
      </c>
      <c r="D3214" t="s">
        <v>23500</v>
      </c>
      <c r="E3214" t="s">
        <v>26540</v>
      </c>
    </row>
    <row r="3215" spans="1:5">
      <c r="A3215" t="s">
        <v>6</v>
      </c>
      <c r="B3215" t="s">
        <v>3220</v>
      </c>
      <c r="C3215">
        <f>HYPERLINK("C:\Users\franc\OneDrive\Documentos\MALENTIN KARIME\Rosa\PRENDAS PARTICULARES\HUMBERTO AGUIRRE PRENDA.doc", "Abrir Documento")</f>
        <v>0</v>
      </c>
      <c r="D3215" t="s">
        <v>23500</v>
      </c>
      <c r="E3215" t="s">
        <v>26541</v>
      </c>
    </row>
    <row r="3216" spans="1:5">
      <c r="A3216" t="s">
        <v>6</v>
      </c>
      <c r="B3216" t="s">
        <v>3221</v>
      </c>
      <c r="C3216">
        <f>HYPERLINK("C:\Users\franc\OneDrive\Documentos\MALENTIN KARIME\Rosa\POR MINUTA\HILDERARD.doc", "Abrir Documento")</f>
        <v>0</v>
      </c>
      <c r="D3216" t="s">
        <v>23500</v>
      </c>
      <c r="E3216" t="s">
        <v>26542</v>
      </c>
    </row>
    <row r="3217" spans="1:5">
      <c r="A3217" t="s">
        <v>6</v>
      </c>
      <c r="B3217" t="s">
        <v>3222</v>
      </c>
      <c r="C3217">
        <f>HYPERLINK("C:\Users\franc\OneDrive\Documentos\MALENTIN KARIME\Rosa\PRENDAS PARTICULARES\Humberto Aguirre prenda mayo 2011 borrador.doc", "Abrir Documento")</f>
        <v>0</v>
      </c>
      <c r="D3217" t="s">
        <v>23500</v>
      </c>
      <c r="E3217" t="s">
        <v>26542</v>
      </c>
    </row>
    <row r="3218" spans="1:5">
      <c r="A3218" t="s">
        <v>6</v>
      </c>
      <c r="B3218" t="s">
        <v>3223</v>
      </c>
      <c r="C3218">
        <f>HYPERLINK("C:\Users\franc\OneDrive\Documentos\MALENTIN KARIME\Rosa\PENDIENTES ROSA\ISAAC RAMIREZ a SILVIA RAMIREZ autoriza cónyuge.doc", "Abrir Documento")</f>
        <v>0</v>
      </c>
      <c r="D3218" t="s">
        <v>23500</v>
      </c>
      <c r="E3218" t="s">
        <v>26543</v>
      </c>
    </row>
    <row r="3219" spans="1:5">
      <c r="A3219" t="s">
        <v>6</v>
      </c>
      <c r="B3219" t="s">
        <v>3224</v>
      </c>
      <c r="C3219">
        <f>HYPERLINK("C:\Users\franc\OneDrive\Documentos\MALENTIN KARIME\Rosa\PENDIENTES ROSA\VILMA VILLALOBOS Y OTROS A HUGO ORELLANA.doc", "Abrir Documento")</f>
        <v>0</v>
      </c>
      <c r="D3219" t="s">
        <v>23500</v>
      </c>
      <c r="E3219" t="s">
        <v>26543</v>
      </c>
    </row>
    <row r="3220" spans="1:5">
      <c r="A3220" t="s">
        <v>6</v>
      </c>
      <c r="B3220" t="s">
        <v>3225</v>
      </c>
      <c r="C3220">
        <f>HYPERLINK("C:\Users\franc\OneDrive\Documentos\MALENTIN KARIME\Rosa\PENDIENTES ROSA\ESTERMAN ARDILES A ALFREDO VILLAGRAN M. JUDICIAL.doc", "Abrir Documento")</f>
        <v>0</v>
      </c>
      <c r="D3220" t="s">
        <v>23500</v>
      </c>
      <c r="E3220" t="s">
        <v>26544</v>
      </c>
    </row>
    <row r="3221" spans="1:5">
      <c r="A3221" t="s">
        <v>6</v>
      </c>
      <c r="B3221" t="s">
        <v>3226</v>
      </c>
      <c r="C3221">
        <f>HYPERLINK("C:\Users\franc\OneDrive\Documentos\MALENTIN KARIME\Rosa\PARTICIONES Y SUBDIVISIONES\particion y subdivisión PATRICIA ALFARO.doc", "Abrir Documento")</f>
        <v>0</v>
      </c>
      <c r="D3221" t="s">
        <v>23500</v>
      </c>
      <c r="E3221" t="s">
        <v>26545</v>
      </c>
    </row>
    <row r="3222" spans="1:5">
      <c r="A3222" t="s">
        <v>6</v>
      </c>
      <c r="B3222" t="s">
        <v>3227</v>
      </c>
      <c r="C3222">
        <f>HYPERLINK("C:\Users\franc\OneDrive\Documentos\MALENTIN KARIME\Rosa\MUTUOS\WILLIAM ABUSLEME A CONSTR. GEMA LTDA.borrador 09 de junio.doc", "Abrir Documento")</f>
        <v>0</v>
      </c>
      <c r="D3222" t="s">
        <v>23500</v>
      </c>
      <c r="E3222" t="s">
        <v>26546</v>
      </c>
    </row>
    <row r="3223" spans="1:5">
      <c r="A3223" t="s">
        <v>6</v>
      </c>
      <c r="B3223" t="s">
        <v>3228</v>
      </c>
      <c r="C3223">
        <f>HYPERLINK("C:\Users\franc\OneDrive\Documentos\MALENTIN KARIME\Rosa\PACTO DE INDIVISION\PACTO INDIVISION SUCESION LUIS DIAZ VELIZ.doc", "Abrir Documento")</f>
        <v>0</v>
      </c>
      <c r="D3223" t="s">
        <v>23500</v>
      </c>
      <c r="E3223" t="s">
        <v>26546</v>
      </c>
    </row>
    <row r="3224" spans="1:5">
      <c r="A3224" t="s">
        <v>6</v>
      </c>
      <c r="B3224" t="s">
        <v>3229</v>
      </c>
      <c r="C3224">
        <f>HYPERLINK("C:\Users\franc\OneDrive\Documentos\MALENTIN KARIME\Rosa\MINUTAS POR CORREO\SERVICIOS PROFESIONALES.doc", "Abrir Documento")</f>
        <v>0</v>
      </c>
      <c r="D3224" t="s">
        <v>23500</v>
      </c>
      <c r="E3224" t="s">
        <v>26547</v>
      </c>
    </row>
    <row r="3225" spans="1:5">
      <c r="A3225" t="s">
        <v>6</v>
      </c>
      <c r="B3225" t="s">
        <v>3230</v>
      </c>
      <c r="C3225">
        <f>HYPERLINK("C:\Users\franc\OneDrive\Documentos\MALENTIN KARIME\Rosa\MUTUOS\WILLIAM ABUSLEME A CONSTR. GEMA LTDA..doc", "Abrir Documento")</f>
        <v>0</v>
      </c>
      <c r="D3225" t="s">
        <v>23500</v>
      </c>
      <c r="E3225" t="s">
        <v>26547</v>
      </c>
    </row>
    <row r="3226" spans="1:5">
      <c r="A3226" t="s">
        <v>6</v>
      </c>
      <c r="B3226" t="s">
        <v>3231</v>
      </c>
      <c r="C3226">
        <f>HYPERLINK("C:\Users\franc\OneDrive\Documentos\MALENTIN KARIME\Rosa\MINUTAS POR CORREO\RIO MOSTAZAL 1.doc", "Abrir Documento")</f>
        <v>0</v>
      </c>
      <c r="D3226" t="s">
        <v>23500</v>
      </c>
      <c r="E3226" t="s">
        <v>26548</v>
      </c>
    </row>
    <row r="3227" spans="1:5">
      <c r="A3227" t="s">
        <v>6</v>
      </c>
      <c r="B3227" t="s">
        <v>3232</v>
      </c>
      <c r="C3227">
        <f>HYPERLINK("C:\Users\franc\OneDrive\Documentos\MALENTIN KARIME\Rosa\MINUTAS POR CORREO\RIO MOSTAZAL 2.doc", "Abrir Documento")</f>
        <v>0</v>
      </c>
      <c r="D3227" t="s">
        <v>23500</v>
      </c>
      <c r="E3227" t="s">
        <v>26548</v>
      </c>
    </row>
    <row r="3228" spans="1:5">
      <c r="A3228" t="s">
        <v>6</v>
      </c>
      <c r="B3228" t="s">
        <v>3233</v>
      </c>
      <c r="C3228">
        <f>HYPERLINK("C:\Users\franc\OneDrive\Documentos\MALENTIN KARIME\Rosa\MINUTAS POR CORREO\SANEAMIENTO SAN ISIDRO.- NOVIEMBRE.doc", "Abrir Documento")</f>
        <v>0</v>
      </c>
      <c r="D3228" t="s">
        <v>23500</v>
      </c>
      <c r="E3228" t="s">
        <v>26548</v>
      </c>
    </row>
    <row r="3229" spans="1:5">
      <c r="A3229" t="s">
        <v>6</v>
      </c>
      <c r="B3229" t="s">
        <v>3234</v>
      </c>
      <c r="C3229">
        <f>HYPERLINK("C:\Users\franc\OneDrive\Documentos\MALENTIN KARIME\Rosa\MINUTAS POR CORREO\RECONOCIMIENTO DE DEUDA (2) (2)[1].doc", "Abrir Documento")</f>
        <v>0</v>
      </c>
      <c r="D3229" t="s">
        <v>23500</v>
      </c>
      <c r="E3229" t="s">
        <v>26549</v>
      </c>
    </row>
    <row r="3230" spans="1:5">
      <c r="A3230" t="s">
        <v>6</v>
      </c>
      <c r="B3230" t="s">
        <v>3235</v>
      </c>
      <c r="C3230">
        <f>HYPERLINK("C:\Users\franc\OneDrive\Documentos\MALENTIN KARIME\Rosa\MINUTAS POR CORREO\RECONOCIMIENTO DE DEUDA (2)[1].doc", "Abrir Documento")</f>
        <v>0</v>
      </c>
      <c r="D3230" t="s">
        <v>23500</v>
      </c>
      <c r="E3230" t="s">
        <v>26549</v>
      </c>
    </row>
    <row r="3231" spans="1:5">
      <c r="A3231" t="s">
        <v>6</v>
      </c>
      <c r="B3231" t="s">
        <v>3236</v>
      </c>
      <c r="C3231">
        <f>HYPERLINK("C:\Users\franc\OneDrive\Documentos\MALENTIN KARIME\Rosa\MINUTAS POR CORREO\PROMESA.%20Mellado%20a%20Agr%C3%ADcola%20Norteandino%20v.%204[1].doc", "Abrir Documento")</f>
        <v>0</v>
      </c>
      <c r="D3231" t="s">
        <v>23500</v>
      </c>
      <c r="E3231" t="s">
        <v>26550</v>
      </c>
    </row>
    <row r="3232" spans="1:5">
      <c r="A3232" t="s">
        <v>6</v>
      </c>
      <c r="B3232" t="s">
        <v>3237</v>
      </c>
      <c r="C3232">
        <f>HYPERLINK("C:\Users\franc\OneDrive\Documentos\MALENTIN KARIME\Rosa\MINUTAS POR CORREO\PROMESA._Mellado_a_Los_Aromos_v._4[1].doc", "Abrir Documento")</f>
        <v>0</v>
      </c>
      <c r="D3232" t="s">
        <v>23500</v>
      </c>
      <c r="E3232" t="s">
        <v>26550</v>
      </c>
    </row>
    <row r="3233" spans="1:5">
      <c r="A3233" t="s">
        <v>6</v>
      </c>
      <c r="B3233" t="s">
        <v>3238</v>
      </c>
      <c r="C3233">
        <f>HYPERLINK("C:\Users\franc\OneDrive\Documentos\MALENTIN KARIME\Rosa\MINUTAS POR CORREO\PODER SIMPLE[1].doc", "Abrir Documento")</f>
        <v>0</v>
      </c>
      <c r="D3233" t="s">
        <v>23500</v>
      </c>
      <c r="E3233" t="s">
        <v>26551</v>
      </c>
    </row>
    <row r="3234" spans="1:5">
      <c r="A3234" t="s">
        <v>6</v>
      </c>
      <c r="B3234" t="s">
        <v>3239</v>
      </c>
      <c r="C3234">
        <f>HYPERLINK("C:\Users\franc\OneDrive\Documentos\MALENTIN KARIME\Rosa\MINUTAS POR CORREO\PODER NOTARIAL.doc", "Abrir Documento")</f>
        <v>0</v>
      </c>
      <c r="D3234" t="s">
        <v>23500</v>
      </c>
      <c r="E3234" t="s">
        <v>26552</v>
      </c>
    </row>
    <row r="3235" spans="1:5">
      <c r="A3235" t="s">
        <v>6</v>
      </c>
      <c r="B3235" t="s">
        <v>3240</v>
      </c>
      <c r="C3235">
        <f>HYPERLINK("C:\Users\franc\OneDrive\Documentos\MALENTIN KARIME\Rosa\MINUTAS POR CORREO\poder hermanos pinto a carmen pinto - febrero 2010[1].doc", "Abrir Documento")</f>
        <v>0</v>
      </c>
      <c r="D3235" t="s">
        <v>23500</v>
      </c>
      <c r="E3235" t="s">
        <v>26553</v>
      </c>
    </row>
    <row r="3236" spans="1:5">
      <c r="A3236" t="s">
        <v>6</v>
      </c>
      <c r="B3236" t="s">
        <v>3241</v>
      </c>
      <c r="C3236">
        <f>HYPERLINK("C:\Users\franc\OneDrive\Documentos\MALENTIN KARIME\Rosa\MINUTAS POR CORREO\Nora Vega Ramos [1]. febrero.doc", "Abrir Documento")</f>
        <v>0</v>
      </c>
      <c r="D3236" t="s">
        <v>23500</v>
      </c>
      <c r="E3236" t="s">
        <v>26554</v>
      </c>
    </row>
    <row r="3237" spans="1:5">
      <c r="A3237" t="s">
        <v>6</v>
      </c>
      <c r="B3237" t="s">
        <v>3242</v>
      </c>
      <c r="C3237">
        <f>HYPERLINK("C:\Users\franc\OneDrive\Documentos\MALENTIN KARIME\Rosa\MINUTAS POR CORREO\minuta del sifon (2)[1].doc", "Abrir Documento")</f>
        <v>0</v>
      </c>
      <c r="D3237" t="s">
        <v>23500</v>
      </c>
      <c r="E3237" t="s">
        <v>26555</v>
      </c>
    </row>
    <row r="3238" spans="1:5">
      <c r="A3238" t="s">
        <v>6</v>
      </c>
      <c r="B3238" t="s">
        <v>3243</v>
      </c>
      <c r="C3238">
        <f>HYPERLINK("C:\Users\franc\OneDrive\Documentos\MALENTIN KARIME\Rosa\MINUTAS POR CORREO\Mandato_dilema[1].doc", "Abrir Documento")</f>
        <v>0</v>
      </c>
      <c r="D3238" t="s">
        <v>23500</v>
      </c>
      <c r="E3238" t="s">
        <v>26556</v>
      </c>
    </row>
    <row r="3239" spans="1:5">
      <c r="A3239" t="s">
        <v>6</v>
      </c>
      <c r="B3239" t="s">
        <v>3244</v>
      </c>
      <c r="C3239">
        <f>HYPERLINK("C:\Users\franc\OneDrive\Documentos\MALENTIN KARIME\Rosa\MINUTAS POR CORREO\mandato judicial.doc", "Abrir Documento")</f>
        <v>0</v>
      </c>
      <c r="D3239" t="s">
        <v>23500</v>
      </c>
      <c r="E3239" t="s">
        <v>26557</v>
      </c>
    </row>
    <row r="3240" spans="1:5">
      <c r="A3240" t="s">
        <v>6</v>
      </c>
      <c r="B3240" t="s">
        <v>3245</v>
      </c>
      <c r="C3240">
        <f>HYPERLINK("C:\Users\franc\OneDrive\Documentos\MALENTIN KARIME\Rosa\MINUTAS POR CORREO\MANDATO.doc", "Abrir Documento")</f>
        <v>0</v>
      </c>
      <c r="D3240" t="s">
        <v>23500</v>
      </c>
      <c r="E3240" t="s">
        <v>26557</v>
      </c>
    </row>
    <row r="3241" spans="1:5">
      <c r="A3241" t="s">
        <v>6</v>
      </c>
      <c r="B3241" t="s">
        <v>3246</v>
      </c>
      <c r="C3241">
        <f>HYPERLINK("C:\Users\franc\OneDrive\Documentos\MALENTIN KARIME\Rosa\MINUTAS POR CORREO\mandato judicial y especial correo.doc", "Abrir Documento")</f>
        <v>0</v>
      </c>
      <c r="D3241" t="s">
        <v>23500</v>
      </c>
      <c r="E3241" t="s">
        <v>26558</v>
      </c>
    </row>
    <row r="3242" spans="1:5">
      <c r="A3242" t="s">
        <v>6</v>
      </c>
      <c r="B3242" t="s">
        <v>3247</v>
      </c>
      <c r="C3242">
        <f>HYPERLINK("C:\Users\franc\OneDrive\Documentos\MALENTIN KARIME\Rosa\MINUTAS POR CORREO\MANDATO ESPECIAL CRISTIN UNO ANDACOLLO Y OTRAS.doc", "Abrir Documento")</f>
        <v>0</v>
      </c>
      <c r="D3242" t="s">
        <v>23500</v>
      </c>
      <c r="E3242" t="s">
        <v>26559</v>
      </c>
    </row>
    <row r="3243" spans="1:5">
      <c r="A3243" t="s">
        <v>6</v>
      </c>
      <c r="B3243" t="s">
        <v>3248</v>
      </c>
      <c r="C3243">
        <f>HYPERLINK("C:\Users\franc\OneDrive\Documentos\MALENTIN KARIME\Rosa\MINUTAS POR CORREO\MANDATO JUDICIAL pamela hernandez.doc", "Abrir Documento")</f>
        <v>0</v>
      </c>
      <c r="D3243" t="s">
        <v>23500</v>
      </c>
      <c r="E3243" t="s">
        <v>26559</v>
      </c>
    </row>
    <row r="3244" spans="1:5">
      <c r="A3244" t="s">
        <v>6</v>
      </c>
      <c r="B3244" t="s">
        <v>3249</v>
      </c>
      <c r="C3244">
        <f>HYPERLINK("C:\Users\franc\OneDrive\Documentos\MALENTIN KARIME\Rosa\MINUTAS POR CORREO\Hipoteca Comercia 3º Grado Scotiabank Juan Lopez Pizarro, abril.doc", "Abrir Documento")</f>
        <v>0</v>
      </c>
      <c r="D3244" t="s">
        <v>23500</v>
      </c>
      <c r="E3244" t="s">
        <v>26560</v>
      </c>
    </row>
    <row r="3245" spans="1:5">
      <c r="A3245" t="s">
        <v>6</v>
      </c>
      <c r="B3245" t="s">
        <v>3250</v>
      </c>
      <c r="C3245">
        <f>HYPERLINK("C:\Users\franc\OneDrive\Documentos\MALENTIN KARIME\Rosa\MINUTAS POR CORREO\IRIS ROJAS.doc", "Abrir Documento")</f>
        <v>0</v>
      </c>
      <c r="D3245" t="s">
        <v>23500</v>
      </c>
      <c r="E3245" t="s">
        <v>26560</v>
      </c>
    </row>
    <row r="3246" spans="1:5">
      <c r="A3246" t="s">
        <v>6</v>
      </c>
      <c r="B3246" t="s">
        <v>3251</v>
      </c>
      <c r="C3246">
        <f>HYPERLINK("C:\Users\franc\OneDrive\Documentos\MALENTIN KARIME\Rosa\MINUTAS POR CORREO\Escritura de Aclaración.doc.doc", "Abrir Documento")</f>
        <v>0</v>
      </c>
      <c r="D3246" t="s">
        <v>23500</v>
      </c>
      <c r="E3246" t="s">
        <v>26561</v>
      </c>
    </row>
    <row r="3247" spans="1:5">
      <c r="A3247" t="s">
        <v>6</v>
      </c>
      <c r="B3247" t="s">
        <v>3252</v>
      </c>
      <c r="C3247">
        <f>HYPERLINK("C:\Users\franc\OneDrive\Documentos\MALENTIN KARIME\Rosa\MINUTAS POR CORREO\Declaracion y Poder Sitio Ruta Los Vilos La Serena 7[1].doc", "Abrir Documento")</f>
        <v>0</v>
      </c>
      <c r="D3247" t="s">
        <v>23500</v>
      </c>
      <c r="E3247" t="s">
        <v>26562</v>
      </c>
    </row>
    <row r="3248" spans="1:5">
      <c r="A3248" t="s">
        <v>6</v>
      </c>
      <c r="B3248" t="s">
        <v>3253</v>
      </c>
      <c r="C3248">
        <f>HYPERLINK("C:\Users\franc\OneDrive\Documentos\MALENTIN KARIME\Rosa\MINUTAS POR CORREO\COMPRAVENTA.doc", "Abrir Documento")</f>
        <v>0</v>
      </c>
      <c r="D3248" t="s">
        <v>23500</v>
      </c>
      <c r="E3248" t="s">
        <v>26563</v>
      </c>
    </row>
    <row r="3249" spans="1:5">
      <c r="A3249" t="s">
        <v>6</v>
      </c>
      <c r="B3249" t="s">
        <v>3254</v>
      </c>
      <c r="C3249">
        <f>HYPERLINK("C:\Users\franc\OneDrive\Documentos\MALENTIN KARIME\Rosa\MINUTAS POR CORREO\compraventa alejandro santander.doc", "Abrir Documento")</f>
        <v>0</v>
      </c>
      <c r="D3249" t="s">
        <v>23500</v>
      </c>
      <c r="E3249" t="s">
        <v>26564</v>
      </c>
    </row>
    <row r="3250" spans="1:5">
      <c r="A3250" t="s">
        <v>6</v>
      </c>
      <c r="B3250" t="s">
        <v>3255</v>
      </c>
      <c r="C3250">
        <f>HYPERLINK("C:\Users\franc\OneDrive\Documentos\MALENTIN KARIME\Rosa\MINUTAS POR CORREO\COMPRAVENTA FIAT[1] modificado.doc", "Abrir Documento")</f>
        <v>0</v>
      </c>
      <c r="D3250" t="s">
        <v>23500</v>
      </c>
      <c r="E3250" t="s">
        <v>26564</v>
      </c>
    </row>
    <row r="3251" spans="1:5">
      <c r="A3251" t="s">
        <v>6</v>
      </c>
      <c r="B3251" t="s">
        <v>3256</v>
      </c>
      <c r="C3251">
        <f>HYPERLINK("C:\Users\franc\OneDrive\Documentos\MALENTIN KARIME\Rosa\MINUTAS POR CORREO\ADJUDICACION.doc", "Abrir Documento")</f>
        <v>0</v>
      </c>
      <c r="D3251" t="s">
        <v>23500</v>
      </c>
      <c r="E3251" t="s">
        <v>26565</v>
      </c>
    </row>
    <row r="3252" spans="1:5">
      <c r="A3252" t="s">
        <v>6</v>
      </c>
      <c r="B3252" t="s">
        <v>3257</v>
      </c>
      <c r="C3252">
        <f>HYPERLINK("C:\Users\franc\OneDrive\Documentos\MALENTIN KARIME\Rosa\MINUTAS POR CORREO\BORRADOR MANDATO JUDICIAL.doc", "Abrir Documento")</f>
        <v>0</v>
      </c>
      <c r="D3252" t="s">
        <v>23500</v>
      </c>
      <c r="E3252" t="s">
        <v>26565</v>
      </c>
    </row>
    <row r="3253" spans="1:5">
      <c r="A3253" t="s">
        <v>6</v>
      </c>
      <c r="B3253" t="s">
        <v>3258</v>
      </c>
      <c r="C3253">
        <f>HYPERLINK("C:\Users\franc\OneDrive\Documentos\MALENTIN KARIME\Rosa\MINUTAS POR CORREO\ACTA RESCATE URBANO 05 04 2010[1].doc", "Abrir Documento")</f>
        <v>0</v>
      </c>
      <c r="D3253" t="s">
        <v>23500</v>
      </c>
      <c r="E3253" t="s">
        <v>26566</v>
      </c>
    </row>
    <row r="3254" spans="1:5">
      <c r="A3254" t="s">
        <v>6</v>
      </c>
      <c r="B3254" t="s">
        <v>3259</v>
      </c>
      <c r="C3254">
        <f>HYPERLINK("C:\Users\franc\OneDrive\Documentos\MALENTIN KARIME\Rosa\MINUTAS POR CORREO\ACTAS ESMEL[1].doc", "Abrir Documento")</f>
        <v>0</v>
      </c>
      <c r="D3254" t="s">
        <v>23500</v>
      </c>
      <c r="E3254" t="s">
        <v>26566</v>
      </c>
    </row>
    <row r="3255" spans="1:5">
      <c r="A3255" t="s">
        <v>6</v>
      </c>
      <c r="B3255" t="s">
        <v>3260</v>
      </c>
      <c r="C3255">
        <f>HYPERLINK("C:\Users\franc\OneDrive\Documentos\MALENTIN KARIME\Rosa\MINUTAS POR CORREO\acuerdo de divorcio.doc", "Abrir Documento")</f>
        <v>0</v>
      </c>
      <c r="D3255" t="s">
        <v>23500</v>
      </c>
      <c r="E3255" t="s">
        <v>26566</v>
      </c>
    </row>
    <row r="3256" spans="1:5">
      <c r="A3256" t="s">
        <v>6</v>
      </c>
      <c r="B3256" t="s">
        <v>3261</v>
      </c>
      <c r="C3256">
        <f>HYPERLINK("C:\Users\franc\OneDrive\Documentos\MALENTIN KARIME\Rosa\MANDATOS\PARA VENDER\brorradores\MANDATO MONICA BOLADOS A[1]..doc", "Abrir Documento")</f>
        <v>0</v>
      </c>
      <c r="D3256" t="s">
        <v>23500</v>
      </c>
      <c r="E3256" t="s">
        <v>26567</v>
      </c>
    </row>
    <row r="3257" spans="1:5">
      <c r="A3257" t="s">
        <v>6</v>
      </c>
      <c r="B3257" t="s">
        <v>3262</v>
      </c>
      <c r="C3257">
        <f>HYPERLINK("C:\Users\franc\OneDrive\Documentos\MALENTIN KARIME\Rosa\MINUTAS POR CORREO\ACTA BOMBEROS.doc", "Abrir Documento")</f>
        <v>0</v>
      </c>
      <c r="D3257" t="s">
        <v>23500</v>
      </c>
      <c r="E3257" t="s">
        <v>26567</v>
      </c>
    </row>
    <row r="3258" spans="1:5">
      <c r="A3258" t="s">
        <v>6</v>
      </c>
      <c r="B3258" t="s">
        <v>3263</v>
      </c>
      <c r="C3258">
        <f>HYPERLINK("C:\Users\franc\OneDrive\Documentos\MALENTIN KARIME\Rosa\MANDATOS\PARA VENDER\TERESA BOLVARAN BUGUEÑO A ROSA DIAZ ORTIZ.doc", "Abrir Documento")</f>
        <v>0</v>
      </c>
      <c r="D3258" t="s">
        <v>23500</v>
      </c>
      <c r="E3258" t="s">
        <v>26568</v>
      </c>
    </row>
    <row r="3259" spans="1:5">
      <c r="A3259" t="s">
        <v>6</v>
      </c>
      <c r="B3259" t="s">
        <v>3264</v>
      </c>
      <c r="C3259">
        <f>HYPERLINK("C:\Users\franc\OneDrive\Documentos\MALENTIN KARIME\Rosa\MANDATOS\PARA VENDER\brorradores\MANDATO ESPECIAL PARA VENDER UNA PROPIEDAD SRA WILMA MACCHIAVELLO.-.doc", "Abrir Documento")</f>
        <v>0</v>
      </c>
      <c r="D3259" t="s">
        <v>23500</v>
      </c>
      <c r="E3259" t="s">
        <v>26568</v>
      </c>
    </row>
    <row r="3260" spans="1:5">
      <c r="A3260" t="s">
        <v>6</v>
      </c>
      <c r="B3260" t="s">
        <v>3265</v>
      </c>
      <c r="C3260">
        <f>HYPERLINK("C:\Users\franc\OneDrive\Documentos\MALENTIN KARIME\Rosa\MANDATOS\PARA VENDER\MONICA BOLADOS Y ESPOSO.doc", "Abrir Documento")</f>
        <v>0</v>
      </c>
      <c r="D3260" t="s">
        <v>23500</v>
      </c>
      <c r="E3260" t="s">
        <v>26569</v>
      </c>
    </row>
    <row r="3261" spans="1:5">
      <c r="A3261" t="s">
        <v>6</v>
      </c>
      <c r="B3261" t="s">
        <v>3266</v>
      </c>
      <c r="C3261">
        <f>HYPERLINK("C:\Users\franc\OneDrive\Documentos\MALENTIN KARIME\Rosa\MANDATOS\PARA VENDER\OMAR GODOY Y OTRO A CLAUDIA.doc", "Abrir Documento")</f>
        <v>0</v>
      </c>
      <c r="D3261" t="s">
        <v>23500</v>
      </c>
      <c r="E3261" t="s">
        <v>26569</v>
      </c>
    </row>
    <row r="3262" spans="1:5">
      <c r="A3262" t="s">
        <v>6</v>
      </c>
      <c r="B3262" t="s">
        <v>3267</v>
      </c>
      <c r="C3262">
        <f>HYPERLINK("C:\Users\franc\OneDrive\Documentos\MALENTIN KARIME\Rosa\MANDATOS\PARA VENDER\melania ortega ortega a arturo rojas.doc", "Abrir Documento")</f>
        <v>0</v>
      </c>
      <c r="D3262" t="s">
        <v>23500</v>
      </c>
      <c r="E3262" t="s">
        <v>26570</v>
      </c>
    </row>
    <row r="3263" spans="1:5">
      <c r="A3263" t="s">
        <v>6</v>
      </c>
      <c r="B3263" t="s">
        <v>3268</v>
      </c>
      <c r="C3263">
        <f>HYPERLINK("C:\Users\franc\OneDrive\Documentos\MALENTIN KARIME\Rosa\MANDATOS\PARA VENDER\MAURICIO GONZALEZ (autoriza esposa)  MARIA DURAN.doc", "Abrir Documento")</f>
        <v>0</v>
      </c>
      <c r="D3263" t="s">
        <v>23500</v>
      </c>
      <c r="E3263" t="s">
        <v>26571</v>
      </c>
    </row>
    <row r="3264" spans="1:5">
      <c r="A3264" t="s">
        <v>6</v>
      </c>
      <c r="B3264" t="s">
        <v>3269</v>
      </c>
      <c r="C3264">
        <f>HYPERLINK("C:\Users\franc\OneDrive\Documentos\MALENTIN KARIME\Rosa\MANDATOS\PARA VENDER\MARIA BARRAZA C A PASCUALA BARRAZA G. 1.doc", "Abrir Documento")</f>
        <v>0</v>
      </c>
      <c r="D3264" t="s">
        <v>23500</v>
      </c>
      <c r="E3264" t="s">
        <v>26572</v>
      </c>
    </row>
    <row r="3265" spans="1:5">
      <c r="A3265" t="s">
        <v>6</v>
      </c>
      <c r="B3265" t="s">
        <v>3270</v>
      </c>
      <c r="C3265">
        <f>HYPERLINK("C:\Users\franc\OneDrive\Documentos\MALENTIN KARIME\Rosa\MANDATOS\PARA VENDER\ISNELDA CORTES A MARIO CORTES.doc", "Abrir Documento")</f>
        <v>0</v>
      </c>
      <c r="D3265" t="s">
        <v>23500</v>
      </c>
      <c r="E3265" t="s">
        <v>26573</v>
      </c>
    </row>
    <row r="3266" spans="1:5">
      <c r="A3266" t="s">
        <v>6</v>
      </c>
      <c r="B3266" t="s">
        <v>3271</v>
      </c>
      <c r="C3266">
        <f>HYPERLINK("C:\Users\franc\OneDrive\Documentos\MALENTIN KARIME\Rosa\MANDATOS\PARA VENDER\JENARA JUAREZ Y OTRA.doc", "Abrir Documento")</f>
        <v>0</v>
      </c>
      <c r="D3266" t="s">
        <v>23500</v>
      </c>
      <c r="E3266" t="s">
        <v>26573</v>
      </c>
    </row>
    <row r="3267" spans="1:5">
      <c r="A3267" t="s">
        <v>6</v>
      </c>
      <c r="B3267" t="s">
        <v>3272</v>
      </c>
      <c r="C3267">
        <f>HYPERLINK("C:\Users\franc\OneDrive\Documentos\MALENTIN KARIME\Rosa\MANDATOS\PARA VENDER\HECTOR BARRAZA A PASCUALA BARRAZA G. 1.doc", "Abrir Documento")</f>
        <v>0</v>
      </c>
      <c r="D3267" t="s">
        <v>23500</v>
      </c>
      <c r="E3267" t="s">
        <v>26574</v>
      </c>
    </row>
    <row r="3268" spans="1:5">
      <c r="A3268" t="s">
        <v>6</v>
      </c>
      <c r="B3268" t="s">
        <v>3273</v>
      </c>
      <c r="C3268">
        <f>HYPERLINK("C:\Users\franc\OneDrive\Documentos\MALENTIN KARIME\Rosa\MANDATOS\PARA VENDER\ISABEL VARGAS a CLORINDA PEÑA comparece cónyuge.doc", "Abrir Documento")</f>
        <v>0</v>
      </c>
      <c r="D3268" t="s">
        <v>23500</v>
      </c>
      <c r="E3268" t="s">
        <v>26574</v>
      </c>
    </row>
    <row r="3269" spans="1:5">
      <c r="A3269" t="s">
        <v>6</v>
      </c>
      <c r="B3269" t="s">
        <v>3274</v>
      </c>
      <c r="C3269">
        <f>HYPERLINK("C:\Users\franc\OneDrive\Documentos\MALENTIN KARIME\Rosa\MANDATOS\PARA VENDER\ENRIQUE PEREZ A ROSA ESPINOZA.doc", "Abrir Documento")</f>
        <v>0</v>
      </c>
      <c r="D3269" t="s">
        <v>23500</v>
      </c>
      <c r="E3269" t="s">
        <v>26575</v>
      </c>
    </row>
    <row r="3270" spans="1:5">
      <c r="A3270" t="s">
        <v>6</v>
      </c>
      <c r="B3270" t="s">
        <v>3275</v>
      </c>
      <c r="C3270">
        <f>HYPERLINK("C:\Users\franc\OneDrive\Documentos\MALENTIN KARIME\Rosa\MANDATOS\PARA VENDER\FAMILIA TORRES RECABARREN.doc", "Abrir Documento")</f>
        <v>0</v>
      </c>
      <c r="D3270" t="s">
        <v>23500</v>
      </c>
      <c r="E3270" t="s">
        <v>26575</v>
      </c>
    </row>
    <row r="3271" spans="1:5">
      <c r="A3271" t="s">
        <v>6</v>
      </c>
      <c r="B3271" t="s">
        <v>3276</v>
      </c>
      <c r="C3271">
        <f>HYPERLINK("C:\Users\franc\OneDrive\Documentos\MALENTIN KARIME\Rosa\MANDATOS\PARA VENDER\DANIELLA MACHAVELLO para vender por minuta.doc", "Abrir Documento")</f>
        <v>0</v>
      </c>
      <c r="D3271" t="s">
        <v>23500</v>
      </c>
      <c r="E3271" t="s">
        <v>26576</v>
      </c>
    </row>
    <row r="3272" spans="1:5">
      <c r="A3272" t="s">
        <v>6</v>
      </c>
      <c r="B3272" t="s">
        <v>3277</v>
      </c>
      <c r="C3272">
        <f>HYPERLINK("C:\Users\franc\OneDrive\Documentos\MALENTIN KARIME\Rosa\MANDATOS\MINUTAS X CORREO\Poder Bancario AGROIND. STA. ADRIANA LTDA- MINUTA BORRADOR.doc", "Abrir Documento")</f>
        <v>0</v>
      </c>
      <c r="D3272" t="s">
        <v>23500</v>
      </c>
      <c r="E3272" t="s">
        <v>26577</v>
      </c>
    </row>
    <row r="3273" spans="1:5">
      <c r="A3273" t="s">
        <v>6</v>
      </c>
      <c r="B3273" t="s">
        <v>3278</v>
      </c>
      <c r="C3273">
        <f>HYPERLINK("C:\Users\franc\OneDrive\Documentos\MALENTIN KARIME\Rosa\MANDATOS\MANDATO PROVIDA\MIRTA ROJAS GALLARDO.doc", "Abrir Documento")</f>
        <v>0</v>
      </c>
      <c r="D3273" t="s">
        <v>23500</v>
      </c>
      <c r="E3273" t="s">
        <v>26578</v>
      </c>
    </row>
    <row r="3274" spans="1:5">
      <c r="A3274" t="s">
        <v>6</v>
      </c>
      <c r="B3274" t="s">
        <v>3279</v>
      </c>
      <c r="C3274">
        <f>HYPERLINK("C:\Users\franc\OneDrive\Documentos\MALENTIN KARIME\Rosa\MANDATOS\MANDATO PROVIDA\PABLA ROJAS Y OTROS A EDUARDO GUZMAN.doc", "Abrir Documento")</f>
        <v>0</v>
      </c>
      <c r="D3274" t="s">
        <v>23500</v>
      </c>
      <c r="E3274" t="s">
        <v>26578</v>
      </c>
    </row>
    <row r="3275" spans="1:5">
      <c r="A3275" t="s">
        <v>6</v>
      </c>
      <c r="B3275" t="s">
        <v>3280</v>
      </c>
      <c r="C3275">
        <f>HYPERLINK("C:\Users\franc\OneDrive\Documentos\MALENTIN KARIME\Rosa\MANDATOS\MANDATO PROVIDA\JUAN DIAZ R. Y OTS a ISMAEL DIAZ Provida.doc", "Abrir Documento")</f>
        <v>0</v>
      </c>
      <c r="D3275" t="s">
        <v>23500</v>
      </c>
      <c r="E3275" t="s">
        <v>26579</v>
      </c>
    </row>
    <row r="3276" spans="1:5">
      <c r="A3276" t="s">
        <v>6</v>
      </c>
      <c r="B3276" t="s">
        <v>3281</v>
      </c>
      <c r="C3276">
        <f>HYPERLINK("C:\Users\franc\OneDrive\Documentos\MALENTIN KARIME\Rosa\MANDATOS\JUDICIAL\VERONICA VARGAS LOPEZ\JAZMINA SOTO S[1]. a VERONICA VARGAS.doc", "Abrir Documento")</f>
        <v>0</v>
      </c>
      <c r="D3276" t="s">
        <v>23500</v>
      </c>
      <c r="E3276" t="s">
        <v>26580</v>
      </c>
    </row>
    <row r="3277" spans="1:5">
      <c r="A3277" t="s">
        <v>6</v>
      </c>
      <c r="B3277" t="s">
        <v>3282</v>
      </c>
      <c r="C3277">
        <f>HYPERLINK("C:\Users\franc\OneDrive\Documentos\MALENTIN KARIME\Rosa\MANDATOS\JUDICIAL\WASHINGTON ALTAMIRANO\ZAQUI ALAMO YANINE.doc", "Abrir Documento")</f>
        <v>0</v>
      </c>
      <c r="D3277" t="s">
        <v>23500</v>
      </c>
      <c r="E3277" t="s">
        <v>26580</v>
      </c>
    </row>
    <row r="3278" spans="1:5">
      <c r="A3278" t="s">
        <v>6</v>
      </c>
      <c r="B3278" t="s">
        <v>3283</v>
      </c>
      <c r="C3278">
        <f>HYPERLINK("C:\Users\franc\OneDrive\Documentos\MALENTIN KARIME\Rosa\MANDATOS\JUDICIAL\YAMILE GUSMAN NADGAR\IRIS ROJAS HERRERA.doc", "Abrir Documento")</f>
        <v>0</v>
      </c>
      <c r="D3278" t="s">
        <v>23500</v>
      </c>
      <c r="E3278" t="s">
        <v>26580</v>
      </c>
    </row>
    <row r="3279" spans="1:5">
      <c r="A3279" t="s">
        <v>6</v>
      </c>
      <c r="B3279" t="s">
        <v>3284</v>
      </c>
      <c r="C3279">
        <f>HYPERLINK("C:\Users\franc\OneDrive\Documentos\MALENTIN KARIME\Rosa\MANDATOS\JUDICIAL\VALERIA PLACENCIO LAMAS\MANDATO CARMIGLIA PLACENCIO[1].doc", "Abrir Documento")</f>
        <v>0</v>
      </c>
      <c r="D3279" t="s">
        <v>23500</v>
      </c>
      <c r="E3279" t="s">
        <v>26581</v>
      </c>
    </row>
    <row r="3280" spans="1:5">
      <c r="A3280" t="s">
        <v>6</v>
      </c>
      <c r="B3280" t="s">
        <v>3285</v>
      </c>
      <c r="C3280">
        <f>HYPERLINK("C:\Users\franc\OneDrive\Documentos\MALENTIN KARIME\Rosa\MANDATOS\JUDICIAL\VALERIA PLACENCIO LAMAS\SERGIO GARMIGLIA YAÑEZ.doc", "Abrir Documento")</f>
        <v>0</v>
      </c>
      <c r="D3280" t="s">
        <v>23500</v>
      </c>
      <c r="E3280" t="s">
        <v>26581</v>
      </c>
    </row>
    <row r="3281" spans="1:5">
      <c r="A3281" t="s">
        <v>6</v>
      </c>
      <c r="B3281" t="s">
        <v>3286</v>
      </c>
      <c r="C3281">
        <f>HYPERLINK("C:\Users\franc\OneDrive\Documentos\MALENTIN KARIME\Rosa\MANDATOS\JUDICIAL\SEBASTIAN PEREZ VICENCIO MINUTA\MONICA ROJAS A SEBASTIAN  PEREZ V..doc", "Abrir Documento")</f>
        <v>0</v>
      </c>
      <c r="D3281" t="s">
        <v>23500</v>
      </c>
      <c r="E3281" t="s">
        <v>26582</v>
      </c>
    </row>
    <row r="3282" spans="1:5">
      <c r="A3282" t="s">
        <v>6</v>
      </c>
      <c r="B3282" t="s">
        <v>3287</v>
      </c>
      <c r="C3282">
        <f>HYPERLINK("C:\Users\franc\OneDrive\Documentos\MALENTIN KARIME\Rosa\MANDATOS\JUDICIAL\SANTIAGO NETLE ROJO\RAMIRO BARCELO CONTRERAS.doc", "Abrir Documento")</f>
        <v>0</v>
      </c>
      <c r="D3282" t="s">
        <v>23500</v>
      </c>
      <c r="E3282" t="s">
        <v>26583</v>
      </c>
    </row>
    <row r="3283" spans="1:5">
      <c r="A3283" t="s">
        <v>6</v>
      </c>
      <c r="B3283" t="s">
        <v>3288</v>
      </c>
      <c r="C3283">
        <f>HYPERLINK("C:\Users\franc\OneDrive\Documentos\MALENTIN KARIME\Rosa\MANDATOS\JUDICIAL\SANTIAGO NETLE ROJO\MARIA LOPEZ VARAS.doc", "Abrir Documento")</f>
        <v>0</v>
      </c>
      <c r="D3283" t="s">
        <v>23500</v>
      </c>
      <c r="E3283" t="s">
        <v>26584</v>
      </c>
    </row>
    <row r="3284" spans="1:5">
      <c r="A3284" t="s">
        <v>6</v>
      </c>
      <c r="B3284" t="s">
        <v>3289</v>
      </c>
      <c r="C3284">
        <f>HYPERLINK("C:\Users\franc\OneDrive\Documentos\MALENTIN KARIME\Rosa\MANDATOS\JUDICIAL\SANTIAGO NETLE ROJO\MARIA LOPEZ VARAS JUNIO 2011.doc", "Abrir Documento")</f>
        <v>0</v>
      </c>
      <c r="D3284" t="s">
        <v>23500</v>
      </c>
      <c r="E3284" t="s">
        <v>26585</v>
      </c>
    </row>
    <row r="3285" spans="1:5">
      <c r="A3285" t="s">
        <v>6</v>
      </c>
      <c r="B3285" t="s">
        <v>3290</v>
      </c>
      <c r="C3285">
        <f>HYPERLINK("C:\Users\franc\OneDrive\Documentos\MALENTIN KARIME\Rosa\MANDATOS\JUDICIAL\RODRIGO CAMPOS OLIVA\MANUEL MOLINA LOPEZ.doc", "Abrir Documento")</f>
        <v>0</v>
      </c>
      <c r="D3285" t="s">
        <v>23500</v>
      </c>
      <c r="E3285" t="s">
        <v>26586</v>
      </c>
    </row>
    <row r="3286" spans="1:5">
      <c r="A3286" t="s">
        <v>6</v>
      </c>
      <c r="B3286" t="s">
        <v>3291</v>
      </c>
      <c r="C3286">
        <f>HYPERLINK("C:\Users\franc\OneDrive\Documentos\MALENTIN KARIME\Rosa\MANDATOS\JUDICIAL\ROBERTO VEGA CAMPUSANO\SYLVIA ROJAS CORTES.doc", "Abrir Documento")</f>
        <v>0</v>
      </c>
      <c r="D3286" t="s">
        <v>23500</v>
      </c>
      <c r="E3286" t="s">
        <v>26587</v>
      </c>
    </row>
    <row r="3287" spans="1:5">
      <c r="A3287" t="s">
        <v>6</v>
      </c>
      <c r="B3287" t="s">
        <v>3292</v>
      </c>
      <c r="C3287">
        <f>HYPERLINK("C:\Users\franc\OneDrive\Documentos\MALENTIN KARIME\Rosa\MANDATOS\JUDICIAL\ROBERTO VEGA CAMPUSANO\LEONEL JIMENEZ FLORES.doc", "Abrir Documento")</f>
        <v>0</v>
      </c>
      <c r="D3287" t="s">
        <v>23500</v>
      </c>
      <c r="E3287" t="s">
        <v>26588</v>
      </c>
    </row>
    <row r="3288" spans="1:5">
      <c r="A3288" t="s">
        <v>6</v>
      </c>
      <c r="B3288" t="s">
        <v>3293</v>
      </c>
      <c r="C3288">
        <f>HYPERLINK("C:\Users\franc\OneDrive\Documentos\MALENTIN KARIME\Rosa\MANDATOS\JUDICIAL\ROBERTO VEGA CAMPUSANO\JOSE FLORES ARAYA.doc", "Abrir Documento")</f>
        <v>0</v>
      </c>
      <c r="D3288" t="s">
        <v>23500</v>
      </c>
      <c r="E3288" t="s">
        <v>26589</v>
      </c>
    </row>
    <row r="3289" spans="1:5">
      <c r="A3289" t="s">
        <v>6</v>
      </c>
      <c r="B3289" t="s">
        <v>3294</v>
      </c>
      <c r="C3289">
        <f>HYPERLINK("C:\Users\franc\OneDrive\Documentos\MALENTIN KARIME\Rosa\MANDATOS\JUDICIAL\ROBERTO FUENZALIDA VILLAGRAN CURICO\VARIOS MANDANTES MINUTA.doc", "Abrir Documento")</f>
        <v>0</v>
      </c>
      <c r="D3289" t="s">
        <v>23500</v>
      </c>
      <c r="E3289" t="s">
        <v>26590</v>
      </c>
    </row>
    <row r="3290" spans="1:5">
      <c r="A3290" t="s">
        <v>6</v>
      </c>
      <c r="B3290" t="s">
        <v>3295</v>
      </c>
      <c r="C3290">
        <f>HYPERLINK("C:\Users\franc\OneDrive\Documentos\MALENTIN KARIME\Rosa\MANDATOS\JUDICIAL\RENE ALLENDE SENTIS\RENE CANDIA VENEGAS\RISO SCHAFF.doc", "Abrir Documento")</f>
        <v>0</v>
      </c>
      <c r="D3290" t="s">
        <v>23500</v>
      </c>
      <c r="E3290" t="s">
        <v>26591</v>
      </c>
    </row>
    <row r="3291" spans="1:5">
      <c r="A3291" t="s">
        <v>6</v>
      </c>
      <c r="B3291" t="s">
        <v>3296</v>
      </c>
      <c r="C3291">
        <f>HYPERLINK("C:\Users\franc\OneDrive\Documentos\MALENTIN KARIME\Rosa\MANDATOS\JUDICIAL\RENE ALLENDE SENTIS\RAMIRO BARCELO LOPEZ.doc", "Abrir Documento")</f>
        <v>0</v>
      </c>
      <c r="D3291" t="s">
        <v>23500</v>
      </c>
      <c r="E3291" t="s">
        <v>26592</v>
      </c>
    </row>
    <row r="3292" spans="1:5">
      <c r="A3292" t="s">
        <v>6</v>
      </c>
      <c r="B3292" t="s">
        <v>3297</v>
      </c>
      <c r="C3292">
        <f>HYPERLINK("C:\Users\franc\OneDrive\Documentos\MALENTIN KARIME\Rosa\MANDATOS\JUDICIAL\RENE ALLENDE SENTIS\MARIA CASTRO MUÑOZ.doc", "Abrir Documento")</f>
        <v>0</v>
      </c>
      <c r="D3292" t="s">
        <v>23500</v>
      </c>
      <c r="E3292" t="s">
        <v>26593</v>
      </c>
    </row>
    <row r="3293" spans="1:5">
      <c r="A3293" t="s">
        <v>6</v>
      </c>
      <c r="B3293" t="s">
        <v>3298</v>
      </c>
      <c r="C3293">
        <f>HYPERLINK("C:\Users\franc\OneDrive\Documentos\MALENTIN KARIME\Rosa\MANDATOS\JUDICIAL\RENE ALLENDE SENTIS\LUIS PROHENS VILLALON.doc", "Abrir Documento")</f>
        <v>0</v>
      </c>
      <c r="D3293" t="s">
        <v>23500</v>
      </c>
      <c r="E3293" t="s">
        <v>26594</v>
      </c>
    </row>
    <row r="3294" spans="1:5">
      <c r="A3294" t="s">
        <v>6</v>
      </c>
      <c r="B3294" t="s">
        <v>3299</v>
      </c>
      <c r="C3294">
        <f>HYPERLINK("C:\Users\franc\OneDrive\Documentos\MALENTIN KARIME\Rosa\MANDATOS\JUDICIAL\RAUL SALAMANCA\JULIO POLANCO GALARCE.doc", "Abrir Documento")</f>
        <v>0</v>
      </c>
      <c r="D3294" t="s">
        <v>23500</v>
      </c>
      <c r="E3294" t="s">
        <v>26595</v>
      </c>
    </row>
    <row r="3295" spans="1:5">
      <c r="A3295" t="s">
        <v>6</v>
      </c>
      <c r="B3295" t="s">
        <v>3300</v>
      </c>
      <c r="C3295">
        <f>HYPERLINK("C:\Users\franc\OneDrive\Documentos\MALENTIN KARIME\Rosa\MANDATOS\JUDICIAL\RAUL SALAMANCA\POR SOCIEDAD.doc", "Abrir Documento")</f>
        <v>0</v>
      </c>
      <c r="D3295" t="s">
        <v>23500</v>
      </c>
      <c r="E3295" t="s">
        <v>26595</v>
      </c>
    </row>
    <row r="3296" spans="1:5">
      <c r="A3296" t="s">
        <v>6</v>
      </c>
      <c r="B3296" t="s">
        <v>3301</v>
      </c>
      <c r="C3296">
        <f>HYPERLINK("C:\Users\franc\OneDrive\Documentos\MALENTIN KARIME\Rosa\MANDATOS\JUDICIAL\PEDRO GUTIERREZ\TRANSP. Y COLECTIVOS BOZO Y SANDOVAL LTDA..doc", "Abrir Documento")</f>
        <v>0</v>
      </c>
      <c r="D3296" t="s">
        <v>23500</v>
      </c>
      <c r="E3296" t="s">
        <v>26596</v>
      </c>
    </row>
    <row r="3297" spans="1:5">
      <c r="A3297" t="s">
        <v>6</v>
      </c>
      <c r="B3297" t="s">
        <v>3302</v>
      </c>
      <c r="C3297">
        <f>HYPERLINK("C:\Users\franc\OneDrive\Documentos\MALENTIN KARIME\Rosa\MANDATOS\JUDICIAL\PATRICIA ALFARO ULLOA\RUBEN CONTRERAS.doc", "Abrir Documento")</f>
        <v>0</v>
      </c>
      <c r="D3297" t="s">
        <v>23500</v>
      </c>
      <c r="E3297" t="s">
        <v>26597</v>
      </c>
    </row>
    <row r="3298" spans="1:5">
      <c r="A3298" t="s">
        <v>6</v>
      </c>
      <c r="B3298" t="s">
        <v>3303</v>
      </c>
      <c r="C3298">
        <f>HYPERLINK("C:\Users\franc\OneDrive\Documentos\MALENTIN KARIME\Rosa\MANDATOS\JUDICIAL\PAMELA GALLARDO\MARCELA GUTIERREZ.doc", "Abrir Documento")</f>
        <v>0</v>
      </c>
      <c r="D3298" t="s">
        <v>23500</v>
      </c>
      <c r="E3298" t="s">
        <v>26598</v>
      </c>
    </row>
    <row r="3299" spans="1:5">
      <c r="A3299" t="s">
        <v>6</v>
      </c>
      <c r="B3299" t="s">
        <v>3304</v>
      </c>
      <c r="C3299">
        <f>HYPERLINK("C:\Users\franc\OneDrive\Documentos\MALENTIN KARIME\Rosa\MANDATOS\JUDICIAL\PABLO CAMPILLAY DIAZ\RAUL LIZARDI.doc", "Abrir Documento")</f>
        <v>0</v>
      </c>
      <c r="D3299" t="s">
        <v>23500</v>
      </c>
      <c r="E3299" t="s">
        <v>26599</v>
      </c>
    </row>
    <row r="3300" spans="1:5">
      <c r="A3300" t="s">
        <v>6</v>
      </c>
      <c r="B3300" t="s">
        <v>3305</v>
      </c>
      <c r="C3300">
        <f>HYPERLINK("C:\Users\franc\OneDrive\Documentos\MALENTIN KARIME\Rosa\MANDATOS\JUDICIAL\PABLO CAMPILLAY DIAZ\RAUL LIZARDI LUCO.doc", "Abrir Documento")</f>
        <v>0</v>
      </c>
      <c r="D3300" t="s">
        <v>23500</v>
      </c>
      <c r="E3300" t="s">
        <v>26600</v>
      </c>
    </row>
    <row r="3301" spans="1:5">
      <c r="A3301" t="s">
        <v>6</v>
      </c>
      <c r="B3301" t="s">
        <v>3306</v>
      </c>
      <c r="C3301">
        <f>HYPERLINK("C:\Users\franc\OneDrive\Documentos\MALENTIN KARIME\Rosa\MANDATOS\JUDICIAL\OSCAR JACOB  FILIPPI\FRANCISCO ARAYA GALLARDO.doc", "Abrir Documento")</f>
        <v>0</v>
      </c>
      <c r="D3301" t="s">
        <v>23500</v>
      </c>
      <c r="E3301" t="s">
        <v>26601</v>
      </c>
    </row>
    <row r="3302" spans="1:5">
      <c r="A3302" t="s">
        <v>6</v>
      </c>
      <c r="B3302" t="s">
        <v>3307</v>
      </c>
      <c r="C3302">
        <f>HYPERLINK("C:\Users\franc\OneDrive\Documentos\MALENTIN KARIME\Rosa\MANDATOS\JUDICIAL\OSCAR AGUAYO\PAMELA HERNANDEZ.doc", "Abrir Documento")</f>
        <v>0</v>
      </c>
      <c r="D3302" t="s">
        <v>23500</v>
      </c>
      <c r="E3302" t="s">
        <v>26602</v>
      </c>
    </row>
    <row r="3303" spans="1:5">
      <c r="A3303" t="s">
        <v>6</v>
      </c>
      <c r="B3303" t="s">
        <v>3308</v>
      </c>
      <c r="C3303">
        <f>HYPERLINK("C:\Users\franc\OneDrive\Documentos\MALENTIN KARIME\Rosa\MANDATOS\JUDICIAL\MUNICIPALIDAD DE OVALLE- SRA. MARTA LOBOS\MUNICIPALIDAD DE OVALLE.doc", "Abrir Documento")</f>
        <v>0</v>
      </c>
      <c r="D3303" t="s">
        <v>23500</v>
      </c>
      <c r="E3303" t="s">
        <v>26603</v>
      </c>
    </row>
    <row r="3304" spans="1:5">
      <c r="A3304" t="s">
        <v>6</v>
      </c>
      <c r="B3304" t="s">
        <v>3309</v>
      </c>
      <c r="C3304">
        <f>HYPERLINK("C:\Users\franc\OneDrive\Documentos\MALENTIN KARIME\Rosa\MANDATOS\JUDICIAL\MUNICIPALIDAD DE OVALLE- SRA. MARTA LOBOS\MANUEL CORTES Y SERGIO CORTES.doc", "Abrir Documento")</f>
        <v>0</v>
      </c>
      <c r="D3304" t="s">
        <v>23500</v>
      </c>
      <c r="E3304" t="s">
        <v>26604</v>
      </c>
    </row>
    <row r="3305" spans="1:5">
      <c r="A3305" t="s">
        <v>6</v>
      </c>
      <c r="B3305" t="s">
        <v>3310</v>
      </c>
      <c r="C3305">
        <f>HYPERLINK("C:\Users\franc\OneDrive\Documentos\MALENTIN KARIME\Rosa\MANDATOS\JUDICIAL\MIGUEL SANHEZA QUEZADA\JOSE FLORES ARAYA.doc", "Abrir Documento")</f>
        <v>0</v>
      </c>
      <c r="D3305" t="s">
        <v>23500</v>
      </c>
      <c r="E3305" t="s">
        <v>26605</v>
      </c>
    </row>
    <row r="3306" spans="1:5">
      <c r="A3306" t="s">
        <v>6</v>
      </c>
      <c r="B3306" t="s">
        <v>3311</v>
      </c>
      <c r="C3306">
        <f>HYPERLINK("C:\Users\franc\OneDrive\Documentos\MALENTIN KARIME\Rosa\MANDATOS\JUDICIAL\MIGUEL SANHEZA QUEZADA\LADY VILLALOBOS BARRAZA.doc", "Abrir Documento")</f>
        <v>0</v>
      </c>
      <c r="D3306" t="s">
        <v>23500</v>
      </c>
      <c r="E3306" t="s">
        <v>26605</v>
      </c>
    </row>
    <row r="3307" spans="1:5">
      <c r="A3307" t="s">
        <v>6</v>
      </c>
      <c r="B3307" t="s">
        <v>3312</v>
      </c>
      <c r="C3307">
        <f>HYPERLINK("C:\Users\franc\OneDrive\Documentos\MALENTIN KARIME\Rosa\MANDATOS\JUDICIAL\MAURICIO DIAZ CATALDO\ANA CORTES MARAMBIO.doc", "Abrir Documento")</f>
        <v>0</v>
      </c>
      <c r="D3307" t="s">
        <v>23500</v>
      </c>
      <c r="E3307" t="s">
        <v>26606</v>
      </c>
    </row>
    <row r="3308" spans="1:5">
      <c r="A3308" t="s">
        <v>6</v>
      </c>
      <c r="B3308" t="s">
        <v>3313</v>
      </c>
      <c r="C3308">
        <f>HYPERLINK("C:\Users\franc\OneDrive\Documentos\MALENTIN KARIME\Rosa\MANDATOS\JUDICIAL\MARIO YAÑEZ VERGARA\AGRIC. ALFALFARES A MARIO YAÑEZ VERGARA.doc", "Abrir Documento")</f>
        <v>0</v>
      </c>
      <c r="D3308" t="s">
        <v>23500</v>
      </c>
      <c r="E3308" t="s">
        <v>26607</v>
      </c>
    </row>
    <row r="3309" spans="1:5">
      <c r="A3309" t="s">
        <v>6</v>
      </c>
      <c r="B3309" t="s">
        <v>3314</v>
      </c>
      <c r="C3309">
        <f>HYPERLINK("C:\Users\franc\OneDrive\Documentos\MALENTIN KARIME\Rosa\MANDATOS\JUDICIAL\MARIO CARVALLO Y OTRO\Mandato Leodan a CVillarroel y Mario Carvallo-1.doc", "Abrir Documento")</f>
        <v>0</v>
      </c>
      <c r="D3309" t="s">
        <v>23500</v>
      </c>
      <c r="E3309" t="s">
        <v>26608</v>
      </c>
    </row>
    <row r="3310" spans="1:5">
      <c r="A3310" t="s">
        <v>6</v>
      </c>
      <c r="B3310" t="s">
        <v>3315</v>
      </c>
      <c r="C3310">
        <f>HYPERLINK("C:\Users\franc\OneDrive\Documentos\MALENTIN KARIME\Rosa\MANDATOS\JUDICIAL\MARIO CARVALLO Y OTRO\LEODAN ALFARO.doc", "Abrir Documento")</f>
        <v>0</v>
      </c>
      <c r="D3310" t="s">
        <v>23500</v>
      </c>
      <c r="E3310" t="s">
        <v>26609</v>
      </c>
    </row>
    <row r="3311" spans="1:5">
      <c r="A3311" t="s">
        <v>6</v>
      </c>
      <c r="B3311" t="s">
        <v>3316</v>
      </c>
      <c r="C3311">
        <f>HYPERLINK("C:\Users\franc\OneDrive\Documentos\MALENTIN KARIME\Rosa\MANDATOS\JUDICIAL\MARIA DIAZ\mANDATO jUDICIAL cERRO CAMPANARIO-1.doc", "Abrir Documento")</f>
        <v>0</v>
      </c>
      <c r="D3311" t="s">
        <v>23500</v>
      </c>
      <c r="E3311" t="s">
        <v>26610</v>
      </c>
    </row>
    <row r="3312" spans="1:5">
      <c r="A3312" t="s">
        <v>6</v>
      </c>
      <c r="B3312" t="s">
        <v>3317</v>
      </c>
      <c r="C3312">
        <f>HYPERLINK("C:\Users\franc\OneDrive\Documentos\MALENTIN KARIME\Rosa\MANDATOS\JUDICIAL\MARIO BARRIOS\MARIA AVILES RIVERA.doc", "Abrir Documento")</f>
        <v>0</v>
      </c>
      <c r="D3312" t="s">
        <v>23500</v>
      </c>
      <c r="E3312" t="s">
        <v>26610</v>
      </c>
    </row>
    <row r="3313" spans="1:5">
      <c r="A3313" t="s">
        <v>6</v>
      </c>
      <c r="B3313" t="s">
        <v>3318</v>
      </c>
      <c r="C3313">
        <f>HYPERLINK("C:\Users\franc\OneDrive\Documentos\MALENTIN KARIME\Rosa\MANDATOS\JUDICIAL\MARCO CACERES MENDEZ\NORMAN JIMENEZ.doc", "Abrir Documento")</f>
        <v>0</v>
      </c>
      <c r="D3313" t="s">
        <v>23500</v>
      </c>
      <c r="E3313" t="s">
        <v>26611</v>
      </c>
    </row>
    <row r="3314" spans="1:5">
      <c r="A3314" t="s">
        <v>6</v>
      </c>
      <c r="B3314" t="s">
        <v>3319</v>
      </c>
      <c r="C3314">
        <f>HYPERLINK("C:\Users\franc\OneDrive\Documentos\MALENTIN KARIME\Rosa\MANDATOS\JUDICIAL\MARCO JURIN\SANTIAGO DAVILA ANDAUR.doc", "Abrir Documento")</f>
        <v>0</v>
      </c>
      <c r="D3314" t="s">
        <v>23500</v>
      </c>
      <c r="E3314" t="s">
        <v>26611</v>
      </c>
    </row>
    <row r="3315" spans="1:5">
      <c r="A3315" t="s">
        <v>6</v>
      </c>
      <c r="B3315" t="s">
        <v>3320</v>
      </c>
      <c r="C3315">
        <f>HYPERLINK("C:\Users\franc\OneDrive\Documentos\MALENTIN KARIME\Rosa\MANDATOS\JUDICIAL\LUIS TABILO VALDIVIESO\COMPAÑIA MINERA DEMETRIO TELLO.doc", "Abrir Documento")</f>
        <v>0</v>
      </c>
      <c r="D3315" t="s">
        <v>23500</v>
      </c>
      <c r="E3315" t="s">
        <v>26612</v>
      </c>
    </row>
    <row r="3316" spans="1:5">
      <c r="A3316" t="s">
        <v>6</v>
      </c>
      <c r="B3316" t="s">
        <v>3321</v>
      </c>
      <c r="C3316">
        <f>HYPERLINK("C:\Users\franc\OneDrive\Documentos\MALENTIN KARIME\Rosa\MANDATOS\JUDICIAL\LUIS PIZARRO\PODER_ESPECIAL_AIDA PUENTE CORDOVA.doc", "Abrir Documento")</f>
        <v>0</v>
      </c>
      <c r="D3316" t="s">
        <v>23500</v>
      </c>
      <c r="E3316" t="s">
        <v>26613</v>
      </c>
    </row>
    <row r="3317" spans="1:5">
      <c r="A3317" t="s">
        <v>6</v>
      </c>
      <c r="B3317" t="s">
        <v>3322</v>
      </c>
      <c r="C3317">
        <f>HYPERLINK("C:\Users\franc\OneDrive\Documentos\MALENTIN KARIME\Rosa\MANDATOS\JUDICIAL\LUIS REVECO JARPA\JUAN ROJAS CISTERNAS.doc", "Abrir Documento")</f>
        <v>0</v>
      </c>
      <c r="D3317" t="s">
        <v>23500</v>
      </c>
      <c r="E3317" t="s">
        <v>26613</v>
      </c>
    </row>
    <row r="3318" spans="1:5">
      <c r="A3318" t="s">
        <v>6</v>
      </c>
      <c r="B3318" t="s">
        <v>3323</v>
      </c>
      <c r="C3318">
        <f>HYPERLINK("C:\Users\franc\OneDrive\Documentos\MALENTIN KARIME\Rosa\MANDATOS\JUDICIAL\LUIS PIZARRO\MANDATO ESPECIAL Y JUDICIAL GALLARDO-2.doc", "Abrir Documento")</f>
        <v>0</v>
      </c>
      <c r="D3318" t="s">
        <v>23500</v>
      </c>
      <c r="E3318" t="s">
        <v>26614</v>
      </c>
    </row>
    <row r="3319" spans="1:5">
      <c r="A3319" t="s">
        <v>6</v>
      </c>
      <c r="B3319" t="s">
        <v>3324</v>
      </c>
      <c r="C3319">
        <f>HYPERLINK("C:\Users\franc\OneDrive\Documentos\MALENTIN KARIME\Rosa\MANDATOS\JUDICIAL\LUIS PIZARRO\AIDA PUENTE CORDOVA.doc", "Abrir Documento")</f>
        <v>0</v>
      </c>
      <c r="D3319" t="s">
        <v>23500</v>
      </c>
      <c r="E3319" t="s">
        <v>26615</v>
      </c>
    </row>
    <row r="3320" spans="1:5">
      <c r="A3320" t="s">
        <v>6</v>
      </c>
      <c r="B3320" t="s">
        <v>3325</v>
      </c>
      <c r="C3320">
        <f>HYPERLINK("C:\Users\franc\OneDrive\Documentos\MALENTIN KARIME\Rosa\MANDATOS\JUDICIAL\LUIS PIZARRO\AIDA PUENTE CORDOVA 06 mayo 2011.doc", "Abrir Documento")</f>
        <v>0</v>
      </c>
      <c r="D3320" t="s">
        <v>23500</v>
      </c>
      <c r="E3320" t="s">
        <v>26616</v>
      </c>
    </row>
    <row r="3321" spans="1:5">
      <c r="A3321" t="s">
        <v>6</v>
      </c>
      <c r="B3321" t="s">
        <v>3326</v>
      </c>
      <c r="C3321">
        <f>HYPERLINK("C:\Users\franc\OneDrive\Documentos\MALENTIN KARIME\Rosa\MANDATOS\JUDICIAL\JULIO POLANCO DABED\ROSARIO ALBANEZ CAMPUSANO.doc", "Abrir Documento")</f>
        <v>0</v>
      </c>
      <c r="D3321" t="s">
        <v>23500</v>
      </c>
      <c r="E3321" t="s">
        <v>26617</v>
      </c>
    </row>
    <row r="3322" spans="1:5">
      <c r="A3322" t="s">
        <v>6</v>
      </c>
      <c r="B3322" t="s">
        <v>3327</v>
      </c>
      <c r="C3322">
        <f>HYPERLINK("C:\Users\franc\OneDrive\Documentos\MALENTIN KARIME\Rosa\MANDATOS\JUDICIAL\LUCIANO SARMIENTO JARA\INVERSIONES E INMOBILIARIA INVEGON LTDA 2.doc", "Abrir Documento")</f>
        <v>0</v>
      </c>
      <c r="D3322" t="s">
        <v>23500</v>
      </c>
      <c r="E3322" t="s">
        <v>26617</v>
      </c>
    </row>
    <row r="3323" spans="1:5">
      <c r="A3323" t="s">
        <v>6</v>
      </c>
      <c r="B3323" t="s">
        <v>3328</v>
      </c>
      <c r="C3323">
        <f>HYPERLINK("C:\Users\franc\OneDrive\Documentos\MALENTIN KARIME\Rosa\MANDATOS\JUDICIAL\LUCIANO SARMIENTO JARA\ROSA RIVERA RIVERA.doc", "Abrir Documento")</f>
        <v>0</v>
      </c>
      <c r="D3323" t="s">
        <v>23500</v>
      </c>
      <c r="E3323" t="s">
        <v>26617</v>
      </c>
    </row>
    <row r="3324" spans="1:5">
      <c r="A3324" t="s">
        <v>6</v>
      </c>
      <c r="B3324" t="s">
        <v>3329</v>
      </c>
      <c r="C3324">
        <f>HYPERLINK("C:\Users\franc\OneDrive\Documentos\MALENTIN KARIME\Rosa\MANDATOS\JUDICIAL\JULIO POLANCO DABED\CARLOS ARTAL HUERTA.doc", "Abrir Documento")</f>
        <v>0</v>
      </c>
      <c r="D3324" t="s">
        <v>23500</v>
      </c>
      <c r="E3324" t="s">
        <v>26618</v>
      </c>
    </row>
    <row r="3325" spans="1:5">
      <c r="A3325" t="s">
        <v>6</v>
      </c>
      <c r="B3325" t="s">
        <v>3330</v>
      </c>
      <c r="C3325">
        <f>HYPERLINK("C:\Users\franc\OneDrive\Documentos\MALENTIN KARIME\Rosa\MANDATOS\JUDICIAL\JULIO POLANCO DABED\JUAN RIVERA CORTES.doc", "Abrir Documento")</f>
        <v>0</v>
      </c>
      <c r="D3325" t="s">
        <v>23500</v>
      </c>
      <c r="E3325" t="s">
        <v>26618</v>
      </c>
    </row>
    <row r="3326" spans="1:5">
      <c r="A3326" t="s">
        <v>6</v>
      </c>
      <c r="B3326" t="s">
        <v>3331</v>
      </c>
      <c r="C3326">
        <f>HYPERLINK("C:\Users\franc\OneDrive\Documentos\MALENTIN KARIME\Rosa\MANDATOS\JUDICIAL\JUAN PABLO CORRAL\PATRICIA PAEZ PAEZ sin percibir.doc", "Abrir Documento")</f>
        <v>0</v>
      </c>
      <c r="D3326" t="s">
        <v>23500</v>
      </c>
      <c r="E3326" t="s">
        <v>26619</v>
      </c>
    </row>
    <row r="3327" spans="1:5">
      <c r="A3327" t="s">
        <v>6</v>
      </c>
      <c r="B3327" t="s">
        <v>3332</v>
      </c>
      <c r="C3327">
        <f>HYPERLINK("C:\Users\franc\OneDrive\Documentos\MALENTIN KARIME\Rosa\MANDATOS\JUDICIAL\JUAN PABLO CORRAL\RAUL MARAMBIO TORRES.doc", "Abrir Documento")</f>
        <v>0</v>
      </c>
      <c r="D3327" t="s">
        <v>23500</v>
      </c>
      <c r="E3327" t="s">
        <v>26619</v>
      </c>
    </row>
    <row r="3328" spans="1:5">
      <c r="A3328" t="s">
        <v>6</v>
      </c>
      <c r="B3328" t="s">
        <v>3333</v>
      </c>
      <c r="C3328">
        <f>HYPERLINK("C:\Users\franc\OneDrive\Documentos\MALENTIN KARIME\Rosa\MANDATOS\JUDICIAL\JUAN PABLO CORRAL\NORMA HERNANDEZ sin percibir.doc", "Abrir Documento")</f>
        <v>0</v>
      </c>
      <c r="D3328" t="s">
        <v>23500</v>
      </c>
      <c r="E3328" t="s">
        <v>26620</v>
      </c>
    </row>
    <row r="3329" spans="1:5">
      <c r="A3329" t="s">
        <v>6</v>
      </c>
      <c r="B3329" t="s">
        <v>3334</v>
      </c>
      <c r="C3329">
        <f>HYPERLINK("C:\Users\franc\OneDrive\Documentos\MALENTIN KARIME\Rosa\MANDATOS\JUDICIAL\JUAN PABLO CORRAL\LORENA VARAS ARAYA.doc", "Abrir Documento")</f>
        <v>0</v>
      </c>
      <c r="D3329" t="s">
        <v>23500</v>
      </c>
      <c r="E3329" t="s">
        <v>26621</v>
      </c>
    </row>
    <row r="3330" spans="1:5">
      <c r="A3330" t="s">
        <v>6</v>
      </c>
      <c r="B3330" t="s">
        <v>3335</v>
      </c>
      <c r="C3330">
        <f>HYPERLINK("C:\Users\franc\OneDrive\Documentos\MALENTIN KARIME\Rosa\MANDATOS\JUDICIAL\JUAN PABLO CORRAL\LUCIA VALDIVIA DELGADO.doc", "Abrir Documento")</f>
        <v>0</v>
      </c>
      <c r="D3330" t="s">
        <v>23500</v>
      </c>
      <c r="E3330" t="s">
        <v>26621</v>
      </c>
    </row>
    <row r="3331" spans="1:5">
      <c r="A3331" t="s">
        <v>6</v>
      </c>
      <c r="B3331" t="s">
        <v>3336</v>
      </c>
      <c r="C3331">
        <f>HYPERLINK("C:\Users\franc\OneDrive\Documentos\MALENTIN KARIME\Rosa\MANDATOS\JUDICIAL\JUAN PABLO CORRAL\FRANCISCO DIAZ COLLAO y otro.doc", "Abrir Documento")</f>
        <v>0</v>
      </c>
      <c r="D3331" t="s">
        <v>23500</v>
      </c>
      <c r="E3331" t="s">
        <v>26622</v>
      </c>
    </row>
    <row r="3332" spans="1:5">
      <c r="A3332" t="s">
        <v>6</v>
      </c>
      <c r="B3332" t="s">
        <v>3337</v>
      </c>
      <c r="C3332">
        <f>HYPERLINK("C:\Users\franc\OneDrive\Documentos\MALENTIN KARIME\Rosa\MANDATOS\JUDICIAL\JUAN PABLO CORRAL\HERNAN RAMOS OLATE.doc", "Abrir Documento")</f>
        <v>0</v>
      </c>
      <c r="D3332" t="s">
        <v>23500</v>
      </c>
      <c r="E3332" t="s">
        <v>26622</v>
      </c>
    </row>
    <row r="3333" spans="1:5">
      <c r="A3333" t="s">
        <v>6</v>
      </c>
      <c r="B3333" t="s">
        <v>3338</v>
      </c>
      <c r="C3333">
        <f>HYPERLINK("C:\Users\franc\OneDrive\Documentos\MALENTIN KARIME\Rosa\MANDATOS\JUDICIAL\JUAN PABLO CORRAL\FERNANDO PROHENS BOU.doc", "Abrir Documento")</f>
        <v>0</v>
      </c>
      <c r="D3333" t="s">
        <v>23500</v>
      </c>
      <c r="E3333" t="s">
        <v>26623</v>
      </c>
    </row>
    <row r="3334" spans="1:5">
      <c r="A3334" t="s">
        <v>6</v>
      </c>
      <c r="B3334" t="s">
        <v>3339</v>
      </c>
      <c r="C3334">
        <f>HYPERLINK("C:\Users\franc\OneDrive\Documentos\MALENTIN KARIME\Rosa\MANDATOS\JUDICIAL\JUAN MORAGA MENA\SERGIO COLLAO ROJAS.doc", "Abrir Documento")</f>
        <v>0</v>
      </c>
      <c r="D3334" t="s">
        <v>23500</v>
      </c>
      <c r="E3334" t="s">
        <v>26624</v>
      </c>
    </row>
    <row r="3335" spans="1:5">
      <c r="A3335" t="s">
        <v>6</v>
      </c>
      <c r="B3335" t="s">
        <v>3340</v>
      </c>
      <c r="C3335">
        <f>HYPERLINK("C:\Users\franc\OneDrive\Documentos\MALENTIN KARIME\Rosa\MANDATOS\JUDICIAL\JUAN MORAGA MENA\SERGIO COLLAO ROJAS A FELIX SOTO.doc", "Abrir Documento")</f>
        <v>0</v>
      </c>
      <c r="D3335" t="s">
        <v>23500</v>
      </c>
      <c r="E3335" t="s">
        <v>26625</v>
      </c>
    </row>
    <row r="3336" spans="1:5">
      <c r="A3336" t="s">
        <v>6</v>
      </c>
      <c r="B3336" t="s">
        <v>3341</v>
      </c>
      <c r="C3336">
        <f>HYPERLINK("C:\Users\franc\OneDrive\Documentos\MALENTIN KARIME\Rosa\MANDATOS\JUDICIAL\JOSE VALLEJOS BASUALTO\ROLANDO TABILO GARCIA.doc", "Abrir Documento")</f>
        <v>0</v>
      </c>
      <c r="D3336" t="s">
        <v>23500</v>
      </c>
      <c r="E3336" t="s">
        <v>26626</v>
      </c>
    </row>
    <row r="3337" spans="1:5">
      <c r="A3337" t="s">
        <v>6</v>
      </c>
      <c r="B3337" t="s">
        <v>3342</v>
      </c>
      <c r="C3337">
        <f>HYPERLINK("C:\Users\franc\OneDrive\Documentos\MALENTIN KARIME\Rosa\MANDATOS\JUDICIAL\JUAN AVALOS LUNA\PATRICIA SANHUEZA VELASQUEZ.doc", "Abrir Documento")</f>
        <v>0</v>
      </c>
      <c r="D3337" t="s">
        <v>23500</v>
      </c>
      <c r="E3337" t="s">
        <v>26626</v>
      </c>
    </row>
    <row r="3338" spans="1:5">
      <c r="A3338" t="s">
        <v>6</v>
      </c>
      <c r="B3338" t="s">
        <v>3343</v>
      </c>
      <c r="C3338">
        <f>HYPERLINK("C:\Users\franc\OneDrive\Documentos\MALENTIN KARIME\Rosa\MANDATOS\JUDICIAL\JORGE ALVARADO  RAMIREZ\VICENTE CORTES ARREDONDO.doc", "Abrir Documento")</f>
        <v>0</v>
      </c>
      <c r="D3338" t="s">
        <v>23500</v>
      </c>
      <c r="E3338" t="s">
        <v>26627</v>
      </c>
    </row>
    <row r="3339" spans="1:5">
      <c r="A3339" t="s">
        <v>6</v>
      </c>
      <c r="B3339" t="s">
        <v>3344</v>
      </c>
      <c r="C3339">
        <f>HYPERLINK("C:\Users\franc\OneDrive\Documentos\MALENTIN KARIME\Rosa\MANDATOS\JUDICIAL\JORGE ALVARADO  RAMIREZ\ROSARIO ALBANEZ CAMPUSANO.doc", "Abrir Documento")</f>
        <v>0</v>
      </c>
      <c r="D3339" t="s">
        <v>23500</v>
      </c>
      <c r="E3339" t="s">
        <v>26628</v>
      </c>
    </row>
    <row r="3340" spans="1:5">
      <c r="A3340" t="s">
        <v>6</v>
      </c>
      <c r="B3340" t="s">
        <v>3345</v>
      </c>
      <c r="C3340">
        <f>HYPERLINK("C:\Users\franc\OneDrive\Documentos\MALENTIN KARIME\Rosa\MANDATOS\JUDICIAL\JORGE ALVARADO  RAMIREZ\ROSA CAMPUSANO DIAZ.doc", "Abrir Documento")</f>
        <v>0</v>
      </c>
      <c r="D3340" t="s">
        <v>23500</v>
      </c>
      <c r="E3340" t="s">
        <v>26629</v>
      </c>
    </row>
    <row r="3341" spans="1:5">
      <c r="A3341" t="s">
        <v>6</v>
      </c>
      <c r="B3341" t="s">
        <v>3346</v>
      </c>
      <c r="C3341">
        <f>HYPERLINK("C:\Users\franc\OneDrive\Documentos\MALENTIN KARIME\Rosa\MANDATOS\JUDICIAL\JORGE ALVARADO  RAMIREZ\ROBERTO MORGADO.doc", "Abrir Documento")</f>
        <v>0</v>
      </c>
      <c r="D3341" t="s">
        <v>23500</v>
      </c>
      <c r="E3341" t="s">
        <v>26630</v>
      </c>
    </row>
    <row r="3342" spans="1:5">
      <c r="A3342" t="s">
        <v>6</v>
      </c>
      <c r="B3342" t="s">
        <v>3347</v>
      </c>
      <c r="C3342">
        <f>HYPERLINK("C:\Users\franc\OneDrive\Documentos\MALENTIN KARIME\Rosa\MANDATOS\JUDICIAL\JORGE ALVARADO  RAMIREZ\ROBINSON RUBINA Y JESSICA TOLEDO.doc", "Abrir Documento")</f>
        <v>0</v>
      </c>
      <c r="D3342" t="s">
        <v>23500</v>
      </c>
      <c r="E3342" t="s">
        <v>26630</v>
      </c>
    </row>
    <row r="3343" spans="1:5">
      <c r="A3343" t="s">
        <v>6</v>
      </c>
      <c r="B3343" t="s">
        <v>3348</v>
      </c>
      <c r="C3343">
        <f>HYPERLINK("C:\Users\franc\OneDrive\Documentos\MALENTIN KARIME\Rosa\MANDATOS\JUDICIAL\JORGE ALVARADO  RAMIREZ\ROBERTO MNORGADO.doc", "Abrir Documento")</f>
        <v>0</v>
      </c>
      <c r="D3343" t="s">
        <v>23500</v>
      </c>
      <c r="E3343" t="s">
        <v>26631</v>
      </c>
    </row>
    <row r="3344" spans="1:5">
      <c r="A3344" t="s">
        <v>6</v>
      </c>
      <c r="B3344" t="s">
        <v>3349</v>
      </c>
      <c r="C3344">
        <f>HYPERLINK("C:\Users\franc\OneDrive\Documentos\MALENTIN KARIME\Rosa\MANDATOS\JUDICIAL\JORGE ALVARADO  RAMIREZ\roberto del rosario castillo castillo.doc", "Abrir Documento")</f>
        <v>0</v>
      </c>
      <c r="D3344" t="s">
        <v>23500</v>
      </c>
      <c r="E3344" t="s">
        <v>26632</v>
      </c>
    </row>
    <row r="3345" spans="1:5">
      <c r="A3345" t="s">
        <v>6</v>
      </c>
      <c r="B3345" t="s">
        <v>3350</v>
      </c>
      <c r="C3345">
        <f>HYPERLINK("C:\Users\franc\OneDrive\Documentos\MALENTIN KARIME\Rosa\MANDATOS\JUDICIAL\JORGE ALVARADO  RAMIREZ\ROBERTO DIAZ ASTUDILLO.doc", "Abrir Documento")</f>
        <v>0</v>
      </c>
      <c r="D3345" t="s">
        <v>23500</v>
      </c>
      <c r="E3345" t="s">
        <v>26632</v>
      </c>
    </row>
    <row r="3346" spans="1:5">
      <c r="A3346" t="s">
        <v>6</v>
      </c>
      <c r="B3346" t="s">
        <v>3351</v>
      </c>
      <c r="C3346">
        <f>HYPERLINK("C:\Users\franc\OneDrive\Documentos\MALENTIN KARIME\Rosa\MANDATOS\JUDICIAL\JORGE ALVARADO  RAMIREZ\RISO SCHAF.doc", "Abrir Documento")</f>
        <v>0</v>
      </c>
      <c r="D3346" t="s">
        <v>23500</v>
      </c>
      <c r="E3346" t="s">
        <v>26633</v>
      </c>
    </row>
    <row r="3347" spans="1:5">
      <c r="A3347" t="s">
        <v>6</v>
      </c>
      <c r="B3347" t="s">
        <v>3352</v>
      </c>
      <c r="C3347">
        <f>HYPERLINK("C:\Users\franc\OneDrive\Documentos\MALENTIN KARIME\Rosa\MANDATOS\JUDICIAL\JORGE ALVARADO  RAMIREZ\LUCIA TORRES ASTORGA.doc", "Abrir Documento")</f>
        <v>0</v>
      </c>
      <c r="D3347" t="s">
        <v>23500</v>
      </c>
      <c r="E3347" t="s">
        <v>26634</v>
      </c>
    </row>
    <row r="3348" spans="1:5">
      <c r="A3348" t="s">
        <v>6</v>
      </c>
      <c r="B3348" t="s">
        <v>3353</v>
      </c>
      <c r="C3348">
        <f>HYPERLINK("C:\Users\franc\OneDrive\Documentos\MALENTIN KARIME\Rosa\MANDATOS\JUDICIAL\JORGE ALVARADO  RAMIREZ\MARIA MICHEA TELLO.doc", "Abrir Documento")</f>
        <v>0</v>
      </c>
      <c r="D3348" t="s">
        <v>23500</v>
      </c>
      <c r="E3348" t="s">
        <v>26634</v>
      </c>
    </row>
    <row r="3349" spans="1:5">
      <c r="A3349" t="s">
        <v>6</v>
      </c>
      <c r="B3349" t="s">
        <v>3354</v>
      </c>
      <c r="C3349">
        <f>HYPERLINK("C:\Users\franc\OneDrive\Documentos\MALENTIN KARIME\Rosa\MANDATOS\JUDICIAL\JORGE ALVARADO  RAMIREZ\MARIA VERGARA AVILA.doc", "Abrir Documento")</f>
        <v>0</v>
      </c>
      <c r="D3349" t="s">
        <v>23500</v>
      </c>
      <c r="E3349" t="s">
        <v>26634</v>
      </c>
    </row>
    <row r="3350" spans="1:5">
      <c r="A3350" t="s">
        <v>6</v>
      </c>
      <c r="B3350" t="s">
        <v>3355</v>
      </c>
      <c r="C3350">
        <f>HYPERLINK("C:\Users\franc\OneDrive\Documentos\MALENTIN KARIME\Rosa\MANDATOS\JUDICIAL\JORGE ALVARADO  RAMIREZ\JULIO CONTRERAS.doc", "Abrir Documento")</f>
        <v>0</v>
      </c>
      <c r="D3350" t="s">
        <v>23500</v>
      </c>
      <c r="E3350" t="s">
        <v>26635</v>
      </c>
    </row>
    <row r="3351" spans="1:5">
      <c r="A3351" t="s">
        <v>6</v>
      </c>
      <c r="B3351" t="s">
        <v>3356</v>
      </c>
      <c r="C3351">
        <f>HYPERLINK("C:\Users\franc\OneDrive\Documentos\MALENTIN KARIME\Rosa\MANDATOS\JUDICIAL\JORGE ALVARADO  RAMIREZ\JULIO GUTIERREZ FLORES.doc", "Abrir Documento")</f>
        <v>0</v>
      </c>
      <c r="D3351" t="s">
        <v>23500</v>
      </c>
      <c r="E3351" t="s">
        <v>26635</v>
      </c>
    </row>
    <row r="3352" spans="1:5">
      <c r="A3352" t="s">
        <v>6</v>
      </c>
      <c r="B3352" t="s">
        <v>3357</v>
      </c>
      <c r="C3352">
        <f>HYPERLINK("C:\Users\franc\OneDrive\Documentos\MALENTIN KARIME\Rosa\MANDATOS\JUDICIAL\JORGE ALVARADO  RAMIREZ\JOSE TOLEDO.doc", "Abrir Documento")</f>
        <v>0</v>
      </c>
      <c r="D3352" t="s">
        <v>23500</v>
      </c>
      <c r="E3352" t="s">
        <v>26636</v>
      </c>
    </row>
    <row r="3353" spans="1:5">
      <c r="A3353" t="s">
        <v>6</v>
      </c>
      <c r="B3353" t="s">
        <v>3358</v>
      </c>
      <c r="C3353">
        <f>HYPERLINK("C:\Users\franc\OneDrive\Documentos\MALENTIN KARIME\Rosa\MANDATOS\JUDICIAL\JORGE ALVARADO  RAMIREZ\JUAN CASTILLO RAMOS.doc", "Abrir Documento")</f>
        <v>0</v>
      </c>
      <c r="D3353" t="s">
        <v>23500</v>
      </c>
      <c r="E3353" t="s">
        <v>26636</v>
      </c>
    </row>
    <row r="3354" spans="1:5">
      <c r="A3354" t="s">
        <v>6</v>
      </c>
      <c r="B3354" t="s">
        <v>3359</v>
      </c>
      <c r="C3354">
        <f>HYPERLINK("C:\Users\franc\OneDrive\Documentos\MALENTIN KARIME\Rosa\MANDATOS\JUDICIAL\JORGE ALVARADO  RAMIREZ\JORGE MIRANDA ALFARO.doc", "Abrir Documento")</f>
        <v>0</v>
      </c>
      <c r="D3354" t="s">
        <v>23500</v>
      </c>
      <c r="E3354" t="s">
        <v>26637</v>
      </c>
    </row>
    <row r="3355" spans="1:5">
      <c r="A3355" t="s">
        <v>6</v>
      </c>
      <c r="B3355" t="s">
        <v>3360</v>
      </c>
      <c r="C3355">
        <f>HYPERLINK("C:\Users\franc\OneDrive\Documentos\MALENTIN KARIME\Rosa\MANDATOS\JUDICIAL\JORGE ALVARADO  RAMIREZ\JOSE RAMOS ARAYA.doc", "Abrir Documento")</f>
        <v>0</v>
      </c>
      <c r="D3355" t="s">
        <v>23500</v>
      </c>
      <c r="E3355" t="s">
        <v>26637</v>
      </c>
    </row>
    <row r="3356" spans="1:5">
      <c r="A3356" t="s">
        <v>6</v>
      </c>
      <c r="B3356" t="s">
        <v>3361</v>
      </c>
      <c r="C3356">
        <f>HYPERLINK("C:\Users\franc\OneDrive\Documentos\MALENTIN KARIME\Rosa\MANDATOS\JUDICIAL\JORGE ALVARADO  RAMIREZ\JAVIER DIAZ OLIVARES.doc", "Abrir Documento")</f>
        <v>0</v>
      </c>
      <c r="D3356" t="s">
        <v>23500</v>
      </c>
      <c r="E3356" t="s">
        <v>26638</v>
      </c>
    </row>
    <row r="3357" spans="1:5">
      <c r="A3357" t="s">
        <v>6</v>
      </c>
      <c r="B3357" t="s">
        <v>3362</v>
      </c>
      <c r="C3357">
        <f>HYPERLINK("C:\Users\franc\OneDrive\Documentos\MALENTIN KARIME\Rosa\MANDATOS\JUDICIAL\JORGE ALVARADO  RAMIREZ\GLORIA BRAVO HERNANDEZ.doc", "Abrir Documento")</f>
        <v>0</v>
      </c>
      <c r="D3357" t="s">
        <v>23500</v>
      </c>
      <c r="E3357" t="s">
        <v>26639</v>
      </c>
    </row>
    <row r="3358" spans="1:5">
      <c r="A3358" t="s">
        <v>6</v>
      </c>
      <c r="B3358" t="s">
        <v>3363</v>
      </c>
      <c r="C3358">
        <f>HYPERLINK("C:\Users\franc\OneDrive\Documentos\MALENTIN KARIME\Rosa\MANDATOS\JUDICIAL\JORGE ALVARADO  RAMIREZ\INGRID DOMINGUEZ DIAZ.doc", "Abrir Documento")</f>
        <v>0</v>
      </c>
      <c r="D3358" t="s">
        <v>23500</v>
      </c>
      <c r="E3358" t="s">
        <v>26639</v>
      </c>
    </row>
    <row r="3359" spans="1:5">
      <c r="A3359" t="s">
        <v>6</v>
      </c>
      <c r="B3359" t="s">
        <v>3364</v>
      </c>
      <c r="C3359">
        <f>HYPERLINK("C:\Users\franc\OneDrive\Documentos\MALENTIN KARIME\Rosa\MANDATOS\JUDICIAL\JORGE ALVARADO  RAMIREZ\GABRIEL TORRES ALARCON.doc", "Abrir Documento")</f>
        <v>0</v>
      </c>
      <c r="D3359" t="s">
        <v>23500</v>
      </c>
      <c r="E3359" t="s">
        <v>26640</v>
      </c>
    </row>
    <row r="3360" spans="1:5">
      <c r="A3360" t="s">
        <v>6</v>
      </c>
      <c r="B3360" t="s">
        <v>3365</v>
      </c>
      <c r="C3360">
        <f>HYPERLINK("C:\Users\franc\OneDrive\Documentos\MALENTIN KARIME\Rosa\MANDATOS\JUDICIAL\JORGE ALVARADO  RAMIREZ\FRANCISCO HERBNANDEZ MUÑOZ.doc", "Abrir Documento")</f>
        <v>0</v>
      </c>
      <c r="D3360" t="s">
        <v>23500</v>
      </c>
      <c r="E3360" t="s">
        <v>26641</v>
      </c>
    </row>
    <row r="3361" spans="1:5">
      <c r="A3361" t="s">
        <v>6</v>
      </c>
      <c r="B3361" t="s">
        <v>3366</v>
      </c>
      <c r="C3361">
        <f>HYPERLINK("C:\Users\franc\OneDrive\Documentos\MALENTIN KARIME\Rosa\MANDATOS\JUDICIAL\JORGE ALVARADO  RAMIREZ\EDITH CORTES CERDA.doc", "Abrir Documento")</f>
        <v>0</v>
      </c>
      <c r="D3361" t="s">
        <v>23500</v>
      </c>
      <c r="E3361" t="s">
        <v>26642</v>
      </c>
    </row>
    <row r="3362" spans="1:5">
      <c r="A3362" t="s">
        <v>6</v>
      </c>
      <c r="B3362" t="s">
        <v>3367</v>
      </c>
      <c r="C3362">
        <f>HYPERLINK("C:\Users\franc\OneDrive\Documentos\MALENTIN KARIME\Rosa\MANDATOS\JUDICIAL\JORGE ALVARADO  RAMIREZ\ELBA OLIVARES FLORES.doc", "Abrir Documento")</f>
        <v>0</v>
      </c>
      <c r="D3362" t="s">
        <v>23500</v>
      </c>
      <c r="E3362" t="s">
        <v>26642</v>
      </c>
    </row>
    <row r="3363" spans="1:5">
      <c r="A3363" t="s">
        <v>6</v>
      </c>
      <c r="B3363" t="s">
        <v>3368</v>
      </c>
      <c r="C3363">
        <f>HYPERLINK("C:\Users\franc\OneDrive\Documentos\MALENTIN KARIME\Rosa\MANDATOS\JUDICIAL\JORGE ALVARADO  RAMIREZ\CLOTILDE ALVARADO.doc", "Abrir Documento")</f>
        <v>0</v>
      </c>
      <c r="D3363" t="s">
        <v>23500</v>
      </c>
      <c r="E3363" t="s">
        <v>26643</v>
      </c>
    </row>
    <row r="3364" spans="1:5">
      <c r="A3364" t="s">
        <v>6</v>
      </c>
      <c r="B3364" t="s">
        <v>3369</v>
      </c>
      <c r="C3364">
        <f>HYPERLINK("C:\Users\franc\OneDrive\Documentos\MALENTIN KARIME\Rosa\MANDATOS\JUDICIAL\JORGE ALVARADO  RAMIREZ\ARNOLDO CHACANA CUELLO.doc", "Abrir Documento")</f>
        <v>0</v>
      </c>
      <c r="D3364" t="s">
        <v>23500</v>
      </c>
      <c r="E3364" t="s">
        <v>26644</v>
      </c>
    </row>
    <row r="3365" spans="1:5">
      <c r="A3365" t="s">
        <v>6</v>
      </c>
      <c r="B3365" t="s">
        <v>3370</v>
      </c>
      <c r="C3365">
        <f>HYPERLINK("C:\Users\franc\OneDrive\Documentos\MALENTIN KARIME\Rosa\MANDATOS\JUDICIAL\JORGE ALVARADO  RAMIREZ\ANIBAL ARAYA.doc", "Abrir Documento")</f>
        <v>0</v>
      </c>
      <c r="D3365" t="s">
        <v>23500</v>
      </c>
      <c r="E3365" t="s">
        <v>26645</v>
      </c>
    </row>
    <row r="3366" spans="1:5">
      <c r="A3366" t="s">
        <v>6</v>
      </c>
      <c r="B3366" t="s">
        <v>3371</v>
      </c>
      <c r="C3366">
        <f>HYPERLINK("C:\Users\franc\OneDrive\Documentos\MALENTIN KARIME\Rosa\MANDATOS\JUDICIAL\JORGE ALLENDE SENTIS\JORGE ALLENDE SENTIS.doc", "Abrir Documento")</f>
        <v>0</v>
      </c>
      <c r="D3366" t="s">
        <v>23500</v>
      </c>
      <c r="E3366" t="s">
        <v>26646</v>
      </c>
    </row>
    <row r="3367" spans="1:5">
      <c r="A3367" t="s">
        <v>6</v>
      </c>
      <c r="B3367" t="s">
        <v>3372</v>
      </c>
      <c r="C3367">
        <f>HYPERLINK("C:\Users\franc\OneDrive\Documentos\MALENTIN KARIME\Rosa\MANDATOS\JUDICIAL\JORGE ALVARADO  RAMIREZ\ALFONSO PASTEN.doc", "Abrir Documento")</f>
        <v>0</v>
      </c>
      <c r="D3367" t="s">
        <v>23500</v>
      </c>
      <c r="E3367" t="s">
        <v>26646</v>
      </c>
    </row>
    <row r="3368" spans="1:5">
      <c r="A3368" t="s">
        <v>6</v>
      </c>
      <c r="B3368" t="s">
        <v>3373</v>
      </c>
      <c r="C3368">
        <f>HYPERLINK("C:\Users\franc\OneDrive\Documentos\MALENTIN KARIME\Rosa\MANDATOS\JUDICIAL\JHON CELIS IBARRA\MARIA TORRES SEGOVIA.doc", "Abrir Documento")</f>
        <v>0</v>
      </c>
      <c r="D3368" t="s">
        <v>23500</v>
      </c>
      <c r="E3368" t="s">
        <v>26647</v>
      </c>
    </row>
    <row r="3369" spans="1:5">
      <c r="A3369" t="s">
        <v>6</v>
      </c>
      <c r="B3369" t="s">
        <v>3374</v>
      </c>
      <c r="C3369">
        <f>HYPERLINK("C:\Users\franc\OneDrive\Documentos\MALENTIN KARIME\Rosa\MANDATOS\JUDICIAL\JAZMINA OCARANZA ROJAS\EDUARDO PALTA VILLALOBOS.doc", "Abrir Documento")</f>
        <v>0</v>
      </c>
      <c r="D3369" t="s">
        <v>23500</v>
      </c>
      <c r="E3369" t="s">
        <v>26648</v>
      </c>
    </row>
    <row r="3370" spans="1:5">
      <c r="A3370" t="s">
        <v>6</v>
      </c>
      <c r="B3370" t="s">
        <v>3375</v>
      </c>
      <c r="C3370">
        <f>HYPERLINK("C:\Users\franc\OneDrive\Documentos\MALENTIN KARIME\Rosa\MANDATOS\JUDICIAL\JACQUELINE PIZARRO GONZALEZ\MARCELO GUTHRIE ALVAREZ.doc", "Abrir Documento")</f>
        <v>0</v>
      </c>
      <c r="D3370" t="s">
        <v>23500</v>
      </c>
      <c r="E3370" t="s">
        <v>26649</v>
      </c>
    </row>
    <row r="3371" spans="1:5">
      <c r="A3371" t="s">
        <v>6</v>
      </c>
      <c r="B3371" t="s">
        <v>3376</v>
      </c>
      <c r="C3371">
        <f>HYPERLINK("C:\Users\franc\OneDrive\Documentos\MALENTIN KARIME\Rosa\MANDATOS\JUDICIAL\JAIME MARAMBIO\OLGA CORTES ALBANEZ-MINUTA.doc", "Abrir Documento")</f>
        <v>0</v>
      </c>
      <c r="D3371" t="s">
        <v>23500</v>
      </c>
      <c r="E3371" t="s">
        <v>26649</v>
      </c>
    </row>
    <row r="3372" spans="1:5">
      <c r="A3372" t="s">
        <v>6</v>
      </c>
      <c r="B3372" t="s">
        <v>3377</v>
      </c>
      <c r="C3372">
        <f>HYPERLINK("C:\Users\franc\OneDrive\Documentos\MALENTIN KARIME\Rosa\MANDATOS\JUDICIAL\GABRIEL RODRIGUEZ\PATRICIO PINO CALDERON.doc", "Abrir Documento")</f>
        <v>0</v>
      </c>
      <c r="D3372" t="s">
        <v>23500</v>
      </c>
      <c r="E3372" t="s">
        <v>26650</v>
      </c>
    </row>
    <row r="3373" spans="1:5">
      <c r="A3373" t="s">
        <v>6</v>
      </c>
      <c r="B3373" t="s">
        <v>3378</v>
      </c>
      <c r="C3373">
        <f>HYPERLINK("C:\Users\franc\OneDrive\Documentos\MALENTIN KARIME\Rosa\MANDATOS\JUDICIAL\JACQUELINE PIZARRO GONZALEZ\LUIS ROJAS GONZALEZ.doc", "Abrir Documento")</f>
        <v>0</v>
      </c>
      <c r="D3373" t="s">
        <v>23500</v>
      </c>
      <c r="E3373" t="s">
        <v>26650</v>
      </c>
    </row>
    <row r="3374" spans="1:5">
      <c r="A3374" t="s">
        <v>6</v>
      </c>
      <c r="B3374" t="s">
        <v>3379</v>
      </c>
      <c r="C3374">
        <f>HYPERLINK("C:\Users\franc\OneDrive\Documentos\MALENTIN KARIME\Rosa\MANDATOS\JUDICIAL\GABRIEL RODRIGUEZ\LUIS CEPEDA CORTES.doc", "Abrir Documento")</f>
        <v>0</v>
      </c>
      <c r="D3374" t="s">
        <v>23500</v>
      </c>
      <c r="E3374" t="s">
        <v>26651</v>
      </c>
    </row>
    <row r="3375" spans="1:5">
      <c r="A3375" t="s">
        <v>6</v>
      </c>
      <c r="B3375" t="s">
        <v>3380</v>
      </c>
      <c r="C3375">
        <f>HYPERLINK("C:\Users\franc\OneDrive\Documentos\MALENTIN KARIME\Rosa\MANDATOS\JUDICIAL\FUNCIONARIOS MUNICIPALES\formato mandato\MANDATO FUNCIONARIOS MUNICIPALES.doc", "Abrir Documento")</f>
        <v>0</v>
      </c>
      <c r="D3375" t="s">
        <v>23500</v>
      </c>
      <c r="E3375" t="s">
        <v>26652</v>
      </c>
    </row>
    <row r="3376" spans="1:5">
      <c r="A3376" t="s">
        <v>6</v>
      </c>
      <c r="B3376" t="s">
        <v>3381</v>
      </c>
      <c r="C3376">
        <f>HYPERLINK("C:\Users\franc\OneDrive\Documentos\MALENTIN KARIME\Rosa\MANDATOS\JUDICIAL\FUNCIONARIOS MUNICIPALES\SUSANA RAMIREZ TAPIA Y otra.doc", "Abrir Documento")</f>
        <v>0</v>
      </c>
      <c r="D3376" t="s">
        <v>23500</v>
      </c>
      <c r="E3376" t="s">
        <v>26653</v>
      </c>
    </row>
    <row r="3377" spans="1:5">
      <c r="A3377" t="s">
        <v>6</v>
      </c>
      <c r="B3377" t="s">
        <v>3382</v>
      </c>
      <c r="C3377">
        <f>HYPERLINK("C:\Users\franc\OneDrive\Documentos\MALENTIN KARIME\Rosa\MANDATOS\JUDICIAL\FUNCIONARIOS MUNICIPALES\SUSANA RAMIREZ TAPIA Y otraCOPIA.doc", "Abrir Documento")</f>
        <v>0</v>
      </c>
      <c r="D3377" t="s">
        <v>23500</v>
      </c>
      <c r="E3377" t="s">
        <v>26653</v>
      </c>
    </row>
    <row r="3378" spans="1:5">
      <c r="A3378" t="s">
        <v>6</v>
      </c>
      <c r="B3378" t="s">
        <v>3383</v>
      </c>
      <c r="C3378">
        <f>HYPERLINK("C:\Users\franc\OneDrive\Documentos\MALENTIN KARIME\Rosa\MANDATOS\JUDICIAL\FUNCIONARIOS MUNICIPALES\formato mandato\MANDATO FUNCIONARIOS MUNICIAPALES varios.doc", "Abrir Documento")</f>
        <v>0</v>
      </c>
      <c r="D3378" t="s">
        <v>23500</v>
      </c>
      <c r="E3378" t="s">
        <v>26653</v>
      </c>
    </row>
    <row r="3379" spans="1:5">
      <c r="A3379" t="s">
        <v>6</v>
      </c>
      <c r="B3379" t="s">
        <v>3384</v>
      </c>
      <c r="C3379">
        <f>HYPERLINK("C:\Users\franc\OneDrive\Documentos\MALENTIN KARIME\Rosa\MANDATOS\JUDICIAL\FUNCIONARIOS MUNICIPALES\SANTIAGO ALBANEZ ARACENA y otros.doc", "Abrir Documento")</f>
        <v>0</v>
      </c>
      <c r="D3379" t="s">
        <v>23500</v>
      </c>
      <c r="E3379" t="s">
        <v>26654</v>
      </c>
    </row>
    <row r="3380" spans="1:5">
      <c r="A3380" t="s">
        <v>6</v>
      </c>
      <c r="B3380" t="s">
        <v>3385</v>
      </c>
      <c r="C3380">
        <f>HYPERLINK("C:\Users\franc\OneDrive\Documentos\MALENTIN KARIME\Rosa\MANDATOS\JUDICIAL\FUNCIONARIOS MUNICIPALES\SERGIO HERNANDEZ y otros.doc", "Abrir Documento")</f>
        <v>0</v>
      </c>
      <c r="D3380" t="s">
        <v>23500</v>
      </c>
      <c r="E3380" t="s">
        <v>26654</v>
      </c>
    </row>
    <row r="3381" spans="1:5">
      <c r="A3381" t="s">
        <v>6</v>
      </c>
      <c r="B3381" t="s">
        <v>3386</v>
      </c>
      <c r="C3381">
        <f>HYPERLINK("C:\Users\franc\OneDrive\Documentos\MALENTIN KARIME\Rosa\MANDATOS\JUDICIAL\FUNCIONARIOS MUNICIPALES\MARIA ASTORGA y otros.doc", "Abrir Documento")</f>
        <v>0</v>
      </c>
      <c r="D3381" t="s">
        <v>23500</v>
      </c>
      <c r="E3381" t="s">
        <v>26655</v>
      </c>
    </row>
    <row r="3382" spans="1:5">
      <c r="A3382" t="s">
        <v>6</v>
      </c>
      <c r="B3382" t="s">
        <v>3387</v>
      </c>
      <c r="C3382">
        <f>HYPERLINK("C:\Users\franc\OneDrive\Documentos\MALENTIN KARIME\Rosa\MANDATOS\JUDICIAL\FUNCIONARIOS MUNICIPALES\MARCELA BARRAZA y otros.doc", "Abrir Documento")</f>
        <v>0</v>
      </c>
      <c r="D3382" t="s">
        <v>23500</v>
      </c>
      <c r="E3382" t="s">
        <v>26656</v>
      </c>
    </row>
    <row r="3383" spans="1:5">
      <c r="A3383" t="s">
        <v>6</v>
      </c>
      <c r="B3383" t="s">
        <v>3388</v>
      </c>
      <c r="C3383">
        <f>HYPERLINK("C:\Users\franc\OneDrive\Documentos\MALENTIN KARIME\Rosa\MANDATOS\JUDICIAL\FUNCIONARIOS MUNICIPALES\MABEL MIANDA y otros.doc", "Abrir Documento")</f>
        <v>0</v>
      </c>
      <c r="D3383" t="s">
        <v>23500</v>
      </c>
      <c r="E3383" t="s">
        <v>26657</v>
      </c>
    </row>
    <row r="3384" spans="1:5">
      <c r="A3384" t="s">
        <v>6</v>
      </c>
      <c r="B3384" t="s">
        <v>3389</v>
      </c>
      <c r="C3384">
        <f>HYPERLINK("C:\Users\franc\OneDrive\Documentos\MALENTIN KARIME\Rosa\MANDATOS\JUDICIAL\FUNCIONARIOS MUNICIPALES\JUAN CORTES  y otros.doc", "Abrir Documento")</f>
        <v>0</v>
      </c>
      <c r="D3384" t="s">
        <v>23500</v>
      </c>
      <c r="E3384" t="s">
        <v>26658</v>
      </c>
    </row>
    <row r="3385" spans="1:5">
      <c r="A3385" t="s">
        <v>6</v>
      </c>
      <c r="B3385" t="s">
        <v>3390</v>
      </c>
      <c r="C3385">
        <f>HYPERLINK("C:\Users\franc\OneDrive\Documentos\MALENTIN KARIME\Rosa\MANDATOS\JUDICIAL\FUNCIONARIOS MUNICIPALES\HOMERO CORTES ALFARO y otros.doc", "Abrir Documento")</f>
        <v>0</v>
      </c>
      <c r="D3385" t="s">
        <v>23500</v>
      </c>
      <c r="E3385" t="s">
        <v>26659</v>
      </c>
    </row>
    <row r="3386" spans="1:5">
      <c r="A3386" t="s">
        <v>6</v>
      </c>
      <c r="B3386" t="s">
        <v>3391</v>
      </c>
      <c r="C3386">
        <f>HYPERLINK("C:\Users\franc\OneDrive\Documentos\MALENTIN KARIME\Rosa\MANDATOS\JUDICIAL\FUNCIONARIOS MUNICIPALES\GALO LUNA ALVARADO Y otro.doc", "Abrir Documento")</f>
        <v>0</v>
      </c>
      <c r="D3386" t="s">
        <v>23500</v>
      </c>
      <c r="E3386" t="s">
        <v>26660</v>
      </c>
    </row>
    <row r="3387" spans="1:5">
      <c r="A3387" t="s">
        <v>6</v>
      </c>
      <c r="B3387" t="s">
        <v>3392</v>
      </c>
      <c r="C3387">
        <f>HYPERLINK("C:\Users\franc\OneDrive\Documentos\MALENTIN KARIME\Rosa\MANDATOS\JUDICIAL\FUNCIONARIOS MUNICIPALES\FERNANDO MAZUELA y otros.doc", "Abrir Documento")</f>
        <v>0</v>
      </c>
      <c r="D3387" t="s">
        <v>23500</v>
      </c>
      <c r="E3387" t="s">
        <v>26661</v>
      </c>
    </row>
    <row r="3388" spans="1:5">
      <c r="A3388" t="s">
        <v>6</v>
      </c>
      <c r="B3388" t="s">
        <v>3393</v>
      </c>
      <c r="C3388">
        <f>HYPERLINK("C:\Users\franc\OneDrive\Documentos\MALENTIN KARIME\Rosa\MANDATOS\JUDICIAL\FUNCIONARIOS MUNICIPALES\CLAUDIO RENTERIA y otros.doc", "Abrir Documento")</f>
        <v>0</v>
      </c>
      <c r="D3388" t="s">
        <v>23500</v>
      </c>
      <c r="E3388" t="s">
        <v>26662</v>
      </c>
    </row>
    <row r="3389" spans="1:5">
      <c r="A3389" t="s">
        <v>6</v>
      </c>
      <c r="B3389" t="s">
        <v>3394</v>
      </c>
      <c r="C3389">
        <f>HYPERLINK("C:\Users\franc\OneDrive\Documentos\MALENTIN KARIME\Rosa\MANDATOS\JUDICIAL\FUNCIONARIOS MUNICIPALES\EMA JARAMILLO  y otros.doc", "Abrir Documento")</f>
        <v>0</v>
      </c>
      <c r="D3389" t="s">
        <v>23500</v>
      </c>
      <c r="E3389" t="s">
        <v>26662</v>
      </c>
    </row>
    <row r="3390" spans="1:5">
      <c r="A3390" t="s">
        <v>6</v>
      </c>
      <c r="B3390" t="s">
        <v>3395</v>
      </c>
      <c r="C3390">
        <f>HYPERLINK("C:\Users\franc\OneDrive\Documentos\MALENTIN KARIME\Rosa\MANDATOS\JUDICIAL\FUNCIONARIOS MUNICIPALES\BORIS CARMONA y otros.doc", "Abrir Documento")</f>
        <v>0</v>
      </c>
      <c r="D3390" t="s">
        <v>23500</v>
      </c>
      <c r="E3390" t="s">
        <v>26663</v>
      </c>
    </row>
    <row r="3391" spans="1:5">
      <c r="A3391" t="s">
        <v>6</v>
      </c>
      <c r="B3391" t="s">
        <v>3396</v>
      </c>
      <c r="C3391">
        <f>HYPERLINK("C:\Users\franc\OneDrive\Documentos\MALENTIN KARIME\Rosa\MANDATOS\JUDICIAL\FRANKLIN GALLARDO NAVEA\JOSE FLORES ARAYA.doc", "Abrir Documento")</f>
        <v>0</v>
      </c>
      <c r="D3391" t="s">
        <v>23500</v>
      </c>
      <c r="E3391" t="s">
        <v>26664</v>
      </c>
    </row>
    <row r="3392" spans="1:5">
      <c r="A3392" t="s">
        <v>6</v>
      </c>
      <c r="B3392" t="s">
        <v>3397</v>
      </c>
      <c r="C3392">
        <f>HYPERLINK("C:\Users\franc\OneDrive\Documentos\MALENTIN KARIME\Rosa\MANDATOS\JUDICIAL\FRANKLIN GALLARDO NAVEA\JOSE  ARAYA oyarce.doc", "Abrir Documento")</f>
        <v>0</v>
      </c>
      <c r="D3392" t="s">
        <v>23500</v>
      </c>
      <c r="E3392" t="s">
        <v>26665</v>
      </c>
    </row>
    <row r="3393" spans="1:5">
      <c r="A3393" t="s">
        <v>6</v>
      </c>
      <c r="B3393" t="s">
        <v>3398</v>
      </c>
      <c r="C3393">
        <f>HYPERLINK("C:\Users\franc\OneDrive\Documentos\MALENTIN KARIME\Rosa\MANDATOS\JUDICIAL\FLOR GOMEZ LOPEZ\MARIA HENRIQUEZ.doc", "Abrir Documento")</f>
        <v>0</v>
      </c>
      <c r="D3393" t="s">
        <v>23500</v>
      </c>
      <c r="E3393" t="s">
        <v>26666</v>
      </c>
    </row>
    <row r="3394" spans="1:5">
      <c r="A3394" t="s">
        <v>6</v>
      </c>
      <c r="B3394" t="s">
        <v>3399</v>
      </c>
      <c r="C3394">
        <f>HYPERLINK("C:\Users\franc\OneDrive\Documentos\MALENTIN KARIME\Rosa\MANDATOS\JUDICIAL\FLOR GOMEZ LOPEZ\María R. Henríquez J.[1] contrato prestacion de servicios.doc", "Abrir Documento")</f>
        <v>0</v>
      </c>
      <c r="D3394" t="s">
        <v>23500</v>
      </c>
      <c r="E3394" t="s">
        <v>26666</v>
      </c>
    </row>
    <row r="3395" spans="1:5">
      <c r="A3395" t="s">
        <v>6</v>
      </c>
      <c r="B3395" t="s">
        <v>3400</v>
      </c>
      <c r="C3395">
        <f>HYPERLINK("C:\Users\franc\OneDrive\Documentos\MALENTIN KARIME\Rosa\MANDATOS\JUDICIAL\FLOR GOMEZ LOPEZ\Maaría R. Henríquez J.[1].doc", "Abrir Documento")</f>
        <v>0</v>
      </c>
      <c r="D3395" t="s">
        <v>23500</v>
      </c>
      <c r="E3395" t="s">
        <v>26667</v>
      </c>
    </row>
    <row r="3396" spans="1:5">
      <c r="A3396" t="s">
        <v>6</v>
      </c>
      <c r="B3396" t="s">
        <v>3401</v>
      </c>
      <c r="C3396">
        <f>HYPERLINK("C:\Users\franc\OneDrive\Documentos\MALENTIN KARIME\Rosa\MANDATOS\JUDICIAL\FELIPE ALAMO\LUIS Y VICTOR TABILO.doc", "Abrir Documento")</f>
        <v>0</v>
      </c>
      <c r="D3396" t="s">
        <v>23500</v>
      </c>
      <c r="E3396" t="s">
        <v>26668</v>
      </c>
    </row>
    <row r="3397" spans="1:5">
      <c r="A3397" t="s">
        <v>6</v>
      </c>
      <c r="B3397" t="s">
        <v>3402</v>
      </c>
      <c r="C3397">
        <f>HYPERLINK("C:\Users\franc\OneDrive\Documentos\MALENTIN KARIME\Rosa\MANDATOS\JUDICIAL\FELIPE ALAMO\MANUEL FLORENTINO MUÑOZ RAMIREZ.doc", "Abrir Documento")</f>
        <v>0</v>
      </c>
      <c r="D3397" t="s">
        <v>23500</v>
      </c>
      <c r="E3397" t="s">
        <v>26668</v>
      </c>
    </row>
    <row r="3398" spans="1:5">
      <c r="A3398" t="s">
        <v>6</v>
      </c>
      <c r="B3398" t="s">
        <v>3403</v>
      </c>
      <c r="C3398">
        <f>HYPERLINK("C:\Users\franc\OneDrive\Documentos\MALENTIN KARIME\Rosa\MANDATOS\JUDICIAL\FABRIZZIO CALDERON\ALQUMIDES TAPIA X MINUTA.doc", "Abrir Documento")</f>
        <v>0</v>
      </c>
      <c r="D3398" t="s">
        <v>23500</v>
      </c>
      <c r="E3398" t="s">
        <v>26669</v>
      </c>
    </row>
    <row r="3399" spans="1:5">
      <c r="A3399" t="s">
        <v>6</v>
      </c>
      <c r="B3399" t="s">
        <v>3404</v>
      </c>
      <c r="C3399">
        <f>HYPERLINK("C:\Users\franc\OneDrive\Documentos\MALENTIN KARIME\Rosa\MANDATOS\JUDICIAL\FELIPE ALAMO\ALDO CAMPOS PACHECO.doc", "Abrir Documento")</f>
        <v>0</v>
      </c>
      <c r="D3399" t="s">
        <v>23500</v>
      </c>
      <c r="E3399" t="s">
        <v>26669</v>
      </c>
    </row>
    <row r="3400" spans="1:5">
      <c r="A3400" t="s">
        <v>6</v>
      </c>
      <c r="B3400" t="s">
        <v>3405</v>
      </c>
      <c r="C3400">
        <f>HYPERLINK("C:\Users\franc\OneDrive\Documentos\MALENTIN KARIME\Rosa\MANDATOS\JUDICIAL\EUGENIO RIVAS\IGNACIO RAMIREZ GALLARDO.doc", "Abrir Documento")</f>
        <v>0</v>
      </c>
      <c r="D3400" t="s">
        <v>23500</v>
      </c>
      <c r="E3400" t="s">
        <v>26670</v>
      </c>
    </row>
    <row r="3401" spans="1:5">
      <c r="A3401" t="s">
        <v>6</v>
      </c>
      <c r="B3401" t="s">
        <v>3406</v>
      </c>
      <c r="C3401">
        <f>HYPERLINK("C:\Users\franc\OneDrive\Documentos\MALENTIN KARIME\Rosa\MANDATOS\JUDICIAL\EUGENIO RIVAS\gabriel oyarce.doc", "Abrir Documento")</f>
        <v>0</v>
      </c>
      <c r="D3401" t="s">
        <v>23500</v>
      </c>
      <c r="E3401" t="s">
        <v>26671</v>
      </c>
    </row>
    <row r="3402" spans="1:5">
      <c r="A3402" t="s">
        <v>6</v>
      </c>
      <c r="B3402" t="s">
        <v>3407</v>
      </c>
      <c r="C3402">
        <f>HYPERLINK("C:\Users\franc\OneDrive\Documentos\MALENTIN KARIME\Rosa\MANDATOS\JUDICIAL\EUGENIO RIVAS\ARNOLDO TELLO.doc", "Abrir Documento")</f>
        <v>0</v>
      </c>
      <c r="D3402" t="s">
        <v>23500</v>
      </c>
      <c r="E3402" t="s">
        <v>26672</v>
      </c>
    </row>
    <row r="3403" spans="1:5">
      <c r="A3403" t="s">
        <v>6</v>
      </c>
      <c r="B3403" t="s">
        <v>3408</v>
      </c>
      <c r="C3403">
        <f>HYPERLINK("C:\Users\franc\OneDrive\Documentos\MALENTIN KARIME\Rosa\MANDATOS\JUDICIAL\EFRAIN VILLALOBOS\DANILO OJEDA SOTO.doc", "Abrir Documento")</f>
        <v>0</v>
      </c>
      <c r="D3403" t="s">
        <v>23500</v>
      </c>
      <c r="E3403" t="s">
        <v>26673</v>
      </c>
    </row>
    <row r="3404" spans="1:5">
      <c r="A3404" t="s">
        <v>6</v>
      </c>
      <c r="B3404" t="s">
        <v>3409</v>
      </c>
      <c r="C3404">
        <f>HYPERLINK("C:\Users\franc\OneDrive\Documentos\MALENTIN KARIME\Rosa\MANDATOS\JUDICIAL\EDUARDO BERRIOS VALENZUELA\MANDATO JUD porras.doc", "Abrir Documento")</f>
        <v>0</v>
      </c>
      <c r="D3404" t="s">
        <v>23500</v>
      </c>
      <c r="E3404" t="s">
        <v>26674</v>
      </c>
    </row>
    <row r="3405" spans="1:5">
      <c r="A3405" t="s">
        <v>6</v>
      </c>
      <c r="B3405" t="s">
        <v>3410</v>
      </c>
      <c r="C3405">
        <f>HYPERLINK("C:\Users\franc\OneDrive\Documentos\MALENTIN KARIME\Rosa\MANDATOS\JUDICIAL\EDUARDO BERRIOS VALENZUELA\JULIO PORRAS A EDUARDO BERRIOS X SOCIEDAD.doc", "Abrir Documento")</f>
        <v>0</v>
      </c>
      <c r="D3405" t="s">
        <v>23500</v>
      </c>
      <c r="E3405" t="s">
        <v>26675</v>
      </c>
    </row>
    <row r="3406" spans="1:5">
      <c r="A3406" t="s">
        <v>6</v>
      </c>
      <c r="B3406" t="s">
        <v>3411</v>
      </c>
      <c r="C3406">
        <f>HYPERLINK("C:\Users\franc\OneDrive\Documentos\MALENTIN KARIME\Rosa\MANDATOS\JUDICIAL\Don Italo\oposición 2.doc", "Abrir Documento")</f>
        <v>0</v>
      </c>
      <c r="D3406" t="s">
        <v>23500</v>
      </c>
      <c r="E3406" t="s">
        <v>26676</v>
      </c>
    </row>
    <row r="3407" spans="1:5">
      <c r="A3407" t="s">
        <v>6</v>
      </c>
      <c r="B3407" t="s">
        <v>3412</v>
      </c>
      <c r="C3407">
        <f>HYPERLINK("C:\Users\franc\OneDrive\Documentos\MALENTIN KARIME\Rosa\MANDATOS\JUDICIAL\Don Italo\2 OPOSICION.doc", "Abrir Documento")</f>
        <v>0</v>
      </c>
      <c r="D3407" t="s">
        <v>23500</v>
      </c>
      <c r="E3407" t="s">
        <v>26677</v>
      </c>
    </row>
    <row r="3408" spans="1:5">
      <c r="A3408" t="s">
        <v>6</v>
      </c>
      <c r="B3408" t="s">
        <v>3413</v>
      </c>
      <c r="C3408">
        <f>HYPERLINK("C:\Users\franc\OneDrive\Documentos\MALENTIN KARIME\Rosa\MANDATOS\JUDICIAL\Don Italo\Mandato judicial querella por robo[1].doc", "Abrir Documento")</f>
        <v>0</v>
      </c>
      <c r="D3408" t="s">
        <v>23500</v>
      </c>
      <c r="E3408" t="s">
        <v>26677</v>
      </c>
    </row>
    <row r="3409" spans="1:5">
      <c r="A3409" t="s">
        <v>6</v>
      </c>
      <c r="B3409" t="s">
        <v>3414</v>
      </c>
      <c r="C3409">
        <f>HYPERLINK("C:\Users\franc\OneDrive\Documentos\MALENTIN KARIME\Rosa\MANDATOS\JUDICIAL\Don Italo\1querella por robo.doc", "Abrir Documento")</f>
        <v>0</v>
      </c>
      <c r="D3409" t="s">
        <v>23500</v>
      </c>
      <c r="E3409" t="s">
        <v>26678</v>
      </c>
    </row>
    <row r="3410" spans="1:5">
      <c r="A3410" t="s">
        <v>6</v>
      </c>
      <c r="B3410" t="s">
        <v>3415</v>
      </c>
      <c r="C3410">
        <f>HYPERLINK("C:\Users\franc\OneDrive\Documentos\MALENTIN KARIME\Rosa\MANDATOS\JUDICIAL\DANIEL SALFATE\zulema acuña.doc", "Abrir Documento")</f>
        <v>0</v>
      </c>
      <c r="D3410" t="s">
        <v>23500</v>
      </c>
      <c r="E3410" t="s">
        <v>26679</v>
      </c>
    </row>
    <row r="3411" spans="1:5">
      <c r="A3411" t="s">
        <v>6</v>
      </c>
      <c r="B3411" t="s">
        <v>3416</v>
      </c>
      <c r="C3411">
        <f>HYPERLINK("C:\Users\franc\OneDrive\Documentos\MALENTIN KARIME\Rosa\MANDATOS\JUDICIAL\DANIEL SALFATE\SILVIO ARAYA CAMPUSANO.doc", "Abrir Documento")</f>
        <v>0</v>
      </c>
      <c r="D3411" t="s">
        <v>23500</v>
      </c>
      <c r="E3411" t="s">
        <v>26680</v>
      </c>
    </row>
    <row r="3412" spans="1:5">
      <c r="A3412" t="s">
        <v>6</v>
      </c>
      <c r="B3412" t="s">
        <v>3417</v>
      </c>
      <c r="C3412">
        <f>HYPERLINK("C:\Users\franc\OneDrive\Documentos\MALENTIN KARIME\Rosa\MANDATOS\JUDICIAL\DANIEL SALFATE\EVELYN SORIA.doc", "Abrir Documento")</f>
        <v>0</v>
      </c>
      <c r="D3412" t="s">
        <v>23500</v>
      </c>
      <c r="E3412" t="s">
        <v>26681</v>
      </c>
    </row>
    <row r="3413" spans="1:5">
      <c r="A3413" t="s">
        <v>6</v>
      </c>
      <c r="B3413" t="s">
        <v>3418</v>
      </c>
      <c r="C3413">
        <f>HYPERLINK("C:\Users\franc\OneDrive\Documentos\MALENTIN KARIME\Rosa\MANDATOS\JUDICIAL\CRISTIAN ZEPEDA\JUAN CORTES ARANCIBIA en representación..doc", "Abrir Documento")</f>
        <v>0</v>
      </c>
      <c r="D3413" t="s">
        <v>23500</v>
      </c>
      <c r="E3413" t="s">
        <v>26682</v>
      </c>
    </row>
    <row r="3414" spans="1:5">
      <c r="A3414" t="s">
        <v>6</v>
      </c>
      <c r="B3414" t="s">
        <v>3419</v>
      </c>
      <c r="C3414">
        <f>HYPERLINK("C:\Users\franc\OneDrive\Documentos\MALENTIN KARIME\Rosa\MANDATOS\JUDICIAL\CLAUDIO MARCHANT CONTRERAS\ALEJANDRO VILLANUEVA.doc", "Abrir Documento")</f>
        <v>0</v>
      </c>
      <c r="D3414" t="s">
        <v>23500</v>
      </c>
      <c r="E3414" t="s">
        <v>26683</v>
      </c>
    </row>
    <row r="3415" spans="1:5">
      <c r="A3415" t="s">
        <v>6</v>
      </c>
      <c r="B3415" t="s">
        <v>3420</v>
      </c>
      <c r="C3415">
        <f>HYPERLINK("C:\Users\franc\OneDrive\Documentos\MALENTIN KARIME\Rosa\MANDATOS\JUDICIAL\CLAUDIO ARDILES ARAYA\PEDRO ROJAS BUGUEÑO.doc", "Abrir Documento")</f>
        <v>0</v>
      </c>
      <c r="D3415" t="s">
        <v>23500</v>
      </c>
      <c r="E3415" t="s">
        <v>26684</v>
      </c>
    </row>
    <row r="3416" spans="1:5">
      <c r="A3416" t="s">
        <v>6</v>
      </c>
      <c r="B3416" t="s">
        <v>3421</v>
      </c>
      <c r="C3416">
        <f>HYPERLINK("C:\Users\franc\OneDrive\Documentos\MALENTIN KARIME\Rosa\MANDATOS\JUDICIAL\CLAUDIO ARDILES ARAYA\MAVIS ALVAREZ CAMPO.doc", "Abrir Documento")</f>
        <v>0</v>
      </c>
      <c r="D3416" t="s">
        <v>23500</v>
      </c>
      <c r="E3416" t="s">
        <v>26685</v>
      </c>
    </row>
    <row r="3417" spans="1:5">
      <c r="A3417" t="s">
        <v>6</v>
      </c>
      <c r="B3417" t="s">
        <v>3422</v>
      </c>
      <c r="C3417">
        <f>HYPERLINK("C:\Users\franc\OneDrive\Documentos\MALENTIN KARIME\Rosa\MANDATOS\JUDICIAL\CLAUDIO ARDILES ARAYA\MANUEL SANTIAGO SANTIAGO.doc", "Abrir Documento")</f>
        <v>0</v>
      </c>
      <c r="D3417" t="s">
        <v>23500</v>
      </c>
      <c r="E3417" t="s">
        <v>26686</v>
      </c>
    </row>
    <row r="3418" spans="1:5">
      <c r="A3418" t="s">
        <v>6</v>
      </c>
      <c r="B3418" t="s">
        <v>3423</v>
      </c>
      <c r="C3418">
        <f>HYPERLINK("C:\Users\franc\OneDrive\Documentos\MALENTIN KARIME\Rosa\MANDATOS\JUDICIAL\CLAUDIO ARDILES ARAYA\HILDEEGARD CUBILLOS MUNSKI.doc", "Abrir Documento")</f>
        <v>0</v>
      </c>
      <c r="D3418" t="s">
        <v>23500</v>
      </c>
      <c r="E3418" t="s">
        <v>26687</v>
      </c>
    </row>
    <row r="3419" spans="1:5">
      <c r="A3419" t="s">
        <v>6</v>
      </c>
      <c r="B3419" t="s">
        <v>3424</v>
      </c>
      <c r="C3419">
        <f>HYPERLINK("C:\Users\franc\OneDrive\Documentos\MALENTIN KARIME\Rosa\MANDATOS\JUDICIAL\CLAUDIO ARDILES ARAYA\FREDDY SAAVEDRA CASTILLO.doc", "Abrir Documento")</f>
        <v>0</v>
      </c>
      <c r="D3419" t="s">
        <v>23500</v>
      </c>
      <c r="E3419" t="s">
        <v>26688</v>
      </c>
    </row>
    <row r="3420" spans="1:5">
      <c r="A3420" t="s">
        <v>6</v>
      </c>
      <c r="B3420" t="s">
        <v>3425</v>
      </c>
      <c r="C3420">
        <f>HYPERLINK("C:\Users\franc\OneDrive\Documentos\MALENTIN KARIME\Rosa\MANDATOS\JUDICIAL\CLAUDIO ARDILES ARAYA\ANERCIO ROBLES LOPEZ.doc", "Abrir Documento")</f>
        <v>0</v>
      </c>
      <c r="D3420" t="s">
        <v>23500</v>
      </c>
      <c r="E3420" t="s">
        <v>26689</v>
      </c>
    </row>
    <row r="3421" spans="1:5">
      <c r="A3421" t="s">
        <v>6</v>
      </c>
      <c r="B3421" t="s">
        <v>3426</v>
      </c>
      <c r="C3421">
        <f>HYPERLINK("C:\Users\franc\OneDrive\Documentos\MALENTIN KARIME\Rosa\MANDATOS\JUDICIAL\CLAUDIO ARAYA CASTILLO\SANDRA JOFRE MATURANA.doc", "Abrir Documento")</f>
        <v>0</v>
      </c>
      <c r="D3421" t="s">
        <v>23500</v>
      </c>
      <c r="E3421" t="s">
        <v>26690</v>
      </c>
    </row>
    <row r="3422" spans="1:5">
      <c r="A3422" t="s">
        <v>6</v>
      </c>
      <c r="B3422" t="s">
        <v>3427</v>
      </c>
      <c r="C3422">
        <f>HYPERLINK("C:\Users\franc\OneDrive\Documentos\MALENTIN KARIME\Rosa\MANDATOS\JUDICIAL\CLAUDIO ARAYA CASTILLO\RAUL CORTES Y JUAN CORTES.doc", "Abrir Documento")</f>
        <v>0</v>
      </c>
      <c r="D3422" t="s">
        <v>23500</v>
      </c>
      <c r="E3422" t="s">
        <v>26691</v>
      </c>
    </row>
    <row r="3423" spans="1:5">
      <c r="A3423" t="s">
        <v>6</v>
      </c>
      <c r="B3423" t="s">
        <v>3428</v>
      </c>
      <c r="C3423">
        <f>HYPERLINK("C:\Users\franc\OneDrive\Documentos\MALENTIN KARIME\Rosa\MANDATOS\JUDICIAL\CLAUDIO ARAYA CASTILLO\RIVERA MONTAJES.doc", "Abrir Documento")</f>
        <v>0</v>
      </c>
      <c r="D3423" t="s">
        <v>23500</v>
      </c>
      <c r="E3423" t="s">
        <v>26691</v>
      </c>
    </row>
    <row r="3424" spans="1:5">
      <c r="A3424" t="s">
        <v>6</v>
      </c>
      <c r="B3424" t="s">
        <v>3429</v>
      </c>
      <c r="C3424">
        <f>HYPERLINK("C:\Users\franc\OneDrive\Documentos\MALENTIN KARIME\Rosa\MANDATOS\JUDICIAL\CLAUDIO ARAYA CASTILLO\MANUEL ILLLANES CASTILLO.doc", "Abrir Documento")</f>
        <v>0</v>
      </c>
      <c r="D3424" t="s">
        <v>23500</v>
      </c>
      <c r="E3424" t="s">
        <v>26692</v>
      </c>
    </row>
    <row r="3425" spans="1:5">
      <c r="A3425" t="s">
        <v>6</v>
      </c>
      <c r="B3425" t="s">
        <v>3430</v>
      </c>
      <c r="C3425">
        <f>HYPERLINK("C:\Users\franc\OneDrive\Documentos\MALENTIN KARIME\Rosa\MANDATOS\JUDICIAL\CLAUDIO ARAYA CASTILLO\PEDRO CORTES CASTILLO.doc", "Abrir Documento")</f>
        <v>0</v>
      </c>
      <c r="D3425" t="s">
        <v>23500</v>
      </c>
      <c r="E3425" t="s">
        <v>26692</v>
      </c>
    </row>
    <row r="3426" spans="1:5">
      <c r="A3426" t="s">
        <v>6</v>
      </c>
      <c r="B3426" t="s">
        <v>3431</v>
      </c>
      <c r="C3426">
        <f>HYPERLINK("C:\Users\franc\OneDrive\Documentos\MALENTIN KARIME\Rosa\MANDATOS\JUDICIAL\CLAUDIO ARAYA CASTILLO\FRANCISCO JIMENEZ.doc", "Abrir Documento")</f>
        <v>0</v>
      </c>
      <c r="D3426" t="s">
        <v>23500</v>
      </c>
      <c r="E3426" t="s">
        <v>26693</v>
      </c>
    </row>
    <row r="3427" spans="1:5">
      <c r="A3427" t="s">
        <v>6</v>
      </c>
      <c r="B3427" t="s">
        <v>3432</v>
      </c>
      <c r="C3427">
        <f>HYPERLINK("C:\Users\franc\OneDrive\Documentos\MALENTIN KARIME\Rosa\MANDATOS\JUDICIAL\CLAUDIO ARAYA CASTILLO\ELIZABETH MICHEA.doc", "Abrir Documento")</f>
        <v>0</v>
      </c>
      <c r="D3427" t="s">
        <v>23500</v>
      </c>
      <c r="E3427" t="s">
        <v>26694</v>
      </c>
    </row>
    <row r="3428" spans="1:5">
      <c r="A3428" t="s">
        <v>6</v>
      </c>
      <c r="B3428" t="s">
        <v>3433</v>
      </c>
      <c r="C3428">
        <f>HYPERLINK("C:\Users\franc\OneDrive\Documentos\MALENTIN KARIME\Rosa\MANDATOS\JUDICIAL\CLAUDIO ARAYA CASTILLO\DORKA ROJAS MOYANO.doc", "Abrir Documento")</f>
        <v>0</v>
      </c>
      <c r="D3428" t="s">
        <v>23500</v>
      </c>
      <c r="E3428" t="s">
        <v>26695</v>
      </c>
    </row>
    <row r="3429" spans="1:5">
      <c r="A3429" t="s">
        <v>6</v>
      </c>
      <c r="B3429" t="s">
        <v>3434</v>
      </c>
      <c r="C3429">
        <f>HYPERLINK("C:\Users\franc\OneDrive\Documentos\MALENTIN KARIME\Rosa\MANDATOS\JUDICIAL\CATALINA MULET DIAZ\MANDATO JUDICIAL ARMANDO SALAMANCA. MINUTA.doc", "Abrir Documento")</f>
        <v>0</v>
      </c>
      <c r="D3429" t="s">
        <v>23500</v>
      </c>
      <c r="E3429" t="s">
        <v>26696</v>
      </c>
    </row>
    <row r="3430" spans="1:5">
      <c r="A3430" t="s">
        <v>6</v>
      </c>
      <c r="B3430" t="s">
        <v>3435</v>
      </c>
      <c r="C3430">
        <f>HYPERLINK("C:\Users\franc\OneDrive\Documentos\MALENTIN KARIME\Rosa\MANDATOS\JUDICIAL\CLAUDIO ARAYA CASTILLO\ALDO CAMPOS PACHECO.doc", "Abrir Documento")</f>
        <v>0</v>
      </c>
      <c r="D3430" t="s">
        <v>23500</v>
      </c>
      <c r="E3430" t="s">
        <v>26696</v>
      </c>
    </row>
    <row r="3431" spans="1:5">
      <c r="A3431" t="s">
        <v>6</v>
      </c>
      <c r="B3431" t="s">
        <v>3436</v>
      </c>
      <c r="C3431">
        <f>HYPERLINK("C:\Users\franc\OneDrive\Documentos\MALENTIN KARIME\Rosa\MANDATOS\JUDICIAL\CATALINA MULET DIAZ\ARMANDO SALAMANCA.doc", "Abrir Documento")</f>
        <v>0</v>
      </c>
      <c r="D3431" t="s">
        <v>23500</v>
      </c>
      <c r="E3431" t="s">
        <v>26697</v>
      </c>
    </row>
    <row r="3432" spans="1:5">
      <c r="A3432" t="s">
        <v>6</v>
      </c>
      <c r="B3432" t="s">
        <v>3437</v>
      </c>
      <c r="C3432">
        <f>HYPERLINK("C:\Users\franc\OneDrive\Documentos\MALENTIN KARIME\Rosa\MANDATOS\JUDICIAL\CAROLINA HERNANDEZ YEOMAS\JULIO ALFARO CASTILLO.doc", "Abrir Documento")</f>
        <v>0</v>
      </c>
      <c r="D3432" t="s">
        <v>23500</v>
      </c>
      <c r="E3432" t="s">
        <v>26698</v>
      </c>
    </row>
    <row r="3433" spans="1:5">
      <c r="A3433" t="s">
        <v>6</v>
      </c>
      <c r="B3433" t="s">
        <v>3438</v>
      </c>
      <c r="C3433">
        <f>HYPERLINK("C:\Users\franc\OneDrive\Documentos\MALENTIN KARIME\Rosa\MANDATOS\JUDICIAL\CAROLINA ADAOS VALENZUELA\SERGIO HONORES LAGOS.doc", "Abrir Documento")</f>
        <v>0</v>
      </c>
      <c r="D3433" t="s">
        <v>23500</v>
      </c>
      <c r="E3433" t="s">
        <v>26699</v>
      </c>
    </row>
    <row r="3434" spans="1:5">
      <c r="A3434" t="s">
        <v>6</v>
      </c>
      <c r="B3434" t="s">
        <v>3439</v>
      </c>
      <c r="C3434">
        <f>HYPERLINK("C:\Users\franc\OneDrive\Documentos\MALENTIN KARIME\Rosa\MANDATOS\JUDICIAL\ALFREDO VILLAGRAN TAPIA\ANTONIO CASTRO ORDENES.doc", "Abrir Documento")</f>
        <v>0</v>
      </c>
      <c r="D3434" t="s">
        <v>23500</v>
      </c>
      <c r="E3434" t="s">
        <v>26700</v>
      </c>
    </row>
    <row r="3435" spans="1:5">
      <c r="A3435" t="s">
        <v>6</v>
      </c>
      <c r="B3435" t="s">
        <v>3440</v>
      </c>
      <c r="C3435">
        <f>HYPERLINK("C:\Users\franc\OneDrive\Documentos\MALENTIN KARIME\Rosa\MANDATOS\JUDICIAL\ALFREDO VILLAGRAN TAPIA\ESTERMAN ARDILES TAPIA.doc", "Abrir Documento")</f>
        <v>0</v>
      </c>
      <c r="D3435" t="s">
        <v>23500</v>
      </c>
      <c r="E3435" t="s">
        <v>26700</v>
      </c>
    </row>
    <row r="3436" spans="1:5">
      <c r="A3436" t="s">
        <v>6</v>
      </c>
      <c r="B3436" t="s">
        <v>3441</v>
      </c>
      <c r="C3436">
        <f>HYPERLINK("C:\Users\franc\OneDrive\Documentos\MALENTIN KARIME\Rosa\MANDATOS\JUDICIAL\ADOLFO LAY\POR SOCIEDAD.doc", "Abrir Documento")</f>
        <v>0</v>
      </c>
      <c r="D3436" t="s">
        <v>23500</v>
      </c>
      <c r="E3436" t="s">
        <v>26701</v>
      </c>
    </row>
    <row r="3437" spans="1:5">
      <c r="A3437" t="s">
        <v>6</v>
      </c>
      <c r="B3437" t="s">
        <v>3442</v>
      </c>
      <c r="C3437">
        <f>HYPERLINK("C:\Users\franc\OneDrive\Documentos\MALENTIN KARIME\Rosa\MANDATOS\JUDICIAL\ADOLFO LAY\VALLE DE TULAHUEN a A. LAY.doc", "Abrir Documento")</f>
        <v>0</v>
      </c>
      <c r="D3437" t="s">
        <v>23500</v>
      </c>
      <c r="E3437" t="s">
        <v>26701</v>
      </c>
    </row>
    <row r="3438" spans="1:5">
      <c r="A3438" t="s">
        <v>6</v>
      </c>
      <c r="B3438" t="s">
        <v>3443</v>
      </c>
      <c r="C3438">
        <f>HYPERLINK("C:\Users\franc\OneDrive\Documentos\MALENTIN KARIME\Rosa\MANDATOS\JUDICIAL\ADOLFO LAY\HERNAN TELLO ANDRADE.doc", "Abrir Documento")</f>
        <v>0</v>
      </c>
      <c r="D3438" t="s">
        <v>23500</v>
      </c>
      <c r="E3438" t="s">
        <v>26702</v>
      </c>
    </row>
    <row r="3439" spans="1:5">
      <c r="A3439" t="s">
        <v>6</v>
      </c>
      <c r="B3439" t="s">
        <v>3444</v>
      </c>
      <c r="C3439">
        <f>HYPERLINK("C:\Users\franc\OneDrive\Documentos\MALENTIN KARIME\Rosa\MANDATOS\JUDICIAL\ADOLFO LAY\JUAN VILLARROEL Y CIA LTDA.doc", "Abrir Documento")</f>
        <v>0</v>
      </c>
      <c r="D3439" t="s">
        <v>23500</v>
      </c>
      <c r="E3439" t="s">
        <v>26702</v>
      </c>
    </row>
    <row r="3440" spans="1:5">
      <c r="A3440" t="s">
        <v>6</v>
      </c>
      <c r="B3440" t="s">
        <v>3445</v>
      </c>
      <c r="C3440">
        <f>HYPERLINK("C:\Users\franc\OneDrive\Documentos\MALENTIN KARIME\Rosa\MANDATOS\JUDICIAL\MINUTA MANDATO JUDICIAL.doc", "Abrir Documento")</f>
        <v>0</v>
      </c>
      <c r="D3440" t="s">
        <v>23500</v>
      </c>
      <c r="E3440" t="s">
        <v>26703</v>
      </c>
    </row>
    <row r="3441" spans="1:5">
      <c r="A3441" t="s">
        <v>6</v>
      </c>
      <c r="B3441" t="s">
        <v>3446</v>
      </c>
      <c r="C3441">
        <f>HYPERLINK("C:\Users\franc\OneDrive\Documentos\MALENTIN KARIME\Rosa\MANDATOS\JUDICIAL\TATIANA 26 enero 2011.doc", "Abrir Documento")</f>
        <v>0</v>
      </c>
      <c r="D3441" t="s">
        <v>23500</v>
      </c>
      <c r="E3441" t="s">
        <v>26703</v>
      </c>
    </row>
    <row r="3442" spans="1:5">
      <c r="A3442" t="s">
        <v>6</v>
      </c>
      <c r="B3442" t="s">
        <v>3447</v>
      </c>
      <c r="C3442">
        <f>HYPERLINK("C:\Users\franc\OneDrive\Documentos\MALENTIN KARIME\Rosa\MANDATOS\JUDICIAL\MANDATO JUDICIAL LUIS CEPEDA CORTES.doc", "Abrir Documento")</f>
        <v>0</v>
      </c>
      <c r="D3442" t="s">
        <v>23500</v>
      </c>
      <c r="E3442" t="s">
        <v>26704</v>
      </c>
    </row>
    <row r="3443" spans="1:5">
      <c r="A3443" t="s">
        <v>6</v>
      </c>
      <c r="B3443" t="s">
        <v>3448</v>
      </c>
      <c r="C3443">
        <f>HYPERLINK("C:\Users\franc\OneDrive\Documentos\MALENTIN KARIME\Rosa\MANDATOS\JUDICIAL\mandato extranjero.doc", "Abrir Documento")</f>
        <v>0</v>
      </c>
      <c r="D3443" t="s">
        <v>23500</v>
      </c>
      <c r="E3443" t="s">
        <v>26705</v>
      </c>
    </row>
    <row r="3444" spans="1:5">
      <c r="A3444" t="s">
        <v>6</v>
      </c>
      <c r="B3444" t="s">
        <v>3449</v>
      </c>
      <c r="C3444">
        <f>HYPERLINK("C:\Users\franc\OneDrive\Documentos\MALENTIN KARIME\Rosa\MANDATOS\JUDICIAL\Mandato Judicial especial 4 personas CURICO MINUTA.doc", "Abrir Documento")</f>
        <v>0</v>
      </c>
      <c r="D3444" t="s">
        <v>23500</v>
      </c>
      <c r="E3444" t="s">
        <v>26705</v>
      </c>
    </row>
    <row r="3445" spans="1:5">
      <c r="A3445" t="s">
        <v>6</v>
      </c>
      <c r="B3445" t="s">
        <v>3450</v>
      </c>
      <c r="C3445">
        <f>HYPERLINK("C:\Users\franc\OneDrive\Documentos\MALENTIN KARIME\Rosa\MANDATOS\JUDICIAL\JULIO PACHECO.doc", "Abrir Documento")</f>
        <v>0</v>
      </c>
      <c r="D3445" t="s">
        <v>23500</v>
      </c>
      <c r="E3445" t="s">
        <v>26706</v>
      </c>
    </row>
    <row r="3446" spans="1:5">
      <c r="A3446" t="s">
        <v>6</v>
      </c>
      <c r="B3446" t="s">
        <v>3451</v>
      </c>
      <c r="C3446">
        <f>HYPERLINK("C:\Users\franc\OneDrive\Documentos\MALENTIN KARIME\Rosa\MANDATOS\JUDICIAL\JPR-Mandato Judicial Victor Moya a JPR (Solicitud de sentencia Victor I).doc", "Abrir Documento")</f>
        <v>0</v>
      </c>
      <c r="D3446" t="s">
        <v>23500</v>
      </c>
      <c r="E3446" t="s">
        <v>26707</v>
      </c>
    </row>
    <row r="3447" spans="1:5">
      <c r="A3447" t="s">
        <v>6</v>
      </c>
      <c r="B3447" t="s">
        <v>3452</v>
      </c>
      <c r="C3447">
        <f>HYPERLINK("C:\Users\franc\OneDrive\Documentos\MALENTIN KARIME\Rosa\MANDATOS\JUDICIAL\Borrador_Poder_Tatiana_Aguilera[1].doc", "Abrir Documento")</f>
        <v>0</v>
      </c>
      <c r="D3447" t="s">
        <v>23500</v>
      </c>
      <c r="E3447" t="s">
        <v>26708</v>
      </c>
    </row>
    <row r="3448" spans="1:5">
      <c r="A3448" t="s">
        <v>6</v>
      </c>
      <c r="B3448" t="s">
        <v>3453</v>
      </c>
      <c r="C3448">
        <f>HYPERLINK("C:\Users\franc\OneDrive\Documentos\MALENTIN KARIME\Rosa\MANDATOS\JAIME PROHENS SOMMELLA\CERRO CAMPANARIO A MARIA DIAZ.doc", "Abrir Documento")</f>
        <v>0</v>
      </c>
      <c r="D3448" t="s">
        <v>23500</v>
      </c>
      <c r="E3448" t="s">
        <v>26709</v>
      </c>
    </row>
    <row r="3449" spans="1:5">
      <c r="A3449" t="s">
        <v>6</v>
      </c>
      <c r="B3449" t="s">
        <v>3454</v>
      </c>
      <c r="C3449">
        <f>HYPERLINK("C:\Users\franc\OneDrive\Documentos\MALENTIN KARIME\Rosa\MANDATOS\JAIME PROHENS SOMMELLA\CERRO CAMPANARIO A MARIA DIAZ copia para correo.doc", "Abrir Documento")</f>
        <v>0</v>
      </c>
      <c r="D3449" t="s">
        <v>23500</v>
      </c>
      <c r="E3449" t="s">
        <v>26710</v>
      </c>
    </row>
    <row r="3450" spans="1:5">
      <c r="A3450" t="s">
        <v>6</v>
      </c>
      <c r="B3450" t="s">
        <v>3455</v>
      </c>
      <c r="C3450">
        <f>HYPERLINK("C:\Users\franc\OneDrive\Documentos\MALENTIN KARIME\Rosa\MANDATOS\JAIME PROHENS SOMMELLA\CERRO CAMPANARIO A MARIA DIAZ con modificación.doc", "Abrir Documento")</f>
        <v>0</v>
      </c>
      <c r="D3450" t="s">
        <v>23500</v>
      </c>
      <c r="E3450" t="s">
        <v>26711</v>
      </c>
    </row>
    <row r="3451" spans="1:5">
      <c r="A3451" t="s">
        <v>6</v>
      </c>
      <c r="B3451" t="s">
        <v>3456</v>
      </c>
      <c r="C3451">
        <f>HYPERLINK("C:\Users\franc\OneDrive\Documentos\MALENTIN KARIME\Rosa\MANDATOS\JAIME PROHENS SOMMELLA\CERRO CAMPANARIO A MARIA DIAZ con cambios.doc", "Abrir Documento")</f>
        <v>0</v>
      </c>
      <c r="D3451" t="s">
        <v>23500</v>
      </c>
      <c r="E3451" t="s">
        <v>26712</v>
      </c>
    </row>
    <row r="3452" spans="1:5">
      <c r="A3452" t="s">
        <v>6</v>
      </c>
      <c r="B3452" t="s">
        <v>3457</v>
      </c>
      <c r="C3452">
        <f>HYPERLINK("C:\Users\franc\OneDrive\Documentos\MALENTIN KARIME\Rosa\MANDATOS\GENERAL\RICADO FIGUERROA A JORGE FIGUEROA TELLO minuta.doc", "Abrir Documento")</f>
        <v>0</v>
      </c>
      <c r="D3452" t="s">
        <v>23500</v>
      </c>
      <c r="E3452" t="s">
        <v>26713</v>
      </c>
    </row>
    <row r="3453" spans="1:5">
      <c r="A3453" t="s">
        <v>6</v>
      </c>
      <c r="B3453" t="s">
        <v>3458</v>
      </c>
      <c r="C3453">
        <f>HYPERLINK("C:\Users\franc\OneDrive\Documentos\MALENTIN KARIME\Rosa\MANDATOS\JAIME PROHENS SOMMELLA\AGROINDUSTRIAL STA. ADRIANA LTDA..doc", "Abrir Documento")</f>
        <v>0</v>
      </c>
      <c r="D3453" t="s">
        <v>23500</v>
      </c>
      <c r="E3453" t="s">
        <v>26713</v>
      </c>
    </row>
    <row r="3454" spans="1:5">
      <c r="A3454" t="s">
        <v>6</v>
      </c>
      <c r="B3454" t="s">
        <v>3459</v>
      </c>
      <c r="C3454">
        <f>HYPERLINK("C:\Users\franc\OneDrive\Documentos\MALENTIN KARIME\Rosa\MANDATOS\GENERAL\modelo mandato.doc", "Abrir Documento")</f>
        <v>0</v>
      </c>
      <c r="D3454" t="s">
        <v>23500</v>
      </c>
      <c r="E3454" t="s">
        <v>26714</v>
      </c>
    </row>
    <row r="3455" spans="1:5">
      <c r="A3455" t="s">
        <v>6</v>
      </c>
      <c r="B3455" t="s">
        <v>3460</v>
      </c>
      <c r="C3455">
        <f>HYPERLINK("C:\Users\franc\OneDrive\Documentos\MALENTIN KARIME\Rosa\MANDATOS\GENERAL\LUIS POZO A LUCIA POZO.doc", "Abrir Documento")</f>
        <v>0</v>
      </c>
      <c r="D3455" t="s">
        <v>23500</v>
      </c>
      <c r="E3455" t="s">
        <v>26715</v>
      </c>
    </row>
    <row r="3456" spans="1:5">
      <c r="A3456" t="s">
        <v>6</v>
      </c>
      <c r="B3456" t="s">
        <v>3461</v>
      </c>
      <c r="C3456">
        <f>HYPERLINK("C:\Users\franc\OneDrive\Documentos\MALENTIN KARIME\Rosa\MANDATOS\GENERAL\JUAN HIDALGO CORTES A IVY VALLEJAOS BRAVO.doc", "Abrir Documento")</f>
        <v>0</v>
      </c>
      <c r="D3456" t="s">
        <v>23500</v>
      </c>
      <c r="E3456" t="s">
        <v>26716</v>
      </c>
    </row>
    <row r="3457" spans="1:5">
      <c r="A3457" t="s">
        <v>6</v>
      </c>
      <c r="B3457" t="s">
        <v>3462</v>
      </c>
      <c r="C3457">
        <f>HYPERLINK("C:\Users\franc\OneDrive\Documentos\MALENTIN KARIME\Rosa\MANDATOS\GENERAL\JUAN NORTES 2 DE MARZO 2011 MINUTA.doc", "Abrir Documento")</f>
        <v>0</v>
      </c>
      <c r="D3457" t="s">
        <v>23500</v>
      </c>
      <c r="E3457" t="s">
        <v>26716</v>
      </c>
    </row>
    <row r="3458" spans="1:5">
      <c r="A3458" t="s">
        <v>6</v>
      </c>
      <c r="B3458" t="s">
        <v>3463</v>
      </c>
      <c r="C3458">
        <f>HYPERLINK("C:\Users\franc\OneDrive\Documentos\MALENTIN KARIME\Rosa\MANDATOS\GENERAL\ANA GUERRERO A MARIO GUERRERO.doc", "Abrir Documento")</f>
        <v>0</v>
      </c>
      <c r="D3458" t="s">
        <v>23500</v>
      </c>
      <c r="E3458" t="s">
        <v>26717</v>
      </c>
    </row>
    <row r="3459" spans="1:5">
      <c r="A3459" t="s">
        <v>6</v>
      </c>
      <c r="B3459" t="s">
        <v>3464</v>
      </c>
      <c r="C3459">
        <f>HYPERLINK("C:\Users\franc\OneDrive\Documentos\MALENTIN KARIME\Rosa\MANDATOS\GENERAL\CARLOS OLIVARES ALANIZ MINUTA CALAMA.doc", "Abrir Documento")</f>
        <v>0</v>
      </c>
      <c r="D3459" t="s">
        <v>23500</v>
      </c>
      <c r="E3459" t="s">
        <v>26717</v>
      </c>
    </row>
    <row r="3460" spans="1:5">
      <c r="A3460" t="s">
        <v>6</v>
      </c>
      <c r="B3460" t="s">
        <v>3465</v>
      </c>
      <c r="C3460">
        <f>HYPERLINK("C:\Users\franc\OneDrive\Documentos\MALENTIN KARIME\Rosa\MANDATOS\ESPECIAL\MANDATOS DON JAIME PROHENS\Minuta por correo 2.doc", "Abrir Documento")</f>
        <v>0</v>
      </c>
      <c r="D3460" t="s">
        <v>23500</v>
      </c>
      <c r="E3460" t="s">
        <v>26718</v>
      </c>
    </row>
    <row r="3461" spans="1:5">
      <c r="A3461" t="s">
        <v>6</v>
      </c>
      <c r="B3461" t="s">
        <v>3466</v>
      </c>
      <c r="C3461">
        <f>HYPERLINK("C:\Users\franc\OneDrive\Documentos\MALENTIN KARIME\Rosa\MANDATOS\GENERAL\ana guerrero a mario fernandez 2.doc", "Abrir Documento")</f>
        <v>0</v>
      </c>
      <c r="D3461" t="s">
        <v>23500</v>
      </c>
      <c r="E3461" t="s">
        <v>26718</v>
      </c>
    </row>
    <row r="3462" spans="1:5">
      <c r="A3462" t="s">
        <v>6</v>
      </c>
      <c r="B3462" t="s">
        <v>3467</v>
      </c>
      <c r="C3462">
        <f>HYPERLINK("C:\Users\franc\OneDrive\Documentos\MALENTIN KARIME\Rosa\MANDATOS\ESPECIAL\MANDATOS DON JAIME PROHENS\2 OPOSICION.doc", "Abrir Documento")</f>
        <v>0</v>
      </c>
      <c r="D3462" t="s">
        <v>23500</v>
      </c>
      <c r="E3462" t="s">
        <v>26719</v>
      </c>
    </row>
    <row r="3463" spans="1:5">
      <c r="A3463" t="s">
        <v>6</v>
      </c>
      <c r="B3463" t="s">
        <v>3468</v>
      </c>
      <c r="C3463">
        <f>HYPERLINK("C:\Users\franc\OneDrive\Documentos\MALENTIN KARIME\Rosa\MANDATOS\ESPECIAL\MANDATOS DON JAIME PROHENS\Minuta por correo 1.doc", "Abrir Documento")</f>
        <v>0</v>
      </c>
      <c r="D3463" t="s">
        <v>23500</v>
      </c>
      <c r="E3463" t="s">
        <v>26719</v>
      </c>
    </row>
    <row r="3464" spans="1:5">
      <c r="A3464" t="s">
        <v>6</v>
      </c>
      <c r="B3464" t="s">
        <v>3469</v>
      </c>
      <c r="C3464">
        <f>HYPERLINK("C:\Users\franc\OneDrive\Documentos\MALENTIN KARIME\Rosa\MANDATOS\ESPECIAL\RUBEN IGLESIAS A GABRIEL AYARZUN CAMPOS.doc", "Abrir Documento")</f>
        <v>0</v>
      </c>
      <c r="D3464" t="s">
        <v>23500</v>
      </c>
      <c r="E3464" t="s">
        <v>26720</v>
      </c>
    </row>
    <row r="3465" spans="1:5">
      <c r="A3465" t="s">
        <v>6</v>
      </c>
      <c r="B3465" t="s">
        <v>3470</v>
      </c>
      <c r="C3465">
        <f>HYPERLINK("C:\Users\franc\OneDrive\Documentos\MALENTIN KARIME\Rosa\MANDATOS\ESPECIAL\MANDATOS DON JAIME PROHENS\1querella por robo.doc", "Abrir Documento")</f>
        <v>0</v>
      </c>
      <c r="D3465" t="s">
        <v>23500</v>
      </c>
      <c r="E3465" t="s">
        <v>26720</v>
      </c>
    </row>
    <row r="3466" spans="1:5">
      <c r="A3466" t="s">
        <v>6</v>
      </c>
      <c r="B3466" t="s">
        <v>3471</v>
      </c>
      <c r="C3466">
        <f>HYPERLINK("C:\Users\franc\OneDrive\Documentos\MALENTIN KARIME\Rosa\MANDATOS\ESPECIAL\PODER SIMPLE[1].doc", "Abrir Documento")</f>
        <v>0</v>
      </c>
      <c r="D3466" t="s">
        <v>23500</v>
      </c>
      <c r="E3466" t="s">
        <v>26721</v>
      </c>
    </row>
    <row r="3467" spans="1:5">
      <c r="A3467" t="s">
        <v>6</v>
      </c>
      <c r="B3467" t="s">
        <v>3472</v>
      </c>
      <c r="C3467">
        <f>HYPERLINK("C:\Users\franc\OneDrive\Documentos\MALENTIN KARIME\Rosa\MANDATOS\ESPECIAL\PODER ESPECIAL negociacion.doc", "Abrir Documento")</f>
        <v>0</v>
      </c>
      <c r="D3467" t="s">
        <v>23500</v>
      </c>
      <c r="E3467" t="s">
        <v>26722</v>
      </c>
    </row>
    <row r="3468" spans="1:5">
      <c r="A3468" t="s">
        <v>6</v>
      </c>
      <c r="B3468" t="s">
        <v>3473</v>
      </c>
      <c r="C3468">
        <f>HYPERLINK("C:\Users\franc\OneDrive\Documentos\MALENTIN KARIME\Rosa\MANDATOS\ESPECIAL\norma castillo a dilemacastillo.doc", "Abrir Documento")</f>
        <v>0</v>
      </c>
      <c r="D3468" t="s">
        <v>23500</v>
      </c>
      <c r="E3468" t="s">
        <v>26723</v>
      </c>
    </row>
    <row r="3469" spans="1:5">
      <c r="A3469" t="s">
        <v>6</v>
      </c>
      <c r="B3469" t="s">
        <v>3474</v>
      </c>
      <c r="C3469">
        <f>HYPERLINK("C:\Users\franc\OneDrive\Documentos\MALENTIN KARIME\Rosa\MANDATOS\ESPECIAL\NEREO CONTRERAS.doc", "Abrir Documento")</f>
        <v>0</v>
      </c>
      <c r="D3469" t="s">
        <v>23500</v>
      </c>
      <c r="E3469" t="s">
        <v>26724</v>
      </c>
    </row>
    <row r="3470" spans="1:5">
      <c r="A3470" t="s">
        <v>6</v>
      </c>
      <c r="B3470" t="s">
        <v>3475</v>
      </c>
      <c r="C3470">
        <f>HYPERLINK("C:\Users\franc\OneDrive\Documentos\MALENTIN KARIME\Rosa\MANDATOS\ESPECIAL\modelo mandato especial administración.doc", "Abrir Documento")</f>
        <v>0</v>
      </c>
      <c r="D3470" t="s">
        <v>23500</v>
      </c>
      <c r="E3470" t="s">
        <v>26725</v>
      </c>
    </row>
    <row r="3471" spans="1:5">
      <c r="A3471" t="s">
        <v>6</v>
      </c>
      <c r="B3471" t="s">
        <v>3476</v>
      </c>
      <c r="C3471">
        <f>HYPERLINK("C:\Users\franc\OneDrive\Documentos\MALENTIN KARIME\Rosa\MANDATOS\ESPECIAL\marcela moraga.doc", "Abrir Documento")</f>
        <v>0</v>
      </c>
      <c r="D3471" t="s">
        <v>23500</v>
      </c>
      <c r="E3471" t="s">
        <v>26726</v>
      </c>
    </row>
    <row r="3472" spans="1:5">
      <c r="A3472" t="s">
        <v>6</v>
      </c>
      <c r="B3472" t="s">
        <v>3477</v>
      </c>
      <c r="C3472">
        <f>HYPERLINK("C:\Users\franc\OneDrive\Documentos\MALENTIN KARIME\Rosa\MANDATOS\ESPECIAL\MIGUEL TAPIA LAGUNAS A BENITO TOLEDO.doc", "Abrir Documento")</f>
        <v>0</v>
      </c>
      <c r="D3472" t="s">
        <v>23500</v>
      </c>
      <c r="E3472" t="s">
        <v>26726</v>
      </c>
    </row>
    <row r="3473" spans="1:5">
      <c r="A3473" t="s">
        <v>6</v>
      </c>
      <c r="B3473" t="s">
        <v>3478</v>
      </c>
      <c r="C3473">
        <f>HYPERLINK("C:\Users\franc\OneDrive\Documentos\MALENTIN KARIME\Rosa\MANDATOS\ESPECIAL\MARCELA ANJEL MARABOLI.doc", "Abrir Documento")</f>
        <v>0</v>
      </c>
      <c r="D3473" t="s">
        <v>23500</v>
      </c>
      <c r="E3473" t="s">
        <v>26727</v>
      </c>
    </row>
    <row r="3474" spans="1:5">
      <c r="A3474" t="s">
        <v>6</v>
      </c>
      <c r="B3474" t="s">
        <v>3479</v>
      </c>
      <c r="C3474">
        <f>HYPERLINK("C:\Users\franc\OneDrive\Documentos\MALENTIN KARIME\Rosa\MANDATOS\ESPECIAL\MANDATO_ESPECIAL_COMPRA_PIZARRO_SEGOVIA.doc", "Abrir Documento")</f>
        <v>0</v>
      </c>
      <c r="D3474" t="s">
        <v>23500</v>
      </c>
      <c r="E3474" t="s">
        <v>26728</v>
      </c>
    </row>
    <row r="3475" spans="1:5">
      <c r="A3475" t="s">
        <v>6</v>
      </c>
      <c r="B3475" t="s">
        <v>3480</v>
      </c>
      <c r="C3475">
        <f>HYPERLINK("C:\Users\franc\OneDrive\Documentos\MALENTIN KARIME\Rosa\MANDATOS\ESPECIAL\MANDATO_AMALIO_GONZALEZ_24.01.2011.doc", "Abrir Documento")</f>
        <v>0</v>
      </c>
      <c r="D3475" t="s">
        <v>23500</v>
      </c>
      <c r="E3475" t="s">
        <v>26729</v>
      </c>
    </row>
    <row r="3476" spans="1:5">
      <c r="A3476" t="s">
        <v>6</v>
      </c>
      <c r="B3476" t="s">
        <v>3481</v>
      </c>
      <c r="C3476">
        <f>HYPERLINK("C:\Users\franc\OneDrive\Documentos\MALENTIN KARIME\Rosa\MANDATOS\ESPECIAL\MANDATO ESPECIAL KAREN BALCAZAR.doc", "Abrir Documento")</f>
        <v>0</v>
      </c>
      <c r="D3476" t="s">
        <v>23500</v>
      </c>
      <c r="E3476" t="s">
        <v>26730</v>
      </c>
    </row>
    <row r="3477" spans="1:5">
      <c r="A3477" t="s">
        <v>6</v>
      </c>
      <c r="B3477" t="s">
        <v>3482</v>
      </c>
      <c r="C3477">
        <f>HYPERLINK("C:\Users\franc\OneDrive\Documentos\MALENTIN KARIME\Rosa\MANDATOS\ESPECIAL\LUIS TELLO MUÑOZ A EUGENIA PIZARRO C..doc", "Abrir Documento")</f>
        <v>0</v>
      </c>
      <c r="D3477" t="s">
        <v>23500</v>
      </c>
      <c r="E3477" t="s">
        <v>26731</v>
      </c>
    </row>
    <row r="3478" spans="1:5">
      <c r="A3478" t="s">
        <v>6</v>
      </c>
      <c r="B3478" t="s">
        <v>3483</v>
      </c>
      <c r="C3478">
        <f>HYPERLINK("C:\Users\franc\OneDrive\Documentos\MALENTIN KARIME\Rosa\MANDATOS\ESPECIAL\LUBRICANTES ARTIGUEZ A PEDRO BARRIOS Y RODOLFO ARENAS.doc", "Abrir Documento")</f>
        <v>0</v>
      </c>
      <c r="D3478" t="s">
        <v>23500</v>
      </c>
      <c r="E3478" t="s">
        <v>26732</v>
      </c>
    </row>
    <row r="3479" spans="1:5">
      <c r="A3479" t="s">
        <v>6</v>
      </c>
      <c r="B3479" t="s">
        <v>3484</v>
      </c>
      <c r="C3479">
        <f>HYPERLINK("C:\Users\franc\OneDrive\Documentos\MALENTIN KARIME\Rosa\MANDATOS\ESPECIAL\HILDA ROBLEDO A EDUARDO VERGARA ROBLEDO.doc", "Abrir Documento")</f>
        <v>0</v>
      </c>
      <c r="D3479" t="s">
        <v>23500</v>
      </c>
      <c r="E3479" t="s">
        <v>26733</v>
      </c>
    </row>
    <row r="3480" spans="1:5">
      <c r="A3480" t="s">
        <v>6</v>
      </c>
      <c r="B3480" t="s">
        <v>3485</v>
      </c>
      <c r="C3480">
        <f>HYPERLINK("C:\Users\franc\OneDrive\Documentos\MALENTIN KARIME\Rosa\MANDATOS\ESPECIAL\HORACIO ZEBALLOS Y OTRO A ALICIA ZEBALLOS.doc", "Abrir Documento")</f>
        <v>0</v>
      </c>
      <c r="D3480" t="s">
        <v>23500</v>
      </c>
      <c r="E3480" t="s">
        <v>26733</v>
      </c>
    </row>
    <row r="3481" spans="1:5">
      <c r="A3481" t="s">
        <v>6</v>
      </c>
      <c r="B3481" t="s">
        <v>3486</v>
      </c>
      <c r="C3481">
        <f>HYPERLINK("C:\Users\franc\OneDrive\Documentos\MALENTIN KARIME\Rosa\MANDATOS\ESPECIAL\HERMAN CARVAJAL A ANGELO CARVAJAL CARVAJAL.doc", "Abrir Documento")</f>
        <v>0</v>
      </c>
      <c r="D3481" t="s">
        <v>23500</v>
      </c>
      <c r="E3481" t="s">
        <v>26734</v>
      </c>
    </row>
    <row r="3482" spans="1:5">
      <c r="A3482" t="s">
        <v>6</v>
      </c>
      <c r="B3482" t="s">
        <v>3487</v>
      </c>
      <c r="C3482">
        <f>HYPERLINK("C:\Users\franc\OneDrive\Documentos\MALENTIN KARIME\Rosa\MANDATOS\ESPECIAL\HERMAN CARVAJAL A ANGELO CARVAJAL.doc", "Abrir Documento")</f>
        <v>0</v>
      </c>
      <c r="D3482" t="s">
        <v>23500</v>
      </c>
      <c r="E3482" t="s">
        <v>26734</v>
      </c>
    </row>
    <row r="3483" spans="1:5">
      <c r="A3483" t="s">
        <v>6</v>
      </c>
      <c r="B3483" t="s">
        <v>3488</v>
      </c>
      <c r="C3483">
        <f>HYPERLINK("C:\Users\franc\OneDrive\Documentos\MALENTIN KARIME\Rosa\MANDATOS\ESPECIAL\GUILE CODOCEO Y LUIS HUMBERTO negociacion.doc", "Abrir Documento")</f>
        <v>0</v>
      </c>
      <c r="D3483" t="s">
        <v>23500</v>
      </c>
      <c r="E3483" t="s">
        <v>26735</v>
      </c>
    </row>
    <row r="3484" spans="1:5">
      <c r="A3484" t="s">
        <v>6</v>
      </c>
      <c r="B3484" t="s">
        <v>3489</v>
      </c>
      <c r="C3484">
        <f>HYPERLINK("C:\Users\franc\OneDrive\Documentos\MALENTIN KARIME\Rosa\MANDATOS\ESPECIAL\GUSTAVO PIZARRO A JANET DIAZ.doc", "Abrir Documento")</f>
        <v>0</v>
      </c>
      <c r="D3484" t="s">
        <v>23500</v>
      </c>
      <c r="E3484" t="s">
        <v>26735</v>
      </c>
    </row>
    <row r="3485" spans="1:5">
      <c r="A3485" t="s">
        <v>6</v>
      </c>
      <c r="B3485" t="s">
        <v>3490</v>
      </c>
      <c r="C3485">
        <f>HYPERLINK("C:\Users\franc\OneDrive\Documentos\MALENTIN KARIME\Rosa\MANDATOS\ESPECIAL\FRANCISCO CAMPILLAY - ANGELA TORRES.doc", "Abrir Documento")</f>
        <v>0</v>
      </c>
      <c r="D3485" t="s">
        <v>23500</v>
      </c>
      <c r="E3485" t="s">
        <v>26736</v>
      </c>
    </row>
    <row r="3486" spans="1:5">
      <c r="A3486" t="s">
        <v>6</v>
      </c>
      <c r="B3486" t="s">
        <v>3491</v>
      </c>
      <c r="C3486">
        <f>HYPERLINK("C:\Users\franc\OneDrive\Documentos\MALENTIN KARIME\Rosa\MANDATOS\ESPECIAL\CRISTIAN CORTES TELLO a persona natural.doc", "Abrir Documento")</f>
        <v>0</v>
      </c>
      <c r="D3486" t="s">
        <v>23500</v>
      </c>
      <c r="E3486" t="s">
        <v>26737</v>
      </c>
    </row>
    <row r="3487" spans="1:5">
      <c r="A3487" t="s">
        <v>6</v>
      </c>
      <c r="B3487" t="s">
        <v>3492</v>
      </c>
      <c r="C3487">
        <f>HYPERLINK("C:\Users\franc\OneDrive\Documentos\MALENTIN KARIME\Rosa\MANDATOS\ESPECIAL\FELIX GALLARDO A IRIS ESPINOZA CARRILLO.doc", "Abrir Documento")</f>
        <v>0</v>
      </c>
      <c r="D3487" t="s">
        <v>23500</v>
      </c>
      <c r="E3487" t="s">
        <v>26737</v>
      </c>
    </row>
    <row r="3488" spans="1:5">
      <c r="A3488" t="s">
        <v>6</v>
      </c>
      <c r="B3488" t="s">
        <v>3493</v>
      </c>
      <c r="C3488">
        <f>HYPERLINK("C:\Users\franc\OneDrive\Documentos\MALENTIN KARIME\Rosa\MANDATOS\ESPECIAL\COMERCIAL ARTIGUEZ A PEDRO BARRIOS.doc", "Abrir Documento")</f>
        <v>0</v>
      </c>
      <c r="D3488" t="s">
        <v>23500</v>
      </c>
      <c r="E3488" t="s">
        <v>26738</v>
      </c>
    </row>
    <row r="3489" spans="1:5">
      <c r="A3489" t="s">
        <v>6</v>
      </c>
      <c r="B3489" t="s">
        <v>3494</v>
      </c>
      <c r="C3489">
        <f>HYPERLINK("C:\Users\franc\OneDrive\Documentos\MALENTIN KARIME\Rosa\MANDATOS\ESPECIAL\BLANCA LEON A JERONIMO FIGUEROA.doc", "Abrir Documento")</f>
        <v>0</v>
      </c>
      <c r="D3489" t="s">
        <v>23500</v>
      </c>
      <c r="E3489" t="s">
        <v>26739</v>
      </c>
    </row>
    <row r="3490" spans="1:5">
      <c r="A3490" t="s">
        <v>6</v>
      </c>
      <c r="B3490" t="s">
        <v>3495</v>
      </c>
      <c r="C3490">
        <f>HYPERLINK("C:\Users\franc\OneDrive\Documentos\MALENTIN KARIME\Rosa\MANDATOS\ESPECIAL\amalio.doc", "Abrir Documento")</f>
        <v>0</v>
      </c>
      <c r="D3490" t="s">
        <v>23500</v>
      </c>
      <c r="E3490" t="s">
        <v>26740</v>
      </c>
    </row>
    <row r="3491" spans="1:5">
      <c r="A3491" t="s">
        <v>6</v>
      </c>
      <c r="B3491" t="s">
        <v>3496</v>
      </c>
      <c r="C3491">
        <f>HYPERLINK("C:\Users\franc\OneDrive\Documentos\MALENTIN KARIME\Rosa\MANDATOS\ESPECIAL\ALAMIRO LOPEZ  Y OTROS A ROXANA LOPEZ (X MINUTA).doc", "Abrir Documento")</f>
        <v>0</v>
      </c>
      <c r="D3491" t="s">
        <v>23500</v>
      </c>
      <c r="E3491" t="s">
        <v>26741</v>
      </c>
    </row>
    <row r="3492" spans="1:5">
      <c r="A3492" t="s">
        <v>6</v>
      </c>
      <c r="B3492" t="s">
        <v>3497</v>
      </c>
      <c r="C3492">
        <f>HYPERLINK("C:\Users\franc\OneDrive\Documentos\MALENTIN KARIME\Rosa\MANDATOS\BANCO DE CHILE\cta. corriente\BERTA PIZARRO A PABLO ALVARADO.doc", "Abrir Documento")</f>
        <v>0</v>
      </c>
      <c r="D3492" t="s">
        <v>23500</v>
      </c>
      <c r="E3492" t="s">
        <v>26742</v>
      </c>
    </row>
    <row r="3493" spans="1:5">
      <c r="A3493" t="s">
        <v>6</v>
      </c>
      <c r="B3493" t="s">
        <v>3498</v>
      </c>
      <c r="C3493">
        <f>HYPERLINK("C:\Users\franc\OneDrive\Documentos\MALENTIN KARIME\Rosa\MANDATOS\BANCO DE CHILE\LUIS PARRA a BERNARDITA JAÑA.doc", "Abrir Documento")</f>
        <v>0</v>
      </c>
      <c r="D3493" t="s">
        <v>23500</v>
      </c>
      <c r="E3493" t="s">
        <v>26743</v>
      </c>
    </row>
    <row r="3494" spans="1:5">
      <c r="A3494" t="s">
        <v>6</v>
      </c>
      <c r="B3494" t="s">
        <v>3499</v>
      </c>
      <c r="C3494">
        <f>HYPERLINK("C:\Users\franc\OneDrive\Documentos\MALENTIN KARIME\Rosa\MANDATOS\BANCO DE CHILE\JUAN CORTES A HILDA MUÑOZ Y OTRA.doc", "Abrir Documento")</f>
        <v>0</v>
      </c>
      <c r="D3494" t="s">
        <v>23500</v>
      </c>
      <c r="E3494" t="s">
        <v>26744</v>
      </c>
    </row>
    <row r="3495" spans="1:5">
      <c r="A3495" t="s">
        <v>6</v>
      </c>
      <c r="B3495" t="s">
        <v>3500</v>
      </c>
      <c r="C3495">
        <f>HYPERLINK("C:\Users\franc\OneDrive\Documentos\MALENTIN KARIME\Rosa\MANDATOS\BANCO DE CHILE\JOSE ZUÑIGA A ALAMIRO ZUÑIGA.doc", "Abrir Documento")</f>
        <v>0</v>
      </c>
      <c r="D3495" t="s">
        <v>23500</v>
      </c>
      <c r="E3495" t="s">
        <v>26745</v>
      </c>
    </row>
    <row r="3496" spans="1:5">
      <c r="A3496" t="s">
        <v>6</v>
      </c>
      <c r="B3496" t="s">
        <v>3501</v>
      </c>
      <c r="C3496">
        <f>HYPERLINK("C:\Users\franc\OneDrive\Documentos\MALENTIN KARIME\Rosa\MANDATOS\BANCO DE CHILE\HUGO HECKERSDORF A ROSA ARAYA.doc", "Abrir Documento")</f>
        <v>0</v>
      </c>
      <c r="D3496" t="s">
        <v>23500</v>
      </c>
      <c r="E3496" t="s">
        <v>26746</v>
      </c>
    </row>
    <row r="3497" spans="1:5">
      <c r="A3497" t="s">
        <v>6</v>
      </c>
      <c r="B3497" t="s">
        <v>3502</v>
      </c>
      <c r="C3497">
        <f>HYPERLINK("C:\Users\franc\OneDrive\Documentos\MALENTIN KARIME\Rosa\MANDATOS\BANCARIOS POR MINUTAS\ANTONIO CONTRERAS A DELFO CONTRERAS.doc", "Abrir Documento")</f>
        <v>0</v>
      </c>
      <c r="D3497" t="s">
        <v>23500</v>
      </c>
      <c r="E3497" t="s">
        <v>26747</v>
      </c>
    </row>
    <row r="3498" spans="1:5">
      <c r="A3498" t="s">
        <v>6</v>
      </c>
      <c r="B3498" t="s">
        <v>3503</v>
      </c>
      <c r="C3498">
        <f>HYPERLINK("C:\Users\franc\OneDrive\Documentos\MALENTIN KARIME\Rosa\MANDATOS\BANCO DE CHILE\ejemplo banco chile.doc", "Abrir Documento")</f>
        <v>0</v>
      </c>
      <c r="D3498" t="s">
        <v>23500</v>
      </c>
      <c r="E3498" t="s">
        <v>26747</v>
      </c>
    </row>
    <row r="3499" spans="1:5">
      <c r="A3499" t="s">
        <v>6</v>
      </c>
      <c r="B3499" t="s">
        <v>3504</v>
      </c>
      <c r="C3499">
        <f>HYPERLINK("C:\Users\franc\OneDrive\Documentos\MALENTIN KARIME\Rosa\MANDATOS\BANCARIO\MARIO CASTILLO BARRAZA A ELSA VIDAL ROJAS.doc", "Abrir Documento")</f>
        <v>0</v>
      </c>
      <c r="D3499" t="s">
        <v>23500</v>
      </c>
      <c r="E3499" t="s">
        <v>26748</v>
      </c>
    </row>
    <row r="3500" spans="1:5">
      <c r="A3500" t="s">
        <v>6</v>
      </c>
      <c r="B3500" t="s">
        <v>3505</v>
      </c>
      <c r="C3500">
        <f>HYPERLINK("C:\Users\franc\OneDrive\Documentos\MALENTIN KARIME\Rosa\MANDATOS\BANCARIO\PODER BANCARIO ejemplo.doc", "Abrir Documento")</f>
        <v>0</v>
      </c>
      <c r="D3500" t="s">
        <v>23500</v>
      </c>
      <c r="E3500" t="s">
        <v>26748</v>
      </c>
    </row>
    <row r="3501" spans="1:5">
      <c r="A3501" t="s">
        <v>6</v>
      </c>
      <c r="B3501" t="s">
        <v>3506</v>
      </c>
      <c r="C3501">
        <f>HYPERLINK("C:\Users\franc\OneDrive\Documentos\MALENTIN KARIME\Rosa\MANDATOS\BANCARIO\MARIO CASTILLO A ELSA VIDAL ROJAS.doc", "Abrir Documento")</f>
        <v>0</v>
      </c>
      <c r="D3501" t="s">
        <v>23500</v>
      </c>
      <c r="E3501" t="s">
        <v>26749</v>
      </c>
    </row>
    <row r="3502" spans="1:5">
      <c r="A3502" t="s">
        <v>6</v>
      </c>
      <c r="B3502" t="s">
        <v>3507</v>
      </c>
      <c r="C3502">
        <f>HYPERLINK("C:\Users\franc\OneDrive\Documentos\MALENTIN KARIME\Rosa\MANDATOS\BANCARIO\EDITH PIZARRO A FRANCO AROS.doc", "Abrir Documento")</f>
        <v>0</v>
      </c>
      <c r="D3502" t="s">
        <v>23500</v>
      </c>
      <c r="E3502" t="s">
        <v>26750</v>
      </c>
    </row>
    <row r="3503" spans="1:5">
      <c r="A3503" t="s">
        <v>6</v>
      </c>
      <c r="B3503" t="s">
        <v>3508</v>
      </c>
      <c r="C3503">
        <f>HYPERLINK("C:\Users\franc\OneDrive\Documentos\MALENTIN KARIME\Rosa\MANDATOS\BANCARIO\DORIS LARENAS A PAULA DE CASACUBERTA.doc", "Abrir Documento")</f>
        <v>0</v>
      </c>
      <c r="D3503" t="s">
        <v>23500</v>
      </c>
      <c r="E3503" t="s">
        <v>26751</v>
      </c>
    </row>
    <row r="3504" spans="1:5">
      <c r="A3504" t="s">
        <v>6</v>
      </c>
      <c r="B3504" t="s">
        <v>3509</v>
      </c>
      <c r="C3504">
        <f>HYPERLINK("C:\Users\franc\OneDrive\Documentos\MALENTIN KARIME\Rosa\MANDATOS\BANCARIO\DANIEL VEGA ARQUEROS A DANIEL VEGA.doc", "Abrir Documento")</f>
        <v>0</v>
      </c>
      <c r="D3504" t="s">
        <v>23500</v>
      </c>
      <c r="E3504" t="s">
        <v>26752</v>
      </c>
    </row>
    <row r="3505" spans="1:5">
      <c r="A3505" t="s">
        <v>6</v>
      </c>
      <c r="B3505" t="s">
        <v>3510</v>
      </c>
      <c r="C3505">
        <f>HYPERLINK("C:\Users\franc\OneDrive\Documentos\MALENTIN KARIME\Rosa\MANDATOS\BANCARIO\ACTUAR EN  CTA.CORRIENTE.doc", "Abrir Documento")</f>
        <v>0</v>
      </c>
      <c r="D3505" t="s">
        <v>23500</v>
      </c>
      <c r="E3505" t="s">
        <v>26753</v>
      </c>
    </row>
    <row r="3506" spans="1:5">
      <c r="A3506" t="s">
        <v>6</v>
      </c>
      <c r="B3506" t="s">
        <v>3511</v>
      </c>
      <c r="C3506">
        <f>HYPERLINK("C:\Users\franc\OneDrive\Documentos\MALENTIN KARIME\Rosa\MANDATOS\ADMINISTRACION\NARCISO CERDA A SANDRA CERDA SALINAS.doc", "Abrir Documento")</f>
        <v>0</v>
      </c>
      <c r="D3506" t="s">
        <v>23500</v>
      </c>
      <c r="E3506" t="s">
        <v>26754</v>
      </c>
    </row>
    <row r="3507" spans="1:5">
      <c r="A3507" t="s">
        <v>6</v>
      </c>
      <c r="B3507" t="s">
        <v>3512</v>
      </c>
      <c r="C3507">
        <f>HYPERLINK("C:\Users\franc\OneDrive\Documentos\MALENTIN KARIME\Rosa\MANDATOS\MANDATO URGENTE.doc", "Abrir Documento")</f>
        <v>0</v>
      </c>
      <c r="D3507" t="s">
        <v>23500</v>
      </c>
      <c r="E3507" t="s">
        <v>26755</v>
      </c>
    </row>
    <row r="3508" spans="1:5">
      <c r="A3508" t="s">
        <v>6</v>
      </c>
      <c r="B3508" t="s">
        <v>3513</v>
      </c>
      <c r="C3508">
        <f>HYPERLINK("C:\Users\franc\OneDrive\Documentos\MALENTIN KARIME\Rosa\MANDATOS\NATIVIDAD CORTE A GIMENA VEGA CORTES.doc", "Abrir Documento")</f>
        <v>0</v>
      </c>
      <c r="D3508" t="s">
        <v>23500</v>
      </c>
      <c r="E3508" t="s">
        <v>26755</v>
      </c>
    </row>
    <row r="3509" spans="1:5">
      <c r="A3509" t="s">
        <v>6</v>
      </c>
      <c r="B3509" t="s">
        <v>3514</v>
      </c>
      <c r="C3509">
        <f>HYPERLINK("C:\Users\franc\OneDrive\Documentos\MALENTIN KARIME\Rosa\MANDATOS\mandato rodrigo.doc", "Abrir Documento")</f>
        <v>0</v>
      </c>
      <c r="D3509" t="s">
        <v>23500</v>
      </c>
      <c r="E3509" t="s">
        <v>26756</v>
      </c>
    </row>
    <row r="3510" spans="1:5">
      <c r="A3510" t="s">
        <v>6</v>
      </c>
      <c r="B3510" t="s">
        <v>3515</v>
      </c>
      <c r="C3510">
        <f>HYPERLINK("C:\Users\franc\OneDrive\Documentos\MALENTIN KARIME\Rosa\MANDATOS\manDATO GENERAL RODRIGO.doc", "Abrir Documento")</f>
        <v>0</v>
      </c>
      <c r="D3510" t="s">
        <v>23500</v>
      </c>
      <c r="E3510" t="s">
        <v>26757</v>
      </c>
    </row>
    <row r="3511" spans="1:5">
      <c r="A3511" t="s">
        <v>6</v>
      </c>
      <c r="B3511" t="s">
        <v>3516</v>
      </c>
      <c r="C3511">
        <f>HYPERLINK("C:\Users\franc\OneDrive\Documentos\MALENTIN KARIME\Rosa\LOGROS\OSCAR CORTES.doc", "Abrir Documento")</f>
        <v>0</v>
      </c>
      <c r="D3511" t="s">
        <v>23500</v>
      </c>
      <c r="E3511" t="s">
        <v>26758</v>
      </c>
    </row>
    <row r="3512" spans="1:5">
      <c r="A3512" t="s">
        <v>6</v>
      </c>
      <c r="B3512" t="s">
        <v>3517</v>
      </c>
      <c r="C3512">
        <f>HYPERLINK("C:\Users\franc\OneDrive\Documentos\MALENTIN KARIME\Rosa\LOGROS\JAVIER TABILO.doc", "Abrir Documento")</f>
        <v>0</v>
      </c>
      <c r="D3512" t="s">
        <v>23500</v>
      </c>
      <c r="E3512" t="s">
        <v>26759</v>
      </c>
    </row>
    <row r="3513" spans="1:5">
      <c r="A3513" t="s">
        <v>6</v>
      </c>
      <c r="B3513" t="s">
        <v>3518</v>
      </c>
      <c r="C3513">
        <f>HYPERLINK("C:\Users\franc\OneDrive\Documentos\MALENTIN KARIME\Rosa\LOGROS\Contrato Factoring (LIMITADA) OSCAR CORTES CARVAJAL[1].doc", "Abrir Documento")</f>
        <v>0</v>
      </c>
      <c r="D3513" t="s">
        <v>23500</v>
      </c>
      <c r="E3513" t="s">
        <v>26760</v>
      </c>
    </row>
    <row r="3514" spans="1:5">
      <c r="A3514" t="s">
        <v>6</v>
      </c>
      <c r="B3514" t="s">
        <v>3519</v>
      </c>
      <c r="C3514">
        <f>HYPERLINK("C:\Users\franc\OneDrive\Documentos\MALENTIN KARIME\Rosa\JULIO POLANCO\JULIO POLANCO  ROBERTO DABED.doc", "Abrir Documento")</f>
        <v>0</v>
      </c>
      <c r="D3514" t="s">
        <v>23500</v>
      </c>
      <c r="E3514" t="s">
        <v>26761</v>
      </c>
    </row>
    <row r="3515" spans="1:5">
      <c r="A3515" t="s">
        <v>6</v>
      </c>
      <c r="B3515" t="s">
        <v>3520</v>
      </c>
      <c r="C3515">
        <f>HYPERLINK("C:\Users\franc\OneDrive\Documentos\MALENTIN KARIME\Rosa\JULIO POLANCO\foja en blanco.doc", "Abrir Documento")</f>
        <v>0</v>
      </c>
      <c r="D3515" t="s">
        <v>23500</v>
      </c>
      <c r="E3515" t="s">
        <v>26762</v>
      </c>
    </row>
    <row r="3516" spans="1:5">
      <c r="A3516" t="s">
        <v>6</v>
      </c>
      <c r="B3516" t="s">
        <v>3521</v>
      </c>
      <c r="C3516">
        <f>HYPERLINK("C:\Users\franc\OneDrive\Documentos\MALENTIN KARIME\Rosa\JULIO POLANCO\certificado dominio vigente.pdf", "Abrir Documento")</f>
        <v>0</v>
      </c>
      <c r="D3516" t="s">
        <v>23500</v>
      </c>
      <c r="E3516" t="s">
        <v>26763</v>
      </c>
    </row>
    <row r="3517" spans="1:5">
      <c r="A3517" t="s">
        <v>6</v>
      </c>
      <c r="B3517" t="s">
        <v>3522</v>
      </c>
      <c r="C3517">
        <f>HYPERLINK("C:\Users\franc\OneDrive\Documentos\MALENTIN KARIME\Rosa\JULIO POLANCO\Compraventa y mandato.doc", "Abrir Documento")</f>
        <v>0</v>
      </c>
      <c r="D3517" t="s">
        <v>23500</v>
      </c>
      <c r="E3517" t="s">
        <v>26763</v>
      </c>
    </row>
    <row r="3518" spans="1:5">
      <c r="A3518" t="s">
        <v>6</v>
      </c>
      <c r="B3518" t="s">
        <v>3523</v>
      </c>
      <c r="C3518">
        <f>HYPERLINK("C:\Users\franc\OneDrive\Documentos\MALENTIN KARIME\Rosa\JULIO POLANCO\certificado afectación a utilidad pública.pdf", "Abrir Documento")</f>
        <v>0</v>
      </c>
      <c r="D3518" t="s">
        <v>23500</v>
      </c>
      <c r="E3518" t="s">
        <v>26764</v>
      </c>
    </row>
    <row r="3519" spans="1:5">
      <c r="A3519" t="s">
        <v>6</v>
      </c>
      <c r="B3519" t="s">
        <v>3524</v>
      </c>
      <c r="C3519">
        <f>HYPERLINK("C:\Users\franc\OneDrive\Documentos\MALENTIN KARIME\Rosa\INFORME VENTA DE AGUAS\SOBRE DIRECCION DE AGUAS.doc", "Abrir Documento")</f>
        <v>0</v>
      </c>
      <c r="D3519" t="s">
        <v>23500</v>
      </c>
      <c r="E3519" t="s">
        <v>26765</v>
      </c>
    </row>
    <row r="3520" spans="1:5">
      <c r="A3520" t="s">
        <v>6</v>
      </c>
      <c r="B3520" t="s">
        <v>3525</v>
      </c>
      <c r="C3520">
        <f>HYPERLINK("C:\Users\franc\OneDrive\Documentos\MALENTIN KARIME\Rosa\INFORME VENTA DE AGUAS\OFICIO 02.doc", "Abrir Documento")</f>
        <v>0</v>
      </c>
      <c r="D3520" t="s">
        <v>23500</v>
      </c>
      <c r="E3520" t="s">
        <v>26766</v>
      </c>
    </row>
    <row r="3521" spans="1:5">
      <c r="A3521" t="s">
        <v>6</v>
      </c>
      <c r="B3521" t="s">
        <v>3526</v>
      </c>
      <c r="C3521">
        <f>HYPERLINK("C:\Users\franc\OneDrive\Documentos\MALENTIN KARIME\Rosa\INFORME VENTA DE AGUAS\PLANILLA DIRECCION GENERAL DE AGUAS ENERO.doc", "Abrir Documento")</f>
        <v>0</v>
      </c>
      <c r="D3521" t="s">
        <v>23500</v>
      </c>
      <c r="E3521" t="s">
        <v>26766</v>
      </c>
    </row>
    <row r="3522" spans="1:5">
      <c r="A3522" t="s">
        <v>6</v>
      </c>
      <c r="B3522" t="s">
        <v>3527</v>
      </c>
      <c r="C3522">
        <f>HYPERLINK("C:\Users\franc\OneDrive\Documentos\MALENTIN KARIME\Rosa\FACTORONE\SOBRE FACTORONE.doc", "Abrir Documento")</f>
        <v>0</v>
      </c>
      <c r="D3522" t="s">
        <v>23500</v>
      </c>
      <c r="E3522" t="s">
        <v>26767</v>
      </c>
    </row>
    <row r="3523" spans="1:5">
      <c r="A3523" t="s">
        <v>6</v>
      </c>
      <c r="B3523" t="s">
        <v>3528</v>
      </c>
      <c r="C3523">
        <f>HYPERLINK("C:\Users\franc\OneDrive\Documentos\MALENTIN KARIME\Rosa\FACTORONE\SOBRE.doc", "Abrir Documento")</f>
        <v>0</v>
      </c>
      <c r="D3523" t="s">
        <v>23500</v>
      </c>
      <c r="E3523" t="s">
        <v>26767</v>
      </c>
    </row>
    <row r="3524" spans="1:5">
      <c r="A3524" t="s">
        <v>6</v>
      </c>
      <c r="B3524" t="s">
        <v>3529</v>
      </c>
      <c r="C3524">
        <f>HYPERLINK("C:\Users\franc\OneDrive\Documentos\MALENTIN KARIME\Rosa\FACTORONE\Notificación JUAN AROS LOPEZ.doc", "Abrir Documento")</f>
        <v>0</v>
      </c>
      <c r="D3524" t="s">
        <v>23500</v>
      </c>
      <c r="E3524" t="s">
        <v>26768</v>
      </c>
    </row>
    <row r="3525" spans="1:5">
      <c r="A3525" t="s">
        <v>6</v>
      </c>
      <c r="B3525" t="s">
        <v>3530</v>
      </c>
      <c r="C3525">
        <f>HYPERLINK("C:\Users\franc\OneDrive\Documentos\MALENTIN KARIME\Rosa\FACTORONE\SOBRE FACTORONE 2.doc", "Abrir Documento")</f>
        <v>0</v>
      </c>
      <c r="D3525" t="s">
        <v>23500</v>
      </c>
      <c r="E3525" t="s">
        <v>26768</v>
      </c>
    </row>
    <row r="3526" spans="1:5">
      <c r="A3526" t="s">
        <v>6</v>
      </c>
      <c r="B3526" t="s">
        <v>3531</v>
      </c>
      <c r="C3526">
        <f>HYPERLINK("C:\Users\franc\OneDrive\Documentos\MALENTIN KARIME\Rosa\FACTORONE\notificacion Logros.doc", "Abrir Documento")</f>
        <v>0</v>
      </c>
      <c r="D3526" t="s">
        <v>23500</v>
      </c>
      <c r="E3526" t="s">
        <v>26769</v>
      </c>
    </row>
    <row r="3527" spans="1:5">
      <c r="A3527" t="s">
        <v>6</v>
      </c>
      <c r="B3527" t="s">
        <v>3532</v>
      </c>
      <c r="C3527">
        <f>HYPERLINK("C:\Users\franc\OneDrive\Documentos\MALENTIN KARIME\Rosa\FACTORONE\NOTIFICACION FERNANDO ESTAY.doc", "Abrir Documento")</f>
        <v>0</v>
      </c>
      <c r="D3527" t="s">
        <v>23500</v>
      </c>
      <c r="E3527" t="s">
        <v>26770</v>
      </c>
    </row>
    <row r="3528" spans="1:5">
      <c r="A3528" t="s">
        <v>6</v>
      </c>
      <c r="B3528" t="s">
        <v>3533</v>
      </c>
      <c r="C3528">
        <f>HYPERLINK("C:\Users\franc\OneDrive\Documentos\MALENTIN KARIME\Rosa\FACTORONE\NOTIFICACION JAIME UGARTE Y SCOTT S.A..doc", "Abrir Documento")</f>
        <v>0</v>
      </c>
      <c r="D3528" t="s">
        <v>23500</v>
      </c>
      <c r="E3528" t="s">
        <v>26770</v>
      </c>
    </row>
    <row r="3529" spans="1:5">
      <c r="A3529" t="s">
        <v>6</v>
      </c>
      <c r="B3529" t="s">
        <v>3534</v>
      </c>
      <c r="C3529">
        <f>HYPERLINK("C:\Users\franc\OneDrive\Documentos\MALENTIN KARIME\Rosa\FACTORONE\notificacion Factorone.doc", "Abrir Documento")</f>
        <v>0</v>
      </c>
      <c r="D3529" t="s">
        <v>23500</v>
      </c>
      <c r="E3529" t="s">
        <v>26771</v>
      </c>
    </row>
    <row r="3530" spans="1:5">
      <c r="A3530" t="s">
        <v>6</v>
      </c>
      <c r="B3530" t="s">
        <v>3535</v>
      </c>
      <c r="C3530">
        <f>HYPERLINK("C:\Users\franc\OneDrive\Documentos\MALENTIN KARIME\Rosa\FACTORLINE\FACTORLINE SOC. ARKON LIMITADA.doc", "Abrir Documento")</f>
        <v>0</v>
      </c>
      <c r="D3530" t="s">
        <v>23500</v>
      </c>
      <c r="E3530" t="s">
        <v>26772</v>
      </c>
    </row>
    <row r="3531" spans="1:5">
      <c r="A3531" t="s">
        <v>6</v>
      </c>
      <c r="B3531" t="s">
        <v>3536</v>
      </c>
      <c r="C3531">
        <f>HYPERLINK("C:\Users\franc\OneDrive\Documentos\MALENTIN KARIME\Rosa\FACTORONE\carta notificacion hernán morales.doc", "Abrir Documento")</f>
        <v>0</v>
      </c>
      <c r="D3531" t="s">
        <v>23500</v>
      </c>
      <c r="E3531" t="s">
        <v>26772</v>
      </c>
    </row>
    <row r="3532" spans="1:5">
      <c r="A3532" t="s">
        <v>6</v>
      </c>
      <c r="B3532" t="s">
        <v>3537</v>
      </c>
      <c r="C3532">
        <f>HYPERLINK("C:\Users\franc\OneDrive\Documentos\MALENTIN KARIME\Rosa\FACTORLINE\8[1]. FAC. Pna.Nat con aval..doc", "Abrir Documento")</f>
        <v>0</v>
      </c>
      <c r="D3532" t="s">
        <v>23500</v>
      </c>
      <c r="E3532" t="s">
        <v>26773</v>
      </c>
    </row>
    <row r="3533" spans="1:5">
      <c r="A3533" t="s">
        <v>6</v>
      </c>
      <c r="B3533" t="s">
        <v>3538</v>
      </c>
      <c r="C3533">
        <f>HYPERLINK("C:\Users\franc\OneDrive\Documentos\MALENTIN KARIME\Rosa\EXTRACTOS\EXTRACTO. soc. Agrícola Los Alamos Ltda..doc", "Abrir Documento")</f>
        <v>0</v>
      </c>
      <c r="D3533" t="s">
        <v>23500</v>
      </c>
      <c r="E3533" t="s">
        <v>26774</v>
      </c>
    </row>
    <row r="3534" spans="1:5">
      <c r="A3534" t="s">
        <v>6</v>
      </c>
      <c r="B3534" t="s">
        <v>3539</v>
      </c>
      <c r="C3534">
        <f>HYPERLINK("C:\Users\franc\OneDrive\Documentos\MALENTIN KARIME\Rosa\escrituras ROBERTO VEGA\MANDATO PARA COMPRAR.doc", "Abrir Documento")</f>
        <v>0</v>
      </c>
      <c r="D3534" t="s">
        <v>23500</v>
      </c>
      <c r="E3534" t="s">
        <v>26775</v>
      </c>
    </row>
    <row r="3535" spans="1:5">
      <c r="A3535" t="s">
        <v>6</v>
      </c>
      <c r="B3535" t="s">
        <v>3540</v>
      </c>
      <c r="C3535">
        <f>HYPERLINK("C:\Users\franc\OneDrive\Documentos\MALENTIN KARIME\Rosa\escrituras ROBERTO VEGA\mandato para comprar..doc", "Abrir Documento")</f>
        <v>0</v>
      </c>
      <c r="D3535" t="s">
        <v>23500</v>
      </c>
      <c r="E3535" t="s">
        <v>26776</v>
      </c>
    </row>
    <row r="3536" spans="1:5">
      <c r="A3536" t="s">
        <v>6</v>
      </c>
      <c r="B3536" t="s">
        <v>3541</v>
      </c>
      <c r="C3536">
        <f>HYPERLINK("C:\Users\franc\OneDrive\Documentos\MALENTIN KARIME\Rosa\escrituras ROBERTO VEGA\CESION DERECHOS DE HERENCIA MURILLOS.doc", "Abrir Documento")</f>
        <v>0</v>
      </c>
      <c r="D3536" t="s">
        <v>23500</v>
      </c>
      <c r="E3536" t="s">
        <v>26777</v>
      </c>
    </row>
    <row r="3537" spans="1:5">
      <c r="A3537" t="s">
        <v>6</v>
      </c>
      <c r="B3537" t="s">
        <v>3542</v>
      </c>
      <c r="C3537">
        <f>HYPERLINK("C:\Users\franc\OneDrive\Documentos\MALENTIN KARIME\Rosa\escrituras ROBERTO VEGA\CESION DERECHOS DE HERENCIA.doc", "Abrir Documento")</f>
        <v>0</v>
      </c>
      <c r="D3537" t="s">
        <v>23500</v>
      </c>
      <c r="E3537" t="s">
        <v>26777</v>
      </c>
    </row>
    <row r="3538" spans="1:5">
      <c r="A3538" t="s">
        <v>6</v>
      </c>
      <c r="B3538" t="s">
        <v>3543</v>
      </c>
      <c r="C3538">
        <f>HYPERLINK("C:\Users\franc\OneDrive\Documentos\MALENTIN KARIME\Rosa\ESCRITURAS 13 DE ENERO 2010 ROSA\JUNTA DE VECINOS AGUA DEL AJIAL DE LAS RAMADAS PUNITAQUI.doc", "Abrir Documento")</f>
        <v>0</v>
      </c>
      <c r="D3538" t="s">
        <v>23500</v>
      </c>
      <c r="E3538" t="s">
        <v>26778</v>
      </c>
    </row>
    <row r="3539" spans="1:5">
      <c r="A3539" t="s">
        <v>6</v>
      </c>
      <c r="B3539" t="s">
        <v>3544</v>
      </c>
      <c r="C3539">
        <f>HYPERLINK("C:\Users\franc\OneDrive\Documentos\MALENTIN KARIME\Rosa\ESCRITURAS 13 DE ENERO 2010 ROSA\JULIA YAÑEZ- MANDATO.doc", "Abrir Documento")</f>
        <v>0</v>
      </c>
      <c r="D3539" t="s">
        <v>23500</v>
      </c>
      <c r="E3539" t="s">
        <v>26779</v>
      </c>
    </row>
    <row r="3540" spans="1:5">
      <c r="A3540" t="s">
        <v>6</v>
      </c>
      <c r="B3540" t="s">
        <v>3545</v>
      </c>
      <c r="C3540">
        <f>HYPERLINK("C:\Users\franc\OneDrive\Documentos\MALENTIN KARIME\Rosa\ESCRITURAS 13 DE ENERO 2010 ROSA\COOPEUCH.doc", "Abrir Documento")</f>
        <v>0</v>
      </c>
      <c r="D3540" t="s">
        <v>23500</v>
      </c>
      <c r="E3540" t="s">
        <v>26780</v>
      </c>
    </row>
    <row r="3541" spans="1:5">
      <c r="A3541" t="s">
        <v>6</v>
      </c>
      <c r="B3541" t="s">
        <v>3546</v>
      </c>
      <c r="C3541">
        <f>HYPERLINK("C:\Users\franc\OneDrive\Documentos\MALENTIN KARIME\Rosa\ESCRITURAS 13 DE ENERO 2010 ROSA\JULIA YAÑEZ Y OTRA- MANDATO.doc", "Abrir Documento")</f>
        <v>0</v>
      </c>
      <c r="D3541" t="s">
        <v>23500</v>
      </c>
      <c r="E3541" t="s">
        <v>26780</v>
      </c>
    </row>
    <row r="3542" spans="1:5">
      <c r="A3542" t="s">
        <v>6</v>
      </c>
      <c r="B3542" t="s">
        <v>3547</v>
      </c>
      <c r="C3542">
        <f>HYPERLINK("C:\Users\franc\OneDrive\Documentos\MALENTIN KARIME\Rosa\ESCRITURAS 13 DE ENERO 2010 ROSA\comercial industrial e invers. talhuen s.a..doc", "Abrir Documento")</f>
        <v>0</v>
      </c>
      <c r="D3542" t="s">
        <v>23500</v>
      </c>
      <c r="E3542" t="s">
        <v>26781</v>
      </c>
    </row>
    <row r="3543" spans="1:5">
      <c r="A3543" t="s">
        <v>6</v>
      </c>
      <c r="B3543" t="s">
        <v>3548</v>
      </c>
      <c r="C3543">
        <f>HYPERLINK("C:\Users\franc\OneDrive\Documentos\MALENTIN KARIME\Rosa\ESCRITURAS 13 DE ENERO 2010 ROSA\BOMBER0S 8 COMPAÑIA CERRILLOS DE TAMAYA.doc", "Abrir Documento")</f>
        <v>0</v>
      </c>
      <c r="D3543" t="s">
        <v>23500</v>
      </c>
      <c r="E3543" t="s">
        <v>26782</v>
      </c>
    </row>
    <row r="3544" spans="1:5">
      <c r="A3544" t="s">
        <v>6</v>
      </c>
      <c r="B3544" t="s">
        <v>3549</v>
      </c>
      <c r="C3544">
        <f>HYPERLINK("C:\Users\franc\OneDrive\Documentos\MALENTIN KARIME\Rosa\ESCRITURA MINERA\ESCRITURA MINERA\BORRADORES\NUTRAM PRORROGA PAGO CUOTAS SALVACION marzo 2011[1].doc", "Abrir Documento")</f>
        <v>0</v>
      </c>
      <c r="D3544" t="s">
        <v>23500</v>
      </c>
      <c r="E3544" t="s">
        <v>26783</v>
      </c>
    </row>
    <row r="3545" spans="1:5">
      <c r="A3545" t="s">
        <v>6</v>
      </c>
      <c r="B3545" t="s">
        <v>3550</v>
      </c>
      <c r="C3545">
        <f>HYPERLINK("C:\Users\franc\OneDrive\Documentos\MALENTIN KARIME\Rosa\ESCRITURAS 13 DE ENERO 2010 ROSA\ANGELA PEREZ JOFRE - MANDATO.doc", "Abrir Documento")</f>
        <v>0</v>
      </c>
      <c r="D3545" t="s">
        <v>23500</v>
      </c>
      <c r="E3545" t="s">
        <v>26783</v>
      </c>
    </row>
    <row r="3546" spans="1:5">
      <c r="A3546" t="s">
        <v>6</v>
      </c>
      <c r="B3546" t="s">
        <v>3551</v>
      </c>
      <c r="C3546">
        <f>HYPERLINK("C:\Users\franc\OneDrive\Documentos\MALENTIN KARIME\Rosa\ESCRITURA MINERA\ESCRITURA MINERA\BORRADORES\NUTRAM PRORROGA PAGO CUOTAS LOS CHAÑARES.doc", "Abrir Documento")</f>
        <v>0</v>
      </c>
      <c r="D3546" t="s">
        <v>23500</v>
      </c>
      <c r="E3546" t="s">
        <v>26784</v>
      </c>
    </row>
    <row r="3547" spans="1:5">
      <c r="A3547" t="s">
        <v>6</v>
      </c>
      <c r="B3547" t="s">
        <v>3552</v>
      </c>
      <c r="C3547">
        <f>HYPERLINK("C:\Users\franc\OneDrive\Documentos\MALENTIN KARIME\Rosa\ESCRITURA MINERA\ESCRITURA MINERA\BORRADORES\COMPRAVENTA pertenencias albuquerque ovalle2feb10[2].doc", "Abrir Documento")</f>
        <v>0</v>
      </c>
      <c r="D3547" t="s">
        <v>23500</v>
      </c>
      <c r="E3547" t="s">
        <v>26785</v>
      </c>
    </row>
    <row r="3548" spans="1:5">
      <c r="A3548" t="s">
        <v>6</v>
      </c>
      <c r="B3548" t="s">
        <v>3553</v>
      </c>
      <c r="C3548">
        <f>HYPERLINK("C:\Users\franc\OneDrive\Documentos\MALENTIN KARIME\Rosa\ESCRITURA MINERA\ESCRITURA MINERA\BORRADORES\CONTRATO DE ARRENDAMIENTO MINERO OFERTA DE VENTA.doc", "Abrir Documento")</f>
        <v>0</v>
      </c>
      <c r="D3548" t="s">
        <v>23500</v>
      </c>
      <c r="E3548" t="s">
        <v>26785</v>
      </c>
    </row>
    <row r="3549" spans="1:5">
      <c r="A3549" t="s">
        <v>6</v>
      </c>
      <c r="B3549" t="s">
        <v>3554</v>
      </c>
      <c r="C3549">
        <f>HYPERLINK("C:\Users\franc\OneDrive\Documentos\MALENTIN KARIME\Rosa\ESCRITURA MINERA\ESCRITURA MINERA\BORRADORES\arriendoconopciondecompra1]2.doc", "Abrir Documento")</f>
        <v>0</v>
      </c>
      <c r="D3549" t="s">
        <v>23500</v>
      </c>
      <c r="E3549" t="s">
        <v>26786</v>
      </c>
    </row>
    <row r="3550" spans="1:5">
      <c r="A3550" t="s">
        <v>6</v>
      </c>
      <c r="B3550" t="s">
        <v>3555</v>
      </c>
      <c r="C3550">
        <f>HYPERLINK("C:\Users\franc\OneDrive\Documentos\MALENTIN KARIME\Rosa\ESCRITURA MINERA\ESCRITURA MINERA\BORRADORES\COMPRAVENTA pertenencias albuquerque montepatria2feb10[1].doc", "Abrir Documento")</f>
        <v>0</v>
      </c>
      <c r="D3550" t="s">
        <v>23500</v>
      </c>
      <c r="E3550" t="s">
        <v>26786</v>
      </c>
    </row>
    <row r="3551" spans="1:5">
      <c r="A3551" t="s">
        <v>6</v>
      </c>
      <c r="B3551" t="s">
        <v>3556</v>
      </c>
      <c r="C3551">
        <f>HYPERLINK("C:\Users\franc\OneDrive\Documentos\MALENTIN KARIME\Rosa\ESCRITURA MINERA\ESCRITURA MINERA\MODIF. COMPRAVENTA INV. NUTRAM SALVACION.doc", "Abrir Documento")</f>
        <v>0</v>
      </c>
      <c r="D3551" t="s">
        <v>23500</v>
      </c>
      <c r="E3551" t="s">
        <v>26787</v>
      </c>
    </row>
    <row r="3552" spans="1:5">
      <c r="A3552" t="s">
        <v>6</v>
      </c>
      <c r="B3552" t="s">
        <v>3557</v>
      </c>
      <c r="C3552">
        <f>HYPERLINK("C:\Users\franc\OneDrive\Documentos\MALENTIN KARIME\Rosa\ESCRITURA MINERA\ESCRITURA MINERA\MODIFI. COMPRAVENTA INV. NUTRAM LOS CHAÑARES.doc", "Abrir Documento")</f>
        <v>0</v>
      </c>
      <c r="D3552" t="s">
        <v>23500</v>
      </c>
      <c r="E3552" t="s">
        <v>26787</v>
      </c>
    </row>
    <row r="3553" spans="1:5">
      <c r="A3553" t="s">
        <v>6</v>
      </c>
      <c r="B3553" t="s">
        <v>3558</v>
      </c>
      <c r="C3553">
        <f>HYPERLINK("C:\Users\franc\OneDrive\Documentos\MALENTIN KARIME\Rosa\ESCRITURA MINERA\ESCRITURA MINERA\CONTRATO CON OPCION DE COMPRA.doc", "Abrir Documento")</f>
        <v>0</v>
      </c>
      <c r="D3553" t="s">
        <v>23500</v>
      </c>
      <c r="E3553" t="s">
        <v>26788</v>
      </c>
    </row>
    <row r="3554" spans="1:5">
      <c r="A3554" t="s">
        <v>6</v>
      </c>
      <c r="B3554" t="s">
        <v>3559</v>
      </c>
      <c r="C3554">
        <f>HYPERLINK("C:\Users\franc\OneDrive\Documentos\MALENTIN KARIME\Rosa\ESCRITURA MINERA\ESCRITURA MINERA\Copia de COMPRAVENTA MINERA OVALLE.doc", "Abrir Documento")</f>
        <v>0</v>
      </c>
      <c r="D3554" t="s">
        <v>23500</v>
      </c>
      <c r="E3554" t="s">
        <v>26788</v>
      </c>
    </row>
    <row r="3555" spans="1:5">
      <c r="A3555" t="s">
        <v>6</v>
      </c>
      <c r="B3555" t="s">
        <v>3560</v>
      </c>
      <c r="C3555">
        <f>HYPERLINK("C:\Users\franc\OneDrive\Documentos\MALENTIN KARIME\Rosa\ESCRITURA MINERA\Copia de COMPRAVENTA MINERA OVALLE.doc", "Abrir Documento")</f>
        <v>0</v>
      </c>
      <c r="D3555" t="s">
        <v>23500</v>
      </c>
      <c r="E3555" t="s">
        <v>26789</v>
      </c>
    </row>
    <row r="3556" spans="1:5">
      <c r="A3556" t="s">
        <v>6</v>
      </c>
      <c r="B3556" t="s">
        <v>3561</v>
      </c>
      <c r="C3556">
        <f>HYPERLINK("C:\Users\franc\OneDrive\Documentos\MALENTIN KARIME\Rosa\ESCRITURA MINERA\ESCRITURA MINERA\COMPRAVENTA MINERA 1 MON. PATRIA.doc", "Abrir Documento")</f>
        <v>0</v>
      </c>
      <c r="D3556" t="s">
        <v>23500</v>
      </c>
      <c r="E3556" t="s">
        <v>26789</v>
      </c>
    </row>
    <row r="3557" spans="1:5">
      <c r="A3557" t="s">
        <v>6</v>
      </c>
      <c r="B3557" t="s">
        <v>3562</v>
      </c>
      <c r="C3557">
        <f>HYPERLINK("C:\Users\franc\OneDrive\Documentos\MALENTIN KARIME\Rosa\ESCRITURA MINERA\CONTRATO HERNAN VIDELA A OSVALDO CONDORI.doc", "Abrir Documento")</f>
        <v>0</v>
      </c>
      <c r="D3557" t="s">
        <v>23500</v>
      </c>
      <c r="E3557" t="s">
        <v>26790</v>
      </c>
    </row>
    <row r="3558" spans="1:5">
      <c r="A3558" t="s">
        <v>6</v>
      </c>
      <c r="B3558" t="s">
        <v>3563</v>
      </c>
      <c r="C3558">
        <f>HYPERLINK("C:\Users\franc\OneDrive\Documentos\MALENTIN KARIME\Rosa\ESCRITURA MINERA\CONTRATO DE ARRENDAMIENTO MINERO OFERTA DE VENTA.doc", "Abrir Documento")</f>
        <v>0</v>
      </c>
      <c r="D3558" t="s">
        <v>23500</v>
      </c>
      <c r="E3558" t="s">
        <v>26791</v>
      </c>
    </row>
    <row r="3559" spans="1:5">
      <c r="A3559" t="s">
        <v>6</v>
      </c>
      <c r="B3559" t="s">
        <v>3564</v>
      </c>
      <c r="C3559">
        <f>HYPERLINK("C:\Users\franc\OneDrive\Documentos\MALENTIN KARIME\Rosa\ESCRITURA MINERA\CONTRATO CON OPCION DE COMPRA.doc", "Abrir Documento")</f>
        <v>0</v>
      </c>
      <c r="D3559" t="s">
        <v>23500</v>
      </c>
      <c r="E3559" t="s">
        <v>26792</v>
      </c>
    </row>
    <row r="3560" spans="1:5">
      <c r="A3560" t="s">
        <v>6</v>
      </c>
      <c r="B3560" t="s">
        <v>3565</v>
      </c>
      <c r="C3560">
        <f>HYPERLINK("C:\Users\franc\OneDrive\Documentos\MALENTIN KARIME\Rosa\ESCRITURA MINERA\Contrato Arrendamiento Hernan Araya nueva.doc", "Abrir Documento")</f>
        <v>0</v>
      </c>
      <c r="D3560" t="s">
        <v>23500</v>
      </c>
      <c r="E3560" t="s">
        <v>26793</v>
      </c>
    </row>
    <row r="3561" spans="1:5">
      <c r="A3561" t="s">
        <v>6</v>
      </c>
      <c r="B3561" t="s">
        <v>3566</v>
      </c>
      <c r="C3561">
        <f>HYPERLINK("C:\Users\franc\OneDrive\Documentos\MALENTIN KARIME\Rosa\ESCRITURA MINERA\COMPRAVENTA pertenencias albuquerque ovalle2feb10[2].doc", "Abrir Documento")</f>
        <v>0</v>
      </c>
      <c r="D3561" t="s">
        <v>23500</v>
      </c>
      <c r="E3561" t="s">
        <v>26794</v>
      </c>
    </row>
    <row r="3562" spans="1:5">
      <c r="A3562" t="s">
        <v>6</v>
      </c>
      <c r="B3562" t="s">
        <v>3567</v>
      </c>
      <c r="C3562">
        <f>HYPERLINK("C:\Users\franc\OneDrive\Documentos\MALENTIN KARIME\Rosa\ESCRITURA MINERA\COMPRAVENTA ROBERTO VEGA ALCAYAGA.doc", "Abrir Documento")</f>
        <v>0</v>
      </c>
      <c r="D3562" t="s">
        <v>23500</v>
      </c>
      <c r="E3562" t="s">
        <v>26794</v>
      </c>
    </row>
    <row r="3563" spans="1:5">
      <c r="A3563" t="s">
        <v>6</v>
      </c>
      <c r="B3563" t="s">
        <v>3568</v>
      </c>
      <c r="C3563">
        <f>HYPERLINK("C:\Users\franc\OneDrive\Documentos\MALENTIN KARIME\Rosa\ESCRITURA MINERA\COMPRAVENTA MINERA 1 MON. PATRIA.doc", "Abrir Documento")</f>
        <v>0</v>
      </c>
      <c r="D3563" t="s">
        <v>23500</v>
      </c>
      <c r="E3563" t="s">
        <v>26795</v>
      </c>
    </row>
    <row r="3564" spans="1:5">
      <c r="A3564" t="s">
        <v>6</v>
      </c>
      <c r="B3564" t="s">
        <v>3569</v>
      </c>
      <c r="C3564">
        <f>HYPERLINK("C:\Users\franc\OneDrive\Documentos\MALENTIN KARIME\Rosa\ESCRITURA MINERA\COMPRAVENTA pertenencias albuquerque montepatria2feb10[1].doc", "Abrir Documento")</f>
        <v>0</v>
      </c>
      <c r="D3564" t="s">
        <v>23500</v>
      </c>
      <c r="E3564" t="s">
        <v>26795</v>
      </c>
    </row>
    <row r="3565" spans="1:5">
      <c r="A3565" t="s">
        <v>6</v>
      </c>
      <c r="B3565" t="s">
        <v>3570</v>
      </c>
      <c r="C3565">
        <f>HYPERLINK("C:\Users\franc\OneDrive\Documentos\MALENTIN KARIME\Rosa\ESCRITURA MINERA\COMPRAVENTA FRANCISCO ALUCEMA MINA.doc", "Abrir Documento")</f>
        <v>0</v>
      </c>
      <c r="D3565" t="s">
        <v>23500</v>
      </c>
      <c r="E3565" t="s">
        <v>26796</v>
      </c>
    </row>
    <row r="3566" spans="1:5">
      <c r="A3566" t="s">
        <v>6</v>
      </c>
      <c r="B3566" t="s">
        <v>3571</v>
      </c>
      <c r="C3566">
        <f>HYPERLINK("C:\Users\franc\OneDrive\Documentos\MALENTIN KARIME\Rosa\ESCRITURA MINERA\arriendoconopciondecompra1]2.doc", "Abrir Documento")</f>
        <v>0</v>
      </c>
      <c r="D3566" t="s">
        <v>23500</v>
      </c>
      <c r="E3566" t="s">
        <v>26797</v>
      </c>
    </row>
    <row r="3567" spans="1:5">
      <c r="A3567" t="s">
        <v>6</v>
      </c>
      <c r="B3567" t="s">
        <v>3572</v>
      </c>
      <c r="C3567">
        <f>HYPERLINK("C:\Users\franc\OneDrive\Documentos\MALENTIN KARIME\Rosa\DOCUMENTOS PRIVADOS\poder_especial[1].doc", "Abrir Documento")</f>
        <v>0</v>
      </c>
      <c r="D3567" t="s">
        <v>23500</v>
      </c>
      <c r="E3567" t="s">
        <v>26798</v>
      </c>
    </row>
    <row r="3568" spans="1:5">
      <c r="A3568" t="s">
        <v>6</v>
      </c>
      <c r="B3568" t="s">
        <v>3573</v>
      </c>
      <c r="C3568">
        <f>HYPERLINK("C:\Users\franc\OneDrive\Documentos\MALENTIN KARIME\Rosa\DOCUMENTOS PRIVADOS\PODER SIMPLE[1].doc", "Abrir Documento")</f>
        <v>0</v>
      </c>
      <c r="D3568" t="s">
        <v>23500</v>
      </c>
      <c r="E3568" t="s">
        <v>26799</v>
      </c>
    </row>
    <row r="3569" spans="1:5">
      <c r="A3569" t="s">
        <v>6</v>
      </c>
      <c r="B3569" t="s">
        <v>3574</v>
      </c>
      <c r="C3569">
        <f>HYPERLINK("C:\Users\franc\OneDrive\Documentos\MALENTIN KARIME\Rosa\DOCUMENTOS PRIVADOS\MANDATO ESPECIAL.doc", "Abrir Documento")</f>
        <v>0</v>
      </c>
      <c r="D3569" t="s">
        <v>23500</v>
      </c>
      <c r="E3569" t="s">
        <v>26800</v>
      </c>
    </row>
    <row r="3570" spans="1:5">
      <c r="A3570" t="s">
        <v>6</v>
      </c>
      <c r="B3570" t="s">
        <v>3575</v>
      </c>
      <c r="C3570">
        <f>HYPERLINK("C:\Users\franc\OneDrive\Documentos\MALENTIN KARIME\Rosa\DOCUMENTOS PRIVADOS\contrato sita genara.doc", "Abrir Documento")</f>
        <v>0</v>
      </c>
      <c r="D3570" t="s">
        <v>23500</v>
      </c>
      <c r="E3570" t="s">
        <v>26801</v>
      </c>
    </row>
    <row r="3571" spans="1:5">
      <c r="A3571" t="s">
        <v>6</v>
      </c>
      <c r="B3571" t="s">
        <v>3576</v>
      </c>
      <c r="C3571">
        <f>HYPERLINK("C:\Users\franc\OneDrive\Documentos\MALENTIN KARIME\Rosa\DOCUMENTOS PRIVADOS\Contrato SERVICIO MARCELO CARVAJAL A Victor Cortés.doc", "Abrir Documento")</f>
        <v>0</v>
      </c>
      <c r="D3571" t="s">
        <v>23500</v>
      </c>
      <c r="E3571" t="s">
        <v>26802</v>
      </c>
    </row>
    <row r="3572" spans="1:5">
      <c r="A3572" t="s">
        <v>6</v>
      </c>
      <c r="B3572" t="s">
        <v>3577</v>
      </c>
      <c r="C3572">
        <f>HYPERLINK("C:\Users\franc\OneDrive\Documentos\MALENTIN KARIME\Rosa\DOCUMENTOS PRIVADOS\Contrato arrendamiento independencia rolando].doc", "Abrir Documento")</f>
        <v>0</v>
      </c>
      <c r="D3572" t="s">
        <v>23500</v>
      </c>
      <c r="E3572" t="s">
        <v>26803</v>
      </c>
    </row>
    <row r="3573" spans="1:5">
      <c r="A3573" t="s">
        <v>6</v>
      </c>
      <c r="B3573" t="s">
        <v>3578</v>
      </c>
      <c r="C3573">
        <f>HYPERLINK("C:\Users\franc\OneDrive\Documentos\MALENTIN KARIME\Rosa\DOCUMENTOS PRIVADOS\Contrato SERVICIO MARCELO CARVAJAL A herman Cortés.doc", "Abrir Documento")</f>
        <v>0</v>
      </c>
      <c r="D3573" t="s">
        <v>23500</v>
      </c>
      <c r="E3573" t="s">
        <v>26803</v>
      </c>
    </row>
    <row r="3574" spans="1:5">
      <c r="A3574" t="s">
        <v>6</v>
      </c>
      <c r="B3574" t="s">
        <v>3579</v>
      </c>
      <c r="C3574">
        <f>HYPERLINK("C:\Users\franc\OneDrive\Documentos\MALENTIN KARIME\Rosa\DOCUMENTOS PRIVADOS\Contrato arrendamiento independencia rolando 2[3].doc", "Abrir Documento")</f>
        <v>0</v>
      </c>
      <c r="D3574" t="s">
        <v>23500</v>
      </c>
      <c r="E3574" t="s">
        <v>26804</v>
      </c>
    </row>
    <row r="3575" spans="1:5">
      <c r="A3575" t="s">
        <v>6</v>
      </c>
      <c r="B3575" t="s">
        <v>3580</v>
      </c>
      <c r="C3575">
        <f>HYPERLINK("C:\Users\franc\OneDrive\Documentos\MALENTIN KARIME\Rosa\DOCUMENTOS PRIVADOS\Contrato arrendamiento independencia rolando[2].doc", "Abrir Documento")</f>
        <v>0</v>
      </c>
      <c r="D3575" t="s">
        <v>23500</v>
      </c>
      <c r="E3575" t="s">
        <v>26804</v>
      </c>
    </row>
    <row r="3576" spans="1:5">
      <c r="A3576" t="s">
        <v>6</v>
      </c>
      <c r="B3576" t="s">
        <v>3581</v>
      </c>
      <c r="C3576">
        <f>HYPERLINK("C:\Users\franc\OneDrive\Documentos\MALENTIN KARIME\Rosa\DOCUMENTOS PRIVADOS\CONTRATO AGRICOLA.doc", "Abrir Documento")</f>
        <v>0</v>
      </c>
      <c r="D3576" t="s">
        <v>23500</v>
      </c>
      <c r="E3576" t="s">
        <v>26805</v>
      </c>
    </row>
    <row r="3577" spans="1:5">
      <c r="A3577" t="s">
        <v>6</v>
      </c>
      <c r="B3577" t="s">
        <v>3582</v>
      </c>
      <c r="C3577">
        <f>HYPERLINK("C:\Users\franc\OneDrive\Documentos\MALENTIN KARIME\Rosa\DOCUMENTOS PRIVADOS\COBRO DOCUMENTOS BANCO.doc", "Abrir Documento")</f>
        <v>0</v>
      </c>
      <c r="D3577" t="s">
        <v>23500</v>
      </c>
      <c r="E3577" t="s">
        <v>26806</v>
      </c>
    </row>
    <row r="3578" spans="1:5">
      <c r="A3578" t="s">
        <v>6</v>
      </c>
      <c r="B3578" t="s">
        <v>3583</v>
      </c>
      <c r="C3578">
        <f>HYPERLINK("C:\Users\franc\OneDrive\Documentos\MALENTIN KARIME\Rosa\DOCUMENTOS PRIVADOS\CONTRATO AGRICOLA (1).doc", "Abrir Documento")</f>
        <v>0</v>
      </c>
      <c r="D3578" t="s">
        <v>23500</v>
      </c>
      <c r="E3578" t="s">
        <v>26806</v>
      </c>
    </row>
    <row r="3579" spans="1:5">
      <c r="A3579" t="s">
        <v>6</v>
      </c>
      <c r="B3579" t="s">
        <v>3584</v>
      </c>
      <c r="C3579">
        <f>HYPERLINK("C:\Users\franc\OneDrive\Documentos\MALENTIN KARIME\Rosa\DOCUMENTOS PRIVADOS\carta poder amplio.doc", "Abrir Documento")</f>
        <v>0</v>
      </c>
      <c r="D3579" t="s">
        <v>23500</v>
      </c>
      <c r="E3579" t="s">
        <v>26807</v>
      </c>
    </row>
    <row r="3580" spans="1:5">
      <c r="A3580" t="s">
        <v>6</v>
      </c>
      <c r="B3580" t="s">
        <v>3585</v>
      </c>
      <c r="C3580">
        <f>HYPERLINK("C:\Users\franc\OneDrive\Documentos\MALENTIN KARIME\Rosa\DOCUMENTOS PRIVADOS\COBRO DOCUMENTOS BANCO (1).doc", "Abrir Documento")</f>
        <v>0</v>
      </c>
      <c r="D3580" t="s">
        <v>23500</v>
      </c>
      <c r="E3580" t="s">
        <v>26807</v>
      </c>
    </row>
    <row r="3581" spans="1:5">
      <c r="A3581" t="s">
        <v>6</v>
      </c>
      <c r="B3581" t="s">
        <v>3586</v>
      </c>
      <c r="C3581">
        <f>HYPERLINK("C:\Users\franc\OneDrive\Documentos\MALENTIN KARIME\Rosa\DOCUMENTOS PRIVADOS\carta poder amplio (1).doc", "Abrir Documento")</f>
        <v>0</v>
      </c>
      <c r="D3581" t="s">
        <v>23500</v>
      </c>
      <c r="E3581" t="s">
        <v>26808</v>
      </c>
    </row>
    <row r="3582" spans="1:5">
      <c r="A3582" t="s">
        <v>6</v>
      </c>
      <c r="B3582" t="s">
        <v>3587</v>
      </c>
      <c r="C3582">
        <f>HYPERLINK("C:\Users\franc\OneDrive\Documentos\MALENTIN KARIME\Rosa\DOC. DON CARLOS BUGUEÑO\Poder hermanos Pinto Villar.doc", "Abrir Documento")</f>
        <v>0</v>
      </c>
      <c r="D3582" t="s">
        <v>23500</v>
      </c>
      <c r="E3582" t="s">
        <v>26809</v>
      </c>
    </row>
    <row r="3583" spans="1:5">
      <c r="A3583" t="s">
        <v>6</v>
      </c>
      <c r="B3583" t="s">
        <v>3588</v>
      </c>
      <c r="C3583">
        <f>HYPERLINK("C:\Users\franc\OneDrive\Documentos\MALENTIN KARIME\Rosa\DOC. DON CARLOS BUGUEÑO\Poder hermanos Pinto Villar (1).doc", "Abrir Documento")</f>
        <v>0</v>
      </c>
      <c r="D3583" t="s">
        <v>23500</v>
      </c>
      <c r="E3583" t="s">
        <v>26810</v>
      </c>
    </row>
    <row r="3584" spans="1:5">
      <c r="A3584" t="s">
        <v>6</v>
      </c>
      <c r="B3584" t="s">
        <v>3589</v>
      </c>
      <c r="C3584">
        <f>HYPERLINK("C:\Users\franc\OneDrive\Documentos\MALENTIN KARIME\Rosa\DERECHO REAL DE USO\VIDAL ARDILES A GEOVANNE MARTINEZ.doc", "Abrir Documento")</f>
        <v>0</v>
      </c>
      <c r="D3584" t="s">
        <v>23500</v>
      </c>
      <c r="E3584" t="s">
        <v>26811</v>
      </c>
    </row>
    <row r="3585" spans="1:5">
      <c r="A3585" t="s">
        <v>6</v>
      </c>
      <c r="B3585" t="s">
        <v>3590</v>
      </c>
      <c r="C3585">
        <f>HYPERLINK("C:\Users\franc\OneDrive\Documentos\MALENTIN KARIME\Rosa\DERECHO REAL DE USO\RAMON CORTES A MARCIA CORTES.doc", "Abrir Documento")</f>
        <v>0</v>
      </c>
      <c r="D3585" t="s">
        <v>23500</v>
      </c>
      <c r="E3585" t="s">
        <v>26812</v>
      </c>
    </row>
    <row r="3586" spans="1:5">
      <c r="A3586" t="s">
        <v>6</v>
      </c>
      <c r="B3586" t="s">
        <v>3591</v>
      </c>
      <c r="C3586">
        <f>HYPERLINK("C:\Users\franc\OneDrive\Documentos\MALENTIN KARIME\Rosa\DERECHO REAL DE USO\LUIS ESCOBAR Y ESPOSA A CAROLINA ESCOBAR.doc", "Abrir Documento")</f>
        <v>0</v>
      </c>
      <c r="D3586" t="s">
        <v>23500</v>
      </c>
      <c r="E3586" t="s">
        <v>26813</v>
      </c>
    </row>
    <row r="3587" spans="1:5">
      <c r="A3587" t="s">
        <v>6</v>
      </c>
      <c r="B3587" t="s">
        <v>3592</v>
      </c>
      <c r="C3587">
        <f>HYPERLINK("C:\Users\franc\OneDrive\Documentos\MALENTIN KARIME\Rosa\DERECHO REAL DE USO\FELIZA  ROJAS El Espinal de San Pedro comunidad.doc", "Abrir Documento")</f>
        <v>0</v>
      </c>
      <c r="D3587" t="s">
        <v>23500</v>
      </c>
      <c r="E3587" t="s">
        <v>26814</v>
      </c>
    </row>
    <row r="3588" spans="1:5">
      <c r="A3588" t="s">
        <v>6</v>
      </c>
      <c r="B3588" t="s">
        <v>3593</v>
      </c>
      <c r="C3588">
        <f>HYPERLINK("C:\Users\franc\OneDrive\Documentos\MALENTIN KARIME\Rosa\DERECHO REAL DE USO\LORENZO CEBALLOS A RODNY CEBALLOS.doc", "Abrir Documento")</f>
        <v>0</v>
      </c>
      <c r="D3588" t="s">
        <v>23500</v>
      </c>
      <c r="E3588" t="s">
        <v>26814</v>
      </c>
    </row>
    <row r="3589" spans="1:5">
      <c r="A3589" t="s">
        <v>6</v>
      </c>
      <c r="B3589" t="s">
        <v>3594</v>
      </c>
      <c r="C3589">
        <f>HYPERLINK("C:\Users\franc\OneDrive\Documentos\MALENTIN KARIME\Rosa\DERECHO REAL DE USO\EJEMPLO DERECHO REAL DE USO.doc", "Abrir Documento")</f>
        <v>0</v>
      </c>
      <c r="D3589" t="s">
        <v>23500</v>
      </c>
      <c r="E3589" t="s">
        <v>26815</v>
      </c>
    </row>
    <row r="3590" spans="1:5">
      <c r="A3590" t="s">
        <v>6</v>
      </c>
      <c r="B3590" t="s">
        <v>3595</v>
      </c>
      <c r="C3590">
        <f>HYPERLINK("C:\Users\franc\OneDrive\Documentos\MALENTIN KARIME\Rosa\DABED\MINUTAS X CORREO\REVOCACION 2 FUAD[1].doc", "Abrir Documento")</f>
        <v>0</v>
      </c>
      <c r="D3590" t="s">
        <v>23500</v>
      </c>
      <c r="E3590" t="s">
        <v>26816</v>
      </c>
    </row>
    <row r="3591" spans="1:5">
      <c r="A3591" t="s">
        <v>6</v>
      </c>
      <c r="B3591" t="s">
        <v>3596</v>
      </c>
      <c r="C3591">
        <f>HYPERLINK("C:\Users\franc\OneDrive\Documentos\MALENTIN KARIME\Rosa\DABED\MINUTAS X CORREO\RECTIFICACIONES ROBERTO DABED A VINKA MARTINIC.doc", "Abrir Documento")</f>
        <v>0</v>
      </c>
      <c r="D3591" t="s">
        <v>23500</v>
      </c>
      <c r="E3591" t="s">
        <v>26817</v>
      </c>
    </row>
    <row r="3592" spans="1:5">
      <c r="A3592" t="s">
        <v>6</v>
      </c>
      <c r="B3592" t="s">
        <v>3597</v>
      </c>
      <c r="C3592">
        <f>HYPERLINK("C:\Users\franc\OneDrive\Documentos\MALENTIN KARIME\Rosa\DABED\MINUTAS X CORREO\RECTIFICA RECTIFICACION.doc", "Abrir Documento")</f>
        <v>0</v>
      </c>
      <c r="D3592" t="s">
        <v>23500</v>
      </c>
      <c r="E3592" t="s">
        <v>26818</v>
      </c>
    </row>
    <row r="3593" spans="1:5">
      <c r="A3593" t="s">
        <v>6</v>
      </c>
      <c r="B3593" t="s">
        <v>3598</v>
      </c>
      <c r="C3593">
        <f>HYPERLINK("C:\Users\franc\OneDrive\Documentos\MALENTIN KARIME\Rosa\DABED\MINUTAS X CORREO\Reconocimiento de deuda nancy mercado correc2].doc", "Abrir Documento")</f>
        <v>0</v>
      </c>
      <c r="D3593" t="s">
        <v>23500</v>
      </c>
      <c r="E3593" t="s">
        <v>26819</v>
      </c>
    </row>
    <row r="3594" spans="1:5">
      <c r="A3594" t="s">
        <v>6</v>
      </c>
      <c r="B3594" t="s">
        <v>3599</v>
      </c>
      <c r="C3594">
        <f>HYPERLINK("C:\Users\franc\OneDrive\Documentos\MALENTIN KARIME\Rosa\DABED\MINUTAS X CORREO\Reconocimiento de deuda nancy mercado[1].doc", "Abrir Documento")</f>
        <v>0</v>
      </c>
      <c r="D3594" t="s">
        <v>23500</v>
      </c>
      <c r="E3594" t="s">
        <v>26819</v>
      </c>
    </row>
    <row r="3595" spans="1:5">
      <c r="A3595" t="s">
        <v>6</v>
      </c>
      <c r="B3595" t="s">
        <v>3600</v>
      </c>
      <c r="C3595">
        <f>HYPERLINK("C:\Users\franc\OneDrive\Documentos\MALENTIN KARIME\Rosa\DABED\MINUTAS X CORREO\MANDTAO JUDICIAL FABRIZZIO[1].doc", "Abrir Documento")</f>
        <v>0</v>
      </c>
      <c r="D3595" t="s">
        <v>23500</v>
      </c>
      <c r="E3595" t="s">
        <v>26820</v>
      </c>
    </row>
    <row r="3596" spans="1:5">
      <c r="A3596" t="s">
        <v>6</v>
      </c>
      <c r="B3596" t="s">
        <v>3601</v>
      </c>
      <c r="C3596">
        <f>HYPERLINK("C:\Users\franc\OneDrive\Documentos\MALENTIN KARIME\Rosa\DABED\MINUTAS X CORREO\MUTUO A LA VISTA ENERO 2011[1].doc", "Abrir Documento")</f>
        <v>0</v>
      </c>
      <c r="D3596" t="s">
        <v>23500</v>
      </c>
      <c r="E3596" t="s">
        <v>26820</v>
      </c>
    </row>
    <row r="3597" spans="1:5">
      <c r="A3597" t="s">
        <v>6</v>
      </c>
      <c r="B3597" t="s">
        <v>3602</v>
      </c>
      <c r="C3597">
        <f>HYPERLINK("C:\Users\franc\OneDrive\Documentos\MALENTIN KARIME\Rosa\DABED\MINUTAS X CORREO\mandato_MEJORAMIENTO MARCOS MACUADA-1[1].doc", "Abrir Documento")</f>
        <v>0</v>
      </c>
      <c r="D3597" t="s">
        <v>23500</v>
      </c>
      <c r="E3597" t="s">
        <v>26821</v>
      </c>
    </row>
    <row r="3598" spans="1:5">
      <c r="A3598" t="s">
        <v>6</v>
      </c>
      <c r="B3598" t="s">
        <v>3603</v>
      </c>
      <c r="C3598">
        <f>HYPERLINK("C:\Users\franc\OneDrive\Documentos\MALENTIN KARIME\Rosa\DABED\MINUTAS X CORREO\mandato Roberto Dabed a Vinka M.doc", "Abrir Documento")</f>
        <v>0</v>
      </c>
      <c r="D3598" t="s">
        <v>23500</v>
      </c>
      <c r="E3598" t="s">
        <v>26822</v>
      </c>
    </row>
    <row r="3599" spans="1:5">
      <c r="A3599" t="s">
        <v>6</v>
      </c>
      <c r="B3599" t="s">
        <v>3604</v>
      </c>
      <c r="C3599">
        <f>HYPERLINK("C:\Users\franc\OneDrive\Documentos\MALENTIN KARIME\Rosa\DABED\MINUTAS X CORREO\Mandato Rosedama.doc", "Abrir Documento")</f>
        <v>0</v>
      </c>
      <c r="D3599" t="s">
        <v>23500</v>
      </c>
      <c r="E3599" t="s">
        <v>26822</v>
      </c>
    </row>
    <row r="3600" spans="1:5">
      <c r="A3600" t="s">
        <v>6</v>
      </c>
      <c r="B3600" t="s">
        <v>3605</v>
      </c>
      <c r="C3600">
        <f>HYPERLINK("C:\Users\franc\OneDrive\Documentos\MALENTIN KARIME\Rosa\DABED\MINUTAS X CORREO\Mandato Judicial Cristian Viñales.doc", "Abrir Documento")</f>
        <v>0</v>
      </c>
      <c r="D3600" t="s">
        <v>23500</v>
      </c>
      <c r="E3600" t="s">
        <v>26823</v>
      </c>
    </row>
    <row r="3601" spans="1:5">
      <c r="A3601" t="s">
        <v>6</v>
      </c>
      <c r="B3601" t="s">
        <v>3606</v>
      </c>
      <c r="C3601">
        <f>HYPERLINK("C:\Users\franc\OneDrive\Documentos\MALENTIN KARIME\Rosa\DABED\MINUTAS X CORREO\mandato judicial maria olivares.doc", "Abrir Documento")</f>
        <v>0</v>
      </c>
      <c r="D3601" t="s">
        <v>23500</v>
      </c>
      <c r="E3601" t="s">
        <v>26823</v>
      </c>
    </row>
    <row r="3602" spans="1:5">
      <c r="A3602" t="s">
        <v>6</v>
      </c>
      <c r="B3602" t="s">
        <v>3607</v>
      </c>
      <c r="C3602">
        <f>HYPERLINK("C:\Users\franc\OneDrive\Documentos\MALENTIN KARIME\Rosa\DABED\MINUTAS X CORREO\hipoetca guillave01-09-2009.doc", "Abrir Documento")</f>
        <v>0</v>
      </c>
      <c r="D3602" t="s">
        <v>23500</v>
      </c>
      <c r="E3602" t="s">
        <v>26824</v>
      </c>
    </row>
    <row r="3603" spans="1:5">
      <c r="A3603" t="s">
        <v>6</v>
      </c>
      <c r="B3603" t="s">
        <v>3608</v>
      </c>
      <c r="C3603">
        <f>HYPERLINK("C:\Users\franc\OneDrive\Documentos\MALENTIN KARIME\Rosa\DABED\MINUTAS X CORREO\mandato general don Oscar a Guillermo.doc", "Abrir Documento")</f>
        <v>0</v>
      </c>
      <c r="D3603" t="s">
        <v>23500</v>
      </c>
      <c r="E3603" t="s">
        <v>26824</v>
      </c>
    </row>
    <row r="3604" spans="1:5">
      <c r="A3604" t="s">
        <v>6</v>
      </c>
      <c r="B3604" t="s">
        <v>3609</v>
      </c>
      <c r="C3604">
        <f>HYPERLINK("C:\Users\franc\OneDrive\Documentos\MALENTIN KARIME\Rosa\DABED\MINUTAS X CORREO\CONTRATO DE DIFUSION PUBLICITARIA[1].doc", "Abrir Documento")</f>
        <v>0</v>
      </c>
      <c r="D3604" t="s">
        <v>23500</v>
      </c>
      <c r="E3604" t="s">
        <v>26825</v>
      </c>
    </row>
    <row r="3605" spans="1:5">
      <c r="A3605" t="s">
        <v>6</v>
      </c>
      <c r="B3605" t="s">
        <v>3610</v>
      </c>
      <c r="C3605">
        <f>HYPERLINK("C:\Users\franc\OneDrive\Documentos\MALENTIN KARIME\Rosa\DABED\MINUTAS X CORREO\CONTRATO ARTURO  BUGUEÑO 2011.doc", "Abrir Documento")</f>
        <v>0</v>
      </c>
      <c r="D3605" t="s">
        <v>23500</v>
      </c>
      <c r="E3605" t="s">
        <v>26826</v>
      </c>
    </row>
    <row r="3606" spans="1:5">
      <c r="A3606" t="s">
        <v>6</v>
      </c>
      <c r="B3606" t="s">
        <v>3611</v>
      </c>
      <c r="C3606">
        <f>HYPERLINK("C:\Users\franc\OneDrive\Documentos\MALENTIN KARIME\Rosa\DABED\MINUTAS X CORREO\compraventa  Blanca Acha (Tecar)[1].doc", "Abrir Documento")</f>
        <v>0</v>
      </c>
      <c r="D3606" t="s">
        <v>23500</v>
      </c>
      <c r="E3606" t="s">
        <v>26827</v>
      </c>
    </row>
    <row r="3607" spans="1:5">
      <c r="A3607" t="s">
        <v>6</v>
      </c>
      <c r="B3607" t="s">
        <v>3612</v>
      </c>
      <c r="C3607">
        <f>HYPERLINK("C:\Users\franc\OneDrive\Documentos\MALENTIN KARIME\Rosa\DABED\MINUTAS X CORREO\compraventa_gliberto_perry[1].doc", "Abrir Documento")</f>
        <v>0</v>
      </c>
      <c r="D3607" t="s">
        <v>23500</v>
      </c>
      <c r="E3607" t="s">
        <v>26827</v>
      </c>
    </row>
    <row r="3608" spans="1:5">
      <c r="A3608" t="s">
        <v>6</v>
      </c>
      <c r="B3608" t="s">
        <v>3613</v>
      </c>
      <c r="C3608">
        <f>HYPERLINK("C:\Users\franc\OneDrive\Documentos\MALENTIN KARIME\Rosa\DABED\MANDATOS JUDICIALES\SELIM DABED Y OTRAS SOCIEDADES  A ARTURO PINCHEIRA corregido.doc", "Abrir Documento")</f>
        <v>0</v>
      </c>
      <c r="D3608" t="s">
        <v>23500</v>
      </c>
      <c r="E3608" t="s">
        <v>26828</v>
      </c>
    </row>
    <row r="3609" spans="1:5">
      <c r="A3609" t="s">
        <v>6</v>
      </c>
      <c r="B3609" t="s">
        <v>3614</v>
      </c>
      <c r="C3609">
        <f>HYPERLINK("C:\Users\franc\OneDrive\Documentos\MALENTIN KARIME\Rosa\DABED\MINUTAS X CORREO\alzamiento teatinos final.doc", "Abrir Documento")</f>
        <v>0</v>
      </c>
      <c r="D3609" t="s">
        <v>23500</v>
      </c>
      <c r="E3609" t="s">
        <v>26828</v>
      </c>
    </row>
    <row r="3610" spans="1:5">
      <c r="A3610" t="s">
        <v>6</v>
      </c>
      <c r="B3610" t="s">
        <v>3615</v>
      </c>
      <c r="C3610">
        <f>HYPERLINK("C:\Users\franc\OneDrive\Documentos\MALENTIN KARIME\Rosa\DABED\MANDATOS JUDICIALES\SELIM DABED A ARTURO PINCHEIRA.doc", "Abrir Documento")</f>
        <v>0</v>
      </c>
      <c r="D3610" t="s">
        <v>23500</v>
      </c>
      <c r="E3610" t="s">
        <v>26829</v>
      </c>
    </row>
    <row r="3611" spans="1:5">
      <c r="A3611" t="s">
        <v>6</v>
      </c>
      <c r="B3611" t="s">
        <v>3616</v>
      </c>
      <c r="C3611">
        <f>HYPERLINK("C:\Users\franc\OneDrive\Documentos\MALENTIN KARIME\Rosa\DABED\MANDATOS JUDICIALES\SELIM DABED A FABRICIO CALDERON.doc", "Abrir Documento")</f>
        <v>0</v>
      </c>
      <c r="D3611" t="s">
        <v>23500</v>
      </c>
      <c r="E3611" t="s">
        <v>26829</v>
      </c>
    </row>
    <row r="3612" spans="1:5">
      <c r="A3612" t="s">
        <v>6</v>
      </c>
      <c r="B3612" t="s">
        <v>3617</v>
      </c>
      <c r="C3612">
        <f>HYPERLINK("C:\Users\franc\OneDrive\Documentos\MALENTIN KARIME\Rosa\DABED\MANDATOS JUDICIALES\PINCHEIRA A OTRO ABOGADO.doc", "Abrir Documento")</f>
        <v>0</v>
      </c>
      <c r="D3612" t="s">
        <v>23500</v>
      </c>
      <c r="E3612" t="s">
        <v>26830</v>
      </c>
    </row>
    <row r="3613" spans="1:5">
      <c r="A3613" t="s">
        <v>6</v>
      </c>
      <c r="B3613" t="s">
        <v>3618</v>
      </c>
      <c r="C3613">
        <f>HYPERLINK("C:\Users\franc\OneDrive\Documentos\MALENTIN KARIME\Rosa\DABED\MANDATOS JUDICIALES\SELIM DABED A  CRISTIAN VISÑILES.doc", "Abrir Documento")</f>
        <v>0</v>
      </c>
      <c r="D3613" t="s">
        <v>23500</v>
      </c>
      <c r="E3613" t="s">
        <v>26830</v>
      </c>
    </row>
    <row r="3614" spans="1:5">
      <c r="A3614" t="s">
        <v>6</v>
      </c>
      <c r="B3614" t="s">
        <v>3619</v>
      </c>
      <c r="C3614">
        <f>HYPERLINK("C:\Users\franc\OneDrive\Documentos\MALENTIN KARIME\Rosa\DABED\MANDATOS JUDICIALES\MARIO A ABOGADO.doc", "Abrir Documento")</f>
        <v>0</v>
      </c>
      <c r="D3614" t="s">
        <v>23500</v>
      </c>
      <c r="E3614" t="s">
        <v>26831</v>
      </c>
    </row>
    <row r="3615" spans="1:5">
      <c r="A3615" t="s">
        <v>6</v>
      </c>
      <c r="B3615" t="s">
        <v>3620</v>
      </c>
      <c r="C3615">
        <f>HYPERLINK("C:\Users\franc\OneDrive\Documentos\MALENTIN KARIME\Rosa\DABED\MANDATOS JUDICIALES\MARIO DIAZ.doc", "Abrir Documento")</f>
        <v>0</v>
      </c>
      <c r="D3615" t="s">
        <v>23500</v>
      </c>
      <c r="E3615" t="s">
        <v>26831</v>
      </c>
    </row>
    <row r="3616" spans="1:5">
      <c r="A3616" t="s">
        <v>6</v>
      </c>
      <c r="B3616" t="s">
        <v>3621</v>
      </c>
      <c r="C3616">
        <f>HYPERLINK("C:\Users\franc\OneDrive\Documentos\MALENTIN KARIME\Rosa\DABED\MANDATOS JUDICIALES\MARIA OLIVARES A CLAUDIO ARDILES.doc", "Abrir Documento")</f>
        <v>0</v>
      </c>
      <c r="D3616" t="s">
        <v>23500</v>
      </c>
      <c r="E3616" t="s">
        <v>26832</v>
      </c>
    </row>
    <row r="3617" spans="1:5">
      <c r="A3617" t="s">
        <v>6</v>
      </c>
      <c r="B3617" t="s">
        <v>3622</v>
      </c>
      <c r="C3617">
        <f>HYPERLINK("C:\Users\franc\OneDrive\Documentos\MALENTIN KARIME\Rosa\DABED\MANDATOS JUDICIALES\Mandato Judicial ARTURO PINCHIERIA A Cristian Viñales-1.doc", "Abrir Documento")</f>
        <v>0</v>
      </c>
      <c r="D3617" t="s">
        <v>23500</v>
      </c>
      <c r="E3617" t="s">
        <v>26833</v>
      </c>
    </row>
    <row r="3618" spans="1:5">
      <c r="A3618" t="s">
        <v>6</v>
      </c>
      <c r="B3618" t="s">
        <v>3623</v>
      </c>
      <c r="C3618">
        <f>HYPERLINK("C:\Users\franc\OneDrive\Documentos\MALENTIN KARIME\Rosa\DABED\Soc. Const. guilllave 1.doc", "Abrir Documento")</f>
        <v>0</v>
      </c>
      <c r="D3618" t="s">
        <v>23500</v>
      </c>
      <c r="E3618" t="s">
        <v>26834</v>
      </c>
    </row>
    <row r="3619" spans="1:5">
      <c r="A3619" t="s">
        <v>6</v>
      </c>
      <c r="B3619" t="s">
        <v>3624</v>
      </c>
      <c r="C3619">
        <f>HYPERLINK("C:\Users\franc\OneDrive\Documentos\MALENTIN KARIME\Rosa\DABED\Soc. Cons. guilllave 2.doc", "Abrir Documento")</f>
        <v>0</v>
      </c>
      <c r="D3619" t="s">
        <v>23500</v>
      </c>
      <c r="E3619" t="s">
        <v>26835</v>
      </c>
    </row>
    <row r="3620" spans="1:5">
      <c r="A3620" t="s">
        <v>6</v>
      </c>
      <c r="B3620" t="s">
        <v>3625</v>
      </c>
      <c r="C3620">
        <f>HYPERLINK("C:\Users\franc\OneDrive\Documentos\MALENTIN KARIME\Rosa\DABED\Soc. Const. guilllave 1 (1).doc", "Abrir Documento")</f>
        <v>0</v>
      </c>
      <c r="D3620" t="s">
        <v>23500</v>
      </c>
      <c r="E3620" t="s">
        <v>26835</v>
      </c>
    </row>
    <row r="3621" spans="1:5">
      <c r="A3621" t="s">
        <v>6</v>
      </c>
      <c r="B3621" t="s">
        <v>3626</v>
      </c>
      <c r="C3621">
        <f>HYPERLINK("C:\Users\franc\OneDrive\Documentos\MALENTIN KARIME\Rosa\DABED\SELIM DABED A ROSEDAMA.doc", "Abrir Documento")</f>
        <v>0</v>
      </c>
      <c r="D3621" t="s">
        <v>23500</v>
      </c>
      <c r="E3621" t="s">
        <v>26836</v>
      </c>
    </row>
    <row r="3622" spans="1:5">
      <c r="A3622" t="s">
        <v>6</v>
      </c>
      <c r="B3622" t="s">
        <v>3627</v>
      </c>
      <c r="C3622">
        <f>HYPERLINK("C:\Users\franc\OneDrive\Documentos\MALENTIN KARIME\Rosa\DABED\Soc. Cons. guilllave 2 (1).doc", "Abrir Documento")</f>
        <v>0</v>
      </c>
      <c r="D3622" t="s">
        <v>23500</v>
      </c>
      <c r="E3622" t="s">
        <v>26836</v>
      </c>
    </row>
    <row r="3623" spans="1:5">
      <c r="A3623" t="s">
        <v>6</v>
      </c>
      <c r="B3623" t="s">
        <v>3628</v>
      </c>
      <c r="C3623">
        <f>HYPERLINK("C:\Users\franc\OneDrive\Documentos\MALENTIN KARIME\Rosa\DABED\SELIM DABED A ROSEDAMA (1).doc", "Abrir Documento")</f>
        <v>0</v>
      </c>
      <c r="D3623" t="s">
        <v>23500</v>
      </c>
      <c r="E3623" t="s">
        <v>26837</v>
      </c>
    </row>
    <row r="3624" spans="1:5">
      <c r="A3624" t="s">
        <v>6</v>
      </c>
      <c r="B3624" t="s">
        <v>3629</v>
      </c>
      <c r="C3624">
        <f>HYPERLINK("C:\Users\franc\OneDrive\Documentos\MALENTIN KARIME\Rosa\DABED\ROSEDAMA A VINKA (1).doc", "Abrir Documento")</f>
        <v>0</v>
      </c>
      <c r="D3624" t="s">
        <v>23500</v>
      </c>
      <c r="E3624" t="s">
        <v>26838</v>
      </c>
    </row>
    <row r="3625" spans="1:5">
      <c r="A3625" t="s">
        <v>6</v>
      </c>
      <c r="B3625" t="s">
        <v>3630</v>
      </c>
      <c r="C3625">
        <f>HYPERLINK("C:\Users\franc\OneDrive\Documentos\MALENTIN KARIME\Rosa\DABED\ROSEDAMA A VINKA.doc", "Abrir Documento")</f>
        <v>0</v>
      </c>
      <c r="D3625" t="s">
        <v>23500</v>
      </c>
      <c r="E3625" t="s">
        <v>26838</v>
      </c>
    </row>
    <row r="3626" spans="1:5">
      <c r="A3626" t="s">
        <v>6</v>
      </c>
      <c r="B3626" t="s">
        <v>3631</v>
      </c>
      <c r="C3626">
        <f>HYPERLINK("C:\Users\franc\OneDrive\Documentos\MALENTIN KARIME\Rosa\DABED\ROBERTO DABED A VINKA.doc", "Abrir Documento")</f>
        <v>0</v>
      </c>
      <c r="D3626" t="s">
        <v>23500</v>
      </c>
      <c r="E3626" t="s">
        <v>26839</v>
      </c>
    </row>
    <row r="3627" spans="1:5">
      <c r="A3627" t="s">
        <v>6</v>
      </c>
      <c r="B3627" t="s">
        <v>3632</v>
      </c>
      <c r="C3627">
        <f>HYPERLINK("C:\Users\franc\OneDrive\Documentos\MALENTIN KARIME\Rosa\DABED\ROBERTO DABED A AGRICOLA LLANO NEGRO 2.doc", "Abrir Documento")</f>
        <v>0</v>
      </c>
      <c r="D3627" t="s">
        <v>23500</v>
      </c>
      <c r="E3627" t="s">
        <v>26840</v>
      </c>
    </row>
    <row r="3628" spans="1:5">
      <c r="A3628" t="s">
        <v>6</v>
      </c>
      <c r="B3628" t="s">
        <v>3633</v>
      </c>
      <c r="C3628">
        <f>HYPERLINK("C:\Users\franc\OneDrive\Documentos\MALENTIN KARIME\Rosa\DABED\ROBERTO DABED A AGRICOLA LLANO NEGRO.doc", "Abrir Documento")</f>
        <v>0</v>
      </c>
      <c r="D3628" t="s">
        <v>23500</v>
      </c>
      <c r="E3628" t="s">
        <v>26840</v>
      </c>
    </row>
    <row r="3629" spans="1:5">
      <c r="A3629" t="s">
        <v>6</v>
      </c>
      <c r="B3629" t="s">
        <v>3634</v>
      </c>
      <c r="C3629">
        <f>HYPERLINK("C:\Users\franc\OneDrive\Documentos\MALENTIN KARIME\Rosa\DABED\RECTIFICACION JUNIO 2011 ROBERTO DABED A VINKA.doc", "Abrir Documento")</f>
        <v>0</v>
      </c>
      <c r="D3629" t="s">
        <v>23500</v>
      </c>
      <c r="E3629" t="s">
        <v>26841</v>
      </c>
    </row>
    <row r="3630" spans="1:5">
      <c r="A3630" t="s">
        <v>6</v>
      </c>
      <c r="B3630" t="s">
        <v>3635</v>
      </c>
      <c r="C3630">
        <f>HYPERLINK("C:\Users\franc\OneDrive\Documentos\MALENTIN KARIME\Rosa\DABED\REVOCACION MANDATO.doc", "Abrir Documento")</f>
        <v>0</v>
      </c>
      <c r="D3630" t="s">
        <v>23500</v>
      </c>
      <c r="E3630" t="s">
        <v>26841</v>
      </c>
    </row>
    <row r="3631" spans="1:5">
      <c r="A3631" t="s">
        <v>6</v>
      </c>
      <c r="B3631" t="s">
        <v>3636</v>
      </c>
      <c r="C3631">
        <f>HYPERLINK("C:\Users\franc\OneDrive\Documentos\MALENTIN KARIME\Rosa\DABED\RECONOCIMIENTO DE DEUDA.doc", "Abrir Documento")</f>
        <v>0</v>
      </c>
      <c r="D3631" t="s">
        <v>23500</v>
      </c>
      <c r="E3631" t="s">
        <v>26842</v>
      </c>
    </row>
    <row r="3632" spans="1:5">
      <c r="A3632" t="s">
        <v>6</v>
      </c>
      <c r="B3632" t="s">
        <v>3637</v>
      </c>
      <c r="C3632">
        <f>HYPERLINK("C:\Users\franc\OneDrive\Documentos\MALENTIN KARIME\Rosa\DABED\MUTUO SELIM DABED A SOC. ASECON.doc", "Abrir Documento")</f>
        <v>0</v>
      </c>
      <c r="D3632" t="s">
        <v>23500</v>
      </c>
      <c r="E3632" t="s">
        <v>26843</v>
      </c>
    </row>
    <row r="3633" spans="1:5">
      <c r="A3633" t="s">
        <v>6</v>
      </c>
      <c r="B3633" t="s">
        <v>3638</v>
      </c>
      <c r="C3633">
        <f>HYPERLINK("C:\Users\franc\OneDrive\Documentos\MALENTIN KARIME\Rosa\DABED\RECONOCIMIENTO DE DEUDA nancy Mercado.doc", "Abrir Documento")</f>
        <v>0</v>
      </c>
      <c r="D3633" t="s">
        <v>23500</v>
      </c>
      <c r="E3633" t="s">
        <v>26843</v>
      </c>
    </row>
    <row r="3634" spans="1:5">
      <c r="A3634" t="s">
        <v>6</v>
      </c>
      <c r="B3634" t="s">
        <v>3639</v>
      </c>
      <c r="C3634">
        <f>HYPERLINK("C:\Users\franc\OneDrive\Documentos\MALENTIN KARIME\Rosa\DABED\MANDATO OLGA TORO A SELIM DABED.doc", "Abrir Documento")</f>
        <v>0</v>
      </c>
      <c r="D3634" t="s">
        <v>23500</v>
      </c>
      <c r="E3634" t="s">
        <v>26844</v>
      </c>
    </row>
    <row r="3635" spans="1:5">
      <c r="A3635" t="s">
        <v>6</v>
      </c>
      <c r="B3635" t="s">
        <v>3640</v>
      </c>
      <c r="C3635">
        <f>HYPERLINK("C:\Users\franc\OneDrive\Documentos\MALENTIN KARIME\Rosa\DABED\MUTUO SELIM DABED A SOC. ASECON corregido.doc", "Abrir Documento")</f>
        <v>0</v>
      </c>
      <c r="D3635" t="s">
        <v>23500</v>
      </c>
      <c r="E3635" t="s">
        <v>26844</v>
      </c>
    </row>
    <row r="3636" spans="1:5">
      <c r="A3636" t="s">
        <v>6</v>
      </c>
      <c r="B3636" t="s">
        <v>3641</v>
      </c>
      <c r="C3636">
        <f>HYPERLINK("C:\Users\franc\OneDrive\Documentos\MALENTIN KARIME\Rosa\DABED\MANDATO LA LUNA DABED.doc", "Abrir Documento")</f>
        <v>0</v>
      </c>
      <c r="D3636" t="s">
        <v>23500</v>
      </c>
      <c r="E3636" t="s">
        <v>26845</v>
      </c>
    </row>
    <row r="3637" spans="1:5">
      <c r="A3637" t="s">
        <v>6</v>
      </c>
      <c r="B3637" t="s">
        <v>3642</v>
      </c>
      <c r="C3637">
        <f>HYPERLINK("C:\Users\franc\OneDrive\Documentos\MALENTIN KARIME\Rosa\DABED\mandato genera OSCAR GUILLERMO BLANCA ACHA l.doc", "Abrir Documento")</f>
        <v>0</v>
      </c>
      <c r="D3637" t="s">
        <v>23500</v>
      </c>
      <c r="E3637" t="s">
        <v>26846</v>
      </c>
    </row>
    <row r="3638" spans="1:5">
      <c r="A3638" t="s">
        <v>6</v>
      </c>
      <c r="B3638" t="s">
        <v>3643</v>
      </c>
      <c r="C3638">
        <f>HYPERLINK("C:\Users\franc\OneDrive\Documentos\MALENTIN KARIME\Rosa\DABED\Instrucciones_DEFINITIVA COMPRAVENTA ENERO 2011.doc", "Abrir Documento")</f>
        <v>0</v>
      </c>
      <c r="D3638" t="s">
        <v>23500</v>
      </c>
      <c r="E3638" t="s">
        <v>26847</v>
      </c>
    </row>
    <row r="3639" spans="1:5">
      <c r="A3639" t="s">
        <v>6</v>
      </c>
      <c r="B3639" t="s">
        <v>3644</v>
      </c>
      <c r="C3639">
        <f>HYPERLINK("C:\Users\franc\OneDrive\Documentos\MALENTIN KARIME\Rosa\DABED\MANDATO AMANECER DABED.doc", "Abrir Documento")</f>
        <v>0</v>
      </c>
      <c r="D3639" t="s">
        <v>23500</v>
      </c>
      <c r="E3639" t="s">
        <v>26847</v>
      </c>
    </row>
    <row r="3640" spans="1:5">
      <c r="A3640" t="s">
        <v>6</v>
      </c>
      <c r="B3640" t="s">
        <v>3645</v>
      </c>
      <c r="C3640">
        <f>HYPERLINK("C:\Users\franc\OneDrive\Documentos\MALENTIN KARIME\Rosa\DABED\EL SIFON 2.doc", "Abrir Documento")</f>
        <v>0</v>
      </c>
      <c r="D3640" t="s">
        <v>23500</v>
      </c>
      <c r="E3640" t="s">
        <v>26848</v>
      </c>
    </row>
    <row r="3641" spans="1:5">
      <c r="A3641" t="s">
        <v>6</v>
      </c>
      <c r="B3641" t="s">
        <v>3646</v>
      </c>
      <c r="C3641">
        <f>HYPERLINK("C:\Users\franc\OneDrive\Documentos\MALENTIN KARIME\Rosa\DABED\INMOBILIARIA  ROSEDAMA A VINKA.doc", "Abrir Documento")</f>
        <v>0</v>
      </c>
      <c r="D3641" t="s">
        <v>23500</v>
      </c>
      <c r="E3641" t="s">
        <v>26848</v>
      </c>
    </row>
    <row r="3642" spans="1:5">
      <c r="A3642" t="s">
        <v>6</v>
      </c>
      <c r="B3642" t="s">
        <v>3647</v>
      </c>
      <c r="C3642">
        <f>HYPERLINK("C:\Users\franc\OneDrive\Documentos\MALENTIN KARIME\Rosa\DABED\contrato ANA MARTINIC A ARTURO BUGUEÑO.doc", "Abrir Documento")</f>
        <v>0</v>
      </c>
      <c r="D3642" t="s">
        <v>23500</v>
      </c>
      <c r="E3642" t="s">
        <v>26849</v>
      </c>
    </row>
    <row r="3643" spans="1:5">
      <c r="A3643" t="s">
        <v>6</v>
      </c>
      <c r="B3643" t="s">
        <v>3648</v>
      </c>
      <c r="C3643">
        <f>HYPERLINK("C:\Users\franc\OneDrive\Documentos\MALENTIN KARIME\Rosa\DABED\COMPRAVENTA GILBERTO ALCAYAGA A ROSEDAMA.doc", "Abrir Documento")</f>
        <v>0</v>
      </c>
      <c r="D3643" t="s">
        <v>23500</v>
      </c>
      <c r="E3643" t="s">
        <v>26850</v>
      </c>
    </row>
    <row r="3644" spans="1:5">
      <c r="A3644" t="s">
        <v>6</v>
      </c>
      <c r="B3644" t="s">
        <v>3649</v>
      </c>
      <c r="C3644">
        <f>HYPERLINK("C:\Users\franc\OneDrive\Documentos\MALENTIN KARIME\Rosa\DABED\COMPRAVENTA Blanca Acha.doc", "Abrir Documento")</f>
        <v>0</v>
      </c>
      <c r="D3644" t="s">
        <v>23500</v>
      </c>
      <c r="E3644" t="s">
        <v>26851</v>
      </c>
    </row>
    <row r="3645" spans="1:5">
      <c r="A3645" t="s">
        <v>6</v>
      </c>
      <c r="B3645" t="s">
        <v>3650</v>
      </c>
      <c r="C3645">
        <f>HYPERLINK("C:\Users\franc\OneDrive\Documentos\MALENTIN KARIME\Rosa\DABED\ALZAMIENTO.doc", "Abrir Documento")</f>
        <v>0</v>
      </c>
      <c r="D3645" t="s">
        <v>23500</v>
      </c>
      <c r="E3645" t="s">
        <v>26852</v>
      </c>
    </row>
    <row r="3646" spans="1:5">
      <c r="A3646" t="s">
        <v>6</v>
      </c>
      <c r="B3646" t="s">
        <v>3651</v>
      </c>
      <c r="C3646">
        <f>HYPERLINK("C:\Users\franc\OneDrive\Documentos\MALENTIN KARIME\Rosa\DABED\compraventa alejandro dabed.doc", "Abrir Documento")</f>
        <v>0</v>
      </c>
      <c r="D3646" t="s">
        <v>23500</v>
      </c>
      <c r="E3646" t="s">
        <v>26852</v>
      </c>
    </row>
    <row r="3647" spans="1:5">
      <c r="A3647" t="s">
        <v>6</v>
      </c>
      <c r="B3647" t="s">
        <v>3652</v>
      </c>
      <c r="C3647">
        <f>HYPERLINK("C:\Users\franc\OneDrive\Documentos\MALENTIN KARIME\Rosa\CORPORACION ASISTENCIA JUDICIAL\REDUCCIONES A ESCRI. PUBLICA\AÑO 2011\YANET HIDALGO.doc", "Abrir Documento")</f>
        <v>0</v>
      </c>
      <c r="D3647" t="s">
        <v>23500</v>
      </c>
      <c r="E3647" t="s">
        <v>26853</v>
      </c>
    </row>
    <row r="3648" spans="1:5">
      <c r="A3648" t="s">
        <v>6</v>
      </c>
      <c r="B3648" t="s">
        <v>3653</v>
      </c>
      <c r="C3648">
        <f>HYPERLINK("C:\Users\franc\OneDrive\Documentos\MALENTIN KARIME\Rosa\CORPORACION ASISTENCIA JUDICIAL\REDUCCIONES A ESCRI. PUBLICA\AÑO 2011\Reducción a escritura pública jose Orellana modificada mayo 2011.doc", "Abrir Documento")</f>
        <v>0</v>
      </c>
      <c r="D3648" t="s">
        <v>23500</v>
      </c>
      <c r="E3648" t="s">
        <v>26854</v>
      </c>
    </row>
    <row r="3649" spans="1:5">
      <c r="A3649" t="s">
        <v>6</v>
      </c>
      <c r="B3649" t="s">
        <v>3654</v>
      </c>
      <c r="C3649">
        <f>HYPERLINK("C:\Users\franc\OneDrive\Documentos\MALENTIN KARIME\Rosa\CORPORACION ASISTENCIA JUDICIAL\REDUCCIONES A ESCRI. PUBLICA\AÑO 2011\LUIS PIZARRO A MARIA VEGA.doc", "Abrir Documento")</f>
        <v>0</v>
      </c>
      <c r="D3649" t="s">
        <v>23500</v>
      </c>
      <c r="E3649" t="s">
        <v>26855</v>
      </c>
    </row>
    <row r="3650" spans="1:5">
      <c r="A3650" t="s">
        <v>6</v>
      </c>
      <c r="B3650" t="s">
        <v>3655</v>
      </c>
      <c r="C3650">
        <f>HYPERLINK("C:\Users\franc\OneDrive\Documentos\MALENTIN KARIME\Rosa\CORPORACION ASISTENCIA JUDICIAL\REDUCCIONES A ESCRI. PUBLICA\AÑO 2011\reduccion HERNAN CASTILLO MAYO 2011.doc", "Abrir Documento")</f>
        <v>0</v>
      </c>
      <c r="D3650" t="s">
        <v>23500</v>
      </c>
      <c r="E3650" t="s">
        <v>26855</v>
      </c>
    </row>
    <row r="3651" spans="1:5">
      <c r="A3651" t="s">
        <v>6</v>
      </c>
      <c r="B3651" t="s">
        <v>3656</v>
      </c>
      <c r="C3651">
        <f>HYPERLINK("C:\Users\franc\OneDrive\Documentos\MALENTIN KARIME\Rosa\CORPORACION ASISTENCIA JUDICIAL\REDUCCIONES A ESCRI. PUBLICA\AÑO 2011\LUIS BARRAZA A MARTA BUGUEÑO.doc", "Abrir Documento")</f>
        <v>0</v>
      </c>
      <c r="D3651" t="s">
        <v>23500</v>
      </c>
      <c r="E3651" t="s">
        <v>26856</v>
      </c>
    </row>
    <row r="3652" spans="1:5">
      <c r="A3652" t="s">
        <v>6</v>
      </c>
      <c r="B3652" t="s">
        <v>3657</v>
      </c>
      <c r="C3652">
        <f>HYPERLINK("C:\Users\franc\OneDrive\Documentos\MALENTIN KARIME\Rosa\CORPORACION ASISTENCIA JUDICIAL\REDUCCIONES A ESCRI. PUBLICA\AÑO 2011\LUIS CASTRO A NELLY ARAYA.doc", "Abrir Documento")</f>
        <v>0</v>
      </c>
      <c r="D3652" t="s">
        <v>23500</v>
      </c>
      <c r="E3652" t="s">
        <v>26856</v>
      </c>
    </row>
    <row r="3653" spans="1:5">
      <c r="A3653" t="s">
        <v>6</v>
      </c>
      <c r="B3653" t="s">
        <v>3658</v>
      </c>
      <c r="C3653">
        <f>HYPERLINK("C:\Users\franc\OneDrive\Documentos\MALENTIN KARIME\Rosa\CORPORACION ASISTENCIA JUDICIAL\REDUCCIONES A ESCRI. PUBLICA\AÑO 2011\JOSE ORELLANA.doc", "Abrir Documento")</f>
        <v>0</v>
      </c>
      <c r="D3653" t="s">
        <v>23500</v>
      </c>
      <c r="E3653" t="s">
        <v>26857</v>
      </c>
    </row>
    <row r="3654" spans="1:5">
      <c r="A3654" t="s">
        <v>6</v>
      </c>
      <c r="B3654" t="s">
        <v>3659</v>
      </c>
      <c r="C3654">
        <f>HYPERLINK("C:\Users\franc\OneDrive\Documentos\MALENTIN KARIME\Rosa\CORPORACION ASISTENCIA JUDICIAL\REDUCCIONES A ESCRI. PUBLICA\AÑO 2011\LALY TABILO CONTRERAS.doc", "Abrir Documento")</f>
        <v>0</v>
      </c>
      <c r="D3654" t="s">
        <v>23500</v>
      </c>
      <c r="E3654" t="s">
        <v>26857</v>
      </c>
    </row>
    <row r="3655" spans="1:5">
      <c r="A3655" t="s">
        <v>6</v>
      </c>
      <c r="B3655" t="s">
        <v>3660</v>
      </c>
      <c r="C3655">
        <f>HYPERLINK("C:\Users\franc\OneDrive\Documentos\MALENTIN KARIME\Rosa\CORPORACION ASISTENCIA JUDICIAL\REDUCCIONES A ESCRI. PUBLICA\AÑO 2011\IDOLIA VIDELA.doc", "Abrir Documento")</f>
        <v>0</v>
      </c>
      <c r="D3655" t="s">
        <v>23500</v>
      </c>
      <c r="E3655" t="s">
        <v>26858</v>
      </c>
    </row>
    <row r="3656" spans="1:5">
      <c r="A3656" t="s">
        <v>6</v>
      </c>
      <c r="B3656" t="s">
        <v>3661</v>
      </c>
      <c r="C3656">
        <f>HYPERLINK("C:\Users\franc\OneDrive\Documentos\MALENTIN KARIME\Rosa\CORPORACION ASISTENCIA JUDICIAL\REDUCCIONES A ESCRI. PUBLICA\AÑO 2011\HERNAN JOPIA.doc", "Abrir Documento")</f>
        <v>0</v>
      </c>
      <c r="D3656" t="s">
        <v>23500</v>
      </c>
      <c r="E3656" t="s">
        <v>26859</v>
      </c>
    </row>
    <row r="3657" spans="1:5">
      <c r="A3657" t="s">
        <v>6</v>
      </c>
      <c r="B3657" t="s">
        <v>3662</v>
      </c>
      <c r="C3657">
        <f>HYPERLINK("C:\Users\franc\OneDrive\Documentos\MALENTIN KARIME\Rosa\CORPORACION ASISTENCIA JUDICIAL\REDUCCIONES A ESCRI. PUBLICA\AÑO 2011\HERNAN CASTILLO A MARIA PEREIRA.doc", "Abrir Documento")</f>
        <v>0</v>
      </c>
      <c r="D3657" t="s">
        <v>23500</v>
      </c>
      <c r="E3657" t="s">
        <v>26860</v>
      </c>
    </row>
    <row r="3658" spans="1:5">
      <c r="A3658" t="s">
        <v>6</v>
      </c>
      <c r="B3658" t="s">
        <v>3663</v>
      </c>
      <c r="C3658">
        <f>HYPERLINK("C:\Users\franc\OneDrive\Documentos\MALENTIN KARIME\Rosa\CORPORACION ASISTENCIA JUDICIAL\REDUCCIONES A ESCRI. PUBLICA\AÑO 2011\HENRI VALENZUELA A JULIA MUÑOZ.doc", "Abrir Documento")</f>
        <v>0</v>
      </c>
      <c r="D3658" t="s">
        <v>23500</v>
      </c>
      <c r="E3658" t="s">
        <v>26861</v>
      </c>
    </row>
    <row r="3659" spans="1:5">
      <c r="A3659" t="s">
        <v>6</v>
      </c>
      <c r="B3659" t="s">
        <v>3664</v>
      </c>
      <c r="C3659">
        <f>HYPERLINK("C:\Users\franc\OneDrive\Documentos\MALENTIN KARIME\Rosa\CORPORACION ASISTENCIA JUDICIAL\REDUCCIONES A ESCRI. PUBLICA\AÑO 2010\VERONICA MORGADO T. A RAFAEL  CASTAÑEDA.doc", "Abrir Documento")</f>
        <v>0</v>
      </c>
      <c r="D3659" t="s">
        <v>23500</v>
      </c>
      <c r="E3659" t="s">
        <v>26862</v>
      </c>
    </row>
    <row r="3660" spans="1:5">
      <c r="A3660" t="s">
        <v>6</v>
      </c>
      <c r="B3660" t="s">
        <v>3665</v>
      </c>
      <c r="C3660">
        <f>HYPERLINK("C:\Users\franc\OneDrive\Documentos\MALENTIN KARIME\Rosa\CORPORACION ASISTENCIA JUDICIAL\REDUCCIONES A ESCRI. PUBLICA\AÑO 2011\EDILIA CORTES ARAYA A  SEBASTIAN ARAYA VILLALOBOS.doc", "Abrir Documento")</f>
        <v>0</v>
      </c>
      <c r="D3660" t="s">
        <v>23500</v>
      </c>
      <c r="E3660" t="s">
        <v>26862</v>
      </c>
    </row>
    <row r="3661" spans="1:5">
      <c r="A3661" t="s">
        <v>6</v>
      </c>
      <c r="B3661" t="s">
        <v>3666</v>
      </c>
      <c r="C3661">
        <f>HYPERLINK("C:\Users\franc\OneDrive\Documentos\MALENTIN KARIME\Rosa\CORPORACION ASISTENCIA JUDICIAL\REDUCCIONES A ESCRI. PUBLICA\AÑO 2010\REDUCC- MARCELA RIVERA.doc", "Abrir Documento")</f>
        <v>0</v>
      </c>
      <c r="D3661" t="s">
        <v>23500</v>
      </c>
      <c r="E3661" t="s">
        <v>26863</v>
      </c>
    </row>
    <row r="3662" spans="1:5">
      <c r="A3662" t="s">
        <v>6</v>
      </c>
      <c r="B3662" t="s">
        <v>3667</v>
      </c>
      <c r="C3662">
        <f>HYPERLINK("C:\Users\franc\OneDrive\Documentos\MALENTIN KARIME\Rosa\CORPORACION ASISTENCIA JUDICIAL\REDUCCIONES A ESCRI. PUBLICA\AÑO 2010\REDUCCION JORGE ARAYA - NELLY ARAYA O..doc", "Abrir Documento")</f>
        <v>0</v>
      </c>
      <c r="D3662" t="s">
        <v>23500</v>
      </c>
      <c r="E3662" t="s">
        <v>26863</v>
      </c>
    </row>
    <row r="3663" spans="1:5">
      <c r="A3663" t="s">
        <v>6</v>
      </c>
      <c r="B3663" t="s">
        <v>3668</v>
      </c>
      <c r="C3663">
        <f>HYPERLINK("C:\Users\franc\OneDrive\Documentos\MALENTIN KARIME\Rosa\CORPORACION ASISTENCIA JUDICIAL\REDUCCIONES A ESCRI. PUBLICA\AÑO 2010\PATRICIA  MUÑOZ Y CAMILO IRARRAZABAL.doc", "Abrir Documento")</f>
        <v>0</v>
      </c>
      <c r="D3663" t="s">
        <v>23500</v>
      </c>
      <c r="E3663" t="s">
        <v>26864</v>
      </c>
    </row>
    <row r="3664" spans="1:5">
      <c r="A3664" t="s">
        <v>6</v>
      </c>
      <c r="B3664" t="s">
        <v>3669</v>
      </c>
      <c r="C3664">
        <f>HYPERLINK("C:\Users\franc\OneDrive\Documentos\MALENTIN KARIME\Rosa\CORPORACION ASISTENCIA JUDICIAL\REDUCCIONES A ESCRI. PUBLICA\AÑO 2010\PEDRO GONZALEZ REDUCCION.doc", "Abrir Documento")</f>
        <v>0</v>
      </c>
      <c r="D3664" t="s">
        <v>23500</v>
      </c>
      <c r="E3664" t="s">
        <v>26864</v>
      </c>
    </row>
    <row r="3665" spans="1:5">
      <c r="A3665" t="s">
        <v>6</v>
      </c>
      <c r="B3665" t="s">
        <v>3670</v>
      </c>
      <c r="C3665">
        <f>HYPERLINK("C:\Users\franc\OneDrive\Documentos\MALENTIN KARIME\Rosa\CORPORACION ASISTENCIA JUDICIAL\REDUCCIONES A ESCRI. PUBLICA\AÑO 2010\OLIVIA ALFARO - ERASMO BERRIOS.doc", "Abrir Documento")</f>
        <v>0</v>
      </c>
      <c r="D3665" t="s">
        <v>23500</v>
      </c>
      <c r="E3665" t="s">
        <v>26865</v>
      </c>
    </row>
    <row r="3666" spans="1:5">
      <c r="A3666" t="s">
        <v>6</v>
      </c>
      <c r="B3666" t="s">
        <v>3671</v>
      </c>
      <c r="C3666">
        <f>HYPERLINK("C:\Users\franc\OneDrive\Documentos\MALENTIN KARIME\Rosa\CORPORACION ASISTENCIA JUDICIAL\REDUCCIONES A ESCRI. PUBLICA\AÑO 2010\MARTA GALLARDO R..doc", "Abrir Documento")</f>
        <v>0</v>
      </c>
      <c r="D3666" t="s">
        <v>23500</v>
      </c>
      <c r="E3666" t="s">
        <v>26866</v>
      </c>
    </row>
    <row r="3667" spans="1:5">
      <c r="A3667" t="s">
        <v>6</v>
      </c>
      <c r="B3667" t="s">
        <v>3672</v>
      </c>
      <c r="C3667">
        <f>HYPERLINK("C:\Users\franc\OneDrive\Documentos\MALENTIN KARIME\Rosa\CORPORACION ASISTENCIA JUDICIAL\REDUCCIONES A ESCRI. PUBLICA\AÑO 2010\LUCILA MIRANDA - JUAN OLIVARES.doc", "Abrir Documento")</f>
        <v>0</v>
      </c>
      <c r="D3667" t="s">
        <v>23500</v>
      </c>
      <c r="E3667" t="s">
        <v>26867</v>
      </c>
    </row>
    <row r="3668" spans="1:5">
      <c r="A3668" t="s">
        <v>6</v>
      </c>
      <c r="B3668" t="s">
        <v>3673</v>
      </c>
      <c r="C3668">
        <f>HYPERLINK("C:\Users\franc\OneDrive\Documentos\MALENTIN KARIME\Rosa\CORPORACION ASISTENCIA JUDICIAL\REDUCCIONES A ESCRI. PUBLICA\AÑO 2010\MarisoL del Transito Araya Castro.doc", "Abrir Documento")</f>
        <v>0</v>
      </c>
      <c r="D3668" t="s">
        <v>23500</v>
      </c>
      <c r="E3668" t="s">
        <v>26867</v>
      </c>
    </row>
    <row r="3669" spans="1:5">
      <c r="A3669" t="s">
        <v>6</v>
      </c>
      <c r="B3669" t="s">
        <v>3674</v>
      </c>
      <c r="C3669">
        <f>HYPERLINK("C:\Users\franc\OneDrive\Documentos\MALENTIN KARIME\Rosa\CORPORACION ASISTENCIA JUDICIAL\REDUCCIONES A ESCRI. PUBLICA\AÑO 2010\JAVIER DEL ROSARIO  PAYEROS.doc", "Abrir Documento")</f>
        <v>0</v>
      </c>
      <c r="D3669" t="s">
        <v>23500</v>
      </c>
      <c r="E3669" t="s">
        <v>26868</v>
      </c>
    </row>
    <row r="3670" spans="1:5">
      <c r="A3670" t="s">
        <v>6</v>
      </c>
      <c r="B3670" t="s">
        <v>3675</v>
      </c>
      <c r="C3670">
        <f>HYPERLINK("C:\Users\franc\OneDrive\Documentos\MALENTIN KARIME\Rosa\CORPORACION ASISTENCIA JUDICIAL\REDUCCIONES A ESCRI. PUBLICA\AÑO 2010\JHOANA CORTES L. A GUILLERMO ARANCIBIA C..doc", "Abrir Documento")</f>
        <v>0</v>
      </c>
      <c r="D3670" t="s">
        <v>23500</v>
      </c>
      <c r="E3670" t="s">
        <v>26868</v>
      </c>
    </row>
    <row r="3671" spans="1:5">
      <c r="A3671" t="s">
        <v>6</v>
      </c>
      <c r="B3671" t="s">
        <v>3676</v>
      </c>
      <c r="C3671">
        <f>HYPERLINK("C:\Users\franc\OneDrive\Documentos\MALENTIN KARIME\Rosa\CORPORACION ASISTENCIA JUDICIAL\REDUCCIONES A ESCRI. PUBLICA\AÑO 2010\IRIS VEGA CARVAJAL.doc", "Abrir Documento")</f>
        <v>0</v>
      </c>
      <c r="D3671" t="s">
        <v>23500</v>
      </c>
      <c r="E3671" t="s">
        <v>26869</v>
      </c>
    </row>
    <row r="3672" spans="1:5">
      <c r="A3672" t="s">
        <v>6</v>
      </c>
      <c r="B3672" t="s">
        <v>3677</v>
      </c>
      <c r="C3672">
        <f>HYPERLINK("C:\Users\franc\OneDrive\Documentos\MALENTIN KARIME\Rosa\CORPORACION ASISTENCIA JUDICIAL\REDUCCIONES A ESCRI. PUBLICA\AÑO 2010\JANET RIVERA CORTES.doc", "Abrir Documento")</f>
        <v>0</v>
      </c>
      <c r="D3672" t="s">
        <v>23500</v>
      </c>
      <c r="E3672" t="s">
        <v>26869</v>
      </c>
    </row>
    <row r="3673" spans="1:5">
      <c r="A3673" t="s">
        <v>6</v>
      </c>
      <c r="B3673" t="s">
        <v>3678</v>
      </c>
      <c r="C3673">
        <f>HYPERLINK("C:\Users\franc\OneDrive\Documentos\MALENTIN KARIME\Rosa\CORPORACION ASISTENCIA JUDICIAL\REDUCCIONES A ESCRI. PUBLICA\AÑO 2010\CELINDA IRRARAZABAL -CARLOS ROJAS C..doc", "Abrir Documento")</f>
        <v>0</v>
      </c>
      <c r="D3673" t="s">
        <v>23500</v>
      </c>
      <c r="E3673" t="s">
        <v>26870</v>
      </c>
    </row>
    <row r="3674" spans="1:5">
      <c r="A3674" t="s">
        <v>6</v>
      </c>
      <c r="B3674" t="s">
        <v>3679</v>
      </c>
      <c r="C3674">
        <f>HYPERLINK("C:\Users\franc\OneDrive\Documentos\MALENTIN KARIME\Rosa\CORPORACION ASISTENCIA JUDICIAL\REDUCCIONES A ESCRI. PUBLICA\AÑO 2010\EDITH GOMEZ PASTEN - RENE RAMIREZ.doc", "Abrir Documento")</f>
        <v>0</v>
      </c>
      <c r="D3674" t="s">
        <v>23500</v>
      </c>
      <c r="E3674" t="s">
        <v>26870</v>
      </c>
    </row>
    <row r="3675" spans="1:5">
      <c r="A3675" t="s">
        <v>6</v>
      </c>
      <c r="B3675" t="s">
        <v>3680</v>
      </c>
      <c r="C3675">
        <f>HYPERLINK("C:\Users\franc\OneDrive\Documentos\MALENTIN KARIME\Rosa\CORPORACION ASISTENCIA JUDICIAL\REDUCCIONES A ESCRI. PUBLICA\AÑO 2010\HECTOR ARANCIBIA- SILVIA ESPINA R..doc", "Abrir Documento")</f>
        <v>0</v>
      </c>
      <c r="D3675" t="s">
        <v>23500</v>
      </c>
      <c r="E3675" t="s">
        <v>26870</v>
      </c>
    </row>
    <row r="3676" spans="1:5">
      <c r="A3676" t="s">
        <v>6</v>
      </c>
      <c r="B3676" t="s">
        <v>3681</v>
      </c>
      <c r="C3676">
        <f>HYPERLINK("C:\Users\franc\OneDrive\Documentos\MALENTIN KARIME\Rosa\CORPORACION ASISTENCIA JUDICIAL\PROTOCOLIZACIONES\INVENTARIO MARIA CARVAJAL.doc", "Abrir Documento")</f>
        <v>0</v>
      </c>
      <c r="D3676" t="s">
        <v>23500</v>
      </c>
      <c r="E3676" t="s">
        <v>26871</v>
      </c>
    </row>
    <row r="3677" spans="1:5">
      <c r="A3677" t="s">
        <v>6</v>
      </c>
      <c r="B3677" t="s">
        <v>3682</v>
      </c>
      <c r="C3677">
        <f>HYPERLINK("C:\Users\franc\OneDrive\Documentos\MALENTIN KARIME\Rosa\CORPORACION ASISTENCIA JUDICIAL\REDUCCIONES A ESCRI. PUBLICA\AÑO 2010\ADJUDICACION FRESIA ALBANEZ.doc", "Abrir Documento")</f>
        <v>0</v>
      </c>
      <c r="D3677" t="s">
        <v>23500</v>
      </c>
      <c r="E3677" t="s">
        <v>26871</v>
      </c>
    </row>
    <row r="3678" spans="1:5">
      <c r="A3678" t="s">
        <v>6</v>
      </c>
      <c r="B3678" t="s">
        <v>3683</v>
      </c>
      <c r="C3678">
        <f>HYPERLINK("C:\Users\franc\OneDrive\Documentos\MALENTIN KARIME\Rosa\CORPORACION ASISTENCIA JUDICIAL\PROTOCOLIZACIONES\INVENTARIO HECTOR ROJAS ROJAS.doc", "Abrir Documento")</f>
        <v>0</v>
      </c>
      <c r="D3678" t="s">
        <v>23500</v>
      </c>
      <c r="E3678" t="s">
        <v>26872</v>
      </c>
    </row>
    <row r="3679" spans="1:5">
      <c r="A3679" t="s">
        <v>6</v>
      </c>
      <c r="B3679" t="s">
        <v>3684</v>
      </c>
      <c r="C3679">
        <f>HYPERLINK("C:\Users\franc\OneDrive\Documentos\MALENTIN KARIME\Rosa\CORPORACION ASISTENCIA JUDICIAL\MODIFICACIONES\Modificación reducción escritura pública Laly Tabilo-1.doc", "Abrir Documento")</f>
        <v>0</v>
      </c>
      <c r="D3679" t="s">
        <v>23500</v>
      </c>
      <c r="E3679" t="s">
        <v>26873</v>
      </c>
    </row>
    <row r="3680" spans="1:5">
      <c r="A3680" t="s">
        <v>6</v>
      </c>
      <c r="B3680" t="s">
        <v>3685</v>
      </c>
      <c r="C3680">
        <f>HYPERLINK("C:\Users\franc\OneDrive\Documentos\MALENTIN KARIME\Rosa\CORPORACION ASISTENCIA JUDICIAL\MODIFICACIONES\MODIFICACION  LALAY TABILO CONTRERAS.doc", "Abrir Documento")</f>
        <v>0</v>
      </c>
      <c r="D3680" t="s">
        <v>23500</v>
      </c>
      <c r="E3680" t="s">
        <v>26874</v>
      </c>
    </row>
    <row r="3681" spans="1:5">
      <c r="A3681" t="s">
        <v>6</v>
      </c>
      <c r="B3681" t="s">
        <v>3686</v>
      </c>
      <c r="C3681">
        <f>HYPERLINK("C:\Users\franc\OneDrive\Documentos\MALENTIN KARIME\Rosa\CORPORACION ASISTENCIA JUDICIAL\MINUTAS POR CORREO\_MARTA_GALLARDO1].doc", "Abrir Documento")</f>
        <v>0</v>
      </c>
      <c r="D3681" t="s">
        <v>23500</v>
      </c>
      <c r="E3681" t="s">
        <v>26875</v>
      </c>
    </row>
    <row r="3682" spans="1:5">
      <c r="A3682" t="s">
        <v>6</v>
      </c>
      <c r="B3682" t="s">
        <v>3687</v>
      </c>
      <c r="C3682">
        <f>HYPERLINK("C:\Users\franc\OneDrive\Documentos\MALENTIN KARIME\Rosa\CORPORACION ASISTENCIA JUDICIAL\MINUTAS POR CORREO\Reducción Verónica Morgado a Rafael Castañeda.doc", "Abrir Documento")</f>
        <v>0</v>
      </c>
      <c r="D3682" t="s">
        <v>23500</v>
      </c>
      <c r="E3682" t="s">
        <v>26876</v>
      </c>
    </row>
    <row r="3683" spans="1:5">
      <c r="A3683" t="s">
        <v>6</v>
      </c>
      <c r="B3683" t="s">
        <v>3688</v>
      </c>
      <c r="C3683">
        <f>HYPERLINK("C:\Users\franc\OneDrive\Documentos\MALENTIN KARIME\Rosa\CORPORACION ASISTENCIA JUDICIAL\MINUTAS POR CORREO\Sandro Araya Araya.doc", "Abrir Documento")</f>
        <v>0</v>
      </c>
      <c r="D3683" t="s">
        <v>23500</v>
      </c>
      <c r="E3683" t="s">
        <v>26876</v>
      </c>
    </row>
    <row r="3684" spans="1:5">
      <c r="A3684" t="s">
        <v>6</v>
      </c>
      <c r="B3684" t="s">
        <v>3689</v>
      </c>
      <c r="C3684">
        <f>HYPERLINK("C:\Users\franc\OneDrive\Documentos\MALENTIN KARIME\Rosa\CORPORACION ASISTENCIA JUDICIAL\MINUTAS POR CORREO\Reducción René Ramírez - Edith Gómez.doc", "Abrir Documento")</f>
        <v>0</v>
      </c>
      <c r="D3684" t="s">
        <v>23500</v>
      </c>
      <c r="E3684" t="s">
        <v>26877</v>
      </c>
    </row>
    <row r="3685" spans="1:5">
      <c r="A3685" t="s">
        <v>6</v>
      </c>
      <c r="B3685" t="s">
        <v>3690</v>
      </c>
      <c r="C3685">
        <f>HYPERLINK("C:\Users\franc\OneDrive\Documentos\MALENTIN KARIME\Rosa\CORPORACION ASISTENCIA JUDICIAL\MINUTAS POR CORREO\Reducción a escritura pública LUIS BARRAZA.doc", "Abrir Documento")</f>
        <v>0</v>
      </c>
      <c r="D3685" t="s">
        <v>23500</v>
      </c>
      <c r="E3685" t="s">
        <v>26878</v>
      </c>
    </row>
    <row r="3686" spans="1:5">
      <c r="A3686" t="s">
        <v>6</v>
      </c>
      <c r="B3686" t="s">
        <v>3691</v>
      </c>
      <c r="C3686">
        <f>HYPERLINK("C:\Users\franc\OneDrive\Documentos\MALENTIN KARIME\Rosa\CORPORACION ASISTENCIA JUDICIAL\MINUTAS POR CORREO\Reducción a Escritura Pública HENRY VALENZUELA.doc", "Abrir Documento")</f>
        <v>0</v>
      </c>
      <c r="D3686" t="s">
        <v>23500</v>
      </c>
      <c r="E3686" t="s">
        <v>26879</v>
      </c>
    </row>
    <row r="3687" spans="1:5">
      <c r="A3687" t="s">
        <v>6</v>
      </c>
      <c r="B3687" t="s">
        <v>3692</v>
      </c>
      <c r="C3687">
        <f>HYPERLINK("C:\Users\franc\OneDrive\Documentos\MALENTIN KARIME\Rosa\CORPORACION ASISTENCIA JUDICIAL\MINUTAS POR CORREO\REDUCCION_ESCRITURA_PUBLICA_ rectifiada.doc", "Abrir Documento")</f>
        <v>0</v>
      </c>
      <c r="D3687" t="s">
        <v>23500</v>
      </c>
      <c r="E3687" t="s">
        <v>26880</v>
      </c>
    </row>
    <row r="3688" spans="1:5">
      <c r="A3688" t="s">
        <v>6</v>
      </c>
      <c r="B3688" t="s">
        <v>3693</v>
      </c>
      <c r="C3688">
        <f>HYPERLINK("C:\Users\franc\OneDrive\Documentos\MALENTIN KARIME\Rosa\CORPORACION ASISTENCIA JUDICIAL\MINUTAS POR CORREO\reduccion[1]. HECTOR ARANCIBIA.doc", "Abrir Documento")</f>
        <v>0</v>
      </c>
      <c r="D3688" t="s">
        <v>23500</v>
      </c>
      <c r="E3688" t="s">
        <v>26881</v>
      </c>
    </row>
    <row r="3689" spans="1:5">
      <c r="A3689" t="s">
        <v>6</v>
      </c>
      <c r="B3689" t="s">
        <v>3694</v>
      </c>
      <c r="C3689">
        <f>HYPERLINK("C:\Users\franc\OneDrive\Documentos\MALENTIN KARIME\Rosa\CORPORACION ASISTENCIA JUDICIAL\MINUTAS POR CORREO\REDUCCION ESCRITURA PUBLICA_iris_ana_naranjo[1].doc", "Abrir Documento")</f>
        <v>0</v>
      </c>
      <c r="D3689" t="s">
        <v>23500</v>
      </c>
      <c r="E3689" t="s">
        <v>26882</v>
      </c>
    </row>
    <row r="3690" spans="1:5">
      <c r="A3690" t="s">
        <v>6</v>
      </c>
      <c r="B3690" t="s">
        <v>3695</v>
      </c>
      <c r="C3690">
        <f>HYPERLINK("C:\Users\franc\OneDrive\Documentos\MALENTIN KARIME\Rosa\CORPORACION ASISTENCIA JUDICIAL\MINUTAS POR CORREO\REDUCCION ESCRITURA PUBLICA_celinda_valeria mulet[1].doc", "Abrir Documento")</f>
        <v>0</v>
      </c>
      <c r="D3690" t="s">
        <v>23500</v>
      </c>
      <c r="E3690" t="s">
        <v>26883</v>
      </c>
    </row>
    <row r="3691" spans="1:5">
      <c r="A3691" t="s">
        <v>6</v>
      </c>
      <c r="B3691" t="s">
        <v>3696</v>
      </c>
      <c r="C3691">
        <f>HYPERLINK("C:\Users\franc\OneDrive\Documentos\MALENTIN KARIME\Rosa\CORPORACION ASISTENCIA JUDICIAL\MINUTAS POR CORREO\REDUCCION ESCRITURA PUBLICA_Fresia_Albanez_Rojas_Francisco_Bravo[1][1].doc", "Abrir Documento")</f>
        <v>0</v>
      </c>
      <c r="D3691" t="s">
        <v>23500</v>
      </c>
      <c r="E3691" t="s">
        <v>26883</v>
      </c>
    </row>
    <row r="3692" spans="1:5">
      <c r="A3692" t="s">
        <v>6</v>
      </c>
      <c r="B3692" t="s">
        <v>3697</v>
      </c>
      <c r="C3692">
        <f>HYPERLINK("C:\Users\franc\OneDrive\Documentos\MALENTIN KARIME\Rosa\CORPORACION ASISTENCIA JUDICIAL\MINUTAS POR CORREO\REDUCCION ESCRITURA PEDRO GONZALEZ[1].doc", "Abrir Documento")</f>
        <v>0</v>
      </c>
      <c r="D3692" t="s">
        <v>23500</v>
      </c>
      <c r="E3692" t="s">
        <v>26884</v>
      </c>
    </row>
    <row r="3693" spans="1:5">
      <c r="A3693" t="s">
        <v>6</v>
      </c>
      <c r="B3693" t="s">
        <v>3698</v>
      </c>
      <c r="C3693">
        <f>HYPERLINK("C:\Users\franc\OneDrive\Documentos\MALENTIN KARIME\Rosa\CORPORACION ASISTENCIA JUDICIAL\MINUTAS POR CORREO\reduccion escritura publica de OLIVIA ALFARO[1].doc", "Abrir Documento")</f>
        <v>0</v>
      </c>
      <c r="D3693" t="s">
        <v>23500</v>
      </c>
      <c r="E3693" t="s">
        <v>26884</v>
      </c>
    </row>
    <row r="3694" spans="1:5">
      <c r="A3694" t="s">
        <v>6</v>
      </c>
      <c r="B3694" t="s">
        <v>3699</v>
      </c>
      <c r="C3694">
        <f>HYPERLINK("C:\Users\franc\OneDrive\Documentos\MALENTIN KARIME\Rosa\CORPORACION ASISTENCIA JUDICIAL\MINUTAS POR CORREO\REDUCCION ESCRITURA JHOANA CORTES[1].doc", "Abrir Documento")</f>
        <v>0</v>
      </c>
      <c r="D3694" t="s">
        <v>23500</v>
      </c>
      <c r="E3694" t="s">
        <v>26885</v>
      </c>
    </row>
    <row r="3695" spans="1:5">
      <c r="A3695" t="s">
        <v>6</v>
      </c>
      <c r="B3695" t="s">
        <v>3700</v>
      </c>
      <c r="C3695">
        <f>HYPERLINK("C:\Users\franc\OneDrive\Documentos\MALENTIN KARIME\Rosa\CORPORACION ASISTENCIA JUDICIAL\MINUTAS POR CORREO\REDUCCION ESCRITURA NELLY ARAYA[1].doc", "Abrir Documento")</f>
        <v>0</v>
      </c>
      <c r="D3695" t="s">
        <v>23500</v>
      </c>
      <c r="E3695" t="s">
        <v>26885</v>
      </c>
    </row>
    <row r="3696" spans="1:5">
      <c r="A3696" t="s">
        <v>6</v>
      </c>
      <c r="B3696" t="s">
        <v>3701</v>
      </c>
      <c r="C3696">
        <f>HYPERLINK("C:\Users\franc\OneDrive\Documentos\MALENTIN KARIME\Rosa\CORPORACION ASISTENCIA JUDICIAL\MINUTAS POR CORREO\reduccion de escritura publica de payeros[1].doc", "Abrir Documento")</f>
        <v>0</v>
      </c>
      <c r="D3696" t="s">
        <v>23500</v>
      </c>
      <c r="E3696" t="s">
        <v>26886</v>
      </c>
    </row>
    <row r="3697" spans="1:5">
      <c r="A3697" t="s">
        <v>6</v>
      </c>
      <c r="B3697" t="s">
        <v>3702</v>
      </c>
      <c r="C3697">
        <f>HYPERLINK("C:\Users\franc\OneDrive\Documentos\MALENTIN KARIME\Rosa\CORPORACION ASISTENCIA JUDICIAL\MINUTAS POR CORREO\reduccion de escritura publicaLUCILA MIRANDA.doc", "Abrir Documento")</f>
        <v>0</v>
      </c>
      <c r="D3697" t="s">
        <v>23500</v>
      </c>
      <c r="E3697" t="s">
        <v>26886</v>
      </c>
    </row>
    <row r="3698" spans="1:5">
      <c r="A3698" t="s">
        <v>6</v>
      </c>
      <c r="B3698" t="s">
        <v>3703</v>
      </c>
      <c r="C3698">
        <f>HYPERLINK("C:\Users\franc\OneDrive\Documentos\MALENTIN KARIME\Rosa\CORPORACION ASISTENCIA JUDICIAL\MINUTAS POR CORREO\REDUCCION A ESCRITURA PUBLICA  LUIS PIZARRO.doc", "Abrir Documento")</f>
        <v>0</v>
      </c>
      <c r="D3698" t="s">
        <v>23500</v>
      </c>
      <c r="E3698" t="s">
        <v>26887</v>
      </c>
    </row>
    <row r="3699" spans="1:5">
      <c r="A3699" t="s">
        <v>6</v>
      </c>
      <c r="B3699" t="s">
        <v>3704</v>
      </c>
      <c r="C3699">
        <f>HYPERLINK("C:\Users\franc\OneDrive\Documentos\MALENTIN KARIME\Rosa\CORPORACION ASISTENCIA JUDICIAL\MINUTAS POR CORREO\REDUCCION A ESCRITURA PUBLICA SEBASTIAN ARAYA.doc", "Abrir Documento")</f>
        <v>0</v>
      </c>
      <c r="D3699" t="s">
        <v>23500</v>
      </c>
      <c r="E3699" t="s">
        <v>26887</v>
      </c>
    </row>
    <row r="3700" spans="1:5">
      <c r="A3700" t="s">
        <v>6</v>
      </c>
      <c r="B3700" t="s">
        <v>3705</v>
      </c>
      <c r="C3700">
        <f>HYPERLINK("C:\Users\franc\OneDrive\Documentos\MALENTIN KARIME\Rosa\CORPORACION ASISTENCIA JUDICIAL\MINUTAS POR CORREO\MANDATO MARIA ISABEL CORTES[1].doc", "Abrir Documento")</f>
        <v>0</v>
      </c>
      <c r="D3700" t="s">
        <v>23500</v>
      </c>
      <c r="E3700" t="s">
        <v>26888</v>
      </c>
    </row>
    <row r="3701" spans="1:5">
      <c r="A3701" t="s">
        <v>6</v>
      </c>
      <c r="B3701" t="s">
        <v>3706</v>
      </c>
      <c r="C3701">
        <f>HYPERLINK("C:\Users\franc\OneDrive\Documentos\MALENTIN KARIME\Rosa\CORPORACION ASISTENCIA JUDICIAL\MINUTAS POR CORREO\Nelson Vega.doc", "Abrir Documento")</f>
        <v>0</v>
      </c>
      <c r="D3701" t="s">
        <v>23500</v>
      </c>
      <c r="E3701" t="s">
        <v>26888</v>
      </c>
    </row>
    <row r="3702" spans="1:5">
      <c r="A3702" t="s">
        <v>6</v>
      </c>
      <c r="B3702" t="s">
        <v>3707</v>
      </c>
      <c r="C3702">
        <f>HYPERLINK("C:\Users\franc\OneDrive\Documentos\MALENTIN KARIME\Rosa\CORPORACION ASISTENCIA JUDICIAL\MINUTAS POR CORREO\MANDATO JUDICIAL, Rosa Rojas Tapia[1].doc", "Abrir Documento")</f>
        <v>0</v>
      </c>
      <c r="D3702" t="s">
        <v>23500</v>
      </c>
      <c r="E3702" t="s">
        <v>26889</v>
      </c>
    </row>
    <row r="3703" spans="1:5">
      <c r="A3703" t="s">
        <v>6</v>
      </c>
      <c r="B3703" t="s">
        <v>3708</v>
      </c>
      <c r="C3703">
        <f>HYPERLINK("C:\Users\franc\OneDrive\Documentos\MALENTIN KARIME\Rosa\CORPORACION ASISTENCIA JUDICIAL\MINUTAS POR CORREO\MANDATO JUDICIAL, Jonathan Vargas Lopez[1].doc", "Abrir Documento")</f>
        <v>0</v>
      </c>
      <c r="D3703" t="s">
        <v>23500</v>
      </c>
      <c r="E3703" t="s">
        <v>26890</v>
      </c>
    </row>
    <row r="3704" spans="1:5">
      <c r="A3704" t="s">
        <v>6</v>
      </c>
      <c r="B3704" t="s">
        <v>3709</v>
      </c>
      <c r="C3704">
        <f>HYPERLINK("C:\Users\franc\OneDrive\Documentos\MALENTIN KARIME\Rosa\CORPORACION ASISTENCIA JUDICIAL\MINUTAS POR CORREO\MANDATO JUDICIAL Oscar Vargas  CAJ ARICA[1].doc", "Abrir Documento")</f>
        <v>0</v>
      </c>
      <c r="D3704" t="s">
        <v>23500</v>
      </c>
      <c r="E3704" t="s">
        <v>26891</v>
      </c>
    </row>
    <row r="3705" spans="1:5">
      <c r="A3705" t="s">
        <v>6</v>
      </c>
      <c r="B3705" t="s">
        <v>3710</v>
      </c>
      <c r="C3705">
        <f>HYPERLINK("C:\Users\franc\OneDrive\Documentos\MALENTIN KARIME\Rosa\CORPORACION ASISTENCIA JUDICIAL\MINUTAS POR CORREO\mandato judicial odl serena Ulises Rojas[1].doc", "Abrir Documento")</f>
        <v>0</v>
      </c>
      <c r="D3705" t="s">
        <v>23500</v>
      </c>
      <c r="E3705" t="s">
        <v>26892</v>
      </c>
    </row>
    <row r="3706" spans="1:5">
      <c r="A3706" t="s">
        <v>6</v>
      </c>
      <c r="B3706" t="s">
        <v>3711</v>
      </c>
      <c r="C3706">
        <f>HYPERLINK("C:\Users\franc\OneDrive\Documentos\MALENTIN KARIME\Rosa\CORPORACION ASISTENCIA JUDICIAL\MINUTAS POR CORREO\MANDATO JUDICIAL JOSE CORTES ADASME.doc", "Abrir Documento")</f>
        <v>0</v>
      </c>
      <c r="D3706" t="s">
        <v>23500</v>
      </c>
      <c r="E3706" t="s">
        <v>26893</v>
      </c>
    </row>
    <row r="3707" spans="1:5">
      <c r="A3707" t="s">
        <v>6</v>
      </c>
      <c r="B3707" t="s">
        <v>3712</v>
      </c>
      <c r="C3707">
        <f>HYPERLINK("C:\Users\franc\OneDrive\Documentos\MALENTIN KARIME\Rosa\CORPORACION ASISTENCIA JUDICIAL\MINUTAS POR CORREO\mandato judicial odl serena Alberto Angel[1].doc", "Abrir Documento")</f>
        <v>0</v>
      </c>
      <c r="D3707" t="s">
        <v>23500</v>
      </c>
      <c r="E3707" t="s">
        <v>26893</v>
      </c>
    </row>
    <row r="3708" spans="1:5">
      <c r="A3708" t="s">
        <v>6</v>
      </c>
      <c r="B3708" t="s">
        <v>3713</v>
      </c>
      <c r="C3708">
        <f>HYPERLINK("C:\Users\franc\OneDrive\Documentos\MALENTIN KARIME\Rosa\CORPORACION ASISTENCIA JUDICIAL\MINUTAS POR CORREO\MANDATO JUDICIAL FRANCISCO CORTES ARAYA[1].doc", "Abrir Documento")</f>
        <v>0</v>
      </c>
      <c r="D3708" t="s">
        <v>23500</v>
      </c>
      <c r="E3708" t="s">
        <v>26894</v>
      </c>
    </row>
    <row r="3709" spans="1:5">
      <c r="A3709" t="s">
        <v>6</v>
      </c>
      <c r="B3709" t="s">
        <v>3714</v>
      </c>
      <c r="C3709">
        <f>HYPERLINK("C:\Users\franc\OneDrive\Documentos\MALENTIN KARIME\Rosa\CORPORACION ASISTENCIA JUDICIAL\MINUTAS POR CORREO\mandato jenny irarrazabal[1].cabrera-Alto Hospicio.doc", "Abrir Documento")</f>
        <v>0</v>
      </c>
      <c r="D3709" t="s">
        <v>23500</v>
      </c>
      <c r="E3709" t="s">
        <v>26895</v>
      </c>
    </row>
    <row r="3710" spans="1:5">
      <c r="A3710" t="s">
        <v>6</v>
      </c>
      <c r="B3710" t="s">
        <v>3715</v>
      </c>
      <c r="C3710">
        <f>HYPERLINK("C:\Users\franc\OneDrive\Documentos\MALENTIN KARIME\Rosa\CORPORACION ASISTENCIA JUDICIAL\MINUTAS POR CORREO\MANDATO GERMAN SOLAR.doc", "Abrir Documento")</f>
        <v>0</v>
      </c>
      <c r="D3710" t="s">
        <v>23500</v>
      </c>
      <c r="E3710" t="s">
        <v>26896</v>
      </c>
    </row>
    <row r="3711" spans="1:5">
      <c r="A3711" t="s">
        <v>6</v>
      </c>
      <c r="B3711" t="s">
        <v>3716</v>
      </c>
      <c r="C3711">
        <f>HYPERLINK("C:\Users\franc\OneDrive\Documentos\MALENTIN KARIME\Rosa\CORPORACION ASISTENCIA JUDICIAL\MINUTAS POR CORREO\MANDATO ESPECIAL EMILIA CASTILLO TAPIA.doc", "Abrir Documento")</f>
        <v>0</v>
      </c>
      <c r="D3711" t="s">
        <v>23500</v>
      </c>
      <c r="E3711" t="s">
        <v>26897</v>
      </c>
    </row>
    <row r="3712" spans="1:5">
      <c r="A3712" t="s">
        <v>6</v>
      </c>
      <c r="B3712" t="s">
        <v>3717</v>
      </c>
      <c r="C3712">
        <f>HYPERLINK("C:\Users\franc\OneDrive\Documentos\MALENTIN KARIME\Rosa\CORPORACION ASISTENCIA JUDICIAL\MINUTAS POR CORREO\MANDATO ESPECIAL DIVORCIO, YESENIA MEDINA-1.doc", "Abrir Documento")</f>
        <v>0</v>
      </c>
      <c r="D3712" t="s">
        <v>23500</v>
      </c>
      <c r="E3712" t="s">
        <v>26898</v>
      </c>
    </row>
    <row r="3713" spans="1:5">
      <c r="A3713" t="s">
        <v>6</v>
      </c>
      <c r="B3713" t="s">
        <v>3718</v>
      </c>
      <c r="C3713">
        <f>HYPERLINK("C:\Users\franc\OneDrive\Documentos\MALENTIN KARIME\Rosa\CORPORACION ASISTENCIA JUDICIAL\MINUTAS POR CORREO\mandato don amadiel araya[1].doc", "Abrir Documento")</f>
        <v>0</v>
      </c>
      <c r="D3713" t="s">
        <v>23500</v>
      </c>
      <c r="E3713" t="s">
        <v>26899</v>
      </c>
    </row>
    <row r="3714" spans="1:5">
      <c r="A3714" t="s">
        <v>6</v>
      </c>
      <c r="B3714" t="s">
        <v>3719</v>
      </c>
      <c r="C3714">
        <f>HYPERLINK("C:\Users\franc\OneDrive\Documentos\MALENTIN KARIME\Rosa\CORPORACION ASISTENCIA JUDICIAL\MINUTAS POR CORREO\mandato daniel carvajal.doc", "Abrir Documento")</f>
        <v>0</v>
      </c>
      <c r="D3714" t="s">
        <v>23500</v>
      </c>
      <c r="E3714" t="s">
        <v>26900</v>
      </c>
    </row>
    <row r="3715" spans="1:5">
      <c r="A3715" t="s">
        <v>6</v>
      </c>
      <c r="B3715" t="s">
        <v>3720</v>
      </c>
      <c r="C3715">
        <f>HYPERLINK("C:\Users\franc\OneDrive\Documentos\MALENTIN KARIME\Rosa\CORPORACION ASISTENCIA JUDICIAL\MINUTAS POR CORREO\LEONOR BUGUEÑO A CARLOS....doc", "Abrir Documento")</f>
        <v>0</v>
      </c>
      <c r="D3715" t="s">
        <v>23500</v>
      </c>
      <c r="E3715" t="s">
        <v>26901</v>
      </c>
    </row>
    <row r="3716" spans="1:5">
      <c r="A3716" t="s">
        <v>6</v>
      </c>
      <c r="B3716" t="s">
        <v>3721</v>
      </c>
      <c r="C3716">
        <f>HYPERLINK("C:\Users\franc\OneDrive\Documentos\MALENTIN KARIME\Rosa\CORPORACION ASISTENCIA JUDICIAL\MINUTAS POR CORREO\JAVIER DEL ROSARIO  PAYEROS.doc", "Abrir Documento")</f>
        <v>0</v>
      </c>
      <c r="D3716" t="s">
        <v>23500</v>
      </c>
      <c r="E3716" t="s">
        <v>26902</v>
      </c>
    </row>
    <row r="3717" spans="1:5">
      <c r="A3717" t="s">
        <v>6</v>
      </c>
      <c r="B3717" t="s">
        <v>3722</v>
      </c>
      <c r="C3717">
        <f>HYPERLINK("C:\Users\franc\OneDrive\Documentos\MALENTIN KARIME\Rosa\CORPORACION ASISTENCIA JUDICIAL\MINUTAS POR CORREO\JESSSICA GONZALEZ ZEPEDA.doc", "Abrir Documento")</f>
        <v>0</v>
      </c>
      <c r="D3717" t="s">
        <v>23500</v>
      </c>
      <c r="E3717" t="s">
        <v>26902</v>
      </c>
    </row>
    <row r="3718" spans="1:5">
      <c r="A3718" t="s">
        <v>6</v>
      </c>
      <c r="B3718" t="s">
        <v>3723</v>
      </c>
      <c r="C3718">
        <f>HYPERLINK("C:\Users\franc\OneDrive\Documentos\MALENTIN KARIME\Rosa\CORPORACION ASISTENCIA JUDICIAL\MINUTAS POR CORREO\JANET RIVERA.doc", "Abrir Documento")</f>
        <v>0</v>
      </c>
      <c r="D3718" t="s">
        <v>23500</v>
      </c>
      <c r="E3718" t="s">
        <v>26903</v>
      </c>
    </row>
    <row r="3719" spans="1:5">
      <c r="A3719" t="s">
        <v>6</v>
      </c>
      <c r="B3719" t="s">
        <v>3724</v>
      </c>
      <c r="C3719">
        <f>HYPERLINK("C:\Users\franc\OneDrive\Documentos\MALENTIN KARIME\Rosa\CORPORACION ASISTENCIA JUDICIAL\MINUTAS POR CORREO\HUGO CASTILLO.doc", "Abrir Documento")</f>
        <v>0</v>
      </c>
      <c r="D3719" t="s">
        <v>23500</v>
      </c>
      <c r="E3719" t="s">
        <v>26904</v>
      </c>
    </row>
    <row r="3720" spans="1:5">
      <c r="A3720" t="s">
        <v>6</v>
      </c>
      <c r="B3720" t="s">
        <v>3725</v>
      </c>
      <c r="C3720">
        <f>HYPERLINK("C:\Users\franc\OneDrive\Documentos\MALENTIN KARIME\Rosa\CORPORACION ASISTENCIA JUDICIAL\MINUTAS POR CORREO\DANIEL MAGNA RODRIGUEZ.doc", "Abrir Documento")</f>
        <v>0</v>
      </c>
      <c r="D3720" t="s">
        <v>23500</v>
      </c>
      <c r="E3720" t="s">
        <v>26905</v>
      </c>
    </row>
    <row r="3721" spans="1:5">
      <c r="A3721" t="s">
        <v>6</v>
      </c>
      <c r="B3721" t="s">
        <v>3726</v>
      </c>
      <c r="C3721">
        <f>HYPERLINK("C:\Users\franc\OneDrive\Documentos\MALENTIN KARIME\Rosa\CORPORACION ASISTENCIA JUDICIAL\MINUTAS POR CORREO\Completación y Aclaración America Arqueros.corregida-1.doc", "Abrir Documento")</f>
        <v>0</v>
      </c>
      <c r="D3721" t="s">
        <v>23500</v>
      </c>
      <c r="E3721" t="s">
        <v>26906</v>
      </c>
    </row>
    <row r="3722" spans="1:5">
      <c r="A3722" t="s">
        <v>6</v>
      </c>
      <c r="B3722" t="s">
        <v>3727</v>
      </c>
      <c r="C3722">
        <f>HYPERLINK("C:\Users\franc\OneDrive\Documentos\MALENTIN KARIME\Rosa\CORPORACION ASISTENCIA JUDICIAL\MINUTAS POR CORREO\BORRADOR.doc", "Abrir Documento")</f>
        <v>0</v>
      </c>
      <c r="D3722" t="s">
        <v>23500</v>
      </c>
      <c r="E3722" t="s">
        <v>26907</v>
      </c>
    </row>
    <row r="3723" spans="1:5">
      <c r="A3723" t="s">
        <v>6</v>
      </c>
      <c r="B3723" t="s">
        <v>3728</v>
      </c>
      <c r="C3723">
        <f>HYPERLINK("C:\Users\franc\OneDrive\Documentos\MALENTIN KARIME\Rosa\CORPORACION ASISTENCIA JUDICIAL\MANDATOS JUDICIALES\Mandato grupo 2\ULISES ROJAS PEREIRA.doc", "Abrir Documento")</f>
        <v>0</v>
      </c>
      <c r="D3723" t="s">
        <v>23500</v>
      </c>
      <c r="E3723" t="s">
        <v>26908</v>
      </c>
    </row>
    <row r="3724" spans="1:5">
      <c r="A3724" t="s">
        <v>6</v>
      </c>
      <c r="B3724" t="s">
        <v>3729</v>
      </c>
      <c r="C3724">
        <f>HYPERLINK("C:\Users\franc\OneDrive\Documentos\MALENTIN KARIME\Rosa\CORPORACION ASISTENCIA JUDICIAL\MANDATOS JUDICIALES\Mandato grupo 2\MAT_8872098_6739535.pdf", "Abrir Documento")</f>
        <v>0</v>
      </c>
      <c r="D3724" t="s">
        <v>23501</v>
      </c>
      <c r="E3724" t="s">
        <v>26909</v>
      </c>
    </row>
    <row r="3725" spans="1:5">
      <c r="A3725" t="s">
        <v>6</v>
      </c>
      <c r="B3725" t="s">
        <v>3730</v>
      </c>
      <c r="C3725">
        <f>HYPERLINK("C:\Users\franc\OneDrive\Documentos\MALENTIN KARIME\Rosa\CORPORACION ASISTENCIA JUDICIAL\MANDATOS JUDICIALES\Mandato grupo 2\MARIA CORTES.doc", "Abrir Documento")</f>
        <v>0</v>
      </c>
      <c r="D3725" t="s">
        <v>23500</v>
      </c>
      <c r="E3725" t="s">
        <v>26910</v>
      </c>
    </row>
    <row r="3726" spans="1:5">
      <c r="A3726" t="s">
        <v>6</v>
      </c>
      <c r="B3726" t="s">
        <v>3731</v>
      </c>
      <c r="C3726">
        <f>HYPERLINK("C:\Users\franc\OneDrive\Documentos\MALENTIN KARIME\Rosa\CORPORACION ASISTENCIA JUDICIAL\MANDATOS JUDICIALES\Mandato grupo 2\LUIS CASTILLO.doc", "Abrir Documento")</f>
        <v>0</v>
      </c>
      <c r="D3726" t="s">
        <v>23500</v>
      </c>
      <c r="E3726" t="s">
        <v>26911</v>
      </c>
    </row>
    <row r="3727" spans="1:5">
      <c r="A3727" t="s">
        <v>6</v>
      </c>
      <c r="B3727" t="s">
        <v>3732</v>
      </c>
      <c r="C3727">
        <f>HYPERLINK("C:\Users\franc\OneDrive\Documentos\MALENTIN KARIME\Rosa\CORPORACION ASISTENCIA JUDICIAL\MANDATOS JUDICIALES\Mandato grupo 2\JONATHAN VARGAS.doc", "Abrir Documento")</f>
        <v>0</v>
      </c>
      <c r="D3727" t="s">
        <v>23500</v>
      </c>
      <c r="E3727" t="s">
        <v>26912</v>
      </c>
    </row>
    <row r="3728" spans="1:5">
      <c r="A3728" t="s">
        <v>6</v>
      </c>
      <c r="B3728" t="s">
        <v>3733</v>
      </c>
      <c r="C3728">
        <f>HYPERLINK("C:\Users\franc\OneDrive\Documentos\MALENTIN KARIME\Rosa\CORPORACION ASISTENCIA JUDICIAL\MANDATOS JUDICIALES\Mandato grupo 2\HUGO CASTILLO SOLAR.doc", "Abrir Documento")</f>
        <v>0</v>
      </c>
      <c r="D3728" t="s">
        <v>23500</v>
      </c>
      <c r="E3728" t="s">
        <v>26913</v>
      </c>
    </row>
    <row r="3729" spans="1:5">
      <c r="A3729" t="s">
        <v>6</v>
      </c>
      <c r="B3729" t="s">
        <v>3734</v>
      </c>
      <c r="C3729">
        <f>HYPERLINK("C:\Users\franc\OneDrive\Documentos\MALENTIN KARIME\Rosa\CORPORACION ASISTENCIA JUDICIAL\MANDATOS JUDICIALES\Mandato grupo 2\GERMAN SOLAR.doc", "Abrir Documento")</f>
        <v>0</v>
      </c>
      <c r="D3729" t="s">
        <v>23500</v>
      </c>
      <c r="E3729" t="s">
        <v>26914</v>
      </c>
    </row>
    <row r="3730" spans="1:5">
      <c r="A3730" t="s">
        <v>6</v>
      </c>
      <c r="B3730" t="s">
        <v>3735</v>
      </c>
      <c r="C3730">
        <f>HYPERLINK("C:\Users\franc\OneDrive\Documentos\MALENTIN KARIME\Rosa\CORPORACION ASISTENCIA JUDICIAL\MANDATOS JUDICIALES\Mandato grupo 2\DANIEL CARVAJAL.doc", "Abrir Documento")</f>
        <v>0</v>
      </c>
      <c r="D3730" t="s">
        <v>23500</v>
      </c>
      <c r="E3730" t="s">
        <v>26915</v>
      </c>
    </row>
    <row r="3731" spans="1:5">
      <c r="A3731" t="s">
        <v>6</v>
      </c>
      <c r="B3731" t="s">
        <v>3736</v>
      </c>
      <c r="C3731">
        <f>HYPERLINK("C:\Users\franc\OneDrive\Documentos\MALENTIN KARIME\Rosa\CORPORACION ASISTENCIA JUDICIAL\MANDATOS JUDICIALES\Mandato grupo 2\ALBERTO ANGEL.doc", "Abrir Documento")</f>
        <v>0</v>
      </c>
      <c r="D3731" t="s">
        <v>23500</v>
      </c>
      <c r="E3731" t="s">
        <v>26916</v>
      </c>
    </row>
    <row r="3732" spans="1:5">
      <c r="A3732" t="s">
        <v>6</v>
      </c>
      <c r="B3732" t="s">
        <v>3737</v>
      </c>
      <c r="C3732">
        <f>HYPERLINK("C:\Users\franc\OneDrive\Documentos\MALENTIN KARIME\Rosa\CORPORACION ASISTENCIA JUDICIAL\MANDATOS JUDICIALES\SANDRO ARAYA.doc", "Abrir Documento")</f>
        <v>0</v>
      </c>
      <c r="D3732" t="s">
        <v>23500</v>
      </c>
      <c r="E3732" t="s">
        <v>26917</v>
      </c>
    </row>
    <row r="3733" spans="1:5">
      <c r="A3733" t="s">
        <v>6</v>
      </c>
      <c r="B3733" t="s">
        <v>3738</v>
      </c>
      <c r="C3733">
        <f>HYPERLINK("C:\Users\franc\OneDrive\Documentos\MALENTIN KARIME\Rosa\CORPORACION ASISTENCIA JUDICIAL\MANDATOS JUDICIALES\ROSA ROJAS TAPIA.doc", "Abrir Documento")</f>
        <v>0</v>
      </c>
      <c r="D3733" t="s">
        <v>23500</v>
      </c>
      <c r="E3733" t="s">
        <v>26918</v>
      </c>
    </row>
    <row r="3734" spans="1:5">
      <c r="A3734" t="s">
        <v>6</v>
      </c>
      <c r="B3734" t="s">
        <v>3739</v>
      </c>
      <c r="C3734">
        <f>HYPERLINK("C:\Users\franc\OneDrive\Documentos\MALENTIN KARIME\Rosa\CORPORACION ASISTENCIA JUDICIAL\MANDATOS JUDICIALES\OSCAR VARGAS.doc", "Abrir Documento")</f>
        <v>0</v>
      </c>
      <c r="D3734" t="s">
        <v>23500</v>
      </c>
      <c r="E3734" t="s">
        <v>26919</v>
      </c>
    </row>
    <row r="3735" spans="1:5">
      <c r="A3735" t="s">
        <v>6</v>
      </c>
      <c r="B3735" t="s">
        <v>3740</v>
      </c>
      <c r="C3735">
        <f>HYPERLINK("C:\Users\franc\OneDrive\Documentos\MALENTIN KARIME\Rosa\CORPORACION ASISTENCIA JUDICIAL\MANDATOS JUDICIALES\OLGA TRILLAR Y OTRO.doc", "Abrir Documento")</f>
        <v>0</v>
      </c>
      <c r="D3735" t="s">
        <v>23500</v>
      </c>
      <c r="E3735" t="s">
        <v>26920</v>
      </c>
    </row>
    <row r="3736" spans="1:5">
      <c r="A3736" t="s">
        <v>6</v>
      </c>
      <c r="B3736" t="s">
        <v>3741</v>
      </c>
      <c r="C3736">
        <f>HYPERLINK("C:\Users\franc\OneDrive\Documentos\MALENTIN KARIME\Rosa\CORPORACION ASISTENCIA JUDICIAL\MANDATOS JUDICIALES\NELSON VEGA ALVAREZ.doc", "Abrir Documento")</f>
        <v>0</v>
      </c>
      <c r="D3736" t="s">
        <v>23500</v>
      </c>
      <c r="E3736" t="s">
        <v>26921</v>
      </c>
    </row>
    <row r="3737" spans="1:5">
      <c r="A3737" t="s">
        <v>6</v>
      </c>
      <c r="B3737" t="s">
        <v>3742</v>
      </c>
      <c r="C3737">
        <f>HYPERLINK("C:\Users\franc\OneDrive\Documentos\MALENTIN KARIME\Rosa\CORPORACION ASISTENCIA JUDICIAL\MANDATOS JUDICIALES\MAXIMO CORTES.doc", "Abrir Documento")</f>
        <v>0</v>
      </c>
      <c r="D3737" t="s">
        <v>23500</v>
      </c>
      <c r="E3737" t="s">
        <v>26922</v>
      </c>
    </row>
    <row r="3738" spans="1:5">
      <c r="A3738" t="s">
        <v>6</v>
      </c>
      <c r="B3738" t="s">
        <v>3743</v>
      </c>
      <c r="C3738">
        <f>HYPERLINK("C:\Users\franc\OneDrive\Documentos\MALENTIN KARIME\Rosa\CORPORACION ASISTENCIA JUDICIAL\MANDATOS JUDICIALES\LIDIA RAMIREZ.doc", "Abrir Documento")</f>
        <v>0</v>
      </c>
      <c r="D3738" t="s">
        <v>23500</v>
      </c>
      <c r="E3738" t="s">
        <v>26923</v>
      </c>
    </row>
    <row r="3739" spans="1:5">
      <c r="A3739" t="s">
        <v>6</v>
      </c>
      <c r="B3739" t="s">
        <v>3744</v>
      </c>
      <c r="C3739">
        <f>HYPERLINK("C:\Users\franc\OneDrive\Documentos\MALENTIN KARIME\Rosa\CORPORACION ASISTENCIA JUDICIAL\MANDATOS JUDICIALES\JOSE GUERRERO.doc", "Abrir Documento")</f>
        <v>0</v>
      </c>
      <c r="D3739" t="s">
        <v>23500</v>
      </c>
      <c r="E3739" t="s">
        <v>26924</v>
      </c>
    </row>
    <row r="3740" spans="1:5">
      <c r="A3740" t="s">
        <v>6</v>
      </c>
      <c r="B3740" t="s">
        <v>3745</v>
      </c>
      <c r="C3740">
        <f>HYPERLINK("C:\Users\franc\OneDrive\Documentos\MALENTIN KARIME\Rosa\CORPORACION ASISTENCIA JUDICIAL\MANDATOS JUDICIALES\LEONOR BUGUEÑO.doc", "Abrir Documento")</f>
        <v>0</v>
      </c>
      <c r="D3740" t="s">
        <v>23500</v>
      </c>
      <c r="E3740" t="s">
        <v>26924</v>
      </c>
    </row>
    <row r="3741" spans="1:5">
      <c r="A3741" t="s">
        <v>6</v>
      </c>
      <c r="B3741" t="s">
        <v>3746</v>
      </c>
      <c r="C3741">
        <f>HYPERLINK("C:\Users\franc\OneDrive\Documentos\MALENTIN KARIME\Rosa\CORPORACION ASISTENCIA JUDICIAL\MANDATOS JUDICIALES\JOSE CORTES-CECILIA MORALES.doc", "Abrir Documento")</f>
        <v>0</v>
      </c>
      <c r="D3741" t="s">
        <v>23500</v>
      </c>
      <c r="E3741" t="s">
        <v>26925</v>
      </c>
    </row>
    <row r="3742" spans="1:5">
      <c r="A3742" t="s">
        <v>6</v>
      </c>
      <c r="B3742" t="s">
        <v>3747</v>
      </c>
      <c r="C3742">
        <f>HYPERLINK("C:\Users\franc\OneDrive\Documentos\MALENTIN KARIME\Rosa\CORPORACION ASISTENCIA JUDICIAL\MANDATOS JUDICIALES\JORGE MARIN ROJAS.doc", "Abrir Documento")</f>
        <v>0</v>
      </c>
      <c r="D3742" t="s">
        <v>23500</v>
      </c>
      <c r="E3742" t="s">
        <v>26926</v>
      </c>
    </row>
    <row r="3743" spans="1:5">
      <c r="A3743" t="s">
        <v>6</v>
      </c>
      <c r="B3743" t="s">
        <v>3748</v>
      </c>
      <c r="C3743">
        <f>HYPERLINK("C:\Users\franc\OneDrive\Documentos\MALENTIN KARIME\Rosa\CORPORACION ASISTENCIA JUDICIAL\MANDATOS JUDICIALES\JESSICA GONZALEZ.doc", "Abrir Documento")</f>
        <v>0</v>
      </c>
      <c r="D3743" t="s">
        <v>23500</v>
      </c>
      <c r="E3743" t="s">
        <v>26927</v>
      </c>
    </row>
    <row r="3744" spans="1:5">
      <c r="A3744" t="s">
        <v>6</v>
      </c>
      <c r="B3744" t="s">
        <v>3749</v>
      </c>
      <c r="C3744">
        <f>HYPERLINK("C:\Users\franc\OneDrive\Documentos\MALENTIN KARIME\Rosa\CORPORACION ASISTENCIA JUDICIAL\MANDATOS JUDICIALES\jesenia sin previlegio.doc", "Abrir Documento")</f>
        <v>0</v>
      </c>
      <c r="D3744" t="s">
        <v>23500</v>
      </c>
      <c r="E3744" t="s">
        <v>26928</v>
      </c>
    </row>
    <row r="3745" spans="1:5">
      <c r="A3745" t="s">
        <v>6</v>
      </c>
      <c r="B3745" t="s">
        <v>3750</v>
      </c>
      <c r="C3745">
        <f>HYPERLINK("C:\Users\franc\OneDrive\Documentos\MALENTIN KARIME\Rosa\CORPORACION ASISTENCIA JUDICIAL\MANDATOS JUDICIALES\FRANCISCO CORTES AVALOS.doc", "Abrir Documento")</f>
        <v>0</v>
      </c>
      <c r="D3745" t="s">
        <v>23500</v>
      </c>
      <c r="E3745" t="s">
        <v>26929</v>
      </c>
    </row>
    <row r="3746" spans="1:5">
      <c r="A3746" t="s">
        <v>6</v>
      </c>
      <c r="B3746" t="s">
        <v>3751</v>
      </c>
      <c r="C3746">
        <f>HYPERLINK("C:\Users\franc\OneDrive\Documentos\MALENTIN KARIME\Rosa\CORPORACION ASISTENCIA JUDICIAL\MANDATOS JUDICIALES\JENNY IRARRAZABAL MUÑOZ.doc", "Abrir Documento")</f>
        <v>0</v>
      </c>
      <c r="D3746" t="s">
        <v>23500</v>
      </c>
      <c r="E3746" t="s">
        <v>26929</v>
      </c>
    </row>
    <row r="3747" spans="1:5">
      <c r="A3747" t="s">
        <v>6</v>
      </c>
      <c r="B3747" t="s">
        <v>3752</v>
      </c>
      <c r="C3747">
        <f>HYPERLINK("C:\Users\franc\OneDrive\Documentos\MALENTIN KARIME\Rosa\CORPORACION ASISTENCIA JUDICIAL\MANDATOS JUDICIALES\FRANCISCO CORTES ARAYA.doc", "Abrir Documento")</f>
        <v>0</v>
      </c>
      <c r="D3747" t="s">
        <v>23500</v>
      </c>
      <c r="E3747" t="s">
        <v>26930</v>
      </c>
    </row>
    <row r="3748" spans="1:5">
      <c r="A3748" t="s">
        <v>6</v>
      </c>
      <c r="B3748" t="s">
        <v>3753</v>
      </c>
      <c r="C3748">
        <f>HYPERLINK("C:\Users\franc\OneDrive\Documentos\MALENTIN KARIME\Rosa\CORPORACION ASISTENCIA JUDICIAL\MANDATOS JUDICIALES\FRANCISCO AVALOS.doc", "Abrir Documento")</f>
        <v>0</v>
      </c>
      <c r="D3748" t="s">
        <v>23500</v>
      </c>
      <c r="E3748" t="s">
        <v>26931</v>
      </c>
    </row>
    <row r="3749" spans="1:5">
      <c r="A3749" t="s">
        <v>6</v>
      </c>
      <c r="B3749" t="s">
        <v>3754</v>
      </c>
      <c r="C3749">
        <f>HYPERLINK("C:\Users\franc\OneDrive\Documentos\MALENTIN KARIME\Rosa\CORPORACION ASISTENCIA JUDICIAL\MANDATOS JUDICIALES\EMILIA CASTILLO TAPIA.doc", "Abrir Documento")</f>
        <v>0</v>
      </c>
      <c r="D3749" t="s">
        <v>23500</v>
      </c>
      <c r="E3749" t="s">
        <v>26932</v>
      </c>
    </row>
    <row r="3750" spans="1:5">
      <c r="A3750" t="s">
        <v>6</v>
      </c>
      <c r="B3750" t="s">
        <v>3755</v>
      </c>
      <c r="C3750">
        <f>HYPERLINK("C:\Users\franc\OneDrive\Documentos\MALENTIN KARIME\Rosa\CORPORACION ASISTENCIA JUDICIAL\MANDATOS JUDICIALES\CLAUDIO IRARRAZABAL.doc", "Abrir Documento")</f>
        <v>0</v>
      </c>
      <c r="D3750" t="s">
        <v>23500</v>
      </c>
      <c r="E3750" t="s">
        <v>26933</v>
      </c>
    </row>
    <row r="3751" spans="1:5">
      <c r="A3751" t="s">
        <v>6</v>
      </c>
      <c r="B3751" t="s">
        <v>3756</v>
      </c>
      <c r="C3751">
        <f>HYPERLINK("C:\Users\franc\OneDrive\Documentos\MALENTIN KARIME\Rosa\CORPORACION ASISTENCIA JUDICIAL\MANDATOS JUDICIALES\CLAUDIA DUBO BUGUEÑO.doc", "Abrir Documento")</f>
        <v>0</v>
      </c>
      <c r="D3751" t="s">
        <v>23500</v>
      </c>
      <c r="E3751" t="s">
        <v>26934</v>
      </c>
    </row>
    <row r="3752" spans="1:5">
      <c r="A3752" t="s">
        <v>6</v>
      </c>
      <c r="B3752" t="s">
        <v>3757</v>
      </c>
      <c r="C3752">
        <f>HYPERLINK("C:\Users\franc\OneDrive\Documentos\MALENTIN KARIME\Rosa\CORPORACION ASISTENCIA JUDICIAL\MANDATOS JUDICIALES\carlos velasquez miranda.doc", "Abrir Documento")</f>
        <v>0</v>
      </c>
      <c r="D3752" t="s">
        <v>23500</v>
      </c>
      <c r="E3752" t="s">
        <v>26935</v>
      </c>
    </row>
    <row r="3753" spans="1:5">
      <c r="A3753" t="s">
        <v>6</v>
      </c>
      <c r="B3753" t="s">
        <v>3758</v>
      </c>
      <c r="C3753">
        <f>HYPERLINK("C:\Users\franc\OneDrive\Documentos\MALENTIN KARIME\Rosa\CORPORACION ASISTENCIA JUDICIAL\MANDATOS JUDICIALES\AMADIEL ARAYA ARAYA.doc", "Abrir Documento")</f>
        <v>0</v>
      </c>
      <c r="D3753" t="s">
        <v>23500</v>
      </c>
      <c r="E3753" t="s">
        <v>26936</v>
      </c>
    </row>
    <row r="3754" spans="1:5">
      <c r="A3754" t="s">
        <v>6</v>
      </c>
      <c r="B3754" t="s">
        <v>3759</v>
      </c>
      <c r="C3754">
        <f>HYPERLINK("C:\Users\franc\OneDrive\Documentos\MALENTIN KARIME\Rosa\CORPORACION ASISTENCIA JUDICIAL\LIQUIDACION SOCIEDAD CONYUGAL\AMERICA ARQUEROS LORCA.doc", "Abrir Documento")</f>
        <v>0</v>
      </c>
      <c r="D3754" t="s">
        <v>23500</v>
      </c>
      <c r="E3754" t="s">
        <v>26937</v>
      </c>
    </row>
    <row r="3755" spans="1:5">
      <c r="A3755" t="s">
        <v>6</v>
      </c>
      <c r="B3755" t="s">
        <v>3760</v>
      </c>
      <c r="C3755">
        <f>HYPERLINK("C:\Users\franc\OneDrive\Documentos\MALENTIN KARIME\Rosa\CORPORACION ASISTENCIA JUDICIAL\COMPLEMENTACION\COMPLEMENTACION AMERICA ARQUEROS.doc", "Abrir Documento")</f>
        <v>0</v>
      </c>
      <c r="D3755" t="s">
        <v>23500</v>
      </c>
      <c r="E3755" t="s">
        <v>26938</v>
      </c>
    </row>
    <row r="3756" spans="1:5">
      <c r="A3756" t="s">
        <v>6</v>
      </c>
      <c r="B3756" t="s">
        <v>3761</v>
      </c>
      <c r="C3756">
        <f>HYPERLINK("C:\Users\franc\OneDrive\Documentos\MALENTIN KARIME\Rosa\CORPORACION ASISTENCIA JUDICIAL\ACLARACIONES\ACLARACION AGUSTIN CORTES- MARIA LEIVA.doc", "Abrir Documento")</f>
        <v>0</v>
      </c>
      <c r="D3756" t="s">
        <v>23500</v>
      </c>
      <c r="E3756" t="s">
        <v>26939</v>
      </c>
    </row>
    <row r="3757" spans="1:5">
      <c r="A3757" t="s">
        <v>6</v>
      </c>
      <c r="B3757" t="s">
        <v>3762</v>
      </c>
      <c r="C3757">
        <f>HYPERLINK("C:\Users\franc\OneDrive\Documentos\MALENTIN KARIME\Rosa\CORPORACION ASISTENCIA JUDICIAL\ACLARACIONES\ACLARACION NANCY LABARCA.doc", "Abrir Documento")</f>
        <v>0</v>
      </c>
      <c r="D3757" t="s">
        <v>23500</v>
      </c>
      <c r="E3757" t="s">
        <v>26939</v>
      </c>
    </row>
    <row r="3758" spans="1:5">
      <c r="A3758" t="s">
        <v>6</v>
      </c>
      <c r="B3758" t="s">
        <v>3763</v>
      </c>
      <c r="C3758">
        <f>HYPERLINK("C:\Users\franc\OneDrive\Documentos\MALENTIN KARIME\Rosa\CONTRATOS DE USUFRUCTO\CONTRATO HUATULAME.doc", "Abrir Documento")</f>
        <v>0</v>
      </c>
      <c r="D3758" t="s">
        <v>23500</v>
      </c>
      <c r="E3758" t="s">
        <v>26940</v>
      </c>
    </row>
    <row r="3759" spans="1:5">
      <c r="A3759" t="s">
        <v>6</v>
      </c>
      <c r="B3759" t="s">
        <v>3764</v>
      </c>
      <c r="C3759">
        <f>HYPERLINK("C:\Users\franc\OneDrive\Documentos\MALENTIN KARIME\Rosa\CONTRATOS DE USUFRUCTO\Cº HUATULAME REV (1).doc", "Abrir Documento")</f>
        <v>0</v>
      </c>
      <c r="D3759" t="s">
        <v>23500</v>
      </c>
      <c r="E3759" t="s">
        <v>26940</v>
      </c>
    </row>
    <row r="3760" spans="1:5">
      <c r="A3760" t="s">
        <v>6</v>
      </c>
      <c r="B3760" t="s">
        <v>3765</v>
      </c>
      <c r="C3760">
        <f>HYPERLINK("C:\Users\franc\OneDrive\Documentos\MALENTIN KARIME\Rosa\CONTRATOS DE USUFRUCTO\CONTRATO DE USUFRUCTO SAMUEL ROJO punitaqui final.doc", "Abrir Documento")</f>
        <v>0</v>
      </c>
      <c r="D3760" t="s">
        <v>23500</v>
      </c>
      <c r="E3760" t="s">
        <v>26941</v>
      </c>
    </row>
    <row r="3761" spans="1:5">
      <c r="A3761" t="s">
        <v>6</v>
      </c>
      <c r="B3761" t="s">
        <v>3766</v>
      </c>
      <c r="C3761">
        <f>HYPERLINK("C:\Users\franc\OneDrive\Documentos\MALENTIN KARIME\Rosa\CONTRATOS DE USUFRUCTO\CONTRATO DE USUFRUCTO SAMUEL ROJO monte patria final.doc", "Abrir Documento")</f>
        <v>0</v>
      </c>
      <c r="D3761" t="s">
        <v>23500</v>
      </c>
      <c r="E3761" t="s">
        <v>26942</v>
      </c>
    </row>
    <row r="3762" spans="1:5">
      <c r="A3762" t="s">
        <v>6</v>
      </c>
      <c r="B3762" t="s">
        <v>3767</v>
      </c>
      <c r="C3762">
        <f>HYPERLINK("C:\Users\franc\OneDrive\Documentos\MALENTIN KARIME\Rosa\COMPRAVENTA VEHICULO\COMPRAVENTA DE VEHICULO.doc", "Abrir Documento")</f>
        <v>0</v>
      </c>
      <c r="D3762" t="s">
        <v>23500</v>
      </c>
      <c r="E3762" t="s">
        <v>26943</v>
      </c>
    </row>
    <row r="3763" spans="1:5">
      <c r="A3763" t="s">
        <v>6</v>
      </c>
      <c r="B3763" t="s">
        <v>3768</v>
      </c>
      <c r="C3763">
        <f>HYPERLINK("C:\Users\franc\OneDrive\Documentos\MALENTIN KARIME\Rosa\COMPRAVENTA DERECHOS TIERRA Y AGUAS\RAMON PALTA A Leonides corte.doc", "Abrir Documento")</f>
        <v>0</v>
      </c>
      <c r="D3763" t="s">
        <v>23500</v>
      </c>
      <c r="E3763" t="s">
        <v>26944</v>
      </c>
    </row>
    <row r="3764" spans="1:5">
      <c r="A3764" t="s">
        <v>6</v>
      </c>
      <c r="B3764" t="s">
        <v>3769</v>
      </c>
      <c r="C3764">
        <f>HYPERLINK("C:\Users\franc\OneDrive\Documentos\MALENTIN KARIME\Rosa\COMPRAVENTA DERECHOS TIERRA Y AGUAS\Copia de MODELO CV. DRCHOS. Tierra y aguas.doc", "Abrir Documento")</f>
        <v>0</v>
      </c>
      <c r="D3764" t="s">
        <v>23500</v>
      </c>
      <c r="E3764" t="s">
        <v>26945</v>
      </c>
    </row>
    <row r="3765" spans="1:5">
      <c r="A3765" t="s">
        <v>6</v>
      </c>
      <c r="B3765" t="s">
        <v>3770</v>
      </c>
      <c r="C3765">
        <f>HYPERLINK("C:\Users\franc\OneDrive\Documentos\MALENTIN KARIME\Rosa\COMPRAVENTA DERECHOS TIERRA Y AGUAS\ALFONSO CARVAJAL - LIDIA CARVAJAL.doc", "Abrir Documento")</f>
        <v>0</v>
      </c>
      <c r="D3765" t="s">
        <v>23500</v>
      </c>
      <c r="E3765" t="s">
        <v>26946</v>
      </c>
    </row>
    <row r="3766" spans="1:5">
      <c r="A3766" t="s">
        <v>6</v>
      </c>
      <c r="B3766" t="s">
        <v>3771</v>
      </c>
      <c r="C3766">
        <f>HYPERLINK("C:\Users\franc\OneDrive\Documentos\MALENTIN KARIME\Rosa\COMPRAVENTA DERECHOS DE AGUA\compraventa  VEGA JULIO- VEGA VELAZQUEZ.doc", "Abrir Documento")</f>
        <v>0</v>
      </c>
      <c r="D3766" t="s">
        <v>23500</v>
      </c>
      <c r="E3766" t="s">
        <v>26947</v>
      </c>
    </row>
    <row r="3767" spans="1:5">
      <c r="A3767" t="s">
        <v>6</v>
      </c>
      <c r="B3767" t="s">
        <v>3772</v>
      </c>
      <c r="C3767">
        <f>HYPERLINK("C:\Users\franc\OneDrive\Documentos\MALENTIN KARIME\Rosa\COMPRAVENTA DERECHOS DE AGUA\COMPRAVENTA JULIO    ROBERTO VEGA.doc", "Abrir Documento")</f>
        <v>0</v>
      </c>
      <c r="D3767" t="s">
        <v>23500</v>
      </c>
      <c r="E3767" t="s">
        <v>26947</v>
      </c>
    </row>
    <row r="3768" spans="1:5">
      <c r="A3768" t="s">
        <v>6</v>
      </c>
      <c r="B3768" t="s">
        <v>3773</v>
      </c>
      <c r="C3768">
        <f>HYPERLINK("C:\Users\franc\OneDrive\Documentos\MALENTIN KARIME\Rosa\COMPRAVENTA DERECHOS\RAFAEL LOPEZ a nieto menor de edad.doc", "Abrir Documento")</f>
        <v>0</v>
      </c>
      <c r="D3768" t="s">
        <v>23500</v>
      </c>
      <c r="E3768" t="s">
        <v>26948</v>
      </c>
    </row>
    <row r="3769" spans="1:5">
      <c r="A3769" t="s">
        <v>6</v>
      </c>
      <c r="B3769" t="s">
        <v>3774</v>
      </c>
      <c r="C3769">
        <f>HYPERLINK("C:\Users\franc\OneDrive\Documentos\MALENTIN KARIME\Rosa\COMPRAVENTA CON USUFRUCTO\norma a celia.doc", "Abrir Documento")</f>
        <v>0</v>
      </c>
      <c r="D3769" t="s">
        <v>23500</v>
      </c>
      <c r="E3769" t="s">
        <v>26949</v>
      </c>
    </row>
    <row r="3770" spans="1:5">
      <c r="A3770" t="s">
        <v>6</v>
      </c>
      <c r="B3770" t="s">
        <v>3775</v>
      </c>
      <c r="C3770">
        <f>HYPERLINK("C:\Users\franc\OneDrive\Documentos\MALENTIN KARIME\Rosa\COMPRAVENTA DERECHOS\GABRIELA ALVARADO A ISABEL ALVARADO.doc", "Abrir Documento")</f>
        <v>0</v>
      </c>
      <c r="D3770" t="s">
        <v>23500</v>
      </c>
      <c r="E3770" t="s">
        <v>26949</v>
      </c>
    </row>
    <row r="3771" spans="1:5">
      <c r="A3771" t="s">
        <v>6</v>
      </c>
      <c r="B3771" t="s">
        <v>3776</v>
      </c>
      <c r="C3771">
        <f>HYPERLINK("C:\Users\franc\OneDrive\Documentos\MALENTIN KARIME\Rosa\COMPRAVENTA CON USUFRUCTO\JUANA RODRIGUEZ - ESPOSO A  MANUEL ALUCEMA.doc", "Abrir Documento")</f>
        <v>0</v>
      </c>
      <c r="D3771" t="s">
        <v>23500</v>
      </c>
      <c r="E3771" t="s">
        <v>26950</v>
      </c>
    </row>
    <row r="3772" spans="1:5">
      <c r="A3772" t="s">
        <v>6</v>
      </c>
      <c r="B3772" t="s">
        <v>3777</v>
      </c>
      <c r="C3772">
        <f>HYPERLINK("C:\Users\franc\OneDrive\Documentos\MALENTIN KARIME\Rosa\COMPRAVENTA CON USUFRUCTO\EDMUNDO ARAYA Y CONYUGE A GILBERTO TABILOCON USUFRUCTO.doc", "Abrir Documento")</f>
        <v>0</v>
      </c>
      <c r="D3772" t="s">
        <v>23500</v>
      </c>
      <c r="E3772" t="s">
        <v>26951</v>
      </c>
    </row>
    <row r="3773" spans="1:5">
      <c r="A3773" t="s">
        <v>6</v>
      </c>
      <c r="B3773" t="s">
        <v>3778</v>
      </c>
      <c r="C3773">
        <f>HYPERLINK("C:\Users\franc\OneDrive\Documentos\MALENTIN KARIME\Rosa\COMPRAVENTA BIEN RAIZ\ARISMENIA ROJAS\ARISMENIA ROJAS p.p. MARCELO LEDEZMA.doc", "Abrir Documento")</f>
        <v>0</v>
      </c>
      <c r="D3773" t="s">
        <v>23500</v>
      </c>
      <c r="E3773" t="s">
        <v>26952</v>
      </c>
    </row>
    <row r="3774" spans="1:5">
      <c r="A3774" t="s">
        <v>6</v>
      </c>
      <c r="B3774" t="s">
        <v>3779</v>
      </c>
      <c r="C3774">
        <f>HYPERLINK("C:\Users\franc\OneDrive\Documentos\MALENTIN KARIME\Rosa\COMPRAVENTA BIEN RAIZ\ARISMENIA ROJAS\CARTA ALZAMIENTO.doc", "Abrir Documento")</f>
        <v>0</v>
      </c>
      <c r="D3774" t="s">
        <v>23500</v>
      </c>
      <c r="E3774" t="s">
        <v>26952</v>
      </c>
    </row>
    <row r="3775" spans="1:5">
      <c r="A3775" t="s">
        <v>6</v>
      </c>
      <c r="B3775" t="s">
        <v>3780</v>
      </c>
      <c r="C3775">
        <f>HYPERLINK("C:\Users\franc\OneDrive\Documentos\MALENTIN KARIME\Rosa\COMPRAVENTA BIEN RAIZ\ARISMENIA ROJAS\ARISMENIA DEL C. ROJAS p.c.v. Cert. Medico.doc", "Abrir Documento")</f>
        <v>0</v>
      </c>
      <c r="D3775" t="s">
        <v>23500</v>
      </c>
      <c r="E3775" t="s">
        <v>26953</v>
      </c>
    </row>
    <row r="3776" spans="1:5">
      <c r="A3776" t="s">
        <v>6</v>
      </c>
      <c r="B3776" t="s">
        <v>3781</v>
      </c>
      <c r="C3776">
        <f>HYPERLINK("C:\Users\franc\OneDrive\Documentos\MALENTIN KARIME\Rosa\COMPRAVENTA BIEN RAIZ\ARISMENIA ROJAS\ARISMENIA DEL CARMEN ROJAS +.doc", "Abrir Documento")</f>
        <v>0</v>
      </c>
      <c r="D3776" t="s">
        <v>23500</v>
      </c>
      <c r="E3776" t="s">
        <v>26953</v>
      </c>
    </row>
    <row r="3777" spans="1:5">
      <c r="A3777" t="s">
        <v>6</v>
      </c>
      <c r="B3777" t="s">
        <v>3782</v>
      </c>
      <c r="C3777">
        <f>HYPERLINK("C:\Users\franc\OneDrive\Documentos\MALENTIN KARIME\Rosa\COMPRAVENTA BIEN RAIZ\WALDO ANTONIO RAMIREZ GONZALEZ.doc", "Abrir Documento")</f>
        <v>0</v>
      </c>
      <c r="D3777" t="s">
        <v>23500</v>
      </c>
      <c r="E3777" t="s">
        <v>26954</v>
      </c>
    </row>
    <row r="3778" spans="1:5">
      <c r="A3778" t="s">
        <v>6</v>
      </c>
      <c r="B3778" t="s">
        <v>3783</v>
      </c>
      <c r="C3778">
        <f>HYPERLINK("C:\Users\franc\OneDrive\Documentos\MALENTIN KARIME\Rosa\COMPRAVENTA BIEN RAIZ\WALDO RAMIREZ GONZALEZ.doc", "Abrir Documento")</f>
        <v>0</v>
      </c>
      <c r="D3778" t="s">
        <v>23500</v>
      </c>
      <c r="E3778" t="s">
        <v>26954</v>
      </c>
    </row>
    <row r="3779" spans="1:5">
      <c r="A3779" t="s">
        <v>6</v>
      </c>
      <c r="B3779" t="s">
        <v>3784</v>
      </c>
      <c r="C3779">
        <f>HYPERLINK("C:\Users\franc\OneDrive\Documentos\MALENTIN KARIME\Rosa\COMPRAVENTA BIEN RAIZ\TOMAS JOPIA RODRIGUEZ A MARIO TORO Y OTRO.doc", "Abrir Documento")</f>
        <v>0</v>
      </c>
      <c r="D3779" t="s">
        <v>23500</v>
      </c>
      <c r="E3779" t="s">
        <v>26955</v>
      </c>
    </row>
    <row r="3780" spans="1:5">
      <c r="A3780" t="s">
        <v>6</v>
      </c>
      <c r="B3780" t="s">
        <v>3785</v>
      </c>
      <c r="C3780">
        <f>HYPERLINK("C:\Users\franc\OneDrive\Documentos\MALENTIN KARIME\Rosa\COMPRAVENTA BIEN RAIZ\TRANSITO CASTILLO A PAULINO YAÑEZ aut. cónyuge.doc", "Abrir Documento")</f>
        <v>0</v>
      </c>
      <c r="D3780" t="s">
        <v>23500</v>
      </c>
      <c r="E3780" t="s">
        <v>26955</v>
      </c>
    </row>
    <row r="3781" spans="1:5">
      <c r="A3781" t="s">
        <v>6</v>
      </c>
      <c r="B3781" t="s">
        <v>3786</v>
      </c>
      <c r="C3781">
        <f>HYPERLINK("C:\Users\franc\OneDrive\Documentos\MALENTIN KARIME\Rosa\COMPRAVENTA BIEN RAIZ\RICARDO ACUÑA A YANINA TAPIA PROHIBICION LEGAL-AUTORIZACION CONYUGAL.doc", "Abrir Documento")</f>
        <v>0</v>
      </c>
      <c r="D3781" t="s">
        <v>23500</v>
      </c>
      <c r="E3781" t="s">
        <v>26956</v>
      </c>
    </row>
    <row r="3782" spans="1:5">
      <c r="A3782" t="s">
        <v>6</v>
      </c>
      <c r="B3782" t="s">
        <v>3787</v>
      </c>
      <c r="C3782">
        <f>HYPERLINK("C:\Users\franc\OneDrive\Documentos\MALENTIN KARIME\Rosa\COMPRAVENTA BIEN RAIZ\SERGIO CASTILLO A NAHIR BUGUEÑO.doc", "Abrir Documento")</f>
        <v>0</v>
      </c>
      <c r="D3782" t="s">
        <v>23500</v>
      </c>
      <c r="E3782" t="s">
        <v>26956</v>
      </c>
    </row>
    <row r="3783" spans="1:5">
      <c r="A3783" t="s">
        <v>6</v>
      </c>
      <c r="B3783" t="s">
        <v>3788</v>
      </c>
      <c r="C3783">
        <f>HYPERLINK("C:\Users\franc\OneDrive\Documentos\MALENTIN KARIME\Rosa\COMPRAVENTA BIEN RAIZ\PAGARE ANA CASTILLO CABEZAS.doc", "Abrir Documento")</f>
        <v>0</v>
      </c>
      <c r="D3783" t="s">
        <v>23500</v>
      </c>
      <c r="E3783" t="s">
        <v>26957</v>
      </c>
    </row>
    <row r="3784" spans="1:5">
      <c r="A3784" t="s">
        <v>6</v>
      </c>
      <c r="B3784" t="s">
        <v>3789</v>
      </c>
      <c r="C3784">
        <f>HYPERLINK("C:\Users\franc\OneDrive\Documentos\MALENTIN KARIME\Rosa\COMPRAVENTA BIEN RAIZ\PASCUALA ALFARO (CON CONYUGE) A NOELFA CASTILLO.doc", "Abrir Documento")</f>
        <v>0</v>
      </c>
      <c r="D3784" t="s">
        <v>23500</v>
      </c>
      <c r="E3784" t="s">
        <v>26957</v>
      </c>
    </row>
    <row r="3785" spans="1:5">
      <c r="A3785" t="s">
        <v>6</v>
      </c>
      <c r="B3785" t="s">
        <v>3790</v>
      </c>
      <c r="C3785">
        <f>HYPERLINK("C:\Users\franc\OneDrive\Documentos\MALENTIN KARIME\Rosa\COMPRAVENTA BIEN RAIZ\OLIVIA ALZAMORA A NESTINA TAPIA p.p. y art. 150.doc", "Abrir Documento")</f>
        <v>0</v>
      </c>
      <c r="D3785" t="s">
        <v>23500</v>
      </c>
      <c r="E3785" t="s">
        <v>26958</v>
      </c>
    </row>
    <row r="3786" spans="1:5">
      <c r="A3786" t="s">
        <v>6</v>
      </c>
      <c r="B3786" t="s">
        <v>3791</v>
      </c>
      <c r="C3786">
        <f>HYPERLINK("C:\Users\franc\OneDrive\Documentos\MALENTIN KARIME\Rosa\COMPRAVENTA BIEN RAIZ\NORA MANQUE A WILLIAM GOMEZ.doc", "Abrir Documento")</f>
        <v>0</v>
      </c>
      <c r="D3786" t="s">
        <v>23500</v>
      </c>
      <c r="E3786" t="s">
        <v>26959</v>
      </c>
    </row>
    <row r="3787" spans="1:5">
      <c r="A3787" t="s">
        <v>6</v>
      </c>
      <c r="B3787" t="s">
        <v>3792</v>
      </c>
      <c r="C3787">
        <f>HYPERLINK("C:\Users\franc\OneDrive\Documentos\MALENTIN KARIME\Rosa\COMPRAVENTA BIEN RAIZ\NORMA ALQUINTA A CELIA CARVAJAL.doc", "Abrir Documento")</f>
        <v>0</v>
      </c>
      <c r="D3787" t="s">
        <v>23500</v>
      </c>
      <c r="E3787" t="s">
        <v>26959</v>
      </c>
    </row>
    <row r="3788" spans="1:5">
      <c r="A3788" t="s">
        <v>6</v>
      </c>
      <c r="B3788" t="s">
        <v>3793</v>
      </c>
      <c r="C3788">
        <f>HYPERLINK("C:\Users\franc\OneDrive\Documentos\MALENTIN KARIME\Rosa\COMPRAVENTA BIEN RAIZ\NITZI ROJAS A SOC. AGRICOLA LAS PINTADAS LTDA..doc", "Abrir Documento")</f>
        <v>0</v>
      </c>
      <c r="D3788" t="s">
        <v>23500</v>
      </c>
      <c r="E3788" t="s">
        <v>26960</v>
      </c>
    </row>
    <row r="3789" spans="1:5">
      <c r="A3789" t="s">
        <v>6</v>
      </c>
      <c r="B3789" t="s">
        <v>3794</v>
      </c>
      <c r="C3789">
        <f>HYPERLINK("C:\Users\franc\OneDrive\Documentos\MALENTIN KARIME\Rosa\COMPRAVENTA BIEN RAIZ\MARITZA ADAROS A MARITZA GUTIERREZ.doc", "Abrir Documento")</f>
        <v>0</v>
      </c>
      <c r="D3789" t="s">
        <v>23500</v>
      </c>
      <c r="E3789" t="s">
        <v>26961</v>
      </c>
    </row>
    <row r="3790" spans="1:5">
      <c r="A3790" t="s">
        <v>6</v>
      </c>
      <c r="B3790" t="s">
        <v>3795</v>
      </c>
      <c r="C3790">
        <f>HYPERLINK("C:\Users\franc\OneDrive\Documentos\MALENTIN KARIME\Rosa\COMPRAVENTA BIEN RAIZ\MIGUEL LAGUNAS A CLUB ADULTO MAYOR 3 EDAD.doc", "Abrir Documento")</f>
        <v>0</v>
      </c>
      <c r="D3790" t="s">
        <v>23500</v>
      </c>
      <c r="E3790" t="s">
        <v>26961</v>
      </c>
    </row>
    <row r="3791" spans="1:5">
      <c r="A3791" t="s">
        <v>6</v>
      </c>
      <c r="B3791" t="s">
        <v>3796</v>
      </c>
      <c r="C3791">
        <f>HYPERLINK("C:\Users\franc\OneDrive\Documentos\MALENTIN KARIME\Rosa\COMPRAVENTA BIEN RAIZ\MARITZA ADAROS A MARITZA GUTIERREZ MINUTA.doc", "Abrir Documento")</f>
        <v>0</v>
      </c>
      <c r="D3791" t="s">
        <v>23500</v>
      </c>
      <c r="E3791" t="s">
        <v>26962</v>
      </c>
    </row>
    <row r="3792" spans="1:5">
      <c r="A3792" t="s">
        <v>6</v>
      </c>
      <c r="B3792" t="s">
        <v>3797</v>
      </c>
      <c r="C3792">
        <f>HYPERLINK("C:\Users\franc\OneDrive\Documentos\MALENTIN KARIME\Rosa\COMPRAVENTA BIEN RAIZ\MARIA INES RODRIGUEZ CON HIJO.- VILLA SAN LUIS.- ABRIL 2011.doc", "Abrir Documento")</f>
        <v>0</v>
      </c>
      <c r="D3792" t="s">
        <v>23500</v>
      </c>
      <c r="E3792" t="s">
        <v>26963</v>
      </c>
    </row>
    <row r="3793" spans="1:5">
      <c r="A3793" t="s">
        <v>6</v>
      </c>
      <c r="B3793" t="s">
        <v>3798</v>
      </c>
      <c r="C3793">
        <f>HYPERLINK("C:\Users\franc\OneDrive\Documentos\MALENTIN KARIME\Rosa\COMPRAVENTA BIEN RAIZ\MARIA FARFAN A DANITSA DIAZ PALACIOS.doc", "Abrir Documento")</f>
        <v>0</v>
      </c>
      <c r="D3793" t="s">
        <v>23500</v>
      </c>
      <c r="E3793" t="s">
        <v>26964</v>
      </c>
    </row>
    <row r="3794" spans="1:5">
      <c r="A3794" t="s">
        <v>6</v>
      </c>
      <c r="B3794" t="s">
        <v>3799</v>
      </c>
      <c r="C3794">
        <f>HYPERLINK("C:\Users\franc\OneDrive\Documentos\MALENTIN KARIME\Rosa\COMPRAVENTA BIEN RAIZ\LUZMIRA MORALES A MIRTA ASTUDILLO.doc", "Abrir Documento")</f>
        <v>0</v>
      </c>
      <c r="D3794" t="s">
        <v>23500</v>
      </c>
      <c r="E3794" t="s">
        <v>26965</v>
      </c>
    </row>
    <row r="3795" spans="1:5">
      <c r="A3795" t="s">
        <v>6</v>
      </c>
      <c r="B3795" t="s">
        <v>3800</v>
      </c>
      <c r="C3795">
        <f>HYPERLINK("C:\Users\franc\OneDrive\Documentos\MALENTIN KARIME\Rosa\COMPRAVENTA BIEN RAIZ\JUAN ARAYA FLORES A MARGARITA RODRIGUEZ.doc", "Abrir Documento")</f>
        <v>0</v>
      </c>
      <c r="D3795" t="s">
        <v>23500</v>
      </c>
      <c r="E3795" t="s">
        <v>26966</v>
      </c>
    </row>
    <row r="3796" spans="1:5">
      <c r="A3796" t="s">
        <v>6</v>
      </c>
      <c r="B3796" t="s">
        <v>3801</v>
      </c>
      <c r="C3796">
        <f>HYPERLINK("C:\Users\franc\OneDrive\Documentos\MALENTIN KARIME\Rosa\COMPRAVENTA BIEN RAIZ\LAUREANO RAMOS A GLADYS VELASQUEZ.doc", "Abrir Documento")</f>
        <v>0</v>
      </c>
      <c r="D3796" t="s">
        <v>23500</v>
      </c>
      <c r="E3796" t="s">
        <v>26966</v>
      </c>
    </row>
    <row r="3797" spans="1:5">
      <c r="A3797" t="s">
        <v>6</v>
      </c>
      <c r="B3797" t="s">
        <v>3802</v>
      </c>
      <c r="C3797">
        <f>HYPERLINK("C:\Users\franc\OneDrive\Documentos\MALENTIN KARIME\Rosa\COMPRAVENTA BIEN RAIZ\JENARA JINEL P.P. Y OTROS A GUILLERMO RODRIGUEZ.doc", "Abrir Documento")</f>
        <v>0</v>
      </c>
      <c r="D3797" t="s">
        <v>23500</v>
      </c>
      <c r="E3797" t="s">
        <v>26967</v>
      </c>
    </row>
    <row r="3798" spans="1:5">
      <c r="A3798" t="s">
        <v>6</v>
      </c>
      <c r="B3798" t="s">
        <v>3803</v>
      </c>
      <c r="C3798">
        <f>HYPERLINK("C:\Users\franc\OneDrive\Documentos\MALENTIN KARIME\Rosa\COMPRAVENTA BIEN RAIZ\INSTRUCCIONES Manuel Rojas Bernal.doc", "Abrir Documento")</f>
        <v>0</v>
      </c>
      <c r="D3798" t="s">
        <v>23500</v>
      </c>
      <c r="E3798" t="s">
        <v>26968</v>
      </c>
    </row>
    <row r="3799" spans="1:5">
      <c r="A3799" t="s">
        <v>6</v>
      </c>
      <c r="B3799" t="s">
        <v>3804</v>
      </c>
      <c r="C3799">
        <f>HYPERLINK("C:\Users\franc\OneDrive\Documentos\MALENTIN KARIME\Rosa\COMPRAVENTA BIEN RAIZ\GABRIEL ROJAS A NORA ROJAS ROJAS.doc", "Abrir Documento")</f>
        <v>0</v>
      </c>
      <c r="D3799" t="s">
        <v>23500</v>
      </c>
      <c r="E3799" t="s">
        <v>26969</v>
      </c>
    </row>
    <row r="3800" spans="1:5">
      <c r="A3800" t="s">
        <v>6</v>
      </c>
      <c r="B3800" t="s">
        <v>3805</v>
      </c>
      <c r="C3800">
        <f>HYPERLINK("C:\Users\franc\OneDrive\Documentos\MALENTIN KARIME\Rosa\COMPRAVENTA BIEN RAIZ\HUMBERTO GAHONA a HUMBERTO GAHONA MARN.doc", "Abrir Documento")</f>
        <v>0</v>
      </c>
      <c r="D3800" t="s">
        <v>23500</v>
      </c>
      <c r="E3800" t="s">
        <v>26969</v>
      </c>
    </row>
    <row r="3801" spans="1:5">
      <c r="A3801" t="s">
        <v>6</v>
      </c>
      <c r="B3801" t="s">
        <v>3806</v>
      </c>
      <c r="C3801">
        <f>HYPERLINK("C:\Users\franc\OneDrive\Documentos\MALENTIN KARIME\Rosa\COMPRAVENTA BIEN RAIZ\INSTRUCCIONES BELLSHAM.doc", "Abrir Documento")</f>
        <v>0</v>
      </c>
      <c r="D3801" t="s">
        <v>23500</v>
      </c>
      <c r="E3801" t="s">
        <v>26969</v>
      </c>
    </row>
    <row r="3802" spans="1:5">
      <c r="A3802" t="s">
        <v>6</v>
      </c>
      <c r="B3802" t="s">
        <v>3807</v>
      </c>
      <c r="C3802">
        <f>HYPERLINK("C:\Users\franc\OneDrive\Documentos\MALENTIN KARIME\Rosa\COMPRAVENTA BIEN RAIZ\FARID JACOB A CRISTIAN LOYOLA.doc", "Abrir Documento")</f>
        <v>0</v>
      </c>
      <c r="D3802" t="s">
        <v>23500</v>
      </c>
      <c r="E3802" t="s">
        <v>26970</v>
      </c>
    </row>
    <row r="3803" spans="1:5">
      <c r="A3803" t="s">
        <v>6</v>
      </c>
      <c r="B3803" t="s">
        <v>3808</v>
      </c>
      <c r="C3803">
        <f>HYPERLINK("C:\Users\franc\OneDrive\Documentos\MALENTIN KARIME\Rosa\COMPRAVENTA BIEN RAIZ\ESCRITURA PÚBLICA Aida Díaz.doc", "Abrir Documento")</f>
        <v>0</v>
      </c>
      <c r="D3803" t="s">
        <v>23500</v>
      </c>
      <c r="E3803" t="s">
        <v>26971</v>
      </c>
    </row>
    <row r="3804" spans="1:5">
      <c r="A3804" t="s">
        <v>6</v>
      </c>
      <c r="B3804" t="s">
        <v>3809</v>
      </c>
      <c r="C3804">
        <f>HYPERLINK("C:\Users\franc\OneDrive\Documentos\MALENTIN KARIME\Rosa\COMPRAVENTA BIEN RAIZ\EGLANTINA OLIVARES a MYRIAM ARAYA.doc", "Abrir Documento")</f>
        <v>0</v>
      </c>
      <c r="D3804" t="s">
        <v>23500</v>
      </c>
      <c r="E3804" t="s">
        <v>26972</v>
      </c>
    </row>
    <row r="3805" spans="1:5">
      <c r="A3805" t="s">
        <v>6</v>
      </c>
      <c r="B3805" t="s">
        <v>3810</v>
      </c>
      <c r="C3805">
        <f>HYPERLINK("C:\Users\franc\OneDrive\Documentos\MALENTIN KARIME\Rosa\COMPRAVENTA BIEN RAIZ\ELIANA MONARDES A WALDO (CONYUGE) FINAL.doc", "Abrir Documento")</f>
        <v>0</v>
      </c>
      <c r="D3805" t="s">
        <v>23500</v>
      </c>
      <c r="E3805" t="s">
        <v>26972</v>
      </c>
    </row>
    <row r="3806" spans="1:5">
      <c r="A3806" t="s">
        <v>6</v>
      </c>
      <c r="B3806" t="s">
        <v>3811</v>
      </c>
      <c r="C3806">
        <f>HYPERLINK("C:\Users\franc\OneDrive\Documentos\MALENTIN KARIME\Rosa\COMPRAVENTA BIEN RAIZ\DOMINGA RODRIGUEZ p.p. A RUBEN ARAYA Y OTRO-Proh. legal.doc", "Abrir Documento")</f>
        <v>0</v>
      </c>
      <c r="D3806" t="s">
        <v>23500</v>
      </c>
      <c r="E3806" t="s">
        <v>26973</v>
      </c>
    </row>
    <row r="3807" spans="1:5">
      <c r="A3807" t="s">
        <v>6</v>
      </c>
      <c r="B3807" t="s">
        <v>3812</v>
      </c>
      <c r="C3807">
        <f>HYPERLINK("C:\Users\franc\OneDrive\Documentos\MALENTIN KARIME\Rosa\COMPRAVENTA BIEN RAIZ\EGLANTINA OLIVARES A A MYRIAM ARAYA.doc", "Abrir Documento")</f>
        <v>0</v>
      </c>
      <c r="D3807" t="s">
        <v>23500</v>
      </c>
      <c r="E3807" t="s">
        <v>26973</v>
      </c>
    </row>
    <row r="3808" spans="1:5">
      <c r="A3808" t="s">
        <v>6</v>
      </c>
      <c r="B3808" t="s">
        <v>3813</v>
      </c>
      <c r="C3808">
        <f>HYPERLINK("C:\Users\franc\OneDrive\Documentos\MALENTIN KARIME\Rosa\COMPRAVENTA BIEN RAIZ\DELFINA MUÑOZ VARGAS A GUSTAVO CORTES TAPIA.doc", "Abrir Documento")</f>
        <v>0</v>
      </c>
      <c r="D3808" t="s">
        <v>23500</v>
      </c>
      <c r="E3808" t="s">
        <v>26974</v>
      </c>
    </row>
    <row r="3809" spans="1:5">
      <c r="A3809" t="s">
        <v>6</v>
      </c>
      <c r="B3809" t="s">
        <v>3814</v>
      </c>
      <c r="C3809">
        <f>HYPERLINK("C:\Users\franc\OneDrive\Documentos\MALENTIN KARIME\Rosa\COMPRAVENTA BIEN RAIZ\DANISA.doc", "Abrir Documento")</f>
        <v>0</v>
      </c>
      <c r="D3809" t="s">
        <v>23500</v>
      </c>
      <c r="E3809" t="s">
        <v>26975</v>
      </c>
    </row>
    <row r="3810" spans="1:5">
      <c r="A3810" t="s">
        <v>6</v>
      </c>
      <c r="B3810" t="s">
        <v>3815</v>
      </c>
      <c r="C3810">
        <f>HYPERLINK("C:\Users\franc\OneDrive\Documentos\MALENTIN KARIME\Rosa\COMPRAVENTA BIEN RAIZ\compraventa_Danisa sierra.doc", "Abrir Documento")</f>
        <v>0</v>
      </c>
      <c r="D3810" t="s">
        <v>23500</v>
      </c>
      <c r="E3810" t="s">
        <v>26976</v>
      </c>
    </row>
    <row r="3811" spans="1:5">
      <c r="A3811" t="s">
        <v>6</v>
      </c>
      <c r="B3811" t="s">
        <v>3816</v>
      </c>
      <c r="C3811">
        <f>HYPERLINK("C:\Users\franc\OneDrive\Documentos\MALENTIN KARIME\Rosa\COMPRAVENTA BIEN RAIZ\Compraventa Pinino.- ABRIL 2011.doc", "Abrir Documento")</f>
        <v>0</v>
      </c>
      <c r="D3811" t="s">
        <v>23500</v>
      </c>
      <c r="E3811" t="s">
        <v>26977</v>
      </c>
    </row>
    <row r="3812" spans="1:5">
      <c r="A3812" t="s">
        <v>6</v>
      </c>
      <c r="B3812" t="s">
        <v>3817</v>
      </c>
      <c r="C3812">
        <f>HYPERLINK("C:\Users\franc\OneDrive\Documentos\MALENTIN KARIME\Rosa\COMPRAVENTA BIEN RAIZ\COMPRAVENTA POR MINUTA MANUEL BERNAL.doc", "Abrir Documento")</f>
        <v>0</v>
      </c>
      <c r="D3812" t="s">
        <v>23500</v>
      </c>
      <c r="E3812" t="s">
        <v>26977</v>
      </c>
    </row>
    <row r="3813" spans="1:5">
      <c r="A3813" t="s">
        <v>6</v>
      </c>
      <c r="B3813" t="s">
        <v>3818</v>
      </c>
      <c r="C3813">
        <f>HYPERLINK("C:\Users\franc\OneDrive\Documentos\MALENTIN KARIME\Rosa\COMPRAVENTA BIEN RAIZ\COMPRAPARA EGLANTINA OLIVARES.doc", "Abrir Documento")</f>
        <v>0</v>
      </c>
      <c r="D3813" t="s">
        <v>23500</v>
      </c>
      <c r="E3813" t="s">
        <v>26978</v>
      </c>
    </row>
    <row r="3814" spans="1:5">
      <c r="A3814" t="s">
        <v>6</v>
      </c>
      <c r="B3814" t="s">
        <v>3819</v>
      </c>
      <c r="C3814">
        <f>HYPERLINK("C:\Users\franc\OneDrive\Documentos\MALENTIN KARIME\Rosa\COMPRAVENTA BIEN RAIZ\COMPRAVENTA COMPRADORA ARTICULO 150.doc", "Abrir Documento")</f>
        <v>0</v>
      </c>
      <c r="D3814" t="s">
        <v>23500</v>
      </c>
      <c r="E3814" t="s">
        <v>26978</v>
      </c>
    </row>
    <row r="3815" spans="1:5">
      <c r="A3815" t="s">
        <v>6</v>
      </c>
      <c r="B3815" t="s">
        <v>3820</v>
      </c>
      <c r="C3815">
        <f>HYPERLINK("C:\Users\franc\OneDrive\Documentos\MALENTIN KARIME\Rosa\COMPRAVENTA BIEN RAIZ\CLÁUSULA 100% EN VENTA.doc", "Abrir Documento")</f>
        <v>0</v>
      </c>
      <c r="D3815" t="s">
        <v>23500</v>
      </c>
      <c r="E3815" t="s">
        <v>26979</v>
      </c>
    </row>
    <row r="3816" spans="1:5">
      <c r="A3816" t="s">
        <v>6</v>
      </c>
      <c r="B3816" t="s">
        <v>3821</v>
      </c>
      <c r="C3816">
        <f>HYPERLINK("C:\Users\franc\OneDrive\Documentos\MALENTIN KARIME\Rosa\COMPRAVENTA BIEN RAIZ\CARTA ALZAMIENTO carlos jimenez y otra.doc", "Abrir Documento")</f>
        <v>0</v>
      </c>
      <c r="D3816" t="s">
        <v>23500</v>
      </c>
      <c r="E3816" t="s">
        <v>26980</v>
      </c>
    </row>
    <row r="3817" spans="1:5">
      <c r="A3817" t="s">
        <v>6</v>
      </c>
      <c r="B3817" t="s">
        <v>3822</v>
      </c>
      <c r="C3817">
        <f>HYPERLINK("C:\Users\franc\OneDrive\Documentos\MALENTIN KARIME\Rosa\COMPRAVENTA BIEN RAIZ\CLARA GODOY  Y OTROS A PERUANOS p.p..doc", "Abrir Documento")</f>
        <v>0</v>
      </c>
      <c r="D3817" t="s">
        <v>23500</v>
      </c>
      <c r="E3817" t="s">
        <v>26980</v>
      </c>
    </row>
    <row r="3818" spans="1:5">
      <c r="A3818" t="s">
        <v>6</v>
      </c>
      <c r="B3818" t="s">
        <v>3823</v>
      </c>
      <c r="C3818">
        <f>HYPERLINK("C:\Users\franc\OneDrive\Documentos\MALENTIN KARIME\Rosa\COMPRAVENTA BIEN RAIZ\CARMEN SANTELICES Y OTROS A NATIVIDAD CORTES.doc", "Abrir Documento")</f>
        <v>0</v>
      </c>
      <c r="D3818" t="s">
        <v>23500</v>
      </c>
      <c r="E3818" t="s">
        <v>26981</v>
      </c>
    </row>
    <row r="3819" spans="1:5">
      <c r="A3819" t="s">
        <v>6</v>
      </c>
      <c r="B3819" t="s">
        <v>3824</v>
      </c>
      <c r="C3819">
        <f>HYPERLINK("C:\Users\franc\OneDrive\Documentos\MALENTIN KARIME\Rosa\COMPRAVENTA BIEN RAIZ\CARMEN CASTAÑEDA A RODRIGO TAPIA.doc", "Abrir Documento")</f>
        <v>0</v>
      </c>
      <c r="D3819" t="s">
        <v>23500</v>
      </c>
      <c r="E3819" t="s">
        <v>26982</v>
      </c>
    </row>
    <row r="3820" spans="1:5">
      <c r="A3820" t="s">
        <v>6</v>
      </c>
      <c r="B3820" t="s">
        <v>3825</v>
      </c>
      <c r="C3820">
        <f>HYPERLINK("C:\Users\franc\OneDrive\Documentos\MALENTIN KARIME\Rosa\COMPRAVENTA BIEN RAIZ\CARLOS MORGADO- HERNAN RIVERA.doc", "Abrir Documento")</f>
        <v>0</v>
      </c>
      <c r="D3820" t="s">
        <v>23500</v>
      </c>
      <c r="E3820" t="s">
        <v>26983</v>
      </c>
    </row>
    <row r="3821" spans="1:5">
      <c r="A3821" t="s">
        <v>6</v>
      </c>
      <c r="B3821" t="s">
        <v>3826</v>
      </c>
      <c r="C3821">
        <f>HYPERLINK("C:\Users\franc\OneDrive\Documentos\MALENTIN KARIME\Rosa\COMPRAVENTA BIEN RAIZ\CARLOS STIEBERTZ A JENANET GANZO-Proh. legal.doc", "Abrir Documento")</f>
        <v>0</v>
      </c>
      <c r="D3821" t="s">
        <v>23500</v>
      </c>
      <c r="E3821" t="s">
        <v>26983</v>
      </c>
    </row>
    <row r="3822" spans="1:5">
      <c r="A3822" t="s">
        <v>6</v>
      </c>
      <c r="B3822" t="s">
        <v>3827</v>
      </c>
      <c r="C3822">
        <f>HYPERLINK("C:\Users\franc\OneDrive\Documentos\MALENTIN KARIME\Rosa\COMPRAVENTA BIEN RAIZ\AUTONCONTRATA DOÑA IVY.doc", "Abrir Documento")</f>
        <v>0</v>
      </c>
      <c r="D3822" t="s">
        <v>23500</v>
      </c>
      <c r="E3822" t="s">
        <v>26984</v>
      </c>
    </row>
    <row r="3823" spans="1:5">
      <c r="A3823" t="s">
        <v>6</v>
      </c>
      <c r="B3823" t="s">
        <v>3828</v>
      </c>
      <c r="C3823">
        <f>HYPERLINK("C:\Users\franc\OneDrive\Documentos\MALENTIN KARIME\Rosa\COMPRAVENTA BIEN RAIZ\CARLOS JIMENEZ VALDIVIA Y otra a PASCUALA ALFARO DIAZ.doc", "Abrir Documento")</f>
        <v>0</v>
      </c>
      <c r="D3823" t="s">
        <v>23500</v>
      </c>
      <c r="E3823" t="s">
        <v>26984</v>
      </c>
    </row>
    <row r="3824" spans="1:5">
      <c r="A3824" t="s">
        <v>6</v>
      </c>
      <c r="B3824" t="s">
        <v>3829</v>
      </c>
      <c r="C3824">
        <f>HYPERLINK("C:\Users\franc\OneDrive\Documentos\MALENTIN KARIME\Rosa\COMPRAVENTA BIEN RAIZ\ANA CASTILLO CABEZAS a ISOLINA CASTILLO CASTILLO.doc", "Abrir Documento")</f>
        <v>0</v>
      </c>
      <c r="D3824" t="s">
        <v>23500</v>
      </c>
      <c r="E3824" t="s">
        <v>26985</v>
      </c>
    </row>
    <row r="3825" spans="1:5">
      <c r="A3825" t="s">
        <v>6</v>
      </c>
      <c r="B3825" t="s">
        <v>3830</v>
      </c>
      <c r="C3825">
        <f>HYPERLINK("C:\Users\franc\OneDrive\Documentos\MALENTIN KARIME\Rosa\COMPRAVENTA BIEN RAIZ\ANA CASTILLO CABEZAS A Isolina Castillo Promesa.doc", "Abrir Documento")</f>
        <v>0</v>
      </c>
      <c r="D3825" t="s">
        <v>23500</v>
      </c>
      <c r="E3825" t="s">
        <v>26985</v>
      </c>
    </row>
    <row r="3826" spans="1:5">
      <c r="A3826" t="s">
        <v>6</v>
      </c>
      <c r="B3826" t="s">
        <v>3831</v>
      </c>
      <c r="C3826">
        <f>HYPERLINK("C:\Users\franc\OneDrive\Documentos\MALENTIN KARIME\Rosa\COMPLEMENTACION\JOELIO CORTES TORRES A DIAMANTINA OLIVARES.doc", "Abrir Documento")</f>
        <v>0</v>
      </c>
      <c r="D3826" t="s">
        <v>23500</v>
      </c>
      <c r="E3826" t="s">
        <v>26986</v>
      </c>
    </row>
    <row r="3827" spans="1:5">
      <c r="A3827" t="s">
        <v>6</v>
      </c>
      <c r="B3827" t="s">
        <v>3832</v>
      </c>
      <c r="C3827">
        <f>HYPERLINK("C:\Users\franc\OneDrive\Documentos\MALENTIN KARIME\Rosa\COMPRAVENTA BIEN RAIZ\AMALIA VILLAGRAN A RICARDO MOLLO LEYTON.doc", "Abrir Documento")</f>
        <v>0</v>
      </c>
      <c r="D3827" t="s">
        <v>23500</v>
      </c>
      <c r="E3827" t="s">
        <v>26986</v>
      </c>
    </row>
    <row r="3828" spans="1:5">
      <c r="A3828" t="s">
        <v>6</v>
      </c>
      <c r="B3828" t="s">
        <v>3833</v>
      </c>
      <c r="C3828">
        <f>HYPERLINK("C:\Users\franc\OneDrive\Documentos\MALENTIN KARIME\Rosa\COMPLEMENTACION\esrmeraldo valdivia a soc. agricola 2.doc", "Abrir Documento")</f>
        <v>0</v>
      </c>
      <c r="D3828" t="s">
        <v>23500</v>
      </c>
      <c r="E3828" t="s">
        <v>26987</v>
      </c>
    </row>
    <row r="3829" spans="1:5">
      <c r="A3829" t="s">
        <v>6</v>
      </c>
      <c r="B3829" t="s">
        <v>3834</v>
      </c>
      <c r="C3829">
        <f>HYPERLINK("C:\Users\franc\OneDrive\Documentos\MALENTIN KARIME\Rosa\COMPLEMENTACION\HERNAN HONORES EPUL.doc", "Abrir Documento")</f>
        <v>0</v>
      </c>
      <c r="D3829" t="s">
        <v>23500</v>
      </c>
      <c r="E3829" t="s">
        <v>26987</v>
      </c>
    </row>
    <row r="3830" spans="1:5">
      <c r="A3830" t="s">
        <v>6</v>
      </c>
      <c r="B3830" t="s">
        <v>3835</v>
      </c>
      <c r="C3830">
        <f>HYPERLINK("C:\Users\franc\OneDrive\Documentos\MALENTIN KARIME\Rosa\COMPLEMENTACION\escritura complementacion_usufructo Roberto Dabed.doc", "Abrir Documento")</f>
        <v>0</v>
      </c>
      <c r="D3830" t="s">
        <v>23500</v>
      </c>
      <c r="E3830" t="s">
        <v>26988</v>
      </c>
    </row>
    <row r="3831" spans="1:5">
      <c r="A3831" t="s">
        <v>6</v>
      </c>
      <c r="B3831" t="s">
        <v>3836</v>
      </c>
      <c r="C3831">
        <f>HYPERLINK("C:\Users\franc\OneDrive\Documentos\MALENTIN KARIME\Rosa\COMPLEMENTACION\ESMERALDO VALDIVIA A SOC. AGRICOLA VALDIVIA LTDA..doc", "Abrir Documento")</f>
        <v>0</v>
      </c>
      <c r="D3831" t="s">
        <v>23500</v>
      </c>
      <c r="E3831" t="s">
        <v>26988</v>
      </c>
    </row>
    <row r="3832" spans="1:5">
      <c r="A3832" t="s">
        <v>6</v>
      </c>
      <c r="B3832" t="s">
        <v>3837</v>
      </c>
      <c r="C3832">
        <f>HYPERLINK("C:\Users\franc\OneDrive\Documentos\MALENTIN KARIME\Rosa\CLAUDIO CASTILLO\EXTRACTO CONSULTORA Y CAPACITACION.doc", "Abrir Documento")</f>
        <v>0</v>
      </c>
      <c r="D3832" t="s">
        <v>23500</v>
      </c>
      <c r="E3832" t="s">
        <v>26989</v>
      </c>
    </row>
    <row r="3833" spans="1:5">
      <c r="A3833" t="s">
        <v>6</v>
      </c>
      <c r="B3833" t="s">
        <v>3838</v>
      </c>
      <c r="C3833">
        <f>HYPERLINK("C:\Users\franc\OneDrive\Documentos\MALENTIN KARIME\Rosa\CLAUDIO CASTILLO\Soc Civil Agric Mitimae Ltda. Pc 52 y st 14 y 30 acc ER.doc", "Abrir Documento")</f>
        <v>0</v>
      </c>
      <c r="D3833" t="s">
        <v>23500</v>
      </c>
      <c r="E3833" t="s">
        <v>26989</v>
      </c>
    </row>
    <row r="3834" spans="1:5">
      <c r="A3834" t="s">
        <v>6</v>
      </c>
      <c r="B3834" t="s">
        <v>3839</v>
      </c>
      <c r="C3834">
        <f>HYPERLINK("C:\Users\franc\OneDrive\Documentos\MALENTIN KARIME\Rosa\CLAUDIO CASTILLO\Constituc cumpa.doc", "Abrir Documento")</f>
        <v>0</v>
      </c>
      <c r="D3834" t="s">
        <v>23500</v>
      </c>
      <c r="E3834" t="s">
        <v>26990</v>
      </c>
    </row>
    <row r="3835" spans="1:5">
      <c r="A3835" t="s">
        <v>6</v>
      </c>
      <c r="B3835" t="s">
        <v>3840</v>
      </c>
      <c r="C3835">
        <f>HYPERLINK("C:\Users\franc\OneDrive\Documentos\MALENTIN KARIME\Rosa\CLAUDIO CASTILLO\CONSULTORA Y CAPAC. L&amp;L LTDA..doc", "Abrir Documento")</f>
        <v>0</v>
      </c>
      <c r="D3835" t="s">
        <v>23500</v>
      </c>
      <c r="E3835" t="s">
        <v>26990</v>
      </c>
    </row>
    <row r="3836" spans="1:5">
      <c r="A3836" t="s">
        <v>6</v>
      </c>
      <c r="B3836" t="s">
        <v>3841</v>
      </c>
      <c r="C3836">
        <f>HYPERLINK("C:\Users\franc\OneDrive\Documentos\MALENTIN KARIME\Rosa\CLAUDIO CASTILLO\COMPRAVENTA TITO CUÑADO.doc", "Abrir Documento")</f>
        <v>0</v>
      </c>
      <c r="D3836" t="s">
        <v>23500</v>
      </c>
      <c r="E3836" t="s">
        <v>26991</v>
      </c>
    </row>
    <row r="3837" spans="1:5">
      <c r="A3837" t="s">
        <v>6</v>
      </c>
      <c r="B3837" t="s">
        <v>3842</v>
      </c>
      <c r="C3837">
        <f>HYPERLINK("C:\Users\franc\OneDrive\Documentos\MALENTIN KARIME\Rosa\CLAUDIO CASTILLO\claudio castillo.doc", "Abrir Documento")</f>
        <v>0</v>
      </c>
      <c r="D3837" t="s">
        <v>23500</v>
      </c>
      <c r="E3837" t="s">
        <v>26992</v>
      </c>
    </row>
    <row r="3838" spans="1:5">
      <c r="A3838" t="s">
        <v>6</v>
      </c>
      <c r="B3838" t="s">
        <v>3843</v>
      </c>
      <c r="C3838">
        <f>HYPERLINK("C:\Users\franc\OneDrive\Documentos\MALENTIN KARIME\Rosa\CIBERGESTION\CESION DERECHOS POR MINUTA\cesion derechos.doc", "Abrir Documento")</f>
        <v>0</v>
      </c>
      <c r="D3838" t="s">
        <v>23500</v>
      </c>
      <c r="E3838" t="s">
        <v>26993</v>
      </c>
    </row>
    <row r="3839" spans="1:5">
      <c r="A3839" t="s">
        <v>6</v>
      </c>
      <c r="B3839" t="s">
        <v>3844</v>
      </c>
      <c r="C3839">
        <f>HYPERLINK("C:\Users\franc\OneDrive\Documentos\MALENTIN KARIME\Rosa\CIBERGESTION\T R A N S A C C I O N.doc", "Abrir Documento")</f>
        <v>0</v>
      </c>
      <c r="D3839" t="s">
        <v>23500</v>
      </c>
      <c r="E3839" t="s">
        <v>26994</v>
      </c>
    </row>
    <row r="3840" spans="1:5">
      <c r="A3840" t="s">
        <v>6</v>
      </c>
      <c r="B3840" t="s">
        <v>3845</v>
      </c>
      <c r="C3840">
        <f>HYPERLINK("C:\Users\franc\OneDrive\Documentos\MALENTIN KARIME\Rosa\CIBERGESTION\CESION DERECHOS POR MINUTA\CESION DE OPCION DE COMPRA TRANSPORTES JAR SOCIEDAD ANÓNIMA.doc", "Abrir Documento")</f>
        <v>0</v>
      </c>
      <c r="D3840" t="s">
        <v>23500</v>
      </c>
      <c r="E3840" t="s">
        <v>26994</v>
      </c>
    </row>
    <row r="3841" spans="1:5">
      <c r="A3841" t="s">
        <v>6</v>
      </c>
      <c r="B3841" t="s">
        <v>3846</v>
      </c>
      <c r="C3841">
        <f>HYPERLINK("C:\Users\franc\OneDrive\Documentos\MALENTIN KARIME\Rosa\CESION DERECHOS HEREDITARIOS\SILVIA RODRIGUEZ  A TERESA CASTILLO FEBRERO 2010.doc", "Abrir Documento")</f>
        <v>0</v>
      </c>
      <c r="D3841" t="s">
        <v>23500</v>
      </c>
      <c r="E3841" t="s">
        <v>26995</v>
      </c>
    </row>
    <row r="3842" spans="1:5">
      <c r="A3842" t="s">
        <v>6</v>
      </c>
      <c r="B3842" t="s">
        <v>3847</v>
      </c>
      <c r="C3842">
        <f>HYPERLINK("C:\Users\franc\OneDrive\Documentos\MALENTIN KARIME\Rosa\CESION DERECHOS HEREDITARIOS\SILVIA PIZARRO A BRIJIDA CISTERNAS.doc", "Abrir Documento")</f>
        <v>0</v>
      </c>
      <c r="D3842" t="s">
        <v>23500</v>
      </c>
      <c r="E3842" t="s">
        <v>26996</v>
      </c>
    </row>
    <row r="3843" spans="1:5">
      <c r="A3843" t="s">
        <v>6</v>
      </c>
      <c r="B3843" t="s">
        <v>3848</v>
      </c>
      <c r="C3843">
        <f>HYPERLINK("C:\Users\franc\OneDrive\Documentos\MALENTIN KARIME\Rosa\CESION DERECHOS HEREDITARIOS\RICARDO MOLLO A ORIELE MOLLO.doc", "Abrir Documento")</f>
        <v>0</v>
      </c>
      <c r="D3843" t="s">
        <v>23500</v>
      </c>
      <c r="E3843" t="s">
        <v>26997</v>
      </c>
    </row>
    <row r="3844" spans="1:5">
      <c r="A3844" t="s">
        <v>6</v>
      </c>
      <c r="B3844" t="s">
        <v>3849</v>
      </c>
      <c r="C3844">
        <f>HYPERLINK("C:\Users\franc\OneDrive\Documentos\MALENTIN KARIME\Rosa\CESION DERECHOS HEREDITARIOS\MARISOL PARRA Y OTROS A PEDRO PARRA M..doc", "Abrir Documento")</f>
        <v>0</v>
      </c>
      <c r="D3844" t="s">
        <v>23500</v>
      </c>
      <c r="E3844" t="s">
        <v>26998</v>
      </c>
    </row>
    <row r="3845" spans="1:5">
      <c r="A3845" t="s">
        <v>6</v>
      </c>
      <c r="B3845" t="s">
        <v>3850</v>
      </c>
      <c r="C3845">
        <f>HYPERLINK("C:\Users\franc\OneDrive\Documentos\MALENTIN KARIME\Rosa\CESION DERECHOS HEREDITARIOS\OSCAR NAVARRO.-.doc", "Abrir Documento")</f>
        <v>0</v>
      </c>
      <c r="D3845" t="s">
        <v>23500</v>
      </c>
      <c r="E3845" t="s">
        <v>26998</v>
      </c>
    </row>
    <row r="3846" spans="1:5">
      <c r="A3846" t="s">
        <v>6</v>
      </c>
      <c r="B3846" t="s">
        <v>3851</v>
      </c>
      <c r="C3846">
        <f>HYPERLINK("C:\Users\franc\OneDrive\Documentos\MALENTIN KARIME\Rosa\CESION DERECHOS HEREDITARIOS\CORREO 2 02 2011.doc", "Abrir Documento")</f>
        <v>0</v>
      </c>
      <c r="D3846" t="s">
        <v>23500</v>
      </c>
      <c r="E3846" t="s">
        <v>26999</v>
      </c>
    </row>
    <row r="3847" spans="1:5">
      <c r="A3847" t="s">
        <v>6</v>
      </c>
      <c r="B3847" t="s">
        <v>3852</v>
      </c>
      <c r="C3847">
        <f>HYPERLINK("C:\Users\franc\OneDrive\Documentos\MALENTIN KARIME\Rosa\CESION DERECHOS HEREDITARIOS\MANUEL PEREZ  A MANUEL PEREZ.doc", "Abrir Documento")</f>
        <v>0</v>
      </c>
      <c r="D3847" t="s">
        <v>23500</v>
      </c>
      <c r="E3847" t="s">
        <v>26999</v>
      </c>
    </row>
    <row r="3848" spans="1:5">
      <c r="A3848" t="s">
        <v>6</v>
      </c>
      <c r="B3848" t="s">
        <v>3853</v>
      </c>
      <c r="C3848">
        <f>HYPERLINK("C:\Users\franc\OneDrive\Documentos\MALENTIN KARIME\Rosa\CESION DERECHOS HEREDITARIOS\CLAUDIO ALFARO  y otros a DOMINGA CASTRO.doc", "Abrir Documento")</f>
        <v>0</v>
      </c>
      <c r="D3848" t="s">
        <v>23500</v>
      </c>
      <c r="E3848" t="s">
        <v>27000</v>
      </c>
    </row>
    <row r="3849" spans="1:5">
      <c r="A3849" t="s">
        <v>6</v>
      </c>
      <c r="B3849" t="s">
        <v>3854</v>
      </c>
      <c r="C3849">
        <f>HYPERLINK("C:\Users\franc\OneDrive\Documentos\MALENTIN KARIME\Rosa\CESION DERECHOS COMUNITARIOS\LUIS CORTES A AMANDA ROJAS.doc", "Abrir Documento")</f>
        <v>0</v>
      </c>
      <c r="D3849" t="s">
        <v>23500</v>
      </c>
      <c r="E3849" t="s">
        <v>27001</v>
      </c>
    </row>
    <row r="3850" spans="1:5">
      <c r="A3850" t="s">
        <v>6</v>
      </c>
      <c r="B3850" t="s">
        <v>3855</v>
      </c>
      <c r="C3850">
        <f>HYPERLINK("C:\Users\franc\OneDrive\Documentos\MALENTIN KARIME\Rosa\CESION DERECHOS HEREDITARIOS\Cesión Carvajal Galleguillos (dominik).doc", "Abrir Documento")</f>
        <v>0</v>
      </c>
      <c r="D3850" t="s">
        <v>23500</v>
      </c>
      <c r="E3850" t="s">
        <v>27001</v>
      </c>
    </row>
    <row r="3851" spans="1:5">
      <c r="A3851" t="s">
        <v>6</v>
      </c>
      <c r="B3851" t="s">
        <v>3856</v>
      </c>
      <c r="C3851">
        <f>HYPERLINK("C:\Users\franc\OneDrive\Documentos\MALENTIN KARIME\Rosa\CESION DERECHOS COMUNITARIOS\ADRIANA MUNDACA A ADRIANA MUNDACA RIVERA.doc", "Abrir Documento")</f>
        <v>0</v>
      </c>
      <c r="D3851" t="s">
        <v>23500</v>
      </c>
      <c r="E3851" t="s">
        <v>27002</v>
      </c>
    </row>
    <row r="3852" spans="1:5">
      <c r="A3852" t="s">
        <v>6</v>
      </c>
      <c r="B3852" t="s">
        <v>3857</v>
      </c>
      <c r="C3852">
        <f>HYPERLINK("C:\Users\franc\OneDrive\Documentos\MALENTIN KARIME\Rosa\CANCELACION SALDO PRECIO\Ejemplo 1.doc", "Abrir Documento")</f>
        <v>0</v>
      </c>
      <c r="D3852" t="s">
        <v>23500</v>
      </c>
      <c r="E3852" t="s">
        <v>27003</v>
      </c>
    </row>
    <row r="3853" spans="1:5">
      <c r="A3853" t="s">
        <v>6</v>
      </c>
      <c r="B3853" t="s">
        <v>3858</v>
      </c>
      <c r="C3853">
        <f>HYPERLINK("C:\Users\franc\OneDrive\Documentos\MALENTIN KARIME\Rosa\CANCELACION SALDO PRECIO\Ejemplo 2.doc", "Abrir Documento")</f>
        <v>0</v>
      </c>
      <c r="D3853" t="s">
        <v>23500</v>
      </c>
      <c r="E3853" t="s">
        <v>27003</v>
      </c>
    </row>
    <row r="3854" spans="1:5">
      <c r="A3854" t="s">
        <v>6</v>
      </c>
      <c r="B3854" t="s">
        <v>3859</v>
      </c>
      <c r="C3854">
        <f>HYPERLINK("C:\Users\franc\OneDrive\Documentos\MALENTIN KARIME\Rosa\CANCELACION PARCIAL SALDO PRECIO\GUILLERMO FERNANDEZ A SILVIA FERNANDEZ.doc", "Abrir Documento")</f>
        <v>0</v>
      </c>
      <c r="D3854" t="s">
        <v>23500</v>
      </c>
      <c r="E3854" t="s">
        <v>27004</v>
      </c>
    </row>
    <row r="3855" spans="1:5">
      <c r="A3855" t="s">
        <v>6</v>
      </c>
      <c r="B3855" t="s">
        <v>3860</v>
      </c>
      <c r="C3855">
        <f>HYPERLINK("C:\Users\franc\OneDrive\Documentos\MALENTIN KARIME\Rosa\CANCELACION PARCIAL SALDO PRECIO\GUILLERMO FERNANDEZ Y HERMANA A SILVIA FERNANDEZ.doc", "Abrir Documento")</f>
        <v>0</v>
      </c>
      <c r="D3855" t="s">
        <v>23500</v>
      </c>
      <c r="E3855" t="s">
        <v>27004</v>
      </c>
    </row>
    <row r="3856" spans="1:5">
      <c r="A3856" t="s">
        <v>6</v>
      </c>
      <c r="B3856" t="s">
        <v>3861</v>
      </c>
      <c r="C3856">
        <f>HYPERLINK("C:\Users\franc\OneDrive\Documentos\MALENTIN KARIME\Rosa\BANCO ESTADO DE CHILE\ALZAMIENTOS\URBANA DEL CARMEN ALVAREZ ALVAREZ.doc", "Abrir Documento")</f>
        <v>0</v>
      </c>
      <c r="D3856" t="s">
        <v>23500</v>
      </c>
      <c r="E3856" t="s">
        <v>27005</v>
      </c>
    </row>
    <row r="3857" spans="1:5">
      <c r="A3857" t="s">
        <v>6</v>
      </c>
      <c r="B3857" t="s">
        <v>3862</v>
      </c>
      <c r="C3857">
        <f>HYPERLINK("C:\Users\franc\OneDrive\Documentos\MALENTIN KARIME\Rosa\BANCO ESTADO DE CHILE\ALZAMIENTOS\RAUL VEGA GALLARDO.doc", "Abrir Documento")</f>
        <v>0</v>
      </c>
      <c r="D3857" t="s">
        <v>23500</v>
      </c>
      <c r="E3857" t="s">
        <v>27006</v>
      </c>
    </row>
    <row r="3858" spans="1:5">
      <c r="A3858" t="s">
        <v>6</v>
      </c>
      <c r="B3858" t="s">
        <v>3863</v>
      </c>
      <c r="C3858">
        <f>HYPERLINK("C:\Users\franc\OneDrive\Documentos\MALENTIN KARIME\Rosa\BANCO ESTADO DE CHILE\ALZAMIENTOS\RAMON OLIVARES BILBAO.doc", "Abrir Documento")</f>
        <v>0</v>
      </c>
      <c r="D3858" t="s">
        <v>23500</v>
      </c>
      <c r="E3858" t="s">
        <v>27007</v>
      </c>
    </row>
    <row r="3859" spans="1:5">
      <c r="A3859" t="s">
        <v>6</v>
      </c>
      <c r="B3859" t="s">
        <v>3864</v>
      </c>
      <c r="C3859">
        <f>HYPERLINK("C:\Users\franc\OneDrive\Documentos\MALENTIN KARIME\Rosa\BANCO ESTADO DE CHILE\ALZAMIENTOS\RAMON BARRAZA GALLEGUILLOS.doc", "Abrir Documento")</f>
        <v>0</v>
      </c>
      <c r="D3859" t="s">
        <v>23500</v>
      </c>
      <c r="E3859" t="s">
        <v>27008</v>
      </c>
    </row>
    <row r="3860" spans="1:5">
      <c r="A3860" t="s">
        <v>6</v>
      </c>
      <c r="B3860" t="s">
        <v>3865</v>
      </c>
      <c r="C3860">
        <f>HYPERLINK("C:\Users\franc\OneDrive\Documentos\MALENTIN KARIME\Rosa\BANCO ESTADO DE CHILE\ALZAMIENTOS\OSIEL PERFECTO ORTIZ GALLEGUILLOS.doc", "Abrir Documento")</f>
        <v>0</v>
      </c>
      <c r="D3860" t="s">
        <v>23500</v>
      </c>
      <c r="E3860" t="s">
        <v>27009</v>
      </c>
    </row>
    <row r="3861" spans="1:5">
      <c r="A3861" t="s">
        <v>6</v>
      </c>
      <c r="B3861" t="s">
        <v>3866</v>
      </c>
      <c r="C3861">
        <f>HYPERLINK("C:\Users\franc\OneDrive\Documentos\MALENTIN KARIME\Rosa\BANCO ESTADO DE CHILE\ALZAMIENTOS\MONICA CORTES GATICA.doc", "Abrir Documento")</f>
        <v>0</v>
      </c>
      <c r="D3861" t="s">
        <v>23500</v>
      </c>
      <c r="E3861" t="s">
        <v>27010</v>
      </c>
    </row>
    <row r="3862" spans="1:5">
      <c r="A3862" t="s">
        <v>6</v>
      </c>
      <c r="B3862" t="s">
        <v>3867</v>
      </c>
      <c r="C3862">
        <f>HYPERLINK("C:\Users\franc\OneDrive\Documentos\MALENTIN KARIME\Rosa\BANCO ESTADO DE CHILE\ALZAMIENTOS\NORMAN BUGUEÑO PICARTE.doc", "Abrir Documento")</f>
        <v>0</v>
      </c>
      <c r="D3862" t="s">
        <v>23500</v>
      </c>
      <c r="E3862" t="s">
        <v>27010</v>
      </c>
    </row>
    <row r="3863" spans="1:5">
      <c r="A3863" t="s">
        <v>6</v>
      </c>
      <c r="B3863" t="s">
        <v>3868</v>
      </c>
      <c r="C3863">
        <f>HYPERLINK("C:\Users\franc\OneDrive\Documentos\MALENTIN KARIME\Rosa\BANCO ESTADO DE CHILE\ALZAMIENTOS\MARIA LORENA MANDUJANO FLORES.doc", "Abrir Documento")</f>
        <v>0</v>
      </c>
      <c r="D3863" t="s">
        <v>23500</v>
      </c>
      <c r="E3863" t="s">
        <v>27011</v>
      </c>
    </row>
    <row r="3864" spans="1:5">
      <c r="A3864" t="s">
        <v>6</v>
      </c>
      <c r="B3864" t="s">
        <v>3869</v>
      </c>
      <c r="C3864">
        <f>HYPERLINK("C:\Users\franc\OneDrive\Documentos\MALENTIN KARIME\Rosa\BANCO ESTADO DE CHILE\ALZAMIENTOS\MAUDI BARRAZA PERALTA.doc", "Abrir Documento")</f>
        <v>0</v>
      </c>
      <c r="D3864" t="s">
        <v>23500</v>
      </c>
      <c r="E3864" t="s">
        <v>27011</v>
      </c>
    </row>
    <row r="3865" spans="1:5">
      <c r="A3865" t="s">
        <v>6</v>
      </c>
      <c r="B3865" t="s">
        <v>3870</v>
      </c>
      <c r="C3865">
        <f>HYPERLINK("C:\Users\franc\OneDrive\Documentos\MALENTIN KARIME\Rosa\BANCO ESTADO DE CHILE\ALZAMIENTOS\MARCO CONTADOR ORTIZ.doc", "Abrir Documento")</f>
        <v>0</v>
      </c>
      <c r="D3865" t="s">
        <v>23500</v>
      </c>
      <c r="E3865" t="s">
        <v>27012</v>
      </c>
    </row>
    <row r="3866" spans="1:5">
      <c r="A3866" t="s">
        <v>6</v>
      </c>
      <c r="B3866" t="s">
        <v>3871</v>
      </c>
      <c r="C3866">
        <f>HYPERLINK("C:\Users\franc\OneDrive\Documentos\MALENTIN KARIME\Rosa\BANCO ESTADO DE CHILE\ALZAMIENTOS\LUIS BARAHONA ARAYA Agosto.doc", "Abrir Documento")</f>
        <v>0</v>
      </c>
      <c r="D3866" t="s">
        <v>23500</v>
      </c>
      <c r="E3866" t="s">
        <v>27013</v>
      </c>
    </row>
    <row r="3867" spans="1:5">
      <c r="A3867" t="s">
        <v>6</v>
      </c>
      <c r="B3867" t="s">
        <v>3872</v>
      </c>
      <c r="C3867">
        <f>HYPERLINK("C:\Users\franc\OneDrive\Documentos\MALENTIN KARIME\Rosa\BANCO ESTADO DE CHILE\ALZAMIENTOS\LUIS CORTES GONZALEZ.doc", "Abrir Documento")</f>
        <v>0</v>
      </c>
      <c r="D3867" t="s">
        <v>23500</v>
      </c>
      <c r="E3867" t="s">
        <v>27013</v>
      </c>
    </row>
    <row r="3868" spans="1:5">
      <c r="A3868" t="s">
        <v>6</v>
      </c>
      <c r="B3868" t="s">
        <v>3873</v>
      </c>
      <c r="C3868">
        <f>HYPERLINK("C:\Users\franc\OneDrive\Documentos\MALENTIN KARIME\Rosa\BANCO ESTADO DE CHILE\ALZAMIENTOS\LUIS ALEJANDRO ORTIZ JARA.doc", "Abrir Documento")</f>
        <v>0</v>
      </c>
      <c r="D3868" t="s">
        <v>23500</v>
      </c>
      <c r="E3868" t="s">
        <v>27014</v>
      </c>
    </row>
    <row r="3869" spans="1:5">
      <c r="A3869" t="s">
        <v>6</v>
      </c>
      <c r="B3869" t="s">
        <v>3874</v>
      </c>
      <c r="C3869">
        <f>HYPERLINK("C:\Users\franc\OneDrive\Documentos\MALENTIN KARIME\Rosa\BANCO ESTADO DE CHILE\ALZAMIENTOS\LORENA CARVAJAL DIAZ.doc", "Abrir Documento")</f>
        <v>0</v>
      </c>
      <c r="D3869" t="s">
        <v>23500</v>
      </c>
      <c r="E3869" t="s">
        <v>27015</v>
      </c>
    </row>
    <row r="3870" spans="1:5">
      <c r="A3870" t="s">
        <v>6</v>
      </c>
      <c r="B3870" t="s">
        <v>3875</v>
      </c>
      <c r="C3870">
        <f>HYPERLINK("C:\Users\franc\OneDrive\Documentos\MALENTIN KARIME\Rosa\BANCO ESTADO DE CHILE\ALZAMIENTOS\JUAN ORREGO TAPIA.doc", "Abrir Documento")</f>
        <v>0</v>
      </c>
      <c r="D3870" t="s">
        <v>23500</v>
      </c>
      <c r="E3870" t="s">
        <v>27016</v>
      </c>
    </row>
    <row r="3871" spans="1:5">
      <c r="A3871" t="s">
        <v>6</v>
      </c>
      <c r="B3871" t="s">
        <v>3876</v>
      </c>
      <c r="C3871">
        <f>HYPERLINK("C:\Users\franc\OneDrive\Documentos\MALENTIN KARIME\Rosa\BANCO ESTADO DE CHILE\ALZAMIENTOS\FRANKIE VEGA RAMOS- MAYO 2011.doc", "Abrir Documento")</f>
        <v>0</v>
      </c>
      <c r="D3871" t="s">
        <v>23500</v>
      </c>
      <c r="E3871" t="s">
        <v>27017</v>
      </c>
    </row>
    <row r="3872" spans="1:5">
      <c r="A3872" t="s">
        <v>6</v>
      </c>
      <c r="B3872" t="s">
        <v>3877</v>
      </c>
      <c r="C3872">
        <f>HYPERLINK("C:\Users\franc\OneDrive\Documentos\MALENTIN KARIME\Rosa\BANCO ESTADO DE CHILE\ALZAMIENTOS\HILDA CORTES TABILO.doc", "Abrir Documento")</f>
        <v>0</v>
      </c>
      <c r="D3872" t="s">
        <v>23500</v>
      </c>
      <c r="E3872" t="s">
        <v>27017</v>
      </c>
    </row>
    <row r="3873" spans="1:5">
      <c r="A3873" t="s">
        <v>6</v>
      </c>
      <c r="B3873" t="s">
        <v>3878</v>
      </c>
      <c r="C3873">
        <f>HYPERLINK("C:\Users\franc\OneDrive\Documentos\MALENTIN KARIME\Rosa\BANCO ESTADO DE CHILE\ALZAMIENTOS\FRANFLIN OMAR OLLARZU PALACIOS.doc", "Abrir Documento")</f>
        <v>0</v>
      </c>
      <c r="D3873" t="s">
        <v>23500</v>
      </c>
      <c r="E3873" t="s">
        <v>27018</v>
      </c>
    </row>
    <row r="3874" spans="1:5">
      <c r="A3874" t="s">
        <v>6</v>
      </c>
      <c r="B3874" t="s">
        <v>3879</v>
      </c>
      <c r="C3874">
        <f>HYPERLINK("C:\Users\franc\OneDrive\Documentos\MALENTIN KARIME\Rosa\BANCO ESTADO DE CHILE\ALZAMIENTOS\ELENA DELGADO ADONIS.doc", "Abrir Documento")</f>
        <v>0</v>
      </c>
      <c r="D3874" t="s">
        <v>23500</v>
      </c>
      <c r="E3874" t="s">
        <v>27019</v>
      </c>
    </row>
    <row r="3875" spans="1:5">
      <c r="A3875" t="s">
        <v>6</v>
      </c>
      <c r="B3875" t="s">
        <v>3880</v>
      </c>
      <c r="C3875">
        <f>HYPERLINK("C:\Users\franc\OneDrive\Documentos\MALENTIN KARIME\Rosa\BANCO ESTADO DE CHILE\ALZAMIENTOS\FLOR MONARDEZ ARAYA.doc", "Abrir Documento")</f>
        <v>0</v>
      </c>
      <c r="D3875" t="s">
        <v>23500</v>
      </c>
      <c r="E3875" t="s">
        <v>27019</v>
      </c>
    </row>
    <row r="3876" spans="1:5">
      <c r="A3876" t="s">
        <v>6</v>
      </c>
      <c r="B3876" t="s">
        <v>3881</v>
      </c>
      <c r="C3876">
        <f>HYPERLINK("C:\Users\franc\OneDrive\Documentos\MALENTIN KARIME\Rosa\BANCO ESTADO DE CHILE\ALZAMIENTOS\ALICIA GALLEGUILLOS CORTES.doc", "Abrir Documento")</f>
        <v>0</v>
      </c>
      <c r="D3876" t="s">
        <v>23500</v>
      </c>
      <c r="E3876" t="s">
        <v>27020</v>
      </c>
    </row>
    <row r="3877" spans="1:5">
      <c r="A3877" t="s">
        <v>6</v>
      </c>
      <c r="B3877" t="s">
        <v>3882</v>
      </c>
      <c r="C3877">
        <f>HYPERLINK("C:\Users\franc\OneDrive\Documentos\MALENTIN KARIME\Rosa\BANCO CORPBANCA\MUTUO\MARCELO CORTES.doc", "Abrir Documento")</f>
        <v>0</v>
      </c>
      <c r="D3877" t="s">
        <v>23500</v>
      </c>
      <c r="E3877" t="s">
        <v>27021</v>
      </c>
    </row>
    <row r="3878" spans="1:5">
      <c r="A3878" t="s">
        <v>6</v>
      </c>
      <c r="B3878" t="s">
        <v>3883</v>
      </c>
      <c r="C3878">
        <f>HYPERLINK("C:\Users\franc\OneDrive\Documentos\MALENTIN KARIME\Rosa\BANCO CORPBANCA\MUTUO\Ana López a Minicozzi.doc", "Abrir Documento")</f>
        <v>0</v>
      </c>
      <c r="D3878" t="s">
        <v>23500</v>
      </c>
      <c r="E3878" t="s">
        <v>27022</v>
      </c>
    </row>
    <row r="3879" spans="1:5">
      <c r="A3879" t="s">
        <v>6</v>
      </c>
      <c r="B3879" t="s">
        <v>3884</v>
      </c>
      <c r="C3879">
        <f>HYPERLINK("C:\Users\franc\OneDrive\Documentos\MALENTIN KARIME\Rosa\BANCO CORPBANCA\MUTUO\Ana Lopez a GIOVANNI MINICOZZI.doc", "Abrir Documento")</f>
        <v>0</v>
      </c>
      <c r="D3879" t="s">
        <v>23500</v>
      </c>
      <c r="E3879" t="s">
        <v>27023</v>
      </c>
    </row>
    <row r="3880" spans="1:5">
      <c r="A3880" t="s">
        <v>6</v>
      </c>
      <c r="B3880" t="s">
        <v>3885</v>
      </c>
      <c r="C3880">
        <f>HYPERLINK("C:\Users\franc\OneDrive\Documentos\MALENTIN KARIME\Rosa\BANCO CORPBANCA\MANDATOS\mandato a corpbanca don raimundo.DOC", "Abrir Documento")</f>
        <v>0</v>
      </c>
      <c r="D3880" t="s">
        <v>23500</v>
      </c>
      <c r="E3880" t="s">
        <v>27024</v>
      </c>
    </row>
    <row r="3881" spans="1:5">
      <c r="A3881" t="s">
        <v>6</v>
      </c>
      <c r="B3881" t="s">
        <v>3886</v>
      </c>
      <c r="C3881">
        <f>HYPERLINK("C:\Users\franc\OneDrive\Documentos\MALENTIN KARIME\Rosa\BANCO CORPBANCA\MANDATOS\RAIMUNDO MANDATO.doc", "Abrir Documento")</f>
        <v>0</v>
      </c>
      <c r="D3881" t="s">
        <v>23500</v>
      </c>
      <c r="E3881" t="s">
        <v>27024</v>
      </c>
    </row>
    <row r="3882" spans="1:5">
      <c r="A3882" t="s">
        <v>6</v>
      </c>
      <c r="B3882" t="s">
        <v>3887</v>
      </c>
      <c r="C3882">
        <f>HYPERLINK("C:\Users\franc\OneDrive\Documentos\MALENTIN KARIME\Rosa\BANCO CORPBANCA\CONTRATOS DE ARRENDAMIENTOS\2006487 Guayacan Limitada.- MARZO 2.doc", "Abrir Documento")</f>
        <v>0</v>
      </c>
      <c r="D3882" t="s">
        <v>23500</v>
      </c>
      <c r="E3882" t="s">
        <v>27025</v>
      </c>
    </row>
    <row r="3883" spans="1:5">
      <c r="A3883" t="s">
        <v>6</v>
      </c>
      <c r="B3883" t="s">
        <v>3888</v>
      </c>
      <c r="C3883">
        <f>HYPERLINK("C:\Users\franc\OneDrive\Documentos\MALENTIN KARIME\Rosa\BANCO CORPBANCA\CONTRATOS DE ARRENDAMIENTOS\Febrero Transportes Guayacan Limitada.doc", "Abrir Documento")</f>
        <v>0</v>
      </c>
      <c r="D3883" t="s">
        <v>23500</v>
      </c>
      <c r="E3883" t="s">
        <v>27025</v>
      </c>
    </row>
    <row r="3884" spans="1:5">
      <c r="A3884" t="s">
        <v>6</v>
      </c>
      <c r="B3884" t="s">
        <v>3889</v>
      </c>
      <c r="C3884">
        <f>HYPERLINK("C:\Users\franc\OneDrive\Documentos\MALENTIN KARIME\Rosa\BANCO CORPBANCA\CESION DERECHOS\CESION DERECHOS ARKON.doc", "Abrir Documento")</f>
        <v>0</v>
      </c>
      <c r="D3884" t="s">
        <v>23500</v>
      </c>
      <c r="E3884" t="s">
        <v>27026</v>
      </c>
    </row>
    <row r="3885" spans="1:5">
      <c r="A3885" t="s">
        <v>6</v>
      </c>
      <c r="B3885" t="s">
        <v>3890</v>
      </c>
      <c r="C3885">
        <f>HYPERLINK("C:\Users\franc\OneDrive\Documentos\MALENTIN KARIME\Rosa\BANCO CORPBANCA\ALZAMIENTO CORPBANCA\BORRADORES\Rubén Casanova Rojas.doc", "Abrir Documento")</f>
        <v>0</v>
      </c>
      <c r="D3885" t="s">
        <v>23500</v>
      </c>
      <c r="E3885" t="s">
        <v>27027</v>
      </c>
    </row>
    <row r="3886" spans="1:5">
      <c r="A3886" t="s">
        <v>6</v>
      </c>
      <c r="B3886" t="s">
        <v>3891</v>
      </c>
      <c r="C3886">
        <f>HYPERLINK("C:\Users\franc\OneDrive\Documentos\MALENTIN KARIME\Rosa\BANCO CORPBANCA\ALZAMIENTO CORPBANCA\BORRADORES\Soc Agric y Forestal Talinay Ltda- Saldo Lt 1-A + 12-A.doc", "Abrir Documento")</f>
        <v>0</v>
      </c>
      <c r="D3886" t="s">
        <v>23500</v>
      </c>
      <c r="E3886" t="s">
        <v>27027</v>
      </c>
    </row>
    <row r="3887" spans="1:5">
      <c r="A3887" t="s">
        <v>6</v>
      </c>
      <c r="B3887" t="s">
        <v>3892</v>
      </c>
      <c r="C3887">
        <f>HYPERLINK("C:\Users\franc\OneDrive\Documentos\MALENTIN KARIME\Rosa\BANCO CORPBANCA\ALZAMIENTO CORPBANCA\BORRADORES\Comb Serv de Transp y Cargo S.A. (Cotracar).doc", "Abrir Documento")</f>
        <v>0</v>
      </c>
      <c r="D3887" t="s">
        <v>23500</v>
      </c>
      <c r="E3887" t="s">
        <v>27028</v>
      </c>
    </row>
    <row r="3888" spans="1:5">
      <c r="A3888" t="s">
        <v>6</v>
      </c>
      <c r="B3888" t="s">
        <v>3893</v>
      </c>
      <c r="C3888">
        <f>HYPERLINK("C:\Users\franc\OneDrive\Documentos\MALENTIN KARIME\Rosa\BANCO CORPBANCA\ALZAMIENTO CORPBANCA\SOCIEDAD AGRICOLA TALINAY.doc", "Abrir Documento")</f>
        <v>0</v>
      </c>
      <c r="D3888" t="s">
        <v>23500</v>
      </c>
      <c r="E3888" t="s">
        <v>27029</v>
      </c>
    </row>
    <row r="3889" spans="1:5">
      <c r="A3889" t="s">
        <v>6</v>
      </c>
      <c r="B3889" t="s">
        <v>3894</v>
      </c>
      <c r="C3889">
        <f>HYPERLINK("C:\Users\franc\OneDrive\Documentos\MALENTIN KARIME\Rosa\BANCO CORPBANCA\ALZAMIENTO CORPBANCA\SENEL TORO.doc", "Abrir Documento")</f>
        <v>0</v>
      </c>
      <c r="D3889" t="s">
        <v>23500</v>
      </c>
      <c r="E3889" t="s">
        <v>27030</v>
      </c>
    </row>
    <row r="3890" spans="1:5">
      <c r="A3890" t="s">
        <v>6</v>
      </c>
      <c r="B3890" t="s">
        <v>3895</v>
      </c>
      <c r="C3890">
        <f>HYPERLINK("C:\Users\franc\OneDrive\Documentos\MALENTIN KARIME\Rosa\BANCO CORPBANCA\ALZAMIENTO CORPBANCA\Senel Toro Iriarte[1].doc", "Abrir Documento")</f>
        <v>0</v>
      </c>
      <c r="D3890" t="s">
        <v>23500</v>
      </c>
      <c r="E3890" t="s">
        <v>27031</v>
      </c>
    </row>
    <row r="3891" spans="1:5">
      <c r="A3891" t="s">
        <v>6</v>
      </c>
      <c r="B3891" t="s">
        <v>3896</v>
      </c>
      <c r="C3891">
        <f>HYPERLINK("C:\Users\franc\OneDrive\Documentos\MALENTIN KARIME\Rosa\BANCO CORPBANCA\ALZAMIENTO CORPBANCA\Samuel Bozo Lorca y otra.doc", "Abrir Documento")</f>
        <v>0</v>
      </c>
      <c r="D3891" t="s">
        <v>23500</v>
      </c>
      <c r="E3891" t="s">
        <v>27032</v>
      </c>
    </row>
    <row r="3892" spans="1:5">
      <c r="A3892" t="s">
        <v>6</v>
      </c>
      <c r="B3892" t="s">
        <v>3897</v>
      </c>
      <c r="C3892">
        <f>HYPERLINK("C:\Users\franc\OneDrive\Documentos\MALENTIN KARIME\Rosa\BANCO CORPBANCA\ALZAMIENTO CORPBANCA\samuel bozo l. y otra.doc", "Abrir Documento")</f>
        <v>0</v>
      </c>
      <c r="D3892" t="s">
        <v>23500</v>
      </c>
      <c r="E3892" t="s">
        <v>27033</v>
      </c>
    </row>
    <row r="3893" spans="1:5">
      <c r="A3893" t="s">
        <v>6</v>
      </c>
      <c r="B3893" t="s">
        <v>3898</v>
      </c>
      <c r="C3893">
        <f>HYPERLINK("C:\Users\franc\OneDrive\Documentos\MALENTIN KARIME\Rosa\BANCO CORPBANCA\ALZAMIENTO CORPBANCA\RUBEN CASANOVA.doc", "Abrir Documento")</f>
        <v>0</v>
      </c>
      <c r="D3893" t="s">
        <v>23500</v>
      </c>
      <c r="E3893" t="s">
        <v>27034</v>
      </c>
    </row>
    <row r="3894" spans="1:5">
      <c r="A3894" t="s">
        <v>6</v>
      </c>
      <c r="B3894" t="s">
        <v>3899</v>
      </c>
      <c r="C3894">
        <f>HYPERLINK("C:\Users\franc\OneDrive\Documentos\MALENTIN KARIME\Rosa\BANCO CORPBANCA\ALZAMIENTO CORPBANCA\RODRIGO TELLO ANDRADE.doc", "Abrir Documento")</f>
        <v>0</v>
      </c>
      <c r="D3894" t="s">
        <v>23500</v>
      </c>
      <c r="E3894" t="s">
        <v>27035</v>
      </c>
    </row>
    <row r="3895" spans="1:5">
      <c r="A3895" t="s">
        <v>6</v>
      </c>
      <c r="B3895" t="s">
        <v>3900</v>
      </c>
      <c r="C3895">
        <f>HYPERLINK("C:\Users\franc\OneDrive\Documentos\MALENTIN KARIME\Rosa\BANCO CORPBANCA\ALZAMIENTO CORPBANCA\RAUL JOFRE CANIVILO.doc", "Abrir Documento")</f>
        <v>0</v>
      </c>
      <c r="D3895" t="s">
        <v>23500</v>
      </c>
      <c r="E3895" t="s">
        <v>27036</v>
      </c>
    </row>
    <row r="3896" spans="1:5">
      <c r="A3896" t="s">
        <v>6</v>
      </c>
      <c r="B3896" t="s">
        <v>3901</v>
      </c>
      <c r="C3896">
        <f>HYPERLINK("C:\Users\franc\OneDrive\Documentos\MALENTIN KARIME\Rosa\BANCO CORPBANCA\ALZAMIENTO CORPBANCA\PATRICIO ALVAREZ B..doc", "Abrir Documento")</f>
        <v>0</v>
      </c>
      <c r="D3896" t="s">
        <v>23500</v>
      </c>
      <c r="E3896" t="s">
        <v>27037</v>
      </c>
    </row>
    <row r="3897" spans="1:5">
      <c r="A3897" t="s">
        <v>6</v>
      </c>
      <c r="B3897" t="s">
        <v>3902</v>
      </c>
      <c r="C3897">
        <f>HYPERLINK("C:\Users\franc\OneDrive\Documentos\MALENTIN KARIME\Rosa\BANCO CORPBANCA\ALZAMIENTO CORPBANCA\MUTUO.doc", "Abrir Documento")</f>
        <v>0</v>
      </c>
      <c r="D3897" t="s">
        <v>23500</v>
      </c>
      <c r="E3897" t="s">
        <v>27038</v>
      </c>
    </row>
    <row r="3898" spans="1:5">
      <c r="A3898" t="s">
        <v>6</v>
      </c>
      <c r="B3898" t="s">
        <v>3903</v>
      </c>
      <c r="C3898">
        <f>HYPERLINK("C:\Users\franc\OneDrive\Documentos\MALENTIN KARIME\Rosa\BANCO CORPBANCA\ALZAMIENTO CORPBANCA\MANDATO.doc", "Abrir Documento")</f>
        <v>0</v>
      </c>
      <c r="D3898" t="s">
        <v>23500</v>
      </c>
      <c r="E3898" t="s">
        <v>27039</v>
      </c>
    </row>
    <row r="3899" spans="1:5">
      <c r="A3899" t="s">
        <v>6</v>
      </c>
      <c r="B3899" t="s">
        <v>3904</v>
      </c>
      <c r="C3899">
        <f>HYPERLINK("C:\Users\franc\OneDrive\Documentos\MALENTIN KARIME\Rosa\BANCO CORPBANCA\ALZAMIENTO CORPBANCA\MITIMAE.doc", "Abrir Documento")</f>
        <v>0</v>
      </c>
      <c r="D3899" t="s">
        <v>23500</v>
      </c>
      <c r="E3899" t="s">
        <v>27039</v>
      </c>
    </row>
    <row r="3900" spans="1:5">
      <c r="A3900" t="s">
        <v>6</v>
      </c>
      <c r="B3900" t="s">
        <v>3905</v>
      </c>
      <c r="C3900">
        <f>HYPERLINK("C:\Users\franc\OneDrive\Documentos\MALENTIN KARIME\Rosa\BANCO CORPBANCA\ALZAMIENTO CORPBANCA\FIDEL ALAYAN.doc", "Abrir Documento")</f>
        <v>0</v>
      </c>
      <c r="D3900" t="s">
        <v>23500</v>
      </c>
      <c r="E3900" t="s">
        <v>27040</v>
      </c>
    </row>
    <row r="3901" spans="1:5">
      <c r="A3901" t="s">
        <v>6</v>
      </c>
      <c r="B3901" t="s">
        <v>3906</v>
      </c>
      <c r="C3901">
        <f>HYPERLINK("C:\Users\franc\OneDrive\Documentos\MALENTIN KARIME\Rosa\BANCO CORPBANCA\ALZAMIENTO CORPBANCA\COMBUSTIBLE SERV. TRANSP. Y CARGO.doc", "Abrir Documento")</f>
        <v>0</v>
      </c>
      <c r="D3901" t="s">
        <v>23500</v>
      </c>
      <c r="E3901" t="s">
        <v>27041</v>
      </c>
    </row>
    <row r="3902" spans="1:5">
      <c r="A3902" t="s">
        <v>6</v>
      </c>
      <c r="B3902" t="s">
        <v>3907</v>
      </c>
      <c r="C3902">
        <f>HYPERLINK("C:\Users\franc\OneDrive\Documentos\MALENTIN KARIME\Rosa\BANCO CORPBANCA\ALZAMIENTO CORPBANCA\encabezado notario.doc", "Abrir Documento")</f>
        <v>0</v>
      </c>
      <c r="D3902" t="s">
        <v>23500</v>
      </c>
      <c r="E3902" t="s">
        <v>27041</v>
      </c>
    </row>
    <row r="3903" spans="1:5">
      <c r="A3903" t="s">
        <v>6</v>
      </c>
      <c r="B3903" t="s">
        <v>3908</v>
      </c>
      <c r="C3903">
        <f>HYPERLINK("C:\Users\franc\OneDrive\Documentos\MALENTIN KARIME\Rosa\BANCO CORPBANCA\ALZAMIENTO CORPBANCA\ALZAMIENTO Fidel.doc", "Abrir Documento")</f>
        <v>0</v>
      </c>
      <c r="D3903" t="s">
        <v>23500</v>
      </c>
      <c r="E3903" t="s">
        <v>27042</v>
      </c>
    </row>
    <row r="3904" spans="1:5">
      <c r="A3904" t="s">
        <v>6</v>
      </c>
      <c r="B3904" t="s">
        <v>3909</v>
      </c>
      <c r="C3904">
        <f>HYPERLINK("C:\Users\franc\OneDrive\Documentos\MALENTIN KARIME\Rosa\BANCO CORPBANCA\Patricio Alvarez Barrios[1].doc", "Abrir Documento")</f>
        <v>0</v>
      </c>
      <c r="D3904" t="s">
        <v>23500</v>
      </c>
      <c r="E3904" t="s">
        <v>27043</v>
      </c>
    </row>
    <row r="3905" spans="1:5">
      <c r="A3905" t="s">
        <v>6</v>
      </c>
      <c r="B3905" t="s">
        <v>3910</v>
      </c>
      <c r="C3905">
        <f>HYPERLINK("C:\Users\franc\OneDrive\Documentos\MALENTIN KARIME\Rosa\BANCO  SCOTIABANK\PRENDAS\borradores\SOC. TRANSPORTES VICAL Y CIA. LTDA..doc", "Abrir Documento")</f>
        <v>0</v>
      </c>
      <c r="D3905" t="s">
        <v>23500</v>
      </c>
      <c r="E3905" t="s">
        <v>27044</v>
      </c>
    </row>
    <row r="3906" spans="1:5">
      <c r="A3906" t="s">
        <v>6</v>
      </c>
      <c r="B3906" t="s">
        <v>3911</v>
      </c>
      <c r="C3906">
        <f>HYPERLINK("C:\Users\franc\OneDrive\Documentos\MALENTIN KARIME\Rosa\BANCO  SCOTIABANK\PRENDAS\borradores\Salvador Castillo Honores - mayo.doc", "Abrir Documento")</f>
        <v>0</v>
      </c>
      <c r="D3906" t="s">
        <v>23500</v>
      </c>
      <c r="E3906" t="s">
        <v>27045</v>
      </c>
    </row>
    <row r="3907" spans="1:5">
      <c r="A3907" t="s">
        <v>6</v>
      </c>
      <c r="B3907" t="s">
        <v>3912</v>
      </c>
      <c r="C3907">
        <f>HYPERLINK("C:\Users\franc\OneDrive\Documentos\MALENTIN KARIME\Rosa\BANCO  SCOTIABANK\PRENDAS\borradores\Salvador Castillo Honores - feb[1].doc", "Abrir Documento")</f>
        <v>0</v>
      </c>
      <c r="D3907" t="s">
        <v>23500</v>
      </c>
      <c r="E3907" t="s">
        <v>27046</v>
      </c>
    </row>
    <row r="3908" spans="1:5">
      <c r="A3908" t="s">
        <v>6</v>
      </c>
      <c r="B3908" t="s">
        <v>3913</v>
      </c>
      <c r="C3908">
        <f>HYPERLINK("C:\Users\franc\OneDrive\Documentos\MALENTIN KARIME\Rosa\BANCO  SCOTIABANK\PRENDAS\borradores\Eduardo Zepeda Robles - abril.doc", "Abrir Documento")</f>
        <v>0</v>
      </c>
      <c r="D3908" t="s">
        <v>23500</v>
      </c>
      <c r="E3908" t="s">
        <v>27047</v>
      </c>
    </row>
    <row r="3909" spans="1:5">
      <c r="A3909" t="s">
        <v>6</v>
      </c>
      <c r="B3909" t="s">
        <v>3914</v>
      </c>
      <c r="C3909">
        <f>HYPERLINK("C:\Users\franc\OneDrive\Documentos\MALENTIN KARIME\Rosa\BANCO  SCOTIABANK\PRENDAS\borradores\Juan Eduardo Robles Zepeda -.doc", "Abrir Documento")</f>
        <v>0</v>
      </c>
      <c r="D3909" t="s">
        <v>23500</v>
      </c>
      <c r="E3909" t="s">
        <v>27047</v>
      </c>
    </row>
    <row r="3910" spans="1:5">
      <c r="A3910" t="s">
        <v>6</v>
      </c>
      <c r="B3910" t="s">
        <v>3915</v>
      </c>
      <c r="C3910">
        <f>HYPERLINK("C:\Users\franc\OneDrive\Documentos\MALENTIN KARIME\Rosa\BANCO  SCOTIABANK\PRENDAS\SOCIEDAD TRANSPOR. VICAL Y CIA. LTDA..doc", "Abrir Documento")</f>
        <v>0</v>
      </c>
      <c r="D3910" t="s">
        <v>23500</v>
      </c>
      <c r="E3910" t="s">
        <v>27048</v>
      </c>
    </row>
    <row r="3911" spans="1:5">
      <c r="A3911" t="s">
        <v>6</v>
      </c>
      <c r="B3911" t="s">
        <v>3916</v>
      </c>
      <c r="C3911">
        <f>HYPERLINK("C:\Users\franc\OneDrive\Documentos\MALENTIN KARIME\Rosa\BANCO  SCOTIABANK\PRENDAS\SALVADOR F. CASTILLO HONORES MARZO 2011.doc", "Abrir Documento")</f>
        <v>0</v>
      </c>
      <c r="D3911" t="s">
        <v>23500</v>
      </c>
      <c r="E3911" t="s">
        <v>27049</v>
      </c>
    </row>
    <row r="3912" spans="1:5">
      <c r="A3912" t="s">
        <v>6</v>
      </c>
      <c r="B3912" t="s">
        <v>3917</v>
      </c>
      <c r="C3912">
        <f>HYPERLINK("C:\Users\franc\OneDrive\Documentos\MALENTIN KARIME\Rosa\BANCO  SCOTIABANK\PRENDAS\JUAN ROBLES ZEPEDA.doc", "Abrir Documento")</f>
        <v>0</v>
      </c>
      <c r="D3912" t="s">
        <v>23500</v>
      </c>
      <c r="E3912" t="s">
        <v>27050</v>
      </c>
    </row>
    <row r="3913" spans="1:5">
      <c r="A3913" t="s">
        <v>6</v>
      </c>
      <c r="B3913" t="s">
        <v>3918</v>
      </c>
      <c r="C3913">
        <f>HYPERLINK("C:\Users\franc\OneDrive\Documentos\MALENTIN KARIME\Rosa\BANCO  SCOTIABANK\PRENDAS\SALVADOR CASTILLO MAYO 2011.doc", "Abrir Documento")</f>
        <v>0</v>
      </c>
      <c r="D3913" t="s">
        <v>23500</v>
      </c>
      <c r="E3913" t="s">
        <v>27050</v>
      </c>
    </row>
    <row r="3914" spans="1:5">
      <c r="A3914" t="s">
        <v>6</v>
      </c>
      <c r="B3914" t="s">
        <v>3919</v>
      </c>
      <c r="C3914">
        <f>HYPERLINK("C:\Users\franc\OneDrive\Documentos\MALENTIN KARIME\Rosa\BANCO  SCOTIABANK\MUTUOS\WILFREDO ALFARO A MARIA ALFARO.doc", "Abrir Documento")</f>
        <v>0</v>
      </c>
      <c r="D3914" t="s">
        <v>23500</v>
      </c>
      <c r="E3914" t="s">
        <v>27051</v>
      </c>
    </row>
    <row r="3915" spans="1:5">
      <c r="A3915" t="s">
        <v>6</v>
      </c>
      <c r="B3915" t="s">
        <v>3920</v>
      </c>
      <c r="C3915">
        <f>HYPERLINK("C:\Users\franc\OneDrive\Documentos\MALENTIN KARIME\Rosa\BANCO  SCOTIABANK\PRENDAS\EDUARDO ZEPEDA.doc", "Abrir Documento")</f>
        <v>0</v>
      </c>
      <c r="D3915" t="s">
        <v>23500</v>
      </c>
      <c r="E3915" t="s">
        <v>27051</v>
      </c>
    </row>
    <row r="3916" spans="1:5">
      <c r="A3916" t="s">
        <v>6</v>
      </c>
      <c r="B3916" t="s">
        <v>3921</v>
      </c>
      <c r="C3916">
        <f>HYPERLINK("C:\Users\franc\OneDrive\Documentos\MALENTIN KARIME\Rosa\BANCO  SCOTIABANK\MUTUOS\MARIO BULO - SCOTIABANK.doc", "Abrir Documento")</f>
        <v>0</v>
      </c>
      <c r="D3916" t="s">
        <v>23500</v>
      </c>
      <c r="E3916" t="s">
        <v>27052</v>
      </c>
    </row>
    <row r="3917" spans="1:5">
      <c r="A3917" t="s">
        <v>6</v>
      </c>
      <c r="B3917" t="s">
        <v>3922</v>
      </c>
      <c r="C3917">
        <f>HYPERLINK("C:\Users\franc\OneDrive\Documentos\MALENTIN KARIME\Rosa\BANCO  SCOTIABANK\MUTUOS\JOSE AELINO A SCOTIABANK.doc", "Abrir Documento")</f>
        <v>0</v>
      </c>
      <c r="D3917" t="s">
        <v>23500</v>
      </c>
      <c r="E3917" t="s">
        <v>27053</v>
      </c>
    </row>
    <row r="3918" spans="1:5">
      <c r="A3918" t="s">
        <v>6</v>
      </c>
      <c r="B3918" t="s">
        <v>3923</v>
      </c>
      <c r="C3918">
        <f>HYPERLINK("C:\Users\franc\OneDrive\Documentos\MALENTIN KARIME\Rosa\BANCO  SCOTIABANK\MUTUOS\027 -Cvta y Mutuo  Wilfredo Alfaro a MARIA ARAYA MAYA. mayo.doc", "Abrir Documento")</f>
        <v>0</v>
      </c>
      <c r="D3918" t="s">
        <v>23500</v>
      </c>
      <c r="E3918" t="s">
        <v>27054</v>
      </c>
    </row>
    <row r="3919" spans="1:5">
      <c r="A3919" t="s">
        <v>6</v>
      </c>
      <c r="B3919" t="s">
        <v>3924</v>
      </c>
      <c r="C3919">
        <f>HYPERLINK("C:\Users\franc\OneDrive\Documentos\MALENTIN KARIME\Rosa\BANCO  SCOTIABANK\HIPOTECAS\JUAN LOPEZ PIZARRO.doc", "Abrir Documento")</f>
        <v>0</v>
      </c>
      <c r="D3919" t="s">
        <v>23500</v>
      </c>
      <c r="E3919" t="s">
        <v>27055</v>
      </c>
    </row>
    <row r="3920" spans="1:5">
      <c r="A3920" t="s">
        <v>6</v>
      </c>
      <c r="B3920" t="s">
        <v>3925</v>
      </c>
      <c r="C3920">
        <f>HYPERLINK("C:\Users\franc\OneDrive\Documentos\MALENTIN KARIME\Rosa\BANCO  SCOTIABANK\MANDATO ILLAPIN MAYO 2011\mandato.doc", "Abrir Documento")</f>
        <v>0</v>
      </c>
      <c r="D3920" t="s">
        <v>23500</v>
      </c>
      <c r="E3920" t="s">
        <v>27055</v>
      </c>
    </row>
    <row r="3921" spans="1:5">
      <c r="A3921" t="s">
        <v>6</v>
      </c>
      <c r="B3921" t="s">
        <v>3926</v>
      </c>
      <c r="C3921">
        <f>HYPERLINK("C:\Users\franc\OneDrive\Documentos\MALENTIN KARIME\Rosa\BANCO  SCOTIABANK\HIPOTECAS\EDUARDO ZEPEDA.doc", "Abrir Documento")</f>
        <v>0</v>
      </c>
      <c r="D3921" t="s">
        <v>23500</v>
      </c>
      <c r="E3921" t="s">
        <v>27056</v>
      </c>
    </row>
    <row r="3922" spans="1:5">
      <c r="A3922" t="s">
        <v>6</v>
      </c>
      <c r="B3922" t="s">
        <v>3927</v>
      </c>
      <c r="C3922">
        <f>HYPERLINK("C:\Users\franc\OneDrive\Documentos\MALENTIN KARIME\Rosa\BANCO  SCOTIABANK\HIPOTECAS\CONDE Y DIAZ LIMITADA.doc", "Abrir Documento")</f>
        <v>0</v>
      </c>
      <c r="D3922" t="s">
        <v>23500</v>
      </c>
      <c r="E3922" t="s">
        <v>27057</v>
      </c>
    </row>
    <row r="3923" spans="1:5">
      <c r="A3923" t="s">
        <v>6</v>
      </c>
      <c r="B3923" t="s">
        <v>3928</v>
      </c>
      <c r="C3923">
        <f>HYPERLINK("C:\Users\franc\OneDrive\Documentos\MALENTIN KARIME\Rosa\BANCO  SCOTIABANK\HIPOTECAS\COMERCIAL MIRADOR.doc", "Abrir Documento")</f>
        <v>0</v>
      </c>
      <c r="D3923" t="s">
        <v>23500</v>
      </c>
      <c r="E3923" t="s">
        <v>27058</v>
      </c>
    </row>
    <row r="3924" spans="1:5">
      <c r="A3924" t="s">
        <v>6</v>
      </c>
      <c r="B3924" t="s">
        <v>3929</v>
      </c>
      <c r="C3924">
        <f>HYPERLINK("C:\Users\franc\OneDrive\Documentos\MALENTIN KARIME\Rosa\BANCO  SCOTIABANK\COMPRAVENTAS\BORRADORES\Mutuo  Mario Frias Bulo. marzo.doc", "Abrir Documento")</f>
        <v>0</v>
      </c>
      <c r="D3924" t="s">
        <v>23500</v>
      </c>
      <c r="E3924" t="s">
        <v>27059</v>
      </c>
    </row>
    <row r="3925" spans="1:5">
      <c r="A3925" t="s">
        <v>6</v>
      </c>
      <c r="B3925" t="s">
        <v>3930</v>
      </c>
      <c r="C3925">
        <f>HYPERLINK("C:\Users\franc\OneDrive\Documentos\MALENTIN KARIME\Rosa\BANCO  SCOTIABANK\COMPRAVENTAS\BORRADORES\CARMEN MICCONO A JORGE QUIROZ.doc", "Abrir Documento")</f>
        <v>0</v>
      </c>
      <c r="D3925" t="s">
        <v>23500</v>
      </c>
      <c r="E3925" t="s">
        <v>27060</v>
      </c>
    </row>
    <row r="3926" spans="1:5">
      <c r="A3926" t="s">
        <v>6</v>
      </c>
      <c r="B3926" t="s">
        <v>3931</v>
      </c>
      <c r="C3926">
        <f>HYPERLINK("C:\Users\franc\OneDrive\Documentos\MALENTIN KARIME\Rosa\BANCO  SCOTIABANK\COMPRAVENTAS\BORRADORES\DOBLE M FEBRERO 2011.doc", "Abrir Documento")</f>
        <v>0</v>
      </c>
      <c r="D3926" t="s">
        <v>23500</v>
      </c>
      <c r="E3926" t="s">
        <v>27060</v>
      </c>
    </row>
    <row r="3927" spans="1:5">
      <c r="A3927" t="s">
        <v>6</v>
      </c>
      <c r="B3927" t="s">
        <v>3932</v>
      </c>
      <c r="C3927">
        <f>HYPERLINK("C:\Users\franc\OneDrive\Documentos\MALENTIN KARIME\Rosa\BANCO  SCOTIABANK\COMPRAVENTAS\DOBLE M - BERNARDO GONZALEZ CORTES.doc", "Abrir Documento")</f>
        <v>0</v>
      </c>
      <c r="D3927" t="s">
        <v>23500</v>
      </c>
      <c r="E3927" t="s">
        <v>27061</v>
      </c>
    </row>
    <row r="3928" spans="1:5">
      <c r="A3928" t="s">
        <v>6</v>
      </c>
      <c r="B3928" t="s">
        <v>3933</v>
      </c>
      <c r="C3928">
        <f>HYPERLINK("C:\Users\franc\OneDrive\Documentos\MALENTIN KARIME\Rosa\BANCO  SCOTIABANK\COMPRAVENTAS\NELIDA ZUMARAN-EDILIO CORTES.doc", "Abrir Documento")</f>
        <v>0</v>
      </c>
      <c r="D3928" t="s">
        <v>23500</v>
      </c>
      <c r="E3928" t="s">
        <v>27061</v>
      </c>
    </row>
    <row r="3929" spans="1:5">
      <c r="A3929" t="s">
        <v>6</v>
      </c>
      <c r="B3929" t="s">
        <v>3934</v>
      </c>
      <c r="C3929">
        <f>HYPERLINK("C:\Users\franc\OneDrive\Documentos\MALENTIN KARIME\Rosa\BANCO  SCOTIABANK\COMPRAVENTAS\carta de resguardo bernardo gonzalez cortes.doc", "Abrir Documento")</f>
        <v>0</v>
      </c>
      <c r="D3929" t="s">
        <v>23500</v>
      </c>
      <c r="E3929" t="s">
        <v>27062</v>
      </c>
    </row>
    <row r="3930" spans="1:5">
      <c r="A3930" t="s">
        <v>6</v>
      </c>
      <c r="B3930" t="s">
        <v>3935</v>
      </c>
      <c r="C3930">
        <f>HYPERLINK("C:\Users\franc\OneDrive\Documentos\MALENTIN KARIME\Rosa\BANCO  SCOTIABANK\COMPRAVENTAS\CARMEN MICONO Y OTROS - JORGE QUIROZ.doc", "Abrir Documento")</f>
        <v>0</v>
      </c>
      <c r="D3930" t="s">
        <v>23500</v>
      </c>
      <c r="E3930" t="s">
        <v>27063</v>
      </c>
    </row>
    <row r="3931" spans="1:5">
      <c r="A3931" t="s">
        <v>6</v>
      </c>
      <c r="B3931" t="s">
        <v>3936</v>
      </c>
      <c r="C3931">
        <f>HYPERLINK("C:\Users\franc\OneDrive\Documentos\MALENTIN KARIME\Rosa\BANCO  SCOTIABANK\AMPLIA. Y MODIFIC. SCOTIABANK CHILE\AMPLIACION TOMAS CORTES FUENTES.doc", "Abrir Documento")</f>
        <v>0</v>
      </c>
      <c r="D3931" t="s">
        <v>23500</v>
      </c>
      <c r="E3931" t="s">
        <v>27064</v>
      </c>
    </row>
    <row r="3932" spans="1:5">
      <c r="A3932" t="s">
        <v>6</v>
      </c>
      <c r="B3932" t="s">
        <v>3937</v>
      </c>
      <c r="C3932">
        <f>HYPERLINK("C:\Users\franc\OneDrive\Documentos\MALENTIN KARIME\Rosa\BANCO  SCOTIABANK\AMPLIA. Y MODIFIC. SCOTIABANK CHILE\TOMAS CORTES FUENTES.doc", "Abrir Documento")</f>
        <v>0</v>
      </c>
      <c r="D3932" t="s">
        <v>23500</v>
      </c>
      <c r="E3932" t="s">
        <v>27064</v>
      </c>
    </row>
    <row r="3933" spans="1:5">
      <c r="A3933" t="s">
        <v>6</v>
      </c>
      <c r="B3933" t="s">
        <v>3938</v>
      </c>
      <c r="C3933">
        <f>HYPERLINK("C:\Users\franc\OneDrive\Documentos\MALENTIN KARIME\Rosa\BANCO  SCOTIABANK\ALZAMIENTOS\BORRADORES\Sonia_Madrid_Mondaca._enero[1].doc", "Abrir Documento")</f>
        <v>0</v>
      </c>
      <c r="D3933" t="s">
        <v>23500</v>
      </c>
      <c r="E3933" t="s">
        <v>27065</v>
      </c>
    </row>
    <row r="3934" spans="1:5">
      <c r="A3934" t="s">
        <v>6</v>
      </c>
      <c r="B3934" t="s">
        <v>3939</v>
      </c>
      <c r="C3934">
        <f>HYPERLINK("C:\Users\franc\OneDrive\Documentos\MALENTIN KARIME\Rosa\BANCO  SCOTIABANK\ALZAMIENTOS\BORRADORES\Raquel Loyola Rojas - 1.doc", "Abrir Documento")</f>
        <v>0</v>
      </c>
      <c r="D3934" t="s">
        <v>23500</v>
      </c>
      <c r="E3934" t="s">
        <v>27066</v>
      </c>
    </row>
    <row r="3935" spans="1:5">
      <c r="A3935" t="s">
        <v>6</v>
      </c>
      <c r="B3935" t="s">
        <v>3940</v>
      </c>
      <c r="C3935">
        <f>HYPERLINK("C:\Users\franc\OneDrive\Documentos\MALENTIN KARIME\Rosa\BANCO  SCOTIABANK\ALZAMIENTOS\BORRADORES\Raquel del T. Loyola Rojas - 2.doc", "Abrir Documento")</f>
        <v>0</v>
      </c>
      <c r="D3935" t="s">
        <v>23500</v>
      </c>
      <c r="E3935" t="s">
        <v>27067</v>
      </c>
    </row>
    <row r="3936" spans="1:5">
      <c r="A3936" t="s">
        <v>6</v>
      </c>
      <c r="B3936" t="s">
        <v>3941</v>
      </c>
      <c r="C3936">
        <f>HYPERLINK("C:\Users\franc\OneDrive\Documentos\MALENTIN KARIME\Rosa\BANCO  SCOTIABANK\ALZAMIENTOS\BORRADORES\Juana Rojas Araya. marzo.doc", "Abrir Documento")</f>
        <v>0</v>
      </c>
      <c r="D3936" t="s">
        <v>23500</v>
      </c>
      <c r="E3936" t="s">
        <v>27068</v>
      </c>
    </row>
    <row r="3937" spans="1:5">
      <c r="A3937" t="s">
        <v>6</v>
      </c>
      <c r="B3937" t="s">
        <v>3942</v>
      </c>
      <c r="C3937">
        <f>HYPERLINK("C:\Users\franc\OneDrive\Documentos\MALENTIN KARIME\Rosa\BANCO  SCOTIABANK\ALZAMIENTOS\BORRADORES\Juana Rojas Araya. marzo-1.doc", "Abrir Documento")</f>
        <v>0</v>
      </c>
      <c r="D3937" t="s">
        <v>23500</v>
      </c>
      <c r="E3937" t="s">
        <v>27069</v>
      </c>
    </row>
    <row r="3938" spans="1:5">
      <c r="A3938" t="s">
        <v>6</v>
      </c>
      <c r="B3938" t="s">
        <v>3943</v>
      </c>
      <c r="C3938">
        <f>HYPERLINK("C:\Users\franc\OneDrive\Documentos\MALENTIN KARIME\Rosa\BANCO  SCOTIABANK\ALZAMIENTOS\BORRADORES\Benjamin Rivera Castillo[1]. enero.doc", "Abrir Documento")</f>
        <v>0</v>
      </c>
      <c r="D3938" t="s">
        <v>23500</v>
      </c>
      <c r="E3938" t="s">
        <v>27070</v>
      </c>
    </row>
    <row r="3939" spans="1:5">
      <c r="A3939" t="s">
        <v>6</v>
      </c>
      <c r="B3939" t="s">
        <v>3944</v>
      </c>
      <c r="C3939">
        <f>HYPERLINK("C:\Users\franc\OneDrive\Documentos\MALENTIN KARIME\Rosa\BANCO  SCOTIABANK\ALZAMIENTOS\BORRADORES\Carlos Rojas Araya. marzo.doc", "Abrir Documento")</f>
        <v>0</v>
      </c>
      <c r="D3939" t="s">
        <v>23500</v>
      </c>
      <c r="E3939" t="s">
        <v>27070</v>
      </c>
    </row>
    <row r="3940" spans="1:5">
      <c r="A3940" t="s">
        <v>6</v>
      </c>
      <c r="B3940" t="s">
        <v>3945</v>
      </c>
      <c r="C3940">
        <f>HYPERLINK("C:\Users\franc\OneDrive\Documentos\MALENTIN KARIME\Rosa\BANCO  SCOTIABANK\ALZAMIENTOS\RENATO GUERRA  MIRANDA.doc", "Abrir Documento")</f>
        <v>0</v>
      </c>
      <c r="D3940" t="s">
        <v>23500</v>
      </c>
      <c r="E3940" t="s">
        <v>27071</v>
      </c>
    </row>
    <row r="3941" spans="1:5">
      <c r="A3941" t="s">
        <v>6</v>
      </c>
      <c r="B3941" t="s">
        <v>3946</v>
      </c>
      <c r="C3941">
        <f>HYPERLINK("C:\Users\franc\OneDrive\Documentos\MALENTIN KARIME\Rosa\BANCO  SCOTIABANK\ALZAMIENTOS\BORRADORES\Augusto Cortes Tapia[1]. marzo.doc", "Abrir Documento")</f>
        <v>0</v>
      </c>
      <c r="D3941" t="s">
        <v>23500</v>
      </c>
      <c r="E3941" t="s">
        <v>27071</v>
      </c>
    </row>
    <row r="3942" spans="1:5">
      <c r="A3942" t="s">
        <v>6</v>
      </c>
      <c r="B3942" t="s">
        <v>3947</v>
      </c>
      <c r="C3942">
        <f>HYPERLINK("C:\Users\franc\OneDrive\Documentos\MALENTIN KARIME\Rosa\BANCO  SCOTIABANK\ALZAMIENTOS\Renato  Guerra Miranda  t y a - mayo.doc", "Abrir Documento")</f>
        <v>0</v>
      </c>
      <c r="D3942" t="s">
        <v>23500</v>
      </c>
      <c r="E3942" t="s">
        <v>27072</v>
      </c>
    </row>
    <row r="3943" spans="1:5">
      <c r="A3943" t="s">
        <v>6</v>
      </c>
      <c r="B3943" t="s">
        <v>3948</v>
      </c>
      <c r="C3943">
        <f>HYPERLINK("C:\Users\franc\OneDrive\Documentos\MALENTIN KARIME\Rosa\BANCO  SCOTIABANK\ALZAMIENTOS\RAQUEL LOYOLA ROJAS.doc", "Abrir Documento")</f>
        <v>0</v>
      </c>
      <c r="D3943" t="s">
        <v>23500</v>
      </c>
      <c r="E3943" t="s">
        <v>27073</v>
      </c>
    </row>
    <row r="3944" spans="1:5">
      <c r="A3944" t="s">
        <v>6</v>
      </c>
      <c r="B3944" t="s">
        <v>3949</v>
      </c>
      <c r="C3944">
        <f>HYPERLINK("C:\Users\franc\OneDrive\Documentos\MALENTIN KARIME\Rosa\BANCO  SCOTIABANK\ALZAMIENTOS\RAQUEL LOYOLA ROJAS 2.doc", "Abrir Documento")</f>
        <v>0</v>
      </c>
      <c r="D3944" t="s">
        <v>23500</v>
      </c>
      <c r="E3944" t="s">
        <v>27074</v>
      </c>
    </row>
    <row r="3945" spans="1:5">
      <c r="A3945" t="s">
        <v>6</v>
      </c>
      <c r="B3945" t="s">
        <v>3950</v>
      </c>
      <c r="C3945">
        <f>HYPERLINK("C:\Users\franc\OneDrive\Documentos\MALENTIN KARIME\Rosa\BANCO  SCOTIABANK\ALZAMIENTOS\NORA VEGA.doc", "Abrir Documento")</f>
        <v>0</v>
      </c>
      <c r="D3945" t="s">
        <v>23500</v>
      </c>
      <c r="E3945" t="s">
        <v>27075</v>
      </c>
    </row>
    <row r="3946" spans="1:5">
      <c r="A3946" t="s">
        <v>6</v>
      </c>
      <c r="B3946" t="s">
        <v>3951</v>
      </c>
      <c r="C3946">
        <f>HYPERLINK("C:\Users\franc\OneDrive\Documentos\MALENTIN KARIME\Rosa\BANCO  SCOTIABANK\ALZAMIENTOS\MARIA.doc", "Abrir Documento")</f>
        <v>0</v>
      </c>
      <c r="D3946" t="s">
        <v>23500</v>
      </c>
      <c r="E3946" t="s">
        <v>27076</v>
      </c>
    </row>
    <row r="3947" spans="1:5">
      <c r="A3947" t="s">
        <v>6</v>
      </c>
      <c r="B3947" t="s">
        <v>3952</v>
      </c>
      <c r="C3947">
        <f>HYPERLINK("C:\Users\franc\OneDrive\Documentos\MALENTIN KARIME\Rosa\BANCO  SCOTIABANK\ALZAMIENTOS\Maria Plaza y Rosana Santibañez Zanforlín - mayo ALZAMIENTO.doc", "Abrir Documento")</f>
        <v>0</v>
      </c>
      <c r="D3947" t="s">
        <v>23500</v>
      </c>
      <c r="E3947" t="s">
        <v>27077</v>
      </c>
    </row>
    <row r="3948" spans="1:5">
      <c r="A3948" t="s">
        <v>6</v>
      </c>
      <c r="B3948" t="s">
        <v>3953</v>
      </c>
      <c r="C3948">
        <f>HYPERLINK("C:\Users\franc\OneDrive\Documentos\MALENTIN KARIME\Rosa\BANCO  SCOTIABANK\ALZAMIENTOS\JOSE AVELINO CONTRERAS PINILLA.doc", "Abrir Documento")</f>
        <v>0</v>
      </c>
      <c r="D3948" t="s">
        <v>23500</v>
      </c>
      <c r="E3948" t="s">
        <v>27078</v>
      </c>
    </row>
    <row r="3949" spans="1:5">
      <c r="A3949" t="s">
        <v>6</v>
      </c>
      <c r="B3949" t="s">
        <v>3954</v>
      </c>
      <c r="C3949">
        <f>HYPERLINK("C:\Users\franc\OneDrive\Documentos\MALENTIN KARIME\Rosa\BANCO  SCOTIABANK\ALZAMIENTOS\encabezado notario.doc", "Abrir Documento")</f>
        <v>0</v>
      </c>
      <c r="D3949" t="s">
        <v>23500</v>
      </c>
      <c r="E3949" t="s">
        <v>27079</v>
      </c>
    </row>
    <row r="3950" spans="1:5">
      <c r="A3950" t="s">
        <v>6</v>
      </c>
      <c r="B3950" t="s">
        <v>3955</v>
      </c>
      <c r="C3950">
        <f>HYPERLINK("C:\Users\franc\OneDrive\Documentos\MALENTIN KARIME\Rosa\BANCO  SCOTIABANK\ALZAMIENTOS\carlos Rojas.doc", "Abrir Documento")</f>
        <v>0</v>
      </c>
      <c r="D3950" t="s">
        <v>23500</v>
      </c>
      <c r="E3950" t="s">
        <v>27080</v>
      </c>
    </row>
    <row r="3951" spans="1:5">
      <c r="A3951" t="s">
        <v>6</v>
      </c>
      <c r="B3951" t="s">
        <v>3956</v>
      </c>
      <c r="C3951">
        <f>HYPERLINK("C:\Users\franc\OneDrive\Documentos\MALENTIN KARIME\Rosa\BANCO  SCOTIABANK\ALZAMIENTOS\BENJAMIN CORTES.doc", "Abrir Documento")</f>
        <v>0</v>
      </c>
      <c r="D3951" t="s">
        <v>23500</v>
      </c>
      <c r="E3951" t="s">
        <v>27081</v>
      </c>
    </row>
    <row r="3952" spans="1:5">
      <c r="A3952" t="s">
        <v>6</v>
      </c>
      <c r="B3952" t="s">
        <v>3957</v>
      </c>
      <c r="C3952">
        <f>HYPERLINK("C:\Users\franc\OneDrive\Documentos\MALENTIN KARIME\Rosa\BANCO  SCOTIABANK\ALZAMIENTOS\ALZAMIENTO HIPOTECA SONIA MADRID MONDACA.doc", "Abrir Documento")</f>
        <v>0</v>
      </c>
      <c r="D3952" t="s">
        <v>23500</v>
      </c>
      <c r="E3952" t="s">
        <v>27082</v>
      </c>
    </row>
    <row r="3953" spans="1:5">
      <c r="A3953" t="s">
        <v>6</v>
      </c>
      <c r="B3953" t="s">
        <v>3958</v>
      </c>
      <c r="C3953">
        <f>HYPERLINK("C:\Users\franc\OneDrive\Documentos\MALENTIN KARIME\Rosa\BANCO  SCOTIABANK\ALZAMIENTOS\ALZAMIENTO PRENDA BENJAMIN RIVERA.doc", "Abrir Documento")</f>
        <v>0</v>
      </c>
      <c r="D3953" t="s">
        <v>23500</v>
      </c>
      <c r="E3953" t="s">
        <v>27082</v>
      </c>
    </row>
    <row r="3954" spans="1:5">
      <c r="A3954" t="s">
        <v>6</v>
      </c>
      <c r="B3954" t="s">
        <v>3959</v>
      </c>
      <c r="C3954">
        <f>HYPERLINK("C:\Users\franc\OneDrive\Documentos\MALENTIN KARIME\Rosa\BANCO  SCOTIABANK\ALZAMIENTOS\ALZAMIENTO  PRENDA JUANA ROJAS.doc", "Abrir Documento")</f>
        <v>0</v>
      </c>
      <c r="D3954" t="s">
        <v>23500</v>
      </c>
      <c r="E3954" t="s">
        <v>27083</v>
      </c>
    </row>
    <row r="3955" spans="1:5">
      <c r="A3955" t="s">
        <v>6</v>
      </c>
      <c r="B3955" t="s">
        <v>3960</v>
      </c>
      <c r="C3955">
        <f>HYPERLINK("C:\Users\franc\OneDrive\Documentos\MALENTIN KARIME\Rosa\BANCO  SCOTIABANK\ALZAMIENTOS\ALZAMIENTO HIPOTECA JUANA ROJAS.doc", "Abrir Documento")</f>
        <v>0</v>
      </c>
      <c r="D3955" t="s">
        <v>23500</v>
      </c>
      <c r="E3955" t="s">
        <v>27083</v>
      </c>
    </row>
    <row r="3956" spans="1:5">
      <c r="A3956" t="s">
        <v>6</v>
      </c>
      <c r="B3956" t="s">
        <v>3961</v>
      </c>
      <c r="C3956">
        <f>HYPERLINK("C:\Users\franc\OneDrive\Documentos\MALENTIN KARIME\Rosa\BANCO  SCOTIABANK\ALZAMIENTOS\Alvaro González Marambio - mayo.doc", "Abrir Documento")</f>
        <v>0</v>
      </c>
      <c r="D3956" t="s">
        <v>23500</v>
      </c>
      <c r="E3956" t="s">
        <v>27084</v>
      </c>
    </row>
    <row r="3957" spans="1:5">
      <c r="A3957" t="s">
        <v>6</v>
      </c>
      <c r="B3957" t="s">
        <v>3962</v>
      </c>
      <c r="C3957">
        <f>HYPERLINK("C:\Users\franc\OneDrive\Documentos\MALENTIN KARIME\Rosa\BANCO  SCOTIABANK\ALZAMIENTOS\ALVARO GONZALEZ.doc", "Abrir Documento")</f>
        <v>0</v>
      </c>
      <c r="D3957" t="s">
        <v>23500</v>
      </c>
      <c r="E3957" t="s">
        <v>27085</v>
      </c>
    </row>
    <row r="3958" spans="1:5">
      <c r="A3958" t="s">
        <v>6</v>
      </c>
      <c r="B3958" t="s">
        <v>3963</v>
      </c>
      <c r="C3958">
        <f>HYPERLINK("C:\Users\franc\OneDrive\Documentos\MALENTIN KARIME\Rosa\BANCO  SCOTIABANK\MANDATO ILLAPIN.doc", "Abrir Documento")</f>
        <v>0</v>
      </c>
      <c r="D3958" t="s">
        <v>23500</v>
      </c>
      <c r="E3958" t="s">
        <v>27086</v>
      </c>
    </row>
    <row r="3959" spans="1:5">
      <c r="A3959" t="s">
        <v>6</v>
      </c>
      <c r="B3959" t="s">
        <v>3964</v>
      </c>
      <c r="C3959">
        <f>HYPERLINK("C:\Users\franc\OneDrive\Documentos\MALENTIN KARIME\Rosa\ASICOM\SEPTIEMBRE\PROTOCOLIZACIONES\CRISTIAN INOSTROZA ARAYA.doc", "Abrir Documento")</f>
        <v>0</v>
      </c>
      <c r="D3959" t="s">
        <v>23500</v>
      </c>
      <c r="E3959" t="s">
        <v>27087</v>
      </c>
    </row>
    <row r="3960" spans="1:5">
      <c r="A3960" t="s">
        <v>6</v>
      </c>
      <c r="B3960" t="s">
        <v>3965</v>
      </c>
      <c r="C3960">
        <f>HYPERLINK("C:\Users\franc\OneDrive\Documentos\MALENTIN KARIME\Rosa\ASICOM\RECTIFICACION ASICOM\VIOLETA GONZALEZ ROJAS\VIOLETA GONZALEZ ROJAS.doc", "Abrir Documento")</f>
        <v>0</v>
      </c>
      <c r="D3960" t="s">
        <v>23500</v>
      </c>
      <c r="E3960" t="s">
        <v>27088</v>
      </c>
    </row>
    <row r="3961" spans="1:5">
      <c r="A3961" t="s">
        <v>6</v>
      </c>
      <c r="B3961" t="s">
        <v>3966</v>
      </c>
      <c r="C3961">
        <f>HYPERLINK("C:\Users\franc\OneDrive\Documentos\MALENTIN KARIME\Rosa\ASICOM\RECTIFICACION ASICOM\VIOLETA GONZALEZ ROJAS\GONZALEZ_ROJAS_VIOLETA_ELENA[1].doc", "Abrir Documento")</f>
        <v>0</v>
      </c>
      <c r="D3961" t="s">
        <v>23500</v>
      </c>
      <c r="E3961" t="s">
        <v>27089</v>
      </c>
    </row>
    <row r="3962" spans="1:5">
      <c r="A3962" t="s">
        <v>6</v>
      </c>
      <c r="B3962" t="s">
        <v>3967</v>
      </c>
      <c r="C3962">
        <f>HYPERLINK("C:\Users\franc\OneDrive\Documentos\MALENTIN KARIME\Rosa\ASICOM\RECTIFICACION ASICOM\PAULA DUBO CORTES\PAULA DUBO CORTES.doc", "Abrir Documento")</f>
        <v>0</v>
      </c>
      <c r="D3962" t="s">
        <v>23500</v>
      </c>
      <c r="E3962" t="s">
        <v>27090</v>
      </c>
    </row>
    <row r="3963" spans="1:5">
      <c r="A3963" t="s">
        <v>6</v>
      </c>
      <c r="B3963" t="s">
        <v>3968</v>
      </c>
      <c r="C3963">
        <f>HYPERLINK("C:\Users\franc\OneDrive\Documentos\MALENTIN KARIME\Rosa\ASICOM\RECTIFICACION ASICOM\PAULA DUBO CORTES\DUBO_CORTES_PAULA_PATRICIA[1].doc", "Abrir Documento")</f>
        <v>0</v>
      </c>
      <c r="D3963" t="s">
        <v>23500</v>
      </c>
      <c r="E3963" t="s">
        <v>27091</v>
      </c>
    </row>
    <row r="3964" spans="1:5">
      <c r="A3964" t="s">
        <v>6</v>
      </c>
      <c r="B3964" t="s">
        <v>3969</v>
      </c>
      <c r="C3964">
        <f>HYPERLINK("C:\Users\franc\OneDrive\Documentos\MALENTIN KARIME\Rosa\ASICOM\RECTIFICACION ASICOM\MARIA NOVOA PALACIOS\MARIA NOVOA PALACIOS.doc", "Abrir Documento")</f>
        <v>0</v>
      </c>
      <c r="D3964" t="s">
        <v>23500</v>
      </c>
      <c r="E3964" t="s">
        <v>27092</v>
      </c>
    </row>
    <row r="3965" spans="1:5">
      <c r="A3965" t="s">
        <v>6</v>
      </c>
      <c r="B3965" t="s">
        <v>3970</v>
      </c>
      <c r="C3965">
        <f>HYPERLINK("C:\Users\franc\OneDrive\Documentos\MALENTIN KARIME\Rosa\ASICOM\RECTIFICACION ASICOM\MARIA NOVOA PALACIOS\NOVOA_PALACIOS_MARIA_GEMITA[1].doc", "Abrir Documento")</f>
        <v>0</v>
      </c>
      <c r="D3965" t="s">
        <v>23500</v>
      </c>
      <c r="E3965" t="s">
        <v>27092</v>
      </c>
    </row>
    <row r="3966" spans="1:5">
      <c r="A3966" t="s">
        <v>6</v>
      </c>
      <c r="B3966" t="s">
        <v>3971</v>
      </c>
      <c r="C3966">
        <f>HYPERLINK("C:\Users\franc\OneDrive\Documentos\MALENTIN KARIME\Rosa\ASICOM\RECTIFICACION ASICOM\CLADIA TAPIA MOROSO\CLAUDIA TAPIA MOROSO.doc", "Abrir Documento")</f>
        <v>0</v>
      </c>
      <c r="D3966" t="s">
        <v>23500</v>
      </c>
      <c r="E3966" t="s">
        <v>27093</v>
      </c>
    </row>
    <row r="3967" spans="1:5">
      <c r="A3967" t="s">
        <v>6</v>
      </c>
      <c r="B3967" t="s">
        <v>3972</v>
      </c>
      <c r="C3967">
        <f>HYPERLINK("C:\Users\franc\OneDrive\Documentos\MALENTIN KARIME\Rosa\ASICOM\RECTIFICACION ASICOM\CLADIA TAPIA MOROSO\TAPIA_MOROSO_CLAUDIA_RAQUEL[1].doc", "Abrir Documento")</f>
        <v>0</v>
      </c>
      <c r="D3967" t="s">
        <v>23500</v>
      </c>
      <c r="E3967" t="s">
        <v>27093</v>
      </c>
    </row>
    <row r="3968" spans="1:5">
      <c r="A3968" t="s">
        <v>6</v>
      </c>
      <c r="B3968" t="s">
        <v>3973</v>
      </c>
      <c r="C3968">
        <f>HYPERLINK("C:\Users\franc\OneDrive\Documentos\MALENTIN KARIME\Rosa\ASICOM\OCTUBRE\PROTOCOLIZACIONES\MIGUEL ROJAS CASTRO.doc", "Abrir Documento")</f>
        <v>0</v>
      </c>
      <c r="D3968" t="s">
        <v>23500</v>
      </c>
      <c r="E3968" t="s">
        <v>27094</v>
      </c>
    </row>
    <row r="3969" spans="1:5">
      <c r="A3969" t="s">
        <v>6</v>
      </c>
      <c r="B3969" t="s">
        <v>3974</v>
      </c>
      <c r="C3969">
        <f>HYPERLINK("C:\Users\franc\OneDrive\Documentos\MALENTIN KARIME\Rosa\ASICOM\OCTUBRE\PROTOCOLIZACIONES\MIGUEL RIVERA CORTES.doc", "Abrir Documento")</f>
        <v>0</v>
      </c>
      <c r="D3969" t="s">
        <v>23500</v>
      </c>
      <c r="E3969" t="s">
        <v>27095</v>
      </c>
    </row>
    <row r="3970" spans="1:5">
      <c r="A3970" t="s">
        <v>6</v>
      </c>
      <c r="B3970" t="s">
        <v>3975</v>
      </c>
      <c r="C3970">
        <f>HYPERLINK("C:\Users\franc\OneDrive\Documentos\MALENTIN KARIME\Rosa\ASICOM\OCTUBRE\PROTOCOLIZACIONES\CARMEN MONDACA CONTRERAS.doc", "Abrir Documento")</f>
        <v>0</v>
      </c>
      <c r="D3970" t="s">
        <v>23500</v>
      </c>
      <c r="E3970" t="s">
        <v>27096</v>
      </c>
    </row>
    <row r="3971" spans="1:5">
      <c r="A3971" t="s">
        <v>6</v>
      </c>
      <c r="B3971" t="s">
        <v>3976</v>
      </c>
      <c r="C3971">
        <f>HYPERLINK("C:\Users\franc\OneDrive\Documentos\MALENTIN KARIME\Rosa\ASICOM\MAYO\PROTOCOLIZACION MAYO\MONICA CORTES POR CLAUDIO T..doc", "Abrir Documento")</f>
        <v>0</v>
      </c>
      <c r="D3971" t="s">
        <v>23500</v>
      </c>
      <c r="E3971" t="s">
        <v>27097</v>
      </c>
    </row>
    <row r="3972" spans="1:5">
      <c r="A3972" t="s">
        <v>6</v>
      </c>
      <c r="B3972" t="s">
        <v>3977</v>
      </c>
      <c r="C3972">
        <f>HYPERLINK("C:\Users\franc\OneDrive\Documentos\MALENTIN KARIME\Rosa\ASICOM\MAYO\PROTOCOLIZACION MAYO\CHRISTIAN RIVERA CASTILLO.doc", "Abrir Documento")</f>
        <v>0</v>
      </c>
      <c r="D3972" t="s">
        <v>23500</v>
      </c>
      <c r="E3972" t="s">
        <v>27098</v>
      </c>
    </row>
    <row r="3973" spans="1:5">
      <c r="A3973" t="s">
        <v>6</v>
      </c>
      <c r="B3973" t="s">
        <v>3978</v>
      </c>
      <c r="C3973">
        <f>HYPERLINK("C:\Users\franc\OneDrive\Documentos\MALENTIN KARIME\Rosa\ASICOM\MARZO\PROTOCOLIZACION MARZO\SANDRA TELLO BUGUEÑO.doc", "Abrir Documento")</f>
        <v>0</v>
      </c>
      <c r="D3973" t="s">
        <v>23500</v>
      </c>
      <c r="E3973" t="s">
        <v>27099</v>
      </c>
    </row>
    <row r="3974" spans="1:5">
      <c r="A3974" t="s">
        <v>6</v>
      </c>
      <c r="B3974" t="s">
        <v>3979</v>
      </c>
      <c r="C3974">
        <f>HYPERLINK("C:\Users\franc\OneDrive\Documentos\MALENTIN KARIME\Rosa\ASICOM\MARZO\PROTOCOLIZACION MARZO\ROBERTO CASTILLO MARTIN.doc", "Abrir Documento")</f>
        <v>0</v>
      </c>
      <c r="D3974" t="s">
        <v>23500</v>
      </c>
      <c r="E3974" t="s">
        <v>27100</v>
      </c>
    </row>
    <row r="3975" spans="1:5">
      <c r="A3975" t="s">
        <v>6</v>
      </c>
      <c r="B3975" t="s">
        <v>3980</v>
      </c>
      <c r="C3975">
        <f>HYPERLINK("C:\Users\franc\OneDrive\Documentos\MALENTIN KARIME\Rosa\ASICOM\MARZO\PROTOCOLIZACION MARZO\ALONSO IBACACHE GARCIA.doc", "Abrir Documento")</f>
        <v>0</v>
      </c>
      <c r="D3975" t="s">
        <v>23500</v>
      </c>
      <c r="E3975" t="s">
        <v>27101</v>
      </c>
    </row>
    <row r="3976" spans="1:5">
      <c r="A3976" t="s">
        <v>6</v>
      </c>
      <c r="B3976" t="s">
        <v>3981</v>
      </c>
      <c r="C3976">
        <f>HYPERLINK("C:\Users\franc\OneDrive\Documentos\MALENTIN KARIME\Rosa\ASICOM\MARZO\PROTOCOLIZACION MARZO\ADRIANA RIVADENEIRA GALLARDO.doc", "Abrir Documento")</f>
        <v>0</v>
      </c>
      <c r="D3976" t="s">
        <v>23500</v>
      </c>
      <c r="E3976" t="s">
        <v>27102</v>
      </c>
    </row>
    <row r="3977" spans="1:5">
      <c r="A3977" t="s">
        <v>6</v>
      </c>
      <c r="B3977" t="s">
        <v>3982</v>
      </c>
      <c r="C3977">
        <f>HYPERLINK("C:\Users\franc\OneDrive\Documentos\MALENTIN KARIME\Rosa\ASICOM\JUNIO\PROTOCOLIZACIONES\ROXANA VALDIVIA ADAROS.doc", "Abrir Documento")</f>
        <v>0</v>
      </c>
      <c r="D3977" t="s">
        <v>23500</v>
      </c>
      <c r="E3977" t="s">
        <v>27103</v>
      </c>
    </row>
    <row r="3978" spans="1:5">
      <c r="A3978" t="s">
        <v>6</v>
      </c>
      <c r="B3978" t="s">
        <v>3983</v>
      </c>
      <c r="C3978">
        <f>HYPERLINK("C:\Users\franc\OneDrive\Documentos\MALENTIN KARIME\Rosa\ASICOM\JUNIO\PROTOCOLIZACIONES\PEDRO LOPEZ LOPEZ.doc", "Abrir Documento")</f>
        <v>0</v>
      </c>
      <c r="D3978" t="s">
        <v>23500</v>
      </c>
      <c r="E3978" t="s">
        <v>27104</v>
      </c>
    </row>
    <row r="3979" spans="1:5">
      <c r="A3979" t="s">
        <v>6</v>
      </c>
      <c r="B3979" t="s">
        <v>3984</v>
      </c>
      <c r="C3979">
        <f>HYPERLINK("C:\Users\franc\OneDrive\Documentos\MALENTIN KARIME\Rosa\ASICOM\JUNIO\PROTOCOLIZACIONES\FABIOLA PEREZ TORREJON.doc", "Abrir Documento")</f>
        <v>0</v>
      </c>
      <c r="D3979" t="s">
        <v>23500</v>
      </c>
      <c r="E3979" t="s">
        <v>27105</v>
      </c>
    </row>
    <row r="3980" spans="1:5">
      <c r="A3980" t="s">
        <v>6</v>
      </c>
      <c r="B3980" t="s">
        <v>3985</v>
      </c>
      <c r="C3980">
        <f>HYPERLINK("C:\Users\franc\OneDrive\Documentos\MALENTIN KARIME\Rosa\ASICOM\FEBRERO\PROTOCOLIZACION FEBRERO\VIOLETA GONZALEZ ROJAS.doc", "Abrir Documento")</f>
        <v>0</v>
      </c>
      <c r="D3980" t="s">
        <v>23500</v>
      </c>
      <c r="E3980" t="s">
        <v>27106</v>
      </c>
    </row>
    <row r="3981" spans="1:5">
      <c r="A3981" t="s">
        <v>6</v>
      </c>
      <c r="B3981" t="s">
        <v>3986</v>
      </c>
      <c r="C3981">
        <f>HYPERLINK("C:\Users\franc\OneDrive\Documentos\MALENTIN KARIME\Rosa\ASICOM\FEBRERO\PROTOCOLIZACION FEBRERO\PAULA DUBO CORTES.doc", "Abrir Documento")</f>
        <v>0</v>
      </c>
      <c r="D3981" t="s">
        <v>23500</v>
      </c>
      <c r="E3981" t="s">
        <v>27107</v>
      </c>
    </row>
    <row r="3982" spans="1:5">
      <c r="A3982" t="s">
        <v>6</v>
      </c>
      <c r="B3982" t="s">
        <v>3987</v>
      </c>
      <c r="C3982">
        <f>HYPERLINK("C:\Users\franc\OneDrive\Documentos\MALENTIN KARIME\Rosa\ASICOM\FEBRERO\PROTOCOLIZACION FEBRERO\PRISCILLA A. VALDIVIA GONZALEZ.doc", "Abrir Documento")</f>
        <v>0</v>
      </c>
      <c r="D3982" t="s">
        <v>23500</v>
      </c>
      <c r="E3982" t="s">
        <v>27107</v>
      </c>
    </row>
    <row r="3983" spans="1:5">
      <c r="A3983" t="s">
        <v>6</v>
      </c>
      <c r="B3983" t="s">
        <v>3988</v>
      </c>
      <c r="C3983">
        <f>HYPERLINK("C:\Users\franc\OneDrive\Documentos\MALENTIN KARIME\Rosa\ASICOM\FEBRERO\PROTOCOLIZACION FEBRERO\MARIA CACERES VILLEGAS.doc", "Abrir Documento")</f>
        <v>0</v>
      </c>
      <c r="D3983" t="s">
        <v>23500</v>
      </c>
      <c r="E3983" t="s">
        <v>27108</v>
      </c>
    </row>
    <row r="3984" spans="1:5">
      <c r="A3984" t="s">
        <v>6</v>
      </c>
      <c r="B3984" t="s">
        <v>3989</v>
      </c>
      <c r="C3984">
        <f>HYPERLINK("C:\Users\franc\OneDrive\Documentos\MALENTIN KARIME\Rosa\ASICOM\FEBRERO\PROTOCOLIZACION FEBRERO\LUISA LOURDES CORTES VALENZUELA.doc", "Abrir Documento")</f>
        <v>0</v>
      </c>
      <c r="D3984" t="s">
        <v>23500</v>
      </c>
      <c r="E3984" t="s">
        <v>27109</v>
      </c>
    </row>
    <row r="3985" spans="1:5">
      <c r="A3985" t="s">
        <v>6</v>
      </c>
      <c r="B3985" t="s">
        <v>3990</v>
      </c>
      <c r="C3985">
        <f>HYPERLINK("C:\Users\franc\OneDrive\Documentos\MALENTIN KARIME\Rosa\ASICOM\FEBRERO\PROTOCOLIZACION FEBRERO\CRISTIAN CARREÑO MUÑOZ.doc", "Abrir Documento")</f>
        <v>0</v>
      </c>
      <c r="D3985" t="s">
        <v>23500</v>
      </c>
      <c r="E3985" t="s">
        <v>27110</v>
      </c>
    </row>
    <row r="3986" spans="1:5">
      <c r="A3986" t="s">
        <v>6</v>
      </c>
      <c r="B3986" t="s">
        <v>3991</v>
      </c>
      <c r="C3986">
        <f>HYPERLINK("C:\Users\franc\OneDrive\Documentos\MALENTIN KARIME\Rosa\ASICOM\FEBRERO\PROTOCOLIZACION FEBRERO\CLAUDIA  RAQUEL TAPIA MOROSO.doc", "Abrir Documento")</f>
        <v>0</v>
      </c>
      <c r="D3986" t="s">
        <v>23500</v>
      </c>
      <c r="E3986" t="s">
        <v>27111</v>
      </c>
    </row>
    <row r="3987" spans="1:5">
      <c r="A3987" t="s">
        <v>6</v>
      </c>
      <c r="B3987" t="s">
        <v>3992</v>
      </c>
      <c r="C3987">
        <f>HYPERLINK("C:\Users\franc\OneDrive\Documentos\MALENTIN KARIME\Rosa\ASICOM\ENERO\PROTOCOLIZACION ENERO\PABLO TAUCARE MONDACA.doc", "Abrir Documento")</f>
        <v>0</v>
      </c>
      <c r="D3987" t="s">
        <v>23500</v>
      </c>
      <c r="E3987" t="s">
        <v>27112</v>
      </c>
    </row>
    <row r="3988" spans="1:5">
      <c r="A3988" t="s">
        <v>6</v>
      </c>
      <c r="B3988" t="s">
        <v>3993</v>
      </c>
      <c r="C3988">
        <f>HYPERLINK("C:\Users\franc\OneDrive\Documentos\MALENTIN KARIME\Rosa\ASICOM\ENERO\PROTOCOLIZACION ENERO\SANDRA JUICA CONTRERAS.doc", "Abrir Documento")</f>
        <v>0</v>
      </c>
      <c r="D3988" t="s">
        <v>23500</v>
      </c>
      <c r="E3988" t="s">
        <v>27112</v>
      </c>
    </row>
    <row r="3989" spans="1:5">
      <c r="A3989" t="s">
        <v>6</v>
      </c>
      <c r="B3989" t="s">
        <v>3994</v>
      </c>
      <c r="C3989">
        <f>HYPERLINK("C:\Users\franc\OneDrive\Documentos\MALENTIN KARIME\Rosa\ASICOM\ENERO\PROTOCOLIZACION ENERO\NANCY MARAMBIO OLIVARES.doc", "Abrir Documento")</f>
        <v>0</v>
      </c>
      <c r="D3989" t="s">
        <v>23500</v>
      </c>
      <c r="E3989" t="s">
        <v>27113</v>
      </c>
    </row>
    <row r="3990" spans="1:5">
      <c r="A3990" t="s">
        <v>6</v>
      </c>
      <c r="B3990" t="s">
        <v>3995</v>
      </c>
      <c r="C3990">
        <f>HYPERLINK("C:\Users\franc\OneDrive\Documentos\MALENTIN KARIME\Rosa\ASICOM\ENERO\PROTOCOLIZACION ENERO\MERY LILIANTT SANTANA DIAZ.doc", "Abrir Documento")</f>
        <v>0</v>
      </c>
      <c r="D3990" t="s">
        <v>23500</v>
      </c>
      <c r="E3990" t="s">
        <v>27114</v>
      </c>
    </row>
    <row r="3991" spans="1:5">
      <c r="A3991" t="s">
        <v>6</v>
      </c>
      <c r="B3991" t="s">
        <v>3996</v>
      </c>
      <c r="C3991">
        <f>HYPERLINK("C:\Users\franc\OneDrive\Documentos\MALENTIN KARIME\Rosa\ASICOM\ENERO\PROTOCOLIZACION ENERO\MARIA NOVOA PALACIOS.doc", "Abrir Documento")</f>
        <v>0</v>
      </c>
      <c r="D3991" t="s">
        <v>23500</v>
      </c>
      <c r="E3991" t="s">
        <v>27115</v>
      </c>
    </row>
    <row r="3992" spans="1:5">
      <c r="A3992" t="s">
        <v>6</v>
      </c>
      <c r="B3992" t="s">
        <v>3997</v>
      </c>
      <c r="C3992">
        <f>HYPERLINK("C:\Users\franc\OneDrive\Documentos\MALENTIN KARIME\Rosa\ASICOM\ENERO\PROTOCOLIZACION ENERO\MARGARITA SALAS ROJO.doc", "Abrir Documento")</f>
        <v>0</v>
      </c>
      <c r="D3992" t="s">
        <v>23500</v>
      </c>
      <c r="E3992" t="s">
        <v>27116</v>
      </c>
    </row>
    <row r="3993" spans="1:5">
      <c r="A3993" t="s">
        <v>6</v>
      </c>
      <c r="B3993" t="s">
        <v>3998</v>
      </c>
      <c r="C3993">
        <f>HYPERLINK("C:\Users\franc\OneDrive\Documentos\MALENTIN KARIME\Rosa\ASICOM\ENERO\PROTOCOLIZACION ENERO\JUAN DIAZ HERRERA.doc", "Abrir Documento")</f>
        <v>0</v>
      </c>
      <c r="D3993" t="s">
        <v>23500</v>
      </c>
      <c r="E3993" t="s">
        <v>27117</v>
      </c>
    </row>
    <row r="3994" spans="1:5">
      <c r="A3994" t="s">
        <v>6</v>
      </c>
      <c r="B3994" t="s">
        <v>3999</v>
      </c>
      <c r="C3994">
        <f>HYPERLINK("C:\Users\franc\OneDrive\Documentos\MALENTIN KARIME\Rosa\ASICOM\ENERO\PROTOCOLIZACION ENERO\INES SIERRALTA ARAYA.doc", "Abrir Documento")</f>
        <v>0</v>
      </c>
      <c r="D3994" t="s">
        <v>23500</v>
      </c>
      <c r="E3994" t="s">
        <v>27118</v>
      </c>
    </row>
    <row r="3995" spans="1:5">
      <c r="A3995" t="s">
        <v>6</v>
      </c>
      <c r="B3995" t="s">
        <v>4000</v>
      </c>
      <c r="C3995">
        <f>HYPERLINK("C:\Users\franc\OneDrive\Documentos\MALENTIN KARIME\Rosa\ASICOM\ENERO\PROTOCOLIZACION ENERO\CINDY CERDA MUÑOZ.doc", "Abrir Documento")</f>
        <v>0</v>
      </c>
      <c r="D3995" t="s">
        <v>23500</v>
      </c>
      <c r="E3995" t="s">
        <v>27119</v>
      </c>
    </row>
    <row r="3996" spans="1:5">
      <c r="A3996" t="s">
        <v>6</v>
      </c>
      <c r="B3996" t="s">
        <v>4001</v>
      </c>
      <c r="C3996">
        <f>HYPERLINK("C:\Users\franc\OneDrive\Documentos\MALENTIN KARIME\Rosa\ASICOM\DICIEMBRE\mario guerra cortes.doc", "Abrir Documento")</f>
        <v>0</v>
      </c>
      <c r="D3996" t="s">
        <v>23500</v>
      </c>
      <c r="E3996" t="s">
        <v>27120</v>
      </c>
    </row>
    <row r="3997" spans="1:5">
      <c r="A3997" t="s">
        <v>6</v>
      </c>
      <c r="B3997" t="s">
        <v>4002</v>
      </c>
      <c r="C3997">
        <f>HYPERLINK("C:\Users\franc\OneDrive\Documentos\MALENTIN KARIME\Rosa\ASICOM\CERTIFICACIONES\CERTIFICACION NOTARIO TITU..doc", "Abrir Documento")</f>
        <v>0</v>
      </c>
      <c r="D3997" t="s">
        <v>23500</v>
      </c>
      <c r="E3997" t="s">
        <v>27121</v>
      </c>
    </row>
    <row r="3998" spans="1:5">
      <c r="A3998" t="s">
        <v>6</v>
      </c>
      <c r="B3998" t="s">
        <v>4003</v>
      </c>
      <c r="C3998">
        <f>HYPERLINK("C:\Users\franc\OneDrive\Documentos\MALENTIN KARIME\Rosa\ASICOM\CARATULA SOBRE\SOBRE ASICOM.doc", "Abrir Documento")</f>
        <v>0</v>
      </c>
      <c r="D3998" t="s">
        <v>23500</v>
      </c>
      <c r="E3998" t="s">
        <v>27122</v>
      </c>
    </row>
    <row r="3999" spans="1:5">
      <c r="A3999" t="s">
        <v>6</v>
      </c>
      <c r="B3999" t="s">
        <v>4004</v>
      </c>
      <c r="C3999">
        <f>HYPERLINK("C:\Users\franc\OneDrive\Documentos\MALENTIN KARIME\Rosa\ASICOM\CERTIFICACIONES\CERTIFICACION NOTARIO SUPLENTE.doc", "Abrir Documento")</f>
        <v>0</v>
      </c>
      <c r="D3999" t="s">
        <v>23500</v>
      </c>
      <c r="E3999" t="s">
        <v>27122</v>
      </c>
    </row>
    <row r="4000" spans="1:5">
      <c r="A4000" t="s">
        <v>6</v>
      </c>
      <c r="B4000" t="s">
        <v>4005</v>
      </c>
      <c r="C4000">
        <f>HYPERLINK("C:\Users\franc\OneDrive\Documentos\MALENTIN KARIME\Rosa\ASICOM\CARATULA SOBRE\CARTA ENVIO SOBRE ASICOM.doc", "Abrir Documento")</f>
        <v>0</v>
      </c>
      <c r="D4000" t="s">
        <v>23500</v>
      </c>
      <c r="E4000" t="s">
        <v>27123</v>
      </c>
    </row>
    <row r="4001" spans="1:5">
      <c r="A4001" t="s">
        <v>6</v>
      </c>
      <c r="B4001" t="s">
        <v>4006</v>
      </c>
      <c r="C4001">
        <f>HYPERLINK("C:\Users\franc\OneDrive\Documentos\MALENTIN KARIME\Rosa\ASICOM\AGOSTO\PROTOCOLIZACIONES\GLORIA HERRERA JARA.doc", "Abrir Documento")</f>
        <v>0</v>
      </c>
      <c r="D4001" t="s">
        <v>23500</v>
      </c>
      <c r="E4001" t="s">
        <v>27124</v>
      </c>
    </row>
    <row r="4002" spans="1:5">
      <c r="A4002" t="s">
        <v>6</v>
      </c>
      <c r="B4002" t="s">
        <v>4007</v>
      </c>
      <c r="C4002">
        <f>HYPERLINK("C:\Users\franc\OneDrive\Documentos\MALENTIN KARIME\Rosa\ASICOM\AGOSTO\PROTOCOLIZACIONES\DANIEL VEGA.doc", "Abrir Documento")</f>
        <v>0</v>
      </c>
      <c r="D4002" t="s">
        <v>23500</v>
      </c>
      <c r="E4002" t="s">
        <v>27125</v>
      </c>
    </row>
    <row r="4003" spans="1:5">
      <c r="A4003" t="s">
        <v>6</v>
      </c>
      <c r="B4003" t="s">
        <v>4008</v>
      </c>
      <c r="C4003">
        <f>HYPERLINK("C:\Users\franc\OneDrive\Documentos\MALENTIN KARIME\Rosa\ASICOM\AGOSTO\PROTOCOLIZACIONES\CESAR SOLIS TAPIA.doc", "Abrir Documento")</f>
        <v>0</v>
      </c>
      <c r="D4003" t="s">
        <v>23500</v>
      </c>
      <c r="E4003" t="s">
        <v>27126</v>
      </c>
    </row>
    <row r="4004" spans="1:5">
      <c r="A4004" t="s">
        <v>6</v>
      </c>
      <c r="B4004" t="s">
        <v>4009</v>
      </c>
      <c r="C4004">
        <f>HYPERLINK("C:\Users\franc\OneDrive\Documentos\MALENTIN KARIME\Rosa\ASICOM\ABRIL\PROTOCOLIZACION ABRIL\ROSA RIVERA VIDELA.doc", "Abrir Documento")</f>
        <v>0</v>
      </c>
      <c r="D4004" t="s">
        <v>23500</v>
      </c>
      <c r="E4004" t="s">
        <v>27127</v>
      </c>
    </row>
    <row r="4005" spans="1:5">
      <c r="A4005" t="s">
        <v>6</v>
      </c>
      <c r="B4005" t="s">
        <v>4010</v>
      </c>
      <c r="C4005">
        <f>HYPERLINK("C:\Users\franc\OneDrive\Documentos\MALENTIN KARIME\Rosa\ASICOM\ABRIL\PROTOCOLIZACION ABRIL\SUSANA ALVAREZ MADRID.doc", "Abrir Documento")</f>
        <v>0</v>
      </c>
      <c r="D4005" t="s">
        <v>23500</v>
      </c>
      <c r="E4005" t="s">
        <v>27127</v>
      </c>
    </row>
    <row r="4006" spans="1:5">
      <c r="A4006" t="s">
        <v>6</v>
      </c>
      <c r="B4006" t="s">
        <v>4011</v>
      </c>
      <c r="C4006">
        <f>HYPERLINK("C:\Users\franc\OneDrive\Documentos\MALENTIN KARIME\Rosa\ASICOM\ABRIL\PROTOCOLIZACION ABRIL\PATRICIA OYANADEL CORVALAN.doc", "Abrir Documento")</f>
        <v>0</v>
      </c>
      <c r="D4006" t="s">
        <v>23500</v>
      </c>
      <c r="E4006" t="s">
        <v>27128</v>
      </c>
    </row>
    <row r="4007" spans="1:5">
      <c r="A4007" t="s">
        <v>6</v>
      </c>
      <c r="B4007" t="s">
        <v>4012</v>
      </c>
      <c r="C4007">
        <f>HYPERLINK("C:\Users\franc\OneDrive\Documentos\MALENTIN KARIME\Rosa\ASICOM\ABRIL\PROTOCOLIZACION ABRIL\MARILUZ BOLBARAN ANGEL.doc", "Abrir Documento")</f>
        <v>0</v>
      </c>
      <c r="D4007" t="s">
        <v>23500</v>
      </c>
      <c r="E4007" t="s">
        <v>27129</v>
      </c>
    </row>
    <row r="4008" spans="1:5">
      <c r="A4008" t="s">
        <v>6</v>
      </c>
      <c r="B4008" t="s">
        <v>4013</v>
      </c>
      <c r="C4008">
        <f>HYPERLINK("C:\Users\franc\OneDrive\Documentos\MALENTIN KARIME\Rosa\ASICOM\ABRIL\PROTOCOLIZACION ABRIL\GABRIELA ACUÑA LARA.doc", "Abrir Documento")</f>
        <v>0</v>
      </c>
      <c r="D4008" t="s">
        <v>23500</v>
      </c>
      <c r="E4008" t="s">
        <v>27130</v>
      </c>
    </row>
    <row r="4009" spans="1:5">
      <c r="A4009" t="s">
        <v>6</v>
      </c>
      <c r="B4009" t="s">
        <v>4014</v>
      </c>
      <c r="C4009">
        <f>HYPERLINK("C:\Users\franc\OneDrive\Documentos\MALENTIN KARIME\Rosa\ALZAMIENTOS PARTICULARES\ALZAMIENTO PRENDA MARCO ADAOS POZO.doc", "Abrir Documento")</f>
        <v>0</v>
      </c>
      <c r="D4009" t="s">
        <v>23500</v>
      </c>
      <c r="E4009" t="s">
        <v>27131</v>
      </c>
    </row>
    <row r="4010" spans="1:5">
      <c r="A4010" t="s">
        <v>6</v>
      </c>
      <c r="B4010" t="s">
        <v>4015</v>
      </c>
      <c r="C4010">
        <f>HYPERLINK("C:\Users\franc\OneDrive\Documentos\MALENTIN KARIME\Rosa\ADJUDICACION EN REMATE\ADJUDICACION EN REMATE 3 JUZGADO.doc", "Abrir Documento")</f>
        <v>0</v>
      </c>
      <c r="D4010" t="s">
        <v>23500</v>
      </c>
      <c r="E4010" t="s">
        <v>27132</v>
      </c>
    </row>
    <row r="4011" spans="1:5">
      <c r="A4011" t="s">
        <v>6</v>
      </c>
      <c r="B4011" t="s">
        <v>4016</v>
      </c>
      <c r="C4011">
        <f>HYPERLINK("C:\Users\franc\OneDrive\Documentos\MALENTIN KARIME\Rosa\SOCIEDAD CONSTRUCTORA QUILLAVE LTDA..doc", "Abrir Documento")</f>
        <v>0</v>
      </c>
      <c r="D4011" t="s">
        <v>23500</v>
      </c>
      <c r="E4011" t="s">
        <v>27133</v>
      </c>
    </row>
    <row r="4012" spans="1:5">
      <c r="A4012" t="s">
        <v>6</v>
      </c>
      <c r="B4012" t="s">
        <v>4017</v>
      </c>
      <c r="C4012">
        <f>HYPERLINK("C:\Users\franc\OneDrive\Documentos\MALENTIN KARIME\Rosa\mandato judicial  dsnilo ojeda.doc", "Abrir Documento")</f>
        <v>0</v>
      </c>
      <c r="D4012" t="s">
        <v>23500</v>
      </c>
      <c r="E4012" t="s">
        <v>27134</v>
      </c>
    </row>
    <row r="4013" spans="1:5">
      <c r="A4013" t="s">
        <v>6</v>
      </c>
      <c r="B4013" t="s">
        <v>4018</v>
      </c>
      <c r="C4013">
        <f>HYPERLINK("C:\Users\franc\OneDrive\Documentos\MALENTIN KARIME\Rosa\finiquito.doc", "Abrir Documento")</f>
        <v>0</v>
      </c>
      <c r="D4013" t="s">
        <v>23500</v>
      </c>
      <c r="E4013" t="s">
        <v>27135</v>
      </c>
    </row>
    <row r="4014" spans="1:5">
      <c r="A4014" t="s">
        <v>6</v>
      </c>
      <c r="B4014" t="s">
        <v>4019</v>
      </c>
      <c r="C4014">
        <f>HYPERLINK("C:\Users\franc\OneDrive\Documentos\MALENTIN KARIME\Rosa\encabezado notario 1.doc", "Abrir Documento")</f>
        <v>0</v>
      </c>
      <c r="D4014" t="s">
        <v>23500</v>
      </c>
      <c r="E4014" t="s">
        <v>27136</v>
      </c>
    </row>
    <row r="4015" spans="1:5">
      <c r="A4015" t="s">
        <v>6</v>
      </c>
      <c r="B4015" t="s">
        <v>4020</v>
      </c>
      <c r="C4015">
        <f>HYPERLINK("C:\Users\franc\OneDrive\Documentos\MALENTIN KARIME\ROBIN VALENZUELA ABOGADO\SERVICIOS I ASEO Sociedad.doc", "Abrir Documento")</f>
        <v>0</v>
      </c>
      <c r="D4015" t="s">
        <v>23500</v>
      </c>
      <c r="E4015" t="s">
        <v>27137</v>
      </c>
    </row>
    <row r="4016" spans="1:5">
      <c r="A4016" t="s">
        <v>6</v>
      </c>
      <c r="B4016" t="s">
        <v>4021</v>
      </c>
      <c r="C4016">
        <f>HYPERLINK("C:\Users\franc\OneDrive\Documentos\MALENTIN KARIME\ROBIN VALENZUELA ABOGADO\ROSA PIZARRO Andres Aguilera.doc", "Abrir Documento")</f>
        <v>0</v>
      </c>
      <c r="D4016" t="s">
        <v>23500</v>
      </c>
      <c r="E4016" t="s">
        <v>27138</v>
      </c>
    </row>
    <row r="4017" spans="1:5">
      <c r="A4017" t="s">
        <v>6</v>
      </c>
      <c r="B4017" t="s">
        <v>4022</v>
      </c>
      <c r="C4017">
        <f>HYPERLINK("C:\Users\franc\OneDrive\Documentos\MALENTIN KARIME\ROBIN VALENZUELA ABOGADO\FRANCISCO MAYO A Cristian Mayo Rectifcatoria resciliacionm.doc", "Abrir Documento")</f>
        <v>0</v>
      </c>
      <c r="D4017" t="s">
        <v>23500</v>
      </c>
      <c r="E4017" t="s">
        <v>27139</v>
      </c>
    </row>
    <row r="4018" spans="1:5">
      <c r="A4018" t="s">
        <v>6</v>
      </c>
      <c r="B4018" t="s">
        <v>4023</v>
      </c>
      <c r="C4018">
        <f>HYPERLINK("C:\Users\franc\OneDrive\Documentos\MALENTIN KARIME\ROBIN VALENZUELA ABOGADO\FRANCISCO MAYO A Cristian Mayo Rectifcatoria resciliacion final.doc", "Abrir Documento")</f>
        <v>0</v>
      </c>
      <c r="D4018" t="s">
        <v>23500</v>
      </c>
      <c r="E4018" t="s">
        <v>27140</v>
      </c>
    </row>
    <row r="4019" spans="1:5">
      <c r="A4019" t="s">
        <v>6</v>
      </c>
      <c r="B4019" t="s">
        <v>4024</v>
      </c>
      <c r="C4019">
        <f>HYPERLINK("C:\Users\franc\OneDrive\Documentos\MALENTIN KARIME\ROBERTO VEGA\SUCESION MIRANDA PEREZ.doc", "Abrir Documento")</f>
        <v>0</v>
      </c>
      <c r="D4019" t="s">
        <v>23500</v>
      </c>
      <c r="E4019" t="s">
        <v>27141</v>
      </c>
    </row>
    <row r="4020" spans="1:5">
      <c r="A4020" t="s">
        <v>6</v>
      </c>
      <c r="B4020" t="s">
        <v>4025</v>
      </c>
      <c r="C4020">
        <f>HYPERLINK("C:\Users\franc\OneDrive\Documentos\MALENTIN KARIME\ROBIN VALENZUELA ABOGADO\CARLOS LOBOS Andres Aguilera.doc", "Abrir Documento")</f>
        <v>0</v>
      </c>
      <c r="D4020" t="s">
        <v>23500</v>
      </c>
      <c r="E4020" t="s">
        <v>27141</v>
      </c>
    </row>
    <row r="4021" spans="1:5">
      <c r="A4021" t="s">
        <v>6</v>
      </c>
      <c r="B4021" t="s">
        <v>4026</v>
      </c>
      <c r="C4021">
        <f>HYPERLINK("C:\Users\franc\OneDrive\Documentos\MALENTIN KARIME\ROBERTO VEGA\ROBERTO Y CESAR VEGA A SERGIO CORTES.doc", "Abrir Documento")</f>
        <v>0</v>
      </c>
      <c r="D4021" t="s">
        <v>23500</v>
      </c>
      <c r="E4021" t="s">
        <v>27142</v>
      </c>
    </row>
    <row r="4022" spans="1:5">
      <c r="A4022" t="s">
        <v>6</v>
      </c>
      <c r="B4022" t="s">
        <v>4027</v>
      </c>
      <c r="C4022">
        <f>HYPERLINK("C:\Users\franc\OneDrive\Documentos\MALENTIN KARIME\ROBERTO VEGA\ROBERTO VEGA CAMPUSANO.doc", "Abrir Documento")</f>
        <v>0</v>
      </c>
      <c r="D4022" t="s">
        <v>23500</v>
      </c>
      <c r="E4022" t="s">
        <v>27143</v>
      </c>
    </row>
    <row r="4023" spans="1:5">
      <c r="A4023" t="s">
        <v>6</v>
      </c>
      <c r="B4023" t="s">
        <v>4028</v>
      </c>
      <c r="C4023">
        <f>HYPERLINK("C:\Users\franc\OneDrive\Documentos\MALENTIN KARIME\ROBERTO VEGA\ROBERTO VEGA CAMPUSANO  2 rectif.doc", "Abrir Documento")</f>
        <v>0</v>
      </c>
      <c r="D4023" t="s">
        <v>23500</v>
      </c>
      <c r="E4023" t="s">
        <v>27144</v>
      </c>
    </row>
    <row r="4024" spans="1:5">
      <c r="A4024" t="s">
        <v>6</v>
      </c>
      <c r="B4024" t="s">
        <v>4029</v>
      </c>
      <c r="C4024">
        <f>HYPERLINK("C:\Users\franc\OneDrive\Documentos\MALENTIN KARIME\ROBERTO VEGA\JUNTA VIGILANCIA RIO PALOMO Y AFLUENTES.doc", "Abrir Documento")</f>
        <v>0</v>
      </c>
      <c r="D4024" t="s">
        <v>23500</v>
      </c>
      <c r="E4024" t="s">
        <v>27145</v>
      </c>
    </row>
    <row r="4025" spans="1:5">
      <c r="A4025" t="s">
        <v>6</v>
      </c>
      <c r="B4025" t="s">
        <v>4030</v>
      </c>
      <c r="C4025">
        <f>HYPERLINK("C:\Users\franc\OneDrive\Documentos\MALENTIN KARIME\ROBERTO VEGA\CESION DERECHOS ALFALFARES DEFINITIVA RVC-1.doc", "Abrir Documento")</f>
        <v>0</v>
      </c>
      <c r="D4025" t="s">
        <v>23500</v>
      </c>
      <c r="E4025" t="s">
        <v>27146</v>
      </c>
    </row>
    <row r="4026" spans="1:5">
      <c r="A4026" t="s">
        <v>6</v>
      </c>
      <c r="B4026" t="s">
        <v>4031</v>
      </c>
      <c r="C4026">
        <f>HYPERLINK("C:\Users\franc\OneDrive\Documentos\MALENTIN KARIME\ROBERTO VEGA\EDITH YAÑEZ A CLAUDIA VIVAR.doc", "Abrir Documento")</f>
        <v>0</v>
      </c>
      <c r="D4026" t="s">
        <v>23500</v>
      </c>
      <c r="E4026" t="s">
        <v>27146</v>
      </c>
    </row>
    <row r="4027" spans="1:5">
      <c r="A4027" t="s">
        <v>6</v>
      </c>
      <c r="B4027" t="s">
        <v>4032</v>
      </c>
      <c r="C4027">
        <f>HYPERLINK("C:\Users\franc\OneDrive\Documentos\MALENTIN KARIME\ROBERTO VEGA\ANA MIRANDA A ROBERTO VEGA EIRL.doc", "Abrir Documento")</f>
        <v>0</v>
      </c>
      <c r="D4027" t="s">
        <v>23500</v>
      </c>
      <c r="E4027" t="s">
        <v>27147</v>
      </c>
    </row>
    <row r="4028" spans="1:5">
      <c r="A4028" t="s">
        <v>6</v>
      </c>
      <c r="B4028" t="s">
        <v>4033</v>
      </c>
      <c r="C4028">
        <f>HYPERLINK("C:\Users\franc\OneDrive\Documentos\MALENTIN KARIME\ROBERTO VEGA\ARMANDO ARAYA ARACENA A Roberto Vega Compraventa.doc", "Abrir Documento")</f>
        <v>0</v>
      </c>
      <c r="D4028" t="s">
        <v>23500</v>
      </c>
      <c r="E4028" t="s">
        <v>27147</v>
      </c>
    </row>
    <row r="4029" spans="1:5">
      <c r="A4029" t="s">
        <v>6</v>
      </c>
      <c r="B4029" t="s">
        <v>4034</v>
      </c>
      <c r="C4029">
        <f>HYPERLINK("C:\Users\franc\OneDrive\Documentos\MALENTIN KARIME\ROBERTO VEGA\ALFALFARES Y ROBERTO VEGA Arrendamiento Modif.doc", "Abrir Documento")</f>
        <v>0</v>
      </c>
      <c r="D4029" t="s">
        <v>23500</v>
      </c>
      <c r="E4029" t="s">
        <v>27148</v>
      </c>
    </row>
    <row r="4030" spans="1:5">
      <c r="A4030" t="s">
        <v>6</v>
      </c>
      <c r="B4030" t="s">
        <v>4035</v>
      </c>
      <c r="C4030">
        <f>HYPERLINK("C:\Users\franc\OneDrive\Documentos\MALENTIN KARIME\ROBERTO VEGA\AGRICOLA ALFALFARES Y FRUTICOLA COPIAPO dotacion.doc", "Abrir Documento")</f>
        <v>0</v>
      </c>
      <c r="D4030" t="s">
        <v>23500</v>
      </c>
      <c r="E4030" t="s">
        <v>27149</v>
      </c>
    </row>
    <row r="4031" spans="1:5">
      <c r="A4031" t="s">
        <v>6</v>
      </c>
      <c r="B4031" t="s">
        <v>4036</v>
      </c>
      <c r="C4031">
        <f>HYPERLINK("C:\Users\franc\OneDrive\Documentos\MALENTIN KARIME\ROBERTO VEGA\AGRICOLA ALFALFARES Rectifica ComplementaII.doc", "Abrir Documento")</f>
        <v>0</v>
      </c>
      <c r="D4031" t="s">
        <v>23500</v>
      </c>
      <c r="E4031" t="s">
        <v>27150</v>
      </c>
    </row>
    <row r="4032" spans="1:5">
      <c r="A4032" t="s">
        <v>6</v>
      </c>
      <c r="B4032" t="s">
        <v>4037</v>
      </c>
      <c r="C4032">
        <f>HYPERLINK("C:\Users\franc\OneDrive\Documentos\MALENTIN KARIME\ROBERTO VEGA\AGRICOLA ALFALFARES Complementa.doc", "Abrir Documento")</f>
        <v>0</v>
      </c>
      <c r="D4032" t="s">
        <v>23500</v>
      </c>
      <c r="E4032" t="s">
        <v>27151</v>
      </c>
    </row>
    <row r="4033" spans="1:5">
      <c r="A4033" t="s">
        <v>6</v>
      </c>
      <c r="B4033" t="s">
        <v>4038</v>
      </c>
      <c r="C4033">
        <f>HYPERLINK("C:\Users\franc\OneDrive\Documentos\MALENTIN KARIME\ROBERTO VEGA\adjudicacion 1.doc", "Abrir Documento")</f>
        <v>0</v>
      </c>
      <c r="D4033" t="s">
        <v>23500</v>
      </c>
      <c r="E4033" t="s">
        <v>27152</v>
      </c>
    </row>
    <row r="4034" spans="1:5">
      <c r="A4034" t="s">
        <v>6</v>
      </c>
      <c r="B4034" t="s">
        <v>4039</v>
      </c>
      <c r="C4034">
        <f>HYPERLINK("C:\Users\franc\OneDrive\Documentos\MALENTIN KARIME\RIO COPIAPO\PAGARE.doc", "Abrir Documento")</f>
        <v>0</v>
      </c>
      <c r="D4034" t="s">
        <v>23500</v>
      </c>
      <c r="E4034" t="s">
        <v>27153</v>
      </c>
    </row>
    <row r="4035" spans="1:5">
      <c r="A4035" t="s">
        <v>6</v>
      </c>
      <c r="B4035" t="s">
        <v>4040</v>
      </c>
      <c r="C4035">
        <f>HYPERLINK("C:\Users\franc\OneDrive\Documentos\MALENTIN KARIME\RIO COPIAPO\ALBERTO ALEGRIA ARAYA Prorroga y modificación Alegría.doc", "Abrir Documento")</f>
        <v>0</v>
      </c>
      <c r="D4035" t="s">
        <v>23500</v>
      </c>
      <c r="E4035" t="s">
        <v>27154</v>
      </c>
    </row>
    <row r="4036" spans="1:5">
      <c r="A4036" t="s">
        <v>6</v>
      </c>
      <c r="B4036" t="s">
        <v>4041</v>
      </c>
      <c r="C4036">
        <f>HYPERLINK("C:\Users\franc\OneDrive\Documentos\MALENTIN KARIME\REVOCA\2017\MERCEDES ROBLES RIVERA 2018.doc", "Abrir Documento")</f>
        <v>0</v>
      </c>
      <c r="D4036" t="s">
        <v>23500</v>
      </c>
      <c r="E4036" t="s">
        <v>27155</v>
      </c>
    </row>
    <row r="4037" spans="1:5">
      <c r="A4037" t="s">
        <v>6</v>
      </c>
      <c r="B4037" t="s">
        <v>4042</v>
      </c>
      <c r="C4037">
        <f>HYPERLINK("C:\Users\franc\OneDrive\Documentos\MALENTIN KARIME\REVOCA\2017\PATRICIA VALLEJOS ANDREU 2018 MJudicial.doc", "Abrir Documento")</f>
        <v>0</v>
      </c>
      <c r="D4037" t="s">
        <v>23500</v>
      </c>
      <c r="E4037" t="s">
        <v>27155</v>
      </c>
    </row>
    <row r="4038" spans="1:5">
      <c r="A4038" t="s">
        <v>6</v>
      </c>
      <c r="B4038" t="s">
        <v>4043</v>
      </c>
      <c r="C4038">
        <f>HYPERLINK("C:\Users\franc\OneDrive\Documentos\MALENTIN KARIME\REVOCA\2017\MANUEL SEGURA CORTES.doc", "Abrir Documento")</f>
        <v>0</v>
      </c>
      <c r="D4038" t="s">
        <v>23500</v>
      </c>
      <c r="E4038" t="s">
        <v>27156</v>
      </c>
    </row>
    <row r="4039" spans="1:5">
      <c r="A4039" t="s">
        <v>6</v>
      </c>
      <c r="B4039" t="s">
        <v>4044</v>
      </c>
      <c r="C4039">
        <f>HYPERLINK("C:\Users\franc\OneDrive\Documentos\MALENTIN KARIME\REVOCA\2017\MARITZA CORTES PARRAGUES.doc", "Abrir Documento")</f>
        <v>0</v>
      </c>
      <c r="D4039" t="s">
        <v>23500</v>
      </c>
      <c r="E4039" t="s">
        <v>27156</v>
      </c>
    </row>
    <row r="4040" spans="1:5">
      <c r="A4040" t="s">
        <v>6</v>
      </c>
      <c r="B4040" t="s">
        <v>4045</v>
      </c>
      <c r="C4040">
        <f>HYPERLINK("C:\Users\franc\OneDrive\Documentos\MALENTIN KARIME\REVOCA\2017\JUBILA CACERES.doc", "Abrir Documento")</f>
        <v>0</v>
      </c>
      <c r="D4040" t="s">
        <v>23500</v>
      </c>
      <c r="E4040" t="s">
        <v>27157</v>
      </c>
    </row>
    <row r="4041" spans="1:5">
      <c r="A4041" t="s">
        <v>6</v>
      </c>
      <c r="B4041" t="s">
        <v>4046</v>
      </c>
      <c r="C4041">
        <f>HYPERLINK("C:\Users\franc\OneDrive\Documentos\MALENTIN KARIME\REVOCA\2017\LUCILA HERRERA CORDOVA.doc", "Abrir Documento")</f>
        <v>0</v>
      </c>
      <c r="D4041" t="s">
        <v>23500</v>
      </c>
      <c r="E4041" t="s">
        <v>27157</v>
      </c>
    </row>
    <row r="4042" spans="1:5">
      <c r="A4042" t="s">
        <v>6</v>
      </c>
      <c r="B4042" t="s">
        <v>4047</v>
      </c>
      <c r="C4042">
        <f>HYPERLINK("C:\Users\franc\OneDrive\Documentos\MALENTIN KARIME\REVOCA\2017\IRIS MORENO CARES.doc", "Abrir Documento")</f>
        <v>0</v>
      </c>
      <c r="D4042" t="s">
        <v>23500</v>
      </c>
      <c r="E4042" t="s">
        <v>27158</v>
      </c>
    </row>
    <row r="4043" spans="1:5">
      <c r="A4043" t="s">
        <v>6</v>
      </c>
      <c r="B4043" t="s">
        <v>4048</v>
      </c>
      <c r="C4043">
        <f>HYPERLINK("C:\Users\franc\OneDrive\Documentos\MALENTIN KARIME\REVOCA\2017\ERIKA SAAVEDRA Junio 2017.doc", "Abrir Documento")</f>
        <v>0</v>
      </c>
      <c r="D4043" t="s">
        <v>23500</v>
      </c>
      <c r="E4043" t="s">
        <v>27159</v>
      </c>
    </row>
    <row r="4044" spans="1:5">
      <c r="A4044" t="s">
        <v>6</v>
      </c>
      <c r="B4044" t="s">
        <v>4049</v>
      </c>
      <c r="C4044">
        <f>HYPERLINK("C:\Users\franc\OneDrive\Documentos\MALENTIN KARIME\REVOCA\2017\DANIELLA MACCHIAVELLO Vender.doc", "Abrir Documento")</f>
        <v>0</v>
      </c>
      <c r="D4044" t="s">
        <v>23500</v>
      </c>
      <c r="E4044" t="s">
        <v>27160</v>
      </c>
    </row>
    <row r="4045" spans="1:5">
      <c r="A4045" t="s">
        <v>6</v>
      </c>
      <c r="B4045" t="s">
        <v>4050</v>
      </c>
      <c r="C4045">
        <f>HYPERLINK("C:\Users\franc\OneDrive\Documentos\MALENTIN KARIME\REVOCA\2017\COMUNIDAD LOS MAITENES A M RODRIGUEZ.doc", "Abrir Documento")</f>
        <v>0</v>
      </c>
      <c r="D4045" t="s">
        <v>23500</v>
      </c>
      <c r="E4045" t="s">
        <v>27161</v>
      </c>
    </row>
    <row r="4046" spans="1:5">
      <c r="A4046" t="s">
        <v>6</v>
      </c>
      <c r="B4046" t="s">
        <v>4051</v>
      </c>
      <c r="C4046">
        <f>HYPERLINK("C:\Users\franc\OneDrive\Documentos\MALENTIN KARIME\REVOCA\2017\COMSAT Rodrigo Jara 2018 revoca.doc", "Abrir Documento")</f>
        <v>0</v>
      </c>
      <c r="D4046" t="s">
        <v>23500</v>
      </c>
      <c r="E4046" t="s">
        <v>27162</v>
      </c>
    </row>
    <row r="4047" spans="1:5">
      <c r="A4047" t="s">
        <v>6</v>
      </c>
      <c r="B4047" t="s">
        <v>4052</v>
      </c>
      <c r="C4047">
        <f>HYPERLINK("C:\Users\franc\OneDrive\Documentos\MALENTIN KARIME\REVOCA\2016\VERGARA CAMPAÑA Negociacionr.doc", "Abrir Documento")</f>
        <v>0</v>
      </c>
      <c r="D4047" t="s">
        <v>23500</v>
      </c>
      <c r="E4047" t="s">
        <v>27163</v>
      </c>
    </row>
    <row r="4048" spans="1:5">
      <c r="A4048" t="s">
        <v>6</v>
      </c>
      <c r="B4048" t="s">
        <v>4053</v>
      </c>
      <c r="C4048">
        <f>HYPERLINK("C:\Users\franc\OneDrive\Documentos\MALENTIN KARIME\REVOCA\2017\ARTURO GARCIA ALBURQUENQUE.doc", "Abrir Documento")</f>
        <v>0</v>
      </c>
      <c r="D4048" t="s">
        <v>23500</v>
      </c>
      <c r="E4048" t="s">
        <v>27163</v>
      </c>
    </row>
    <row r="4049" spans="1:5">
      <c r="A4049" t="s">
        <v>6</v>
      </c>
      <c r="B4049" t="s">
        <v>4054</v>
      </c>
      <c r="C4049">
        <f>HYPERLINK("C:\Users\franc\OneDrive\Documentos\MALENTIN KARIME\REVOCA\2016\SOCIEDAD AGRICOLA MIALQUI.doc", "Abrir Documento")</f>
        <v>0</v>
      </c>
      <c r="D4049" t="s">
        <v>23500</v>
      </c>
      <c r="E4049" t="s">
        <v>27164</v>
      </c>
    </row>
    <row r="4050" spans="1:5">
      <c r="A4050" t="s">
        <v>6</v>
      </c>
      <c r="B4050" t="s">
        <v>4055</v>
      </c>
      <c r="C4050">
        <f>HYPERLINK("C:\Users\franc\OneDrive\Documentos\MALENTIN KARIME\REVOCA\2015\SARA SANDOVAL CUERVAS.doc", "Abrir Documento")</f>
        <v>0</v>
      </c>
      <c r="D4050" t="s">
        <v>23500</v>
      </c>
      <c r="E4050" t="s">
        <v>27165</v>
      </c>
    </row>
    <row r="4051" spans="1:5">
      <c r="A4051" t="s">
        <v>6</v>
      </c>
      <c r="B4051" t="s">
        <v>4056</v>
      </c>
      <c r="C4051">
        <f>HYPERLINK("C:\Users\franc\OneDrive\Documentos\MALENTIN KARIME\REVOCA\2016\LUIS MUÑOZ VENEGAS Vender.doc", "Abrir Documento")</f>
        <v>0</v>
      </c>
      <c r="D4051" t="s">
        <v>23500</v>
      </c>
      <c r="E4051" t="s">
        <v>27165</v>
      </c>
    </row>
    <row r="4052" spans="1:5">
      <c r="A4052" t="s">
        <v>6</v>
      </c>
      <c r="B4052" t="s">
        <v>4057</v>
      </c>
      <c r="C4052">
        <f>HYPERLINK("C:\Users\franc\OneDrive\Documentos\MALENTIN KARIME\REVOCA\VICTOR TAPIA ROJAS M Judicial.doc", "Abrir Documento")</f>
        <v>0</v>
      </c>
      <c r="D4052" t="s">
        <v>23500</v>
      </c>
      <c r="E4052" t="s">
        <v>27166</v>
      </c>
    </row>
    <row r="4053" spans="1:5">
      <c r="A4053" t="s">
        <v>6</v>
      </c>
      <c r="B4053" t="s">
        <v>4058</v>
      </c>
      <c r="C4053">
        <f>HYPERLINK("C:\Users\franc\OneDrive\Documentos\MALENTIN KARIME\REVOCA\2015\HECTOR TABILO Mjudicial.doc", "Abrir Documento")</f>
        <v>0</v>
      </c>
      <c r="D4053" t="s">
        <v>23500</v>
      </c>
      <c r="E4053" t="s">
        <v>27166</v>
      </c>
    </row>
    <row r="4054" spans="1:5">
      <c r="A4054" t="s">
        <v>6</v>
      </c>
      <c r="B4054" t="s">
        <v>4059</v>
      </c>
      <c r="C4054">
        <f>HYPERLINK("C:\Users\franc\OneDrive\Documentos\MALENTIN KARIME\REVOCA\SALVADOR CODOCEOM.Especial.doc", "Abrir Documento")</f>
        <v>0</v>
      </c>
      <c r="D4054" t="s">
        <v>23500</v>
      </c>
      <c r="E4054" t="s">
        <v>27167</v>
      </c>
    </row>
    <row r="4055" spans="1:5">
      <c r="A4055" t="s">
        <v>6</v>
      </c>
      <c r="B4055" t="s">
        <v>4060</v>
      </c>
      <c r="C4055">
        <f>HYPERLINK("C:\Users\franc\OneDrive\Documentos\MALENTIN KARIME\REVOCA\OSVALDO AGUILERA ARAYA.doc", "Abrir Documento")</f>
        <v>0</v>
      </c>
      <c r="D4055" t="s">
        <v>23500</v>
      </c>
      <c r="E4055" t="s">
        <v>27168</v>
      </c>
    </row>
    <row r="4056" spans="1:5">
      <c r="A4056" t="s">
        <v>6</v>
      </c>
      <c r="B4056" t="s">
        <v>4061</v>
      </c>
      <c r="C4056">
        <f>HYPERLINK("C:\Users\franc\OneDrive\Documentos\MALENTIN KARIME\REVOCA\ROCIO RAMIREZ YAGNAM.doc", "Abrir Documento")</f>
        <v>0</v>
      </c>
      <c r="D4056" t="s">
        <v>23500</v>
      </c>
      <c r="E4056" t="s">
        <v>27168</v>
      </c>
    </row>
    <row r="4057" spans="1:5">
      <c r="A4057" t="s">
        <v>6</v>
      </c>
      <c r="B4057" t="s">
        <v>4062</v>
      </c>
      <c r="C4057">
        <f>HYPERLINK("C:\Users\franc\OneDrive\Documentos\MALENTIN KARIME\REVOCA\OSCAR SOTO MALDONADO.doc", "Abrir Documento")</f>
        <v>0</v>
      </c>
      <c r="D4057" t="s">
        <v>23500</v>
      </c>
      <c r="E4057" t="s">
        <v>27169</v>
      </c>
    </row>
    <row r="4058" spans="1:5">
      <c r="A4058" t="s">
        <v>6</v>
      </c>
      <c r="B4058" t="s">
        <v>4063</v>
      </c>
      <c r="C4058">
        <f>HYPERLINK("C:\Users\franc\OneDrive\Documentos\MALENTIN KARIME\REVOCA\MAURICIO PEDREROS PERRY M General.doc", "Abrir Documento")</f>
        <v>0</v>
      </c>
      <c r="D4058" t="s">
        <v>23500</v>
      </c>
      <c r="E4058" t="s">
        <v>27170</v>
      </c>
    </row>
    <row r="4059" spans="1:5">
      <c r="A4059" t="s">
        <v>6</v>
      </c>
      <c r="B4059" t="s">
        <v>4064</v>
      </c>
      <c r="C4059">
        <f>HYPERLINK("C:\Users\franc\OneDrive\Documentos\MALENTIN KARIME\REVOCA\MARIA JULIETA BARRIOS Revoca.doc", "Abrir Documento")</f>
        <v>0</v>
      </c>
      <c r="D4059" t="s">
        <v>23500</v>
      </c>
      <c r="E4059" t="s">
        <v>27171</v>
      </c>
    </row>
    <row r="4060" spans="1:5">
      <c r="A4060" t="s">
        <v>6</v>
      </c>
      <c r="B4060" t="s">
        <v>4065</v>
      </c>
      <c r="C4060">
        <f>HYPERLINK("C:\Users\franc\OneDrive\Documentos\MALENTIN KARIME\REVOCA\MARJORIE CORTES ROJAS m.Especial.doc", "Abrir Documento")</f>
        <v>0</v>
      </c>
      <c r="D4060" t="s">
        <v>23500</v>
      </c>
      <c r="E4060" t="s">
        <v>27171</v>
      </c>
    </row>
    <row r="4061" spans="1:5">
      <c r="A4061" t="s">
        <v>6</v>
      </c>
      <c r="B4061" t="s">
        <v>4066</v>
      </c>
      <c r="C4061">
        <f>HYPERLINK("C:\Users\franc\OneDrive\Documentos\MALENTIN KARIME\REVOCA\MARGARITA VELIZ LEMUS.doc", "Abrir Documento")</f>
        <v>0</v>
      </c>
      <c r="D4061" t="s">
        <v>23500</v>
      </c>
      <c r="E4061" t="s">
        <v>27172</v>
      </c>
    </row>
    <row r="4062" spans="1:5">
      <c r="A4062" t="s">
        <v>6</v>
      </c>
      <c r="B4062" t="s">
        <v>4067</v>
      </c>
      <c r="C4062">
        <f>HYPERLINK("C:\Users\franc\OneDrive\Documentos\MALENTIN KARIME\REVOCA\MARGARITA VELIZ LEMUS 222.doc", "Abrir Documento")</f>
        <v>0</v>
      </c>
      <c r="D4062" t="s">
        <v>23500</v>
      </c>
      <c r="E4062" t="s">
        <v>27173</v>
      </c>
    </row>
    <row r="4063" spans="1:5">
      <c r="A4063" t="s">
        <v>6</v>
      </c>
      <c r="B4063" t="s">
        <v>4068</v>
      </c>
      <c r="C4063">
        <f>HYPERLINK("C:\Users\franc\OneDrive\Documentos\MALENTIN KARIME\REVOCA\MANUEL EDO SEGURA CORTES Revoca.doc", "Abrir Documento")</f>
        <v>0</v>
      </c>
      <c r="D4063" t="s">
        <v>23500</v>
      </c>
      <c r="E4063" t="s">
        <v>27174</v>
      </c>
    </row>
    <row r="4064" spans="1:5">
      <c r="A4064" t="s">
        <v>6</v>
      </c>
      <c r="B4064" t="s">
        <v>4069</v>
      </c>
      <c r="C4064">
        <f>HYPERLINK("C:\Users\franc\OneDrive\Documentos\MALENTIN KARIME\REVOCA\LUIS GUILLERMO TORREJON TORREJO M.Judicial.doc", "Abrir Documento")</f>
        <v>0</v>
      </c>
      <c r="D4064" t="s">
        <v>23500</v>
      </c>
      <c r="E4064" t="s">
        <v>27175</v>
      </c>
    </row>
    <row r="4065" spans="1:5">
      <c r="A4065" t="s">
        <v>6</v>
      </c>
      <c r="B4065" t="s">
        <v>4070</v>
      </c>
      <c r="C4065">
        <f>HYPERLINK("C:\Users\franc\OneDrive\Documentos\MALENTIN KARIME\REVOCA\LUIS GUILLERMO TORREJON TORREJO M.Judicial 2009.doc", "Abrir Documento")</f>
        <v>0</v>
      </c>
      <c r="D4065" t="s">
        <v>23500</v>
      </c>
      <c r="E4065" t="s">
        <v>27176</v>
      </c>
    </row>
    <row r="4066" spans="1:5">
      <c r="A4066" t="s">
        <v>6</v>
      </c>
      <c r="B4066" t="s">
        <v>4071</v>
      </c>
      <c r="C4066">
        <f>HYPERLINK("C:\Users\franc\OneDrive\Documentos\MALENTIN KARIME\REVOCA\LUIS DIAZ JOFRE M.Especial.doc", "Abrir Documento")</f>
        <v>0</v>
      </c>
      <c r="D4066" t="s">
        <v>23500</v>
      </c>
      <c r="E4066" t="s">
        <v>27177</v>
      </c>
    </row>
    <row r="4067" spans="1:5">
      <c r="A4067" t="s">
        <v>6</v>
      </c>
      <c r="B4067" t="s">
        <v>4072</v>
      </c>
      <c r="C4067">
        <f>HYPERLINK("C:\Users\franc\OneDrive\Documentos\MALENTIN KARIME\REVOCA\LAZO PEREZ Vender.doc", "Abrir Documento")</f>
        <v>0</v>
      </c>
      <c r="D4067" t="s">
        <v>23500</v>
      </c>
      <c r="E4067" t="s">
        <v>27178</v>
      </c>
    </row>
    <row r="4068" spans="1:5">
      <c r="A4068" t="s">
        <v>6</v>
      </c>
      <c r="B4068" t="s">
        <v>4073</v>
      </c>
      <c r="C4068">
        <f>HYPERLINK("C:\Users\franc\OneDrive\Documentos\MALENTIN KARIME\REVOCA\JUAN DURAND M.Judicial Empresa.doc", "Abrir Documento")</f>
        <v>0</v>
      </c>
      <c r="D4068" t="s">
        <v>23500</v>
      </c>
      <c r="E4068" t="s">
        <v>27179</v>
      </c>
    </row>
    <row r="4069" spans="1:5">
      <c r="A4069" t="s">
        <v>6</v>
      </c>
      <c r="B4069" t="s">
        <v>4074</v>
      </c>
      <c r="C4069">
        <f>HYPERLINK("C:\Users\franc\OneDrive\Documentos\MALENTIN KARIME\REVOCA\JUAN DURAND M.Judicial.doc", "Abrir Documento")</f>
        <v>0</v>
      </c>
      <c r="D4069" t="s">
        <v>23500</v>
      </c>
      <c r="E4069" t="s">
        <v>27179</v>
      </c>
    </row>
    <row r="4070" spans="1:5">
      <c r="A4070" t="s">
        <v>6</v>
      </c>
      <c r="B4070" t="s">
        <v>4075</v>
      </c>
      <c r="C4070">
        <f>HYPERLINK("C:\Users\franc\OneDrive\Documentos\MALENTIN KARIME\REVOCA\LAZO PEREZ Vender 2.doc", "Abrir Documento")</f>
        <v>0</v>
      </c>
      <c r="D4070" t="s">
        <v>23500</v>
      </c>
      <c r="E4070" t="s">
        <v>27179</v>
      </c>
    </row>
    <row r="4071" spans="1:5">
      <c r="A4071" t="s">
        <v>6</v>
      </c>
      <c r="B4071" t="s">
        <v>4076</v>
      </c>
      <c r="C4071">
        <f>HYPERLINK("C:\Users\franc\OneDrive\Documentos\MALENTIN KARIME\REVOCA\JUAN ADAOS JERALDO A Claudio Conejeros 2015.doc", "Abrir Documento")</f>
        <v>0</v>
      </c>
      <c r="D4071" t="s">
        <v>23500</v>
      </c>
      <c r="E4071" t="s">
        <v>27180</v>
      </c>
    </row>
    <row r="4072" spans="1:5">
      <c r="A4072" t="s">
        <v>6</v>
      </c>
      <c r="B4072" t="s">
        <v>4077</v>
      </c>
      <c r="C4072">
        <f>HYPERLINK("C:\Users\franc\OneDrive\Documentos\MALENTIN KARIME\REVOCA\GICELA ZEPEDA Revoca.doc", "Abrir Documento")</f>
        <v>0</v>
      </c>
      <c r="D4072" t="s">
        <v>23500</v>
      </c>
      <c r="E4072" t="s">
        <v>27181</v>
      </c>
    </row>
    <row r="4073" spans="1:5">
      <c r="A4073" t="s">
        <v>6</v>
      </c>
      <c r="B4073" t="s">
        <v>4078</v>
      </c>
      <c r="C4073">
        <f>HYPERLINK("C:\Users\franc\OneDrive\Documentos\MALENTIN KARIME\REVOCA\GLADYS LAZO.doc", "Abrir Documento")</f>
        <v>0</v>
      </c>
      <c r="D4073" t="s">
        <v>23500</v>
      </c>
      <c r="E4073" t="s">
        <v>27181</v>
      </c>
    </row>
    <row r="4074" spans="1:5">
      <c r="A4074" t="s">
        <v>6</v>
      </c>
      <c r="B4074" t="s">
        <v>4079</v>
      </c>
      <c r="C4074">
        <f>HYPERLINK("C:\Users\franc\OneDrive\Documentos\MALENTIN KARIME\REVOCA\FRESIA ARAYA SULANTAY Especial.doc", "Abrir Documento")</f>
        <v>0</v>
      </c>
      <c r="D4074" t="s">
        <v>23500</v>
      </c>
      <c r="E4074" t="s">
        <v>27182</v>
      </c>
    </row>
    <row r="4075" spans="1:5">
      <c r="A4075" t="s">
        <v>6</v>
      </c>
      <c r="B4075" t="s">
        <v>4080</v>
      </c>
      <c r="C4075">
        <f>HYPERLINK("C:\Users\franc\OneDrive\Documentos\MALENTIN KARIME\REVOCA\DELIA DIAZ GARATE revocacion.doc", "Abrir Documento")</f>
        <v>0</v>
      </c>
      <c r="D4075" t="s">
        <v>23500</v>
      </c>
      <c r="E4075" t="s">
        <v>27183</v>
      </c>
    </row>
    <row r="4076" spans="1:5">
      <c r="A4076" t="s">
        <v>6</v>
      </c>
      <c r="B4076" t="s">
        <v>4081</v>
      </c>
      <c r="C4076">
        <f>HYPERLINK("C:\Users\franc\OneDrive\Documentos\MALENTIN KARIME\REVOCA\FELIPE POBLETE.doc", "Abrir Documento")</f>
        <v>0</v>
      </c>
      <c r="D4076" t="s">
        <v>23500</v>
      </c>
      <c r="E4076" t="s">
        <v>27183</v>
      </c>
    </row>
    <row r="4077" spans="1:5">
      <c r="A4077" t="s">
        <v>6</v>
      </c>
      <c r="B4077" t="s">
        <v>4082</v>
      </c>
      <c r="C4077">
        <f>HYPERLINK("C:\Users\franc\OneDrive\Documentos\MALENTIN KARIME\REVOCA\ALFONSO ARTIGUES.doc", "Abrir Documento")</f>
        <v>0</v>
      </c>
      <c r="D4077" t="s">
        <v>23500</v>
      </c>
      <c r="E4077" t="s">
        <v>27184</v>
      </c>
    </row>
    <row r="4078" spans="1:5">
      <c r="A4078" t="s">
        <v>6</v>
      </c>
      <c r="B4078" t="s">
        <v>4083</v>
      </c>
      <c r="C4078">
        <f>HYPERLINK("C:\Users\franc\OneDrive\Documentos\MALENTIN KARIME\REVOCA\comunidad SALALA revoca.doc", "Abrir Documento")</f>
        <v>0</v>
      </c>
      <c r="D4078" t="s">
        <v>23500</v>
      </c>
      <c r="E4078" t="s">
        <v>27184</v>
      </c>
    </row>
    <row r="4079" spans="1:5">
      <c r="A4079" t="s">
        <v>6</v>
      </c>
      <c r="B4079" t="s">
        <v>4084</v>
      </c>
      <c r="C4079">
        <f>HYPERLINK("C:\Users\franc\OneDrive\Documentos\MALENTIN KARIME\REVOCA\AIDA DEL CARMEN LABARCA.doc", "Abrir Documento")</f>
        <v>0</v>
      </c>
      <c r="D4079" t="s">
        <v>23500</v>
      </c>
      <c r="E4079" t="s">
        <v>27185</v>
      </c>
    </row>
    <row r="4080" spans="1:5">
      <c r="A4080" t="s">
        <v>6</v>
      </c>
      <c r="B4080" t="s">
        <v>4085</v>
      </c>
      <c r="C4080">
        <f>HYPERLINK("C:\Users\franc\OneDrive\Documentos\MALENTIN KARIME\RESCILIACION\WALDEMAR CARVAJAL Y ROMELIO ROBLES.doc", "Abrir Documento")</f>
        <v>0</v>
      </c>
      <c r="D4080" t="s">
        <v>23500</v>
      </c>
      <c r="E4080" t="s">
        <v>27186</v>
      </c>
    </row>
    <row r="4081" spans="1:5">
      <c r="A4081" t="s">
        <v>6</v>
      </c>
      <c r="B4081" t="s">
        <v>4086</v>
      </c>
      <c r="C4081">
        <f>HYPERLINK("C:\Users\franc\OneDrive\Documentos\MALENTIN KARIME\RESCILIACION\VIVIANA ARAYA LOTE A-4.doc", "Abrir Documento")</f>
        <v>0</v>
      </c>
      <c r="D4081" t="s">
        <v>23500</v>
      </c>
      <c r="E4081" t="s">
        <v>27187</v>
      </c>
    </row>
    <row r="4082" spans="1:5">
      <c r="A4082" t="s">
        <v>6</v>
      </c>
      <c r="B4082" t="s">
        <v>4087</v>
      </c>
      <c r="C4082">
        <f>HYPERLINK("C:\Users\franc\OneDrive\Documentos\MALENTIN KARIME\RESCILIACION\VIVIANA ARAYA LOTE 6.doc", "Abrir Documento")</f>
        <v>0</v>
      </c>
      <c r="D4082" t="s">
        <v>23500</v>
      </c>
      <c r="E4082" t="s">
        <v>27188</v>
      </c>
    </row>
    <row r="4083" spans="1:5">
      <c r="A4083" t="s">
        <v>6</v>
      </c>
      <c r="B4083" t="s">
        <v>4088</v>
      </c>
      <c r="C4083">
        <f>HYPERLINK("C:\Users\franc\OneDrive\Documentos\MALENTIN KARIME\RESCILIACION\VIVIANA ARAYA LOTE 8.doc", "Abrir Documento")</f>
        <v>0</v>
      </c>
      <c r="D4083" t="s">
        <v>23500</v>
      </c>
      <c r="E4083" t="s">
        <v>27188</v>
      </c>
    </row>
    <row r="4084" spans="1:5">
      <c r="A4084" t="s">
        <v>6</v>
      </c>
      <c r="B4084" t="s">
        <v>4089</v>
      </c>
      <c r="C4084">
        <f>HYPERLINK("C:\Users\franc\OneDrive\Documentos\MALENTIN KARIME\RESCILIACION\SLM LA FORTUNA  A HECTOR LOPEZ Y OTROS.doc", "Abrir Documento")</f>
        <v>0</v>
      </c>
      <c r="D4084" t="s">
        <v>23500</v>
      </c>
      <c r="E4084" t="s">
        <v>27189</v>
      </c>
    </row>
    <row r="4085" spans="1:5">
      <c r="A4085" t="s">
        <v>6</v>
      </c>
      <c r="B4085" t="s">
        <v>4090</v>
      </c>
      <c r="C4085">
        <f>HYPERLINK("C:\Users\franc\OneDrive\Documentos\MALENTIN KARIME\RESCILIACION\S.L.M.LA FORTUNA Y Ramon Nuñez mineria.doc", "Abrir Documento")</f>
        <v>0</v>
      </c>
      <c r="D4085" t="s">
        <v>23500</v>
      </c>
      <c r="E4085" t="s">
        <v>27190</v>
      </c>
    </row>
    <row r="4086" spans="1:5">
      <c r="A4086" t="s">
        <v>6</v>
      </c>
      <c r="B4086" t="s">
        <v>4091</v>
      </c>
      <c r="C4086">
        <f>HYPERLINK("C:\Users\franc\OneDrive\Documentos\MALENTIN KARIME\RESCILIACION\NICOLAS AGUIRRE A MINERA LA UNION.doc", "Abrir Documento")</f>
        <v>0</v>
      </c>
      <c r="D4086" t="s">
        <v>23500</v>
      </c>
      <c r="E4086" t="s">
        <v>27191</v>
      </c>
    </row>
    <row r="4087" spans="1:5">
      <c r="A4087" t="s">
        <v>6</v>
      </c>
      <c r="B4087" t="s">
        <v>4092</v>
      </c>
      <c r="C4087">
        <f>HYPERLINK("C:\Users\franc\OneDrive\Documentos\MALENTIN KARIME\RESCILIACION\MOISES VEGA Y SILVANA VEGA 2017.doc", "Abrir Documento")</f>
        <v>0</v>
      </c>
      <c r="D4087" t="s">
        <v>23500</v>
      </c>
      <c r="E4087" t="s">
        <v>27192</v>
      </c>
    </row>
    <row r="4088" spans="1:5">
      <c r="A4088" t="s">
        <v>6</v>
      </c>
      <c r="B4088" t="s">
        <v>4093</v>
      </c>
      <c r="C4088">
        <f>HYPERLINK("C:\Users\franc\OneDrive\Documentos\MALENTIN KARIME\RESCILIACION\MARIA PIZARRO A Juan Pizarro  S Salfate.doc", "Abrir Documento")</f>
        <v>0</v>
      </c>
      <c r="D4088" t="s">
        <v>23500</v>
      </c>
      <c r="E4088" t="s">
        <v>27193</v>
      </c>
    </row>
    <row r="4089" spans="1:5">
      <c r="A4089" t="s">
        <v>6</v>
      </c>
      <c r="B4089" t="s">
        <v>4094</v>
      </c>
      <c r="C4089">
        <f>HYPERLINK("C:\Users\franc\OneDrive\Documentos\MALENTIN KARIME\RESCILIACION\MARTA GAMBOA CASANGA.doc", "Abrir Documento")</f>
        <v>0</v>
      </c>
      <c r="D4089" t="s">
        <v>23500</v>
      </c>
      <c r="E4089" t="s">
        <v>27193</v>
      </c>
    </row>
    <row r="4090" spans="1:5">
      <c r="A4090" t="s">
        <v>6</v>
      </c>
      <c r="B4090" t="s">
        <v>4095</v>
      </c>
      <c r="C4090">
        <f>HYPERLINK("C:\Users\franc\OneDrive\Documentos\MALENTIN KARIME\RESCILIACION\JUANA CARVAJAL CORTES resc prohib.doc", "Abrir Documento")</f>
        <v>0</v>
      </c>
      <c r="D4090" t="s">
        <v>23500</v>
      </c>
      <c r="E4090" t="s">
        <v>27194</v>
      </c>
    </row>
    <row r="4091" spans="1:5">
      <c r="A4091" t="s">
        <v>6</v>
      </c>
      <c r="B4091" t="s">
        <v>4096</v>
      </c>
      <c r="C4091">
        <f>HYPERLINK("C:\Users\franc\OneDrive\Documentos\MALENTIN KARIME\RESCILIACION\JUAN SANTELICES A Salvador Maya.doc", "Abrir Documento")</f>
        <v>0</v>
      </c>
      <c r="D4091" t="s">
        <v>23500</v>
      </c>
      <c r="E4091" t="s">
        <v>27195</v>
      </c>
    </row>
    <row r="4092" spans="1:5">
      <c r="A4092" t="s">
        <v>6</v>
      </c>
      <c r="B4092" t="s">
        <v>4097</v>
      </c>
      <c r="C4092">
        <f>HYPERLINK("C:\Users\franc\OneDrive\Documentos\MALENTIN KARIME\RESCILIACION\JUAN SANTELICES A Eduardo Castillo.doc", "Abrir Documento")</f>
        <v>0</v>
      </c>
      <c r="D4092" t="s">
        <v>23500</v>
      </c>
      <c r="E4092" t="s">
        <v>27196</v>
      </c>
    </row>
    <row r="4093" spans="1:5">
      <c r="A4093" t="s">
        <v>6</v>
      </c>
      <c r="B4093" t="s">
        <v>4098</v>
      </c>
      <c r="C4093">
        <f>HYPERLINK("C:\Users\franc\OneDrive\Documentos\MALENTIN KARIME\RESCILIACION\JUAN SANTELICES A HECTOR ELGUEDA.doc", "Abrir Documento")</f>
        <v>0</v>
      </c>
      <c r="D4093" t="s">
        <v>23500</v>
      </c>
      <c r="E4093" t="s">
        <v>27196</v>
      </c>
    </row>
    <row r="4094" spans="1:5">
      <c r="A4094" t="s">
        <v>6</v>
      </c>
      <c r="B4094" t="s">
        <v>4099</v>
      </c>
      <c r="C4094">
        <f>HYPERLINK("C:\Users\franc\OneDrive\Documentos\MALENTIN KARIME\RESCILIACION\JOSE MUNIZAGA servidumbre.doc", "Abrir Documento")</f>
        <v>0</v>
      </c>
      <c r="D4094" t="s">
        <v>23500</v>
      </c>
      <c r="E4094" t="s">
        <v>27197</v>
      </c>
    </row>
    <row r="4095" spans="1:5">
      <c r="A4095" t="s">
        <v>6</v>
      </c>
      <c r="B4095" t="s">
        <v>4100</v>
      </c>
      <c r="C4095">
        <f>HYPERLINK("C:\Users\franc\OneDrive\Documentos\MALENTIN KARIME\RESCILIACION\GABRIEL VELIZ PIZARRO CVTA.doc", "Abrir Documento")</f>
        <v>0</v>
      </c>
      <c r="D4095" t="s">
        <v>23500</v>
      </c>
      <c r="E4095" t="s">
        <v>27198</v>
      </c>
    </row>
    <row r="4096" spans="1:5">
      <c r="A4096" t="s">
        <v>6</v>
      </c>
      <c r="B4096" t="s">
        <v>4101</v>
      </c>
      <c r="C4096">
        <f>HYPERLINK("C:\Users\franc\OneDrive\Documentos\MALENTIN KARIME\RESCILIACION\FREDDY ZAMORA Y PROGRESO  S.A. 23 10.doc", "Abrir Documento")</f>
        <v>0</v>
      </c>
      <c r="D4096" t="s">
        <v>23500</v>
      </c>
      <c r="E4096" t="s">
        <v>27199</v>
      </c>
    </row>
    <row r="4097" spans="1:5">
      <c r="A4097" t="s">
        <v>6</v>
      </c>
      <c r="B4097" t="s">
        <v>4102</v>
      </c>
      <c r="C4097">
        <f>HYPERLINK("C:\Users\franc\OneDrive\Documentos\MALENTIN KARIME\RESCILIACION\FREDDY ZAMORA Y PROGRESO  S.A. 13 02.doc", "Abrir Documento")</f>
        <v>0</v>
      </c>
      <c r="D4097" t="s">
        <v>23500</v>
      </c>
      <c r="E4097" t="s">
        <v>27200</v>
      </c>
    </row>
    <row r="4098" spans="1:5">
      <c r="A4098" t="s">
        <v>6</v>
      </c>
      <c r="B4098" t="s">
        <v>4103</v>
      </c>
      <c r="C4098">
        <f>HYPERLINK("C:\Users\franc\OneDrive\Documentos\MALENTIN KARIME\RESCILIACION\ESTER ARAYA Y Leyla Lopez Resc.doc", "Abrir Documento")</f>
        <v>0</v>
      </c>
      <c r="D4098" t="s">
        <v>23500</v>
      </c>
      <c r="E4098" t="s">
        <v>27201</v>
      </c>
    </row>
    <row r="4099" spans="1:5">
      <c r="A4099" t="s">
        <v>6</v>
      </c>
      <c r="B4099" t="s">
        <v>4104</v>
      </c>
      <c r="C4099">
        <f>HYPERLINK("C:\Users\franc\OneDrive\Documentos\MALENTIN KARIME\RESCILIACION\ERNESTINA CASTILLO Y PIA ARIAS venta.doc", "Abrir Documento")</f>
        <v>0</v>
      </c>
      <c r="D4099" t="s">
        <v>23500</v>
      </c>
      <c r="E4099" t="s">
        <v>27202</v>
      </c>
    </row>
    <row r="4100" spans="1:5">
      <c r="A4100" t="s">
        <v>6</v>
      </c>
      <c r="B4100" t="s">
        <v>4105</v>
      </c>
      <c r="C4100">
        <f>HYPERLINK("C:\Users\franc\OneDrive\Documentos\MALENTIN KARIME\RESCILIACION\comunidad LAS DAMAS.doc", "Abrir Documento")</f>
        <v>0</v>
      </c>
      <c r="D4100" t="s">
        <v>23500</v>
      </c>
      <c r="E4100" t="s">
        <v>27203</v>
      </c>
    </row>
    <row r="4101" spans="1:5">
      <c r="A4101" t="s">
        <v>6</v>
      </c>
      <c r="B4101" t="s">
        <v>4106</v>
      </c>
      <c r="C4101">
        <f>HYPERLINK("C:\Users\franc\OneDrive\Documentos\MALENTIN KARIME\RESCILIACION\Clemente Fuentealba a NANCY MERCADO.doc", "Abrir Documento")</f>
        <v>0</v>
      </c>
      <c r="D4101" t="s">
        <v>23500</v>
      </c>
      <c r="E4101" t="s">
        <v>27204</v>
      </c>
    </row>
    <row r="4102" spans="1:5">
      <c r="A4102" t="s">
        <v>6</v>
      </c>
      <c r="B4102" t="s">
        <v>4107</v>
      </c>
      <c r="C4102">
        <f>HYPERLINK("C:\Users\franc\OneDrive\Documentos\MALENTIN KARIME\RESCILIACION\COMUNIDAD AGRICOLA LA COIPA A Uberlinda Labarca.doc", "Abrir Documento")</f>
        <v>0</v>
      </c>
      <c r="D4102" t="s">
        <v>23500</v>
      </c>
      <c r="E4102" t="s">
        <v>27204</v>
      </c>
    </row>
    <row r="4103" spans="1:5">
      <c r="A4103" t="s">
        <v>6</v>
      </c>
      <c r="B4103" t="s">
        <v>4108</v>
      </c>
      <c r="C4103">
        <f>HYPERLINK("C:\Users\franc\OneDrive\Documentos\MALENTIN KARIME\RESCILIACION\CARLOS CARVAJAL RODRIGUEZ lote 12.doc", "Abrir Documento")</f>
        <v>0</v>
      </c>
      <c r="D4103" t="s">
        <v>23500</v>
      </c>
      <c r="E4103" t="s">
        <v>27205</v>
      </c>
    </row>
    <row r="4104" spans="1:5">
      <c r="A4104" t="s">
        <v>6</v>
      </c>
      <c r="B4104" t="s">
        <v>4109</v>
      </c>
      <c r="C4104">
        <f>HYPERLINK("C:\Users\franc\OneDrive\Documentos\MALENTIN KARIME\RESCILIACION\CARLOS CARVAJAL RODRIGUEZ.doc", "Abrir Documento")</f>
        <v>0</v>
      </c>
      <c r="D4104" t="s">
        <v>23500</v>
      </c>
      <c r="E4104" t="s">
        <v>27205</v>
      </c>
    </row>
    <row r="4105" spans="1:5">
      <c r="A4105" t="s">
        <v>6</v>
      </c>
      <c r="B4105" t="s">
        <v>4110</v>
      </c>
      <c r="C4105">
        <f>HYPERLINK("C:\Users\franc\OneDrive\Documentos\MALENTIN KARIME\RESCILIACION\ANGELO TATAN.doc", "Abrir Documento")</f>
        <v>0</v>
      </c>
      <c r="D4105" t="s">
        <v>23500</v>
      </c>
      <c r="E4105" t="s">
        <v>27206</v>
      </c>
    </row>
    <row r="4106" spans="1:5">
      <c r="A4106" t="s">
        <v>6</v>
      </c>
      <c r="B4106" t="s">
        <v>4111</v>
      </c>
      <c r="C4106">
        <f>HYPERLINK("C:\Users\franc\OneDrive\Documentos\MALENTIN KARIME\RESCILIACION\ARMANDO RODRIGUEZ G A Minera Lomas Altas MINUTA.doc", "Abrir Documento")</f>
        <v>0</v>
      </c>
      <c r="D4106" t="s">
        <v>23500</v>
      </c>
      <c r="E4106" t="s">
        <v>27206</v>
      </c>
    </row>
    <row r="4107" spans="1:5">
      <c r="A4107" t="s">
        <v>6</v>
      </c>
      <c r="B4107" t="s">
        <v>4112</v>
      </c>
      <c r="C4107">
        <f>HYPERLINK("C:\Users\franc\OneDrive\Documentos\MALENTIN KARIME\REPUDIO\RICARDO HERNANDEZ.doc", "Abrir Documento")</f>
        <v>0</v>
      </c>
      <c r="D4107" t="s">
        <v>23500</v>
      </c>
      <c r="E4107" t="s">
        <v>27207</v>
      </c>
    </row>
    <row r="4108" spans="1:5">
      <c r="A4108" t="s">
        <v>6</v>
      </c>
      <c r="B4108" t="s">
        <v>4113</v>
      </c>
      <c r="C4108">
        <f>HYPERLINK("C:\Users\franc\OneDrive\Documentos\MALENTIN KARIME\RESCILIACION\ALFONSO MONTENEGRO  Y JOSE MUNIZAGA.doc", "Abrir Documento")</f>
        <v>0</v>
      </c>
      <c r="D4108" t="s">
        <v>23500</v>
      </c>
      <c r="E4108" t="s">
        <v>27207</v>
      </c>
    </row>
    <row r="4109" spans="1:5">
      <c r="A4109" t="s">
        <v>6</v>
      </c>
      <c r="B4109" t="s">
        <v>4114</v>
      </c>
      <c r="C4109">
        <f>HYPERLINK("C:\Users\franc\OneDrive\Documentos\MALENTIN KARIME\REPUDIO\JAVIERA CATRILAF 2017.doc", "Abrir Documento")</f>
        <v>0</v>
      </c>
      <c r="D4109" t="s">
        <v>23500</v>
      </c>
      <c r="E4109" t="s">
        <v>27208</v>
      </c>
    </row>
    <row r="4110" spans="1:5">
      <c r="A4110" t="s">
        <v>6</v>
      </c>
      <c r="B4110" t="s">
        <v>4115</v>
      </c>
      <c r="C4110">
        <f>HYPERLINK("C:\Users\franc\OneDrive\Documentos\MALENTIN KARIME\REPUDIO\KATHERINE ARDILES.doc", "Abrir Documento")</f>
        <v>0</v>
      </c>
      <c r="D4110" t="s">
        <v>23500</v>
      </c>
      <c r="E4110" t="s">
        <v>27208</v>
      </c>
    </row>
    <row r="4111" spans="1:5">
      <c r="A4111" t="s">
        <v>6</v>
      </c>
      <c r="B4111" t="s">
        <v>4116</v>
      </c>
      <c r="C4111">
        <f>HYPERLINK("C:\Users\franc\OneDrive\Documentos\MALENTIN KARIME\REPUDIO\FELIX ARAYA ADONES.doc", "Abrir Documento")</f>
        <v>0</v>
      </c>
      <c r="D4111" t="s">
        <v>23500</v>
      </c>
      <c r="E4111" t="s">
        <v>27209</v>
      </c>
    </row>
    <row r="4112" spans="1:5">
      <c r="A4112" t="s">
        <v>6</v>
      </c>
      <c r="B4112" t="s">
        <v>4117</v>
      </c>
      <c r="C4112">
        <f>HYPERLINK("C:\Users\franc\OneDrive\Documentos\MALENTIN KARIME\REPUDIO\EDWARD PORTILLA GUERRERO.doc", "Abrir Documento")</f>
        <v>0</v>
      </c>
      <c r="D4112" t="s">
        <v>23500</v>
      </c>
      <c r="E4112" t="s">
        <v>27210</v>
      </c>
    </row>
    <row r="4113" spans="1:5">
      <c r="A4113" t="s">
        <v>6</v>
      </c>
      <c r="B4113" t="s">
        <v>4118</v>
      </c>
      <c r="C4113">
        <f>HYPERLINK("C:\Users\franc\OneDrive\Documentos\MALENTIN KARIME\REPUDIO\DIEGO PASTEN.doc", "Abrir Documento")</f>
        <v>0</v>
      </c>
      <c r="D4113" t="s">
        <v>23500</v>
      </c>
      <c r="E4113" t="s">
        <v>27211</v>
      </c>
    </row>
    <row r="4114" spans="1:5">
      <c r="A4114" t="s">
        <v>6</v>
      </c>
      <c r="B4114" t="s">
        <v>4119</v>
      </c>
      <c r="C4114">
        <f>HYPERLINK("C:\Users\franc\OneDrive\Documentos\MALENTIN KARIME\REPUDIO\DAFNE OLIVARES 2017.doc", "Abrir Documento")</f>
        <v>0</v>
      </c>
      <c r="D4114" t="s">
        <v>23500</v>
      </c>
      <c r="E4114" t="s">
        <v>27212</v>
      </c>
    </row>
    <row r="4115" spans="1:5">
      <c r="A4115" t="s">
        <v>6</v>
      </c>
      <c r="B4115" t="s">
        <v>4120</v>
      </c>
      <c r="C4115">
        <f>HYPERLINK("C:\Users\franc\OneDrive\Documentos\MALENTIN KARIME\REPUDIO\CLAUDIA ARAYA DIAZ 2017.doc", "Abrir Documento")</f>
        <v>0</v>
      </c>
      <c r="D4115" t="s">
        <v>23500</v>
      </c>
      <c r="E4115" t="s">
        <v>27213</v>
      </c>
    </row>
    <row r="4116" spans="1:5">
      <c r="A4116" t="s">
        <v>6</v>
      </c>
      <c r="B4116" t="s">
        <v>4121</v>
      </c>
      <c r="C4116">
        <f>HYPERLINK("C:\Users\franc\OneDrive\Documentos\MALENTIN KARIME\REPUDIO\ALAN OLGUIN.doc", "Abrir Documento")</f>
        <v>0</v>
      </c>
      <c r="D4116" t="s">
        <v>23500</v>
      </c>
      <c r="E4116" t="s">
        <v>27214</v>
      </c>
    </row>
    <row r="4117" spans="1:5">
      <c r="A4117" t="s">
        <v>6</v>
      </c>
      <c r="B4117" t="s">
        <v>4122</v>
      </c>
      <c r="C4117">
        <f>HYPERLINK("C:\Users\franc\OneDrive\Documentos\MALENTIN KARIME\RENUNCIA GANANCIAL\NIRMA OLIVARES VALENCIA.doc", "Abrir Documento")</f>
        <v>0</v>
      </c>
      <c r="D4117" t="s">
        <v>23500</v>
      </c>
      <c r="E4117" t="s">
        <v>27215</v>
      </c>
    </row>
    <row r="4118" spans="1:5">
      <c r="A4118" t="s">
        <v>6</v>
      </c>
      <c r="B4118" t="s">
        <v>4123</v>
      </c>
      <c r="C4118">
        <f>HYPERLINK("C:\Users\franc\OneDrive\Documentos\MALENTIN KARIME\RENUNCIA GANANCIAL\IRIS GONZALEZ VALENZUELA Minuta.doc", "Abrir Documento")</f>
        <v>0</v>
      </c>
      <c r="D4118" t="s">
        <v>23500</v>
      </c>
      <c r="E4118" t="s">
        <v>27216</v>
      </c>
    </row>
    <row r="4119" spans="1:5">
      <c r="A4119" t="s">
        <v>6</v>
      </c>
      <c r="B4119" t="s">
        <v>4124</v>
      </c>
      <c r="C4119">
        <f>HYPERLINK("C:\Users\franc\OneDrive\Documentos\MALENTIN KARIME\RENUNCIA GANANCIAL\AILSA VILLEGAS EGAÑA.doc", "Abrir Documento")</f>
        <v>0</v>
      </c>
      <c r="D4119" t="s">
        <v>23500</v>
      </c>
      <c r="E4119" t="s">
        <v>27217</v>
      </c>
    </row>
    <row r="4120" spans="1:5">
      <c r="A4120" t="s">
        <v>6</v>
      </c>
      <c r="B4120" t="s">
        <v>4125</v>
      </c>
      <c r="C4120">
        <f>HYPERLINK("C:\Users\franc\OneDrive\Documentos\MALENTIN KARIME\REMATE\RECTIFICACION\2017\TERESA CASTRO rect.doc", "Abrir Documento")</f>
        <v>0</v>
      </c>
      <c r="D4120" t="s">
        <v>23500</v>
      </c>
      <c r="E4120" t="s">
        <v>27218</v>
      </c>
    </row>
    <row r="4121" spans="1:5">
      <c r="A4121" t="s">
        <v>6</v>
      </c>
      <c r="B4121" t="s">
        <v>4126</v>
      </c>
      <c r="C4121">
        <f>HYPERLINK("C:\Users\franc\OneDrive\Documentos\MALENTIN KARIME\REMATE\RECTIFICACION\2017\LUCY CASTILLO TELLO 2017 derecho uso.doc", "Abrir Documento")</f>
        <v>0</v>
      </c>
      <c r="D4121" t="s">
        <v>23500</v>
      </c>
      <c r="E4121" t="s">
        <v>27219</v>
      </c>
    </row>
    <row r="4122" spans="1:5">
      <c r="A4122" t="s">
        <v>6</v>
      </c>
      <c r="B4122" t="s">
        <v>4127</v>
      </c>
      <c r="C4122">
        <f>HYPERLINK("C:\Users\franc\OneDrive\Documentos\MALENTIN KARIME\REMATE\RECTIFICACION\2017\GONZALO SEPULVEDA 2018.doc", "Abrir Documento")</f>
        <v>0</v>
      </c>
      <c r="D4122" t="s">
        <v>23500</v>
      </c>
      <c r="E4122" t="s">
        <v>27220</v>
      </c>
    </row>
    <row r="4123" spans="1:5">
      <c r="A4123" t="s">
        <v>6</v>
      </c>
      <c r="B4123" t="s">
        <v>4128</v>
      </c>
      <c r="C4123">
        <f>HYPERLINK("C:\Users\franc\OneDrive\Documentos\MALENTIN KARIME\REMATE\RECTIFICACION\2017\JORGE ALLENDE.doc", "Abrir Documento")</f>
        <v>0</v>
      </c>
      <c r="D4123" t="s">
        <v>23500</v>
      </c>
      <c r="E4123" t="s">
        <v>27220</v>
      </c>
    </row>
    <row r="4124" spans="1:5">
      <c r="A4124" t="s">
        <v>6</v>
      </c>
      <c r="B4124" t="s">
        <v>4129</v>
      </c>
      <c r="C4124">
        <f>HYPERLINK("C:\Users\franc\OneDrive\Documentos\MALENTIN KARIME\REMATE\RECTIFICACION\2017\GABRIEL RODRIGUEZ nube de gloria.doc", "Abrir Documento")</f>
        <v>0</v>
      </c>
      <c r="D4124" t="s">
        <v>23500</v>
      </c>
      <c r="E4124" t="s">
        <v>27221</v>
      </c>
    </row>
    <row r="4125" spans="1:5">
      <c r="A4125" t="s">
        <v>6</v>
      </c>
      <c r="B4125" t="s">
        <v>4130</v>
      </c>
      <c r="C4125">
        <f>HYPERLINK("C:\Users\franc\OneDrive\Documentos\MALENTIN KARIME\REMATE\RECTIFICACION\2017\BRENDA GUZMAN VASQUEZ Apellido.doc", "Abrir Documento")</f>
        <v>0</v>
      </c>
      <c r="D4125" t="s">
        <v>23500</v>
      </c>
      <c r="E4125" t="s">
        <v>27222</v>
      </c>
    </row>
    <row r="4126" spans="1:5">
      <c r="A4126" t="s">
        <v>6</v>
      </c>
      <c r="B4126" t="s">
        <v>4131</v>
      </c>
      <c r="C4126">
        <f>HYPERLINK("C:\Users\franc\OneDrive\Documentos\MALENTIN KARIME\REMATE\RECTIFICACION\2016\YESSICA CASTILLO.doc", "Abrir Documento")</f>
        <v>0</v>
      </c>
      <c r="D4126" t="s">
        <v>23500</v>
      </c>
      <c r="E4126" t="s">
        <v>27223</v>
      </c>
    </row>
    <row r="4127" spans="1:5">
      <c r="A4127" t="s">
        <v>6</v>
      </c>
      <c r="B4127" t="s">
        <v>4132</v>
      </c>
      <c r="C4127">
        <f>HYPERLINK("C:\Users\franc\OneDrive\Documentos\MALENTIN KARIME\REMATE\RECTIFICACION\2016\SUSANA DIAZ ASTUDILLO rectificacion 2016.doc", "Abrir Documento")</f>
        <v>0</v>
      </c>
      <c r="D4127" t="s">
        <v>23500</v>
      </c>
      <c r="E4127" t="s">
        <v>27224</v>
      </c>
    </row>
    <row r="4128" spans="1:5">
      <c r="A4128" t="s">
        <v>6</v>
      </c>
      <c r="B4128" t="s">
        <v>4133</v>
      </c>
      <c r="C4128">
        <f>HYPERLINK("C:\Users\franc\OneDrive\Documentos\MALENTIN KARIME\REMATE\RECTIFICACION\2016\LUISA ARAYA A Luis Gahona.doc", "Abrir Documento")</f>
        <v>0</v>
      </c>
      <c r="D4128" t="s">
        <v>23500</v>
      </c>
      <c r="E4128" t="s">
        <v>27225</v>
      </c>
    </row>
    <row r="4129" spans="1:5">
      <c r="A4129" t="s">
        <v>6</v>
      </c>
      <c r="B4129" t="s">
        <v>4134</v>
      </c>
      <c r="C4129">
        <f>HYPERLINK("C:\Users\franc\OneDrive\Documentos\MALENTIN KARIME\REMATE\RECTIFICACION\2016\CLAUDIO ARDILES.doc", "Abrir Documento")</f>
        <v>0</v>
      </c>
      <c r="D4129" t="s">
        <v>23500</v>
      </c>
      <c r="E4129" t="s">
        <v>27226</v>
      </c>
    </row>
    <row r="4130" spans="1:5">
      <c r="A4130" t="s">
        <v>6</v>
      </c>
      <c r="B4130" t="s">
        <v>4135</v>
      </c>
      <c r="C4130">
        <f>HYPERLINK("C:\Users\franc\OneDrive\Documentos\MALENTIN KARIME\REMATE\RECTIFICACION\SUSANA DIAZ ASTUDILLO rectificacion 2016.doc", "Abrir Documento")</f>
        <v>0</v>
      </c>
      <c r="D4130" t="s">
        <v>23500</v>
      </c>
      <c r="E4130" t="s">
        <v>27227</v>
      </c>
    </row>
    <row r="4131" spans="1:5">
      <c r="A4131" t="s">
        <v>6</v>
      </c>
      <c r="B4131" t="s">
        <v>4136</v>
      </c>
      <c r="C4131">
        <f>HYPERLINK("C:\Users\franc\OneDrive\Documentos\MALENTIN KARIME\REMATE\RECTIFICACION\ROSALIA QUISPE  Rut.doc", "Abrir Documento")</f>
        <v>0</v>
      </c>
      <c r="D4131" t="s">
        <v>23500</v>
      </c>
      <c r="E4131" t="s">
        <v>27228</v>
      </c>
    </row>
    <row r="4132" spans="1:5">
      <c r="A4132" t="s">
        <v>6</v>
      </c>
      <c r="B4132" t="s">
        <v>4137</v>
      </c>
      <c r="C4132">
        <f>HYPERLINK("C:\Users\franc\OneDrive\Documentos\MALENTIN KARIME\REMATE\RECTIFICACION\SERGIO SALFATE ARAYA.doc", "Abrir Documento")</f>
        <v>0</v>
      </c>
      <c r="D4132" t="s">
        <v>23500</v>
      </c>
      <c r="E4132" t="s">
        <v>27228</v>
      </c>
    </row>
    <row r="4133" spans="1:5">
      <c r="A4133" t="s">
        <v>6</v>
      </c>
      <c r="B4133" t="s">
        <v>4138</v>
      </c>
      <c r="C4133">
        <f>HYPERLINK("C:\Users\franc\OneDrive\Documentos\MALENTIN KARIME\REMATE\RECTIFICACION\RIO CLARO Minuta.doc", "Abrir Documento")</f>
        <v>0</v>
      </c>
      <c r="D4133" t="s">
        <v>23500</v>
      </c>
      <c r="E4133" t="s">
        <v>27229</v>
      </c>
    </row>
    <row r="4134" spans="1:5">
      <c r="A4134" t="s">
        <v>6</v>
      </c>
      <c r="B4134" t="s">
        <v>4139</v>
      </c>
      <c r="C4134">
        <f>HYPERLINK("C:\Users\franc\OneDrive\Documentos\MALENTIN KARIME\REMATE\RECTIFICACION\RICARDO ARAYA Rect.doc", "Abrir Documento")</f>
        <v>0</v>
      </c>
      <c r="D4134" t="s">
        <v>23500</v>
      </c>
      <c r="E4134" t="s">
        <v>27230</v>
      </c>
    </row>
    <row r="4135" spans="1:5">
      <c r="A4135" t="s">
        <v>6</v>
      </c>
      <c r="B4135" t="s">
        <v>4140</v>
      </c>
      <c r="C4135">
        <f>HYPERLINK("C:\Users\franc\OneDrive\Documentos\MALENTIN KARIME\REMATE\RECTIFICACION\RIO CLARO Minuta Extracto.doc", "Abrir Documento")</f>
        <v>0</v>
      </c>
      <c r="D4135" t="s">
        <v>23500</v>
      </c>
      <c r="E4135" t="s">
        <v>27230</v>
      </c>
    </row>
    <row r="4136" spans="1:5">
      <c r="A4136" t="s">
        <v>6</v>
      </c>
      <c r="B4136" t="s">
        <v>4141</v>
      </c>
      <c r="C4136">
        <f>HYPERLINK("C:\Users\franc\OneDrive\Documentos\MALENTIN KARIME\REMATE\RECTIFICACION\NIVALDO VEAS CORTES Deslindes.doc", "Abrir Documento")</f>
        <v>0</v>
      </c>
      <c r="D4136" t="s">
        <v>23500</v>
      </c>
      <c r="E4136" t="s">
        <v>27231</v>
      </c>
    </row>
    <row r="4137" spans="1:5">
      <c r="A4137" t="s">
        <v>6</v>
      </c>
      <c r="B4137" t="s">
        <v>4142</v>
      </c>
      <c r="C4137">
        <f>HYPERLINK("C:\Users\franc\OneDrive\Documentos\MALENTIN KARIME\REMATE\RECTIFICACION\RECTIFICA.doc", "Abrir Documento")</f>
        <v>0</v>
      </c>
      <c r="D4137" t="s">
        <v>23500</v>
      </c>
      <c r="E4137" t="s">
        <v>27231</v>
      </c>
    </row>
    <row r="4138" spans="1:5">
      <c r="A4138" t="s">
        <v>6</v>
      </c>
      <c r="B4138" t="s">
        <v>4143</v>
      </c>
      <c r="C4138">
        <f>HYPERLINK("C:\Users\franc\OneDrive\Documentos\MALENTIN KARIME\REMATE\RECTIFICACION\RICARDO ARAYA Rect 2.doc", "Abrir Documento")</f>
        <v>0</v>
      </c>
      <c r="D4138" t="s">
        <v>23500</v>
      </c>
      <c r="E4138" t="s">
        <v>27231</v>
      </c>
    </row>
    <row r="4139" spans="1:5">
      <c r="A4139" t="s">
        <v>6</v>
      </c>
      <c r="B4139" t="s">
        <v>4144</v>
      </c>
      <c r="C4139">
        <f>HYPERLINK("C:\Users\franc\OneDrive\Documentos\MALENTIN KARIME\REMATE\RECTIFICACION\MELDA BAEZA estado civil.doc", "Abrir Documento")</f>
        <v>0</v>
      </c>
      <c r="D4139" t="s">
        <v>23500</v>
      </c>
      <c r="E4139" t="s">
        <v>27232</v>
      </c>
    </row>
    <row r="4140" spans="1:5">
      <c r="A4140" t="s">
        <v>6</v>
      </c>
      <c r="B4140" t="s">
        <v>4145</v>
      </c>
      <c r="C4140">
        <f>HYPERLINK("C:\Users\franc\OneDrive\Documentos\MALENTIN KARIME\REMATE\RECTIFICACION\NATANIEL ARANCIBIA ZAPATA.doc", "Abrir Documento")</f>
        <v>0</v>
      </c>
      <c r="D4140" t="s">
        <v>23500</v>
      </c>
      <c r="E4140" t="s">
        <v>27232</v>
      </c>
    </row>
    <row r="4141" spans="1:5">
      <c r="A4141" t="s">
        <v>6</v>
      </c>
      <c r="B4141" t="s">
        <v>4146</v>
      </c>
      <c r="C4141">
        <f>HYPERLINK("C:\Users\franc\OneDrive\Documentos\MALENTIN KARIME\REMATE\RECTIFICACION\MARITZA RETAMAL.doc", "Abrir Documento")</f>
        <v>0</v>
      </c>
      <c r="D4141" t="s">
        <v>23500</v>
      </c>
      <c r="E4141" t="s">
        <v>27233</v>
      </c>
    </row>
    <row r="4142" spans="1:5">
      <c r="A4142" t="s">
        <v>6</v>
      </c>
      <c r="B4142" t="s">
        <v>4147</v>
      </c>
      <c r="C4142">
        <f>HYPERLINK("C:\Users\franc\OneDrive\Documentos\MALENTIN KARIME\REMATE\RECTIFICACION\MARIA ARAYA BRAVO A Ernesto Angel.doc", "Abrir Documento")</f>
        <v>0</v>
      </c>
      <c r="D4142" t="s">
        <v>23500</v>
      </c>
      <c r="E4142" t="s">
        <v>27234</v>
      </c>
    </row>
    <row r="4143" spans="1:5">
      <c r="A4143" t="s">
        <v>6</v>
      </c>
      <c r="B4143" t="s">
        <v>4148</v>
      </c>
      <c r="C4143">
        <f>HYPERLINK("C:\Users\franc\OneDrive\Documentos\MALENTIN KARIME\REMATE\RECTIFICACION\MARIA ARAYA ELORZA Serviu.doc", "Abrir Documento")</f>
        <v>0</v>
      </c>
      <c r="D4143" t="s">
        <v>23500</v>
      </c>
      <c r="E4143" t="s">
        <v>27234</v>
      </c>
    </row>
    <row r="4144" spans="1:5">
      <c r="A4144" t="s">
        <v>6</v>
      </c>
      <c r="B4144" t="s">
        <v>4149</v>
      </c>
      <c r="C4144">
        <f>HYPERLINK("C:\Users\franc\OneDrive\Documentos\MALENTIN KARIME\REMATE\RECTIFICACION\MARIO ALFARO GUTIERREZ.doc", "Abrir Documento")</f>
        <v>0</v>
      </c>
      <c r="D4144" t="s">
        <v>23500</v>
      </c>
      <c r="E4144" t="s">
        <v>27234</v>
      </c>
    </row>
    <row r="4145" spans="1:5">
      <c r="A4145" t="s">
        <v>6</v>
      </c>
      <c r="B4145" t="s">
        <v>4150</v>
      </c>
      <c r="C4145">
        <f>HYPERLINK("C:\Users\franc\OneDrive\Documentos\MALENTIN KARIME\REMATE\RECTIFICACION\MALVINA CORTES ASTUDILLO Rectif.doc", "Abrir Documento")</f>
        <v>0</v>
      </c>
      <c r="D4145" t="s">
        <v>23500</v>
      </c>
      <c r="E4145" t="s">
        <v>27235</v>
      </c>
    </row>
    <row r="4146" spans="1:5">
      <c r="A4146" t="s">
        <v>6</v>
      </c>
      <c r="B4146" t="s">
        <v>4151</v>
      </c>
      <c r="C4146">
        <f>HYPERLINK("C:\Users\franc\OneDrive\Documentos\MALENTIN KARIME\REMATE\RECTIFICACION\LEONARDO ROJAS A. Desafectación.doc", "Abrir Documento")</f>
        <v>0</v>
      </c>
      <c r="D4146" t="s">
        <v>23500</v>
      </c>
      <c r="E4146" t="s">
        <v>27236</v>
      </c>
    </row>
    <row r="4147" spans="1:5">
      <c r="A4147" t="s">
        <v>6</v>
      </c>
      <c r="B4147" t="s">
        <v>4152</v>
      </c>
      <c r="C4147">
        <f>HYPERLINK("C:\Users\franc\OneDrive\Documentos\MALENTIN KARIME\REMATE\RECTIFICACION\MALVINA CORTES ASTUDILLO Rectif sola.doc", "Abrir Documento")</f>
        <v>0</v>
      </c>
      <c r="D4147" t="s">
        <v>23500</v>
      </c>
      <c r="E4147" t="s">
        <v>27236</v>
      </c>
    </row>
    <row r="4148" spans="1:5">
      <c r="A4148" t="s">
        <v>6</v>
      </c>
      <c r="B4148" t="s">
        <v>4153</v>
      </c>
      <c r="C4148">
        <f>HYPERLINK("C:\Users\franc\OneDrive\Documentos\MALENTIN KARIME\REMATE\RECTIFICACION\JORGE DIAZ RUBINA.doc", "Abrir Documento")</f>
        <v>0</v>
      </c>
      <c r="D4148" t="s">
        <v>23500</v>
      </c>
      <c r="E4148" t="s">
        <v>27237</v>
      </c>
    </row>
    <row r="4149" spans="1:5">
      <c r="A4149" t="s">
        <v>6</v>
      </c>
      <c r="B4149" t="s">
        <v>4154</v>
      </c>
      <c r="C4149">
        <f>HYPERLINK("C:\Users\franc\OneDrive\Documentos\MALENTIN KARIME\REMATE\RECTIFICACION\las NIETAS.doc", "Abrir Documento")</f>
        <v>0</v>
      </c>
      <c r="D4149" t="s">
        <v>23500</v>
      </c>
      <c r="E4149" t="s">
        <v>27237</v>
      </c>
    </row>
    <row r="4150" spans="1:5">
      <c r="A4150" t="s">
        <v>6</v>
      </c>
      <c r="B4150" t="s">
        <v>4155</v>
      </c>
      <c r="C4150">
        <f>HYPERLINK("C:\Users\franc\OneDrive\Documentos\MALENTIN KARIME\REMATE\RECTIFICACION\JIMMY LARA JULIO Rectificacion.doc", "Abrir Documento")</f>
        <v>0</v>
      </c>
      <c r="D4150" t="s">
        <v>23500</v>
      </c>
      <c r="E4150" t="s">
        <v>27238</v>
      </c>
    </row>
    <row r="4151" spans="1:5">
      <c r="A4151" t="s">
        <v>6</v>
      </c>
      <c r="B4151" t="s">
        <v>4156</v>
      </c>
      <c r="C4151">
        <f>HYPERLINK("C:\Users\franc\OneDrive\Documentos\MALENTIN KARIME\REMATE\RECTIFICACION\HUGO SANTANDER.doc", "Abrir Documento")</f>
        <v>0</v>
      </c>
      <c r="D4151" t="s">
        <v>23500</v>
      </c>
      <c r="E4151" t="s">
        <v>27239</v>
      </c>
    </row>
    <row r="4152" spans="1:5">
      <c r="A4152" t="s">
        <v>6</v>
      </c>
      <c r="B4152" t="s">
        <v>4157</v>
      </c>
      <c r="C4152">
        <f>HYPERLINK("C:\Users\franc\OneDrive\Documentos\MALENTIN KARIME\REMATE\RECTIFICACION\IVANJA ROSA DIAZ RUBINA.doc", "Abrir Documento")</f>
        <v>0</v>
      </c>
      <c r="D4152" t="s">
        <v>23500</v>
      </c>
      <c r="E4152" t="s">
        <v>27239</v>
      </c>
    </row>
    <row r="4153" spans="1:5">
      <c r="A4153" t="s">
        <v>6</v>
      </c>
      <c r="B4153" t="s">
        <v>4158</v>
      </c>
      <c r="C4153">
        <f>HYPERLINK("C:\Users\franc\OneDrive\Documentos\MALENTIN KARIME\REMATE\RECTIFICACION\GUIDO IBACACHE ROJAS.doc", "Abrir Documento")</f>
        <v>0</v>
      </c>
      <c r="D4153" t="s">
        <v>23500</v>
      </c>
      <c r="E4153" t="s">
        <v>27240</v>
      </c>
    </row>
    <row r="4154" spans="1:5">
      <c r="A4154" t="s">
        <v>6</v>
      </c>
      <c r="B4154" t="s">
        <v>4159</v>
      </c>
      <c r="C4154">
        <f>HYPERLINK("C:\Users\franc\OneDrive\Documentos\MALENTIN KARIME\REMATE\RECTIFICACION\FELIX SAEZ Rect.doc", "Abrir Documento")</f>
        <v>0</v>
      </c>
      <c r="D4154" t="s">
        <v>23500</v>
      </c>
      <c r="E4154" t="s">
        <v>27241</v>
      </c>
    </row>
    <row r="4155" spans="1:5">
      <c r="A4155" t="s">
        <v>6</v>
      </c>
      <c r="B4155" t="s">
        <v>4160</v>
      </c>
      <c r="C4155">
        <f>HYPERLINK("C:\Users\franc\OneDrive\Documentos\MALENTIN KARIME\REMATE\RECTIFICACION\CRISTIAN CLAVERIA Y Juan Godoy Sole Farr.doc", "Abrir Documento")</f>
        <v>0</v>
      </c>
      <c r="D4155" t="s">
        <v>23500</v>
      </c>
      <c r="E4155" t="s">
        <v>27242</v>
      </c>
    </row>
    <row r="4156" spans="1:5">
      <c r="A4156" t="s">
        <v>6</v>
      </c>
      <c r="B4156" t="s">
        <v>4161</v>
      </c>
      <c r="C4156">
        <f>HYPERLINK("C:\Users\franc\OneDrive\Documentos\MALENTIN KARIME\REMATE\RECTIFICACION\ELENA RIVERA ROJAS A NANCY MERCADO Conyuge Administrador.doc", "Abrir Documento")</f>
        <v>0</v>
      </c>
      <c r="D4156" t="s">
        <v>23500</v>
      </c>
      <c r="E4156" t="s">
        <v>27242</v>
      </c>
    </row>
    <row r="4157" spans="1:5">
      <c r="A4157" t="s">
        <v>6</v>
      </c>
      <c r="B4157" t="s">
        <v>4162</v>
      </c>
      <c r="C4157">
        <f>HYPERLINK("C:\Users\franc\OneDrive\Documentos\MALENTIN KARIME\REMATE\RECTIFICACION\carlos adaos.doc", "Abrir Documento")</f>
        <v>0</v>
      </c>
      <c r="D4157" t="s">
        <v>23500</v>
      </c>
      <c r="E4157" t="s">
        <v>27243</v>
      </c>
    </row>
    <row r="4158" spans="1:5">
      <c r="A4158" t="s">
        <v>6</v>
      </c>
      <c r="B4158" t="s">
        <v>4163</v>
      </c>
      <c r="C4158">
        <f>HYPERLINK("C:\Users\franc\OneDrive\Documentos\MALENTIN KARIME\REMATE\RECTIFICACION\ASIMYA A ANA VALDERRAMAÇ.doc", "Abrir Documento")</f>
        <v>0</v>
      </c>
      <c r="D4158" t="s">
        <v>23500</v>
      </c>
      <c r="E4158" t="s">
        <v>27244</v>
      </c>
    </row>
    <row r="4159" spans="1:5">
      <c r="A4159" t="s">
        <v>6</v>
      </c>
      <c r="B4159" t="s">
        <v>4164</v>
      </c>
      <c r="C4159">
        <f>HYPERLINK("C:\Users\franc\OneDrive\Documentos\MALENTIN KARIME\REMATE\RECTIFICACION\AGRICOLA LAS NIETAS Rectif.doc", "Abrir Documento")</f>
        <v>0</v>
      </c>
      <c r="D4159" t="s">
        <v>23500</v>
      </c>
      <c r="E4159" t="s">
        <v>27245</v>
      </c>
    </row>
    <row r="4160" spans="1:5">
      <c r="A4160" t="s">
        <v>6</v>
      </c>
      <c r="B4160" t="s">
        <v>4165</v>
      </c>
      <c r="C4160">
        <f>HYPERLINK("C:\Users\franc\OneDrive\Documentos\MALENTIN KARIME\REMATE\RECTIFICACION\AGRICOLA ALFALFARES Y E.I.R.L.doc", "Abrir Documento")</f>
        <v>0</v>
      </c>
      <c r="D4160" t="s">
        <v>23500</v>
      </c>
      <c r="E4160" t="s">
        <v>27246</v>
      </c>
    </row>
    <row r="4161" spans="1:5">
      <c r="A4161" t="s">
        <v>6</v>
      </c>
      <c r="B4161" t="s">
        <v>4166</v>
      </c>
      <c r="C4161">
        <f>HYPERLINK("C:\Users\franc\OneDrive\Documentos\MALENTIN KARIME\REMATE\2021\JUAN CARLOS INZUNZA SOTO remate.doc", "Abrir Documento")</f>
        <v>0</v>
      </c>
      <c r="D4161" t="s">
        <v>23500</v>
      </c>
      <c r="E4161" t="s">
        <v>27247</v>
      </c>
    </row>
    <row r="4162" spans="1:5">
      <c r="A4162" t="s">
        <v>6</v>
      </c>
      <c r="B4162" t="s">
        <v>4167</v>
      </c>
      <c r="C4162">
        <f>HYPERLINK("C:\Users\franc\OneDrive\Documentos\MALENTIN KARIME\REMATE\YANETT TABILO TABILO  Cristian Vega.doc", "Abrir Documento")</f>
        <v>0</v>
      </c>
      <c r="D4162" t="s">
        <v>23500</v>
      </c>
      <c r="E4162" t="s">
        <v>27248</v>
      </c>
    </row>
    <row r="4163" spans="1:5">
      <c r="A4163" t="s">
        <v>6</v>
      </c>
      <c r="B4163" t="s">
        <v>4168</v>
      </c>
      <c r="C4163">
        <f>HYPERLINK("C:\Users\franc\OneDrive\Documentos\MALENTIN KARIME\REMATE\YANETT TABILO TABILO  Cristian Vega NOT TITULAR.doc", "Abrir Documento")</f>
        <v>0</v>
      </c>
      <c r="D4163" t="s">
        <v>23500</v>
      </c>
      <c r="E4163" t="s">
        <v>27249</v>
      </c>
    </row>
    <row r="4164" spans="1:5">
      <c r="A4164" t="s">
        <v>6</v>
      </c>
      <c r="B4164" t="s">
        <v>4169</v>
      </c>
      <c r="C4164">
        <f>HYPERLINK("C:\Users\franc\OneDrive\Documentos\MALENTIN KARIME\REMATE\SAMUEL VILLARROEL LOPEZ Minuta Patty Alfaro.doc", "Abrir Documento")</f>
        <v>0</v>
      </c>
      <c r="D4164" t="s">
        <v>23500</v>
      </c>
      <c r="E4164" t="s">
        <v>27250</v>
      </c>
    </row>
    <row r="4165" spans="1:5">
      <c r="A4165" t="s">
        <v>6</v>
      </c>
      <c r="B4165" t="s">
        <v>4170</v>
      </c>
      <c r="C4165">
        <f>HYPERLINK("C:\Users\franc\OneDrive\Documentos\MALENTIN KARIME\REMATE\SAMUEL VILLARROEL LOPEZ  2017  Primer Juzgado.doc", "Abrir Documento")</f>
        <v>0</v>
      </c>
      <c r="D4165" t="s">
        <v>23500</v>
      </c>
      <c r="E4165" t="s">
        <v>27251</v>
      </c>
    </row>
    <row r="4166" spans="1:5">
      <c r="A4166" t="s">
        <v>6</v>
      </c>
      <c r="B4166" t="s">
        <v>4171</v>
      </c>
      <c r="C4166">
        <f>HYPERLINK("C:\Users\franc\OneDrive\Documentos\MALENTIN KARIME\REMATE\PATRICIA IÑIGUEZ CERDA remate la serena.doc", "Abrir Documento")</f>
        <v>0</v>
      </c>
      <c r="D4166" t="s">
        <v>23500</v>
      </c>
      <c r="E4166" t="s">
        <v>27252</v>
      </c>
    </row>
    <row r="4167" spans="1:5">
      <c r="A4167" t="s">
        <v>6</v>
      </c>
      <c r="B4167" t="s">
        <v>4172</v>
      </c>
      <c r="C4167">
        <f>HYPERLINK("C:\Users\franc\OneDrive\Documentos\MALENTIN KARIME\REMATE\PATRICIA IÑIGUEZ CERDA CORRECCIONESremate la serena.doc", "Abrir Documento")</f>
        <v>0</v>
      </c>
      <c r="D4167" t="s">
        <v>23500</v>
      </c>
      <c r="E4167" t="s">
        <v>27253</v>
      </c>
    </row>
    <row r="4168" spans="1:5">
      <c r="A4168" t="s">
        <v>6</v>
      </c>
      <c r="B4168" t="s">
        <v>4173</v>
      </c>
      <c r="C4168">
        <f>HYPERLINK("C:\Users\franc\OneDrive\Documentos\MALENTIN KARIME\REMATE\ORIEL LEON GALLARDO P Alfaro.doc", "Abrir Documento")</f>
        <v>0</v>
      </c>
      <c r="D4168" t="s">
        <v>23500</v>
      </c>
      <c r="E4168" t="s">
        <v>27254</v>
      </c>
    </row>
    <row r="4169" spans="1:5">
      <c r="A4169" t="s">
        <v>6</v>
      </c>
      <c r="B4169" t="s">
        <v>4174</v>
      </c>
      <c r="C4169">
        <f>HYPERLINK("C:\Users\franc\OneDrive\Documentos\MALENTIN KARIME\REMATE\CARLOS ASTUDILLO Y FLORENCIO ARAYA RVega.doc", "Abrir Documento")</f>
        <v>0</v>
      </c>
      <c r="D4169" t="s">
        <v>23500</v>
      </c>
      <c r="E4169" t="s">
        <v>27255</v>
      </c>
    </row>
    <row r="4170" spans="1:5">
      <c r="A4170" t="s">
        <v>6</v>
      </c>
      <c r="B4170" t="s">
        <v>4175</v>
      </c>
      <c r="C4170">
        <f>HYPERLINK("C:\Users\franc\OneDrive\Documentos\MALENTIN KARIME\REDUCCIONES\CANAL TAMELCURA\JUNTA 31 Mayo final.doc", "Abrir Documento")</f>
        <v>0</v>
      </c>
      <c r="D4170" t="s">
        <v>23500</v>
      </c>
      <c r="E4170" t="s">
        <v>27256</v>
      </c>
    </row>
    <row r="4171" spans="1:5">
      <c r="A4171" t="s">
        <v>6</v>
      </c>
      <c r="B4171" t="s">
        <v>4176</v>
      </c>
      <c r="C4171">
        <f>HYPERLINK("C:\Users\franc\OneDrive\Documentos\MALENTIN KARIME\REDUCCIONES\CANAL TAMELCURA\COMUNIDAD DE AGUAS CANAL TAMELCURA JUNTA 31 Mayo.doc", "Abrir Documento")</f>
        <v>0</v>
      </c>
      <c r="D4171" t="s">
        <v>23500</v>
      </c>
      <c r="E4171" t="s">
        <v>27257</v>
      </c>
    </row>
    <row r="4172" spans="1:5">
      <c r="A4172" t="s">
        <v>6</v>
      </c>
      <c r="B4172" t="s">
        <v>4177</v>
      </c>
      <c r="C4172">
        <f>HYPERLINK("C:\Users\franc\OneDrive\Documentos\MALENTIN KARIME\REDUCCIONES\CANAL TAMELCURA\COMUNIDAD DE AGUAS CANAL TAMELCURA Sesion 31 Mayo.doc", "Abrir Documento")</f>
        <v>0</v>
      </c>
      <c r="D4172" t="s">
        <v>23500</v>
      </c>
      <c r="E4172" t="s">
        <v>27257</v>
      </c>
    </row>
    <row r="4173" spans="1:5">
      <c r="A4173" t="s">
        <v>6</v>
      </c>
      <c r="B4173" t="s">
        <v>4178</v>
      </c>
      <c r="C4173">
        <f>HYPERLINK("C:\Users\franc\OneDrive\Documentos\MALENTIN KARIME\REDUCCIONES\CANAL TAMELCURA\COMUNIDAD DE AGUAS CANAL TAMELCURA JUNTA 31 Mayo final.doc", "Abrir Documento")</f>
        <v>0</v>
      </c>
      <c r="D4173" t="s">
        <v>23500</v>
      </c>
      <c r="E4173" t="s">
        <v>27258</v>
      </c>
    </row>
    <row r="4174" spans="1:5">
      <c r="A4174" t="s">
        <v>6</v>
      </c>
      <c r="B4174" t="s">
        <v>4179</v>
      </c>
      <c r="C4174">
        <f>HYPERLINK("C:\Users\franc\OneDrive\Documentos\MALENTIN KARIME\REDUCCIONES\2021\PERMISO DE EDIFICACION 672 ROSALIA IRIARTE.doc", "Abrir Documento")</f>
        <v>0</v>
      </c>
      <c r="D4174" t="s">
        <v>23500</v>
      </c>
      <c r="E4174" t="s">
        <v>27259</v>
      </c>
    </row>
    <row r="4175" spans="1:5">
      <c r="A4175" t="s">
        <v>6</v>
      </c>
      <c r="B4175" t="s">
        <v>4180</v>
      </c>
      <c r="C4175">
        <f>HYPERLINK("C:\Users\franc\OneDrive\Documentos\MALENTIN KARIME\REDUCCIONES\2021\PERMISO DE EDIFICACION 356 JUAN BARRAZA VICENCIO.doc", "Abrir Documento")</f>
        <v>0</v>
      </c>
      <c r="D4175" t="s">
        <v>23500</v>
      </c>
      <c r="E4175" t="s">
        <v>27260</v>
      </c>
    </row>
    <row r="4176" spans="1:5">
      <c r="A4176" t="s">
        <v>6</v>
      </c>
      <c r="B4176" t="s">
        <v>4181</v>
      </c>
      <c r="C4176">
        <f>HYPERLINK("C:\Users\franc\OneDrive\Documentos\MALENTIN KARIME\REDUCCIONES\2021\PERMISO DE EDIFICACION 2  IIGLADYS BORQUEZ.doc", "Abrir Documento")</f>
        <v>0</v>
      </c>
      <c r="D4176" t="s">
        <v>23500</v>
      </c>
      <c r="E4176" t="s">
        <v>27261</v>
      </c>
    </row>
    <row r="4177" spans="1:5">
      <c r="A4177" t="s">
        <v>6</v>
      </c>
      <c r="B4177" t="s">
        <v>4182</v>
      </c>
      <c r="C4177">
        <f>HYPERLINK("C:\Users\franc\OneDrive\Documentos\MALENTIN KARIME\REDUCCIONES\2018\PERMISO DE EDIFICACION Monte Patria.doc", "Abrir Documento")</f>
        <v>0</v>
      </c>
      <c r="D4177" t="s">
        <v>23500</v>
      </c>
      <c r="E4177" t="s">
        <v>27262</v>
      </c>
    </row>
    <row r="4178" spans="1:5">
      <c r="A4178" t="s">
        <v>6</v>
      </c>
      <c r="B4178" t="s">
        <v>4183</v>
      </c>
      <c r="C4178">
        <f>HYPERLINK("C:\Users\franc\OneDrive\Documentos\MALENTIN KARIME\REDUCCIONES\2021\DANIEL BAHAMONDES Y ANA ARAYA sentencia divorcio.doc", "Abrir Documento")</f>
        <v>0</v>
      </c>
      <c r="D4178" t="s">
        <v>23500</v>
      </c>
      <c r="E4178" t="s">
        <v>27262</v>
      </c>
    </row>
    <row r="4179" spans="1:5">
      <c r="A4179" t="s">
        <v>6</v>
      </c>
      <c r="B4179" t="s">
        <v>4184</v>
      </c>
      <c r="C4179">
        <f>HYPERLINK("C:\Users\franc\OneDrive\Documentos\MALENTIN KARIME\REDUCCIONES\2018\DECO ARTE CASTILLO SPA.doc", "Abrir Documento")</f>
        <v>0</v>
      </c>
      <c r="D4179" t="s">
        <v>23500</v>
      </c>
      <c r="E4179" t="s">
        <v>27263</v>
      </c>
    </row>
    <row r="4180" spans="1:5">
      <c r="A4180" t="s">
        <v>6</v>
      </c>
      <c r="B4180" t="s">
        <v>4185</v>
      </c>
      <c r="C4180">
        <f>HYPERLINK("C:\Users\franc\OneDrive\Documentos\MALENTIN KARIME\REDUCCIONES\2018\PERMISO DE EDIFICACION 548 SERVIU.doc", "Abrir Documento")</f>
        <v>0</v>
      </c>
      <c r="D4180" t="s">
        <v>23500</v>
      </c>
      <c r="E4180" t="s">
        <v>27263</v>
      </c>
    </row>
    <row r="4181" spans="1:5">
      <c r="A4181" t="s">
        <v>6</v>
      </c>
      <c r="B4181" t="s">
        <v>4186</v>
      </c>
      <c r="C4181">
        <f>HYPERLINK("C:\Users\franc\OneDrive\Documentos\MALENTIN KARIME\REDUCCIONES\2018\COMUNIDAD DE AGUAS CANAL BARRAZA BAJO.doc", "Abrir Documento")</f>
        <v>0</v>
      </c>
      <c r="D4181" t="s">
        <v>23500</v>
      </c>
      <c r="E4181" t="s">
        <v>27264</v>
      </c>
    </row>
    <row r="4182" spans="1:5">
      <c r="A4182" t="s">
        <v>6</v>
      </c>
      <c r="B4182" t="s">
        <v>4187</v>
      </c>
      <c r="C4182">
        <f>HYPERLINK("C:\Users\franc\OneDrive\Documentos\MALENTIN KARIME\REDUCCIONES\2018\COMUNIDAD CANAL MONTE PATRIA.doc", "Abrir Documento")</f>
        <v>0</v>
      </c>
      <c r="D4182" t="s">
        <v>23500</v>
      </c>
      <c r="E4182" t="s">
        <v>27265</v>
      </c>
    </row>
    <row r="4183" spans="1:5">
      <c r="A4183" t="s">
        <v>6</v>
      </c>
      <c r="B4183" t="s">
        <v>4188</v>
      </c>
      <c r="C4183">
        <f>HYPERLINK("C:\Users\franc\OneDrive\Documentos\MALENTIN KARIME\REDUCCIONES\2018\CLUB DE LEONES DE OVALLE.doc", "Abrir Documento")</f>
        <v>0</v>
      </c>
      <c r="D4183" t="s">
        <v>23500</v>
      </c>
      <c r="E4183" t="s">
        <v>27266</v>
      </c>
    </row>
    <row r="4184" spans="1:5">
      <c r="A4184" t="s">
        <v>6</v>
      </c>
      <c r="B4184" t="s">
        <v>4189</v>
      </c>
      <c r="C4184">
        <f>HYPERLINK("C:\Users\franc\OneDrive\Documentos\MALENTIN KARIME\REDUCCIONES\2018\CANAL ISLONES.doc", "Abrir Documento")</f>
        <v>0</v>
      </c>
      <c r="D4184" t="s">
        <v>23500</v>
      </c>
      <c r="E4184" t="s">
        <v>27267</v>
      </c>
    </row>
    <row r="4185" spans="1:5">
      <c r="A4185" t="s">
        <v>6</v>
      </c>
      <c r="B4185" t="s">
        <v>4190</v>
      </c>
      <c r="C4185">
        <f>HYPERLINK("C:\Users\franc\OneDrive\Documentos\MALENTIN KARIME\REDUCCIONES\2018\CANAL ISLA DE VEGA jorge allende.doc", "Abrir Documento")</f>
        <v>0</v>
      </c>
      <c r="D4185" t="s">
        <v>23500</v>
      </c>
      <c r="E4185" t="s">
        <v>27268</v>
      </c>
    </row>
    <row r="4186" spans="1:5">
      <c r="A4186" t="s">
        <v>6</v>
      </c>
      <c r="B4186" t="s">
        <v>4191</v>
      </c>
      <c r="C4186">
        <f>HYPERLINK("C:\Users\franc\OneDrive\Documentos\MALENTIN KARIME\REDUCCIONES\2018\CANAL ISLA DE VEGA jorge allende cambio de magistrado.doc", "Abrir Documento")</f>
        <v>0</v>
      </c>
      <c r="D4186" t="s">
        <v>23500</v>
      </c>
      <c r="E4186" t="s">
        <v>27269</v>
      </c>
    </row>
    <row r="4187" spans="1:5">
      <c r="A4187" t="s">
        <v>6</v>
      </c>
      <c r="B4187" t="s">
        <v>4192</v>
      </c>
      <c r="C4187">
        <f>HYPERLINK("C:\Users\franc\OneDrive\Documentos\MALENTIN KARIME\REDUCCIONES\2018\ACTA PROTOCOLIZACION 2018-2019 HOGAR (1).docx", "Abrir Documento")</f>
        <v>0</v>
      </c>
      <c r="D4187" t="s">
        <v>23501</v>
      </c>
      <c r="E4187" t="s">
        <v>27270</v>
      </c>
    </row>
    <row r="4188" spans="1:5">
      <c r="A4188" t="s">
        <v>6</v>
      </c>
      <c r="B4188" t="s">
        <v>4193</v>
      </c>
      <c r="C4188">
        <f>HYPERLINK("C:\Users\franc\OneDrive\Documentos\MALENTIN KARIME\REDUCCIONES\2017\COMUNIDAD SALALA.doc", "Abrir Documento")</f>
        <v>0</v>
      </c>
      <c r="D4188" t="s">
        <v>23500</v>
      </c>
      <c r="E4188" t="s">
        <v>27271</v>
      </c>
    </row>
    <row r="4189" spans="1:5">
      <c r="A4189" t="s">
        <v>6</v>
      </c>
      <c r="B4189" t="s">
        <v>4194</v>
      </c>
      <c r="C4189">
        <f>HYPERLINK("C:\Users\franc\OneDrive\Documentos\MALENTIN KARIME\REDUCCIONES\2017\Doble MACTA REUNION DIRECTORIO 2017.doc", "Abrir Documento")</f>
        <v>0</v>
      </c>
      <c r="D4189" t="s">
        <v>23500</v>
      </c>
      <c r="E4189" t="s">
        <v>27271</v>
      </c>
    </row>
    <row r="4190" spans="1:5">
      <c r="A4190" t="s">
        <v>6</v>
      </c>
      <c r="B4190" t="s">
        <v>4195</v>
      </c>
      <c r="C4190">
        <f>HYPERLINK("C:\Users\franc\OneDrive\Documentos\MALENTIN KARIME\REDUCCIONES\2017\COMUNIDAD SALALA 01 JULIO.doc", "Abrir Documento")</f>
        <v>0</v>
      </c>
      <c r="D4190" t="s">
        <v>23500</v>
      </c>
      <c r="E4190" t="s">
        <v>27272</v>
      </c>
    </row>
    <row r="4191" spans="1:5">
      <c r="A4191" t="s">
        <v>6</v>
      </c>
      <c r="B4191" t="s">
        <v>4196</v>
      </c>
      <c r="C4191">
        <f>HYPERLINK("C:\Users\franc\OneDrive\Documentos\MALENTIN KARIME\REDUCCIONES\2017\COMUNIDAD CANAL EL BUITRE 7 de Noviermbre de 2017.doc", "Abrir Documento")</f>
        <v>0</v>
      </c>
      <c r="D4191" t="s">
        <v>23500</v>
      </c>
      <c r="E4191" t="s">
        <v>27273</v>
      </c>
    </row>
    <row r="4192" spans="1:5">
      <c r="A4192" t="s">
        <v>6</v>
      </c>
      <c r="B4192" t="s">
        <v>4197</v>
      </c>
      <c r="C4192">
        <f>HYPERLINK("C:\Users\franc\OneDrive\Documentos\MALENTIN KARIME\REDUCCIONES\2017\CLUB DE LEONES DE OVALLE.doc", "Abrir Documento")</f>
        <v>0</v>
      </c>
      <c r="D4192" t="s">
        <v>23500</v>
      </c>
      <c r="E4192" t="s">
        <v>27274</v>
      </c>
    </row>
    <row r="4193" spans="1:5">
      <c r="A4193" t="s">
        <v>6</v>
      </c>
      <c r="B4193" t="s">
        <v>4198</v>
      </c>
      <c r="C4193">
        <f>HYPERLINK("C:\Users\franc\OneDrive\Documentos\MALENTIN KARIME\REDUCCIONES\2017\AMABLE ROJAS Y CARLOS ARAYA Indap.doc", "Abrir Documento")</f>
        <v>0</v>
      </c>
      <c r="D4193" t="s">
        <v>23500</v>
      </c>
      <c r="E4193" t="s">
        <v>27275</v>
      </c>
    </row>
    <row r="4194" spans="1:5">
      <c r="A4194" t="s">
        <v>6</v>
      </c>
      <c r="B4194" t="s">
        <v>4199</v>
      </c>
      <c r="C4194">
        <f>HYPERLINK("C:\Users\franc\OneDrive\Documentos\MALENTIN KARIME\REDUCCIONES\2017\AGROMILENIO 28 NOV 2017.doc", "Abrir Documento")</f>
        <v>0</v>
      </c>
      <c r="D4194" t="s">
        <v>23500</v>
      </c>
      <c r="E4194" t="s">
        <v>27276</v>
      </c>
    </row>
    <row r="4195" spans="1:5">
      <c r="A4195" t="s">
        <v>6</v>
      </c>
      <c r="B4195" t="s">
        <v>4200</v>
      </c>
      <c r="C4195">
        <f>HYPERLINK("C:\Users\franc\OneDrive\Documentos\MALENTIN KARIME\REDUCCIONES\2017\AGROMILENIO 18 NOV 2017.doc", "Abrir Documento")</f>
        <v>0</v>
      </c>
      <c r="D4195" t="s">
        <v>23500</v>
      </c>
      <c r="E4195" t="s">
        <v>27277</v>
      </c>
    </row>
    <row r="4196" spans="1:5">
      <c r="A4196" t="s">
        <v>6</v>
      </c>
      <c r="B4196" t="s">
        <v>4201</v>
      </c>
      <c r="C4196">
        <f>HYPERLINK("C:\Users\franc\OneDrive\Documentos\MALENTIN KARIME\REDUCCIONES\2016\SOC. VERANEO BRISA MARINA 12 DICIEMBRE.doc", "Abrir Documento")</f>
        <v>0</v>
      </c>
      <c r="D4196" t="s">
        <v>23500</v>
      </c>
      <c r="E4196" t="s">
        <v>27278</v>
      </c>
    </row>
    <row r="4197" spans="1:5">
      <c r="A4197" t="s">
        <v>6</v>
      </c>
      <c r="B4197" t="s">
        <v>4202</v>
      </c>
      <c r="C4197">
        <f>HYPERLINK("C:\Users\franc\OneDrive\Documentos\MALENTIN KARIME\REDUCCIONES\2016\SOC. EXPORT RIO RAPEL 09 Dic.doc", "Abrir Documento")</f>
        <v>0</v>
      </c>
      <c r="D4197" t="s">
        <v>23500</v>
      </c>
      <c r="E4197" t="s">
        <v>27279</v>
      </c>
    </row>
    <row r="4198" spans="1:5">
      <c r="A4198" t="s">
        <v>6</v>
      </c>
      <c r="B4198" t="s">
        <v>4203</v>
      </c>
      <c r="C4198">
        <f>HYPERLINK("C:\Users\franc\OneDrive\Documentos\MALENTIN KARIME\REDUCCIONES\2016\SOC. EXPORT RIO RAPEL 10 FEBRERO.doc", "Abrir Documento")</f>
        <v>0</v>
      </c>
      <c r="D4198" t="s">
        <v>23500</v>
      </c>
      <c r="E4198" t="s">
        <v>27279</v>
      </c>
    </row>
    <row r="4199" spans="1:5">
      <c r="A4199" t="s">
        <v>6</v>
      </c>
      <c r="B4199" t="s">
        <v>4204</v>
      </c>
      <c r="C4199">
        <f>HYPERLINK("C:\Users\franc\OneDrive\Documentos\MALENTIN KARIME\REDUCCIONES\2016\SOC. EXPORT RIO RAPEL 09 Dic OFICINA.doc", "Abrir Documento")</f>
        <v>0</v>
      </c>
      <c r="D4199" t="s">
        <v>23500</v>
      </c>
      <c r="E4199" t="s">
        <v>27280</v>
      </c>
    </row>
    <row r="4200" spans="1:5">
      <c r="A4200" t="s">
        <v>6</v>
      </c>
      <c r="B4200" t="s">
        <v>4205</v>
      </c>
      <c r="C4200">
        <f>HYPERLINK("C:\Users\franc\OneDrive\Documentos\MALENTIN KARIME\REDUCCIONES\2016\SOC. EXPORT RIO RAPEL 08 ENERO.doc", "Abrir Documento")</f>
        <v>0</v>
      </c>
      <c r="D4200" t="s">
        <v>23500</v>
      </c>
      <c r="E4200" t="s">
        <v>27281</v>
      </c>
    </row>
    <row r="4201" spans="1:5">
      <c r="A4201" t="s">
        <v>6</v>
      </c>
      <c r="B4201" t="s">
        <v>4206</v>
      </c>
      <c r="C4201">
        <f>HYPERLINK("C:\Users\franc\OneDrive\Documentos\MALENTIN KARIME\REDUCCIONES\2016\RESOLUCION Nº 5064 DGA.doc", "Abrir Documento")</f>
        <v>0</v>
      </c>
      <c r="D4201" t="s">
        <v>23500</v>
      </c>
      <c r="E4201" t="s">
        <v>27282</v>
      </c>
    </row>
    <row r="4202" spans="1:5">
      <c r="A4202" t="s">
        <v>6</v>
      </c>
      <c r="B4202" t="s">
        <v>4207</v>
      </c>
      <c r="C4202">
        <f>HYPERLINK("C:\Users\franc\OneDrive\Documentos\MALENTIN KARIME\REDUCCIONES\2016\INMOBILIARIA LOS ANDES 3  CON EXRACTO.doc", "Abrir Documento")</f>
        <v>0</v>
      </c>
      <c r="D4202" t="s">
        <v>23500</v>
      </c>
      <c r="E4202" t="s">
        <v>27283</v>
      </c>
    </row>
    <row r="4203" spans="1:5">
      <c r="A4203" t="s">
        <v>6</v>
      </c>
      <c r="B4203" t="s">
        <v>4208</v>
      </c>
      <c r="C4203">
        <f>HYPERLINK("C:\Users\franc\OneDrive\Documentos\MALENTIN KARIME\REDUCCIONES\2016\INMOBILIARIA LOS ANDES 3  CON EXRACTO Adolfo Lay.doc", "Abrir Documento")</f>
        <v>0</v>
      </c>
      <c r="D4203" t="s">
        <v>23500</v>
      </c>
      <c r="E4203" t="s">
        <v>27284</v>
      </c>
    </row>
    <row r="4204" spans="1:5">
      <c r="A4204" t="s">
        <v>6</v>
      </c>
      <c r="B4204" t="s">
        <v>4209</v>
      </c>
      <c r="C4204">
        <f>HYPERLINK("C:\Users\franc\OneDrive\Documentos\MALENTIN KARIME\REDUCCIONES\2016\INMOBILIARIA LOS ANDES 2.doc", "Abrir Documento")</f>
        <v>0</v>
      </c>
      <c r="D4204" t="s">
        <v>23500</v>
      </c>
      <c r="E4204" t="s">
        <v>27285</v>
      </c>
    </row>
    <row r="4205" spans="1:5">
      <c r="A4205" t="s">
        <v>6</v>
      </c>
      <c r="B4205" t="s">
        <v>4210</v>
      </c>
      <c r="C4205">
        <f>HYPERLINK("C:\Users\franc\OneDrive\Documentos\MALENTIN KARIME\REDUCCIONES\2016\CLUB DE LEONES Conservador.doc", "Abrir Documento")</f>
        <v>0</v>
      </c>
      <c r="D4205" t="s">
        <v>23500</v>
      </c>
      <c r="E4205" t="s">
        <v>27286</v>
      </c>
    </row>
    <row r="4206" spans="1:5">
      <c r="A4206" t="s">
        <v>6</v>
      </c>
      <c r="B4206" t="s">
        <v>4211</v>
      </c>
      <c r="C4206">
        <f>HYPERLINK("C:\Users\franc\OneDrive\Documentos\MALENTIN KARIME\REDUCCIONES\2016\CLUB DE LEONES.doc", "Abrir Documento")</f>
        <v>0</v>
      </c>
      <c r="D4206" t="s">
        <v>23500</v>
      </c>
      <c r="E4206" t="s">
        <v>27286</v>
      </c>
    </row>
    <row r="4207" spans="1:5">
      <c r="A4207" t="s">
        <v>6</v>
      </c>
      <c r="B4207" t="s">
        <v>4212</v>
      </c>
      <c r="C4207">
        <f>HYPERLINK("C:\Users\franc\OneDrive\Documentos\MALENTIN KARIME\REDUCCIONES\2016\CLUB AEREO DE OVALLE FS 101.doc", "Abrir Documento")</f>
        <v>0</v>
      </c>
      <c r="D4207" t="s">
        <v>23500</v>
      </c>
      <c r="E4207" t="s">
        <v>27287</v>
      </c>
    </row>
    <row r="4208" spans="1:5">
      <c r="A4208" t="s">
        <v>6</v>
      </c>
      <c r="B4208" t="s">
        <v>4213</v>
      </c>
      <c r="C4208">
        <f>HYPERLINK("C:\Users\franc\OneDrive\Documentos\MALENTIN KARIME\REDUCCIONES\2016\ACTA LOS ANDES 15 FEBR 2016.doc", "Abrir Documento")</f>
        <v>0</v>
      </c>
      <c r="D4208" t="s">
        <v>23500</v>
      </c>
      <c r="E4208" t="s">
        <v>27288</v>
      </c>
    </row>
    <row r="4209" spans="1:5">
      <c r="A4209" t="s">
        <v>6</v>
      </c>
      <c r="B4209" t="s">
        <v>4214</v>
      </c>
      <c r="C4209">
        <f>HYPERLINK("C:\Users\franc\OneDrive\Documentos\MALENTIN KARIME\REDUCCIONES\2016\ACTA DE JUNTA EXTRAORDINARIA ANTE NOTARIO 15 febrero.doc", "Abrir Documento")</f>
        <v>0</v>
      </c>
      <c r="D4209" t="s">
        <v>23500</v>
      </c>
      <c r="E4209" t="s">
        <v>27289</v>
      </c>
    </row>
    <row r="4210" spans="1:5">
      <c r="A4210" t="s">
        <v>6</v>
      </c>
      <c r="B4210" t="s">
        <v>4215</v>
      </c>
      <c r="C4210">
        <f>HYPERLINK("C:\Users\franc\OneDrive\Documentos\MALENTIN KARIME\REDUCCIONES\2015\RESOLUCION Nº 1218 DGA.doc", "Abrir Documento")</f>
        <v>0</v>
      </c>
      <c r="D4210" t="s">
        <v>23500</v>
      </c>
      <c r="E4210" t="s">
        <v>27290</v>
      </c>
    </row>
    <row r="4211" spans="1:5">
      <c r="A4211" t="s">
        <v>6</v>
      </c>
      <c r="B4211" t="s">
        <v>4216</v>
      </c>
      <c r="C4211">
        <f>HYPERLINK("C:\Users\franc\OneDrive\Documentos\MALENTIN KARIME\REDUCCIONES\2015\RESOLUCION Nº 1217 DGA.doc", "Abrir Documento")</f>
        <v>0</v>
      </c>
      <c r="D4211" t="s">
        <v>23500</v>
      </c>
      <c r="E4211" t="s">
        <v>27291</v>
      </c>
    </row>
    <row r="4212" spans="1:5">
      <c r="A4212" t="s">
        <v>6</v>
      </c>
      <c r="B4212" t="s">
        <v>4217</v>
      </c>
      <c r="C4212">
        <f>HYPERLINK("C:\Users\franc\OneDrive\Documentos\MALENTIN KARIME\REDUCCIONES\2015\REGLAMENTO EL ATARDECER.doc", "Abrir Documento")</f>
        <v>0</v>
      </c>
      <c r="D4212" t="s">
        <v>23500</v>
      </c>
      <c r="E4212" t="s">
        <v>27292</v>
      </c>
    </row>
    <row r="4213" spans="1:5">
      <c r="A4213" t="s">
        <v>6</v>
      </c>
      <c r="B4213" t="s">
        <v>4218</v>
      </c>
      <c r="C4213">
        <f>HYPERLINK("C:\Users\franc\OneDrive\Documentos\MALENTIN KARIME\REDUCCIONES\2015\PERMISO DE EDIFICACION 241 GLADYS RIVERAdoc.doc", "Abrir Documento")</f>
        <v>0</v>
      </c>
      <c r="D4213" t="s">
        <v>23500</v>
      </c>
      <c r="E4213" t="s">
        <v>27293</v>
      </c>
    </row>
    <row r="4214" spans="1:5">
      <c r="A4214" t="s">
        <v>6</v>
      </c>
      <c r="B4214" t="s">
        <v>4219</v>
      </c>
      <c r="C4214">
        <f>HYPERLINK("C:\Users\franc\OneDrive\Documentos\MALENTIN KARIME\REDUCCIONES\2015\O.N.G. DESARROLLO ETNICO.doc", "Abrir Documento")</f>
        <v>0</v>
      </c>
      <c r="D4214" t="s">
        <v>23500</v>
      </c>
      <c r="E4214" t="s">
        <v>27294</v>
      </c>
    </row>
    <row r="4215" spans="1:5">
      <c r="A4215" t="s">
        <v>6</v>
      </c>
      <c r="B4215" t="s">
        <v>4220</v>
      </c>
      <c r="C4215">
        <f>HYPERLINK("C:\Users\franc\OneDrive\Documentos\MALENTIN KARIME\REDUCCIONES\2015\LOS ARRAYANES S.A..doc", "Abrir Documento")</f>
        <v>0</v>
      </c>
      <c r="D4215" t="s">
        <v>23500</v>
      </c>
      <c r="E4215" t="s">
        <v>27295</v>
      </c>
    </row>
    <row r="4216" spans="1:5">
      <c r="A4216" t="s">
        <v>6</v>
      </c>
      <c r="B4216" t="s">
        <v>4221</v>
      </c>
      <c r="C4216">
        <f>HYPERLINK("C:\Users\franc\OneDrive\Documentos\MALENTIN KARIME\REDUCCIONES\2015\INMOBILIARIA LOS ANDRES.doc", "Abrir Documento")</f>
        <v>0</v>
      </c>
      <c r="D4216" t="s">
        <v>23500</v>
      </c>
      <c r="E4216" t="s">
        <v>27296</v>
      </c>
    </row>
    <row r="4217" spans="1:5">
      <c r="A4217" t="s">
        <v>6</v>
      </c>
      <c r="B4217" t="s">
        <v>4222</v>
      </c>
      <c r="C4217">
        <f>HYPERLINK("C:\Users\franc\OneDrive\Documentos\MALENTIN KARIME\REDUCCIONES\2015\INMOBILIARIA DOBLE M.doc", "Abrir Documento")</f>
        <v>0</v>
      </c>
      <c r="D4217" t="s">
        <v>23500</v>
      </c>
      <c r="E4217" t="s">
        <v>27297</v>
      </c>
    </row>
    <row r="4218" spans="1:5">
      <c r="A4218" t="s">
        <v>6</v>
      </c>
      <c r="B4218" t="s">
        <v>4223</v>
      </c>
      <c r="C4218">
        <f>HYPERLINK("C:\Users\franc\OneDrive\Documentos\MALENTIN KARIME\REDUCCIONES\2015\INMOBILIARIA DOBLE M 20 Septbre.doc", "Abrir Documento")</f>
        <v>0</v>
      </c>
      <c r="D4218" t="s">
        <v>23500</v>
      </c>
      <c r="E4218" t="s">
        <v>27298</v>
      </c>
    </row>
    <row r="4219" spans="1:5">
      <c r="A4219" t="s">
        <v>6</v>
      </c>
      <c r="B4219" t="s">
        <v>4224</v>
      </c>
      <c r="C4219">
        <f>HYPERLINK("C:\Users\franc\OneDrive\Documentos\MALENTIN KARIME\REDUCCIONES\2015\INMOBILIARIA BOZO A SOSTENEDORA SANTA TERESA.doc", "Abrir Documento")</f>
        <v>0</v>
      </c>
      <c r="D4219" t="s">
        <v>23500</v>
      </c>
      <c r="E4219" t="s">
        <v>27299</v>
      </c>
    </row>
    <row r="4220" spans="1:5">
      <c r="A4220" t="s">
        <v>6</v>
      </c>
      <c r="B4220" t="s">
        <v>4225</v>
      </c>
      <c r="C4220">
        <f>HYPERLINK("C:\Users\franc\OneDrive\Documentos\MALENTIN KARIME\REDUCCIONES\2015\CERRO CAMPANARIO Spa.docx", "Abrir Documento")</f>
        <v>0</v>
      </c>
      <c r="D4220" t="s">
        <v>23500</v>
      </c>
      <c r="E4220" t="s">
        <v>27300</v>
      </c>
    </row>
    <row r="4221" spans="1:5">
      <c r="A4221" t="s">
        <v>6</v>
      </c>
      <c r="B4221" t="s">
        <v>4226</v>
      </c>
      <c r="C4221">
        <f>HYPERLINK("C:\Users\franc\OneDrive\Documentos\MALENTIN KARIME\REDUCCIONES\2015\cerro campanario spa.doc", "Abrir Documento")</f>
        <v>0</v>
      </c>
      <c r="D4221" t="s">
        <v>23500</v>
      </c>
      <c r="E4221" t="s">
        <v>27301</v>
      </c>
    </row>
    <row r="4222" spans="1:5">
      <c r="A4222" t="s">
        <v>6</v>
      </c>
      <c r="B4222" t="s">
        <v>4227</v>
      </c>
      <c r="C4222">
        <f>HYPERLINK("C:\Users\franc\OneDrive\Documentos\MALENTIN KARIME\REDUCCIONES\2015\CANAL ARENALITO ACTA 15 DE MAYO 2015.doc", "Abrir Documento")</f>
        <v>0</v>
      </c>
      <c r="D4222" t="s">
        <v>23500</v>
      </c>
      <c r="E4222" t="s">
        <v>27302</v>
      </c>
    </row>
    <row r="4223" spans="1:5">
      <c r="A4223" t="s">
        <v>6</v>
      </c>
      <c r="B4223" t="s">
        <v>4228</v>
      </c>
      <c r="C4223">
        <f>HYPERLINK("C:\Users\franc\OneDrive\Documentos\MALENTIN KARIME\REDUCCIONES\2015\ARRENDAMIENTO.doc", "Abrir Documento")</f>
        <v>0</v>
      </c>
      <c r="D4223" t="s">
        <v>23500</v>
      </c>
      <c r="E4223" t="s">
        <v>27303</v>
      </c>
    </row>
    <row r="4224" spans="1:5">
      <c r="A4224" t="s">
        <v>6</v>
      </c>
      <c r="B4224" t="s">
        <v>4229</v>
      </c>
      <c r="C4224">
        <f>HYPERLINK("C:\Users\franc\OneDrive\Documentos\MALENTIN KARIME\REDUCCIONES\2015\AGROCOMERCIAL AGROMILENIO 28 NOV.doc", "Abrir Documento")</f>
        <v>0</v>
      </c>
      <c r="D4224" t="s">
        <v>23500</v>
      </c>
      <c r="E4224" t="s">
        <v>27304</v>
      </c>
    </row>
    <row r="4225" spans="1:5">
      <c r="A4225" t="s">
        <v>6</v>
      </c>
      <c r="B4225" t="s">
        <v>4230</v>
      </c>
      <c r="C4225">
        <f>HYPERLINK("C:\Users\franc\OneDrive\Documentos\MALENTIN KARIME\REDUCCIONES\2015\AGROCOMERCIAL AGROMILENIO 21 NOV.doc", "Abrir Documento")</f>
        <v>0</v>
      </c>
      <c r="D4225" t="s">
        <v>23500</v>
      </c>
      <c r="E4225" t="s">
        <v>27305</v>
      </c>
    </row>
    <row r="4226" spans="1:5">
      <c r="A4226" t="s">
        <v>6</v>
      </c>
      <c r="B4226" t="s">
        <v>4231</v>
      </c>
      <c r="C4226">
        <f>HYPERLINK("C:\Users\franc\OneDrive\Documentos\MALENTIN KARIME\REDUCCIONES\SOPPUEX 24 abril 12.doc", "Abrir Documento")</f>
        <v>0</v>
      </c>
      <c r="D4226" t="s">
        <v>23500</v>
      </c>
      <c r="E4226" t="s">
        <v>27306</v>
      </c>
    </row>
    <row r="4227" spans="1:5">
      <c r="A4227" t="s">
        <v>6</v>
      </c>
      <c r="B4227" t="s">
        <v>4232</v>
      </c>
      <c r="C4227">
        <f>HYPERLINK("C:\Users\franc\OneDrive\Documentos\MALENTIN KARIME\REDUCCIONES\SOPPUEX.doc", "Abrir Documento")</f>
        <v>0</v>
      </c>
      <c r="D4227" t="s">
        <v>23500</v>
      </c>
      <c r="E4227" t="s">
        <v>27306</v>
      </c>
    </row>
    <row r="4228" spans="1:5">
      <c r="A4228" t="s">
        <v>6</v>
      </c>
      <c r="B4228" t="s">
        <v>4233</v>
      </c>
      <c r="C4228">
        <f>HYPERLINK("C:\Users\franc\OneDrive\Documentos\MALENTIN KARIME\REDUCCIONES\RECOLETA DOS 2.doc", "Abrir Documento")</f>
        <v>0</v>
      </c>
      <c r="D4228" t="s">
        <v>23500</v>
      </c>
      <c r="E4228" t="s">
        <v>27307</v>
      </c>
    </row>
    <row r="4229" spans="1:5">
      <c r="A4229" t="s">
        <v>6</v>
      </c>
      <c r="B4229" t="s">
        <v>4234</v>
      </c>
      <c r="C4229">
        <f>HYPERLINK("C:\Users\franc\OneDrive\Documentos\MALENTIN KARIME\REDUCCIONES\LAS TOTORAS S.A. Dos 2.doc", "Abrir Documento")</f>
        <v>0</v>
      </c>
      <c r="D4229" t="s">
        <v>23500</v>
      </c>
      <c r="E4229" t="s">
        <v>27308</v>
      </c>
    </row>
    <row r="4230" spans="1:5">
      <c r="A4230" t="s">
        <v>6</v>
      </c>
      <c r="B4230" t="s">
        <v>4235</v>
      </c>
      <c r="C4230">
        <f>HYPERLINK("C:\Users\franc\OneDrive\Documentos\MALENTIN KARIME\REDUCCIONES\PERMISO DE EDIFICACION 233.doc", "Abrir Documento")</f>
        <v>0</v>
      </c>
      <c r="D4230" t="s">
        <v>23500</v>
      </c>
      <c r="E4230" t="s">
        <v>27308</v>
      </c>
    </row>
    <row r="4231" spans="1:5">
      <c r="A4231" t="s">
        <v>6</v>
      </c>
      <c r="B4231" t="s">
        <v>4236</v>
      </c>
      <c r="C4231">
        <f>HYPERLINK("C:\Users\franc\OneDrive\Documentos\MALENTIN KARIME\REDUCCIONES\LAS TOTORAS S.A. 1.doc", "Abrir Documento")</f>
        <v>0</v>
      </c>
      <c r="D4231" t="s">
        <v>23500</v>
      </c>
      <c r="E4231" t="s">
        <v>27309</v>
      </c>
    </row>
    <row r="4232" spans="1:5">
      <c r="A4232" t="s">
        <v>6</v>
      </c>
      <c r="B4232" t="s">
        <v>4237</v>
      </c>
      <c r="C4232">
        <f>HYPERLINK("C:\Users\franc\OneDrive\Documentos\MALENTIN KARIME\REDUCCIONES\Jta.Gral.2011.doc", "Abrir Documento")</f>
        <v>0</v>
      </c>
      <c r="D4232" t="s">
        <v>23500</v>
      </c>
      <c r="E4232" t="s">
        <v>27310</v>
      </c>
    </row>
    <row r="4233" spans="1:5">
      <c r="A4233" t="s">
        <v>6</v>
      </c>
      <c r="B4233" t="s">
        <v>4238</v>
      </c>
      <c r="C4233">
        <f>HYPERLINK("C:\Users\franc\OneDrive\Documentos\MALENTIN KARIME\REDUCCIONES\JUNTA GENERAL S.A. Comercial Amagdis.doc", "Abrir Documento")</f>
        <v>0</v>
      </c>
      <c r="D4233" t="s">
        <v>23500</v>
      </c>
      <c r="E4233" t="s">
        <v>27310</v>
      </c>
    </row>
    <row r="4234" spans="1:5">
      <c r="A4234" t="s">
        <v>6</v>
      </c>
      <c r="B4234" t="s">
        <v>4239</v>
      </c>
      <c r="C4234">
        <f>HYPERLINK("C:\Users\franc\OneDrive\Documentos\MALENTIN KARIME\REDUCCIONES\INMOBILIARAIA NORTE VERDE  Sesion de directorio.doc", "Abrir Documento")</f>
        <v>0</v>
      </c>
      <c r="D4234" t="s">
        <v>23500</v>
      </c>
      <c r="E4234" t="s">
        <v>27311</v>
      </c>
    </row>
    <row r="4235" spans="1:5">
      <c r="A4235" t="s">
        <v>6</v>
      </c>
      <c r="B4235" t="s">
        <v>4240</v>
      </c>
      <c r="C4235">
        <f>HYPERLINK("C:\Users\franc\OneDrive\Documentos\MALENTIN KARIME\REDUCCIONES\INMOBILIARAIA NORTE VERDE  Segunda Junta Extr.doc", "Abrir Documento")</f>
        <v>0</v>
      </c>
      <c r="D4235" t="s">
        <v>23500</v>
      </c>
      <c r="E4235" t="s">
        <v>27312</v>
      </c>
    </row>
    <row r="4236" spans="1:5">
      <c r="A4236" t="s">
        <v>6</v>
      </c>
      <c r="B4236" t="s">
        <v>4241</v>
      </c>
      <c r="C4236">
        <f>HYPERLINK("C:\Users\franc\OneDrive\Documentos\MALENTIN KARIME\REDUCCIONES\DOBLE M.doc", "Abrir Documento")</f>
        <v>0</v>
      </c>
      <c r="D4236" t="s">
        <v>23500</v>
      </c>
      <c r="E4236" t="s">
        <v>27313</v>
      </c>
    </row>
    <row r="4237" spans="1:5">
      <c r="A4237" t="s">
        <v>6</v>
      </c>
      <c r="B4237" t="s">
        <v>4242</v>
      </c>
      <c r="C4237">
        <f>HYPERLINK("C:\Users\franc\OneDrive\Documentos\MALENTIN KARIME\REDUCCIONES\DOBLE M Abril.doc", "Abrir Documento")</f>
        <v>0</v>
      </c>
      <c r="D4237" t="s">
        <v>23500</v>
      </c>
      <c r="E4237" t="s">
        <v>27314</v>
      </c>
    </row>
    <row r="4238" spans="1:5">
      <c r="A4238" t="s">
        <v>6</v>
      </c>
      <c r="B4238" t="s">
        <v>4243</v>
      </c>
      <c r="C4238">
        <f>HYPERLINK("C:\Users\franc\OneDrive\Documentos\MALENTIN KARIME\REDUCCIONES\COMUNIDAD DE AGUAS CANAL TAMELCURA.doc", "Abrir Documento")</f>
        <v>0</v>
      </c>
      <c r="D4238" t="s">
        <v>23500</v>
      </c>
      <c r="E4238" t="s">
        <v>27315</v>
      </c>
    </row>
    <row r="4239" spans="1:5">
      <c r="A4239" t="s">
        <v>6</v>
      </c>
      <c r="B4239" t="s">
        <v>4244</v>
      </c>
      <c r="C4239">
        <f>HYPERLINK("C:\Users\franc\OneDrive\Documentos\MALENTIN KARIME\REDUCCIONES\contador FRUTOS.doc", "Abrir Documento")</f>
        <v>0</v>
      </c>
      <c r="D4239" t="s">
        <v>23500</v>
      </c>
      <c r="E4239" t="s">
        <v>27315</v>
      </c>
    </row>
    <row r="4240" spans="1:5">
      <c r="A4240" t="s">
        <v>6</v>
      </c>
      <c r="B4240" t="s">
        <v>4245</v>
      </c>
      <c r="C4240">
        <f>HYPERLINK("C:\Users\franc\OneDrive\Documentos\MALENTIN KARIME\REDUCCIONES\COMUNIDAD DE AGUAS CANAL TAMELCURA Sesion de Directorio.doc", "Abrir Documento")</f>
        <v>0</v>
      </c>
      <c r="D4240" t="s">
        <v>23500</v>
      </c>
      <c r="E4240" t="s">
        <v>27316</v>
      </c>
    </row>
    <row r="4241" spans="1:5">
      <c r="A4241" t="s">
        <v>6</v>
      </c>
      <c r="B4241" t="s">
        <v>4246</v>
      </c>
      <c r="C4241">
        <f>HYPERLINK("C:\Users\franc\OneDrive\Documentos\MALENTIN KARIME\REDUCCIONES\COMERCIAL AMAGDIS  sesion direc.doc", "Abrir Documento")</f>
        <v>0</v>
      </c>
      <c r="D4241" t="s">
        <v>23500</v>
      </c>
      <c r="E4241" t="s">
        <v>27317</v>
      </c>
    </row>
    <row r="4242" spans="1:5">
      <c r="A4242" t="s">
        <v>6</v>
      </c>
      <c r="B4242" t="s">
        <v>4247</v>
      </c>
      <c r="C4242">
        <f>HYPERLINK("C:\Users\franc\OneDrive\Documentos\MALENTIN KARIME\REDUCCIONES\COMERCIAL AMAGDIS  junta gral.doc", "Abrir Documento")</f>
        <v>0</v>
      </c>
      <c r="D4242" t="s">
        <v>23500</v>
      </c>
      <c r="E4242" t="s">
        <v>27318</v>
      </c>
    </row>
    <row r="4243" spans="1:5">
      <c r="A4243" t="s">
        <v>6</v>
      </c>
      <c r="B4243" t="s">
        <v>4248</v>
      </c>
      <c r="C4243">
        <f>HYPERLINK("C:\Users\franc\OneDrive\Documentos\MALENTIN KARIME\REDUCCIONES\CLUB AEREO DE OVALLE 2.doc", "Abrir Documento")</f>
        <v>0</v>
      </c>
      <c r="D4243" t="s">
        <v>23500</v>
      </c>
      <c r="E4243" t="s">
        <v>27319</v>
      </c>
    </row>
    <row r="4244" spans="1:5">
      <c r="A4244" t="s">
        <v>6</v>
      </c>
      <c r="B4244" t="s">
        <v>4249</v>
      </c>
      <c r="C4244">
        <f>HYPERLINK("C:\Users\franc\OneDrive\Documentos\MALENTIN KARIME\REDUCCIONES\CLUB AEREO DE OVALLE 1.doc", "Abrir Documento")</f>
        <v>0</v>
      </c>
      <c r="D4244" t="s">
        <v>23500</v>
      </c>
      <c r="E4244" t="s">
        <v>27320</v>
      </c>
    </row>
    <row r="4245" spans="1:5">
      <c r="A4245" t="s">
        <v>6</v>
      </c>
      <c r="B4245" t="s">
        <v>4250</v>
      </c>
      <c r="C4245">
        <f>HYPERLINK("C:\Users\franc\OneDrive\Documentos\MALENTIN KARIME\REDUCCIONES\canal PALQUI MAURAT SEMITA.doc", "Abrir Documento")</f>
        <v>0</v>
      </c>
      <c r="D4245" t="s">
        <v>23500</v>
      </c>
      <c r="E4245" t="s">
        <v>27321</v>
      </c>
    </row>
    <row r="4246" spans="1:5">
      <c r="A4246" t="s">
        <v>6</v>
      </c>
      <c r="B4246" t="s">
        <v>4251</v>
      </c>
      <c r="C4246">
        <f>HYPERLINK("C:\Users\franc\OneDrive\Documentos\MALENTIN KARIME\REDUCCIONES\CANAL PALQUI MAURAT SEMITA Reunión de Directorio.doc", "Abrir Documento")</f>
        <v>0</v>
      </c>
      <c r="D4246" t="s">
        <v>23500</v>
      </c>
      <c r="E4246" t="s">
        <v>27322</v>
      </c>
    </row>
    <row r="4247" spans="1:5">
      <c r="A4247" t="s">
        <v>6</v>
      </c>
      <c r="B4247" t="s">
        <v>4252</v>
      </c>
      <c r="C4247">
        <f>HYPERLINK("C:\Users\franc\OneDrive\Documentos\MALENTIN KARIME\REDUCCIONES\canal PALQUI MAURAT SEMITA Declaracion.doc", "Abrir Documento")</f>
        <v>0</v>
      </c>
      <c r="D4247" t="s">
        <v>23500</v>
      </c>
      <c r="E4247" t="s">
        <v>27323</v>
      </c>
    </row>
    <row r="4248" spans="1:5">
      <c r="A4248" t="s">
        <v>6</v>
      </c>
      <c r="B4248" t="s">
        <v>4253</v>
      </c>
      <c r="C4248">
        <f>HYPERLINK("C:\Users\franc\OneDrive\Documentos\MALENTIN KARIME\REDUCCIONES\APR HUATULAME DGA 1386.doc", "Abrir Documento")</f>
        <v>0</v>
      </c>
      <c r="D4248" t="s">
        <v>23500</v>
      </c>
      <c r="E4248" t="s">
        <v>27324</v>
      </c>
    </row>
    <row r="4249" spans="1:5">
      <c r="A4249" t="s">
        <v>6</v>
      </c>
      <c r="B4249" t="s">
        <v>4254</v>
      </c>
      <c r="C4249">
        <f>HYPERLINK("C:\Users\franc\OneDrive\Documentos\MALENTIN KARIME\REDUCCIONES\AGROCOMERCIAL AGROMILENIO 05 NOV.doc", "Abrir Documento")</f>
        <v>0</v>
      </c>
      <c r="D4249" t="s">
        <v>23500</v>
      </c>
      <c r="E4249" t="s">
        <v>27325</v>
      </c>
    </row>
    <row r="4250" spans="1:5">
      <c r="A4250" t="s">
        <v>6</v>
      </c>
      <c r="B4250" t="s">
        <v>4255</v>
      </c>
      <c r="C4250">
        <f>HYPERLINK("C:\Users\franc\OneDrive\Documentos\MALENTIN KARIME\REDUCCIONES\AGROCOMERCIAL AGROMILENIO 19NOV-.doc", "Abrir Documento")</f>
        <v>0</v>
      </c>
      <c r="D4250" t="s">
        <v>23500</v>
      </c>
      <c r="E4250" t="s">
        <v>27325</v>
      </c>
    </row>
    <row r="4251" spans="1:5">
      <c r="A4251" t="s">
        <v>6</v>
      </c>
      <c r="B4251" t="s">
        <v>4256</v>
      </c>
      <c r="C4251">
        <f>HYPERLINK("C:\Users\franc\OneDrive\Documentos\MALENTIN KARIME\REDUCCIONES\ALPACAS URANIA SPA Directorio.doc", "Abrir Documento")</f>
        <v>0</v>
      </c>
      <c r="D4251" t="s">
        <v>23500</v>
      </c>
      <c r="E4251" t="s">
        <v>27325</v>
      </c>
    </row>
    <row r="4252" spans="1:5">
      <c r="A4252" t="s">
        <v>6</v>
      </c>
      <c r="B4252" t="s">
        <v>4257</v>
      </c>
      <c r="C4252">
        <f>HYPERLINK("C:\Users\franc\OneDrive\Documentos\MALENTIN KARIME\REDUCCIONES\AGRICOLA San Erasmo.doc", "Abrir Documento")</f>
        <v>0</v>
      </c>
      <c r="D4252" t="s">
        <v>23500</v>
      </c>
      <c r="E4252" t="s">
        <v>27326</v>
      </c>
    </row>
    <row r="4253" spans="1:5">
      <c r="A4253" t="s">
        <v>6</v>
      </c>
      <c r="B4253" t="s">
        <v>4258</v>
      </c>
      <c r="C4253">
        <f>HYPERLINK("C:\Users\franc\OneDrive\Documentos\MALENTIN KARIME\REDUCCIONES\AGRICOLA San Erasmo ii.doc", "Abrir Documento")</f>
        <v>0</v>
      </c>
      <c r="D4253" t="s">
        <v>23500</v>
      </c>
      <c r="E4253" t="s">
        <v>27327</v>
      </c>
    </row>
    <row r="4254" spans="1:5">
      <c r="A4254" t="s">
        <v>6</v>
      </c>
      <c r="B4254" t="s">
        <v>4259</v>
      </c>
      <c r="C4254">
        <f>HYPERLINK("C:\Users\franc\OneDrive\Documentos\MALENTIN KARIME\REDUCCIONES\AGRICOLA San Erasmo III.doc", "Abrir Documento")</f>
        <v>0</v>
      </c>
      <c r="D4254" t="s">
        <v>23500</v>
      </c>
      <c r="E4254" t="s">
        <v>27327</v>
      </c>
    </row>
    <row r="4255" spans="1:5">
      <c r="A4255" t="s">
        <v>6</v>
      </c>
      <c r="B4255" t="s">
        <v>4260</v>
      </c>
      <c r="C4255">
        <f>HYPERLINK("C:\Users\franc\OneDrive\Documentos\MALENTIN KARIME\REDUCCIONES\AGRICOLA MALLORCA.doc", "Abrir Documento")</f>
        <v>0</v>
      </c>
      <c r="D4255" t="s">
        <v>23500</v>
      </c>
      <c r="E4255" t="s">
        <v>27328</v>
      </c>
    </row>
    <row r="4256" spans="1:5">
      <c r="A4256" t="s">
        <v>6</v>
      </c>
      <c r="B4256" t="s">
        <v>4261</v>
      </c>
      <c r="C4256">
        <f>HYPERLINK("C:\Users\franc\OneDrive\Documentos\MALENTIN KARIME\REDUCCIONES\AGRICOLA CHAÑARAL BAJO NORTE 19-11-12.doc", "Abrir Documento")</f>
        <v>0</v>
      </c>
      <c r="D4256" t="s">
        <v>23500</v>
      </c>
      <c r="E4256" t="s">
        <v>27329</v>
      </c>
    </row>
    <row r="4257" spans="1:5">
      <c r="A4257" t="s">
        <v>6</v>
      </c>
      <c r="B4257" t="s">
        <v>4262</v>
      </c>
      <c r="C4257">
        <f>HYPERLINK("C:\Users\franc\OneDrive\Documentos\MALENTIN KARIME\REDUCCIONES\AGRICOLA MALLORCA 19-11-12.doc", "Abrir Documento")</f>
        <v>0</v>
      </c>
      <c r="D4257" t="s">
        <v>23500</v>
      </c>
      <c r="E4257" t="s">
        <v>27329</v>
      </c>
    </row>
    <row r="4258" spans="1:5">
      <c r="A4258" t="s">
        <v>6</v>
      </c>
      <c r="B4258" t="s">
        <v>4263</v>
      </c>
      <c r="C4258">
        <f>HYPERLINK("C:\Users\franc\OneDrive\Documentos\MALENTIN KARIME\REDUCCIONES\ACTA_1Â°_SESION_EXTRAORDINARIA_DIRECTORIO_correcciones (1)(1).doc", "Abrir Documento")</f>
        <v>0</v>
      </c>
      <c r="D4258" t="s">
        <v>23500</v>
      </c>
      <c r="E4258" t="s">
        <v>27330</v>
      </c>
    </row>
    <row r="4259" spans="1:5">
      <c r="A4259" t="s">
        <v>6</v>
      </c>
      <c r="B4259" t="s">
        <v>4264</v>
      </c>
      <c r="C4259">
        <f>HYPERLINK("C:\Users\franc\OneDrive\Documentos\MALENTIN KARIME\REDUCCIONES\ACTA DE doble m s.a..doc", "Abrir Documento")</f>
        <v>0</v>
      </c>
      <c r="D4259" t="s">
        <v>23500</v>
      </c>
      <c r="E4259" t="s">
        <v>27331</v>
      </c>
    </row>
    <row r="4260" spans="1:5">
      <c r="A4260" t="s">
        <v>6</v>
      </c>
      <c r="B4260" t="s">
        <v>4265</v>
      </c>
      <c r="C4260">
        <f>HYPERLINK("C:\Users\franc\OneDrive\Documentos\MALENTIN KARIME\RECTIFICACION\MARITZA IRRARAZABAL Corre lote  Y 2 Ñ.doc", "Abrir Documento")</f>
        <v>0</v>
      </c>
      <c r="D4260" t="s">
        <v>23500</v>
      </c>
      <c r="E4260" t="s">
        <v>27332</v>
      </c>
    </row>
    <row r="4261" spans="1:5">
      <c r="A4261" t="s">
        <v>6</v>
      </c>
      <c r="B4261" t="s">
        <v>4266</v>
      </c>
      <c r="C4261">
        <f>HYPERLINK("C:\Users\franc\OneDrive\Documentos\MALENTIN KARIME\RECTIFICACION\PATRICIO CONTRERAS URQUIETA.- ELIMINA PROHIBION DEL SERVIU EN LEY 19.807.doc", "Abrir Documento")</f>
        <v>0</v>
      </c>
      <c r="D4261" t="s">
        <v>23500</v>
      </c>
      <c r="E4261" t="s">
        <v>27332</v>
      </c>
    </row>
    <row r="4262" spans="1:5">
      <c r="A4262" t="s">
        <v>6</v>
      </c>
      <c r="B4262" t="s">
        <v>4267</v>
      </c>
      <c r="C4262">
        <f>HYPERLINK("C:\Users\franc\OneDrive\Documentos\MALENTIN KARIME\RECTIFICACION\MARITZA IRRARAZABAL Corre lote  Y 2 N.doc", "Abrir Documento")</f>
        <v>0</v>
      </c>
      <c r="D4262" t="s">
        <v>23500</v>
      </c>
      <c r="E4262" t="s">
        <v>27333</v>
      </c>
    </row>
    <row r="4263" spans="1:5">
      <c r="A4263" t="s">
        <v>6</v>
      </c>
      <c r="B4263" t="s">
        <v>4268</v>
      </c>
      <c r="C4263">
        <f>HYPERLINK("C:\Users\franc\OneDrive\Documentos\MALENTIN KARIME\RECTIFICACION\MARITZA IRRARAZABAL Corre lote  Y 2 K.doc", "Abrir Documento")</f>
        <v>0</v>
      </c>
      <c r="D4263" t="s">
        <v>23500</v>
      </c>
      <c r="E4263" t="s">
        <v>27334</v>
      </c>
    </row>
    <row r="4264" spans="1:5">
      <c r="A4264" t="s">
        <v>6</v>
      </c>
      <c r="B4264" t="s">
        <v>4269</v>
      </c>
      <c r="C4264">
        <f>HYPERLINK("C:\Users\franc\OneDrive\Documentos\MALENTIN KARIME\RECTIFICACION\LORENZA CONTRERAS URQUIETA.- ELIMINA PROHIBION DEL SERVIU EN LEY 19.807.doc", "Abrir Documento")</f>
        <v>0</v>
      </c>
      <c r="D4264" t="s">
        <v>23500</v>
      </c>
      <c r="E4264" t="s">
        <v>27335</v>
      </c>
    </row>
    <row r="4265" spans="1:5">
      <c r="A4265" t="s">
        <v>6</v>
      </c>
      <c r="B4265" t="s">
        <v>4270</v>
      </c>
      <c r="C4265">
        <f>HYPERLINK("C:\Users\franc\OneDrive\Documentos\MALENTIN KARIME\RECTIFICACION\JHON HUNTER FLORES.doc", "Abrir Documento")</f>
        <v>0</v>
      </c>
      <c r="D4265" t="s">
        <v>23500</v>
      </c>
      <c r="E4265" t="s">
        <v>27336</v>
      </c>
    </row>
    <row r="4266" spans="1:5">
      <c r="A4266" t="s">
        <v>6</v>
      </c>
      <c r="B4266" t="s">
        <v>4271</v>
      </c>
      <c r="C4266">
        <f>HYPERLINK("C:\Users\franc\OneDrive\Documentos\MALENTIN KARIME\RECTIFICACION\HECTOR VELOZO Y MANUEL AGUILAR Complementa.doc", "Abrir Documento")</f>
        <v>0</v>
      </c>
      <c r="D4266" t="s">
        <v>23500</v>
      </c>
      <c r="E4266" t="s">
        <v>27337</v>
      </c>
    </row>
    <row r="4267" spans="1:5">
      <c r="A4267" t="s">
        <v>6</v>
      </c>
      <c r="B4267" t="s">
        <v>4272</v>
      </c>
      <c r="C4267">
        <f>HYPERLINK("C:\Users\franc\OneDrive\Documentos\MALENTIN KARIME\RECTIFICACION\GLENDA TAPIA error inscripción.doc", "Abrir Documento")</f>
        <v>0</v>
      </c>
      <c r="D4267" t="s">
        <v>23500</v>
      </c>
      <c r="E4267" t="s">
        <v>27338</v>
      </c>
    </row>
    <row r="4268" spans="1:5">
      <c r="A4268" t="s">
        <v>6</v>
      </c>
      <c r="B4268" t="s">
        <v>4273</v>
      </c>
      <c r="C4268">
        <f>HYPERLINK("C:\Users\franc\OneDrive\Documentos\MALENTIN KARIME\RECTIFICACION\ANDREA HERREROS CORDOVA minuta.doc", "Abrir Documento")</f>
        <v>0</v>
      </c>
      <c r="D4268" t="s">
        <v>23500</v>
      </c>
      <c r="E4268" t="s">
        <v>27339</v>
      </c>
    </row>
    <row r="4269" spans="1:5">
      <c r="A4269" t="s">
        <v>6</v>
      </c>
      <c r="B4269" t="s">
        <v>4274</v>
      </c>
      <c r="C4269">
        <f>HYPERLINK("C:\Users\franc\OneDrive\Documentos\MALENTIN KARIME\RECONOC DEUDA\2016\F 24 inversiones.doc", "Abrir Documento")</f>
        <v>0</v>
      </c>
      <c r="D4269" t="s">
        <v>23500</v>
      </c>
      <c r="E4269" t="s">
        <v>27340</v>
      </c>
    </row>
    <row r="4270" spans="1:5">
      <c r="A4270" t="s">
        <v>6</v>
      </c>
      <c r="B4270" t="s">
        <v>4275</v>
      </c>
      <c r="C4270">
        <f>HYPERLINK("C:\Users\franc\OneDrive\Documentos\MALENTIN KARIME\RECONOC DEUDA\2015\INVERSIONES ZEPEDA HERMANOS.doc", "Abrir Documento")</f>
        <v>0</v>
      </c>
      <c r="D4270" t="s">
        <v>23500</v>
      </c>
      <c r="E4270" t="s">
        <v>27341</v>
      </c>
    </row>
    <row r="4271" spans="1:5">
      <c r="A4271" t="s">
        <v>6</v>
      </c>
      <c r="B4271" t="s">
        <v>4276</v>
      </c>
      <c r="C4271">
        <f>HYPERLINK("C:\Users\franc\OneDrive\Documentos\MALENTIN KARIME\RECONOC DEUDA\2015\INVERSIONES MARIA CARMONA.doc", "Abrir Documento")</f>
        <v>0</v>
      </c>
      <c r="D4271" t="s">
        <v>23500</v>
      </c>
      <c r="E4271" t="s">
        <v>27342</v>
      </c>
    </row>
    <row r="4272" spans="1:5">
      <c r="A4272" t="s">
        <v>6</v>
      </c>
      <c r="B4272" t="s">
        <v>4277</v>
      </c>
      <c r="C4272">
        <f>HYPERLINK("C:\Users\franc\OneDrive\Documentos\MALENTIN KARIME\RECONOC DEUDA\2015\INVERSIONES MARIA CARMONA A Inmob Fundacion.doc", "Abrir Documento")</f>
        <v>0</v>
      </c>
      <c r="D4272" t="s">
        <v>23500</v>
      </c>
      <c r="E4272" t="s">
        <v>27343</v>
      </c>
    </row>
    <row r="4273" spans="1:5">
      <c r="A4273" t="s">
        <v>6</v>
      </c>
      <c r="B4273" t="s">
        <v>4278</v>
      </c>
      <c r="C4273">
        <f>HYPERLINK("C:\Users\franc\OneDrive\Documentos\MALENTIN KARIME\RECONOC DEUDA\NUEVA GENERACION A INV. ZEPEDA.doc", "Abrir Documento")</f>
        <v>0</v>
      </c>
      <c r="D4273" t="s">
        <v>23500</v>
      </c>
      <c r="E4273" t="s">
        <v>27344</v>
      </c>
    </row>
    <row r="4274" spans="1:5">
      <c r="A4274" t="s">
        <v>6</v>
      </c>
      <c r="B4274" t="s">
        <v>4279</v>
      </c>
      <c r="C4274">
        <f>HYPERLINK("C:\Users\franc\OneDrive\Documentos\MALENTIN KARIME\RECONOC DEUDA\2015\INMOBILIARIA VALLE TUQUI LTDA..doc", "Abrir Documento")</f>
        <v>0</v>
      </c>
      <c r="D4274" t="s">
        <v>23500</v>
      </c>
      <c r="E4274" t="s">
        <v>27344</v>
      </c>
    </row>
    <row r="4275" spans="1:5">
      <c r="A4275" t="s">
        <v>6</v>
      </c>
      <c r="B4275" t="s">
        <v>4280</v>
      </c>
      <c r="C4275">
        <f>HYPERLINK("C:\Users\franc\OneDrive\Documentos\MALENTIN KARIME\RECONOC DEUDA\NUEVA GENERACION A INV. Fortaleza.doc", "Abrir Documento")</f>
        <v>0</v>
      </c>
      <c r="D4275" t="s">
        <v>23500</v>
      </c>
      <c r="E4275" t="s">
        <v>27345</v>
      </c>
    </row>
    <row r="4276" spans="1:5">
      <c r="A4276" t="s">
        <v>6</v>
      </c>
      <c r="B4276" t="s">
        <v>4281</v>
      </c>
      <c r="C4276">
        <f>HYPERLINK("C:\Users\franc\OneDrive\Documentos\MALENTIN KARIME\RECONOC DEUDA\LUIS PROHENS BOU Y HARS.doc", "Abrir Documento")</f>
        <v>0</v>
      </c>
      <c r="D4276" t="s">
        <v>23500</v>
      </c>
      <c r="E4276" t="s">
        <v>27346</v>
      </c>
    </row>
    <row r="4277" spans="1:5">
      <c r="A4277" t="s">
        <v>6</v>
      </c>
      <c r="B4277" t="s">
        <v>4282</v>
      </c>
      <c r="C4277">
        <f>HYPERLINK("C:\Users\franc\OneDrive\Documentos\MALENTIN KARIME\RECONOC DEUDA\LAGUNAS Y SASTRE A NUTRICION VEGETAL.doc", "Abrir Documento")</f>
        <v>0</v>
      </c>
      <c r="D4277" t="s">
        <v>23500</v>
      </c>
      <c r="E4277" t="s">
        <v>27347</v>
      </c>
    </row>
    <row r="4278" spans="1:5">
      <c r="A4278" t="s">
        <v>6</v>
      </c>
      <c r="B4278" t="s">
        <v>4283</v>
      </c>
      <c r="C4278">
        <f>HYPERLINK("C:\Users\franc\OneDrive\Documentos\MALENTIN KARIME\RECONOC DEUDA\INMOBILIARIA RENACER final.doc", "Abrir Documento")</f>
        <v>0</v>
      </c>
      <c r="D4278" t="s">
        <v>23500</v>
      </c>
      <c r="E4278" t="s">
        <v>27348</v>
      </c>
    </row>
    <row r="4279" spans="1:5">
      <c r="A4279" t="s">
        <v>6</v>
      </c>
      <c r="B4279" t="s">
        <v>4284</v>
      </c>
      <c r="C4279">
        <f>HYPERLINK("C:\Users\franc\OneDrive\Documentos\MALENTIN KARIME\RECONOC DEUDA\INMOBILIARIA RENACER.doc", "Abrir Documento")</f>
        <v>0</v>
      </c>
      <c r="D4279" t="s">
        <v>23500</v>
      </c>
      <c r="E4279" t="s">
        <v>27348</v>
      </c>
    </row>
    <row r="4280" spans="1:5">
      <c r="A4280" t="s">
        <v>6</v>
      </c>
      <c r="B4280" t="s">
        <v>4285</v>
      </c>
      <c r="C4280">
        <f>HYPERLINK("C:\Users\franc\OneDrive\Documentos\MALENTIN KARIME\RECONOC DEUDA\F 24 inversiones NUEVA GENERACION II.doc", "Abrir Documento")</f>
        <v>0</v>
      </c>
      <c r="D4280" t="s">
        <v>23500</v>
      </c>
      <c r="E4280" t="s">
        <v>27349</v>
      </c>
    </row>
    <row r="4281" spans="1:5">
      <c r="A4281" t="s">
        <v>6</v>
      </c>
      <c r="B4281" t="s">
        <v>4286</v>
      </c>
      <c r="C4281">
        <f>HYPERLINK("C:\Users\franc\OneDrive\Documentos\MALENTIN KARIME\RECONOC DEUDA\F 24 inversiones NUEVA GENERACION I.doc", "Abrir Documento")</f>
        <v>0</v>
      </c>
      <c r="D4281" t="s">
        <v>23500</v>
      </c>
      <c r="E4281" t="s">
        <v>27350</v>
      </c>
    </row>
    <row r="4282" spans="1:5">
      <c r="A4282" t="s">
        <v>6</v>
      </c>
      <c r="B4282" t="s">
        <v>4287</v>
      </c>
      <c r="C4282">
        <f>HYPERLINK("C:\Users\franc\OneDrive\Documentos\MALENTIN KARIME\RECONOC DEUDA\F 24 2017.doc", "Abrir Documento")</f>
        <v>0</v>
      </c>
      <c r="D4282" t="s">
        <v>23500</v>
      </c>
      <c r="E4282" t="s">
        <v>27351</v>
      </c>
    </row>
    <row r="4283" spans="1:5">
      <c r="A4283" t="s">
        <v>6</v>
      </c>
      <c r="B4283" t="s">
        <v>4288</v>
      </c>
      <c r="C4283">
        <f>HYPERLINK("C:\Users\franc\OneDrive\Documentos\MALENTIN KARIME\RECONOC DEUDA\F 24 inversiones fortaleza.doc", "Abrir Documento")</f>
        <v>0</v>
      </c>
      <c r="D4283" t="s">
        <v>23500</v>
      </c>
      <c r="E4283" t="s">
        <v>27351</v>
      </c>
    </row>
    <row r="4284" spans="1:5">
      <c r="A4284" t="s">
        <v>6</v>
      </c>
      <c r="B4284" t="s">
        <v>4289</v>
      </c>
      <c r="C4284">
        <f>HYPERLINK("C:\Users\franc\OneDrive\Documentos\MALENTIN KARIME\RATIFICACION\MARGARITA CAMPOS.doc", "Abrir Documento")</f>
        <v>0</v>
      </c>
      <c r="D4284" t="s">
        <v>23500</v>
      </c>
      <c r="E4284" t="s">
        <v>27352</v>
      </c>
    </row>
    <row r="4285" spans="1:5">
      <c r="A4285" t="s">
        <v>6</v>
      </c>
      <c r="B4285" t="s">
        <v>4290</v>
      </c>
      <c r="C4285">
        <f>HYPERLINK("C:\Users\franc\OneDrive\Documentos\MALENTIN KARIME\RECONOC DEUDA\AGRICOLA RECOLETA DOS A Frutícola Río Copiapó.doc", "Abrir Documento")</f>
        <v>0</v>
      </c>
      <c r="D4285" t="s">
        <v>23500</v>
      </c>
      <c r="E4285" t="s">
        <v>27352</v>
      </c>
    </row>
    <row r="4286" spans="1:5">
      <c r="A4286" t="s">
        <v>6</v>
      </c>
      <c r="B4286" t="s">
        <v>4291</v>
      </c>
      <c r="C4286">
        <f>HYPERLINK("C:\Users\franc\OneDrive\Documentos\MALENTIN KARIME\RECONOC DEUDA\DIAMANA CARVAJAL A CARLO SILVA reconc e hipoteca.doc", "Abrir Documento")</f>
        <v>0</v>
      </c>
      <c r="D4286" t="s">
        <v>23500</v>
      </c>
      <c r="E4286" t="s">
        <v>27352</v>
      </c>
    </row>
    <row r="4287" spans="1:5">
      <c r="A4287" t="s">
        <v>6</v>
      </c>
      <c r="B4287" t="s">
        <v>4292</v>
      </c>
      <c r="C4287">
        <f>HYPERLINK("C:\Users\franc\OneDrive\Documentos\MALENTIN KARIME\RATIFICACION\LUIS VARAS HIDALGO Y OTRA.doc", "Abrir Documento")</f>
        <v>0</v>
      </c>
      <c r="D4287" t="s">
        <v>23500</v>
      </c>
      <c r="E4287" t="s">
        <v>27353</v>
      </c>
    </row>
    <row r="4288" spans="1:5">
      <c r="A4288" t="s">
        <v>6</v>
      </c>
      <c r="B4288" t="s">
        <v>4293</v>
      </c>
      <c r="C4288">
        <f>HYPERLINK("C:\Users\franc\OneDrive\Documentos\MALENTIN KARIME\RATIFICACION\LUIS VARAS HIDALGO Y OTRA III.doc", "Abrir Documento")</f>
        <v>0</v>
      </c>
      <c r="D4288" t="s">
        <v>23500</v>
      </c>
      <c r="E4288" t="s">
        <v>27354</v>
      </c>
    </row>
    <row r="4289" spans="1:5">
      <c r="A4289" t="s">
        <v>6</v>
      </c>
      <c r="B4289" t="s">
        <v>4294</v>
      </c>
      <c r="C4289">
        <f>HYPERLINK("C:\Users\franc\OneDrive\Documentos\MALENTIN KARIME\RATIFICACION\LUIS VARAS HIDALGO Y OTRA II.doc", "Abrir Documento")</f>
        <v>0</v>
      </c>
      <c r="D4289" t="s">
        <v>23500</v>
      </c>
      <c r="E4289" t="s">
        <v>27355</v>
      </c>
    </row>
    <row r="4290" spans="1:5">
      <c r="A4290" t="s">
        <v>6</v>
      </c>
      <c r="B4290" t="s">
        <v>4295</v>
      </c>
      <c r="C4290">
        <f>HYPERLINK("C:\Users\franc\OneDrive\Documentos\MALENTIN KARIME\RATIFICACION\LA COIPA Y Ruben Casanova.doc", "Abrir Documento")</f>
        <v>0</v>
      </c>
      <c r="D4290" t="s">
        <v>23500</v>
      </c>
      <c r="E4290" t="s">
        <v>27356</v>
      </c>
    </row>
    <row r="4291" spans="1:5">
      <c r="A4291" t="s">
        <v>6</v>
      </c>
      <c r="B4291" t="s">
        <v>4296</v>
      </c>
      <c r="C4291">
        <f>HYPERLINK("C:\Users\franc\OneDrive\Documentos\MALENTIN KARIME\RATIFICACION\LA COIPA Y Maritza Guerrero.doc", "Abrir Documento")</f>
        <v>0</v>
      </c>
      <c r="D4291" t="s">
        <v>23500</v>
      </c>
      <c r="E4291" t="s">
        <v>27357</v>
      </c>
    </row>
    <row r="4292" spans="1:5">
      <c r="A4292" t="s">
        <v>6</v>
      </c>
      <c r="B4292" t="s">
        <v>4297</v>
      </c>
      <c r="C4292">
        <f>HYPERLINK("C:\Users\franc\OneDrive\Documentos\MALENTIN KARIME\RATIFICACION\LA COIPA Y Jorge Mena.doc", "Abrir Documento")</f>
        <v>0</v>
      </c>
      <c r="D4292" t="s">
        <v>23500</v>
      </c>
      <c r="E4292" t="s">
        <v>27358</v>
      </c>
    </row>
    <row r="4293" spans="1:5">
      <c r="A4293" t="s">
        <v>6</v>
      </c>
      <c r="B4293" t="s">
        <v>4298</v>
      </c>
      <c r="C4293">
        <f>HYPERLINK("C:\Users\franc\OneDrive\Documentos\MALENTIN KARIME\RATIFICACION\LA COIPA Y Jenny Boyd.doc", "Abrir Documento")</f>
        <v>0</v>
      </c>
      <c r="D4293" t="s">
        <v>23500</v>
      </c>
      <c r="E4293" t="s">
        <v>27359</v>
      </c>
    </row>
    <row r="4294" spans="1:5">
      <c r="A4294" t="s">
        <v>6</v>
      </c>
      <c r="B4294" t="s">
        <v>4299</v>
      </c>
      <c r="C4294">
        <f>HYPERLINK("C:\Users\franc\OneDrive\Documentos\MALENTIN KARIME\RATIFICACION\LA COIPA Y Henry Guerrero.doc", "Abrir Documento")</f>
        <v>0</v>
      </c>
      <c r="D4294" t="s">
        <v>23500</v>
      </c>
      <c r="E4294" t="s">
        <v>27360</v>
      </c>
    </row>
    <row r="4295" spans="1:5">
      <c r="A4295" t="s">
        <v>6</v>
      </c>
      <c r="B4295" t="s">
        <v>4300</v>
      </c>
      <c r="C4295">
        <f>HYPERLINK("C:\Users\franc\OneDrive\Documentos\MALENTIN KARIME\RATIFICACION\LA COIPA Y Cecilia Lópezdoc.doc", "Abrir Documento")</f>
        <v>0</v>
      </c>
      <c r="D4295" t="s">
        <v>23500</v>
      </c>
      <c r="E4295" t="s">
        <v>27361</v>
      </c>
    </row>
    <row r="4296" spans="1:5">
      <c r="A4296" t="s">
        <v>6</v>
      </c>
      <c r="B4296" t="s">
        <v>4301</v>
      </c>
      <c r="C4296">
        <f>HYPERLINK("C:\Users\franc\OneDrive\Documentos\MALENTIN KARIME\RATIFICACION\LA COIPA Y Arnoldo Aguirre.doc", "Abrir Documento")</f>
        <v>0</v>
      </c>
      <c r="D4296" t="s">
        <v>23500</v>
      </c>
      <c r="E4296" t="s">
        <v>27362</v>
      </c>
    </row>
    <row r="4297" spans="1:5">
      <c r="A4297" t="s">
        <v>6</v>
      </c>
      <c r="B4297" t="s">
        <v>4302</v>
      </c>
      <c r="C4297">
        <f>HYPERLINK("C:\Users\franc\OneDrive\Documentos\MALENTIN KARIME\RATIFICACION\IVAN ESPINOZA ratificacion.doc", "Abrir Documento")</f>
        <v>0</v>
      </c>
      <c r="D4297" t="s">
        <v>23500</v>
      </c>
      <c r="E4297" t="s">
        <v>27363</v>
      </c>
    </row>
    <row r="4298" spans="1:5">
      <c r="A4298" t="s">
        <v>6</v>
      </c>
      <c r="B4298" t="s">
        <v>4303</v>
      </c>
      <c r="C4298">
        <f>HYPERLINK("C:\Users\franc\OneDrive\Documentos\MALENTIN KARIME\RATIFICACION\GLADYS ZAMBRA CASTELLANOS.doc", "Abrir Documento")</f>
        <v>0</v>
      </c>
      <c r="D4298" t="s">
        <v>23500</v>
      </c>
      <c r="E4298" t="s">
        <v>27364</v>
      </c>
    </row>
    <row r="4299" spans="1:5">
      <c r="A4299" t="s">
        <v>6</v>
      </c>
      <c r="B4299" t="s">
        <v>4304</v>
      </c>
      <c r="C4299">
        <f>HYPERLINK("C:\Users\franc\OneDrive\Documentos\MALENTIN KARIME\RATIFICACION\GLADYS ZAMBRA CASTELLANOS Aguas.doc", "Abrir Documento")</f>
        <v>0</v>
      </c>
      <c r="D4299" t="s">
        <v>23500</v>
      </c>
      <c r="E4299" t="s">
        <v>27365</v>
      </c>
    </row>
    <row r="4300" spans="1:5">
      <c r="A4300" t="s">
        <v>6</v>
      </c>
      <c r="B4300" t="s">
        <v>4305</v>
      </c>
      <c r="C4300">
        <f>HYPERLINK("C:\Users\franc\OneDrive\Documentos\MALENTIN KARIME\RATIFICACION\CAROLINA CHELEN BARRAZA 2017 abogado.doc", "Abrir Documento")</f>
        <v>0</v>
      </c>
      <c r="D4300" t="s">
        <v>23500</v>
      </c>
      <c r="E4300" t="s">
        <v>27366</v>
      </c>
    </row>
    <row r="4301" spans="1:5">
      <c r="A4301" t="s">
        <v>6</v>
      </c>
      <c r="B4301" t="s">
        <v>4306</v>
      </c>
      <c r="C4301">
        <f>HYPERLINK("C:\Users\franc\OneDrive\Documentos\MALENTIN KARIME\RATIFICACION\AURORA PIZARRO PALACIOS.doc", "Abrir Documento")</f>
        <v>0</v>
      </c>
      <c r="D4301" t="s">
        <v>23500</v>
      </c>
      <c r="E4301" t="s">
        <v>27367</v>
      </c>
    </row>
    <row r="4302" spans="1:5">
      <c r="A4302" t="s">
        <v>6</v>
      </c>
      <c r="B4302" t="s">
        <v>4307</v>
      </c>
      <c r="C4302">
        <f>HYPERLINK("C:\Users\franc\OneDrive\Documentos\MALENTIN KARIME\PROTOCOLIZACION\VEHICULOS\PABLO TOLEDO TORRES Alzamiento Dabed.doc", "Abrir Documento")</f>
        <v>0</v>
      </c>
      <c r="D4302" t="s">
        <v>23500</v>
      </c>
      <c r="E4302" t="s">
        <v>27368</v>
      </c>
    </row>
    <row r="4303" spans="1:5">
      <c r="A4303" t="s">
        <v>6</v>
      </c>
      <c r="B4303" t="s">
        <v>4308</v>
      </c>
      <c r="C4303">
        <f>HYPERLINK("C:\Users\franc\OneDrive\Documentos\MALENTIN KARIME\PROTOCOLIZACION\VEHICULOS\YAMIL CONTRERAS Alzamiento Dabed.doc", "Abrir Documento")</f>
        <v>0</v>
      </c>
      <c r="D4303" t="s">
        <v>23500</v>
      </c>
      <c r="E4303" t="s">
        <v>27368</v>
      </c>
    </row>
    <row r="4304" spans="1:5">
      <c r="A4304" t="s">
        <v>6</v>
      </c>
      <c r="B4304" t="s">
        <v>4309</v>
      </c>
      <c r="C4304">
        <f>HYPERLINK("C:\Users\franc\OneDrive\Documentos\MALENTIN KARIME\PROTOCOLIZACION\VEHICULOS\MARIA AGUIRRE LARACovalsa Prenda.doc", "Abrir Documento")</f>
        <v>0</v>
      </c>
      <c r="D4304" t="s">
        <v>23500</v>
      </c>
      <c r="E4304" t="s">
        <v>27369</v>
      </c>
    </row>
    <row r="4305" spans="1:5">
      <c r="A4305" t="s">
        <v>6</v>
      </c>
      <c r="B4305" t="s">
        <v>4310</v>
      </c>
      <c r="C4305">
        <f>HYPERLINK("C:\Users\franc\OneDrive\Documentos\MALENTIN KARIME\PROTOCOLIZACION\VEHICULOS\NANCY CISTERNAS MUÑOZ 2018.doc", "Abrir Documento")</f>
        <v>0</v>
      </c>
      <c r="D4305" t="s">
        <v>23500</v>
      </c>
      <c r="E4305" t="s">
        <v>27369</v>
      </c>
    </row>
    <row r="4306" spans="1:5">
      <c r="A4306" t="s">
        <v>6</v>
      </c>
      <c r="B4306" t="s">
        <v>4311</v>
      </c>
      <c r="C4306">
        <f>HYPERLINK("C:\Users\franc\OneDrive\Documentos\MALENTIN KARIME\PROTOCOLIZACION\VEHICULOS\karime.doc", "Abrir Documento")</f>
        <v>0</v>
      </c>
      <c r="D4306" t="s">
        <v>23500</v>
      </c>
      <c r="E4306" t="s">
        <v>27370</v>
      </c>
    </row>
    <row r="4307" spans="1:5">
      <c r="A4307" t="s">
        <v>6</v>
      </c>
      <c r="B4307" t="s">
        <v>4312</v>
      </c>
      <c r="C4307">
        <f>HYPERLINK("C:\Users\franc\OneDrive\Documentos\MALENTIN KARIME\PROTOCOLIZACION\VEHICULOS\HECTOR VEGA Y Alfalfares Prenda.doc", "Abrir Documento")</f>
        <v>0</v>
      </c>
      <c r="D4307" t="s">
        <v>23500</v>
      </c>
      <c r="E4307" t="s">
        <v>27371</v>
      </c>
    </row>
    <row r="4308" spans="1:5">
      <c r="A4308" t="s">
        <v>6</v>
      </c>
      <c r="B4308" t="s">
        <v>4313</v>
      </c>
      <c r="C4308">
        <f>HYPERLINK("C:\Users\franc\OneDrive\Documentos\MALENTIN KARIME\PROTOCOLIZACION\VEHICULOS\EVELYN BONILLA Covalsa Prenda.doc", "Abrir Documento")</f>
        <v>0</v>
      </c>
      <c r="D4308" t="s">
        <v>23500</v>
      </c>
      <c r="E4308" t="s">
        <v>27372</v>
      </c>
    </row>
    <row r="4309" spans="1:5">
      <c r="A4309" t="s">
        <v>6</v>
      </c>
      <c r="B4309" t="s">
        <v>4314</v>
      </c>
      <c r="C4309">
        <f>HYPERLINK("C:\Users\franc\OneDrive\Documentos\MALENTIN KARIME\PROTOCOLIZACION\VEHICULOS\ERIK TOLEDO Alzamiento Dabed.doc", "Abrir Documento")</f>
        <v>0</v>
      </c>
      <c r="D4309" t="s">
        <v>23500</v>
      </c>
      <c r="E4309" t="s">
        <v>27373</v>
      </c>
    </row>
    <row r="4310" spans="1:5">
      <c r="A4310" t="s">
        <v>6</v>
      </c>
      <c r="B4310" t="s">
        <v>4315</v>
      </c>
      <c r="C4310">
        <f>HYPERLINK("C:\Users\franc\OneDrive\Documentos\MALENTIN KARIME\PROTOCOLIZACION\VEHICULOS\ENRIQUE ROMERO CHAVEZ Covalsa Prenda.doc", "Abrir Documento")</f>
        <v>0</v>
      </c>
      <c r="D4310" t="s">
        <v>23500</v>
      </c>
      <c r="E4310" t="s">
        <v>27374</v>
      </c>
    </row>
    <row r="4311" spans="1:5">
      <c r="A4311" t="s">
        <v>6</v>
      </c>
      <c r="B4311" t="s">
        <v>4316</v>
      </c>
      <c r="C4311">
        <f>HYPERLINK("C:\Users\franc\OneDrive\Documentos\MALENTIN KARIME\PROTOCOLIZACION\VEHICULOS\CRISTIAN CORTES LAFERTE dabed.doc", "Abrir Documento")</f>
        <v>0</v>
      </c>
      <c r="D4311" t="s">
        <v>23500</v>
      </c>
      <c r="E4311" t="s">
        <v>27375</v>
      </c>
    </row>
    <row r="4312" spans="1:5">
      <c r="A4312" t="s">
        <v>6</v>
      </c>
      <c r="B4312" t="s">
        <v>4317</v>
      </c>
      <c r="C4312">
        <f>HYPERLINK("C:\Users\franc\OneDrive\Documentos\MALENTIN KARIME\PROTOCOLIZACION\VEHICULOS\Autorizo la firma de don ROBERTO ESTEBAN DABED MARTINIC.doc", "Abrir Documento")</f>
        <v>0</v>
      </c>
      <c r="D4312" t="s">
        <v>23500</v>
      </c>
      <c r="E4312" t="s">
        <v>27376</v>
      </c>
    </row>
    <row r="4313" spans="1:5">
      <c r="A4313" t="s">
        <v>6</v>
      </c>
      <c r="B4313" t="s">
        <v>4318</v>
      </c>
      <c r="C4313">
        <f>HYPERLINK("C:\Users\franc\OneDrive\Documentos\MALENTIN KARIME\PROTOCOLIZACION\VEHICULOS\ANA ESPINOZA PLAZA.doc", "Abrir Documento")</f>
        <v>0</v>
      </c>
      <c r="D4313" t="s">
        <v>23500</v>
      </c>
      <c r="E4313" t="s">
        <v>27377</v>
      </c>
    </row>
    <row r="4314" spans="1:5">
      <c r="A4314" t="s">
        <v>6</v>
      </c>
      <c r="B4314" t="s">
        <v>4319</v>
      </c>
      <c r="C4314">
        <f>HYPERLINK("C:\Users\franc\OneDrive\Documentos\MALENTIN KARIME\PROTOCOLIZACION\VEHICULOS\ANA ESPINOSA PLAZA.doc", "Abrir Documento")</f>
        <v>0</v>
      </c>
      <c r="D4314" t="s">
        <v>23500</v>
      </c>
      <c r="E4314" t="s">
        <v>27378</v>
      </c>
    </row>
    <row r="4315" spans="1:5">
      <c r="A4315" t="s">
        <v>6</v>
      </c>
      <c r="B4315" t="s">
        <v>4320</v>
      </c>
      <c r="C4315">
        <f>HYPERLINK("C:\Users\franc\OneDrive\Documentos\MALENTIN KARIME\PROTOCOLIZACION\COMPRAVENTAS\LUISA GODOY FERNANDEZ.doc", "Abrir Documento")</f>
        <v>0</v>
      </c>
      <c r="D4315" t="s">
        <v>23500</v>
      </c>
      <c r="E4315" t="s">
        <v>27379</v>
      </c>
    </row>
    <row r="4316" spans="1:5">
      <c r="A4316" t="s">
        <v>6</v>
      </c>
      <c r="B4316" t="s">
        <v>4321</v>
      </c>
      <c r="C4316">
        <f>HYPERLINK("C:\Users\franc\OneDrive\Documentos\MALENTIN KARIME\PROTOCOLIZACION\VEHICULOS\Alz. Musalem.doc", "Abrir Documento")</f>
        <v>0</v>
      </c>
      <c r="D4316" t="s">
        <v>23500</v>
      </c>
      <c r="E4316" t="s">
        <v>27379</v>
      </c>
    </row>
    <row r="4317" spans="1:5">
      <c r="A4317" t="s">
        <v>6</v>
      </c>
      <c r="B4317" t="s">
        <v>4322</v>
      </c>
      <c r="C4317">
        <f>HYPERLINK("C:\Users\franc\OneDrive\Documentos\MALENTIN KARIME\PROTOCOLIZACION\2021\VICENTE CASTILLO Plano.doc", "Abrir Documento")</f>
        <v>0</v>
      </c>
      <c r="D4317" t="s">
        <v>23500</v>
      </c>
      <c r="E4317" t="s">
        <v>27380</v>
      </c>
    </row>
    <row r="4318" spans="1:5">
      <c r="A4318" t="s">
        <v>6</v>
      </c>
      <c r="B4318" t="s">
        <v>4323</v>
      </c>
      <c r="C4318">
        <f>HYPERLINK("C:\Users\franc\OneDrive\Documentos\MALENTIN KARIME\PROTOCOLIZACION\2021\SEBASTIAN DIAZ CORTES.doc", "Abrir Documento")</f>
        <v>0</v>
      </c>
      <c r="D4318" t="s">
        <v>23500</v>
      </c>
      <c r="E4318" t="s">
        <v>27381</v>
      </c>
    </row>
    <row r="4319" spans="1:5">
      <c r="A4319" t="s">
        <v>6</v>
      </c>
      <c r="B4319" t="s">
        <v>4324</v>
      </c>
      <c r="C4319">
        <f>HYPERLINK("C:\Users\franc\OneDrive\Documentos\MALENTIN KARIME\PROTOCOLIZACION\2021\OSCAR GUTIERREZ RIVAS.doc", "Abrir Documento")</f>
        <v>0</v>
      </c>
      <c r="D4319" t="s">
        <v>23500</v>
      </c>
      <c r="E4319" t="s">
        <v>27382</v>
      </c>
    </row>
    <row r="4320" spans="1:5">
      <c r="A4320" t="s">
        <v>6</v>
      </c>
      <c r="B4320" t="s">
        <v>4325</v>
      </c>
      <c r="C4320">
        <f>HYPERLINK("C:\Users\franc\OneDrive\Documentos\MALENTIN KARIME\PROTOCOLIZACION\2021\NELSON ACEITUNO 107.doc", "Abrir Documento")</f>
        <v>0</v>
      </c>
      <c r="D4320" t="s">
        <v>23500</v>
      </c>
      <c r="E4320" t="s">
        <v>27383</v>
      </c>
    </row>
    <row r="4321" spans="1:5">
      <c r="A4321" t="s">
        <v>6</v>
      </c>
      <c r="B4321" t="s">
        <v>4326</v>
      </c>
      <c r="C4321">
        <f>HYPERLINK("C:\Users\franc\OneDrive\Documentos\MALENTIN KARIME\PROTOCOLIZACION\2021\MONICA TEDROS AGUILERA.doc", "Abrir Documento")</f>
        <v>0</v>
      </c>
      <c r="D4321" t="s">
        <v>23500</v>
      </c>
      <c r="E4321" t="s">
        <v>27384</v>
      </c>
    </row>
    <row r="4322" spans="1:5">
      <c r="A4322" t="s">
        <v>6</v>
      </c>
      <c r="B4322" t="s">
        <v>4327</v>
      </c>
      <c r="C4322">
        <f>HYPERLINK("C:\Users\franc\OneDrive\Documentos\MALENTIN KARIME\PROTOCOLIZACION\2021\MARCO SANDOVAL.doc", "Abrir Documento")</f>
        <v>0</v>
      </c>
      <c r="D4322" t="s">
        <v>23500</v>
      </c>
      <c r="E4322" t="s">
        <v>27385</v>
      </c>
    </row>
    <row r="4323" spans="1:5">
      <c r="A4323" t="s">
        <v>6</v>
      </c>
      <c r="B4323" t="s">
        <v>4328</v>
      </c>
      <c r="C4323">
        <f>HYPERLINK("C:\Users\franc\OneDrive\Documentos\MALENTIN KARIME\PROTOCOLIZACION\2021\MARCELINO ARAYA SALAS PROT PLANO.doc", "Abrir Documento")</f>
        <v>0</v>
      </c>
      <c r="D4323" t="s">
        <v>23500</v>
      </c>
      <c r="E4323" t="s">
        <v>27386</v>
      </c>
    </row>
    <row r="4324" spans="1:5">
      <c r="A4324" t="s">
        <v>6</v>
      </c>
      <c r="B4324" t="s">
        <v>4329</v>
      </c>
      <c r="C4324">
        <f>HYPERLINK("C:\Users\franc\OneDrive\Documentos\MALENTIN KARIME\PROTOCOLIZACION\2021\INGRID MARIN CAMPUSANOPlano.doc", "Abrir Documento")</f>
        <v>0</v>
      </c>
      <c r="D4324" t="s">
        <v>23500</v>
      </c>
      <c r="E4324" t="s">
        <v>27387</v>
      </c>
    </row>
    <row r="4325" spans="1:5">
      <c r="A4325" t="s">
        <v>6</v>
      </c>
      <c r="B4325" t="s">
        <v>4330</v>
      </c>
      <c r="C4325">
        <f>HYPERLINK("C:\Users\franc\OneDrive\Documentos\MALENTIN KARIME\PROTOCOLIZACION\2021\FELISA MOYA CASTILLO poder extr.doc", "Abrir Documento")</f>
        <v>0</v>
      </c>
      <c r="D4325" t="s">
        <v>23500</v>
      </c>
      <c r="E4325" t="s">
        <v>27388</v>
      </c>
    </row>
    <row r="4326" spans="1:5">
      <c r="A4326" t="s">
        <v>6</v>
      </c>
      <c r="B4326" t="s">
        <v>4331</v>
      </c>
      <c r="C4326">
        <f>HYPERLINK("C:\Users\franc\OneDrive\Documentos\MALENTIN KARIME\PROTOCOLIZACION\2021\COMUNIDAD EL PERAL OJO DE AGUA.doc", "Abrir Documento")</f>
        <v>0</v>
      </c>
      <c r="D4326" t="s">
        <v>23500</v>
      </c>
      <c r="E4326" t="s">
        <v>27389</v>
      </c>
    </row>
    <row r="4327" spans="1:5">
      <c r="A4327" t="s">
        <v>6</v>
      </c>
      <c r="B4327" t="s">
        <v>4332</v>
      </c>
      <c r="C4327">
        <f>HYPERLINK("C:\Users\franc\OneDrive\Documentos\MALENTIN KARIME\PROTOCOLIZACION\2021\COMUNIDAD AGRICOLA LOS MAITENES DE SERON fs 07.doc", "Abrir Documento")</f>
        <v>0</v>
      </c>
      <c r="D4327" t="s">
        <v>23500</v>
      </c>
      <c r="E4327" t="s">
        <v>27390</v>
      </c>
    </row>
    <row r="4328" spans="1:5">
      <c r="A4328" t="s">
        <v>6</v>
      </c>
      <c r="B4328" t="s">
        <v>4333</v>
      </c>
      <c r="C4328">
        <f>HYPERLINK("C:\Users\franc\OneDrive\Documentos\MALENTIN KARIME\PROTOCOLIZACION\2021\COMUNIDAD AGRICOLA LOS MAITENES DE SERON fs 05.doc", "Abrir Documento")</f>
        <v>0</v>
      </c>
      <c r="D4328" t="s">
        <v>23500</v>
      </c>
      <c r="E4328" t="s">
        <v>27391</v>
      </c>
    </row>
    <row r="4329" spans="1:5">
      <c r="A4329" t="s">
        <v>6</v>
      </c>
      <c r="B4329" t="s">
        <v>4334</v>
      </c>
      <c r="C4329">
        <f>HYPERLINK("C:\Users\franc\OneDrive\Documentos\MALENTIN KARIME\PROTOCOLIZACION\2021\COMUNIDAD AGRICOLA ALCONES fs 30.doc", "Abrir Documento")</f>
        <v>0</v>
      </c>
      <c r="D4329" t="s">
        <v>23500</v>
      </c>
      <c r="E4329" t="s">
        <v>27392</v>
      </c>
    </row>
    <row r="4330" spans="1:5">
      <c r="A4330" t="s">
        <v>6</v>
      </c>
      <c r="B4330" t="s">
        <v>4335</v>
      </c>
      <c r="C4330">
        <f>HYPERLINK("C:\Users\franc\OneDrive\Documentos\MALENTIN KARIME\PROTOCOLIZACION\2021\COMUNIDAD AGRICOLA ALCONES fs 44.doc", "Abrir Documento")</f>
        <v>0</v>
      </c>
      <c r="D4330" t="s">
        <v>23500</v>
      </c>
      <c r="E4330" t="s">
        <v>27392</v>
      </c>
    </row>
    <row r="4331" spans="1:5">
      <c r="A4331" t="s">
        <v>6</v>
      </c>
      <c r="B4331" t="s">
        <v>4336</v>
      </c>
      <c r="C4331">
        <f>HYPERLINK("C:\Users\franc\OneDrive\Documentos\MALENTIN KARIME\PROTOCOLIZACION\2021\COMUNIDAD AGRICOLA BUENOS AIRES DE PUNILLA fs 57 V.doc", "Abrir Documento")</f>
        <v>0</v>
      </c>
      <c r="D4331" t="s">
        <v>23500</v>
      </c>
      <c r="E4331" t="s">
        <v>27392</v>
      </c>
    </row>
    <row r="4332" spans="1:5">
      <c r="A4332" t="s">
        <v>6</v>
      </c>
      <c r="B4332" t="s">
        <v>4337</v>
      </c>
      <c r="C4332">
        <f>HYPERLINK("C:\Users\franc\OneDrive\Documentos\MALENTIN KARIME\PROTOCOLIZACION\2021\ARNALDO RIVERA Plano.doc", "Abrir Documento")</f>
        <v>0</v>
      </c>
      <c r="D4332" t="s">
        <v>23500</v>
      </c>
      <c r="E4332" t="s">
        <v>27393</v>
      </c>
    </row>
    <row r="4333" spans="1:5">
      <c r="A4333" t="s">
        <v>6</v>
      </c>
      <c r="B4333" t="s">
        <v>4338</v>
      </c>
      <c r="C4333">
        <f>HYPERLINK("C:\Users\franc\OneDrive\Documentos\MALENTIN KARIME\PROTOCOLIZACION\2021\ARNALDO RIVERA Lt 15Plano.doc", "Abrir Documento")</f>
        <v>0</v>
      </c>
      <c r="D4333" t="s">
        <v>23500</v>
      </c>
      <c r="E4333" t="s">
        <v>27394</v>
      </c>
    </row>
    <row r="4334" spans="1:5">
      <c r="A4334" t="s">
        <v>6</v>
      </c>
      <c r="B4334" t="s">
        <v>4339</v>
      </c>
      <c r="C4334">
        <f>HYPERLINK("C:\Users\franc\OneDrive\Documentos\MALENTIN KARIME\PROTOCOLIZACION\2019\HERMINDA PIÑONEZconcesion.doc", "Abrir Documento")</f>
        <v>0</v>
      </c>
      <c r="D4334" t="s">
        <v>23500</v>
      </c>
      <c r="E4334" t="s">
        <v>27395</v>
      </c>
    </row>
    <row r="4335" spans="1:5">
      <c r="A4335" t="s">
        <v>6</v>
      </c>
      <c r="B4335" t="s">
        <v>4340</v>
      </c>
      <c r="C4335">
        <f>HYPERLINK("C:\Users\franc\OneDrive\Documentos\MALENTIN KARIME\PROTOCOLIZACION\2019\COMUNIDAD BUENOS AIRES DE PUNILLA.doc", "Abrir Documento")</f>
        <v>0</v>
      </c>
      <c r="D4335" t="s">
        <v>23500</v>
      </c>
      <c r="E4335" t="s">
        <v>27396</v>
      </c>
    </row>
    <row r="4336" spans="1:5">
      <c r="A4336" t="s">
        <v>6</v>
      </c>
      <c r="B4336" t="s">
        <v>4341</v>
      </c>
      <c r="C4336">
        <f>HYPERLINK("C:\Users\franc\OneDrive\Documentos\MALENTIN KARIME\PROTOCOLIZACION\2019\Autorizo  solamente la firma CONTRATO.docx", "Abrir Documento")</f>
        <v>0</v>
      </c>
      <c r="D4336" t="s">
        <v>23501</v>
      </c>
      <c r="E4336" t="s">
        <v>27397</v>
      </c>
    </row>
    <row r="4337" spans="1:5">
      <c r="A4337" t="s">
        <v>6</v>
      </c>
      <c r="B4337" t="s">
        <v>4342</v>
      </c>
      <c r="C4337">
        <f>HYPERLINK("C:\Users\franc\OneDrive\Documentos\MALENTIN KARIME\PROTOCOLIZACION\2018\SIDALIA FERREIRA inventario.doc", "Abrir Documento")</f>
        <v>0</v>
      </c>
      <c r="D4337" t="s">
        <v>23500</v>
      </c>
      <c r="E4337" t="s">
        <v>27398</v>
      </c>
    </row>
    <row r="4338" spans="1:5">
      <c r="A4338" t="s">
        <v>6</v>
      </c>
      <c r="B4338" t="s">
        <v>4343</v>
      </c>
      <c r="C4338">
        <f>HYPERLINK("C:\Users\franc\OneDrive\Documentos\MALENTIN KARIME\PROTOCOLIZACION\2019\ADA BARRAZA ROJASconcesion.doc", "Abrir Documento")</f>
        <v>0</v>
      </c>
      <c r="D4338" t="s">
        <v>23500</v>
      </c>
      <c r="E4338" t="s">
        <v>27398</v>
      </c>
    </row>
    <row r="4339" spans="1:5">
      <c r="A4339" t="s">
        <v>6</v>
      </c>
      <c r="B4339" t="s">
        <v>4344</v>
      </c>
      <c r="C4339">
        <f>HYPERLINK("C:\Users\franc\OneDrive\Documentos\MALENTIN KARIME\PROTOCOLIZACION\2018\RODRIGO ORDOÑEZ DRIC.doc", "Abrir Documento")</f>
        <v>0</v>
      </c>
      <c r="D4339" t="s">
        <v>23500</v>
      </c>
      <c r="E4339" t="s">
        <v>27399</v>
      </c>
    </row>
    <row r="4340" spans="1:5">
      <c r="A4340" t="s">
        <v>6</v>
      </c>
      <c r="B4340" t="s">
        <v>4345</v>
      </c>
      <c r="C4340">
        <f>HYPERLINK("C:\Users\franc\OneDrive\Documentos\MALENTIN KARIME\PROTOCOLIZACION\2018\SEBASTIAN MAZRY.doc", "Abrir Documento")</f>
        <v>0</v>
      </c>
      <c r="D4340" t="s">
        <v>23500</v>
      </c>
      <c r="E4340" t="s">
        <v>27399</v>
      </c>
    </row>
    <row r="4341" spans="1:5">
      <c r="A4341" t="s">
        <v>6</v>
      </c>
      <c r="B4341" t="s">
        <v>4346</v>
      </c>
      <c r="C4341">
        <f>HYPERLINK("C:\Users\franc\OneDrive\Documentos\MALENTIN KARIME\PROTOCOLIZACION\2018\RODRIGO ORDOÑEZ DRIC 01122017.doc", "Abrir Documento")</f>
        <v>0</v>
      </c>
      <c r="D4341" t="s">
        <v>23500</v>
      </c>
      <c r="E4341" t="s">
        <v>27400</v>
      </c>
    </row>
    <row r="4342" spans="1:5">
      <c r="A4342" t="s">
        <v>6</v>
      </c>
      <c r="B4342" t="s">
        <v>4347</v>
      </c>
      <c r="C4342">
        <f>HYPERLINK("C:\Users\franc\OneDrive\Documentos\MALENTIN KARIME\PROTOCOLIZACION\2018\ROBERTO VEGA 954.doc", "Abrir Documento")</f>
        <v>0</v>
      </c>
      <c r="D4342" t="s">
        <v>23500</v>
      </c>
      <c r="E4342" t="s">
        <v>27401</v>
      </c>
    </row>
    <row r="4343" spans="1:5">
      <c r="A4343" t="s">
        <v>6</v>
      </c>
      <c r="B4343" t="s">
        <v>4348</v>
      </c>
      <c r="C4343">
        <f>HYPERLINK("C:\Users\franc\OneDrive\Documentos\MALENTIN KARIME\PROTOCOLIZACION\2018\ROBERTO VEGA 1106.doc", "Abrir Documento")</f>
        <v>0</v>
      </c>
      <c r="D4343" t="s">
        <v>23500</v>
      </c>
      <c r="E4343" t="s">
        <v>27402</v>
      </c>
    </row>
    <row r="4344" spans="1:5">
      <c r="A4344" t="s">
        <v>6</v>
      </c>
      <c r="B4344" t="s">
        <v>4349</v>
      </c>
      <c r="C4344">
        <f>HYPERLINK("C:\Users\franc\OneDrive\Documentos\MALENTIN KARIME\PROTOCOLIZACION\2018\ROBERTO VEGA 1143.doc", "Abrir Documento")</f>
        <v>0</v>
      </c>
      <c r="D4344" t="s">
        <v>23500</v>
      </c>
      <c r="E4344" t="s">
        <v>27402</v>
      </c>
    </row>
    <row r="4345" spans="1:5">
      <c r="A4345" t="s">
        <v>6</v>
      </c>
      <c r="B4345" t="s">
        <v>4350</v>
      </c>
      <c r="C4345">
        <f>HYPERLINK("C:\Users\franc\OneDrive\Documentos\MALENTIN KARIME\PROTOCOLIZACION\2018\ROBERTO VEGA 1979.doc", "Abrir Documento")</f>
        <v>0</v>
      </c>
      <c r="D4345" t="s">
        <v>23500</v>
      </c>
      <c r="E4345" t="s">
        <v>27402</v>
      </c>
    </row>
    <row r="4346" spans="1:5">
      <c r="A4346" t="s">
        <v>6</v>
      </c>
      <c r="B4346" t="s">
        <v>4351</v>
      </c>
      <c r="C4346">
        <f>HYPERLINK("C:\Users\franc\OneDrive\Documentos\MALENTIN KARIME\PROTOCOLIZACION\2018\ROBERTO VEGA 08.doc", "Abrir Documento")</f>
        <v>0</v>
      </c>
      <c r="D4346" t="s">
        <v>23500</v>
      </c>
      <c r="E4346" t="s">
        <v>27403</v>
      </c>
    </row>
    <row r="4347" spans="1:5">
      <c r="A4347" t="s">
        <v>6</v>
      </c>
      <c r="B4347" t="s">
        <v>4352</v>
      </c>
      <c r="C4347">
        <f>HYPERLINK("C:\Users\franc\OneDrive\Documentos\MALENTIN KARIME\PROTOCOLIZACION\2018\RICARDO MOLINA GOMEZ Contrato obra.doc", "Abrir Documento")</f>
        <v>0</v>
      </c>
      <c r="D4347" t="s">
        <v>23500</v>
      </c>
      <c r="E4347" t="s">
        <v>27404</v>
      </c>
    </row>
    <row r="4348" spans="1:5">
      <c r="A4348" t="s">
        <v>6</v>
      </c>
      <c r="B4348" t="s">
        <v>4353</v>
      </c>
      <c r="C4348">
        <f>HYPERLINK("C:\Users\franc\OneDrive\Documentos\MALENTIN KARIME\PROTOCOLIZACION\2018\REGANTES.doc", "Abrir Documento")</f>
        <v>0</v>
      </c>
      <c r="D4348" t="s">
        <v>23500</v>
      </c>
      <c r="E4348" t="s">
        <v>27405</v>
      </c>
    </row>
    <row r="4349" spans="1:5">
      <c r="A4349" t="s">
        <v>6</v>
      </c>
      <c r="B4349" t="s">
        <v>4354</v>
      </c>
      <c r="C4349">
        <f>HYPERLINK("C:\Users\franc\OneDrive\Documentos\MALENTIN KARIME\PROTOCOLIZACION\2018\PRIETO Y MICHEA CONSTRUCCIONES.doc", "Abrir Documento")</f>
        <v>0</v>
      </c>
      <c r="D4349" t="s">
        <v>23500</v>
      </c>
      <c r="E4349" t="s">
        <v>27406</v>
      </c>
    </row>
    <row r="4350" spans="1:5">
      <c r="A4350" t="s">
        <v>6</v>
      </c>
      <c r="B4350" t="s">
        <v>4355</v>
      </c>
      <c r="C4350">
        <f>HYPERLINK("C:\Users\franc\OneDrive\Documentos\MALENTIN KARIME\PROTOCOLIZACION\2018\RAQUEL ZAMBRA CASTELLANOS Indap.doc", "Abrir Documento")</f>
        <v>0</v>
      </c>
      <c r="D4350" t="s">
        <v>23500</v>
      </c>
      <c r="E4350" t="s">
        <v>27406</v>
      </c>
    </row>
    <row r="4351" spans="1:5">
      <c r="A4351" t="s">
        <v>6</v>
      </c>
      <c r="B4351" t="s">
        <v>4356</v>
      </c>
      <c r="C4351">
        <f>HYPERLINK("C:\Users\franc\OneDrive\Documentos\MALENTIN KARIME\PROTOCOLIZACION\2018\PRIETO Y MICHEA CONSTRUCCIONES mod 94.doc", "Abrir Documento")</f>
        <v>0</v>
      </c>
      <c r="D4351" t="s">
        <v>23500</v>
      </c>
      <c r="E4351" t="s">
        <v>27407</v>
      </c>
    </row>
    <row r="4352" spans="1:5">
      <c r="A4352" t="s">
        <v>6</v>
      </c>
      <c r="B4352" t="s">
        <v>4357</v>
      </c>
      <c r="C4352">
        <f>HYPERLINK("C:\Users\franc\OneDrive\Documentos\MALENTIN KARIME\PROTOCOLIZACION\2018\PRIETO Y MICHEA CONSTRUCCIONES mod 97.doc", "Abrir Documento")</f>
        <v>0</v>
      </c>
      <c r="D4352" t="s">
        <v>23500</v>
      </c>
      <c r="E4352" t="s">
        <v>27407</v>
      </c>
    </row>
    <row r="4353" spans="1:5">
      <c r="A4353" t="s">
        <v>6</v>
      </c>
      <c r="B4353" t="s">
        <v>4358</v>
      </c>
      <c r="C4353">
        <f>HYPERLINK("C:\Users\franc\OneDrive\Documentos\MALENTIN KARIME\PROTOCOLIZACION\2018\PRIETO Y MICHEA CONSTRUCCIONES MOD 102.doc", "Abrir Documento")</f>
        <v>0</v>
      </c>
      <c r="D4353" t="s">
        <v>23500</v>
      </c>
      <c r="E4353" t="s">
        <v>27408</v>
      </c>
    </row>
    <row r="4354" spans="1:5">
      <c r="A4354" t="s">
        <v>6</v>
      </c>
      <c r="B4354" t="s">
        <v>4359</v>
      </c>
      <c r="C4354">
        <f>HYPERLINK("C:\Users\franc\OneDrive\Documentos\MALENTIN KARIME\PROTOCOLIZACION\2018\PRIETO Y MICHEA CONSTRUCCIONES MOD 102 y anexos.doc", "Abrir Documento")</f>
        <v>0</v>
      </c>
      <c r="D4354" t="s">
        <v>23500</v>
      </c>
      <c r="E4354" t="s">
        <v>27409</v>
      </c>
    </row>
    <row r="4355" spans="1:5">
      <c r="A4355" t="s">
        <v>6</v>
      </c>
      <c r="B4355" t="s">
        <v>4360</v>
      </c>
      <c r="C4355">
        <f>HYPERLINK("C:\Users\franc\OneDrive\Documentos\MALENTIN KARIME\PROTOCOLIZACION\2018\OLGA PIZARRO E.I.R.L 60 mod.doc", "Abrir Documento")</f>
        <v>0</v>
      </c>
      <c r="D4355" t="s">
        <v>23500</v>
      </c>
      <c r="E4355" t="s">
        <v>27410</v>
      </c>
    </row>
    <row r="4356" spans="1:5">
      <c r="A4356" t="s">
        <v>6</v>
      </c>
      <c r="B4356" t="s">
        <v>4361</v>
      </c>
      <c r="C4356">
        <f>HYPERLINK("C:\Users\franc\OneDrive\Documentos\MALENTIN KARIME\PROTOCOLIZACION\2018\OLGA PIZARRO E.I.R.L 38.doc", "Abrir Documento")</f>
        <v>0</v>
      </c>
      <c r="D4356" t="s">
        <v>23500</v>
      </c>
      <c r="E4356" t="s">
        <v>27411</v>
      </c>
    </row>
    <row r="4357" spans="1:5">
      <c r="A4357" t="s">
        <v>6</v>
      </c>
      <c r="B4357" t="s">
        <v>4362</v>
      </c>
      <c r="C4357">
        <f>HYPERLINK("C:\Users\franc\OneDrive\Documentos\MALENTIN KARIME\PROTOCOLIZACION\2018\NORMA GENTINA DAZA inventario.doc", "Abrir Documento")</f>
        <v>0</v>
      </c>
      <c r="D4357" t="s">
        <v>23500</v>
      </c>
      <c r="E4357" t="s">
        <v>27412</v>
      </c>
    </row>
    <row r="4358" spans="1:5">
      <c r="A4358" t="s">
        <v>6</v>
      </c>
      <c r="B4358" t="s">
        <v>4363</v>
      </c>
      <c r="C4358">
        <f>HYPERLINK("C:\Users\franc\OneDrive\Documentos\MALENTIN KARIME\PROTOCOLIZACION\2018\NOELIA ARAYA plano.doc", "Abrir Documento")</f>
        <v>0</v>
      </c>
      <c r="D4358" t="s">
        <v>23500</v>
      </c>
      <c r="E4358" t="s">
        <v>27413</v>
      </c>
    </row>
    <row r="4359" spans="1:5">
      <c r="A4359" t="s">
        <v>6</v>
      </c>
      <c r="B4359" t="s">
        <v>4364</v>
      </c>
      <c r="C4359">
        <f>HYPERLINK("C:\Users\franc\OneDrive\Documentos\MALENTIN KARIME\PROTOCOLIZACION\2018\NELSON ACEITUNO 85.doc", "Abrir Documento")</f>
        <v>0</v>
      </c>
      <c r="D4359" t="s">
        <v>23500</v>
      </c>
      <c r="E4359" t="s">
        <v>27414</v>
      </c>
    </row>
    <row r="4360" spans="1:5">
      <c r="A4360" t="s">
        <v>6</v>
      </c>
      <c r="B4360" t="s">
        <v>4365</v>
      </c>
      <c r="C4360">
        <f>HYPERLINK("C:\Users\franc\OneDrive\Documentos\MALENTIN KARIME\PROTOCOLIZACION\2018\NELSON ACEITUNO 65.doc", "Abrir Documento")</f>
        <v>0</v>
      </c>
      <c r="D4360" t="s">
        <v>23500</v>
      </c>
      <c r="E4360" t="s">
        <v>27415</v>
      </c>
    </row>
    <row r="4361" spans="1:5">
      <c r="A4361" t="s">
        <v>6</v>
      </c>
      <c r="B4361" t="s">
        <v>4366</v>
      </c>
      <c r="C4361">
        <f>HYPERLINK("C:\Users\franc\OneDrive\Documentos\MALENTIN KARIME\PROTOCOLIZACION\2018\NELSON ACEITUNO 41.doc", "Abrir Documento")</f>
        <v>0</v>
      </c>
      <c r="D4361" t="s">
        <v>23500</v>
      </c>
      <c r="E4361" t="s">
        <v>27416</v>
      </c>
    </row>
    <row r="4362" spans="1:5">
      <c r="A4362" t="s">
        <v>6</v>
      </c>
      <c r="B4362" t="s">
        <v>4367</v>
      </c>
      <c r="C4362">
        <f>HYPERLINK("C:\Users\franc\OneDrive\Documentos\MALENTIN KARIME\PROTOCOLIZACION\2018\NATALIA MALDONADO RODRIGUEZ poder extr.doc", "Abrir Documento")</f>
        <v>0</v>
      </c>
      <c r="D4362" t="s">
        <v>23500</v>
      </c>
      <c r="E4362" t="s">
        <v>27417</v>
      </c>
    </row>
    <row r="4363" spans="1:5">
      <c r="A4363" t="s">
        <v>6</v>
      </c>
      <c r="B4363" t="s">
        <v>4368</v>
      </c>
      <c r="C4363">
        <f>HYPERLINK("C:\Users\franc\OneDrive\Documentos\MALENTIN KARIME\PROTOCOLIZACION\2018\MARIA MORALES GARRIDO.doc", "Abrir Documento")</f>
        <v>0</v>
      </c>
      <c r="D4363" t="s">
        <v>23500</v>
      </c>
      <c r="E4363" t="s">
        <v>27418</v>
      </c>
    </row>
    <row r="4364" spans="1:5">
      <c r="A4364" t="s">
        <v>6</v>
      </c>
      <c r="B4364" t="s">
        <v>4369</v>
      </c>
      <c r="C4364">
        <f>HYPERLINK("C:\Users\franc\OneDrive\Documentos\MALENTIN KARIME\PROTOCOLIZACION\2018\MAURICIO CASTILLO ROJAS.doc", "Abrir Documento")</f>
        <v>0</v>
      </c>
      <c r="D4364" t="s">
        <v>23500</v>
      </c>
      <c r="E4364" t="s">
        <v>27418</v>
      </c>
    </row>
    <row r="4365" spans="1:5">
      <c r="A4365" t="s">
        <v>6</v>
      </c>
      <c r="B4365" t="s">
        <v>4370</v>
      </c>
      <c r="C4365">
        <f>HYPERLINK("C:\Users\franc\OneDrive\Documentos\MALENTIN KARIME\PROTOCOLIZACION\2018\MARIA CASTILLO FLORES concesion}.doc", "Abrir Documento")</f>
        <v>0</v>
      </c>
      <c r="D4365" t="s">
        <v>23500</v>
      </c>
      <c r="E4365" t="s">
        <v>27419</v>
      </c>
    </row>
    <row r="4366" spans="1:5">
      <c r="A4366" t="s">
        <v>6</v>
      </c>
      <c r="B4366" t="s">
        <v>4371</v>
      </c>
      <c r="C4366">
        <f>HYPERLINK("C:\Users\franc\OneDrive\Documentos\MALENTIN KARIME\PROTOCOLIZACION\2018\LUIS SALFATE SALFATES.doc", "Abrir Documento")</f>
        <v>0</v>
      </c>
      <c r="D4366" t="s">
        <v>23500</v>
      </c>
      <c r="E4366" t="s">
        <v>27420</v>
      </c>
    </row>
    <row r="4367" spans="1:5">
      <c r="A4367" t="s">
        <v>6</v>
      </c>
      <c r="B4367" t="s">
        <v>4372</v>
      </c>
      <c r="C4367">
        <f>HYPERLINK("C:\Users\franc\OneDrive\Documentos\MALENTIN KARIME\PROTOCOLIZACION\2018\MAGDA CASTILLO concesion.doc", "Abrir Documento")</f>
        <v>0</v>
      </c>
      <c r="D4367" t="s">
        <v>23500</v>
      </c>
      <c r="E4367" t="s">
        <v>27420</v>
      </c>
    </row>
    <row r="4368" spans="1:5">
      <c r="A4368" t="s">
        <v>6</v>
      </c>
      <c r="B4368" t="s">
        <v>4373</v>
      </c>
      <c r="C4368">
        <f>HYPERLINK("C:\Users\franc\OneDrive\Documentos\MALENTIN KARIME\PROTOCOLIZACION\2018\LUIS ADAROS CORTES 2018.doc", "Abrir Documento")</f>
        <v>0</v>
      </c>
      <c r="D4368" t="s">
        <v>23500</v>
      </c>
      <c r="E4368" t="s">
        <v>27421</v>
      </c>
    </row>
    <row r="4369" spans="1:5">
      <c r="A4369" t="s">
        <v>6</v>
      </c>
      <c r="B4369" t="s">
        <v>4374</v>
      </c>
      <c r="C4369">
        <f>HYPERLINK("C:\Users\franc\OneDrive\Documentos\MALENTIN KARIME\PROTOCOLIZACION\2018\JUNTA DE VIGILANCIA  RIO GRANDE Y LIMARI fs157.doc", "Abrir Documento")</f>
        <v>0</v>
      </c>
      <c r="D4369" t="s">
        <v>23500</v>
      </c>
      <c r="E4369" t="s">
        <v>27422</v>
      </c>
    </row>
    <row r="4370" spans="1:5">
      <c r="A4370" t="s">
        <v>6</v>
      </c>
      <c r="B4370" t="s">
        <v>4375</v>
      </c>
      <c r="C4370">
        <f>HYPERLINK("C:\Users\franc\OneDrive\Documentos\MALENTIN KARIME\PROTOCOLIZACION\2018\JUNTA DE VIGILANCIA  RIO GRANDE Y LIMARI fs148.doc", "Abrir Documento")</f>
        <v>0</v>
      </c>
      <c r="D4370" t="s">
        <v>23500</v>
      </c>
      <c r="E4370" t="s">
        <v>27423</v>
      </c>
    </row>
    <row r="4371" spans="1:5">
      <c r="A4371" t="s">
        <v>6</v>
      </c>
      <c r="B4371" t="s">
        <v>4376</v>
      </c>
      <c r="C4371">
        <f>HYPERLINK("C:\Users\franc\OneDrive\Documentos\MALENTIN KARIME\PROTOCOLIZACION\2018\JOSE ADAROS CORTES indap.doc", "Abrir Documento")</f>
        <v>0</v>
      </c>
      <c r="D4371" t="s">
        <v>23500</v>
      </c>
      <c r="E4371" t="s">
        <v>27424</v>
      </c>
    </row>
    <row r="4372" spans="1:5">
      <c r="A4372" t="s">
        <v>6</v>
      </c>
      <c r="B4372" t="s">
        <v>4377</v>
      </c>
      <c r="C4372">
        <f>HYPERLINK("C:\Users\franc\OneDrive\Documentos\MALENTIN KARIME\PROTOCOLIZACION\2018\JACINTO LABARCA 2019.doc", "Abrir Documento")</f>
        <v>0</v>
      </c>
      <c r="D4372" t="s">
        <v>23500</v>
      </c>
      <c r="E4372" t="s">
        <v>27425</v>
      </c>
    </row>
    <row r="4373" spans="1:5">
      <c r="A4373" t="s">
        <v>6</v>
      </c>
      <c r="B4373" t="s">
        <v>4378</v>
      </c>
      <c r="C4373">
        <f>HYPERLINK("C:\Users\franc\OneDrive\Documentos\MALENTIN KARIME\PROTOCOLIZACION\2018\JONATHAN ARAYA LAZO concesion.doc", "Abrir Documento")</f>
        <v>0</v>
      </c>
      <c r="D4373" t="s">
        <v>23500</v>
      </c>
      <c r="E4373" t="s">
        <v>27425</v>
      </c>
    </row>
    <row r="4374" spans="1:5">
      <c r="A4374" t="s">
        <v>6</v>
      </c>
      <c r="B4374" t="s">
        <v>4379</v>
      </c>
      <c r="C4374">
        <f>HYPERLINK("C:\Users\franc\OneDrive\Documentos\MALENTIN KARIME\PROTOCOLIZACION\2018\IRMA CARVAJAL ESPINOZA Corporacion.doc", "Abrir Documento")</f>
        <v>0</v>
      </c>
      <c r="D4374" t="s">
        <v>23500</v>
      </c>
      <c r="E4374" t="s">
        <v>27426</v>
      </c>
    </row>
    <row r="4375" spans="1:5">
      <c r="A4375" t="s">
        <v>6</v>
      </c>
      <c r="B4375" t="s">
        <v>4380</v>
      </c>
      <c r="C4375">
        <f>HYPERLINK("C:\Users\franc\OneDrive\Documentos\MALENTIN KARIME\PROTOCOLIZACION\2018\HERNAN PEREZ DUARTE.doc", "Abrir Documento")</f>
        <v>0</v>
      </c>
      <c r="D4375" t="s">
        <v>23500</v>
      </c>
      <c r="E4375" t="s">
        <v>27427</v>
      </c>
    </row>
    <row r="4376" spans="1:5">
      <c r="A4376" t="s">
        <v>6</v>
      </c>
      <c r="B4376" t="s">
        <v>4381</v>
      </c>
      <c r="C4376">
        <f>HYPERLINK("C:\Users\franc\OneDrive\Documentos\MALENTIN KARIME\PROTOCOLIZACION\2018\HERMAN ARAYA ARAYA.doc", "Abrir Documento")</f>
        <v>0</v>
      </c>
      <c r="D4376" t="s">
        <v>23500</v>
      </c>
      <c r="E4376" t="s">
        <v>27428</v>
      </c>
    </row>
    <row r="4377" spans="1:5">
      <c r="A4377" t="s">
        <v>6</v>
      </c>
      <c r="B4377" t="s">
        <v>4382</v>
      </c>
      <c r="C4377">
        <f>HYPERLINK("C:\Users\franc\OneDrive\Documentos\MALENTIN KARIME\PROTOCOLIZACION\2018\FRANCISCA CARVAJAL OLIVARES.doc", "Abrir Documento")</f>
        <v>0</v>
      </c>
      <c r="D4377" t="s">
        <v>23500</v>
      </c>
      <c r="E4377" t="s">
        <v>27429</v>
      </c>
    </row>
    <row r="4378" spans="1:5">
      <c r="A4378" t="s">
        <v>6</v>
      </c>
      <c r="B4378" t="s">
        <v>4383</v>
      </c>
      <c r="C4378">
        <f>HYPERLINK("C:\Users\franc\OneDrive\Documentos\MALENTIN KARIME\PROTOCOLIZACION\2018\EDUARDO LOPEZ GARCIA Concesion.doc", "Abrir Documento")</f>
        <v>0</v>
      </c>
      <c r="D4378" t="s">
        <v>23500</v>
      </c>
      <c r="E4378" t="s">
        <v>27430</v>
      </c>
    </row>
    <row r="4379" spans="1:5">
      <c r="A4379" t="s">
        <v>6</v>
      </c>
      <c r="B4379" t="s">
        <v>4384</v>
      </c>
      <c r="C4379">
        <f>HYPERLINK("C:\Users\franc\OneDrive\Documentos\MALENTIN KARIME\PROTOCOLIZACION\2018\EDUARDO LOPEZ GARCIA 113 Modi.doc", "Abrir Documento")</f>
        <v>0</v>
      </c>
      <c r="D4379" t="s">
        <v>23500</v>
      </c>
      <c r="E4379" t="s">
        <v>27431</v>
      </c>
    </row>
    <row r="4380" spans="1:5">
      <c r="A4380" t="s">
        <v>6</v>
      </c>
      <c r="B4380" t="s">
        <v>4385</v>
      </c>
      <c r="C4380">
        <f>HYPERLINK("C:\Users\franc\OneDrive\Documentos\MALENTIN KARIME\PROTOCOLIZACION\2018\EDUARDO LOPEZ 113.doc", "Abrir Documento")</f>
        <v>0</v>
      </c>
      <c r="D4380" t="s">
        <v>23500</v>
      </c>
      <c r="E4380" t="s">
        <v>27432</v>
      </c>
    </row>
    <row r="4381" spans="1:5">
      <c r="A4381" t="s">
        <v>6</v>
      </c>
      <c r="B4381" t="s">
        <v>4386</v>
      </c>
      <c r="C4381">
        <f>HYPERLINK("C:\Users\franc\OneDrive\Documentos\MALENTIN KARIME\PROTOCOLIZACION\2018\EDUARDO LOPEZ 113 modif.doc", "Abrir Documento")</f>
        <v>0</v>
      </c>
      <c r="D4381" t="s">
        <v>23500</v>
      </c>
      <c r="E4381" t="s">
        <v>27433</v>
      </c>
    </row>
    <row r="4382" spans="1:5">
      <c r="A4382" t="s">
        <v>6</v>
      </c>
      <c r="B4382" t="s">
        <v>4387</v>
      </c>
      <c r="C4382">
        <f>HYPERLINK("C:\Users\franc\OneDrive\Documentos\MALENTIN KARIME\PROTOCOLIZACION\2018\EDUARDO LOPEZ 113 modif ago.doc", "Abrir Documento")</f>
        <v>0</v>
      </c>
      <c r="D4382" t="s">
        <v>23500</v>
      </c>
      <c r="E4382" t="s">
        <v>27434</v>
      </c>
    </row>
    <row r="4383" spans="1:5">
      <c r="A4383" t="s">
        <v>6</v>
      </c>
      <c r="B4383" t="s">
        <v>4388</v>
      </c>
      <c r="C4383">
        <f>HYPERLINK("C:\Users\franc\OneDrive\Documentos\MALENTIN KARIME\PROTOCOLIZACION\2018\EDUARDO LOPEZ 1115.doc", "Abrir Documento")</f>
        <v>0</v>
      </c>
      <c r="D4383" t="s">
        <v>23500</v>
      </c>
      <c r="E4383" t="s">
        <v>27435</v>
      </c>
    </row>
    <row r="4384" spans="1:5">
      <c r="A4384" t="s">
        <v>6</v>
      </c>
      <c r="B4384" t="s">
        <v>4389</v>
      </c>
      <c r="C4384">
        <f>HYPERLINK("C:\Users\franc\OneDrive\Documentos\MALENTIN KARIME\PROTOCOLIZACION\2018\EDUARDO LOPEZ 1115 modif.doc", "Abrir Documento")</f>
        <v>0</v>
      </c>
      <c r="D4384" t="s">
        <v>23500</v>
      </c>
      <c r="E4384" t="s">
        <v>27436</v>
      </c>
    </row>
    <row r="4385" spans="1:5">
      <c r="A4385" t="s">
        <v>6</v>
      </c>
      <c r="B4385" t="s">
        <v>4390</v>
      </c>
      <c r="C4385">
        <f>HYPERLINK("C:\Users\franc\OneDrive\Documentos\MALENTIN KARIME\PROTOCOLIZACION\2018\EDUARDO LOPEZ 1115 modif 2.doc", "Abrir Documento")</f>
        <v>0</v>
      </c>
      <c r="D4385" t="s">
        <v>23500</v>
      </c>
      <c r="E4385" t="s">
        <v>27437</v>
      </c>
    </row>
    <row r="4386" spans="1:5">
      <c r="A4386" t="s">
        <v>6</v>
      </c>
      <c r="B4386" t="s">
        <v>4391</v>
      </c>
      <c r="C4386">
        <f>HYPERLINK("C:\Users\franc\OneDrive\Documentos\MALENTIN KARIME\PROTOCOLIZACION\2018\EDUARDO LOPEZ  63 modif.doc", "Abrir Documento")</f>
        <v>0</v>
      </c>
      <c r="D4386" t="s">
        <v>23500</v>
      </c>
      <c r="E4386" t="s">
        <v>27438</v>
      </c>
    </row>
    <row r="4387" spans="1:5">
      <c r="A4387" t="s">
        <v>6</v>
      </c>
      <c r="B4387" t="s">
        <v>4392</v>
      </c>
      <c r="C4387">
        <f>HYPERLINK("C:\Users\franc\OneDrive\Documentos\MALENTIN KARIME\PROTOCOLIZACION\2018\EDMUNDO LEMUS MICHEA concesion.doc", "Abrir Documento")</f>
        <v>0</v>
      </c>
      <c r="D4387" t="s">
        <v>23500</v>
      </c>
      <c r="E4387" t="s">
        <v>27439</v>
      </c>
    </row>
    <row r="4388" spans="1:5">
      <c r="A4388" t="s">
        <v>6</v>
      </c>
      <c r="B4388" t="s">
        <v>4393</v>
      </c>
      <c r="C4388">
        <f>HYPERLINK("C:\Users\franc\OneDrive\Documentos\MALENTIN KARIME\PROTOCOLIZACION\2018\DANIELA OCAYO OCAYO.doc", "Abrir Documento")</f>
        <v>0</v>
      </c>
      <c r="D4388" t="s">
        <v>23500</v>
      </c>
      <c r="E4388" t="s">
        <v>27440</v>
      </c>
    </row>
    <row r="4389" spans="1:5">
      <c r="A4389" t="s">
        <v>6</v>
      </c>
      <c r="B4389" t="s">
        <v>4394</v>
      </c>
      <c r="C4389">
        <f>HYPERLINK("C:\Users\franc\OneDrive\Documentos\MALENTIN KARIME\PROTOCOLIZACION\2018\CUERPO DE BOMBEROS 1 CIA.doc", "Abrir Documento")</f>
        <v>0</v>
      </c>
      <c r="D4389" t="s">
        <v>23500</v>
      </c>
      <c r="E4389" t="s">
        <v>27441</v>
      </c>
    </row>
    <row r="4390" spans="1:5">
      <c r="A4390" t="s">
        <v>6</v>
      </c>
      <c r="B4390" t="s">
        <v>4395</v>
      </c>
      <c r="C4390">
        <f>HYPERLINK("C:\Users\franc\OneDrive\Documentos\MALENTIN KARIME\PROTOCOLIZACION\2018\CUERPO DE BOMBEROS 5 CIA.doc", "Abrir Documento")</f>
        <v>0</v>
      </c>
      <c r="D4390" t="s">
        <v>23500</v>
      </c>
      <c r="E4390" t="s">
        <v>27441</v>
      </c>
    </row>
    <row r="4391" spans="1:5">
      <c r="A4391" t="s">
        <v>6</v>
      </c>
      <c r="B4391" t="s">
        <v>4396</v>
      </c>
      <c r="C4391">
        <f>HYPERLINK("C:\Users\franc\OneDrive\Documentos\MALENTIN KARIME\PROTOCOLIZACION\2018\CORPORACION EDUACIONAL R &amp; R 12.doc", "Abrir Documento")</f>
        <v>0</v>
      </c>
      <c r="D4391" t="s">
        <v>23500</v>
      </c>
      <c r="E4391" t="s">
        <v>27442</v>
      </c>
    </row>
    <row r="4392" spans="1:5">
      <c r="A4392" t="s">
        <v>6</v>
      </c>
      <c r="B4392" t="s">
        <v>4397</v>
      </c>
      <c r="C4392">
        <f>HYPERLINK("C:\Users\franc\OneDrive\Documentos\MALENTIN KARIME\PROTOCOLIZACION\2018\CORPORACION EDUACIONAL R &amp; R.doc", "Abrir Documento")</f>
        <v>0</v>
      </c>
      <c r="D4392" t="s">
        <v>23500</v>
      </c>
      <c r="E4392" t="s">
        <v>27442</v>
      </c>
    </row>
    <row r="4393" spans="1:5">
      <c r="A4393" t="s">
        <v>6</v>
      </c>
      <c r="B4393" t="s">
        <v>4398</v>
      </c>
      <c r="C4393">
        <f>HYPERLINK("C:\Users\franc\OneDrive\Documentos\MALENTIN KARIME\PROTOCOLIZACION\2018\CONSTRUCTORA FMV.doc", "Abrir Documento")</f>
        <v>0</v>
      </c>
      <c r="D4393" t="s">
        <v>23500</v>
      </c>
      <c r="E4393" t="s">
        <v>27443</v>
      </c>
    </row>
    <row r="4394" spans="1:5">
      <c r="A4394" t="s">
        <v>6</v>
      </c>
      <c r="B4394" t="s">
        <v>4399</v>
      </c>
      <c r="C4394">
        <f>HYPERLINK("C:\Users\franc\OneDrive\Documentos\MALENTIN KARIME\PROTOCOLIZACION\2018\CONSTRUCTORA FMV anexos.doc", "Abrir Documento")</f>
        <v>0</v>
      </c>
      <c r="D4394" t="s">
        <v>23500</v>
      </c>
      <c r="E4394" t="s">
        <v>27444</v>
      </c>
    </row>
    <row r="4395" spans="1:5">
      <c r="A4395" t="s">
        <v>6</v>
      </c>
      <c r="B4395" t="s">
        <v>4400</v>
      </c>
      <c r="C4395">
        <f>HYPERLINK("C:\Users\franc\OneDrive\Documentos\MALENTIN KARIME\PROTOCOLIZACION\2018\CONSTRUCTORA E INMOBILIARIA Don Alonso.doc", "Abrir Documento")</f>
        <v>0</v>
      </c>
      <c r="D4395" t="s">
        <v>23500</v>
      </c>
      <c r="E4395" t="s">
        <v>27445</v>
      </c>
    </row>
    <row r="4396" spans="1:5">
      <c r="A4396" t="s">
        <v>6</v>
      </c>
      <c r="B4396" t="s">
        <v>4401</v>
      </c>
      <c r="C4396">
        <f>HYPERLINK("C:\Users\franc\OneDrive\Documentos\MALENTIN KARIME\PROTOCOLIZACION\2018\CONDOMINIO LOTE ALTOS DE TUQUI.doc", "Abrir Documento")</f>
        <v>0</v>
      </c>
      <c r="D4396" t="s">
        <v>23500</v>
      </c>
      <c r="E4396" t="s">
        <v>27446</v>
      </c>
    </row>
    <row r="4397" spans="1:5">
      <c r="A4397" t="s">
        <v>6</v>
      </c>
      <c r="B4397" t="s">
        <v>4402</v>
      </c>
      <c r="C4397">
        <f>HYPERLINK("C:\Users\franc\OneDrive\Documentos\MALENTIN KARIME\PROTOCOLIZACION\2018\COMUNIDAD QUEBRADA DE COLLIGUAYCITO.doc", "Abrir Documento")</f>
        <v>0</v>
      </c>
      <c r="D4397" t="s">
        <v>23500</v>
      </c>
      <c r="E4397" t="s">
        <v>27447</v>
      </c>
    </row>
    <row r="4398" spans="1:5">
      <c r="A4398" t="s">
        <v>6</v>
      </c>
      <c r="B4398" t="s">
        <v>4403</v>
      </c>
      <c r="C4398">
        <f>HYPERLINK("C:\Users\franc\OneDrive\Documentos\MALENTIN KARIME\PROTOCOLIZACION\2018\CONDOMINIO HACIENDA ALTO LA CHIMBA.doc", "Abrir Documento")</f>
        <v>0</v>
      </c>
      <c r="D4398" t="s">
        <v>23500</v>
      </c>
      <c r="E4398" t="s">
        <v>27447</v>
      </c>
    </row>
    <row r="4399" spans="1:5">
      <c r="A4399" t="s">
        <v>6</v>
      </c>
      <c r="B4399" t="s">
        <v>4404</v>
      </c>
      <c r="C4399">
        <f>HYPERLINK("C:\Users\franc\OneDrive\Documentos\MALENTIN KARIME\PROTOCOLIZACION\2018\COMUNIDAD MAQUI-LOS PALQUI.doc", "Abrir Documento")</f>
        <v>0</v>
      </c>
      <c r="D4399" t="s">
        <v>23500</v>
      </c>
      <c r="E4399" t="s">
        <v>27448</v>
      </c>
    </row>
    <row r="4400" spans="1:5">
      <c r="A4400" t="s">
        <v>6</v>
      </c>
      <c r="B4400" t="s">
        <v>4405</v>
      </c>
      <c r="C4400">
        <f>HYPERLINK("C:\Users\franc\OneDrive\Documentos\MALENTIN KARIME\PROTOCOLIZACION\2018\COMUNIDAD LOS ANGELES DE RAPEL.doc", "Abrir Documento")</f>
        <v>0</v>
      </c>
      <c r="D4400" t="s">
        <v>23500</v>
      </c>
      <c r="E4400" t="s">
        <v>27449</v>
      </c>
    </row>
    <row r="4401" spans="1:5">
      <c r="A4401" t="s">
        <v>6</v>
      </c>
      <c r="B4401" t="s">
        <v>4406</v>
      </c>
      <c r="C4401">
        <f>HYPERLINK("C:\Users\franc\OneDrive\Documentos\MALENTIN KARIME\PROTOCOLIZACION\2018\COMUNIDAD LA ORTIGA.doc", "Abrir Documento")</f>
        <v>0</v>
      </c>
      <c r="D4401" t="s">
        <v>23500</v>
      </c>
      <c r="E4401" t="s">
        <v>27450</v>
      </c>
    </row>
    <row r="4402" spans="1:5">
      <c r="A4402" t="s">
        <v>6</v>
      </c>
      <c r="B4402" t="s">
        <v>4407</v>
      </c>
      <c r="C4402">
        <f>HYPERLINK("C:\Users\franc\OneDrive\Documentos\MALENTIN KARIME\PROTOCOLIZACION\2018\COMUNIDAD LA CEBADA.doc", "Abrir Documento")</f>
        <v>0</v>
      </c>
      <c r="D4402" t="s">
        <v>23500</v>
      </c>
      <c r="E4402" t="s">
        <v>27451</v>
      </c>
    </row>
    <row r="4403" spans="1:5">
      <c r="A4403" t="s">
        <v>6</v>
      </c>
      <c r="B4403" t="s">
        <v>4408</v>
      </c>
      <c r="C4403">
        <f>HYPERLINK("C:\Users\franc\OneDrive\Documentos\MALENTIN KARIME\PROTOCOLIZACION\2018\COMUNIDAD LA CEBADA asistencia.doc", "Abrir Documento")</f>
        <v>0</v>
      </c>
      <c r="D4403" t="s">
        <v>23500</v>
      </c>
      <c r="E4403" t="s">
        <v>27452</v>
      </c>
    </row>
    <row r="4404" spans="1:5">
      <c r="A4404" t="s">
        <v>6</v>
      </c>
      <c r="B4404" t="s">
        <v>4409</v>
      </c>
      <c r="C4404">
        <f>HYPERLINK("C:\Users\franc\OneDrive\Documentos\MALENTIN KARIME\PROTOCOLIZACION\2018\COMUNIDAD FERNANDO ALVAREZ Fs. 12 v.doc", "Abrir Documento")</f>
        <v>0</v>
      </c>
      <c r="D4404" t="s">
        <v>23500</v>
      </c>
      <c r="E4404" t="s">
        <v>27453</v>
      </c>
    </row>
    <row r="4405" spans="1:5">
      <c r="A4405" t="s">
        <v>6</v>
      </c>
      <c r="B4405" t="s">
        <v>4410</v>
      </c>
      <c r="C4405">
        <f>HYPERLINK("C:\Users\franc\OneDrive\Documentos\MALENTIN KARIME\PROTOCOLIZACION\2018\COMUNIDAD FERNANDEZ ALVAREZ.doc", "Abrir Documento")</f>
        <v>0</v>
      </c>
      <c r="D4405" t="s">
        <v>23500</v>
      </c>
      <c r="E4405" t="s">
        <v>27454</v>
      </c>
    </row>
    <row r="4406" spans="1:5">
      <c r="A4406" t="s">
        <v>6</v>
      </c>
      <c r="B4406" t="s">
        <v>4411</v>
      </c>
      <c r="C4406">
        <f>HYPERLINK("C:\Users\franc\OneDrive\Documentos\MALENTIN KARIME\PROTOCOLIZACION\2018\COMUNIDAD EL ESPINAL.doc", "Abrir Documento")</f>
        <v>0</v>
      </c>
      <c r="D4406" t="s">
        <v>23500</v>
      </c>
      <c r="E4406" t="s">
        <v>27455</v>
      </c>
    </row>
    <row r="4407" spans="1:5">
      <c r="A4407" t="s">
        <v>6</v>
      </c>
      <c r="B4407" t="s">
        <v>4412</v>
      </c>
      <c r="C4407">
        <f>HYPERLINK("C:\Users\franc\OneDrive\Documentos\MALENTIN KARIME\PROTOCOLIZACION\2018\COMUNIDAD EL COIPO O COYUNCAVI.doc", "Abrir Documento")</f>
        <v>0</v>
      </c>
      <c r="D4407" t="s">
        <v>23500</v>
      </c>
      <c r="E4407" t="s">
        <v>27456</v>
      </c>
    </row>
    <row r="4408" spans="1:5">
      <c r="A4408" t="s">
        <v>6</v>
      </c>
      <c r="B4408" t="s">
        <v>4413</v>
      </c>
      <c r="C4408">
        <f>HYPERLINK("C:\Users\franc\OneDrive\Documentos\MALENTIN KARIME\PROTOCOLIZACION\2018\COMUNIDAD EL DIVISADERO.doc", "Abrir Documento")</f>
        <v>0</v>
      </c>
      <c r="D4408" t="s">
        <v>23500</v>
      </c>
      <c r="E4408" t="s">
        <v>27456</v>
      </c>
    </row>
    <row r="4409" spans="1:5">
      <c r="A4409" t="s">
        <v>6</v>
      </c>
      <c r="B4409" t="s">
        <v>4414</v>
      </c>
      <c r="C4409">
        <f>HYPERLINK("C:\Users\franc\OneDrive\Documentos\MALENTIN KARIME\PROTOCOLIZACION\2018\COMUNIDAD DE AGUAS CHAÑARAL DE CAREN 2.doc", "Abrir Documento")</f>
        <v>0</v>
      </c>
      <c r="D4409" t="s">
        <v>23500</v>
      </c>
      <c r="E4409" t="s">
        <v>27457</v>
      </c>
    </row>
    <row r="4410" spans="1:5">
      <c r="A4410" t="s">
        <v>6</v>
      </c>
      <c r="B4410" t="s">
        <v>4415</v>
      </c>
      <c r="C4410">
        <f>HYPERLINK("C:\Users\franc\OneDrive\Documentos\MALENTIN KARIME\PROTOCOLIZACION\2018\COMUNIDAD DE AGUAS CHAÑARAL DE CAREN.doc", "Abrir Documento")</f>
        <v>0</v>
      </c>
      <c r="D4410" t="s">
        <v>23500</v>
      </c>
      <c r="E4410" t="s">
        <v>27457</v>
      </c>
    </row>
    <row r="4411" spans="1:5">
      <c r="A4411" t="s">
        <v>6</v>
      </c>
      <c r="B4411" t="s">
        <v>4416</v>
      </c>
      <c r="C4411">
        <f>HYPERLINK("C:\Users\franc\OneDrive\Documentos\MALENTIN KARIME\PROTOCOLIZACION\2018\COMUNIDAD DAIN Y CORTADERILLA.doc", "Abrir Documento")</f>
        <v>0</v>
      </c>
      <c r="D4411" t="s">
        <v>23500</v>
      </c>
      <c r="E4411" t="s">
        <v>27458</v>
      </c>
    </row>
    <row r="4412" spans="1:5">
      <c r="A4412" t="s">
        <v>6</v>
      </c>
      <c r="B4412" t="s">
        <v>4417</v>
      </c>
      <c r="C4412">
        <f>HYPERLINK("C:\Users\franc\OneDrive\Documentos\MALENTIN KARIME\PROTOCOLIZACION\2018\COMUNIDAD DE AGUAS CANAL BARRAZA BAJO.doc", "Abrir Documento")</f>
        <v>0</v>
      </c>
      <c r="D4412" t="s">
        <v>23500</v>
      </c>
      <c r="E4412" t="s">
        <v>27458</v>
      </c>
    </row>
    <row r="4413" spans="1:5">
      <c r="A4413" t="s">
        <v>6</v>
      </c>
      <c r="B4413" t="s">
        <v>4418</v>
      </c>
      <c r="C4413">
        <f>HYPERLINK("C:\Users\franc\OneDrive\Documentos\MALENTIN KARIME\PROTOCOLIZACION\2018\COMUNIADAD LA CISTERNA 58 vta.doc", "Abrir Documento")</f>
        <v>0</v>
      </c>
      <c r="D4413" t="s">
        <v>23500</v>
      </c>
      <c r="E4413" t="s">
        <v>27459</v>
      </c>
    </row>
    <row r="4414" spans="1:5">
      <c r="A4414" t="s">
        <v>6</v>
      </c>
      <c r="B4414" t="s">
        <v>4419</v>
      </c>
      <c r="C4414">
        <f>HYPERLINK("C:\Users\franc\OneDrive\Documentos\MALENTIN KARIME\PROTOCOLIZACION\2018\COMUNIADAD LA CISTERNA 58.doc", "Abrir Documento")</f>
        <v>0</v>
      </c>
      <c r="D4414" t="s">
        <v>23500</v>
      </c>
      <c r="E4414" t="s">
        <v>27459</v>
      </c>
    </row>
    <row r="4415" spans="1:5">
      <c r="A4415" t="s">
        <v>6</v>
      </c>
      <c r="B4415" t="s">
        <v>4420</v>
      </c>
      <c r="C4415">
        <f>HYPERLINK("C:\Users\franc\OneDrive\Documentos\MALENTIN KARIME\PROTOCOLIZACION\2018\COMUNIADAD AGRICOLA LOS ANGELES. SR. MANUEL RAMOS.doc", "Abrir Documento")</f>
        <v>0</v>
      </c>
      <c r="D4415" t="s">
        <v>23500</v>
      </c>
      <c r="E4415" t="s">
        <v>27460</v>
      </c>
    </row>
    <row r="4416" spans="1:5">
      <c r="A4416" t="s">
        <v>6</v>
      </c>
      <c r="B4416" t="s">
        <v>4421</v>
      </c>
      <c r="C4416">
        <f>HYPERLINK("C:\Users\franc\OneDrive\Documentos\MALENTIN KARIME\PROTOCOLIZACION\2018\COMITE PRO CASA LUCERITO DE LA ESPERANZA.doc", "Abrir Documento")</f>
        <v>0</v>
      </c>
      <c r="D4416" t="s">
        <v>23500</v>
      </c>
      <c r="E4416" t="s">
        <v>27461</v>
      </c>
    </row>
    <row r="4417" spans="1:5">
      <c r="A4417" t="s">
        <v>6</v>
      </c>
      <c r="B4417" t="s">
        <v>4422</v>
      </c>
      <c r="C4417">
        <f>HYPERLINK("C:\Users\franc\OneDrive\Documentos\MALENTIN KARIME\PROTOCOLIZACION\2018\CLUB DEPORTIVO Arco Iris.doc", "Abrir Documento")</f>
        <v>0</v>
      </c>
      <c r="D4417" t="s">
        <v>23500</v>
      </c>
      <c r="E4417" t="s">
        <v>27462</v>
      </c>
    </row>
    <row r="4418" spans="1:5">
      <c r="A4418" t="s">
        <v>6</v>
      </c>
      <c r="B4418" t="s">
        <v>4423</v>
      </c>
      <c r="C4418">
        <f>HYPERLINK("C:\Users\franc\OneDrive\Documentos\MALENTIN KARIME\PROTOCOLIZACION\2018\COMITE PRO CASA JUAN PABLO II.doc", "Abrir Documento")</f>
        <v>0</v>
      </c>
      <c r="D4418" t="s">
        <v>23500</v>
      </c>
      <c r="E4418" t="s">
        <v>27462</v>
      </c>
    </row>
    <row r="4419" spans="1:5">
      <c r="A4419" t="s">
        <v>6</v>
      </c>
      <c r="B4419" t="s">
        <v>4424</v>
      </c>
      <c r="C4419">
        <f>HYPERLINK("C:\Users\franc\OneDrive\Documentos\MALENTIN KARIME\PROTOCOLIZACION\2018\CHIRINO SANTA MARIA ROJAS 74.doc", "Abrir Documento")</f>
        <v>0</v>
      </c>
      <c r="D4419" t="s">
        <v>23500</v>
      </c>
      <c r="E4419" t="s">
        <v>27463</v>
      </c>
    </row>
    <row r="4420" spans="1:5">
      <c r="A4420" t="s">
        <v>6</v>
      </c>
      <c r="B4420" t="s">
        <v>4425</v>
      </c>
      <c r="C4420">
        <f>HYPERLINK("C:\Users\franc\OneDrive\Documentos\MALENTIN KARIME\PROTOCOLIZACION\2018\CLAUDIO DELGADO.doc", "Abrir Documento")</f>
        <v>0</v>
      </c>
      <c r="D4420" t="s">
        <v>23500</v>
      </c>
      <c r="E4420" t="s">
        <v>27463</v>
      </c>
    </row>
    <row r="4421" spans="1:5">
      <c r="A4421" t="s">
        <v>6</v>
      </c>
      <c r="B4421" t="s">
        <v>4426</v>
      </c>
      <c r="C4421">
        <f>HYPERLINK("C:\Users\franc\OneDrive\Documentos\MALENTIN KARIME\PROTOCOLIZACION\2018\CLUB DE LEONES DE OVALLE Directiva.doc", "Abrir Documento")</f>
        <v>0</v>
      </c>
      <c r="D4421" t="s">
        <v>23500</v>
      </c>
      <c r="E4421" t="s">
        <v>27463</v>
      </c>
    </row>
    <row r="4422" spans="1:5">
      <c r="A4422" t="s">
        <v>6</v>
      </c>
      <c r="B4422" t="s">
        <v>4427</v>
      </c>
      <c r="C4422">
        <f>HYPERLINK("C:\Users\franc\OneDrive\Documentos\MALENTIN KARIME\PROTOCOLIZACION\2018\CHIRINO SANTA MARIA ROJAS 74 MOD Sep.doc", "Abrir Documento")</f>
        <v>0</v>
      </c>
      <c r="D4422" t="s">
        <v>23500</v>
      </c>
      <c r="E4422" t="s">
        <v>27464</v>
      </c>
    </row>
    <row r="4423" spans="1:5">
      <c r="A4423" t="s">
        <v>6</v>
      </c>
      <c r="B4423" t="s">
        <v>4428</v>
      </c>
      <c r="C4423">
        <f>HYPERLINK("C:\Users\franc\OneDrive\Documentos\MALENTIN KARIME\PROTOCOLIZACION\2018\CHIRINO SANTA MARIA ROJAS 74 MODIF.doc", "Abrir Documento")</f>
        <v>0</v>
      </c>
      <c r="D4423" t="s">
        <v>23500</v>
      </c>
      <c r="E4423" t="s">
        <v>27464</v>
      </c>
    </row>
    <row r="4424" spans="1:5">
      <c r="A4424" t="s">
        <v>6</v>
      </c>
      <c r="B4424" t="s">
        <v>4429</v>
      </c>
      <c r="C4424">
        <f>HYPERLINK("C:\Users\franc\OneDrive\Documentos\MALENTIN KARIME\PROTOCOLIZACION\2018\CHIRINO SANTA MARIA ROJAS 59 MODIF.doc", "Abrir Documento")</f>
        <v>0</v>
      </c>
      <c r="D4424" t="s">
        <v>23500</v>
      </c>
      <c r="E4424" t="s">
        <v>27465</v>
      </c>
    </row>
    <row r="4425" spans="1:5">
      <c r="A4425" t="s">
        <v>6</v>
      </c>
      <c r="B4425" t="s">
        <v>4430</v>
      </c>
      <c r="C4425">
        <f>HYPERLINK("C:\Users\franc\OneDrive\Documentos\MALENTIN KARIME\PROTOCOLIZACION\2018\CHIRINO SANTA MARIA ROJAS 69 MODIF.doc", "Abrir Documento")</f>
        <v>0</v>
      </c>
      <c r="D4425" t="s">
        <v>23500</v>
      </c>
      <c r="E4425" t="s">
        <v>27465</v>
      </c>
    </row>
    <row r="4426" spans="1:5">
      <c r="A4426" t="s">
        <v>6</v>
      </c>
      <c r="B4426" t="s">
        <v>4431</v>
      </c>
      <c r="C4426">
        <f>HYPERLINK("C:\Users\franc\OneDrive\Documentos\MALENTIN KARIME\PROTOCOLIZACION\2018\CERRO BLANCO.doc", "Abrir Documento")</f>
        <v>0</v>
      </c>
      <c r="D4426" t="s">
        <v>23500</v>
      </c>
      <c r="E4426" t="s">
        <v>27466</v>
      </c>
    </row>
    <row r="4427" spans="1:5">
      <c r="A4427" t="s">
        <v>6</v>
      </c>
      <c r="B4427" t="s">
        <v>4432</v>
      </c>
      <c r="C4427">
        <f>HYPERLINK("C:\Users\franc\OneDrive\Documentos\MALENTIN KARIME\PROTOCOLIZACION\2018\CERRO BLANCO fs 33.doc", "Abrir Documento")</f>
        <v>0</v>
      </c>
      <c r="D4427" t="s">
        <v>23500</v>
      </c>
      <c r="E4427" t="s">
        <v>27467</v>
      </c>
    </row>
    <row r="4428" spans="1:5">
      <c r="A4428" t="s">
        <v>6</v>
      </c>
      <c r="B4428" t="s">
        <v>4433</v>
      </c>
      <c r="C4428">
        <f>HYPERLINK("C:\Users\franc\OneDrive\Documentos\MALENTIN KARIME\PROTOCOLIZACION\2018\CANAL SASSO BAJO.doc", "Abrir Documento")</f>
        <v>0</v>
      </c>
      <c r="D4428" t="s">
        <v>23500</v>
      </c>
      <c r="E4428" t="s">
        <v>27468</v>
      </c>
    </row>
    <row r="4429" spans="1:5">
      <c r="A4429" t="s">
        <v>6</v>
      </c>
      <c r="B4429" t="s">
        <v>4434</v>
      </c>
      <c r="C4429">
        <f>HYPERLINK("C:\Users\franc\OneDrive\Documentos\MALENTIN KARIME\PROTOCOLIZACION\2018\CAROLINA BOU PAEZ Mandato extr.doc", "Abrir Documento")</f>
        <v>0</v>
      </c>
      <c r="D4429" t="s">
        <v>23500</v>
      </c>
      <c r="E4429" t="s">
        <v>27468</v>
      </c>
    </row>
    <row r="4430" spans="1:5">
      <c r="A4430" t="s">
        <v>6</v>
      </c>
      <c r="B4430" t="s">
        <v>4435</v>
      </c>
      <c r="C4430">
        <f>HYPERLINK("C:\Users\franc\OneDrive\Documentos\MALENTIN KARIME\PROTOCOLIZACION\2018\BOMBEROS 2 CIA..doc", "Abrir Documento")</f>
        <v>0</v>
      </c>
      <c r="D4430" t="s">
        <v>23500</v>
      </c>
      <c r="E4430" t="s">
        <v>27469</v>
      </c>
    </row>
    <row r="4431" spans="1:5">
      <c r="A4431" t="s">
        <v>6</v>
      </c>
      <c r="B4431" t="s">
        <v>4436</v>
      </c>
      <c r="C4431">
        <f>HYPERLINK("C:\Users\franc\OneDrive\Documentos\MALENTIN KARIME\PROTOCOLIZACION\2018\ASOCIACION DE PEQUEÑOS MINEROS.doc", "Abrir Documento")</f>
        <v>0</v>
      </c>
      <c r="D4431" t="s">
        <v>23500</v>
      </c>
      <c r="E4431" t="s">
        <v>27470</v>
      </c>
    </row>
    <row r="4432" spans="1:5">
      <c r="A4432" t="s">
        <v>6</v>
      </c>
      <c r="B4432" t="s">
        <v>4437</v>
      </c>
      <c r="C4432">
        <f>HYPERLINK("C:\Users\franc\OneDrive\Documentos\MALENTIN KARIME\PROTOCOLIZACION\2018\ASOCIACION MICROBUSES RURALES.doc", "Abrir Documento")</f>
        <v>0</v>
      </c>
      <c r="D4432" t="s">
        <v>23500</v>
      </c>
      <c r="E4432" t="s">
        <v>27470</v>
      </c>
    </row>
    <row r="4433" spans="1:5">
      <c r="A4433" t="s">
        <v>6</v>
      </c>
      <c r="B4433" t="s">
        <v>4438</v>
      </c>
      <c r="C4433">
        <f>HYPERLINK("C:\Users\franc\OneDrive\Documentos\MALENTIN KARIME\PROTOCOLIZACION\2018\ASOCIACION ATCO.doc", "Abrir Documento")</f>
        <v>0</v>
      </c>
      <c r="D4433" t="s">
        <v>23500</v>
      </c>
      <c r="E4433" t="s">
        <v>27471</v>
      </c>
    </row>
    <row r="4434" spans="1:5">
      <c r="A4434" t="s">
        <v>6</v>
      </c>
      <c r="B4434" t="s">
        <v>4439</v>
      </c>
      <c r="C4434">
        <f>HYPERLINK("C:\Users\franc\OneDrive\Documentos\MALENTIN KARIME\PROTOCOLIZACION\2018\ADOLFO LAY inventario.doc", "Abrir Documento")</f>
        <v>0</v>
      </c>
      <c r="D4434" t="s">
        <v>23500</v>
      </c>
      <c r="E4434" t="s">
        <v>27472</v>
      </c>
    </row>
    <row r="4435" spans="1:5">
      <c r="A4435" t="s">
        <v>6</v>
      </c>
      <c r="B4435" t="s">
        <v>4440</v>
      </c>
      <c r="C4435">
        <f>HYPERLINK("C:\Users\franc\OneDrive\Documentos\MALENTIN KARIME\PROTOCOLIZACION\2018\AGENCIA EN CHILE.doc", "Abrir Documento")</f>
        <v>0</v>
      </c>
      <c r="D4435" t="s">
        <v>23500</v>
      </c>
      <c r="E4435" t="s">
        <v>27472</v>
      </c>
    </row>
    <row r="4436" spans="1:5">
      <c r="A4436" t="s">
        <v>6</v>
      </c>
      <c r="B4436" t="s">
        <v>4441</v>
      </c>
      <c r="C4436">
        <f>HYPERLINK("C:\Users\franc\OneDrive\Documentos\MALENTIN KARIME\PROTOCOLIZACION\2018\ADELAIDA BARRAZA CARVAJAL 2 Indap.doc", "Abrir Documento")</f>
        <v>0</v>
      </c>
      <c r="D4436" t="s">
        <v>23500</v>
      </c>
      <c r="E4436" t="s">
        <v>27473</v>
      </c>
    </row>
    <row r="4437" spans="1:5">
      <c r="A4437" t="s">
        <v>6</v>
      </c>
      <c r="B4437" t="s">
        <v>4442</v>
      </c>
      <c r="C4437">
        <f>HYPERLINK("C:\Users\franc\OneDrive\Documentos\MALENTIN KARIME\PROTOCOLIZACION\2018\ADELAIDA BARRAZA CARVAJAL Indap.doc", "Abrir Documento")</f>
        <v>0</v>
      </c>
      <c r="D4437" t="s">
        <v>23500</v>
      </c>
      <c r="E4437" t="s">
        <v>27473</v>
      </c>
    </row>
    <row r="4438" spans="1:5">
      <c r="A4438" t="s">
        <v>6</v>
      </c>
      <c r="B4438" t="s">
        <v>4443</v>
      </c>
      <c r="C4438">
        <f>HYPERLINK("C:\Users\franc\OneDrive\Documentos\MALENTIN KARIME\PROTOCOLIZACION\2017\VIVIANA CANIBILO ARAYA.doc", "Abrir Documento")</f>
        <v>0</v>
      </c>
      <c r="D4438" t="s">
        <v>23500</v>
      </c>
      <c r="E4438" t="s">
        <v>27474</v>
      </c>
    </row>
    <row r="4439" spans="1:5">
      <c r="A4439" t="s">
        <v>6</v>
      </c>
      <c r="B4439" t="s">
        <v>4444</v>
      </c>
      <c r="C4439">
        <f>HYPERLINK("C:\Users\franc\OneDrive\Documentos\MALENTIN KARIME\PROTOCOLIZACION\2017\ZOILA CAIMANQUE MARAMBIO Plano.doc", "Abrir Documento")</f>
        <v>0</v>
      </c>
      <c r="D4439" t="s">
        <v>23500</v>
      </c>
      <c r="E4439" t="s">
        <v>27474</v>
      </c>
    </row>
    <row r="4440" spans="1:5">
      <c r="A4440" t="s">
        <v>6</v>
      </c>
      <c r="B4440" t="s">
        <v>4445</v>
      </c>
      <c r="C4440">
        <f>HYPERLINK("C:\Users\franc\OneDrive\Documentos\MALENTIN KARIME\PROTOCOLIZACION\2017\VICTOR BARRIOS AROS drogas 2017.doc", "Abrir Documento")</f>
        <v>0</v>
      </c>
      <c r="D4440" t="s">
        <v>23500</v>
      </c>
      <c r="E4440" t="s">
        <v>27475</v>
      </c>
    </row>
    <row r="4441" spans="1:5">
      <c r="A4441" t="s">
        <v>6</v>
      </c>
      <c r="B4441" t="s">
        <v>4446</v>
      </c>
      <c r="C4441">
        <f>HYPERLINK("C:\Users\franc\OneDrive\Documentos\MALENTIN KARIME\PROTOCOLIZACION\2017\UNION COMUNAL ADULTOS.doc", "Abrir Documento")</f>
        <v>0</v>
      </c>
      <c r="D4441" t="s">
        <v>23500</v>
      </c>
      <c r="E4441" t="s">
        <v>27476</v>
      </c>
    </row>
    <row r="4442" spans="1:5">
      <c r="A4442" t="s">
        <v>6</v>
      </c>
      <c r="B4442" t="s">
        <v>4447</v>
      </c>
      <c r="C4442">
        <f>HYPERLINK("C:\Users\franc\OneDrive\Documentos\MALENTIN KARIME\PROTOCOLIZACION\2017\SOC. MUTUALISTA FERMIN VIVACETA.doc", "Abrir Documento")</f>
        <v>0</v>
      </c>
      <c r="D4442" t="s">
        <v>23500</v>
      </c>
      <c r="E4442" t="s">
        <v>27477</v>
      </c>
    </row>
    <row r="4443" spans="1:5">
      <c r="A4443" t="s">
        <v>6</v>
      </c>
      <c r="B4443" t="s">
        <v>4448</v>
      </c>
      <c r="C4443">
        <f>HYPERLINK("C:\Users\franc\OneDrive\Documentos\MALENTIN KARIME\PROTOCOLIZACION\2017\SERVICIOS DE INGENIERIA  Propuesta  45.doc", "Abrir Documento")</f>
        <v>0</v>
      </c>
      <c r="D4443" t="s">
        <v>23500</v>
      </c>
      <c r="E4443" t="s">
        <v>27478</v>
      </c>
    </row>
    <row r="4444" spans="1:5">
      <c r="A4444" t="s">
        <v>6</v>
      </c>
      <c r="B4444" t="s">
        <v>4449</v>
      </c>
      <c r="C4444">
        <f>HYPERLINK("C:\Users\franc\OneDrive\Documentos\MALENTIN KARIME\PROTOCOLIZACION\2017\SERVICIOS DE INGENIERIA  Propuesta  14.doc", "Abrir Documento")</f>
        <v>0</v>
      </c>
      <c r="D4444" t="s">
        <v>23500</v>
      </c>
      <c r="E4444" t="s">
        <v>27479</v>
      </c>
    </row>
    <row r="4445" spans="1:5">
      <c r="A4445" t="s">
        <v>6</v>
      </c>
      <c r="B4445" t="s">
        <v>4450</v>
      </c>
      <c r="C4445">
        <f>HYPERLINK("C:\Users\franc\OneDrive\Documentos\MALENTIN KARIME\PROTOCOLIZACION\2017\SERVICIOS DE INGENIERIA  Propuesta  15.doc", "Abrir Documento")</f>
        <v>0</v>
      </c>
      <c r="D4445" t="s">
        <v>23500</v>
      </c>
      <c r="E4445" t="s">
        <v>27479</v>
      </c>
    </row>
    <row r="4446" spans="1:5">
      <c r="A4446" t="s">
        <v>6</v>
      </c>
      <c r="B4446" t="s">
        <v>4451</v>
      </c>
      <c r="C4446">
        <f>HYPERLINK("C:\Users\franc\OneDrive\Documentos\MALENTIN KARIME\PROTOCOLIZACION\2017\SERGIO AYCA VARGAS drogas 2017.doc", "Abrir Documento")</f>
        <v>0</v>
      </c>
      <c r="D4446" t="s">
        <v>23500</v>
      </c>
      <c r="E4446" t="s">
        <v>27480</v>
      </c>
    </row>
    <row r="4447" spans="1:5">
      <c r="A4447" t="s">
        <v>6</v>
      </c>
      <c r="B4447" t="s">
        <v>4452</v>
      </c>
      <c r="C4447">
        <f>HYPERLINK("C:\Users\franc\OneDrive\Documentos\MALENTIN KARIME\PROTOCOLIZACION\2017\RODRIGO VENEGAS ZAVALA MOD 2017.doc", "Abrir Documento")</f>
        <v>0</v>
      </c>
      <c r="D4447" t="s">
        <v>23500</v>
      </c>
      <c r="E4447" t="s">
        <v>27481</v>
      </c>
    </row>
    <row r="4448" spans="1:5">
      <c r="A4448" t="s">
        <v>6</v>
      </c>
      <c r="B4448" t="s">
        <v>4453</v>
      </c>
      <c r="C4448">
        <f>HYPERLINK("C:\Users\franc\OneDrive\Documentos\MALENTIN KARIME\PROTOCOLIZACION\2017\RODRIGO VENEGAS ZAVALA modif 29.doc", "Abrir Documento")</f>
        <v>0</v>
      </c>
      <c r="D4448" t="s">
        <v>23500</v>
      </c>
      <c r="E4448" t="s">
        <v>27481</v>
      </c>
    </row>
    <row r="4449" spans="1:5">
      <c r="A4449" t="s">
        <v>6</v>
      </c>
      <c r="B4449" t="s">
        <v>4454</v>
      </c>
      <c r="C4449">
        <f>HYPERLINK("C:\Users\franc\OneDrive\Documentos\MALENTIN KARIME\PROTOCOLIZACION\2017\RODRIGO VENEGAS ZAVALA 29.doc", "Abrir Documento")</f>
        <v>0</v>
      </c>
      <c r="D4449" t="s">
        <v>23500</v>
      </c>
      <c r="E4449" t="s">
        <v>27482</v>
      </c>
    </row>
    <row r="4450" spans="1:5">
      <c r="A4450" t="s">
        <v>6</v>
      </c>
      <c r="B4450" t="s">
        <v>4455</v>
      </c>
      <c r="C4450">
        <f>HYPERLINK("C:\Users\franc\OneDrive\Documentos\MALENTIN KARIME\PROTOCOLIZACION\2017\RODRIGO VENEGAS ZAVALA 2017.doc", "Abrir Documento")</f>
        <v>0</v>
      </c>
      <c r="D4450" t="s">
        <v>23500</v>
      </c>
      <c r="E4450" t="s">
        <v>27483</v>
      </c>
    </row>
    <row r="4451" spans="1:5">
      <c r="A4451" t="s">
        <v>6</v>
      </c>
      <c r="B4451" t="s">
        <v>4456</v>
      </c>
      <c r="C4451">
        <f>HYPERLINK("C:\Users\franc\OneDrive\Documentos\MALENTIN KARIME\PROTOCOLIZACION\2017\ROBERTO VEGA Plano.doc", "Abrir Documento")</f>
        <v>0</v>
      </c>
      <c r="D4451" t="s">
        <v>23500</v>
      </c>
      <c r="E4451" t="s">
        <v>27484</v>
      </c>
    </row>
    <row r="4452" spans="1:5">
      <c r="A4452" t="s">
        <v>6</v>
      </c>
      <c r="B4452" t="s">
        <v>4457</v>
      </c>
      <c r="C4452">
        <f>HYPERLINK("C:\Users\franc\OneDrive\Documentos\MALENTIN KARIME\PROTOCOLIZACION\2017\ROBERTO VEGA DOH RES 3627.doc", "Abrir Documento")</f>
        <v>0</v>
      </c>
      <c r="D4452" t="s">
        <v>23500</v>
      </c>
      <c r="E4452" t="s">
        <v>27485</v>
      </c>
    </row>
    <row r="4453" spans="1:5">
      <c r="A4453" t="s">
        <v>6</v>
      </c>
      <c r="B4453" t="s">
        <v>4458</v>
      </c>
      <c r="C4453">
        <f>HYPERLINK("C:\Users\franc\OneDrive\Documentos\MALENTIN KARIME\PROTOCOLIZACION\2017\ROBERTO VEGA DOH RES 937.doc", "Abrir Documento")</f>
        <v>0</v>
      </c>
      <c r="D4453" t="s">
        <v>23500</v>
      </c>
      <c r="E4453" t="s">
        <v>27485</v>
      </c>
    </row>
    <row r="4454" spans="1:5">
      <c r="A4454" t="s">
        <v>6</v>
      </c>
      <c r="B4454" t="s">
        <v>4459</v>
      </c>
      <c r="C4454">
        <f>HYPERLINK("C:\Users\franc\OneDrive\Documentos\MALENTIN KARIME\PROTOCOLIZACION\2017\ROBERTO VEGA DOH RES 3080 nueva.doc", "Abrir Documento")</f>
        <v>0</v>
      </c>
      <c r="D4454" t="s">
        <v>23500</v>
      </c>
      <c r="E4454" t="s">
        <v>27486</v>
      </c>
    </row>
    <row r="4455" spans="1:5">
      <c r="A4455" t="s">
        <v>6</v>
      </c>
      <c r="B4455" t="s">
        <v>4460</v>
      </c>
      <c r="C4455">
        <f>HYPERLINK("C:\Users\franc\OneDrive\Documentos\MALENTIN KARIME\PROTOCOLIZACION\2017\ROBERTO VEGA DOH RES 2940.doc", "Abrir Documento")</f>
        <v>0</v>
      </c>
      <c r="D4455" t="s">
        <v>23500</v>
      </c>
      <c r="E4455" t="s">
        <v>27487</v>
      </c>
    </row>
    <row r="4456" spans="1:5">
      <c r="A4456" t="s">
        <v>6</v>
      </c>
      <c r="B4456" t="s">
        <v>4461</v>
      </c>
      <c r="C4456">
        <f>HYPERLINK("C:\Users\franc\OneDrive\Documentos\MALENTIN KARIME\PROTOCOLIZACION\2017\ROBERTO VEGA DOH RES 2767.doc", "Abrir Documento")</f>
        <v>0</v>
      </c>
      <c r="D4456" t="s">
        <v>23500</v>
      </c>
      <c r="E4456" t="s">
        <v>27488</v>
      </c>
    </row>
    <row r="4457" spans="1:5">
      <c r="A4457" t="s">
        <v>6</v>
      </c>
      <c r="B4457" t="s">
        <v>4462</v>
      </c>
      <c r="C4457">
        <f>HYPERLINK("C:\Users\franc\OneDrive\Documentos\MALENTIN KARIME\PROTOCOLIZACION\2017\ROBERTO VEGA DOH RES 2655.doc", "Abrir Documento")</f>
        <v>0</v>
      </c>
      <c r="D4457" t="s">
        <v>23500</v>
      </c>
      <c r="E4457" t="s">
        <v>27489</v>
      </c>
    </row>
    <row r="4458" spans="1:5">
      <c r="A4458" t="s">
        <v>6</v>
      </c>
      <c r="B4458" t="s">
        <v>4463</v>
      </c>
      <c r="C4458">
        <f>HYPERLINK("C:\Users\franc\OneDrive\Documentos\MALENTIN KARIME\PROTOCOLIZACION\2017\ROBERTO VEGA DOH RES 26.doc", "Abrir Documento")</f>
        <v>0</v>
      </c>
      <c r="D4458" t="s">
        <v>23500</v>
      </c>
      <c r="E4458" t="s">
        <v>27490</v>
      </c>
    </row>
    <row r="4459" spans="1:5">
      <c r="A4459" t="s">
        <v>6</v>
      </c>
      <c r="B4459" t="s">
        <v>4464</v>
      </c>
      <c r="C4459">
        <f>HYPERLINK("C:\Users\franc\OneDrive\Documentos\MALENTIN KARIME\PROTOCOLIZACION\2017\ROBERTO VEGA DOH RES 26 nueva.doc", "Abrir Documento")</f>
        <v>0</v>
      </c>
      <c r="D4459" t="s">
        <v>23500</v>
      </c>
      <c r="E4459" t="s">
        <v>27491</v>
      </c>
    </row>
    <row r="4460" spans="1:5">
      <c r="A4460" t="s">
        <v>6</v>
      </c>
      <c r="B4460" t="s">
        <v>4465</v>
      </c>
      <c r="C4460">
        <f>HYPERLINK("C:\Users\franc\OneDrive\Documentos\MALENTIN KARIME\PROTOCOLIZACION\2017\ROBERTO VEGA DOH RES 1085.doc", "Abrir Documento")</f>
        <v>0</v>
      </c>
      <c r="D4460" t="s">
        <v>23500</v>
      </c>
      <c r="E4460" t="s">
        <v>27492</v>
      </c>
    </row>
    <row r="4461" spans="1:5">
      <c r="A4461" t="s">
        <v>6</v>
      </c>
      <c r="B4461" t="s">
        <v>4466</v>
      </c>
      <c r="C4461">
        <f>HYPERLINK("C:\Users\franc\OneDrive\Documentos\MALENTIN KARIME\PROTOCOLIZACION\2017\ROBERTO VEGA DOH RES 1166.doc", "Abrir Documento")</f>
        <v>0</v>
      </c>
      <c r="D4461" t="s">
        <v>23500</v>
      </c>
      <c r="E4461" t="s">
        <v>27492</v>
      </c>
    </row>
    <row r="4462" spans="1:5">
      <c r="A4462" t="s">
        <v>6</v>
      </c>
      <c r="B4462" t="s">
        <v>4467</v>
      </c>
      <c r="C4462">
        <f>HYPERLINK("C:\Users\franc\OneDrive\Documentos\MALENTIN KARIME\PROTOCOLIZACION\2017\ROBERTO VEGA DOH RES 1016.doc", "Abrir Documento")</f>
        <v>0</v>
      </c>
      <c r="D4462" t="s">
        <v>23500</v>
      </c>
      <c r="E4462" t="s">
        <v>27493</v>
      </c>
    </row>
    <row r="4463" spans="1:5">
      <c r="A4463" t="s">
        <v>6</v>
      </c>
      <c r="B4463" t="s">
        <v>4468</v>
      </c>
      <c r="C4463">
        <f>HYPERLINK("C:\Users\franc\OneDrive\Documentos\MALENTIN KARIME\PROTOCOLIZACION\2017\RIVERA Arrendamiento.doc", "Abrir Documento")</f>
        <v>0</v>
      </c>
      <c r="D4463" t="s">
        <v>23500</v>
      </c>
      <c r="E4463" t="s">
        <v>27494</v>
      </c>
    </row>
    <row r="4464" spans="1:5">
      <c r="A4464" t="s">
        <v>6</v>
      </c>
      <c r="B4464" t="s">
        <v>4469</v>
      </c>
      <c r="C4464">
        <f>HYPERLINK("C:\Users\franc\OneDrive\Documentos\MALENTIN KARIME\PROTOCOLIZACION\2017\PATRICIA LARA AVALOS contrato.doc", "Abrir Documento")</f>
        <v>0</v>
      </c>
      <c r="D4464" t="s">
        <v>23500</v>
      </c>
      <c r="E4464" t="s">
        <v>27495</v>
      </c>
    </row>
    <row r="4465" spans="1:5">
      <c r="A4465" t="s">
        <v>6</v>
      </c>
      <c r="B4465" t="s">
        <v>4470</v>
      </c>
      <c r="C4465">
        <f>HYPERLINK("C:\Users\franc\OneDrive\Documentos\MALENTIN KARIME\PROTOCOLIZACION\2017\PATRICIA ALFARO inventario.doc", "Abrir Documento")</f>
        <v>0</v>
      </c>
      <c r="D4465" t="s">
        <v>23500</v>
      </c>
      <c r="E4465" t="s">
        <v>27496</v>
      </c>
    </row>
    <row r="4466" spans="1:5">
      <c r="A4466" t="s">
        <v>6</v>
      </c>
      <c r="B4466" t="s">
        <v>4471</v>
      </c>
      <c r="C4466">
        <f>HYPERLINK("C:\Users\franc\OneDrive\Documentos\MALENTIN KARIME\PROTOCOLIZACION\2017\PATRICIA ALFARO  carlos navea inventario.doc", "Abrir Documento")</f>
        <v>0</v>
      </c>
      <c r="D4466" t="s">
        <v>23500</v>
      </c>
      <c r="E4466" t="s">
        <v>27497</v>
      </c>
    </row>
    <row r="4467" spans="1:5">
      <c r="A4467" t="s">
        <v>6</v>
      </c>
      <c r="B4467" t="s">
        <v>4472</v>
      </c>
      <c r="C4467">
        <f>HYPERLINK("C:\Users\franc\OneDrive\Documentos\MALENTIN KARIME\PROTOCOLIZACION\2017\PASCUAL MUÑOZ Plano.doc", "Abrir Documento")</f>
        <v>0</v>
      </c>
      <c r="D4467" t="s">
        <v>23500</v>
      </c>
      <c r="E4467" t="s">
        <v>27498</v>
      </c>
    </row>
    <row r="4468" spans="1:5">
      <c r="A4468" t="s">
        <v>6</v>
      </c>
      <c r="B4468" t="s">
        <v>4473</v>
      </c>
      <c r="C4468">
        <f>HYPERLINK("C:\Users\franc\OneDrive\Documentos\MALENTIN KARIME\PROTOCOLIZACION\2017\PABLINO ROJAS ARAYA L 11.doc", "Abrir Documento")</f>
        <v>0</v>
      </c>
      <c r="D4468" t="s">
        <v>23500</v>
      </c>
      <c r="E4468" t="s">
        <v>27499</v>
      </c>
    </row>
    <row r="4469" spans="1:5">
      <c r="A4469" t="s">
        <v>6</v>
      </c>
      <c r="B4469" t="s">
        <v>4474</v>
      </c>
      <c r="C4469">
        <f>HYPERLINK("C:\Users\franc\OneDrive\Documentos\MALENTIN KARIME\PROTOCOLIZACION\2017\PAOLA AGUILERA drogas 2017.doc", "Abrir Documento")</f>
        <v>0</v>
      </c>
      <c r="D4469" t="s">
        <v>23500</v>
      </c>
      <c r="E4469" t="s">
        <v>27499</v>
      </c>
    </row>
    <row r="4470" spans="1:5">
      <c r="A4470" t="s">
        <v>6</v>
      </c>
      <c r="B4470" t="s">
        <v>4475</v>
      </c>
      <c r="C4470">
        <f>HYPERLINK("C:\Users\franc\OneDrive\Documentos\MALENTIN KARIME\PROTOCOLIZACION\2017\OLGA PIZARRO E.I.R.L 68.doc", "Abrir Documento")</f>
        <v>0</v>
      </c>
      <c r="D4470" t="s">
        <v>23500</v>
      </c>
      <c r="E4470" t="s">
        <v>27500</v>
      </c>
    </row>
    <row r="4471" spans="1:5">
      <c r="A4471" t="s">
        <v>6</v>
      </c>
      <c r="B4471" t="s">
        <v>4476</v>
      </c>
      <c r="C4471">
        <f>HYPERLINK("C:\Users\franc\OneDrive\Documentos\MALENTIN KARIME\PROTOCOLIZACION\2017\OLGA TORO 137 MODIFI.doc", "Abrir Documento")</f>
        <v>0</v>
      </c>
      <c r="D4471" t="s">
        <v>23500</v>
      </c>
      <c r="E4471" t="s">
        <v>27500</v>
      </c>
    </row>
    <row r="4472" spans="1:5">
      <c r="A4472" t="s">
        <v>6</v>
      </c>
      <c r="B4472" t="s">
        <v>4477</v>
      </c>
      <c r="C4472">
        <f>HYPERLINK("C:\Users\franc\OneDrive\Documentos\MALENTIN KARIME\PROTOCOLIZACION\2017\OLGA PIZARRO E.I.R.L 53.doc", "Abrir Documento")</f>
        <v>0</v>
      </c>
      <c r="D4472" t="s">
        <v>23500</v>
      </c>
      <c r="E4472" t="s">
        <v>27501</v>
      </c>
    </row>
    <row r="4473" spans="1:5">
      <c r="A4473" t="s">
        <v>6</v>
      </c>
      <c r="B4473" t="s">
        <v>4478</v>
      </c>
      <c r="C4473">
        <f>HYPERLINK("C:\Users\franc\OneDrive\Documentos\MALENTIN KARIME\PROTOCOLIZACION\2017\OLGA PIZARRO E.I.R.L 60.doc", "Abrir Documento")</f>
        <v>0</v>
      </c>
      <c r="D4473" t="s">
        <v>23500</v>
      </c>
      <c r="E4473" t="s">
        <v>27501</v>
      </c>
    </row>
    <row r="4474" spans="1:5">
      <c r="A4474" t="s">
        <v>6</v>
      </c>
      <c r="B4474" t="s">
        <v>4479</v>
      </c>
      <c r="C4474">
        <f>HYPERLINK("C:\Users\franc\OneDrive\Documentos\MALENTIN KARIME\PROTOCOLIZACION\2017\OLGA PIZARRO E.I.R.L 137.doc", "Abrir Documento")</f>
        <v>0</v>
      </c>
      <c r="D4474" t="s">
        <v>23500</v>
      </c>
      <c r="E4474" t="s">
        <v>27502</v>
      </c>
    </row>
    <row r="4475" spans="1:5">
      <c r="A4475" t="s">
        <v>6</v>
      </c>
      <c r="B4475" t="s">
        <v>4480</v>
      </c>
      <c r="C4475">
        <f>HYPERLINK("C:\Users\franc\OneDrive\Documentos\MALENTIN KARIME\PROTOCOLIZACION\2017\OLGA PIZARRO E.I.R.L 134.doc", "Abrir Documento")</f>
        <v>0</v>
      </c>
      <c r="D4475" t="s">
        <v>23500</v>
      </c>
      <c r="E4475" t="s">
        <v>27503</v>
      </c>
    </row>
    <row r="4476" spans="1:5">
      <c r="A4476" t="s">
        <v>6</v>
      </c>
      <c r="B4476" t="s">
        <v>4481</v>
      </c>
      <c r="C4476">
        <f>HYPERLINK("C:\Users\franc\OneDrive\Documentos\MALENTIN KARIME\PROTOCOLIZACION\2017\NELSON ACEITUNO Contrato.doc", "Abrir Documento")</f>
        <v>0</v>
      </c>
      <c r="D4476" t="s">
        <v>23500</v>
      </c>
      <c r="E4476" t="s">
        <v>27504</v>
      </c>
    </row>
    <row r="4477" spans="1:5">
      <c r="A4477" t="s">
        <v>6</v>
      </c>
      <c r="B4477" t="s">
        <v>4482</v>
      </c>
      <c r="C4477">
        <f>HYPERLINK("C:\Users\franc\OneDrive\Documentos\MALENTIN KARIME\PROTOCOLIZACION\2017\NIDIA BARRAZA CASTILLO PROT Serviu.doc", "Abrir Documento")</f>
        <v>0</v>
      </c>
      <c r="D4477" t="s">
        <v>23500</v>
      </c>
      <c r="E4477" t="s">
        <v>27504</v>
      </c>
    </row>
    <row r="4478" spans="1:5">
      <c r="A4478" t="s">
        <v>6</v>
      </c>
      <c r="B4478" t="s">
        <v>4483</v>
      </c>
      <c r="C4478">
        <f>HYPERLINK("C:\Users\franc\OneDrive\Documentos\MALENTIN KARIME\PROTOCOLIZACION\2017\NELSON ACEITUNO Contrato Modificacion 08.doc", "Abrir Documento")</f>
        <v>0</v>
      </c>
      <c r="D4478" t="s">
        <v>23500</v>
      </c>
      <c r="E4478" t="s">
        <v>27505</v>
      </c>
    </row>
    <row r="4479" spans="1:5">
      <c r="A4479" t="s">
        <v>6</v>
      </c>
      <c r="B4479" t="s">
        <v>4484</v>
      </c>
      <c r="C4479">
        <f>HYPERLINK("C:\Users\franc\OneDrive\Documentos\MALENTIN KARIME\PROTOCOLIZACION\2017\NELSON ACEITUNO Contrato Modificacion 132.doc", "Abrir Documento")</f>
        <v>0</v>
      </c>
      <c r="D4479" t="s">
        <v>23500</v>
      </c>
      <c r="E4479" t="s">
        <v>27505</v>
      </c>
    </row>
    <row r="4480" spans="1:5">
      <c r="A4480" t="s">
        <v>6</v>
      </c>
      <c r="B4480" t="s">
        <v>4485</v>
      </c>
      <c r="C4480">
        <f>HYPERLINK("C:\Users\franc\OneDrive\Documentos\MALENTIN KARIME\PROTOCOLIZACION\2017\MARIO PIZARRO plano.doc", "Abrir Documento")</f>
        <v>0</v>
      </c>
      <c r="D4480" t="s">
        <v>23500</v>
      </c>
      <c r="E4480" t="s">
        <v>27506</v>
      </c>
    </row>
    <row r="4481" spans="1:5">
      <c r="A4481" t="s">
        <v>6</v>
      </c>
      <c r="B4481" t="s">
        <v>4486</v>
      </c>
      <c r="C4481">
        <f>HYPERLINK("C:\Users\franc\OneDrive\Documentos\MALENTIN KARIME\PROTOCOLIZACION\2017\NELSON ACEITUNO  propuesta 102 mod.doc", "Abrir Documento")</f>
        <v>0</v>
      </c>
      <c r="D4481" t="s">
        <v>23500</v>
      </c>
      <c r="E4481" t="s">
        <v>27506</v>
      </c>
    </row>
    <row r="4482" spans="1:5">
      <c r="A4482" t="s">
        <v>6</v>
      </c>
      <c r="B4482" t="s">
        <v>4487</v>
      </c>
      <c r="C4482">
        <f>HYPERLINK("C:\Users\franc\OneDrive\Documentos\MALENTIN KARIME\PROTOCOLIZACION\2017\NELSON ACEITUNO Contrato 08.doc", "Abrir Documento")</f>
        <v>0</v>
      </c>
      <c r="D4482" t="s">
        <v>23500</v>
      </c>
      <c r="E4482" t="s">
        <v>27506</v>
      </c>
    </row>
    <row r="4483" spans="1:5">
      <c r="A4483" t="s">
        <v>6</v>
      </c>
      <c r="B4483" t="s">
        <v>4488</v>
      </c>
      <c r="C4483">
        <f>HYPERLINK("C:\Users\franc\OneDrive\Documentos\MALENTIN KARIME\PROTOCOLIZACION\2017\LA CISTERNA FS11.doc", "Abrir Documento")</f>
        <v>0</v>
      </c>
      <c r="D4483" t="s">
        <v>23500</v>
      </c>
      <c r="E4483" t="s">
        <v>27507</v>
      </c>
    </row>
    <row r="4484" spans="1:5">
      <c r="A4484" t="s">
        <v>6</v>
      </c>
      <c r="B4484" t="s">
        <v>4489</v>
      </c>
      <c r="C4484">
        <f>HYPERLINK("C:\Users\franc\OneDrive\Documentos\MALENTIN KARIME\PROTOCOLIZACION\2017\LUICIA ROJAS MARQUEZcontrato.doc", "Abrir Documento")</f>
        <v>0</v>
      </c>
      <c r="D4484" t="s">
        <v>23500</v>
      </c>
      <c r="E4484" t="s">
        <v>27507</v>
      </c>
    </row>
    <row r="4485" spans="1:5">
      <c r="A4485" t="s">
        <v>6</v>
      </c>
      <c r="B4485" t="s">
        <v>4490</v>
      </c>
      <c r="C4485">
        <f>HYPERLINK("C:\Users\franc\OneDrive\Documentos\MALENTIN KARIME\PROTOCOLIZACION\2017\LUIS TORRES CASTILLO Indap.doc", "Abrir Documento")</f>
        <v>0</v>
      </c>
      <c r="D4485" t="s">
        <v>23500</v>
      </c>
      <c r="E4485" t="s">
        <v>27507</v>
      </c>
    </row>
    <row r="4486" spans="1:5">
      <c r="A4486" t="s">
        <v>6</v>
      </c>
      <c r="B4486" t="s">
        <v>4491</v>
      </c>
      <c r="C4486">
        <f>HYPERLINK("C:\Users\franc\OneDrive\Documentos\MALENTIN KARIME\PROTOCOLIZACION\2017\KAREN VALDES ORDENES inventario.doc", "Abrir Documento")</f>
        <v>0</v>
      </c>
      <c r="D4486" t="s">
        <v>23500</v>
      </c>
      <c r="E4486" t="s">
        <v>27508</v>
      </c>
    </row>
    <row r="4487" spans="1:5">
      <c r="A4487" t="s">
        <v>6</v>
      </c>
      <c r="B4487" t="s">
        <v>4492</v>
      </c>
      <c r="C4487">
        <f>HYPERLINK("C:\Users\franc\OneDrive\Documentos\MALENTIN KARIME\PROTOCOLIZACION\2017\junta de vecinos las revuetlas.doc", "Abrir Documento")</f>
        <v>0</v>
      </c>
      <c r="D4487" t="s">
        <v>23500</v>
      </c>
      <c r="E4487" t="s">
        <v>27509</v>
      </c>
    </row>
    <row r="4488" spans="1:5">
      <c r="A4488" t="s">
        <v>6</v>
      </c>
      <c r="B4488" t="s">
        <v>4493</v>
      </c>
      <c r="C4488">
        <f>HYPERLINK("C:\Users\franc\OneDrive\Documentos\MALENTIN KARIME\PROTOCOLIZACION\2017\JUAN PLAZA SANTANA 24.doc", "Abrir Documento")</f>
        <v>0</v>
      </c>
      <c r="D4488" t="s">
        <v>23500</v>
      </c>
      <c r="E4488" t="s">
        <v>27510</v>
      </c>
    </row>
    <row r="4489" spans="1:5">
      <c r="A4489" t="s">
        <v>6</v>
      </c>
      <c r="B4489" t="s">
        <v>4494</v>
      </c>
      <c r="C4489">
        <f>HYPERLINK("C:\Users\franc\OneDrive\Documentos\MALENTIN KARIME\PROTOCOLIZACION\2017\JUNTA DE VECINOS el peral ojo de agua.doc", "Abrir Documento")</f>
        <v>0</v>
      </c>
      <c r="D4489" t="s">
        <v>23500</v>
      </c>
      <c r="E4489" t="s">
        <v>27510</v>
      </c>
    </row>
    <row r="4490" spans="1:5">
      <c r="A4490" t="s">
        <v>6</v>
      </c>
      <c r="B4490" t="s">
        <v>4495</v>
      </c>
      <c r="C4490">
        <f>HYPERLINK("C:\Users\franc\OneDrive\Documentos\MALENTIN KARIME\PROTOCOLIZACION\2017\JOSE MARILAF PABLAZA contrato.doc", "Abrir Documento")</f>
        <v>0</v>
      </c>
      <c r="D4490" t="s">
        <v>23500</v>
      </c>
      <c r="E4490" t="s">
        <v>27511</v>
      </c>
    </row>
    <row r="4491" spans="1:5">
      <c r="A4491" t="s">
        <v>6</v>
      </c>
      <c r="B4491" t="s">
        <v>4496</v>
      </c>
      <c r="C4491">
        <f>HYPERLINK("C:\Users\franc\OneDrive\Documentos\MALENTIN KARIME\PROTOCOLIZACION\2017\JUAN PLAZA SANTANA 100.doc", "Abrir Documento")</f>
        <v>0</v>
      </c>
      <c r="D4491" t="s">
        <v>23500</v>
      </c>
      <c r="E4491" t="s">
        <v>27511</v>
      </c>
    </row>
    <row r="4492" spans="1:5">
      <c r="A4492" t="s">
        <v>6</v>
      </c>
      <c r="B4492" t="s">
        <v>4497</v>
      </c>
      <c r="C4492">
        <f>HYPERLINK("C:\Users\franc\OneDrive\Documentos\MALENTIN KARIME\PROTOCOLIZACION\2017\JESSICA ROJAS ANGEL Y ELIAS GOMEZ ProTCvtadoc.doc", "Abrir Documento")</f>
        <v>0</v>
      </c>
      <c r="D4492" t="s">
        <v>23500</v>
      </c>
      <c r="E4492" t="s">
        <v>27512</v>
      </c>
    </row>
    <row r="4493" spans="1:5">
      <c r="A4493" t="s">
        <v>6</v>
      </c>
      <c r="B4493" t="s">
        <v>4498</v>
      </c>
      <c r="C4493">
        <f>HYPERLINK("C:\Users\franc\OneDrive\Documentos\MALENTIN KARIME\PROTOCOLIZACION\2017\JACOB JAQUE Contrato.doc", "Abrir Documento")</f>
        <v>0</v>
      </c>
      <c r="D4493" t="s">
        <v>23500</v>
      </c>
      <c r="E4493" t="s">
        <v>27513</v>
      </c>
    </row>
    <row r="4494" spans="1:5">
      <c r="A4494" t="s">
        <v>6</v>
      </c>
      <c r="B4494" t="s">
        <v>4499</v>
      </c>
      <c r="C4494">
        <f>HYPERLINK("C:\Users\franc\OneDrive\Documentos\MALENTIN KARIME\PROTOCOLIZACION\2017\INGENIERIA Y SERVICIOS ZARTH modif contrato.doc", "Abrir Documento")</f>
        <v>0</v>
      </c>
      <c r="D4494" t="s">
        <v>23500</v>
      </c>
      <c r="E4494" t="s">
        <v>27514</v>
      </c>
    </row>
    <row r="4495" spans="1:5">
      <c r="A4495" t="s">
        <v>6</v>
      </c>
      <c r="B4495" t="s">
        <v>4500</v>
      </c>
      <c r="C4495">
        <f>HYPERLINK("C:\Users\franc\OneDrive\Documentos\MALENTIN KARIME\PROTOCOLIZACION\2017\H.G. Y B SERVICIOS ASOCIADOS.doc", "Abrir Documento")</f>
        <v>0</v>
      </c>
      <c r="D4495" t="s">
        <v>23500</v>
      </c>
      <c r="E4495" t="s">
        <v>27515</v>
      </c>
    </row>
    <row r="4496" spans="1:5">
      <c r="A4496" t="s">
        <v>6</v>
      </c>
      <c r="B4496" t="s">
        <v>4501</v>
      </c>
      <c r="C4496">
        <f>HYPERLINK("C:\Users\franc\OneDrive\Documentos\MALENTIN KARIME\PROTOCOLIZACION\2017\GONZALO IRIARTE ROJAS Indap.doc", "Abrir Documento")</f>
        <v>0</v>
      </c>
      <c r="D4496" t="s">
        <v>23500</v>
      </c>
      <c r="E4496" t="s">
        <v>27516</v>
      </c>
    </row>
    <row r="4497" spans="1:5">
      <c r="A4497" t="s">
        <v>6</v>
      </c>
      <c r="B4497" t="s">
        <v>4502</v>
      </c>
      <c r="C4497">
        <f>HYPERLINK("C:\Users\franc\OneDrive\Documentos\MALENTIN KARIME\PROTOCOLIZACION\2017\H.G. Y B SERVICIOS ASOCIADOS convenio.doc", "Abrir Documento")</f>
        <v>0</v>
      </c>
      <c r="D4497" t="s">
        <v>23500</v>
      </c>
      <c r="E4497" t="s">
        <v>27516</v>
      </c>
    </row>
    <row r="4498" spans="1:5">
      <c r="A4498" t="s">
        <v>6</v>
      </c>
      <c r="B4498" t="s">
        <v>4503</v>
      </c>
      <c r="C4498">
        <f>HYPERLINK("C:\Users\franc\OneDrive\Documentos\MALENTIN KARIME\PROTOCOLIZACION\2017\Francisco Carvajal.doc", "Abrir Documento")</f>
        <v>0</v>
      </c>
      <c r="D4498" t="s">
        <v>23500</v>
      </c>
      <c r="E4498" t="s">
        <v>27517</v>
      </c>
    </row>
    <row r="4499" spans="1:5">
      <c r="A4499" t="s">
        <v>6</v>
      </c>
      <c r="B4499" t="s">
        <v>4504</v>
      </c>
      <c r="C4499">
        <f>HYPERLINK("C:\Users\franc\OneDrive\Documentos\MALENTIN KARIME\PROTOCOLIZACION\2017\GIORGIO RATTO Contrato.doc", "Abrir Documento")</f>
        <v>0</v>
      </c>
      <c r="D4499" t="s">
        <v>23500</v>
      </c>
      <c r="E4499" t="s">
        <v>27517</v>
      </c>
    </row>
    <row r="4500" spans="1:5">
      <c r="A4500" t="s">
        <v>6</v>
      </c>
      <c r="B4500" t="s">
        <v>4505</v>
      </c>
      <c r="C4500">
        <f>HYPERLINK("C:\Users\franc\OneDrive\Documentos\MALENTIN KARIME\PROTOCOLIZACION\2017\FERNANDO PRIETO CANALES propuesta 94.doc", "Abrir Documento")</f>
        <v>0</v>
      </c>
      <c r="D4500" t="s">
        <v>23500</v>
      </c>
      <c r="E4500" t="s">
        <v>27518</v>
      </c>
    </row>
    <row r="4501" spans="1:5">
      <c r="A4501" t="s">
        <v>6</v>
      </c>
      <c r="B4501" t="s">
        <v>4506</v>
      </c>
      <c r="C4501">
        <f>HYPERLINK("C:\Users\franc\OneDrive\Documentos\MALENTIN KARIME\PROTOCOLIZACION\2017\FERNANDO PRIETO CANALES propuesta.doc", "Abrir Documento")</f>
        <v>0</v>
      </c>
      <c r="D4501" t="s">
        <v>23500</v>
      </c>
      <c r="E4501" t="s">
        <v>27518</v>
      </c>
    </row>
    <row r="4502" spans="1:5">
      <c r="A4502" t="s">
        <v>6</v>
      </c>
      <c r="B4502" t="s">
        <v>4507</v>
      </c>
      <c r="C4502">
        <f>HYPERLINK("C:\Users\franc\OneDrive\Documentos\MALENTIN KARIME\PROTOCOLIZACION\2017\FERNANDO PRIETO CANALES MOD 2017.doc", "Abrir Documento")</f>
        <v>0</v>
      </c>
      <c r="D4502" t="s">
        <v>23500</v>
      </c>
      <c r="E4502" t="s">
        <v>27519</v>
      </c>
    </row>
    <row r="4503" spans="1:5">
      <c r="A4503" t="s">
        <v>6</v>
      </c>
      <c r="B4503" t="s">
        <v>4508</v>
      </c>
      <c r="C4503">
        <f>HYPERLINK("C:\Users\franc\OneDrive\Documentos\MALENTIN KARIME\PROTOCOLIZACION\2017\FERNANDO PRIETO CANALES propuesta 102 mod.doc", "Abrir Documento")</f>
        <v>0</v>
      </c>
      <c r="D4503" t="s">
        <v>23500</v>
      </c>
      <c r="E4503" t="s">
        <v>27519</v>
      </c>
    </row>
    <row r="4504" spans="1:5">
      <c r="A4504" t="s">
        <v>6</v>
      </c>
      <c r="B4504" t="s">
        <v>4509</v>
      </c>
      <c r="C4504">
        <f>HYPERLINK("C:\Users\franc\OneDrive\Documentos\MALENTIN KARIME\PROTOCOLIZACION\2017\FERNANDO PRIETO CANALES  mod 102.doc", "Abrir Documento")</f>
        <v>0</v>
      </c>
      <c r="D4504" t="s">
        <v>23500</v>
      </c>
      <c r="E4504" t="s">
        <v>27520</v>
      </c>
    </row>
    <row r="4505" spans="1:5">
      <c r="A4505" t="s">
        <v>6</v>
      </c>
      <c r="B4505" t="s">
        <v>4510</v>
      </c>
      <c r="C4505">
        <f>HYPERLINK("C:\Users\franc\OneDrive\Documentos\MALENTIN KARIME\PROTOCOLIZACION\2017\ELECOOP 03 Agosto.doc", "Abrir Documento")</f>
        <v>0</v>
      </c>
      <c r="D4505" t="s">
        <v>23500</v>
      </c>
      <c r="E4505" t="s">
        <v>27521</v>
      </c>
    </row>
    <row r="4506" spans="1:5">
      <c r="A4506" t="s">
        <v>6</v>
      </c>
      <c r="B4506" t="s">
        <v>4511</v>
      </c>
      <c r="C4506">
        <f>HYPERLINK("C:\Users\franc\OneDrive\Documentos\MALENTIN KARIME\PROTOCOLIZACION\2017\EDUARDO LOPEZ 46contrato.doc", "Abrir Documento")</f>
        <v>0</v>
      </c>
      <c r="D4506" t="s">
        <v>23500</v>
      </c>
      <c r="E4506" t="s">
        <v>27522</v>
      </c>
    </row>
    <row r="4507" spans="1:5">
      <c r="A4507" t="s">
        <v>6</v>
      </c>
      <c r="B4507" t="s">
        <v>4512</v>
      </c>
      <c r="C4507">
        <f>HYPERLINK("C:\Users\franc\OneDrive\Documentos\MALENTIN KARIME\PROTOCOLIZACION\2017\EDUARDO LOPEZ 46contrato 130.doc", "Abrir Documento")</f>
        <v>0</v>
      </c>
      <c r="D4507" t="s">
        <v>23500</v>
      </c>
      <c r="E4507" t="s">
        <v>27523</v>
      </c>
    </row>
    <row r="4508" spans="1:5">
      <c r="A4508" t="s">
        <v>6</v>
      </c>
      <c r="B4508" t="s">
        <v>4513</v>
      </c>
      <c r="C4508">
        <f>HYPERLINK("C:\Users\franc\OneDrive\Documentos\MALENTIN KARIME\PROTOCOLIZACION\2017\EDUARDO LOPEZ 46 MODIF 46.doc", "Abrir Documento")</f>
        <v>0</v>
      </c>
      <c r="D4508" t="s">
        <v>23500</v>
      </c>
      <c r="E4508" t="s">
        <v>27524</v>
      </c>
    </row>
    <row r="4509" spans="1:5">
      <c r="A4509" t="s">
        <v>6</v>
      </c>
      <c r="B4509" t="s">
        <v>4514</v>
      </c>
      <c r="C4509">
        <f>HYPERLINK("C:\Users\franc\OneDrive\Documentos\MALENTIN KARIME\PROTOCOLIZACION\2017\EDUARDO LOPEZ 46 MODIF 46 iii.doc", "Abrir Documento")</f>
        <v>0</v>
      </c>
      <c r="D4509" t="s">
        <v>23500</v>
      </c>
      <c r="E4509" t="s">
        <v>27525</v>
      </c>
    </row>
    <row r="4510" spans="1:5">
      <c r="A4510" t="s">
        <v>6</v>
      </c>
      <c r="B4510" t="s">
        <v>4515</v>
      </c>
      <c r="C4510">
        <f>HYPERLINK("C:\Users\franc\OneDrive\Documentos\MALENTIN KARIME\PROTOCOLIZACION\2017\EDO. VARAS LEDEZMA.doc", "Abrir Documento")</f>
        <v>0</v>
      </c>
      <c r="D4510" t="s">
        <v>23500</v>
      </c>
      <c r="E4510" t="s">
        <v>27526</v>
      </c>
    </row>
    <row r="4511" spans="1:5">
      <c r="A4511" t="s">
        <v>6</v>
      </c>
      <c r="B4511" t="s">
        <v>4516</v>
      </c>
      <c r="C4511">
        <f>HYPERLINK("C:\Users\franc\OneDrive\Documentos\MALENTIN KARIME\PROTOCOLIZACION\2017\EDUARDO ERNESTO LOPEZ GARCIA firma.doc", "Abrir Documento")</f>
        <v>0</v>
      </c>
      <c r="D4511" t="s">
        <v>23500</v>
      </c>
      <c r="E4511" t="s">
        <v>27526</v>
      </c>
    </row>
    <row r="4512" spans="1:5">
      <c r="A4512" t="s">
        <v>6</v>
      </c>
      <c r="B4512" t="s">
        <v>4517</v>
      </c>
      <c r="C4512">
        <f>HYPERLINK("C:\Users\franc\OneDrive\Documentos\MALENTIN KARIME\PROTOCOLIZACION\2017\DIEGO CORTES DIAZ  prot 682017.doc", "Abrir Documento")</f>
        <v>0</v>
      </c>
      <c r="D4512" t="s">
        <v>23500</v>
      </c>
      <c r="E4512" t="s">
        <v>27527</v>
      </c>
    </row>
    <row r="4513" spans="1:5">
      <c r="A4513" t="s">
        <v>6</v>
      </c>
      <c r="B4513" t="s">
        <v>4518</v>
      </c>
      <c r="C4513">
        <f>HYPERLINK("C:\Users\franc\OneDrive\Documentos\MALENTIN KARIME\PROTOCOLIZACION\2017\DIEGO CORTES DIAZ 2017.doc", "Abrir Documento")</f>
        <v>0</v>
      </c>
      <c r="D4513" t="s">
        <v>23500</v>
      </c>
      <c r="E4513" t="s">
        <v>27527</v>
      </c>
    </row>
    <row r="4514" spans="1:5">
      <c r="A4514" t="s">
        <v>6</v>
      </c>
      <c r="B4514" t="s">
        <v>4519</v>
      </c>
      <c r="C4514">
        <f>HYPERLINK("C:\Users\franc\OneDrive\Documentos\MALENTIN KARIME\PROTOCOLIZACION\2017\DANIELA PEÑAILILLO inventario.doc", "Abrir Documento")</f>
        <v>0</v>
      </c>
      <c r="D4514" t="s">
        <v>23500</v>
      </c>
      <c r="E4514" t="s">
        <v>27528</v>
      </c>
    </row>
    <row r="4515" spans="1:5">
      <c r="A4515" t="s">
        <v>6</v>
      </c>
      <c r="B4515" t="s">
        <v>4520</v>
      </c>
      <c r="C4515">
        <f>HYPERLINK("C:\Users\franc\OneDrive\Documentos\MALENTIN KARIME\PROTOCOLIZACION\2017\CUERPO DE BOMBEROS 8 CIA.doc", "Abrir Documento")</f>
        <v>0</v>
      </c>
      <c r="D4515" t="s">
        <v>23500</v>
      </c>
      <c r="E4515" t="s">
        <v>27529</v>
      </c>
    </row>
    <row r="4516" spans="1:5">
      <c r="A4516" t="s">
        <v>6</v>
      </c>
      <c r="B4516" t="s">
        <v>4521</v>
      </c>
      <c r="C4516">
        <f>HYPERLINK("C:\Users\franc\OneDrive\Documentos\MALENTIN KARIME\PROTOCOLIZACION\2017\CUERPO DE BOMBEROS 7 CIA.doc", "Abrir Documento")</f>
        <v>0</v>
      </c>
      <c r="D4516" t="s">
        <v>23500</v>
      </c>
      <c r="E4516" t="s">
        <v>27530</v>
      </c>
    </row>
    <row r="4517" spans="1:5">
      <c r="A4517" t="s">
        <v>6</v>
      </c>
      <c r="B4517" t="s">
        <v>4522</v>
      </c>
      <c r="C4517">
        <f>HYPERLINK("C:\Users\franc\OneDrive\Documentos\MALENTIN KARIME\PROTOCOLIZACION\2017\CORPORACION SOCIAL Y DEPORTIVA DE OVALLE.doc", "Abrir Documento")</f>
        <v>0</v>
      </c>
      <c r="D4517" t="s">
        <v>23500</v>
      </c>
      <c r="E4517" t="s">
        <v>27531</v>
      </c>
    </row>
    <row r="4518" spans="1:5">
      <c r="A4518" t="s">
        <v>6</v>
      </c>
      <c r="B4518" t="s">
        <v>4523</v>
      </c>
      <c r="C4518">
        <f>HYPERLINK("C:\Users\franc\OneDrive\Documentos\MALENTIN KARIME\PROTOCOLIZACION\2017\CUERPO DE BOMBEROS 5 CIA.doc", "Abrir Documento")</f>
        <v>0</v>
      </c>
      <c r="D4518" t="s">
        <v>23500</v>
      </c>
      <c r="E4518" t="s">
        <v>27531</v>
      </c>
    </row>
    <row r="4519" spans="1:5">
      <c r="A4519" t="s">
        <v>6</v>
      </c>
      <c r="B4519" t="s">
        <v>4524</v>
      </c>
      <c r="C4519">
        <f>HYPERLINK("C:\Users\franc\OneDrive\Documentos\MALENTIN KARIME\PROTOCOLIZACION\2017\CORPORACION CULTURAL MUNICIPAL DE OVALLE.doc", "Abrir Documento")</f>
        <v>0</v>
      </c>
      <c r="D4519" t="s">
        <v>23500</v>
      </c>
      <c r="E4519" t="s">
        <v>27532</v>
      </c>
    </row>
    <row r="4520" spans="1:5">
      <c r="A4520" t="s">
        <v>6</v>
      </c>
      <c r="B4520" t="s">
        <v>4525</v>
      </c>
      <c r="C4520">
        <f>HYPERLINK("C:\Users\franc\OneDrive\Documentos\MALENTIN KARIME\PROTOCOLIZACION\2017\CONSTRUCTORA CORTES &amp; OLIVARES.doc", "Abrir Documento")</f>
        <v>0</v>
      </c>
      <c r="D4520" t="s">
        <v>23500</v>
      </c>
      <c r="E4520" t="s">
        <v>27533</v>
      </c>
    </row>
    <row r="4521" spans="1:5">
      <c r="A4521" t="s">
        <v>6</v>
      </c>
      <c r="B4521" t="s">
        <v>4526</v>
      </c>
      <c r="C4521">
        <f>HYPERLINK("C:\Users\franc\OneDrive\Documentos\MALENTIN KARIME\PROTOCOLIZACION\2017\CONSTRUCTORA CORTES &amp; OLIVARES 41.doc", "Abrir Documento")</f>
        <v>0</v>
      </c>
      <c r="D4521" t="s">
        <v>23500</v>
      </c>
      <c r="E4521" t="s">
        <v>27534</v>
      </c>
    </row>
    <row r="4522" spans="1:5">
      <c r="A4522" t="s">
        <v>6</v>
      </c>
      <c r="B4522" t="s">
        <v>4527</v>
      </c>
      <c r="C4522">
        <f>HYPERLINK("C:\Users\franc\OneDrive\Documentos\MALENTIN KARIME\PROTOCOLIZACION\2017\CONSTRUCTORA CORTES &amp; OLIVARES 93.doc", "Abrir Documento")</f>
        <v>0</v>
      </c>
      <c r="D4522" t="s">
        <v>23500</v>
      </c>
      <c r="E4522" t="s">
        <v>27534</v>
      </c>
    </row>
    <row r="4523" spans="1:5">
      <c r="A4523" t="s">
        <v>6</v>
      </c>
      <c r="B4523" t="s">
        <v>4528</v>
      </c>
      <c r="C4523">
        <f>HYPERLINK("C:\Users\franc\OneDrive\Documentos\MALENTIN KARIME\PROTOCOLIZACION\2017\CONSTRUCCIONES FMV S.A..doc", "Abrir Documento")</f>
        <v>0</v>
      </c>
      <c r="D4523" t="s">
        <v>23500</v>
      </c>
      <c r="E4523" t="s">
        <v>27535</v>
      </c>
    </row>
    <row r="4524" spans="1:5">
      <c r="A4524" t="s">
        <v>6</v>
      </c>
      <c r="B4524" t="s">
        <v>4529</v>
      </c>
      <c r="C4524">
        <f>HYPERLINK("C:\Users\franc\OneDrive\Documentos\MALENTIN KARIME\PROTOCOLIZACION\2017\CONGREGACION SAN JUAN B.doc", "Abrir Documento")</f>
        <v>0</v>
      </c>
      <c r="D4524" t="s">
        <v>23500</v>
      </c>
      <c r="E4524" t="s">
        <v>27536</v>
      </c>
    </row>
    <row r="4525" spans="1:5">
      <c r="A4525" t="s">
        <v>6</v>
      </c>
      <c r="B4525" t="s">
        <v>4530</v>
      </c>
      <c r="C4525">
        <f>HYPERLINK("C:\Users\franc\OneDrive\Documentos\MALENTIN KARIME\PROTOCOLIZACION\2017\CONDOMINIO OVALLE I Y II.doc", "Abrir Documento")</f>
        <v>0</v>
      </c>
      <c r="D4525" t="s">
        <v>23500</v>
      </c>
      <c r="E4525" t="s">
        <v>27537</v>
      </c>
    </row>
    <row r="4526" spans="1:5">
      <c r="A4526" t="s">
        <v>6</v>
      </c>
      <c r="B4526" t="s">
        <v>4531</v>
      </c>
      <c r="C4526">
        <f>HYPERLINK("C:\Users\franc\OneDrive\Documentos\MALENTIN KARIME\PROTOCOLIZACION\2017\COMUNIDAD PUNITAQUI Acta 4 junio.doc", "Abrir Documento")</f>
        <v>0</v>
      </c>
      <c r="D4526" t="s">
        <v>23500</v>
      </c>
      <c r="E4526" t="s">
        <v>27538</v>
      </c>
    </row>
    <row r="4527" spans="1:5">
      <c r="A4527" t="s">
        <v>6</v>
      </c>
      <c r="B4527" t="s">
        <v>4532</v>
      </c>
      <c r="C4527">
        <f>HYPERLINK("C:\Users\franc\OneDrive\Documentos\MALENTIN KARIME\PROTOCOLIZACION\2017\CONDOMINIO ALTOS DE TUQUI.doc", "Abrir Documento")</f>
        <v>0</v>
      </c>
      <c r="D4527" t="s">
        <v>23500</v>
      </c>
      <c r="E4527" t="s">
        <v>27538</v>
      </c>
    </row>
    <row r="4528" spans="1:5">
      <c r="A4528" t="s">
        <v>6</v>
      </c>
      <c r="B4528" t="s">
        <v>4533</v>
      </c>
      <c r="C4528">
        <f>HYPERLINK("C:\Users\franc\OneDrive\Documentos\MALENTIN KARIME\PROTOCOLIZACION\2017\COMUNIDAD PUNITAQUI Acta 11 junio.doc", "Abrir Documento")</f>
        <v>0</v>
      </c>
      <c r="D4528" t="s">
        <v>23500</v>
      </c>
      <c r="E4528" t="s">
        <v>27539</v>
      </c>
    </row>
    <row r="4529" spans="1:5">
      <c r="A4529" t="s">
        <v>6</v>
      </c>
      <c r="B4529" t="s">
        <v>4534</v>
      </c>
      <c r="C4529">
        <f>HYPERLINK("C:\Users\franc\OneDrive\Documentos\MALENTIN KARIME\PROTOCOLIZACION\2017\comunidad ORURO Maritza Opazo.doc", "Abrir Documento")</f>
        <v>0</v>
      </c>
      <c r="D4529" t="s">
        <v>23500</v>
      </c>
      <c r="E4529" t="s">
        <v>27540</v>
      </c>
    </row>
    <row r="4530" spans="1:5">
      <c r="A4530" t="s">
        <v>6</v>
      </c>
      <c r="B4530" t="s">
        <v>4535</v>
      </c>
      <c r="C4530">
        <f>HYPERLINK("C:\Users\franc\OneDrive\Documentos\MALENTIN KARIME\PROTOCOLIZACION\2017\COMUNIDAD MAITENES DE SERON.doc", "Abrir Documento")</f>
        <v>0</v>
      </c>
      <c r="D4530" t="s">
        <v>23500</v>
      </c>
      <c r="E4530" t="s">
        <v>27541</v>
      </c>
    </row>
    <row r="4531" spans="1:5">
      <c r="A4531" t="s">
        <v>6</v>
      </c>
      <c r="B4531" t="s">
        <v>4536</v>
      </c>
      <c r="C4531">
        <f>HYPERLINK("C:\Users\franc\OneDrive\Documentos\MALENTIN KARIME\PROTOCOLIZACION\2017\COMUNIDAD LA RINCONADA DE PUNITAQUI.doc", "Abrir Documento")</f>
        <v>0</v>
      </c>
      <c r="D4531" t="s">
        <v>23500</v>
      </c>
      <c r="E4531" t="s">
        <v>27542</v>
      </c>
    </row>
    <row r="4532" spans="1:5">
      <c r="A4532" t="s">
        <v>6</v>
      </c>
      <c r="B4532" t="s">
        <v>4537</v>
      </c>
      <c r="C4532">
        <f>HYPERLINK("C:\Users\franc\OneDrive\Documentos\MALENTIN KARIME\PROTOCOLIZACION\2017\COMUNIDAD MAITENES DE SAMO ALTO.doc", "Abrir Documento")</f>
        <v>0</v>
      </c>
      <c r="D4532" t="s">
        <v>23500</v>
      </c>
      <c r="E4532" t="s">
        <v>27542</v>
      </c>
    </row>
    <row r="4533" spans="1:5">
      <c r="A4533" t="s">
        <v>6</v>
      </c>
      <c r="B4533" t="s">
        <v>4538</v>
      </c>
      <c r="C4533">
        <f>HYPERLINK("C:\Users\franc\OneDrive\Documentos\MALENTIN KARIME\PROTOCOLIZACION\2017\COMUNIDAD JUNTA EDIFICIO DIAGUITAS FS. 29.doc", "Abrir Documento")</f>
        <v>0</v>
      </c>
      <c r="D4533" t="s">
        <v>23500</v>
      </c>
      <c r="E4533" t="s">
        <v>27543</v>
      </c>
    </row>
    <row r="4534" spans="1:5">
      <c r="A4534" t="s">
        <v>6</v>
      </c>
      <c r="B4534" t="s">
        <v>4539</v>
      </c>
      <c r="C4534">
        <f>HYPERLINK("C:\Users\franc\OneDrive\Documentos\MALENTIN KARIME\PROTOCOLIZACION\2017\COMUNIDAD DE AGUAS POBLACION MIALQUI.doc", "Abrir Documento")</f>
        <v>0</v>
      </c>
      <c r="D4534" t="s">
        <v>23500</v>
      </c>
      <c r="E4534" t="s">
        <v>27544</v>
      </c>
    </row>
    <row r="4535" spans="1:5">
      <c r="A4535" t="s">
        <v>6</v>
      </c>
      <c r="B4535" t="s">
        <v>4540</v>
      </c>
      <c r="C4535">
        <f>HYPERLINK("C:\Users\franc\OneDrive\Documentos\MALENTIN KARIME\PROTOCOLIZACION\2017\COMUNIDAD DE AGUAS CANAL TOMILLA SAN LUIS.doc", "Abrir Documento")</f>
        <v>0</v>
      </c>
      <c r="D4535" t="s">
        <v>23500</v>
      </c>
      <c r="E4535" t="s">
        <v>27545</v>
      </c>
    </row>
    <row r="4536" spans="1:5">
      <c r="A4536" t="s">
        <v>6</v>
      </c>
      <c r="B4536" t="s">
        <v>4541</v>
      </c>
      <c r="C4536">
        <f>HYPERLINK("C:\Users\franc\OneDrive\Documentos\MALENTIN KARIME\PROTOCOLIZACION\2017\COMUNIDAD DE AGUAS CANAL TOMESITO ALTO.doc", "Abrir Documento")</f>
        <v>0</v>
      </c>
      <c r="D4536" t="s">
        <v>23500</v>
      </c>
      <c r="E4536" t="s">
        <v>27546</v>
      </c>
    </row>
    <row r="4537" spans="1:5">
      <c r="A4537" t="s">
        <v>6</v>
      </c>
      <c r="B4537" t="s">
        <v>4542</v>
      </c>
      <c r="C4537">
        <f>HYPERLINK("C:\Users\franc\OneDrive\Documentos\MALENTIN KARIME\PROTOCOLIZACION\2017\COMUNIDAD DE AGUAS CANAL QDA GRANDE ALTA Y BAJA.doc", "Abrir Documento")</f>
        <v>0</v>
      </c>
      <c r="D4537" t="s">
        <v>23500</v>
      </c>
      <c r="E4537" t="s">
        <v>27547</v>
      </c>
    </row>
    <row r="4538" spans="1:5">
      <c r="A4538" t="s">
        <v>6</v>
      </c>
      <c r="B4538" t="s">
        <v>4543</v>
      </c>
      <c r="C4538">
        <f>HYPERLINK("C:\Users\franc\OneDrive\Documentos\MALENTIN KARIME\PROTOCOLIZACION\2017\COMUNIDAD DE AGUAS CANAL INFIERNILLO DE TULAHUEN.doc", "Abrir Documento")</f>
        <v>0</v>
      </c>
      <c r="D4538" t="s">
        <v>23500</v>
      </c>
      <c r="E4538" t="s">
        <v>27548</v>
      </c>
    </row>
    <row r="4539" spans="1:5">
      <c r="A4539" t="s">
        <v>6</v>
      </c>
      <c r="B4539" t="s">
        <v>4544</v>
      </c>
      <c r="C4539">
        <f>HYPERLINK("C:\Users\franc\OneDrive\Documentos\MALENTIN KARIME\PROTOCOLIZACION\2017\COMUNIDAD DE AGUAS CANAL EL COIPO.doc", "Abrir Documento")</f>
        <v>0</v>
      </c>
      <c r="D4539" t="s">
        <v>23500</v>
      </c>
      <c r="E4539" t="s">
        <v>27549</v>
      </c>
    </row>
    <row r="4540" spans="1:5">
      <c r="A4540" t="s">
        <v>6</v>
      </c>
      <c r="B4540" t="s">
        <v>4545</v>
      </c>
      <c r="C4540">
        <f>HYPERLINK("C:\Users\franc\OneDrive\Documentos\MALENTIN KARIME\PROTOCOLIZACION\2017\COMUNIDAD AGRICOLA LOS TOMES DE CANELA.doc", "Abrir Documento")</f>
        <v>0</v>
      </c>
      <c r="D4540" t="s">
        <v>23500</v>
      </c>
      <c r="E4540" t="s">
        <v>27550</v>
      </c>
    </row>
    <row r="4541" spans="1:5">
      <c r="A4541" t="s">
        <v>6</v>
      </c>
      <c r="B4541" t="s">
        <v>4546</v>
      </c>
      <c r="C4541">
        <f>HYPERLINK("C:\Users\franc\OneDrive\Documentos\MALENTIN KARIME\PROTOCOLIZACION\2017\COMUNIDAD AGRICOLA Punitaqui.doc", "Abrir Documento")</f>
        <v>0</v>
      </c>
      <c r="D4541" t="s">
        <v>23500</v>
      </c>
      <c r="E4541" t="s">
        <v>27550</v>
      </c>
    </row>
    <row r="4542" spans="1:5">
      <c r="A4542" t="s">
        <v>6</v>
      </c>
      <c r="B4542" t="s">
        <v>4547</v>
      </c>
      <c r="C4542">
        <f>HYPERLINK("C:\Users\franc\OneDrive\Documentos\MALENTIN KARIME\PROTOCOLIZACION\2017\COMUNIDAD AGRICOLA LOS MAITENES SAMO ALTO.doc", "Abrir Documento")</f>
        <v>0</v>
      </c>
      <c r="D4542" t="s">
        <v>23500</v>
      </c>
      <c r="E4542" t="s">
        <v>27551</v>
      </c>
    </row>
    <row r="4543" spans="1:5">
      <c r="A4543" t="s">
        <v>6</v>
      </c>
      <c r="B4543" t="s">
        <v>4548</v>
      </c>
      <c r="C4543">
        <f>HYPERLINK("C:\Users\franc\OneDrive\Documentos\MALENTIN KARIME\PROTOCOLIZACION\2017\COMUNIDA AGRICOLA LA CEBADA.doc", "Abrir Documento")</f>
        <v>0</v>
      </c>
      <c r="D4543" t="s">
        <v>23500</v>
      </c>
      <c r="E4543" t="s">
        <v>27552</v>
      </c>
    </row>
    <row r="4544" spans="1:5">
      <c r="A4544" t="s">
        <v>6</v>
      </c>
      <c r="B4544" t="s">
        <v>4549</v>
      </c>
      <c r="C4544">
        <f>HYPERLINK("C:\Users\franc\OneDrive\Documentos\MALENTIN KARIME\PROTOCOLIZACION\2017\COMUNIDAD AGRICOLA Higueritas Unidas.doc", "Abrir Documento")</f>
        <v>0</v>
      </c>
      <c r="D4544" t="s">
        <v>23500</v>
      </c>
      <c r="E4544" t="s">
        <v>27552</v>
      </c>
    </row>
    <row r="4545" spans="1:5">
      <c r="A4545" t="s">
        <v>6</v>
      </c>
      <c r="B4545" t="s">
        <v>4550</v>
      </c>
      <c r="C4545">
        <f>HYPERLINK("C:\Users\franc\OneDrive\Documentos\MALENTIN KARIME\PROTOCOLIZACION\2017\COMUNIDA AGRICOLA BARRAZA.doc", "Abrir Documento")</f>
        <v>0</v>
      </c>
      <c r="D4545" t="s">
        <v>23500</v>
      </c>
      <c r="E4545" t="s">
        <v>27553</v>
      </c>
    </row>
    <row r="4546" spans="1:5">
      <c r="A4546" t="s">
        <v>6</v>
      </c>
      <c r="B4546" t="s">
        <v>4551</v>
      </c>
      <c r="C4546">
        <f>HYPERLINK("C:\Users\franc\OneDrive\Documentos\MALENTIN KARIME\PROTOCOLIZACION\2017\COMUNIDA AGRICOLA CARCAMO.doc", "Abrir Documento")</f>
        <v>0</v>
      </c>
      <c r="D4546" t="s">
        <v>23500</v>
      </c>
      <c r="E4546" t="s">
        <v>27553</v>
      </c>
    </row>
    <row r="4547" spans="1:5">
      <c r="A4547" t="s">
        <v>6</v>
      </c>
      <c r="B4547" t="s">
        <v>4552</v>
      </c>
      <c r="C4547">
        <f>HYPERLINK("C:\Users\franc\OneDrive\Documentos\MALENTIN KARIME\PROTOCOLIZACION\2017\COMUNIDA AGRICOLA EL PERAL OJO DE AGUA.doc", "Abrir Documento")</f>
        <v>0</v>
      </c>
      <c r="D4547" t="s">
        <v>23500</v>
      </c>
      <c r="E4547" t="s">
        <v>27553</v>
      </c>
    </row>
    <row r="4548" spans="1:5">
      <c r="A4548" t="s">
        <v>6</v>
      </c>
      <c r="B4548" t="s">
        <v>4553</v>
      </c>
      <c r="C4548">
        <f>HYPERLINK("C:\Users\franc\OneDrive\Documentos\MALENTIN KARIME\PROTOCOLIZACION\2017\COMUNIADAD LA CISTERNA.doc", "Abrir Documento")</f>
        <v>0</v>
      </c>
      <c r="D4548" t="s">
        <v>23500</v>
      </c>
      <c r="E4548" t="s">
        <v>27554</v>
      </c>
    </row>
    <row r="4549" spans="1:5">
      <c r="A4549" t="s">
        <v>6</v>
      </c>
      <c r="B4549" t="s">
        <v>4554</v>
      </c>
      <c r="C4549">
        <f>HYPERLINK("C:\Users\franc\OneDrive\Documentos\MALENTIN KARIME\PROTOCOLIZACION\2017\COMUNIADAD LA CISTERNA 57v.doc", "Abrir Documento")</f>
        <v>0</v>
      </c>
      <c r="D4549" t="s">
        <v>23500</v>
      </c>
      <c r="E4549" t="s">
        <v>27555</v>
      </c>
    </row>
    <row r="4550" spans="1:5">
      <c r="A4550" t="s">
        <v>6</v>
      </c>
      <c r="B4550" t="s">
        <v>4555</v>
      </c>
      <c r="C4550">
        <f>HYPERLINK("C:\Users\franc\OneDrive\Documentos\MALENTIN KARIME\PROTOCOLIZACION\2017\COMUNIADAD LA CISTERNA 49v.doc", "Abrir Documento")</f>
        <v>0</v>
      </c>
      <c r="D4550" t="s">
        <v>23500</v>
      </c>
      <c r="E4550" t="s">
        <v>27556</v>
      </c>
    </row>
    <row r="4551" spans="1:5">
      <c r="A4551" t="s">
        <v>6</v>
      </c>
      <c r="B4551" t="s">
        <v>4556</v>
      </c>
      <c r="C4551">
        <f>HYPERLINK("C:\Users\franc\OneDrive\Documentos\MALENTIN KARIME\PROTOCOLIZACION\2017\COMUNIADAD LA CISTERNA 55v.doc", "Abrir Documento")</f>
        <v>0</v>
      </c>
      <c r="D4551" t="s">
        <v>23500</v>
      </c>
      <c r="E4551" t="s">
        <v>27556</v>
      </c>
    </row>
    <row r="4552" spans="1:5">
      <c r="A4552" t="s">
        <v>6</v>
      </c>
      <c r="B4552" t="s">
        <v>4557</v>
      </c>
      <c r="C4552">
        <f>HYPERLINK("C:\Users\franc\OneDrive\Documentos\MALENTIN KARIME\PROTOCOLIZACION\2017\COMUNIADAD LA CISTERNA 11.doc", "Abrir Documento")</f>
        <v>0</v>
      </c>
      <c r="D4552" t="s">
        <v>23500</v>
      </c>
      <c r="E4552" t="s">
        <v>27557</v>
      </c>
    </row>
    <row r="4553" spans="1:5">
      <c r="A4553" t="s">
        <v>6</v>
      </c>
      <c r="B4553" t="s">
        <v>4558</v>
      </c>
      <c r="C4553">
        <f>HYPERLINK("C:\Users\franc\OneDrive\Documentos\MALENTIN KARIME\PROTOCOLIZACION\2017\Compraventa de derechos Hugo Castillo y otros a Claudia Castillo.doc", "Abrir Documento")</f>
        <v>0</v>
      </c>
      <c r="D4553" t="s">
        <v>23500</v>
      </c>
      <c r="E4553" t="s">
        <v>27558</v>
      </c>
    </row>
    <row r="4554" spans="1:5">
      <c r="A4554" t="s">
        <v>6</v>
      </c>
      <c r="B4554" t="s">
        <v>4559</v>
      </c>
      <c r="C4554">
        <f>HYPERLINK("C:\Users\franc\OneDrive\Documentos\MALENTIN KARIME\PROTOCOLIZACION\2017\COMITE PRO CASA NUEVA ESPERANZA.doc", "Abrir Documento")</f>
        <v>0</v>
      </c>
      <c r="D4554" t="s">
        <v>23500</v>
      </c>
      <c r="E4554" t="s">
        <v>27559</v>
      </c>
    </row>
    <row r="4555" spans="1:5">
      <c r="A4555" t="s">
        <v>6</v>
      </c>
      <c r="B4555" t="s">
        <v>4560</v>
      </c>
      <c r="C4555">
        <f>HYPERLINK("C:\Users\franc\OneDrive\Documentos\MALENTIN KARIME\PROTOCOLIZACION\2017\COMITE PRO CASA VILLA LA PORTADA.doc", "Abrir Documento")</f>
        <v>0</v>
      </c>
      <c r="D4555" t="s">
        <v>23500</v>
      </c>
      <c r="E4555" t="s">
        <v>27559</v>
      </c>
    </row>
    <row r="4556" spans="1:5">
      <c r="A4556" t="s">
        <v>6</v>
      </c>
      <c r="B4556" t="s">
        <v>4561</v>
      </c>
      <c r="C4556">
        <f>HYPERLINK("C:\Users\franc\OneDrive\Documentos\MALENTIN KARIME\PROTOCOLIZACION\2017\COMITE APR LAGUNILLAS.doc", "Abrir Documento")</f>
        <v>0</v>
      </c>
      <c r="D4556" t="s">
        <v>23500</v>
      </c>
      <c r="E4556" t="s">
        <v>27560</v>
      </c>
    </row>
    <row r="4557" spans="1:5">
      <c r="A4557" t="s">
        <v>6</v>
      </c>
      <c r="B4557" t="s">
        <v>4562</v>
      </c>
      <c r="C4557">
        <f>HYPERLINK("C:\Users\franc\OneDrive\Documentos\MALENTIN KARIME\PROTOCOLIZACION\2017\COMITE APR LA UNION.doc", "Abrir Documento")</f>
        <v>0</v>
      </c>
      <c r="D4557" t="s">
        <v>23500</v>
      </c>
      <c r="E4557" t="s">
        <v>27561</v>
      </c>
    </row>
    <row r="4558" spans="1:5">
      <c r="A4558" t="s">
        <v>6</v>
      </c>
      <c r="B4558" t="s">
        <v>4563</v>
      </c>
      <c r="C4558">
        <f>HYPERLINK("C:\Users\franc\OneDrive\Documentos\MALENTIN KARIME\PROTOCOLIZACION\2017\COMITE APR LA UNION 32 v.doc", "Abrir Documento")</f>
        <v>0</v>
      </c>
      <c r="D4558" t="s">
        <v>23500</v>
      </c>
      <c r="E4558" t="s">
        <v>27562</v>
      </c>
    </row>
    <row r="4559" spans="1:5">
      <c r="A4559" t="s">
        <v>6</v>
      </c>
      <c r="B4559" t="s">
        <v>4564</v>
      </c>
      <c r="C4559">
        <f>HYPERLINK("C:\Users\franc\OneDrive\Documentos\MALENTIN KARIME\PROTOCOLIZACION\2017\COMITE APR HIGUERITAS UNIDAS.doc", "Abrir Documento")</f>
        <v>0</v>
      </c>
      <c r="D4559" t="s">
        <v>23500</v>
      </c>
      <c r="E4559" t="s">
        <v>27563</v>
      </c>
    </row>
    <row r="4560" spans="1:5">
      <c r="A4560" t="s">
        <v>6</v>
      </c>
      <c r="B4560" t="s">
        <v>4565</v>
      </c>
      <c r="C4560">
        <f>HYPERLINK("C:\Users\franc\OneDrive\Documentos\MALENTIN KARIME\PROTOCOLIZACION\2017\COMITE APR HIGUERITAS UNIDAS estatutos.doc", "Abrir Documento")</f>
        <v>0</v>
      </c>
      <c r="D4560" t="s">
        <v>23500</v>
      </c>
      <c r="E4560" t="s">
        <v>27564</v>
      </c>
    </row>
    <row r="4561" spans="1:5">
      <c r="A4561" t="s">
        <v>6</v>
      </c>
      <c r="B4561" t="s">
        <v>4566</v>
      </c>
      <c r="C4561">
        <f>HYPERLINK("C:\Users\franc\OneDrive\Documentos\MALENTIN KARIME\PROTOCOLIZACION\2017\CIRCULO DE FERROVIARIOS JUBILADOS.doc", "Abrir Documento")</f>
        <v>0</v>
      </c>
      <c r="D4561" t="s">
        <v>23500</v>
      </c>
      <c r="E4561" t="s">
        <v>27565</v>
      </c>
    </row>
    <row r="4562" spans="1:5">
      <c r="A4562" t="s">
        <v>6</v>
      </c>
      <c r="B4562" t="s">
        <v>4567</v>
      </c>
      <c r="C4562">
        <f>HYPERLINK("C:\Users\franc\OneDrive\Documentos\MALENTIN KARIME\PROTOCOLIZACION\2017\CLAUDIO PIZARRO DIAZ contrato.doc", "Abrir Documento")</f>
        <v>0</v>
      </c>
      <c r="D4562" t="s">
        <v>23500</v>
      </c>
      <c r="E4562" t="s">
        <v>27565</v>
      </c>
    </row>
    <row r="4563" spans="1:5">
      <c r="A4563" t="s">
        <v>6</v>
      </c>
      <c r="B4563" t="s">
        <v>4568</v>
      </c>
      <c r="C4563">
        <f>HYPERLINK("C:\Users\franc\OneDrive\Documentos\MALENTIN KARIME\PROTOCOLIZACION\2017\CHIRINO SANTA MARIA ROJAS.doc", "Abrir Documento")</f>
        <v>0</v>
      </c>
      <c r="D4563" t="s">
        <v>23500</v>
      </c>
      <c r="E4563" t="s">
        <v>27566</v>
      </c>
    </row>
    <row r="4564" spans="1:5">
      <c r="A4564" t="s">
        <v>6</v>
      </c>
      <c r="B4564" t="s">
        <v>4569</v>
      </c>
      <c r="C4564">
        <f>HYPERLINK("C:\Users\franc\OneDrive\Documentos\MALENTIN KARIME\PROTOCOLIZACION\2017\CHIRINO SANTA MARIA ROJAS 74.doc", "Abrir Documento")</f>
        <v>0</v>
      </c>
      <c r="D4564" t="s">
        <v>23500</v>
      </c>
      <c r="E4564" t="s">
        <v>27567</v>
      </c>
    </row>
    <row r="4565" spans="1:5">
      <c r="A4565" t="s">
        <v>6</v>
      </c>
      <c r="B4565" t="s">
        <v>4570</v>
      </c>
      <c r="C4565">
        <f>HYPERLINK("C:\Users\franc\OneDrive\Documentos\MALENTIN KARIME\PROTOCOLIZACION\2017\CHIRINO SANTA MARIA ROJAS 59.doc", "Abrir Documento")</f>
        <v>0</v>
      </c>
      <c r="D4565" t="s">
        <v>23500</v>
      </c>
      <c r="E4565" t="s">
        <v>27568</v>
      </c>
    </row>
    <row r="4566" spans="1:5">
      <c r="A4566" t="s">
        <v>6</v>
      </c>
      <c r="B4566" t="s">
        <v>4571</v>
      </c>
      <c r="C4566">
        <f>HYPERLINK("C:\Users\franc\OneDrive\Documentos\MALENTIN KARIME\PROTOCOLIZACION\2017\CHIRINO SANTA MARIA ROJAS 69.doc", "Abrir Documento")</f>
        <v>0</v>
      </c>
      <c r="D4566" t="s">
        <v>23500</v>
      </c>
      <c r="E4566" t="s">
        <v>27568</v>
      </c>
    </row>
    <row r="4567" spans="1:5">
      <c r="A4567" t="s">
        <v>6</v>
      </c>
      <c r="B4567" t="s">
        <v>4572</v>
      </c>
      <c r="C4567">
        <f>HYPERLINK("C:\Users\franc\OneDrive\Documentos\MALENTIN KARIME\PROTOCOLIZACION\2017\CENTRO CULTURAL Y MUSICAL EL PALQUI.doc", "Abrir Documento")</f>
        <v>0</v>
      </c>
      <c r="D4567" t="s">
        <v>23500</v>
      </c>
      <c r="E4567" t="s">
        <v>27569</v>
      </c>
    </row>
    <row r="4568" spans="1:5">
      <c r="A4568" t="s">
        <v>6</v>
      </c>
      <c r="B4568" t="s">
        <v>4573</v>
      </c>
      <c r="C4568">
        <f>HYPERLINK("C:\Users\franc\OneDrive\Documentos\MALENTIN KARIME\PROTOCOLIZACION\2017\CARLOS GUILLEN VERDEJO contrato.doc", "Abrir Documento")</f>
        <v>0</v>
      </c>
      <c r="D4568" t="s">
        <v>23500</v>
      </c>
      <c r="E4568" t="s">
        <v>27570</v>
      </c>
    </row>
    <row r="4569" spans="1:5">
      <c r="A4569" t="s">
        <v>6</v>
      </c>
      <c r="B4569" t="s">
        <v>4574</v>
      </c>
      <c r="C4569">
        <f>HYPERLINK("C:\Users\franc\OneDrive\Documentos\MALENTIN KARIME\PROTOCOLIZACION\2017\CARMEN CORTES INFANTE drogas 2017.doc", "Abrir Documento")</f>
        <v>0</v>
      </c>
      <c r="D4569" t="s">
        <v>23500</v>
      </c>
      <c r="E4569" t="s">
        <v>27570</v>
      </c>
    </row>
    <row r="4570" spans="1:5">
      <c r="A4570" t="s">
        <v>6</v>
      </c>
      <c r="B4570" t="s">
        <v>4575</v>
      </c>
      <c r="C4570">
        <f>HYPERLINK("C:\Users\franc\OneDrive\Documentos\MALENTIN KARIME\PROTOCOLIZACION\2017\CARABINEROS.doc", "Abrir Documento")</f>
        <v>0</v>
      </c>
      <c r="D4570" t="s">
        <v>23500</v>
      </c>
      <c r="E4570" t="s">
        <v>27571</v>
      </c>
    </row>
    <row r="4571" spans="1:5">
      <c r="A4571" t="s">
        <v>6</v>
      </c>
      <c r="B4571" t="s">
        <v>4576</v>
      </c>
      <c r="C4571">
        <f>HYPERLINK("C:\Users\franc\OneDrive\Documentos\MALENTIN KARIME\PROTOCOLIZACION\2017\CARLOS ARDILES ARDILES contrato.doc", "Abrir Documento")</f>
        <v>0</v>
      </c>
      <c r="D4571" t="s">
        <v>23500</v>
      </c>
      <c r="E4571" t="s">
        <v>27571</v>
      </c>
    </row>
    <row r="4572" spans="1:5">
      <c r="A4572" t="s">
        <v>6</v>
      </c>
      <c r="B4572" t="s">
        <v>4577</v>
      </c>
      <c r="C4572">
        <f>HYPERLINK("C:\Users\franc\OneDrive\Documentos\MALENTIN KARIME\PROTOCOLIZACION\2017\BERNARDO QUEZADA VARASS linea 6.doc", "Abrir Documento")</f>
        <v>0</v>
      </c>
      <c r="D4572" t="s">
        <v>23500</v>
      </c>
      <c r="E4572" t="s">
        <v>27572</v>
      </c>
    </row>
    <row r="4573" spans="1:5">
      <c r="A4573" t="s">
        <v>6</v>
      </c>
      <c r="B4573" t="s">
        <v>4578</v>
      </c>
      <c r="C4573">
        <f>HYPERLINK("C:\Users\franc\OneDrive\Documentos\MALENTIN KARIME\PROTOCOLIZACION\2017\BOMBEROS 6 Compañia.doc", "Abrir Documento")</f>
        <v>0</v>
      </c>
      <c r="D4573" t="s">
        <v>23500</v>
      </c>
      <c r="E4573" t="s">
        <v>27572</v>
      </c>
    </row>
    <row r="4574" spans="1:5">
      <c r="A4574" t="s">
        <v>6</v>
      </c>
      <c r="B4574" t="s">
        <v>4579</v>
      </c>
      <c r="C4574">
        <f>HYPERLINK("C:\Users\franc\OneDrive\Documentos\MALENTIN KARIME\PROTOCOLIZACION\2017\BERNARDO QUEZADA VARASS linea 6 El Mirador.doc", "Abrir Documento")</f>
        <v>0</v>
      </c>
      <c r="D4574" t="s">
        <v>23500</v>
      </c>
      <c r="E4574" t="s">
        <v>27573</v>
      </c>
    </row>
    <row r="4575" spans="1:5">
      <c r="A4575" t="s">
        <v>6</v>
      </c>
      <c r="B4575" t="s">
        <v>4580</v>
      </c>
      <c r="C4575">
        <f>HYPERLINK("C:\Users\franc\OneDrive\Documentos\MALENTIN KARIME\PROTOCOLIZACION\2017\BERNARDO QUEZADA VARASS linea 6 Sotaqui.doc", "Abrir Documento")</f>
        <v>0</v>
      </c>
      <c r="D4575" t="s">
        <v>23500</v>
      </c>
      <c r="E4575" t="s">
        <v>27573</v>
      </c>
    </row>
    <row r="4576" spans="1:5">
      <c r="A4576" t="s">
        <v>6</v>
      </c>
      <c r="B4576" t="s">
        <v>4581</v>
      </c>
      <c r="C4576">
        <f>HYPERLINK("C:\Users\franc\OneDrive\Documentos\MALENTIN KARIME\PROTOCOLIZACION\2017\BERNARDO QUEZADA VARASS linea 6 Atenas.doc", "Abrir Documento")</f>
        <v>0</v>
      </c>
      <c r="D4576" t="s">
        <v>23500</v>
      </c>
      <c r="E4576" t="s">
        <v>27574</v>
      </c>
    </row>
    <row r="4577" spans="1:5">
      <c r="A4577" t="s">
        <v>6</v>
      </c>
      <c r="B4577" t="s">
        <v>4582</v>
      </c>
      <c r="C4577">
        <f>HYPERLINK("C:\Users\franc\OneDrive\Documentos\MALENTIN KARIME\PROTOCOLIZACION\2017\BERNARDO QUEZADA VARASS linea 1.doc", "Abrir Documento")</f>
        <v>0</v>
      </c>
      <c r="D4577" t="s">
        <v>23500</v>
      </c>
      <c r="E4577" t="s">
        <v>27575</v>
      </c>
    </row>
    <row r="4578" spans="1:5">
      <c r="A4578" t="s">
        <v>6</v>
      </c>
      <c r="B4578" t="s">
        <v>4583</v>
      </c>
      <c r="C4578">
        <f>HYPERLINK("C:\Users\franc\OneDrive\Documentos\MALENTIN KARIME\PROTOCOLIZACION\2017\autorizacion junta vigilancia.doc", "Abrir Documento")</f>
        <v>0</v>
      </c>
      <c r="D4578" t="s">
        <v>23500</v>
      </c>
      <c r="E4578" t="s">
        <v>27576</v>
      </c>
    </row>
    <row r="4579" spans="1:5">
      <c r="A4579" t="s">
        <v>6</v>
      </c>
      <c r="B4579" t="s">
        <v>4584</v>
      </c>
      <c r="C4579">
        <f>HYPERLINK("C:\Users\franc\OneDrive\Documentos\MALENTIN KARIME\PROTOCOLIZACION\2017\autorizacion.doc", "Abrir Documento")</f>
        <v>0</v>
      </c>
      <c r="D4579" t="s">
        <v>23500</v>
      </c>
      <c r="E4579" t="s">
        <v>27576</v>
      </c>
    </row>
    <row r="4580" spans="1:5">
      <c r="A4580" t="s">
        <v>6</v>
      </c>
      <c r="B4580" t="s">
        <v>4585</v>
      </c>
      <c r="C4580">
        <f>HYPERLINK("C:\Users\franc\OneDrive\Documentos\MALENTIN KARIME\PROTOCOLIZACION\2017\autorizacion asistencia.doc", "Abrir Documento")</f>
        <v>0</v>
      </c>
      <c r="D4580" t="s">
        <v>23500</v>
      </c>
      <c r="E4580" t="s">
        <v>27577</v>
      </c>
    </row>
    <row r="4581" spans="1:5">
      <c r="A4581" t="s">
        <v>6</v>
      </c>
      <c r="B4581" t="s">
        <v>4586</v>
      </c>
      <c r="C4581">
        <f>HYPERLINK("C:\Users\franc\OneDrive\Documentos\MALENTIN KARIME\PROTOCOLIZACION\2017\ASOC. GREMIAL MAYORISTAS OVALLE.doc", "Abrir Documento")</f>
        <v>0</v>
      </c>
      <c r="D4581" t="s">
        <v>23500</v>
      </c>
      <c r="E4581" t="s">
        <v>27578</v>
      </c>
    </row>
    <row r="4582" spans="1:5">
      <c r="A4582" t="s">
        <v>6</v>
      </c>
      <c r="B4582" t="s">
        <v>4587</v>
      </c>
      <c r="C4582">
        <f>HYPERLINK("C:\Users\franc\OneDrive\Documentos\MALENTIN KARIME\PROTOCOLIZACION\2017\ASOC. GREMIAL MAYORISTAS OVALLE 07 ago.doc", "Abrir Documento")</f>
        <v>0</v>
      </c>
      <c r="D4582" t="s">
        <v>23500</v>
      </c>
      <c r="E4582" t="s">
        <v>27579</v>
      </c>
    </row>
    <row r="4583" spans="1:5">
      <c r="A4583" t="s">
        <v>6</v>
      </c>
      <c r="B4583" t="s">
        <v>4588</v>
      </c>
      <c r="C4583">
        <f>HYPERLINK("C:\Users\franc\OneDrive\Documentos\MALENTIN KARIME\PROTOCOLIZACION\2017\ARNALDO RIVERA LAZO contrato.doc", "Abrir Documento")</f>
        <v>0</v>
      </c>
      <c r="D4583" t="s">
        <v>23500</v>
      </c>
      <c r="E4583" t="s">
        <v>27580</v>
      </c>
    </row>
    <row r="4584" spans="1:5">
      <c r="A4584" t="s">
        <v>6</v>
      </c>
      <c r="B4584" t="s">
        <v>4589</v>
      </c>
      <c r="C4584">
        <f>HYPERLINK("C:\Users\franc\OneDrive\Documentos\MALENTIN KARIME\PROTOCOLIZACION\2017\ANA ESPINOZA PLAZA Particular.doc", "Abrir Documento")</f>
        <v>0</v>
      </c>
      <c r="D4584" t="s">
        <v>23500</v>
      </c>
      <c r="E4584" t="s">
        <v>27581</v>
      </c>
    </row>
    <row r="4585" spans="1:5">
      <c r="A4585" t="s">
        <v>6</v>
      </c>
      <c r="B4585" t="s">
        <v>4590</v>
      </c>
      <c r="C4585">
        <f>HYPERLINK("C:\Users\franc\OneDrive\Documentos\MALENTIN KARIME\PROTOCOLIZACION\2017\ANTOLIN ARACENA linea 4.doc", "Abrir Documento")</f>
        <v>0</v>
      </c>
      <c r="D4585" t="s">
        <v>23500</v>
      </c>
      <c r="E4585" t="s">
        <v>27581</v>
      </c>
    </row>
    <row r="4586" spans="1:5">
      <c r="A4586" t="s">
        <v>6</v>
      </c>
      <c r="B4586" t="s">
        <v>4591</v>
      </c>
      <c r="C4586">
        <f>HYPERLINK("C:\Users\franc\OneDrive\Documentos\MALENTIN KARIME\PROTOCOLIZACION\2016\ROBERTO VEGA (Resuelvo 4025 DOH).doc", "Abrir Documento")</f>
        <v>0</v>
      </c>
      <c r="D4586" t="s">
        <v>23500</v>
      </c>
      <c r="E4586" t="s">
        <v>27582</v>
      </c>
    </row>
    <row r="4587" spans="1:5">
      <c r="A4587" t="s">
        <v>6</v>
      </c>
      <c r="B4587" t="s">
        <v>4592</v>
      </c>
      <c r="C4587">
        <f>HYPERLINK("C:\Users\franc\OneDrive\Documentos\MALENTIN KARIME\PROTOCOLIZACION\2016\SUSANA MARGARITA ARAYA Indap.doc", "Abrir Documento")</f>
        <v>0</v>
      </c>
      <c r="D4587" t="s">
        <v>23500</v>
      </c>
      <c r="E4587" t="s">
        <v>27582</v>
      </c>
    </row>
    <row r="4588" spans="1:5">
      <c r="A4588" t="s">
        <v>6</v>
      </c>
      <c r="B4588" t="s">
        <v>4593</v>
      </c>
      <c r="C4588">
        <f>HYPERLINK("C:\Users\franc\OneDrive\Documentos\MALENTIN KARIME\PROTOCOLIZACION\2016\ROBERTO VEGA (Resuelvo 3993 DOH).doc", "Abrir Documento")</f>
        <v>0</v>
      </c>
      <c r="D4588" t="s">
        <v>23500</v>
      </c>
      <c r="E4588" t="s">
        <v>27583</v>
      </c>
    </row>
    <row r="4589" spans="1:5">
      <c r="A4589" t="s">
        <v>6</v>
      </c>
      <c r="B4589" t="s">
        <v>4594</v>
      </c>
      <c r="C4589">
        <f>HYPERLINK("C:\Users\franc\OneDrive\Documentos\MALENTIN KARIME\PROTOCOLIZACION\2016\ROBERTO VEGA (Resuelvo 4020 DOH).doc", "Abrir Documento")</f>
        <v>0</v>
      </c>
      <c r="D4589" t="s">
        <v>23500</v>
      </c>
      <c r="E4589" t="s">
        <v>27583</v>
      </c>
    </row>
    <row r="4590" spans="1:5">
      <c r="A4590" t="s">
        <v>6</v>
      </c>
      <c r="B4590" t="s">
        <v>4595</v>
      </c>
      <c r="C4590">
        <f>HYPERLINK("C:\Users\franc\OneDrive\Documentos\MALENTIN KARIME\PROTOCOLIZACION\2016\ROBERTO VEGA (Resuelvo 3288 DOH).doc", "Abrir Documento")</f>
        <v>0</v>
      </c>
      <c r="D4590" t="s">
        <v>23500</v>
      </c>
      <c r="E4590" t="s">
        <v>27584</v>
      </c>
    </row>
    <row r="4591" spans="1:5">
      <c r="A4591" t="s">
        <v>6</v>
      </c>
      <c r="B4591" t="s">
        <v>4596</v>
      </c>
      <c r="C4591">
        <f>HYPERLINK("C:\Users\franc\OneDrive\Documentos\MALENTIN KARIME\PROTOCOLIZACION\2016\ROBERTO VEGA (Resuelvo 3304 DOH).doc", "Abrir Documento")</f>
        <v>0</v>
      </c>
      <c r="D4591" t="s">
        <v>23500</v>
      </c>
      <c r="E4591" t="s">
        <v>27584</v>
      </c>
    </row>
    <row r="4592" spans="1:5">
      <c r="A4592" t="s">
        <v>6</v>
      </c>
      <c r="B4592" t="s">
        <v>4597</v>
      </c>
      <c r="C4592">
        <f>HYPERLINK("C:\Users\franc\OneDrive\Documentos\MALENTIN KARIME\PROTOCOLIZACION\2016\REGANTES Asociacion canalistas punitaqui.doc", "Abrir Documento")</f>
        <v>0</v>
      </c>
      <c r="D4592" t="s">
        <v>23500</v>
      </c>
      <c r="E4592" t="s">
        <v>27585</v>
      </c>
    </row>
    <row r="4593" spans="1:5">
      <c r="A4593" t="s">
        <v>6</v>
      </c>
      <c r="B4593" t="s">
        <v>4598</v>
      </c>
      <c r="C4593">
        <f>HYPERLINK("C:\Users\franc\OneDrive\Documentos\MALENTIN KARIME\PROTOCOLIZACION\2016\PRIMERA COMPAÑIA BOMBEROS.doc", "Abrir Documento")</f>
        <v>0</v>
      </c>
      <c r="D4593" t="s">
        <v>23500</v>
      </c>
      <c r="E4593" t="s">
        <v>27586</v>
      </c>
    </row>
    <row r="4594" spans="1:5">
      <c r="A4594" t="s">
        <v>6</v>
      </c>
      <c r="B4594" t="s">
        <v>4599</v>
      </c>
      <c r="C4594">
        <f>HYPERLINK("C:\Users\franc\OneDrive\Documentos\MALENTIN KARIME\PROTOCOLIZACION\2016\plano ERNESTO MARIN TAPIA.doc", "Abrir Documento")</f>
        <v>0</v>
      </c>
      <c r="D4594" t="s">
        <v>23500</v>
      </c>
      <c r="E4594" t="s">
        <v>27587</v>
      </c>
    </row>
    <row r="4595" spans="1:5">
      <c r="A4595" t="s">
        <v>6</v>
      </c>
      <c r="B4595" t="s">
        <v>4600</v>
      </c>
      <c r="C4595">
        <f>HYPERLINK("C:\Users\franc\OneDrive\Documentos\MALENTIN KARIME\PROTOCOLIZACION\2016\PLACIDO CORTES Mandato.doc", "Abrir Documento")</f>
        <v>0</v>
      </c>
      <c r="D4595" t="s">
        <v>23500</v>
      </c>
      <c r="E4595" t="s">
        <v>27588</v>
      </c>
    </row>
    <row r="4596" spans="1:5">
      <c r="A4596" t="s">
        <v>6</v>
      </c>
      <c r="B4596" t="s">
        <v>4601</v>
      </c>
      <c r="C4596">
        <f>HYPERLINK("C:\Users\franc\OneDrive\Documentos\MALENTIN KARIME\PROTOCOLIZACION\2016\MARIA VARELA PINTO Propuesta.doc", "Abrir Documento")</f>
        <v>0</v>
      </c>
      <c r="D4596" t="s">
        <v>23500</v>
      </c>
      <c r="E4596" t="s">
        <v>27589</v>
      </c>
    </row>
    <row r="4597" spans="1:5">
      <c r="A4597" t="s">
        <v>6</v>
      </c>
      <c r="B4597" t="s">
        <v>4602</v>
      </c>
      <c r="C4597">
        <f>HYPERLINK("C:\Users\franc\OneDrive\Documentos\MALENTIN KARIME\PROTOCOLIZACION\2016\NELSON ROBLES ARAYA Indap.doc", "Abrir Documento")</f>
        <v>0</v>
      </c>
      <c r="D4597" t="s">
        <v>23500</v>
      </c>
      <c r="E4597" t="s">
        <v>27589</v>
      </c>
    </row>
    <row r="4598" spans="1:5">
      <c r="A4598" t="s">
        <v>6</v>
      </c>
      <c r="B4598" t="s">
        <v>4603</v>
      </c>
      <c r="C4598">
        <f>HYPERLINK("C:\Users\franc\OneDrive\Documentos\MALENTIN KARIME\PROTOCOLIZACION\2016\LUIS GALLARDO Inventario.doc", "Abrir Documento")</f>
        <v>0</v>
      </c>
      <c r="D4598" t="s">
        <v>23500</v>
      </c>
      <c r="E4598" t="s">
        <v>27590</v>
      </c>
    </row>
    <row r="4599" spans="1:5">
      <c r="A4599" t="s">
        <v>6</v>
      </c>
      <c r="B4599" t="s">
        <v>4604</v>
      </c>
      <c r="C4599">
        <f>HYPERLINK("C:\Users\franc\OneDrive\Documentos\MALENTIN KARIME\PROTOCOLIZACION\2016\MARIA ANGELICA CARMONA PIZARRO.doc", "Abrir Documento")</f>
        <v>0</v>
      </c>
      <c r="D4599" t="s">
        <v>23500</v>
      </c>
      <c r="E4599" t="s">
        <v>27590</v>
      </c>
    </row>
    <row r="4600" spans="1:5">
      <c r="A4600" t="s">
        <v>6</v>
      </c>
      <c r="B4600" t="s">
        <v>4605</v>
      </c>
      <c r="C4600">
        <f>HYPERLINK("C:\Users\franc\OneDrive\Documentos\MALENTIN KARIME\PROTOCOLIZACION\2016\FRANCISCO PROHENS S.doc", "Abrir Documento")</f>
        <v>0</v>
      </c>
      <c r="D4600" t="s">
        <v>23500</v>
      </c>
      <c r="E4600" t="s">
        <v>27591</v>
      </c>
    </row>
    <row r="4601" spans="1:5">
      <c r="A4601" t="s">
        <v>6</v>
      </c>
      <c r="B4601" t="s">
        <v>4606</v>
      </c>
      <c r="C4601">
        <f>HYPERLINK("C:\Users\franc\OneDrive\Documentos\MALENTIN KARIME\PROTOCOLIZACION\2016\JUAN JAIME PROHENS S.doc", "Abrir Documento")</f>
        <v>0</v>
      </c>
      <c r="D4601" t="s">
        <v>23500</v>
      </c>
      <c r="E4601" t="s">
        <v>27591</v>
      </c>
    </row>
    <row r="4602" spans="1:5">
      <c r="A4602" t="s">
        <v>6</v>
      </c>
      <c r="B4602" t="s">
        <v>4607</v>
      </c>
      <c r="C4602">
        <f>HYPERLINK("C:\Users\franc\OneDrive\Documentos\MALENTIN KARIME\PROTOCOLIZACION\2016\ELECOOP.doc", "Abrir Documento")</f>
        <v>0</v>
      </c>
      <c r="D4602" t="s">
        <v>23500</v>
      </c>
      <c r="E4602" t="s">
        <v>27592</v>
      </c>
    </row>
    <row r="4603" spans="1:5">
      <c r="A4603" t="s">
        <v>6</v>
      </c>
      <c r="B4603" t="s">
        <v>4608</v>
      </c>
      <c r="C4603">
        <f>HYPERLINK("C:\Users\franc\OneDrive\Documentos\MALENTIN KARIME\PROTOCOLIZACION\2016\ELECOOP 30 junio.doc", "Abrir Documento")</f>
        <v>0</v>
      </c>
      <c r="D4603" t="s">
        <v>23500</v>
      </c>
      <c r="E4603" t="s">
        <v>27593</v>
      </c>
    </row>
    <row r="4604" spans="1:5">
      <c r="A4604" t="s">
        <v>6</v>
      </c>
      <c r="B4604" t="s">
        <v>4609</v>
      </c>
      <c r="C4604">
        <f>HYPERLINK("C:\Users\franc\OneDrive\Documentos\MALENTIN KARIME\PROTOCOLIZACION\2016\EDUARDO LOPEZ contrato directo Escuela Guardia Marina.doc", "Abrir Documento")</f>
        <v>0</v>
      </c>
      <c r="D4604" t="s">
        <v>23500</v>
      </c>
      <c r="E4604" t="s">
        <v>27594</v>
      </c>
    </row>
    <row r="4605" spans="1:5">
      <c r="A4605" t="s">
        <v>6</v>
      </c>
      <c r="B4605" t="s">
        <v>4610</v>
      </c>
      <c r="C4605">
        <f>HYPERLINK("C:\Users\franc\OneDrive\Documentos\MALENTIN KARIME\PROTOCOLIZACION\2016\EDUARDO LOPEZ contrato directo Liceo Politecnico.doc", "Abrir Documento")</f>
        <v>0</v>
      </c>
      <c r="D4605" t="s">
        <v>23500</v>
      </c>
      <c r="E4605" t="s">
        <v>27594</v>
      </c>
    </row>
    <row r="4606" spans="1:5">
      <c r="A4606" t="s">
        <v>6</v>
      </c>
      <c r="B4606" t="s">
        <v>4611</v>
      </c>
      <c r="C4606">
        <f>HYPERLINK("C:\Users\franc\OneDrive\Documentos\MALENTIN KARIME\PROTOCOLIZACION\2016\EDUARDO LOPEZ  PROP 99.doc", "Abrir Documento")</f>
        <v>0</v>
      </c>
      <c r="D4606" t="s">
        <v>23500</v>
      </c>
      <c r="E4606" t="s">
        <v>27595</v>
      </c>
    </row>
    <row r="4607" spans="1:5">
      <c r="A4607" t="s">
        <v>6</v>
      </c>
      <c r="B4607" t="s">
        <v>4612</v>
      </c>
      <c r="C4607">
        <f>HYPERLINK("C:\Users\franc\OneDrive\Documentos\MALENTIN KARIME\PROTOCOLIZACION\2016\EDUARDO LOPEZ  PROP 93.doc", "Abrir Documento")</f>
        <v>0</v>
      </c>
      <c r="D4607" t="s">
        <v>23500</v>
      </c>
      <c r="E4607" t="s">
        <v>27596</v>
      </c>
    </row>
    <row r="4608" spans="1:5">
      <c r="A4608" t="s">
        <v>6</v>
      </c>
      <c r="B4608" t="s">
        <v>4613</v>
      </c>
      <c r="C4608">
        <f>HYPERLINK("C:\Users\franc\OneDrive\Documentos\MALENTIN KARIME\PROTOCOLIZACION\2016\EDUARDO LOPEZ  PROP 78 Modifica.doc", "Abrir Documento")</f>
        <v>0</v>
      </c>
      <c r="D4608" t="s">
        <v>23500</v>
      </c>
      <c r="E4608" t="s">
        <v>27597</v>
      </c>
    </row>
    <row r="4609" spans="1:5">
      <c r="A4609" t="s">
        <v>6</v>
      </c>
      <c r="B4609" t="s">
        <v>4614</v>
      </c>
      <c r="C4609">
        <f>HYPERLINK("C:\Users\franc\OneDrive\Documentos\MALENTIN KARIME\PROTOCOLIZACION\2016\EDUARDO LOPEZ  PROP 78.doc", "Abrir Documento")</f>
        <v>0</v>
      </c>
      <c r="D4609" t="s">
        <v>23500</v>
      </c>
      <c r="E4609" t="s">
        <v>27597</v>
      </c>
    </row>
    <row r="4610" spans="1:5">
      <c r="A4610" t="s">
        <v>6</v>
      </c>
      <c r="B4610" t="s">
        <v>4615</v>
      </c>
      <c r="C4610">
        <f>HYPERLINK("C:\Users\franc\OneDrive\Documentos\MALENTIN KARIME\PROTOCOLIZACION\2016\EDUARDO LOPEZ  PROP 103.doc", "Abrir Documento")</f>
        <v>0</v>
      </c>
      <c r="D4610" t="s">
        <v>23500</v>
      </c>
      <c r="E4610" t="s">
        <v>27598</v>
      </c>
    </row>
    <row r="4611" spans="1:5">
      <c r="A4611" t="s">
        <v>6</v>
      </c>
      <c r="B4611" t="s">
        <v>4616</v>
      </c>
      <c r="C4611">
        <f>HYPERLINK("C:\Users\franc\OneDrive\Documentos\MALENTIN KARIME\PROTOCOLIZACION\2016\EDUARDO LOPEZ  PROP 104.doc", "Abrir Documento")</f>
        <v>0</v>
      </c>
      <c r="D4611" t="s">
        <v>23500</v>
      </c>
      <c r="E4611" t="s">
        <v>27598</v>
      </c>
    </row>
    <row r="4612" spans="1:5">
      <c r="A4612" t="s">
        <v>6</v>
      </c>
      <c r="B4612" t="s">
        <v>4617</v>
      </c>
      <c r="C4612">
        <f>HYPERLINK("C:\Users\franc\OneDrive\Documentos\MALENTIN KARIME\PROTOCOLIZACION\2016\EDUARDO LOPEZ  PROP 46.doc", "Abrir Documento")</f>
        <v>0</v>
      </c>
      <c r="D4612" t="s">
        <v>23500</v>
      </c>
      <c r="E4612" t="s">
        <v>27598</v>
      </c>
    </row>
    <row r="4613" spans="1:5">
      <c r="A4613" t="s">
        <v>6</v>
      </c>
      <c r="B4613" t="s">
        <v>4618</v>
      </c>
      <c r="C4613">
        <f>HYPERLINK("C:\Users\franc\OneDrive\Documentos\MALENTIN KARIME\PROTOCOLIZACION\2016\CRISTIAN MOYA TAPIA}  Propuesta.doc", "Abrir Documento")</f>
        <v>0</v>
      </c>
      <c r="D4613" t="s">
        <v>23500</v>
      </c>
      <c r="E4613" t="s">
        <v>27599</v>
      </c>
    </row>
    <row r="4614" spans="1:5">
      <c r="A4614" t="s">
        <v>6</v>
      </c>
      <c r="B4614" t="s">
        <v>4619</v>
      </c>
      <c r="C4614">
        <f>HYPERLINK("C:\Users\franc\OneDrive\Documentos\MALENTIN KARIME\PROTOCOLIZACION\2016\EDO. VARAS LEDEZMA.doc", "Abrir Documento")</f>
        <v>0</v>
      </c>
      <c r="D4614" t="s">
        <v>23500</v>
      </c>
      <c r="E4614" t="s">
        <v>27599</v>
      </c>
    </row>
    <row r="4615" spans="1:5">
      <c r="A4615" t="s">
        <v>6</v>
      </c>
      <c r="B4615" t="s">
        <v>4620</v>
      </c>
      <c r="C4615">
        <f>HYPERLINK("C:\Users\franc\OneDrive\Documentos\MALENTIN KARIME\PROTOCOLIZACION\2016\CONDOMINIO DEL ATARDECER fs 3.doc", "Abrir Documento")</f>
        <v>0</v>
      </c>
      <c r="D4615" t="s">
        <v>23500</v>
      </c>
      <c r="E4615" t="s">
        <v>27600</v>
      </c>
    </row>
    <row r="4616" spans="1:5">
      <c r="A4616" t="s">
        <v>6</v>
      </c>
      <c r="B4616" t="s">
        <v>4621</v>
      </c>
      <c r="C4616">
        <f>HYPERLINK("C:\Users\franc\OneDrive\Documentos\MALENTIN KARIME\PROTOCOLIZACION\2016\CONDOMINIO DEL ATARDECER fs 5.doc", "Abrir Documento")</f>
        <v>0</v>
      </c>
      <c r="D4616" t="s">
        <v>23500</v>
      </c>
      <c r="E4616" t="s">
        <v>27600</v>
      </c>
    </row>
    <row r="4617" spans="1:5">
      <c r="A4617" t="s">
        <v>6</v>
      </c>
      <c r="B4617" t="s">
        <v>4622</v>
      </c>
      <c r="C4617">
        <f>HYPERLINK("C:\Users\franc\OneDrive\Documentos\MALENTIN KARIME\PROTOCOLIZACION\2016\COMUNIDAD PUNITAQUI.doc", "Abrir Documento")</f>
        <v>0</v>
      </c>
      <c r="D4617" t="s">
        <v>23500</v>
      </c>
      <c r="E4617" t="s">
        <v>27601</v>
      </c>
    </row>
    <row r="4618" spans="1:5">
      <c r="A4618" t="s">
        <v>6</v>
      </c>
      <c r="B4618" t="s">
        <v>4623</v>
      </c>
      <c r="C4618">
        <f>HYPERLINK("C:\Users\franc\OneDrive\Documentos\MALENTIN KARIME\PROTOCOLIZACION\2016\comunidad ORURO.doc", "Abrir Documento")</f>
        <v>0</v>
      </c>
      <c r="D4618" t="s">
        <v>23500</v>
      </c>
      <c r="E4618" t="s">
        <v>27602</v>
      </c>
    </row>
    <row r="4619" spans="1:5">
      <c r="A4619" t="s">
        <v>6</v>
      </c>
      <c r="B4619" t="s">
        <v>4624</v>
      </c>
      <c r="C4619">
        <f>HYPERLINK("C:\Users\franc\OneDrive\Documentos\MALENTIN KARIME\PROTOCOLIZACION\2016\comunidad LA COIPA.doc", "Abrir Documento")</f>
        <v>0</v>
      </c>
      <c r="D4619" t="s">
        <v>23500</v>
      </c>
      <c r="E4619" t="s">
        <v>27603</v>
      </c>
    </row>
    <row r="4620" spans="1:5">
      <c r="A4620" t="s">
        <v>6</v>
      </c>
      <c r="B4620" t="s">
        <v>4625</v>
      </c>
      <c r="C4620">
        <f>HYPERLINK("C:\Users\franc\OneDrive\Documentos\MALENTIN KARIME\PROTOCOLIZACION\2016\COMUNIDAD BUENOS AIRES DE PUNILLA.doc", "Abrir Documento")</f>
        <v>0</v>
      </c>
      <c r="D4620" t="s">
        <v>23500</v>
      </c>
      <c r="E4620" t="s">
        <v>27604</v>
      </c>
    </row>
    <row r="4621" spans="1:5">
      <c r="A4621" t="s">
        <v>6</v>
      </c>
      <c r="B4621" t="s">
        <v>4626</v>
      </c>
      <c r="C4621">
        <f>HYPERLINK("C:\Users\franc\OneDrive\Documentos\MALENTIN KARIME\PROTOCOLIZACION\2016\COMUNIDAD DRENAJE CACHIYUYO.doc", "Abrir Documento")</f>
        <v>0</v>
      </c>
      <c r="D4621" t="s">
        <v>23500</v>
      </c>
      <c r="E4621" t="s">
        <v>27604</v>
      </c>
    </row>
    <row r="4622" spans="1:5">
      <c r="A4622" t="s">
        <v>6</v>
      </c>
      <c r="B4622" t="s">
        <v>4627</v>
      </c>
      <c r="C4622">
        <f>HYPERLINK("C:\Users\franc\OneDrive\Documentos\MALENTIN KARIME\PROTOCOLIZACION\2016\COMUNIDAD ALGARROBOS DE HORNILLOS.doc", "Abrir Documento")</f>
        <v>0</v>
      </c>
      <c r="D4622" t="s">
        <v>23500</v>
      </c>
      <c r="E4622" t="s">
        <v>27605</v>
      </c>
    </row>
    <row r="4623" spans="1:5">
      <c r="A4623" t="s">
        <v>6</v>
      </c>
      <c r="B4623" t="s">
        <v>4628</v>
      </c>
      <c r="C4623">
        <f>HYPERLINK("C:\Users\franc\OneDrive\Documentos\MALENTIN KARIME\PROTOCOLIZACION\2016\COMUNIDAD AGRICOLA LOS TAPIA.doc", "Abrir Documento")</f>
        <v>0</v>
      </c>
      <c r="D4623" t="s">
        <v>23500</v>
      </c>
      <c r="E4623" t="s">
        <v>27606</v>
      </c>
    </row>
    <row r="4624" spans="1:5">
      <c r="A4624" t="s">
        <v>6</v>
      </c>
      <c r="B4624" t="s">
        <v>4629</v>
      </c>
      <c r="C4624">
        <f>HYPERLINK("C:\Users\franc\OneDrive\Documentos\MALENTIN KARIME\PROTOCOLIZACION\2016\COMUNIDAD AGRICOLA LAS DAMAS.doc", "Abrir Documento")</f>
        <v>0</v>
      </c>
      <c r="D4624" t="s">
        <v>23500</v>
      </c>
      <c r="E4624" t="s">
        <v>27607</v>
      </c>
    </row>
    <row r="4625" spans="1:5">
      <c r="A4625" t="s">
        <v>6</v>
      </c>
      <c r="B4625" t="s">
        <v>4630</v>
      </c>
      <c r="C4625">
        <f>HYPERLINK("C:\Users\franc\OneDrive\Documentos\MALENTIN KARIME\PROTOCOLIZACION\2016\COMITE PRO CASA CERRO AMARILLO.doc", "Abrir Documento")</f>
        <v>0</v>
      </c>
      <c r="D4625" t="s">
        <v>23500</v>
      </c>
      <c r="E4625" t="s">
        <v>27608</v>
      </c>
    </row>
    <row r="4626" spans="1:5">
      <c r="A4626" t="s">
        <v>6</v>
      </c>
      <c r="B4626" t="s">
        <v>4631</v>
      </c>
      <c r="C4626">
        <f>HYPERLINK("C:\Users\franc\OneDrive\Documentos\MALENTIN KARIME\PROTOCOLIZACION\2016\COMUNIDAD AGRICOLA CERRO BLANCO.doc", "Abrir Documento")</f>
        <v>0</v>
      </c>
      <c r="D4626" t="s">
        <v>23500</v>
      </c>
      <c r="E4626" t="s">
        <v>27608</v>
      </c>
    </row>
    <row r="4627" spans="1:5">
      <c r="A4627" t="s">
        <v>6</v>
      </c>
      <c r="B4627" t="s">
        <v>4632</v>
      </c>
      <c r="C4627">
        <f>HYPERLINK("C:\Users\franc\OneDrive\Documentos\MALENTIN KARIME\PROTOCOLIZACION\2016\CIRO BERRIOS  Propuesta.doc", "Abrir Documento")</f>
        <v>0</v>
      </c>
      <c r="D4627" t="s">
        <v>23500</v>
      </c>
      <c r="E4627" t="s">
        <v>27609</v>
      </c>
    </row>
    <row r="4628" spans="1:5">
      <c r="A4628" t="s">
        <v>6</v>
      </c>
      <c r="B4628" t="s">
        <v>4633</v>
      </c>
      <c r="C4628">
        <f>HYPERLINK("C:\Users\franc\OneDrive\Documentos\MALENTIN KARIME\PROTOCOLIZACION\2016\BOMBEROS SEGUNDA CIA. FS9 v.doc", "Abrir Documento")</f>
        <v>0</v>
      </c>
      <c r="D4628" t="s">
        <v>23500</v>
      </c>
      <c r="E4628" t="s">
        <v>27610</v>
      </c>
    </row>
    <row r="4629" spans="1:5">
      <c r="A4629" t="s">
        <v>6</v>
      </c>
      <c r="B4629" t="s">
        <v>4634</v>
      </c>
      <c r="C4629">
        <f>HYPERLINK("C:\Users\franc\OneDrive\Documentos\MALENTIN KARIME\PROTOCOLIZACION\2016\BOMBEROS 6 Compañia.doc", "Abrir Documento")</f>
        <v>0</v>
      </c>
      <c r="D4629" t="s">
        <v>23500</v>
      </c>
      <c r="E4629" t="s">
        <v>27611</v>
      </c>
    </row>
    <row r="4630" spans="1:5">
      <c r="A4630" t="s">
        <v>6</v>
      </c>
      <c r="B4630" t="s">
        <v>4635</v>
      </c>
      <c r="C4630">
        <f>HYPERLINK("C:\Users\franc\OneDrive\Documentos\MALENTIN KARIME\PROTOCOLIZACION\2016\Anibal Serrano Drogas.doc", "Abrir Documento")</f>
        <v>0</v>
      </c>
      <c r="D4630" t="s">
        <v>23500</v>
      </c>
      <c r="E4630" t="s">
        <v>27612</v>
      </c>
    </row>
    <row r="4631" spans="1:5">
      <c r="A4631" t="s">
        <v>6</v>
      </c>
      <c r="B4631" t="s">
        <v>4636</v>
      </c>
      <c r="C4631">
        <f>HYPERLINK("C:\Users\franc\OneDrive\Documentos\MALENTIN KARIME\PROTOCOLIZACION\2016\ASOCIACION PEQUEÑOS MINERO EL HUACHO.doc", "Abrir Documento")</f>
        <v>0</v>
      </c>
      <c r="D4631" t="s">
        <v>23500</v>
      </c>
      <c r="E4631" t="s">
        <v>27612</v>
      </c>
    </row>
    <row r="4632" spans="1:5">
      <c r="A4632" t="s">
        <v>6</v>
      </c>
      <c r="B4632" t="s">
        <v>4637</v>
      </c>
      <c r="C4632">
        <f>HYPERLINK("C:\Users\franc\OneDrive\Documentos\MALENTIN KARIME\PROTOCOLIZACION\2016\ANA PIZARRO Inventario.doc", "Abrir Documento")</f>
        <v>0</v>
      </c>
      <c r="D4632" t="s">
        <v>23500</v>
      </c>
      <c r="E4632" t="s">
        <v>27613</v>
      </c>
    </row>
    <row r="4633" spans="1:5">
      <c r="A4633" t="s">
        <v>6</v>
      </c>
      <c r="B4633" t="s">
        <v>4638</v>
      </c>
      <c r="C4633">
        <f>HYPERLINK("C:\Users\franc\OneDrive\Documentos\MALENTIN KARIME\PROTOCOLIZACION\2016\ANA GUERRERO MONDACA.doc", "Abrir Documento")</f>
        <v>0</v>
      </c>
      <c r="D4633" t="s">
        <v>23500</v>
      </c>
      <c r="E4633" t="s">
        <v>27614</v>
      </c>
    </row>
    <row r="4634" spans="1:5">
      <c r="A4634" t="s">
        <v>6</v>
      </c>
      <c r="B4634" t="s">
        <v>4639</v>
      </c>
      <c r="C4634">
        <f>HYPERLINK("C:\Users\franc\OneDrive\Documentos\MALENTIN KARIME\PROTOCOLIZACION\2016\ANA ARAYA ROJO Drogas.doc", "Abrir Documento")</f>
        <v>0</v>
      </c>
      <c r="D4634" t="s">
        <v>23500</v>
      </c>
      <c r="E4634" t="s">
        <v>27615</v>
      </c>
    </row>
    <row r="4635" spans="1:5">
      <c r="A4635" t="s">
        <v>6</v>
      </c>
      <c r="B4635" t="s">
        <v>4640</v>
      </c>
      <c r="C4635">
        <f>HYPERLINK("C:\Users\franc\OneDrive\Documentos\MALENTIN KARIME\PROTOCOLIZACION\2015\YOBANA SEGOVIA.doc", "Abrir Documento")</f>
        <v>0</v>
      </c>
      <c r="D4635" t="s">
        <v>23500</v>
      </c>
      <c r="E4635" t="s">
        <v>27616</v>
      </c>
    </row>
    <row r="4636" spans="1:5">
      <c r="A4636" t="s">
        <v>6</v>
      </c>
      <c r="B4636" t="s">
        <v>4641</v>
      </c>
      <c r="C4636">
        <f>HYPERLINK("C:\Users\franc\OneDrive\Documentos\MALENTIN KARIME\PROTOCOLIZACION\2015\VALESKA TORRES Inventario.doc", "Abrir Documento")</f>
        <v>0</v>
      </c>
      <c r="D4636" t="s">
        <v>23500</v>
      </c>
      <c r="E4636" t="s">
        <v>27617</v>
      </c>
    </row>
    <row r="4637" spans="1:5">
      <c r="A4637" t="s">
        <v>6</v>
      </c>
      <c r="B4637" t="s">
        <v>4642</v>
      </c>
      <c r="C4637">
        <f>HYPERLINK("C:\Users\franc\OneDrive\Documentos\MALENTIN KARIME\PROTOCOLIZACION\2015\TRANSPORTES Y SERVICIOS SIBERIA.doc", "Abrir Documento")</f>
        <v>0</v>
      </c>
      <c r="D4637" t="s">
        <v>23500</v>
      </c>
      <c r="E4637" t="s">
        <v>27618</v>
      </c>
    </row>
    <row r="4638" spans="1:5">
      <c r="A4638" t="s">
        <v>6</v>
      </c>
      <c r="B4638" t="s">
        <v>4643</v>
      </c>
      <c r="C4638">
        <f>HYPERLINK("C:\Users\franc\OneDrive\Documentos\MALENTIN KARIME\PROTOCOLIZACION\2015\TRANSPORTES E ING BERRIOS  Propuesta.doc", "Abrir Documento")</f>
        <v>0</v>
      </c>
      <c r="D4638" t="s">
        <v>23500</v>
      </c>
      <c r="E4638" t="s">
        <v>27619</v>
      </c>
    </row>
    <row r="4639" spans="1:5">
      <c r="A4639" t="s">
        <v>6</v>
      </c>
      <c r="B4639" t="s">
        <v>4644</v>
      </c>
      <c r="C4639">
        <f>HYPERLINK("C:\Users\franc\OneDrive\Documentos\MALENTIN KARIME\PROTOCOLIZACION\2015\SUSANA FLORES  Propuesta FERIA.doc", "Abrir Documento")</f>
        <v>0</v>
      </c>
      <c r="D4639" t="s">
        <v>23500</v>
      </c>
      <c r="E4639" t="s">
        <v>27620</v>
      </c>
    </row>
    <row r="4640" spans="1:5">
      <c r="A4640" t="s">
        <v>6</v>
      </c>
      <c r="B4640" t="s">
        <v>4645</v>
      </c>
      <c r="C4640">
        <f>HYPERLINK("C:\Users\franc\OneDrive\Documentos\MALENTIN KARIME\PROTOCOLIZACION\2015\TASUI Convenio.doc", "Abrir Documento")</f>
        <v>0</v>
      </c>
      <c r="D4640" t="s">
        <v>23500</v>
      </c>
      <c r="E4640" t="s">
        <v>27620</v>
      </c>
    </row>
    <row r="4641" spans="1:5">
      <c r="A4641" t="s">
        <v>6</v>
      </c>
      <c r="B4641" t="s">
        <v>4646</v>
      </c>
      <c r="C4641">
        <f>HYPERLINK("C:\Users\franc\OneDrive\Documentos\MALENTIN KARIME\PROTOCOLIZACION\2015\SERVICIOS DE INGENIERIA  Propuesta  modif AGOSTO.doc", "Abrir Documento")</f>
        <v>0</v>
      </c>
      <c r="D4641" t="s">
        <v>23500</v>
      </c>
      <c r="E4641" t="s">
        <v>27621</v>
      </c>
    </row>
    <row r="4642" spans="1:5">
      <c r="A4642" t="s">
        <v>6</v>
      </c>
      <c r="B4642" t="s">
        <v>4647</v>
      </c>
      <c r="C4642">
        <f>HYPERLINK("C:\Users\franc\OneDrive\Documentos\MALENTIN KARIME\PROTOCOLIZACION\2015\SERVICIOS DE INGENIERIA  Propuesta  modif 34.doc", "Abrir Documento")</f>
        <v>0</v>
      </c>
      <c r="D4642" t="s">
        <v>23500</v>
      </c>
      <c r="E4642" t="s">
        <v>27622</v>
      </c>
    </row>
    <row r="4643" spans="1:5">
      <c r="A4643" t="s">
        <v>6</v>
      </c>
      <c r="B4643" t="s">
        <v>4648</v>
      </c>
      <c r="C4643">
        <f>HYPERLINK("C:\Users\franc\OneDrive\Documentos\MALENTIN KARIME\PROTOCOLIZACION\2015\SERVICIOS DE INGENIERIA  Propuesta  modif 33 de nov.doc", "Abrir Documento")</f>
        <v>0</v>
      </c>
      <c r="D4643" t="s">
        <v>23500</v>
      </c>
      <c r="E4643" t="s">
        <v>27623</v>
      </c>
    </row>
    <row r="4644" spans="1:5">
      <c r="A4644" t="s">
        <v>6</v>
      </c>
      <c r="B4644" t="s">
        <v>4649</v>
      </c>
      <c r="C4644">
        <f>HYPERLINK("C:\Users\franc\OneDrive\Documentos\MALENTIN KARIME\PROTOCOLIZACION\2015\SERVICIOS DE INGENIERIA  Propuesta  modif 33.doc", "Abrir Documento")</f>
        <v>0</v>
      </c>
      <c r="D4644" t="s">
        <v>23500</v>
      </c>
      <c r="E4644" t="s">
        <v>27623</v>
      </c>
    </row>
    <row r="4645" spans="1:5">
      <c r="A4645" t="s">
        <v>6</v>
      </c>
      <c r="B4645" t="s">
        <v>4650</v>
      </c>
      <c r="C4645">
        <f>HYPERLINK("C:\Users\franc\OneDrive\Documentos\MALENTIN KARIME\PROTOCOLIZACION\2015\SERVICIOS DE INGENIERIA  Propuesta  modif 22.doc", "Abrir Documento")</f>
        <v>0</v>
      </c>
      <c r="D4645" t="s">
        <v>23500</v>
      </c>
      <c r="E4645" t="s">
        <v>27624</v>
      </c>
    </row>
    <row r="4646" spans="1:5">
      <c r="A4646" t="s">
        <v>6</v>
      </c>
      <c r="B4646" t="s">
        <v>4651</v>
      </c>
      <c r="C4646">
        <f>HYPERLINK("C:\Users\franc\OneDrive\Documentos\MALENTIN KARIME\PROTOCOLIZACION\2015\SERVICIOS DE INGENIERIA  Propuesta  modif 18.doc", "Abrir Documento")</f>
        <v>0</v>
      </c>
      <c r="D4646" t="s">
        <v>23500</v>
      </c>
      <c r="E4646" t="s">
        <v>27625</v>
      </c>
    </row>
    <row r="4647" spans="1:5">
      <c r="A4647" t="s">
        <v>6</v>
      </c>
      <c r="B4647" t="s">
        <v>4652</v>
      </c>
      <c r="C4647">
        <f>HYPERLINK("C:\Users\franc\OneDrive\Documentos\MALENTIN KARIME\PROTOCOLIZACION\2015\SERVICIOS DE INGENIERIA  Propuesta  23modif AGOSTO.doc", "Abrir Documento")</f>
        <v>0</v>
      </c>
      <c r="D4647" t="s">
        <v>23500</v>
      </c>
      <c r="E4647" t="s">
        <v>27626</v>
      </c>
    </row>
    <row r="4648" spans="1:5">
      <c r="A4648" t="s">
        <v>6</v>
      </c>
      <c r="B4648" t="s">
        <v>4653</v>
      </c>
      <c r="C4648">
        <f>HYPERLINK("C:\Users\franc\OneDrive\Documentos\MALENTIN KARIME\PROTOCOLIZACION\2015\SERVICIOS DE INGENIERIA  Propuesta  23modif AGOSTO2.doc", "Abrir Documento")</f>
        <v>0</v>
      </c>
      <c r="D4648" t="s">
        <v>23500</v>
      </c>
      <c r="E4648" t="s">
        <v>27626</v>
      </c>
    </row>
    <row r="4649" spans="1:5">
      <c r="A4649" t="s">
        <v>6</v>
      </c>
      <c r="B4649" t="s">
        <v>4654</v>
      </c>
      <c r="C4649">
        <f>HYPERLINK("C:\Users\franc\OneDrive\Documentos\MALENTIN KARIME\PROTOCOLIZACION\2015\SERVICIO TASUI  modif 02 III.doc", "Abrir Documento")</f>
        <v>0</v>
      </c>
      <c r="D4649" t="s">
        <v>23500</v>
      </c>
      <c r="E4649" t="s">
        <v>27627</v>
      </c>
    </row>
    <row r="4650" spans="1:5">
      <c r="A4650" t="s">
        <v>6</v>
      </c>
      <c r="B4650" t="s">
        <v>4655</v>
      </c>
      <c r="C4650">
        <f>HYPERLINK("C:\Users\franc\OneDrive\Documentos\MALENTIN KARIME\PROTOCOLIZACION\2015\SERVICIO TASUI  modif 02.doc", "Abrir Documento")</f>
        <v>0</v>
      </c>
      <c r="D4650" t="s">
        <v>23500</v>
      </c>
      <c r="E4650" t="s">
        <v>27627</v>
      </c>
    </row>
    <row r="4651" spans="1:5">
      <c r="A4651" t="s">
        <v>6</v>
      </c>
      <c r="B4651" t="s">
        <v>4656</v>
      </c>
      <c r="C4651">
        <f>HYPERLINK("C:\Users\franc\OneDrive\Documentos\MALENTIN KARIME\PROTOCOLIZACION\2015\ROSA PINTO ARAYA  Propuesta FERIA.doc", "Abrir Documento")</f>
        <v>0</v>
      </c>
      <c r="D4651" t="s">
        <v>23500</v>
      </c>
      <c r="E4651" t="s">
        <v>27628</v>
      </c>
    </row>
    <row r="4652" spans="1:5">
      <c r="A4652" t="s">
        <v>6</v>
      </c>
      <c r="B4652" t="s">
        <v>4657</v>
      </c>
      <c r="C4652">
        <f>HYPERLINK("C:\Users\franc\OneDrive\Documentos\MALENTIN KARIME\PROTOCOLIZACION\2015\RODRIGO DIAZ VILLALOBOS.doc", "Abrir Documento")</f>
        <v>0</v>
      </c>
      <c r="D4652" t="s">
        <v>23500</v>
      </c>
      <c r="E4652" t="s">
        <v>27629</v>
      </c>
    </row>
    <row r="4653" spans="1:5">
      <c r="A4653" t="s">
        <v>6</v>
      </c>
      <c r="B4653" t="s">
        <v>4658</v>
      </c>
      <c r="C4653">
        <f>HYPERLINK("C:\Users\franc\OneDrive\Documentos\MALENTIN KARIME\PROTOCOLIZACION\2015\RODRIGO DIAZ VILLALOBOS 14.doc", "Abrir Documento")</f>
        <v>0</v>
      </c>
      <c r="D4653" t="s">
        <v>23500</v>
      </c>
      <c r="E4653" t="s">
        <v>27630</v>
      </c>
    </row>
    <row r="4654" spans="1:5">
      <c r="A4654" t="s">
        <v>6</v>
      </c>
      <c r="B4654" t="s">
        <v>4659</v>
      </c>
      <c r="C4654">
        <f>HYPERLINK("C:\Users\franc\OneDrive\Documentos\MALENTIN KARIME\PROTOCOLIZACION\2015\RODRIGO DIAZ  Propuesta.doc", "Abrir Documento")</f>
        <v>0</v>
      </c>
      <c r="D4654" t="s">
        <v>23500</v>
      </c>
      <c r="E4654" t="s">
        <v>27631</v>
      </c>
    </row>
    <row r="4655" spans="1:5">
      <c r="A4655" t="s">
        <v>6</v>
      </c>
      <c r="B4655" t="s">
        <v>4660</v>
      </c>
      <c r="C4655">
        <f>HYPERLINK("C:\Users\franc\OneDrive\Documentos\MALENTIN KARIME\PROTOCOLIZACION\2015\ROBERTO VEGA PROP 63 Propuesta.doc", "Abrir Documento")</f>
        <v>0</v>
      </c>
      <c r="D4655" t="s">
        <v>23500</v>
      </c>
      <c r="E4655" t="s">
        <v>27632</v>
      </c>
    </row>
    <row r="4656" spans="1:5">
      <c r="A4656" t="s">
        <v>6</v>
      </c>
      <c r="B4656" t="s">
        <v>4661</v>
      </c>
      <c r="C4656">
        <f>HYPERLINK("C:\Users\franc\OneDrive\Documentos\MALENTIN KARIME\PROTOCOLIZACION\2015\ROBERTO VEGA (Resuelvo8196 DOH).doc", "Abrir Documento")</f>
        <v>0</v>
      </c>
      <c r="D4656" t="s">
        <v>23500</v>
      </c>
      <c r="E4656" t="s">
        <v>27633</v>
      </c>
    </row>
    <row r="4657" spans="1:5">
      <c r="A4657" t="s">
        <v>6</v>
      </c>
      <c r="B4657" t="s">
        <v>4662</v>
      </c>
      <c r="C4657">
        <f>HYPERLINK("C:\Users\franc\OneDrive\Documentos\MALENTIN KARIME\PROTOCOLIZACION\2015\ROBERTO VEGA anexo.doc", "Abrir Documento")</f>
        <v>0</v>
      </c>
      <c r="D4657" t="s">
        <v>23500</v>
      </c>
      <c r="E4657" t="s">
        <v>27633</v>
      </c>
    </row>
    <row r="4658" spans="1:5">
      <c r="A4658" t="s">
        <v>6</v>
      </c>
      <c r="B4658" t="s">
        <v>4663</v>
      </c>
      <c r="C4658">
        <f>HYPERLINK("C:\Users\franc\OneDrive\Documentos\MALENTIN KARIME\PROTOCOLIZACION\2015\ROBERTO VEGA (Resuelvo 3981 DOH).doc", "Abrir Documento")</f>
        <v>0</v>
      </c>
      <c r="D4658" t="s">
        <v>23500</v>
      </c>
      <c r="E4658" t="s">
        <v>27634</v>
      </c>
    </row>
    <row r="4659" spans="1:5">
      <c r="A4659" t="s">
        <v>6</v>
      </c>
      <c r="B4659" t="s">
        <v>4664</v>
      </c>
      <c r="C4659">
        <f>HYPERLINK("C:\Users\franc\OneDrive\Documentos\MALENTIN KARIME\PROTOCOLIZACION\2015\ROBERTO VEGA (Resuelvo 3984 DOH).doc", "Abrir Documento")</f>
        <v>0</v>
      </c>
      <c r="D4659" t="s">
        <v>23500</v>
      </c>
      <c r="E4659" t="s">
        <v>27634</v>
      </c>
    </row>
    <row r="4660" spans="1:5">
      <c r="A4660" t="s">
        <v>6</v>
      </c>
      <c r="B4660" t="s">
        <v>4665</v>
      </c>
      <c r="C4660">
        <f>HYPERLINK("C:\Users\franc\OneDrive\Documentos\MALENTIN KARIME\PROTOCOLIZACION\2015\ROBERTO VEGA (Resuelvo 2951 DOH).doc", "Abrir Documento")</f>
        <v>0</v>
      </c>
      <c r="D4660" t="s">
        <v>23500</v>
      </c>
      <c r="E4660" t="s">
        <v>27635</v>
      </c>
    </row>
    <row r="4661" spans="1:5">
      <c r="A4661" t="s">
        <v>6</v>
      </c>
      <c r="B4661" t="s">
        <v>4666</v>
      </c>
      <c r="C4661">
        <f>HYPERLINK("C:\Users\franc\OneDrive\Documentos\MALENTIN KARIME\PROTOCOLIZACION\2015\ROBERTO VEGA (Resuelvo 1784 DOH).doc", "Abrir Documento")</f>
        <v>0</v>
      </c>
      <c r="D4661" t="s">
        <v>23500</v>
      </c>
      <c r="E4661" t="s">
        <v>27636</v>
      </c>
    </row>
    <row r="4662" spans="1:5">
      <c r="A4662" t="s">
        <v>6</v>
      </c>
      <c r="B4662" t="s">
        <v>4667</v>
      </c>
      <c r="C4662">
        <f>HYPERLINK("C:\Users\franc\OneDrive\Documentos\MALENTIN KARIME\PROTOCOLIZACION\2015\ROBERTO VEGA (Resuelvo 1785 DOH).doc", "Abrir Documento")</f>
        <v>0</v>
      </c>
      <c r="D4662" t="s">
        <v>23500</v>
      </c>
      <c r="E4662" t="s">
        <v>27636</v>
      </c>
    </row>
    <row r="4663" spans="1:5">
      <c r="A4663" t="s">
        <v>6</v>
      </c>
      <c r="B4663" t="s">
        <v>4668</v>
      </c>
      <c r="C4663">
        <f>HYPERLINK("C:\Users\franc\OneDrive\Documentos\MALENTIN KARIME\PROTOCOLIZACION\2015\ROBERTO VEGA (Resuelvo 1718 DOH).doc", "Abrir Documento")</f>
        <v>0</v>
      </c>
      <c r="D4663" t="s">
        <v>23500</v>
      </c>
      <c r="E4663" t="s">
        <v>27637</v>
      </c>
    </row>
    <row r="4664" spans="1:5">
      <c r="A4664" t="s">
        <v>6</v>
      </c>
      <c r="B4664" t="s">
        <v>4669</v>
      </c>
      <c r="C4664">
        <f>HYPERLINK("C:\Users\franc\OneDrive\Documentos\MALENTIN KARIME\PROTOCOLIZACION\2015\ROBERTO VEGA (Resuelvo 1719 DOH).doc", "Abrir Documento")</f>
        <v>0</v>
      </c>
      <c r="D4664" t="s">
        <v>23500</v>
      </c>
      <c r="E4664" t="s">
        <v>27637</v>
      </c>
    </row>
    <row r="4665" spans="1:5">
      <c r="A4665" t="s">
        <v>6</v>
      </c>
      <c r="B4665" t="s">
        <v>4670</v>
      </c>
      <c r="C4665">
        <f>HYPERLINK("C:\Users\franc\OneDrive\Documentos\MALENTIN KARIME\PROTOCOLIZACION\2015\PROTEC CHILE LTDA. Propuesta.doc", "Abrir Documento")</f>
        <v>0</v>
      </c>
      <c r="D4665" t="s">
        <v>23500</v>
      </c>
      <c r="E4665" t="s">
        <v>27638</v>
      </c>
    </row>
    <row r="4666" spans="1:5">
      <c r="A4666" t="s">
        <v>6</v>
      </c>
      <c r="B4666" t="s">
        <v>4671</v>
      </c>
      <c r="C4666">
        <f>HYPERLINK("C:\Users\franc\OneDrive\Documentos\MALENTIN KARIME\PROTOCOLIZACION\2015\ROBERTO VEGA (Resuelvo 1300 DOH).doc", "Abrir Documento")</f>
        <v>0</v>
      </c>
      <c r="D4666" t="s">
        <v>23500</v>
      </c>
      <c r="E4666" t="s">
        <v>27638</v>
      </c>
    </row>
    <row r="4667" spans="1:5">
      <c r="A4667" t="s">
        <v>6</v>
      </c>
      <c r="B4667" t="s">
        <v>4672</v>
      </c>
      <c r="C4667">
        <f>HYPERLINK("C:\Users\franc\OneDrive\Documentos\MALENTIN KARIME\PROTOCOLIZACION\2015\PROTEC CHILE LTDA. Propuesta ANTONIO ARANCIBIA.doc", "Abrir Documento")</f>
        <v>0</v>
      </c>
      <c r="D4667" t="s">
        <v>23500</v>
      </c>
      <c r="E4667" t="s">
        <v>27639</v>
      </c>
    </row>
    <row r="4668" spans="1:5">
      <c r="A4668" t="s">
        <v>6</v>
      </c>
      <c r="B4668" t="s">
        <v>4673</v>
      </c>
      <c r="C4668">
        <f>HYPERLINK("C:\Users\franc\OneDrive\Documentos\MALENTIN KARIME\PROTOCOLIZACION\2015\PRAXIS CONSULTORES.doc", "Abrir Documento")</f>
        <v>0</v>
      </c>
      <c r="D4668" t="s">
        <v>23500</v>
      </c>
      <c r="E4668" t="s">
        <v>27640</v>
      </c>
    </row>
    <row r="4669" spans="1:5">
      <c r="A4669" t="s">
        <v>6</v>
      </c>
      <c r="B4669" t="s">
        <v>4674</v>
      </c>
      <c r="C4669">
        <f>HYPERLINK("C:\Users\franc\OneDrive\Documentos\MALENTIN KARIME\PROTOCOLIZACION\2015\PATRICIA ALFARO.doc", "Abrir Documento")</f>
        <v>0</v>
      </c>
      <c r="D4669" t="s">
        <v>23500</v>
      </c>
      <c r="E4669" t="s">
        <v>27641</v>
      </c>
    </row>
    <row r="4670" spans="1:5">
      <c r="A4670" t="s">
        <v>6</v>
      </c>
      <c r="B4670" t="s">
        <v>4675</v>
      </c>
      <c r="C4670">
        <f>HYPERLINK("C:\Users\franc\OneDrive\Documentos\MALENTIN KARIME\PROTOCOLIZACION\2015\PAISAJISMO CORDILLERA S.A. Propuesta.doc", "Abrir Documento")</f>
        <v>0</v>
      </c>
      <c r="D4670" t="s">
        <v>23500</v>
      </c>
      <c r="E4670" t="s">
        <v>27642</v>
      </c>
    </row>
    <row r="4671" spans="1:5">
      <c r="A4671" t="s">
        <v>6</v>
      </c>
      <c r="B4671" t="s">
        <v>4676</v>
      </c>
      <c r="C4671">
        <f>HYPERLINK("C:\Users\franc\OneDrive\Documentos\MALENTIN KARIME\PROTOCOLIZACION\2015\OLGA PIZARRO E.I.R.L ID 2711.doc", "Abrir Documento")</f>
        <v>0</v>
      </c>
      <c r="D4671" t="s">
        <v>23500</v>
      </c>
      <c r="E4671" t="s">
        <v>27643</v>
      </c>
    </row>
    <row r="4672" spans="1:5">
      <c r="A4672" t="s">
        <v>6</v>
      </c>
      <c r="B4672" t="s">
        <v>4677</v>
      </c>
      <c r="C4672">
        <f>HYPERLINK("C:\Users\franc\OneDrive\Documentos\MALENTIN KARIME\PROTOCOLIZACION\2015\OLGA TORO firma.doc", "Abrir Documento")</f>
        <v>0</v>
      </c>
      <c r="D4672" t="s">
        <v>23500</v>
      </c>
      <c r="E4672" t="s">
        <v>27643</v>
      </c>
    </row>
    <row r="4673" spans="1:5">
      <c r="A4673" t="s">
        <v>6</v>
      </c>
      <c r="B4673" t="s">
        <v>4678</v>
      </c>
      <c r="C4673">
        <f>HYPERLINK("C:\Users\franc\OneDrive\Documentos\MALENTIN KARIME\PROTOCOLIZACION\2015\OLGA PIZARRO E.I.R.L ID 2709LE15.doc", "Abrir Documento")</f>
        <v>0</v>
      </c>
      <c r="D4673" t="s">
        <v>23500</v>
      </c>
      <c r="E4673" t="s">
        <v>27644</v>
      </c>
    </row>
    <row r="4674" spans="1:5">
      <c r="A4674" t="s">
        <v>6</v>
      </c>
      <c r="B4674" t="s">
        <v>4679</v>
      </c>
      <c r="C4674">
        <f>HYPERLINK("C:\Users\franc\OneDrive\Documentos\MALENTIN KARIME\PROTOCOLIZACION\2015\OLGA PIZARRO E.I.R.L ID 2709.doc", "Abrir Documento")</f>
        <v>0</v>
      </c>
      <c r="D4674" t="s">
        <v>23500</v>
      </c>
      <c r="E4674" t="s">
        <v>27645</v>
      </c>
    </row>
    <row r="4675" spans="1:5">
      <c r="A4675" t="s">
        <v>6</v>
      </c>
      <c r="B4675" t="s">
        <v>4680</v>
      </c>
      <c r="C4675">
        <f>HYPERLINK("C:\Users\franc\OneDrive\Documentos\MALENTIN KARIME\PROTOCOLIZACION\2015\OGUER CAMPUSANO PINTO.doc", "Abrir Documento")</f>
        <v>0</v>
      </c>
      <c r="D4675" t="s">
        <v>23500</v>
      </c>
      <c r="E4675" t="s">
        <v>27646</v>
      </c>
    </row>
    <row r="4676" spans="1:5">
      <c r="A4676" t="s">
        <v>6</v>
      </c>
      <c r="B4676" t="s">
        <v>4681</v>
      </c>
      <c r="C4676">
        <f>HYPERLINK("C:\Users\franc\OneDrive\Documentos\MALENTIN KARIME\PROTOCOLIZACION\2015\NELSON VILLAVICENCIO.doc", "Abrir Documento")</f>
        <v>0</v>
      </c>
      <c r="D4676" t="s">
        <v>23500</v>
      </c>
      <c r="E4676" t="s">
        <v>27647</v>
      </c>
    </row>
    <row r="4677" spans="1:5">
      <c r="A4677" t="s">
        <v>6</v>
      </c>
      <c r="B4677" t="s">
        <v>4682</v>
      </c>
      <c r="C4677">
        <f>HYPERLINK("C:\Users\franc\OneDrive\Documentos\MALENTIN KARIME\PROTOCOLIZACION\2015\NILDA CARVAJAL TAPIA  Propuesta.doc", "Abrir Documento")</f>
        <v>0</v>
      </c>
      <c r="D4677" t="s">
        <v>23500</v>
      </c>
      <c r="E4677" t="s">
        <v>27647</v>
      </c>
    </row>
    <row r="4678" spans="1:5">
      <c r="A4678" t="s">
        <v>6</v>
      </c>
      <c r="B4678" t="s">
        <v>4683</v>
      </c>
      <c r="C4678">
        <f>HYPERLINK("C:\Users\franc\OneDrive\Documentos\MALENTIN KARIME\PROTOCOLIZACION\2015\MOISES ZEPEDA TABILO Indap.doc", "Abrir Documento")</f>
        <v>0</v>
      </c>
      <c r="D4678" t="s">
        <v>23500</v>
      </c>
      <c r="E4678" t="s">
        <v>27648</v>
      </c>
    </row>
    <row r="4679" spans="1:5">
      <c r="A4679" t="s">
        <v>6</v>
      </c>
      <c r="B4679" t="s">
        <v>4684</v>
      </c>
      <c r="C4679">
        <f>HYPERLINK("C:\Users\franc\OneDrive\Documentos\MALENTIN KARIME\PROTOCOLIZACION\2015\MONICA OLIVARES CONTRERAS Propuesta FERIA.doc", "Abrir Documento")</f>
        <v>0</v>
      </c>
      <c r="D4679" t="s">
        <v>23500</v>
      </c>
      <c r="E4679" t="s">
        <v>27648</v>
      </c>
    </row>
    <row r="4680" spans="1:5">
      <c r="A4680" t="s">
        <v>6</v>
      </c>
      <c r="B4680" t="s">
        <v>4685</v>
      </c>
      <c r="C4680">
        <f>HYPERLINK("C:\Users\franc\OneDrive\Documentos\MALENTIN KARIME\PROTOCOLIZACION\2015\MICHELLE  LATORRE Drogas.doc", "Abrir Documento")</f>
        <v>0</v>
      </c>
      <c r="D4680" t="s">
        <v>23500</v>
      </c>
      <c r="E4680" t="s">
        <v>27649</v>
      </c>
    </row>
    <row r="4681" spans="1:5">
      <c r="A4681" t="s">
        <v>6</v>
      </c>
      <c r="B4681" t="s">
        <v>4686</v>
      </c>
      <c r="C4681">
        <f>HYPERLINK("C:\Users\franc\OneDrive\Documentos\MALENTIN KARIME\PROTOCOLIZACION\2015\MARIA ZEPEDA PROVIS.doc", "Abrir Documento")</f>
        <v>0</v>
      </c>
      <c r="D4681" t="s">
        <v>23500</v>
      </c>
      <c r="E4681" t="s">
        <v>27650</v>
      </c>
    </row>
    <row r="4682" spans="1:5">
      <c r="A4682" t="s">
        <v>6</v>
      </c>
      <c r="B4682" t="s">
        <v>4687</v>
      </c>
      <c r="C4682">
        <f>HYPERLINK("C:\Users\franc\OneDrive\Documentos\MALENTIN KARIME\PROTOCOLIZACION\2015\MARIA CORTES CASTRO} Drogas.doc", "Abrir Documento")</f>
        <v>0</v>
      </c>
      <c r="D4682" t="s">
        <v>23500</v>
      </c>
      <c r="E4682" t="s">
        <v>27651</v>
      </c>
    </row>
    <row r="4683" spans="1:5">
      <c r="A4683" t="s">
        <v>6</v>
      </c>
      <c r="B4683" t="s">
        <v>4688</v>
      </c>
      <c r="C4683">
        <f>HYPERLINK("C:\Users\franc\OneDrive\Documentos\MALENTIN KARIME\PROTOCOLIZACION\2015\MARIA CARMONA PIZARRO.doc", "Abrir Documento")</f>
        <v>0</v>
      </c>
      <c r="D4683" t="s">
        <v>23500</v>
      </c>
      <c r="E4683" t="s">
        <v>27652</v>
      </c>
    </row>
    <row r="4684" spans="1:5">
      <c r="A4684" t="s">
        <v>6</v>
      </c>
      <c r="B4684" t="s">
        <v>4689</v>
      </c>
      <c r="C4684">
        <f>HYPERLINK("C:\Users\franc\OneDrive\Documentos\MALENTIN KARIME\PROTOCOLIZACION\2015\MARIA ARGANDOÑA  Propuesta FERIA.doc", "Abrir Documento")</f>
        <v>0</v>
      </c>
      <c r="D4684" t="s">
        <v>23500</v>
      </c>
      <c r="E4684" t="s">
        <v>27653</v>
      </c>
    </row>
    <row r="4685" spans="1:5">
      <c r="A4685" t="s">
        <v>6</v>
      </c>
      <c r="B4685" t="s">
        <v>4690</v>
      </c>
      <c r="C4685">
        <f>HYPERLINK("C:\Users\franc\OneDrive\Documentos\MALENTIN KARIME\PROTOCOLIZACION\2015\MARCIA OYANADEL Poder ext.doc", "Abrir Documento")</f>
        <v>0</v>
      </c>
      <c r="D4685" t="s">
        <v>23500</v>
      </c>
      <c r="E4685" t="s">
        <v>27654</v>
      </c>
    </row>
    <row r="4686" spans="1:5">
      <c r="A4686" t="s">
        <v>6</v>
      </c>
      <c r="B4686" t="s">
        <v>4691</v>
      </c>
      <c r="C4686">
        <f>HYPERLINK("C:\Users\franc\OneDrive\Documentos\MALENTIN KARIME\PROTOCOLIZACION\2015\LUIS LOPEZ ALVARADO.doc", "Abrir Documento")</f>
        <v>0</v>
      </c>
      <c r="D4686" t="s">
        <v>23500</v>
      </c>
      <c r="E4686" t="s">
        <v>27655</v>
      </c>
    </row>
    <row r="4687" spans="1:5">
      <c r="A4687" t="s">
        <v>6</v>
      </c>
      <c r="B4687" t="s">
        <v>4692</v>
      </c>
      <c r="C4687">
        <f>HYPERLINK("C:\Users\franc\OneDrive\Documentos\MALENTIN KARIME\PROTOCOLIZACION\2015\MARCELA DUBO ORDENES Alz.doc", "Abrir Documento")</f>
        <v>0</v>
      </c>
      <c r="D4687" t="s">
        <v>23500</v>
      </c>
      <c r="E4687" t="s">
        <v>27655</v>
      </c>
    </row>
    <row r="4688" spans="1:5">
      <c r="A4688" t="s">
        <v>6</v>
      </c>
      <c r="B4688" t="s">
        <v>4693</v>
      </c>
      <c r="C4688">
        <f>HYPERLINK("C:\Users\franc\OneDrive\Documentos\MALENTIN KARIME\PROTOCOLIZACION\2015\LUIS LOPEZ ALVARADO fs. 1.794.doc", "Abrir Documento")</f>
        <v>0</v>
      </c>
      <c r="D4688" t="s">
        <v>23500</v>
      </c>
      <c r="E4688" t="s">
        <v>27656</v>
      </c>
    </row>
    <row r="4689" spans="1:5">
      <c r="A4689" t="s">
        <v>6</v>
      </c>
      <c r="B4689" t="s">
        <v>4694</v>
      </c>
      <c r="C4689">
        <f>HYPERLINK("C:\Users\franc\OneDrive\Documentos\MALENTIN KARIME\PROTOCOLIZACION\2015\LUIS LOPEZ ALVARADO fs. 1.793.doc", "Abrir Documento")</f>
        <v>0</v>
      </c>
      <c r="D4689" t="s">
        <v>23500</v>
      </c>
      <c r="E4689" t="s">
        <v>27657</v>
      </c>
    </row>
    <row r="4690" spans="1:5">
      <c r="A4690" t="s">
        <v>6</v>
      </c>
      <c r="B4690" t="s">
        <v>4695</v>
      </c>
      <c r="C4690">
        <f>HYPERLINK("C:\Users\franc\OneDrive\Documentos\MALENTIN KARIME\PROTOCOLIZACION\2015\LUIS LOPEZ ALVARADO fs. 1.786v.doc", "Abrir Documento")</f>
        <v>0</v>
      </c>
      <c r="D4690" t="s">
        <v>23500</v>
      </c>
      <c r="E4690" t="s">
        <v>27658</v>
      </c>
    </row>
    <row r="4691" spans="1:5">
      <c r="A4691" t="s">
        <v>6</v>
      </c>
      <c r="B4691" t="s">
        <v>4696</v>
      </c>
      <c r="C4691">
        <f>HYPERLINK("C:\Users\franc\OneDrive\Documentos\MALENTIN KARIME\PROTOCOLIZACION\2015\LUIS FLORS ARAYAIndap.doc", "Abrir Documento")</f>
        <v>0</v>
      </c>
      <c r="D4691" t="s">
        <v>23500</v>
      </c>
      <c r="E4691" t="s">
        <v>27659</v>
      </c>
    </row>
    <row r="4692" spans="1:5">
      <c r="A4692" t="s">
        <v>6</v>
      </c>
      <c r="B4692" t="s">
        <v>4697</v>
      </c>
      <c r="C4692">
        <f>HYPERLINK("C:\Users\franc\OneDrive\Documentos\MALENTIN KARIME\PROTOCOLIZACION\2015\LABORATORIO VALPARAISO.doc", "Abrir Documento")</f>
        <v>0</v>
      </c>
      <c r="D4692" t="s">
        <v>23500</v>
      </c>
      <c r="E4692" t="s">
        <v>27660</v>
      </c>
    </row>
    <row r="4693" spans="1:5">
      <c r="A4693" t="s">
        <v>6</v>
      </c>
      <c r="B4693" t="s">
        <v>4698</v>
      </c>
      <c r="C4693">
        <f>HYPERLINK("C:\Users\franc\OneDrive\Documentos\MALENTIN KARIME\PROTOCOLIZACION\2015\LUIS AREYUNA contrato directo.doc", "Abrir Documento")</f>
        <v>0</v>
      </c>
      <c r="D4693" t="s">
        <v>23500</v>
      </c>
      <c r="E4693" t="s">
        <v>27660</v>
      </c>
    </row>
    <row r="4694" spans="1:5">
      <c r="A4694" t="s">
        <v>6</v>
      </c>
      <c r="B4694" t="s">
        <v>4699</v>
      </c>
      <c r="C4694">
        <f>HYPERLINK("C:\Users\franc\OneDrive\Documentos\MALENTIN KARIME\PROTOCOLIZACION\2015\JUNTA RIO COGOTI Y SUS AFLUENTES.doc", "Abrir Documento")</f>
        <v>0</v>
      </c>
      <c r="D4694" t="s">
        <v>23500</v>
      </c>
      <c r="E4694" t="s">
        <v>27661</v>
      </c>
    </row>
    <row r="4695" spans="1:5">
      <c r="A4695" t="s">
        <v>6</v>
      </c>
      <c r="B4695" t="s">
        <v>4700</v>
      </c>
      <c r="C4695">
        <f>HYPERLINK("C:\Users\franc\OneDrive\Documentos\MALENTIN KARIME\PROTOCOLIZACION\2015\KAREN VALDES ORDENES Inventario.doc", "Abrir Documento")</f>
        <v>0</v>
      </c>
      <c r="D4695" t="s">
        <v>23500</v>
      </c>
      <c r="E4695" t="s">
        <v>27661</v>
      </c>
    </row>
    <row r="4696" spans="1:5">
      <c r="A4696" t="s">
        <v>6</v>
      </c>
      <c r="B4696" t="s">
        <v>4701</v>
      </c>
      <c r="C4696">
        <f>HYPERLINK("C:\Users\franc\OneDrive\Documentos\MALENTIN KARIME\PROTOCOLIZACION\2015\JUNTA DE VECINOS LOS COPIHUES.doc", "Abrir Documento")</f>
        <v>0</v>
      </c>
      <c r="D4696" t="s">
        <v>23500</v>
      </c>
      <c r="E4696" t="s">
        <v>27662</v>
      </c>
    </row>
    <row r="4697" spans="1:5">
      <c r="A4697" t="s">
        <v>6</v>
      </c>
      <c r="B4697" t="s">
        <v>4702</v>
      </c>
      <c r="C4697">
        <f>HYPERLINK("C:\Users\franc\OneDrive\Documentos\MALENTIN KARIME\PROTOCOLIZACION\2015\JUNTA DE VECINOS PARRAL DE QUILES.doc", "Abrir Documento")</f>
        <v>0</v>
      </c>
      <c r="D4697" t="s">
        <v>23500</v>
      </c>
      <c r="E4697" t="s">
        <v>27662</v>
      </c>
    </row>
    <row r="4698" spans="1:5">
      <c r="A4698" t="s">
        <v>6</v>
      </c>
      <c r="B4698" t="s">
        <v>4703</v>
      </c>
      <c r="C4698">
        <f>HYPERLINK("C:\Users\franc\OneDrive\Documentos\MALENTIN KARIME\PROTOCOLIZACION\2015\JORGE GALINDO SOTOIndap.doc", "Abrir Documento")</f>
        <v>0</v>
      </c>
      <c r="D4698" t="s">
        <v>23500</v>
      </c>
      <c r="E4698" t="s">
        <v>27663</v>
      </c>
    </row>
    <row r="4699" spans="1:5">
      <c r="A4699" t="s">
        <v>6</v>
      </c>
      <c r="B4699" t="s">
        <v>4704</v>
      </c>
      <c r="C4699">
        <f>HYPERLINK("C:\Users\franc\OneDrive\Documentos\MALENTIN KARIME\PROTOCOLIZACION\2015\JOSE HUERTA VIORKLUMDS Poder ext.doc", "Abrir Documento")</f>
        <v>0</v>
      </c>
      <c r="D4699" t="s">
        <v>23500</v>
      </c>
      <c r="E4699" t="s">
        <v>27663</v>
      </c>
    </row>
    <row r="4700" spans="1:5">
      <c r="A4700" t="s">
        <v>6</v>
      </c>
      <c r="B4700" t="s">
        <v>4705</v>
      </c>
      <c r="C4700">
        <f>HYPERLINK("C:\Users\franc\OneDrive\Documentos\MALENTIN KARIME\PROTOCOLIZACION\2015\IVAN DELGADO CORTES Indap.doc", "Abrir Documento")</f>
        <v>0</v>
      </c>
      <c r="D4700" t="s">
        <v>23500</v>
      </c>
      <c r="E4700" t="s">
        <v>27664</v>
      </c>
    </row>
    <row r="4701" spans="1:5">
      <c r="A4701" t="s">
        <v>6</v>
      </c>
      <c r="B4701" t="s">
        <v>4706</v>
      </c>
      <c r="C4701">
        <f>HYPERLINK("C:\Users\franc\OneDrive\Documentos\MALENTIN KARIME\PROTOCOLIZACION\2015\JAVIER ORTIZ Propuesta.doc", "Abrir Documento")</f>
        <v>0</v>
      </c>
      <c r="D4701" t="s">
        <v>23500</v>
      </c>
      <c r="E4701" t="s">
        <v>27664</v>
      </c>
    </row>
    <row r="4702" spans="1:5">
      <c r="A4702" t="s">
        <v>6</v>
      </c>
      <c r="B4702" t="s">
        <v>4707</v>
      </c>
      <c r="C4702">
        <f>HYPERLINK("C:\Users\franc\OneDrive\Documentos\MALENTIN KARIME\PROTOCOLIZACION\2015\INMOB NORTE VERDE A Juan Araya Promesa.doc", "Abrir Documento")</f>
        <v>0</v>
      </c>
      <c r="D4702" t="s">
        <v>23500</v>
      </c>
      <c r="E4702" t="s">
        <v>27665</v>
      </c>
    </row>
    <row r="4703" spans="1:5">
      <c r="A4703" t="s">
        <v>6</v>
      </c>
      <c r="B4703" t="s">
        <v>4708</v>
      </c>
      <c r="C4703">
        <f>HYPERLINK("C:\Users\franc\OneDrive\Documentos\MALENTIN KARIME\PROTOCOLIZACION\2015\HUMBERTO SILVAIndap.doc", "Abrir Documento")</f>
        <v>0</v>
      </c>
      <c r="D4703" t="s">
        <v>23500</v>
      </c>
      <c r="E4703" t="s">
        <v>27666</v>
      </c>
    </row>
    <row r="4704" spans="1:5">
      <c r="A4704" t="s">
        <v>6</v>
      </c>
      <c r="B4704" t="s">
        <v>4709</v>
      </c>
      <c r="C4704">
        <f>HYPERLINK("C:\Users\franc\OneDrive\Documentos\MALENTIN KARIME\PROTOCOLIZACION\2015\INGENIERIA Y ARQUITECTURA DESARROLLO Propuesta.doc", "Abrir Documento")</f>
        <v>0</v>
      </c>
      <c r="D4704" t="s">
        <v>23500</v>
      </c>
      <c r="E4704" t="s">
        <v>27666</v>
      </c>
    </row>
    <row r="4705" spans="1:5">
      <c r="A4705" t="s">
        <v>6</v>
      </c>
      <c r="B4705" t="s">
        <v>4710</v>
      </c>
      <c r="C4705">
        <f>HYPERLINK("C:\Users\franc\OneDrive\Documentos\MALENTIN KARIME\PROTOCOLIZACION\2015\GABRIEL DIAZ BARRERA Indap.doc", "Abrir Documento")</f>
        <v>0</v>
      </c>
      <c r="D4705" t="s">
        <v>23500</v>
      </c>
      <c r="E4705" t="s">
        <v>27667</v>
      </c>
    </row>
    <row r="4706" spans="1:5">
      <c r="A4706" t="s">
        <v>6</v>
      </c>
      <c r="B4706" t="s">
        <v>4711</v>
      </c>
      <c r="C4706">
        <f>HYPERLINK("C:\Users\franc\OneDrive\Documentos\MALENTIN KARIME\PROTOCOLIZACION\2015\H.G. Y B SERVICIOS ASOCIADOS.doc", "Abrir Documento")</f>
        <v>0</v>
      </c>
      <c r="D4706" t="s">
        <v>23500</v>
      </c>
      <c r="E4706" t="s">
        <v>27667</v>
      </c>
    </row>
    <row r="4707" spans="1:5">
      <c r="A4707" t="s">
        <v>6</v>
      </c>
      <c r="B4707" t="s">
        <v>4712</v>
      </c>
      <c r="C4707">
        <f>HYPERLINK("C:\Users\franc\OneDrive\Documentos\MALENTIN KARIME\PROTOCOLIZACION\2015\HILDA ALFARO.doc", "Abrir Documento")</f>
        <v>0</v>
      </c>
      <c r="D4707" t="s">
        <v>23500</v>
      </c>
      <c r="E4707" t="s">
        <v>27667</v>
      </c>
    </row>
    <row r="4708" spans="1:5">
      <c r="A4708" t="s">
        <v>6</v>
      </c>
      <c r="B4708" t="s">
        <v>4713</v>
      </c>
      <c r="C4708">
        <f>HYPERLINK("C:\Users\franc\OneDrive\Documentos\MALENTIN KARIME\PROTOCOLIZACION\2015\FRANCISCO ASTUDILLO VEGA Poder ext.doc", "Abrir Documento")</f>
        <v>0</v>
      </c>
      <c r="D4708" t="s">
        <v>23500</v>
      </c>
      <c r="E4708" t="s">
        <v>27668</v>
      </c>
    </row>
    <row r="4709" spans="1:5">
      <c r="A4709" t="s">
        <v>6</v>
      </c>
      <c r="B4709" t="s">
        <v>4714</v>
      </c>
      <c r="C4709">
        <f>HYPERLINK("C:\Users\franc\OneDrive\Documentos\MALENTIN KARIME\PROTOCOLIZACION\2015\FRANCISCO VICENCIO contrato arrenda.doc", "Abrir Documento")</f>
        <v>0</v>
      </c>
      <c r="D4709" t="s">
        <v>23500</v>
      </c>
      <c r="E4709" t="s">
        <v>27668</v>
      </c>
    </row>
    <row r="4710" spans="1:5">
      <c r="A4710" t="s">
        <v>6</v>
      </c>
      <c r="B4710" t="s">
        <v>4715</v>
      </c>
      <c r="C4710">
        <f>HYPERLINK("C:\Users\franc\OneDrive\Documentos\MALENTIN KARIME\PROTOCOLIZACION\2015\EUGENIO JIMENEZ LARRAIN.doc", "Abrir Documento")</f>
        <v>0</v>
      </c>
      <c r="D4710" t="s">
        <v>23500</v>
      </c>
      <c r="E4710" t="s">
        <v>27669</v>
      </c>
    </row>
    <row r="4711" spans="1:5">
      <c r="A4711" t="s">
        <v>6</v>
      </c>
      <c r="B4711" t="s">
        <v>4716</v>
      </c>
      <c r="C4711">
        <f>HYPERLINK("C:\Users\franc\OneDrive\Documentos\MALENTIN KARIME\PROTOCOLIZACION\2015\FRANCISCO ACUÑA.doc", "Abrir Documento")</f>
        <v>0</v>
      </c>
      <c r="D4711" t="s">
        <v>23500</v>
      </c>
      <c r="E4711" t="s">
        <v>27669</v>
      </c>
    </row>
    <row r="4712" spans="1:5">
      <c r="A4712" t="s">
        <v>6</v>
      </c>
      <c r="B4712" t="s">
        <v>4717</v>
      </c>
      <c r="C4712">
        <f>HYPERLINK("C:\Users\franc\OneDrive\Documentos\MALENTIN KARIME\PROTOCOLIZACION\2015\EUFROSINA LOPEZ Inventario.doc", "Abrir Documento")</f>
        <v>0</v>
      </c>
      <c r="D4712" t="s">
        <v>23500</v>
      </c>
      <c r="E4712" t="s">
        <v>27670</v>
      </c>
    </row>
    <row r="4713" spans="1:5">
      <c r="A4713" t="s">
        <v>6</v>
      </c>
      <c r="B4713" t="s">
        <v>4718</v>
      </c>
      <c r="C4713">
        <f>HYPERLINK("C:\Users\franc\OneDrive\Documentos\MALENTIN KARIME\PROTOCOLIZACION\2015\ESCUELA DE FUTBOL Huamalata.doc", "Abrir Documento")</f>
        <v>0</v>
      </c>
      <c r="D4713" t="s">
        <v>23500</v>
      </c>
      <c r="E4713" t="s">
        <v>27671</v>
      </c>
    </row>
    <row r="4714" spans="1:5">
      <c r="A4714" t="s">
        <v>6</v>
      </c>
      <c r="B4714" t="s">
        <v>4719</v>
      </c>
      <c r="C4714">
        <f>HYPERLINK("C:\Users\franc\OneDrive\Documentos\MALENTIN KARIME\PROTOCOLIZACION\2015\ERIKA CARVAJAL Propuesta FERIA.doc", "Abrir Documento")</f>
        <v>0</v>
      </c>
      <c r="D4714" t="s">
        <v>23500</v>
      </c>
      <c r="E4714" t="s">
        <v>27672</v>
      </c>
    </row>
    <row r="4715" spans="1:5">
      <c r="A4715" t="s">
        <v>6</v>
      </c>
      <c r="B4715" t="s">
        <v>4720</v>
      </c>
      <c r="C4715">
        <f>HYPERLINK("C:\Users\franc\OneDrive\Documentos\MALENTIN KARIME\PROTOCOLIZACION\2015\EDUARDO OLIVARESIndap.doc", "Abrir Documento")</f>
        <v>0</v>
      </c>
      <c r="D4715" t="s">
        <v>23500</v>
      </c>
      <c r="E4715" t="s">
        <v>27673</v>
      </c>
    </row>
    <row r="4716" spans="1:5">
      <c r="A4716" t="s">
        <v>6</v>
      </c>
      <c r="B4716" t="s">
        <v>4721</v>
      </c>
      <c r="C4716">
        <f>HYPERLINK("C:\Users\franc\OneDrive\Documentos\MALENTIN KARIME\PROTOCOLIZACION\2015\EDUARDO LOPEZ Propuesta.doc", "Abrir Documento")</f>
        <v>0</v>
      </c>
      <c r="D4716" t="s">
        <v>23500</v>
      </c>
      <c r="E4716" t="s">
        <v>27674</v>
      </c>
    </row>
    <row r="4717" spans="1:5">
      <c r="A4717" t="s">
        <v>6</v>
      </c>
      <c r="B4717" t="s">
        <v>4722</v>
      </c>
      <c r="C4717">
        <f>HYPERLINK("C:\Users\franc\OneDrive\Documentos\MALENTIN KARIME\PROTOCOLIZACION\2015\EDUARDO LOPEZ Propuesta 14 .doc", "Abrir Documento")</f>
        <v>0</v>
      </c>
      <c r="D4717" t="s">
        <v>23500</v>
      </c>
      <c r="E4717" t="s">
        <v>27675</v>
      </c>
    </row>
    <row r="4718" spans="1:5">
      <c r="A4718" t="s">
        <v>6</v>
      </c>
      <c r="B4718" t="s">
        <v>4723</v>
      </c>
      <c r="C4718">
        <f>HYPERLINK("C:\Users\franc\OneDrive\Documentos\MALENTIN KARIME\PROTOCOLIZACION\2015\EDUARDO LOPEZ Propuesta 101 .doc", "Abrir Documento")</f>
        <v>0</v>
      </c>
      <c r="D4718" t="s">
        <v>23500</v>
      </c>
      <c r="E4718" t="s">
        <v>27676</v>
      </c>
    </row>
    <row r="4719" spans="1:5">
      <c r="A4719" t="s">
        <v>6</v>
      </c>
      <c r="B4719" t="s">
        <v>4724</v>
      </c>
      <c r="C4719">
        <f>HYPERLINK("C:\Users\franc\OneDrive\Documentos\MALENTIN KARIME\PROTOCOLIZACION\2015\EDUARDO LOPEZ contrato directo PADRE JOSEF .doc", "Abrir Documento")</f>
        <v>0</v>
      </c>
      <c r="D4719" t="s">
        <v>23500</v>
      </c>
      <c r="E4719" t="s">
        <v>27677</v>
      </c>
    </row>
    <row r="4720" spans="1:5">
      <c r="A4720" t="s">
        <v>6</v>
      </c>
      <c r="B4720" t="s">
        <v>4725</v>
      </c>
      <c r="C4720">
        <f>HYPERLINK("C:\Users\franc\OneDrive\Documentos\MALENTIN KARIME\PROTOCOLIZACION\2015\EDUARDO LOPEZ contrato directo FRAY JORGE .doc", "Abrir Documento")</f>
        <v>0</v>
      </c>
      <c r="D4720" t="s">
        <v>23500</v>
      </c>
      <c r="E4720" t="s">
        <v>27678</v>
      </c>
    </row>
    <row r="4721" spans="1:5">
      <c r="A4721" t="s">
        <v>6</v>
      </c>
      <c r="B4721" t="s">
        <v>4726</v>
      </c>
      <c r="C4721">
        <f>HYPERLINK("C:\Users\franc\OneDrive\Documentos\MALENTIN KARIME\PROTOCOLIZACION\2015\EDUARDO LOPEZ contrato directo LICEO A. JOFRE .doc", "Abrir Documento")</f>
        <v>0</v>
      </c>
      <c r="D4721" t="s">
        <v>23500</v>
      </c>
      <c r="E4721" t="s">
        <v>27678</v>
      </c>
    </row>
    <row r="4722" spans="1:5">
      <c r="A4722" t="s">
        <v>6</v>
      </c>
      <c r="B4722" t="s">
        <v>4727</v>
      </c>
      <c r="C4722">
        <f>HYPERLINK("C:\Users\franc\OneDrive\Documentos\MALENTIN KARIME\PROTOCOLIZACION\2015\EDUARDO LOPEZ contrato directo del 01 11 .doc", "Abrir Documento")</f>
        <v>0</v>
      </c>
      <c r="D4722" t="s">
        <v>23500</v>
      </c>
      <c r="E4722" t="s">
        <v>27679</v>
      </c>
    </row>
    <row r="4723" spans="1:5">
      <c r="A4723" t="s">
        <v>6</v>
      </c>
      <c r="B4723" t="s">
        <v>4728</v>
      </c>
      <c r="C4723">
        <f>HYPERLINK("C:\Users\franc\OneDrive\Documentos\MALENTIN KARIME\PROTOCOLIZACION\2015\EDUARDO LOPEZ contrato directo .doc", "Abrir Documento")</f>
        <v>0</v>
      </c>
      <c r="D4723" t="s">
        <v>23500</v>
      </c>
      <c r="E4723" t="s">
        <v>27680</v>
      </c>
    </row>
    <row r="4724" spans="1:5">
      <c r="A4724" t="s">
        <v>6</v>
      </c>
      <c r="B4724" t="s">
        <v>4729</v>
      </c>
      <c r="C4724">
        <f>HYPERLINK("C:\Users\franc\OneDrive\Documentos\MALENTIN KARIME\PROTOCOLIZACION\2015\DOMINGA HENRIQUEZ Indap modelo.doc", "Abrir Documento")</f>
        <v>0</v>
      </c>
      <c r="D4724" t="s">
        <v>23500</v>
      </c>
      <c r="E4724" t="s">
        <v>27681</v>
      </c>
    </row>
    <row r="4725" spans="1:5">
      <c r="A4725" t="s">
        <v>6</v>
      </c>
      <c r="B4725" t="s">
        <v>4730</v>
      </c>
      <c r="C4725">
        <f>HYPERLINK("C:\Users\franc\OneDrive\Documentos\MALENTIN KARIME\PROTOCOLIZACION\2015\DOMINGA HENRIQUEZ Indap.doc", "Abrir Documento")</f>
        <v>0</v>
      </c>
      <c r="D4725" t="s">
        <v>23500</v>
      </c>
      <c r="E4725" t="s">
        <v>27681</v>
      </c>
    </row>
    <row r="4726" spans="1:5">
      <c r="A4726" t="s">
        <v>6</v>
      </c>
      <c r="B4726" t="s">
        <v>4731</v>
      </c>
      <c r="C4726">
        <f>HYPERLINK("C:\Users\franc\OneDrive\Documentos\MALENTIN KARIME\PROTOCOLIZACION\2015\DARIO LAFFERTE CUELLA Arindo.... Indap.doc", "Abrir Documento")</f>
        <v>0</v>
      </c>
      <c r="D4726" t="s">
        <v>23500</v>
      </c>
      <c r="E4726" t="s">
        <v>27682</v>
      </c>
    </row>
    <row r="4727" spans="1:5">
      <c r="A4727" t="s">
        <v>6</v>
      </c>
      <c r="B4727" t="s">
        <v>4732</v>
      </c>
      <c r="C4727">
        <f>HYPERLINK("C:\Users\franc\OneDrive\Documentos\MALENTIN KARIME\PROTOCOLIZACION\2015\CONSTRUCTORA RUBERT ARAYA E.I.R.L.42doc.doc", "Abrir Documento")</f>
        <v>0</v>
      </c>
      <c r="D4727" t="s">
        <v>23500</v>
      </c>
      <c r="E4727" t="s">
        <v>27683</v>
      </c>
    </row>
    <row r="4728" spans="1:5">
      <c r="A4728" t="s">
        <v>6</v>
      </c>
      <c r="B4728" t="s">
        <v>4733</v>
      </c>
      <c r="C4728">
        <f>HYPERLINK("C:\Users\franc\OneDrive\Documentos\MALENTIN KARIME\PROTOCOLIZACION\2015\CONSTRUCTORA RUBERT ARAYA E.I.R.L.41 Adoc.doc", "Abrir Documento")</f>
        <v>0</v>
      </c>
      <c r="D4728" t="s">
        <v>23500</v>
      </c>
      <c r="E4728" t="s">
        <v>27684</v>
      </c>
    </row>
    <row r="4729" spans="1:5">
      <c r="A4729" t="s">
        <v>6</v>
      </c>
      <c r="B4729" t="s">
        <v>4734</v>
      </c>
      <c r="C4729">
        <f>HYPERLINK("C:\Users\franc\OneDrive\Documentos\MALENTIN KARIME\PROTOCOLIZACION\2015\CONSTRUCTORA RUBERT ARAYA E.I.R.L.20.doc", "Abrir Documento")</f>
        <v>0</v>
      </c>
      <c r="D4729" t="s">
        <v>23500</v>
      </c>
      <c r="E4729" t="s">
        <v>27685</v>
      </c>
    </row>
    <row r="4730" spans="1:5">
      <c r="A4730" t="s">
        <v>6</v>
      </c>
      <c r="B4730" t="s">
        <v>4735</v>
      </c>
      <c r="C4730">
        <f>HYPERLINK("C:\Users\franc\OneDrive\Documentos\MALENTIN KARIME\PROTOCOLIZACION\2015\CONSTRUCTORA RUBERT ARAYA E.I.R.L.3.doc", "Abrir Documento")</f>
        <v>0</v>
      </c>
      <c r="D4730" t="s">
        <v>23500</v>
      </c>
      <c r="E4730" t="s">
        <v>27685</v>
      </c>
    </row>
    <row r="4731" spans="1:5">
      <c r="A4731" t="s">
        <v>6</v>
      </c>
      <c r="B4731" t="s">
        <v>4736</v>
      </c>
      <c r="C4731">
        <f>HYPERLINK("C:\Users\franc\OneDrive\Documentos\MALENTIN KARIME\PROTOCOLIZACION\2015\CONSTRUCTORA RUBERT ARAYA E.I.R.L..doc", "Abrir Documento")</f>
        <v>0</v>
      </c>
      <c r="D4731" t="s">
        <v>23500</v>
      </c>
      <c r="E4731" t="s">
        <v>27686</v>
      </c>
    </row>
    <row r="4732" spans="1:5">
      <c r="A4732" t="s">
        <v>6</v>
      </c>
      <c r="B4732" t="s">
        <v>4737</v>
      </c>
      <c r="C4732">
        <f>HYPERLINK("C:\Users\franc\OneDrive\Documentos\MALENTIN KARIME\PROTOCOLIZACION\2015\COMUNIDAD SALALA.doc", "Abrir Documento")</f>
        <v>0</v>
      </c>
      <c r="D4732" t="s">
        <v>23500</v>
      </c>
      <c r="E4732" t="s">
        <v>27687</v>
      </c>
    </row>
    <row r="4733" spans="1:5">
      <c r="A4733" t="s">
        <v>6</v>
      </c>
      <c r="B4733" t="s">
        <v>4738</v>
      </c>
      <c r="C4733">
        <f>HYPERLINK("C:\Users\franc\OneDrive\Documentos\MALENTIN KARIME\PROTOCOLIZACION\2015\COMUNIDAD SOCOS.doc", "Abrir Documento")</f>
        <v>0</v>
      </c>
      <c r="D4733" t="s">
        <v>23500</v>
      </c>
      <c r="E4733" t="s">
        <v>27687</v>
      </c>
    </row>
    <row r="4734" spans="1:5">
      <c r="A4734" t="s">
        <v>6</v>
      </c>
      <c r="B4734" t="s">
        <v>4739</v>
      </c>
      <c r="C4734">
        <f>HYPERLINK("C:\Users\franc\OneDrive\Documentos\MALENTIN KARIME\PROTOCOLIZACION\2015\COMUNIDAD RAPELCILLO}.doc", "Abrir Documento")</f>
        <v>0</v>
      </c>
      <c r="D4734" t="s">
        <v>23500</v>
      </c>
      <c r="E4734" t="s">
        <v>27688</v>
      </c>
    </row>
    <row r="4735" spans="1:5">
      <c r="A4735" t="s">
        <v>6</v>
      </c>
      <c r="B4735" t="s">
        <v>4740</v>
      </c>
      <c r="C4735">
        <f>HYPERLINK("C:\Users\franc\OneDrive\Documentos\MALENTIN KARIME\PROTOCOLIZACION\2015\COMUNIDAD SALALA 2.doc", "Abrir Documento")</f>
        <v>0</v>
      </c>
      <c r="D4735" t="s">
        <v>23500</v>
      </c>
      <c r="E4735" t="s">
        <v>27688</v>
      </c>
    </row>
    <row r="4736" spans="1:5">
      <c r="A4736" t="s">
        <v>6</v>
      </c>
      <c r="B4736" t="s">
        <v>4741</v>
      </c>
      <c r="C4736">
        <f>HYPERLINK("C:\Users\franc\OneDrive\Documentos\MALENTIN KARIME\PROTOCOLIZACION\2015\comunidad ORURO.doc", "Abrir Documento")</f>
        <v>0</v>
      </c>
      <c r="D4736" t="s">
        <v>23500</v>
      </c>
      <c r="E4736" t="s">
        <v>27689</v>
      </c>
    </row>
    <row r="4737" spans="1:5">
      <c r="A4737" t="s">
        <v>6</v>
      </c>
      <c r="B4737" t="s">
        <v>4742</v>
      </c>
      <c r="C4737">
        <f>HYPERLINK("C:\Users\franc\OneDrive\Documentos\MALENTIN KARIME\PROTOCOLIZACION\2015\comunidad ORURO ACTA.doc", "Abrir Documento")</f>
        <v>0</v>
      </c>
      <c r="D4737" t="s">
        <v>23500</v>
      </c>
      <c r="E4737" t="s">
        <v>27690</v>
      </c>
    </row>
    <row r="4738" spans="1:5">
      <c r="A4738" t="s">
        <v>6</v>
      </c>
      <c r="B4738" t="s">
        <v>4743</v>
      </c>
      <c r="C4738">
        <f>HYPERLINK("C:\Users\franc\OneDrive\Documentos\MALENTIN KARIME\PROTOCOLIZACION\2015\comunidad ORURO ACTA FS19.doc", "Abrir Documento")</f>
        <v>0</v>
      </c>
      <c r="D4738" t="s">
        <v>23500</v>
      </c>
      <c r="E4738" t="s">
        <v>27691</v>
      </c>
    </row>
    <row r="4739" spans="1:5">
      <c r="A4739" t="s">
        <v>6</v>
      </c>
      <c r="B4739" t="s">
        <v>4744</v>
      </c>
      <c r="C4739">
        <f>HYPERLINK("C:\Users\franc\OneDrive\Documentos\MALENTIN KARIME\PROTOCOLIZACION\2015\COMUNIDAD MAQUI.doc", "Abrir Documento")</f>
        <v>0</v>
      </c>
      <c r="D4739" t="s">
        <v>23500</v>
      </c>
      <c r="E4739" t="s">
        <v>27692</v>
      </c>
    </row>
    <row r="4740" spans="1:5">
      <c r="A4740" t="s">
        <v>6</v>
      </c>
      <c r="B4740" t="s">
        <v>4745</v>
      </c>
      <c r="C4740">
        <f>HYPERLINK("C:\Users\franc\OneDrive\Documentos\MALENTIN KARIME\PROTOCOLIZACION\2015\COMUNIDAD LOS MAITENES.doc", "Abrir Documento")</f>
        <v>0</v>
      </c>
      <c r="D4740" t="s">
        <v>23500</v>
      </c>
      <c r="E4740" t="s">
        <v>27693</v>
      </c>
    </row>
    <row r="4741" spans="1:5">
      <c r="A4741" t="s">
        <v>6</v>
      </c>
      <c r="B4741" t="s">
        <v>4746</v>
      </c>
      <c r="C4741">
        <f>HYPERLINK("C:\Users\franc\OneDrive\Documentos\MALENTIN KARIME\PROTOCOLIZACION\2015\COMUNIDAD LAS DAMAS  FS. 94 V.doc", "Abrir Documento")</f>
        <v>0</v>
      </c>
      <c r="D4741" t="s">
        <v>23500</v>
      </c>
      <c r="E4741" t="s">
        <v>27694</v>
      </c>
    </row>
    <row r="4742" spans="1:5">
      <c r="A4742" t="s">
        <v>6</v>
      </c>
      <c r="B4742" t="s">
        <v>4747</v>
      </c>
      <c r="C4742">
        <f>HYPERLINK("C:\Users\franc\OneDrive\Documentos\MALENTIN KARIME\PROTOCOLIZACION\2015\COMUNIDAD LA VERDIONA.doc", "Abrir Documento")</f>
        <v>0</v>
      </c>
      <c r="D4742" t="s">
        <v>23500</v>
      </c>
      <c r="E4742" t="s">
        <v>27695</v>
      </c>
    </row>
    <row r="4743" spans="1:5">
      <c r="A4743" t="s">
        <v>6</v>
      </c>
      <c r="B4743" t="s">
        <v>4748</v>
      </c>
      <c r="C4743">
        <f>HYPERLINK("C:\Users\franc\OneDrive\Documentos\MALENTIN KARIME\PROTOCOLIZACION\2015\COMUNIDAD LA COIPA N10.doc", "Abrir Documento")</f>
        <v>0</v>
      </c>
      <c r="D4743" t="s">
        <v>23500</v>
      </c>
      <c r="E4743" t="s">
        <v>27696</v>
      </c>
    </row>
    <row r="4744" spans="1:5">
      <c r="A4744" t="s">
        <v>6</v>
      </c>
      <c r="B4744" t="s">
        <v>4749</v>
      </c>
      <c r="C4744">
        <f>HYPERLINK("C:\Users\franc\OneDrive\Documentos\MALENTIN KARIME\PROTOCOLIZACION\2015\COMUNIDAD LA COIPA.doc", "Abrir Documento")</f>
        <v>0</v>
      </c>
      <c r="D4744" t="s">
        <v>23500</v>
      </c>
      <c r="E4744" t="s">
        <v>27696</v>
      </c>
    </row>
    <row r="4745" spans="1:5">
      <c r="A4745" t="s">
        <v>6</v>
      </c>
      <c r="B4745" t="s">
        <v>4750</v>
      </c>
      <c r="C4745">
        <f>HYPERLINK("C:\Users\franc\OneDrive\Documentos\MALENTIN KARIME\PROTOCOLIZACION\2015\COMUNIDAD JUNTA EDIFICIO DIAGUITAS.doc", "Abrir Documento")</f>
        <v>0</v>
      </c>
      <c r="D4745" t="s">
        <v>23500</v>
      </c>
      <c r="E4745" t="s">
        <v>27697</v>
      </c>
    </row>
    <row r="4746" spans="1:5">
      <c r="A4746" t="s">
        <v>6</v>
      </c>
      <c r="B4746" t="s">
        <v>4751</v>
      </c>
      <c r="C4746">
        <f>HYPERLINK("C:\Users\franc\OneDrive\Documentos\MALENTIN KARIME\PROTOCOLIZACION\2015\COMUNIDAD JUNTA EDIFICIO DIAGUITAS FS. 23.doc", "Abrir Documento")</f>
        <v>0</v>
      </c>
      <c r="D4746" t="s">
        <v>23500</v>
      </c>
      <c r="E4746" t="s">
        <v>27698</v>
      </c>
    </row>
    <row r="4747" spans="1:5">
      <c r="A4747" t="s">
        <v>6</v>
      </c>
      <c r="B4747" t="s">
        <v>4752</v>
      </c>
      <c r="C4747">
        <f>HYPERLINK("C:\Users\franc\OneDrive\Documentos\MALENTIN KARIME\PROTOCOLIZACION\2015\COMUNIDAD HIGUERITAS UNIDAS.doc", "Abrir Documento")</f>
        <v>0</v>
      </c>
      <c r="D4747" t="s">
        <v>23500</v>
      </c>
      <c r="E4747" t="s">
        <v>27699</v>
      </c>
    </row>
    <row r="4748" spans="1:5">
      <c r="A4748" t="s">
        <v>6</v>
      </c>
      <c r="B4748" t="s">
        <v>4753</v>
      </c>
      <c r="C4748">
        <f>HYPERLINK("C:\Users\franc\OneDrive\Documentos\MALENTIN KARIME\PROTOCOLIZACION\2015\COMUNIDAD ELPENON.doc", "Abrir Documento")</f>
        <v>0</v>
      </c>
      <c r="D4748" t="s">
        <v>23500</v>
      </c>
      <c r="E4748" t="s">
        <v>27700</v>
      </c>
    </row>
    <row r="4749" spans="1:5">
      <c r="A4749" t="s">
        <v>6</v>
      </c>
      <c r="B4749" t="s">
        <v>4754</v>
      </c>
      <c r="C4749">
        <f>HYPERLINK("C:\Users\franc\OneDrive\Documentos\MALENTIN KARIME\PROTOCOLIZACION\2015\COMUNIDAD EL POTRERO.doc", "Abrir Documento")</f>
        <v>0</v>
      </c>
      <c r="D4749" t="s">
        <v>23500</v>
      </c>
      <c r="E4749" t="s">
        <v>27701</v>
      </c>
    </row>
    <row r="4750" spans="1:5">
      <c r="A4750" t="s">
        <v>6</v>
      </c>
      <c r="B4750" t="s">
        <v>4755</v>
      </c>
      <c r="C4750">
        <f>HYPERLINK("C:\Users\franc\OneDrive\Documentos\MALENTIN KARIME\PROTOCOLIZACION\2015\COMUNIDAD EL POTRERO 48.doc", "Abrir Documento")</f>
        <v>0</v>
      </c>
      <c r="D4750" t="s">
        <v>23500</v>
      </c>
      <c r="E4750" t="s">
        <v>27702</v>
      </c>
    </row>
    <row r="4751" spans="1:5">
      <c r="A4751" t="s">
        <v>6</v>
      </c>
      <c r="B4751" t="s">
        <v>4756</v>
      </c>
      <c r="C4751">
        <f>HYPERLINK("C:\Users\franc\OneDrive\Documentos\MALENTIN KARIME\PROTOCOLIZACION\2015\COMUNIDAD EL DURAZNO.doc", "Abrir Documento")</f>
        <v>0</v>
      </c>
      <c r="D4751" t="s">
        <v>23500</v>
      </c>
      <c r="E4751" t="s">
        <v>27703</v>
      </c>
    </row>
    <row r="4752" spans="1:5">
      <c r="A4752" t="s">
        <v>6</v>
      </c>
      <c r="B4752" t="s">
        <v>4757</v>
      </c>
      <c r="C4752">
        <f>HYPERLINK("C:\Users\franc\OneDrive\Documentos\MALENTIN KARIME\PROTOCOLIZACION\2015\COMUNIDAD EL ALTAR.doc", "Abrir Documento")</f>
        <v>0</v>
      </c>
      <c r="D4752" t="s">
        <v>23500</v>
      </c>
      <c r="E4752" t="s">
        <v>27704</v>
      </c>
    </row>
    <row r="4753" spans="1:5">
      <c r="A4753" t="s">
        <v>6</v>
      </c>
      <c r="B4753" t="s">
        <v>4758</v>
      </c>
      <c r="C4753">
        <f>HYPERLINK("C:\Users\franc\OneDrive\Documentos\MALENTIN KARIME\PROTOCOLIZACION\2015\COMUNIDAD EL ALTAR 2.doc", "Abrir Documento")</f>
        <v>0</v>
      </c>
      <c r="D4753" t="s">
        <v>23500</v>
      </c>
      <c r="E4753" t="s">
        <v>27705</v>
      </c>
    </row>
    <row r="4754" spans="1:5">
      <c r="A4754" t="s">
        <v>6</v>
      </c>
      <c r="B4754" t="s">
        <v>4759</v>
      </c>
      <c r="C4754">
        <f>HYPERLINK("C:\Users\franc\OneDrive\Documentos\MALENTIN KARIME\PROTOCOLIZACION\2015\COMUNIDAD CARCAMO.doc", "Abrir Documento")</f>
        <v>0</v>
      </c>
      <c r="D4754" t="s">
        <v>23500</v>
      </c>
      <c r="E4754" t="s">
        <v>27706</v>
      </c>
    </row>
    <row r="4755" spans="1:5">
      <c r="A4755" t="s">
        <v>6</v>
      </c>
      <c r="B4755" t="s">
        <v>4760</v>
      </c>
      <c r="C4755">
        <f>HYPERLINK("C:\Users\franc\OneDrive\Documentos\MALENTIN KARIME\PROTOCOLIZACION\2015\COMUNIDAD BUENOS AIRES DE PUNILLA.doc", "Abrir Documento")</f>
        <v>0</v>
      </c>
      <c r="D4755" t="s">
        <v>23500</v>
      </c>
      <c r="E4755" t="s">
        <v>27707</v>
      </c>
    </row>
    <row r="4756" spans="1:5">
      <c r="A4756" t="s">
        <v>6</v>
      </c>
      <c r="B4756" t="s">
        <v>4761</v>
      </c>
      <c r="C4756">
        <f>HYPERLINK("C:\Users\franc\OneDrive\Documentos\MALENTIN KARIME\PROTOCOLIZACION\2015\COMUNIDAD AGRICOLA QUEBRADA LA ARENA.doc", "Abrir Documento")</f>
        <v>0</v>
      </c>
      <c r="D4756" t="s">
        <v>23500</v>
      </c>
      <c r="E4756" t="s">
        <v>27708</v>
      </c>
    </row>
    <row r="4757" spans="1:5">
      <c r="A4757" t="s">
        <v>6</v>
      </c>
      <c r="B4757" t="s">
        <v>4762</v>
      </c>
      <c r="C4757">
        <f>HYPERLINK("C:\Users\franc\OneDrive\Documentos\MALENTIN KARIME\PROTOCOLIZACION\2015\COMITE VIOLETA PARRA.doc", "Abrir Documento")</f>
        <v>0</v>
      </c>
      <c r="D4757" t="s">
        <v>23500</v>
      </c>
      <c r="E4757" t="s">
        <v>27709</v>
      </c>
    </row>
    <row r="4758" spans="1:5">
      <c r="A4758" t="s">
        <v>6</v>
      </c>
      <c r="B4758" t="s">
        <v>4763</v>
      </c>
      <c r="C4758">
        <f>HYPERLINK("C:\Users\franc\OneDrive\Documentos\MALENTIN KARIME\PROTOCOLIZACION\2015\COMUNDAD CANAL PERALES DEL RIO GRANDE.doc", "Abrir Documento")</f>
        <v>0</v>
      </c>
      <c r="D4758" t="s">
        <v>23500</v>
      </c>
      <c r="E4758" t="s">
        <v>27709</v>
      </c>
    </row>
    <row r="4759" spans="1:5">
      <c r="A4759" t="s">
        <v>6</v>
      </c>
      <c r="B4759" t="s">
        <v>4764</v>
      </c>
      <c r="C4759">
        <f>HYPERLINK("C:\Users\franc\OneDrive\Documentos\MALENTIN KARIME\PROTOCOLIZACION\2015\COMITE PRODUCTIVO COPAO.doc", "Abrir Documento")</f>
        <v>0</v>
      </c>
      <c r="D4759" t="s">
        <v>23500</v>
      </c>
      <c r="E4759" t="s">
        <v>27710</v>
      </c>
    </row>
    <row r="4760" spans="1:5">
      <c r="A4760" t="s">
        <v>6</v>
      </c>
      <c r="B4760" t="s">
        <v>4765</v>
      </c>
      <c r="C4760">
        <f>HYPERLINK("C:\Users\franc\OneDrive\Documentos\MALENTIN KARIME\PROTOCOLIZACION\2015\COMITE VIOLETA PARRA autorizacion.doc", "Abrir Documento")</f>
        <v>0</v>
      </c>
      <c r="D4760" t="s">
        <v>23500</v>
      </c>
      <c r="E4760" t="s">
        <v>27710</v>
      </c>
    </row>
    <row r="4761" spans="1:5">
      <c r="A4761" t="s">
        <v>6</v>
      </c>
      <c r="B4761" t="s">
        <v>4766</v>
      </c>
      <c r="C4761">
        <f>HYPERLINK("C:\Users\franc\OneDrive\Documentos\MALENTIN KARIME\PROTOCOLIZACION\2015\COMITE PRO CASA SOL DE LIMARI.doc", "Abrir Documento")</f>
        <v>0</v>
      </c>
      <c r="D4761" t="s">
        <v>23500</v>
      </c>
      <c r="E4761" t="s">
        <v>27711</v>
      </c>
    </row>
    <row r="4762" spans="1:5">
      <c r="A4762" t="s">
        <v>6</v>
      </c>
      <c r="B4762" t="s">
        <v>4767</v>
      </c>
      <c r="C4762">
        <f>HYPERLINK("C:\Users\franc\OneDrive\Documentos\MALENTIN KARIME\PROTOCOLIZACION\2015\COMITE CRIANCERO PROGRESO.doc", "Abrir Documento")</f>
        <v>0</v>
      </c>
      <c r="D4762" t="s">
        <v>23500</v>
      </c>
      <c r="E4762" t="s">
        <v>27712</v>
      </c>
    </row>
    <row r="4763" spans="1:5">
      <c r="A4763" t="s">
        <v>6</v>
      </c>
      <c r="B4763" t="s">
        <v>4768</v>
      </c>
      <c r="C4763">
        <f>HYPERLINK("C:\Users\franc\OneDrive\Documentos\MALENTIN KARIME\PROTOCOLIZACION\2015\COMITE AGUA POTABLE LA HIGUERA FS. 07.doc", "Abrir Documento")</f>
        <v>0</v>
      </c>
      <c r="D4763" t="s">
        <v>23500</v>
      </c>
      <c r="E4763" t="s">
        <v>27713</v>
      </c>
    </row>
    <row r="4764" spans="1:5">
      <c r="A4764" t="s">
        <v>6</v>
      </c>
      <c r="B4764" t="s">
        <v>4769</v>
      </c>
      <c r="C4764">
        <f>HYPERLINK("C:\Users\franc\OneDrive\Documentos\MALENTIN KARIME\PROTOCOLIZACION\2015\COMITE AGUA POTABLE LA HIGUERA FS. 20.doc", "Abrir Documento")</f>
        <v>0</v>
      </c>
      <c r="D4764" t="s">
        <v>23500</v>
      </c>
      <c r="E4764" t="s">
        <v>27713</v>
      </c>
    </row>
    <row r="4765" spans="1:5">
      <c r="A4765" t="s">
        <v>6</v>
      </c>
      <c r="B4765" t="s">
        <v>4770</v>
      </c>
      <c r="C4765">
        <f>HYPERLINK("C:\Users\franc\OneDrive\Documentos\MALENTIN KARIME\PROTOCOLIZACION\2015\COMERCIAL RAYO FENIX Mirza Astudillo.doc", "Abrir Documento")</f>
        <v>0</v>
      </c>
      <c r="D4765" t="s">
        <v>23500</v>
      </c>
      <c r="E4765" t="s">
        <v>27714</v>
      </c>
    </row>
    <row r="4766" spans="1:5">
      <c r="A4766" t="s">
        <v>6</v>
      </c>
      <c r="B4766" t="s">
        <v>4771</v>
      </c>
      <c r="C4766">
        <f>HYPERLINK("C:\Users\franc\OneDrive\Documentos\MALENTIN KARIME\PROTOCOLIZACION\2015\COMERCIAL AROS   Propuesta.doc", "Abrir Documento")</f>
        <v>0</v>
      </c>
      <c r="D4766" t="s">
        <v>23500</v>
      </c>
      <c r="E4766" t="s">
        <v>27715</v>
      </c>
    </row>
    <row r="4767" spans="1:5">
      <c r="A4767" t="s">
        <v>6</v>
      </c>
      <c r="B4767" t="s">
        <v>4772</v>
      </c>
      <c r="C4767">
        <f>HYPERLINK("C:\Users\franc\OneDrive\Documentos\MALENTIN KARIME\PROTOCOLIZACION\2015\CLUB DEPORTIVO SOL UNIDO.doc", "Abrir Documento")</f>
        <v>0</v>
      </c>
      <c r="D4767" t="s">
        <v>23500</v>
      </c>
      <c r="E4767" t="s">
        <v>27716</v>
      </c>
    </row>
    <row r="4768" spans="1:5">
      <c r="A4768" t="s">
        <v>6</v>
      </c>
      <c r="B4768" t="s">
        <v>4773</v>
      </c>
      <c r="C4768">
        <f>HYPERLINK("C:\Users\franc\OneDrive\Documentos\MALENTIN KARIME\PROTOCOLIZACION\2015\CLUB DEPORTIVO PROVINCIAL OVALLE.doc", "Abrir Documento")</f>
        <v>0</v>
      </c>
      <c r="D4768" t="s">
        <v>23500</v>
      </c>
      <c r="E4768" t="s">
        <v>27717</v>
      </c>
    </row>
    <row r="4769" spans="1:5">
      <c r="A4769" t="s">
        <v>6</v>
      </c>
      <c r="B4769" t="s">
        <v>4774</v>
      </c>
      <c r="C4769">
        <f>HYPERLINK("C:\Users\franc\OneDrive\Documentos\MALENTIN KARIME\PROTOCOLIZACION\2015\CLUB DEPORTIVO LOS LEICES.doc", "Abrir Documento")</f>
        <v>0</v>
      </c>
      <c r="D4769" t="s">
        <v>23500</v>
      </c>
      <c r="E4769" t="s">
        <v>27718</v>
      </c>
    </row>
    <row r="4770" spans="1:5">
      <c r="A4770" t="s">
        <v>6</v>
      </c>
      <c r="B4770" t="s">
        <v>4775</v>
      </c>
      <c r="C4770">
        <f>HYPERLINK("C:\Users\franc\OneDrive\Documentos\MALENTIN KARIME\PROTOCOLIZACION\2015\CLUB DE LEONES DE OVALLE 04 JULIO 15.doc", "Abrir Documento")</f>
        <v>0</v>
      </c>
      <c r="D4770" t="s">
        <v>23500</v>
      </c>
      <c r="E4770" t="s">
        <v>27719</v>
      </c>
    </row>
    <row r="4771" spans="1:5">
      <c r="A4771" t="s">
        <v>6</v>
      </c>
      <c r="B4771" t="s">
        <v>4776</v>
      </c>
      <c r="C4771">
        <f>HYPERLINK("C:\Users\franc\OneDrive\Documentos\MALENTIN KARIME\PROTOCOLIZACION\2015\CECILIA AGUIRRE Drogas.doc", "Abrir Documento")</f>
        <v>0</v>
      </c>
      <c r="D4771" t="s">
        <v>23500</v>
      </c>
      <c r="E4771" t="s">
        <v>27720</v>
      </c>
    </row>
    <row r="4772" spans="1:5">
      <c r="A4772" t="s">
        <v>6</v>
      </c>
      <c r="B4772" t="s">
        <v>4777</v>
      </c>
      <c r="C4772">
        <f>HYPERLINK("C:\Users\franc\OneDrive\Documentos\MALENTIN KARIME\PROTOCOLIZACION\2015\CAROLINA OLIVARES CORTES Propuesta FERIA.doc", "Abrir Documento")</f>
        <v>0</v>
      </c>
      <c r="D4772" t="s">
        <v>23500</v>
      </c>
      <c r="E4772" t="s">
        <v>27721</v>
      </c>
    </row>
    <row r="4773" spans="1:5">
      <c r="A4773" t="s">
        <v>6</v>
      </c>
      <c r="B4773" t="s">
        <v>4778</v>
      </c>
      <c r="C4773">
        <f>HYPERLINK("C:\Users\franc\OneDrive\Documentos\MALENTIN KARIME\PROTOCOLIZACION\2015\CARMEN CAMPUSANO ORREGO  Propuesta FERIA.doc", "Abrir Documento")</f>
        <v>0</v>
      </c>
      <c r="D4773" t="s">
        <v>23500</v>
      </c>
      <c r="E4773" t="s">
        <v>27722</v>
      </c>
    </row>
    <row r="4774" spans="1:5">
      <c r="A4774" t="s">
        <v>6</v>
      </c>
      <c r="B4774" t="s">
        <v>4779</v>
      </c>
      <c r="C4774">
        <f>HYPERLINK("C:\Users\franc\OneDrive\Documentos\MALENTIN KARIME\PROTOCOLIZACION\2015\CARABINEROS.doc", "Abrir Documento")</f>
        <v>0</v>
      </c>
      <c r="D4774" t="s">
        <v>23500</v>
      </c>
      <c r="E4774" t="s">
        <v>27723</v>
      </c>
    </row>
    <row r="4775" spans="1:5">
      <c r="A4775" t="s">
        <v>6</v>
      </c>
      <c r="B4775" t="s">
        <v>4780</v>
      </c>
      <c r="C4775">
        <f>HYPERLINK("C:\Users\franc\OneDrive\Documentos\MALENTIN KARIME\PROTOCOLIZACION\2015\CANAL PULPICA BAJO.doc", "Abrir Documento")</f>
        <v>0</v>
      </c>
      <c r="D4775" t="s">
        <v>23500</v>
      </c>
      <c r="E4775" t="s">
        <v>27724</v>
      </c>
    </row>
    <row r="4776" spans="1:5">
      <c r="A4776" t="s">
        <v>6</v>
      </c>
      <c r="B4776" t="s">
        <v>4781</v>
      </c>
      <c r="C4776">
        <f>HYPERLINK("C:\Users\franc\OneDrive\Documentos\MALENTIN KARIME\PROTOCOLIZACION\2015\CANAL CAMARICO Tranque Las Garzas.doc", "Abrir Documento")</f>
        <v>0</v>
      </c>
      <c r="D4776" t="s">
        <v>23500</v>
      </c>
      <c r="E4776" t="s">
        <v>27725</v>
      </c>
    </row>
    <row r="4777" spans="1:5">
      <c r="A4777" t="s">
        <v>6</v>
      </c>
      <c r="B4777" t="s">
        <v>4782</v>
      </c>
      <c r="C4777">
        <f>HYPERLINK("C:\Users\franc\OneDrive\Documentos\MALENTIN KARIME\PROTOCOLIZACION\2015\CANAL CAMARICO Tranque Talquilla.doc", "Abrir Documento")</f>
        <v>0</v>
      </c>
      <c r="D4777" t="s">
        <v>23500</v>
      </c>
      <c r="E4777" t="s">
        <v>27725</v>
      </c>
    </row>
    <row r="4778" spans="1:5">
      <c r="A4778" t="s">
        <v>6</v>
      </c>
      <c r="B4778" t="s">
        <v>4783</v>
      </c>
      <c r="C4778">
        <f>HYPERLINK("C:\Users\franc\OneDrive\Documentos\MALENTIN KARIME\PROTOCOLIZACION\2015\CANAL CAMARICO Ceres.doc", "Abrir Documento")</f>
        <v>0</v>
      </c>
      <c r="D4778" t="s">
        <v>23500</v>
      </c>
      <c r="E4778" t="s">
        <v>27726</v>
      </c>
    </row>
    <row r="4779" spans="1:5">
      <c r="A4779" t="s">
        <v>6</v>
      </c>
      <c r="B4779" t="s">
        <v>4784</v>
      </c>
      <c r="C4779">
        <f>HYPERLINK("C:\Users\franc\OneDrive\Documentos\MALENTIN KARIME\PROTOCOLIZACION\2015\CANAL CAMARICO Tranque Batuco.doc", "Abrir Documento")</f>
        <v>0</v>
      </c>
      <c r="D4779" t="s">
        <v>23500</v>
      </c>
      <c r="E4779" t="s">
        <v>27726</v>
      </c>
    </row>
    <row r="4780" spans="1:5">
      <c r="A4780" t="s">
        <v>6</v>
      </c>
      <c r="B4780" t="s">
        <v>4785</v>
      </c>
      <c r="C4780">
        <f>HYPERLINK("C:\Users\franc\OneDrive\Documentos\MALENTIN KARIME\PROTOCOLIZACION\2015\BOLIVIA TAPIA OLIVARESIndap.doc", "Abrir Documento")</f>
        <v>0</v>
      </c>
      <c r="D4780" t="s">
        <v>23500</v>
      </c>
      <c r="E4780" t="s">
        <v>27727</v>
      </c>
    </row>
    <row r="4781" spans="1:5">
      <c r="A4781" t="s">
        <v>6</v>
      </c>
      <c r="B4781" t="s">
        <v>4786</v>
      </c>
      <c r="C4781">
        <f>HYPERLINK("C:\Users\franc\OneDrive\Documentos\MALENTIN KARIME\PROTOCOLIZACION\2015\BOMBEROS Sexta CIA.doc", "Abrir Documento")</f>
        <v>0</v>
      </c>
      <c r="D4781" t="s">
        <v>23500</v>
      </c>
      <c r="E4781" t="s">
        <v>27727</v>
      </c>
    </row>
    <row r="4782" spans="1:5">
      <c r="A4782" t="s">
        <v>6</v>
      </c>
      <c r="B4782" t="s">
        <v>4787</v>
      </c>
      <c r="C4782">
        <f>HYPERLINK("C:\Users\franc\OneDrive\Documentos\MALENTIN KARIME\PROTOCOLIZACION\2015\Autorizo la firma MISAEL PIZARRO CASTILL.doc", "Abrir Documento")</f>
        <v>0</v>
      </c>
      <c r="D4782" t="s">
        <v>23500</v>
      </c>
      <c r="E4782" t="s">
        <v>27728</v>
      </c>
    </row>
    <row r="4783" spans="1:5">
      <c r="A4783" t="s">
        <v>6</v>
      </c>
      <c r="B4783" t="s">
        <v>4788</v>
      </c>
      <c r="C4783">
        <f>HYPERLINK("C:\Users\franc\OneDrive\Documentos\MALENTIN KARIME\PROTOCOLIZACION\2015\Autorizo la firma MONICA TREDROS.doc", "Abrir Documento")</f>
        <v>0</v>
      </c>
      <c r="D4783" t="s">
        <v>23500</v>
      </c>
      <c r="E4783" t="s">
        <v>27728</v>
      </c>
    </row>
    <row r="4784" spans="1:5">
      <c r="A4784" t="s">
        <v>6</v>
      </c>
      <c r="B4784" t="s">
        <v>4789</v>
      </c>
      <c r="C4784">
        <f>HYPERLINK("C:\Users\franc\OneDrive\Documentos\MALENTIN KARIME\PROTOCOLIZACION\2015\Autorizo la firma EDUARDO LOPEZ GARCIA.doc", "Abrir Documento")</f>
        <v>0</v>
      </c>
      <c r="D4784" t="s">
        <v>23500</v>
      </c>
      <c r="E4784" t="s">
        <v>27729</v>
      </c>
    </row>
    <row r="4785" spans="1:5">
      <c r="A4785" t="s">
        <v>6</v>
      </c>
      <c r="B4785" t="s">
        <v>4790</v>
      </c>
      <c r="C4785">
        <f>HYPERLINK("C:\Users\franc\OneDrive\Documentos\MALENTIN KARIME\PROTOCOLIZACION\2015\Autorizo la firma de LABORATORIO VALPARAISO.doc", "Abrir Documento")</f>
        <v>0</v>
      </c>
      <c r="D4785" t="s">
        <v>23500</v>
      </c>
      <c r="E4785" t="s">
        <v>27730</v>
      </c>
    </row>
    <row r="4786" spans="1:5">
      <c r="A4786" t="s">
        <v>6</v>
      </c>
      <c r="B4786" t="s">
        <v>4791</v>
      </c>
      <c r="C4786">
        <f>HYPERLINK("C:\Users\franc\OneDrive\Documentos\MALENTIN KARIME\PROTOCOLIZACION\2015\autorizacion.doc", "Abrir Documento")</f>
        <v>0</v>
      </c>
      <c r="D4786" t="s">
        <v>23500</v>
      </c>
      <c r="E4786" t="s">
        <v>27731</v>
      </c>
    </row>
    <row r="4787" spans="1:5">
      <c r="A4787" t="s">
        <v>6</v>
      </c>
      <c r="B4787" t="s">
        <v>4792</v>
      </c>
      <c r="C4787">
        <f>HYPERLINK("C:\Users\franc\OneDrive\Documentos\MALENTIN KARIME\PROTOCOLIZACION\2015\ASOCIACION GREMIAL FERIA MODELO.doc", "Abrir Documento")</f>
        <v>0</v>
      </c>
      <c r="D4787" t="s">
        <v>23500</v>
      </c>
      <c r="E4787" t="s">
        <v>27732</v>
      </c>
    </row>
    <row r="4788" spans="1:5">
      <c r="A4788" t="s">
        <v>6</v>
      </c>
      <c r="B4788" t="s">
        <v>4793</v>
      </c>
      <c r="C4788">
        <f>HYPERLINK("C:\Users\franc\OneDrive\Documentos\MALENTIN KARIME\PROTOCOLIZACION\2015\AUTORIZACION  horizontal 2.doc", "Abrir Documento")</f>
        <v>0</v>
      </c>
      <c r="D4788" t="s">
        <v>23500</v>
      </c>
      <c r="E4788" t="s">
        <v>27732</v>
      </c>
    </row>
    <row r="4789" spans="1:5">
      <c r="A4789" t="s">
        <v>6</v>
      </c>
      <c r="B4789" t="s">
        <v>4794</v>
      </c>
      <c r="C4789">
        <f>HYPERLINK("C:\Users\franc\OneDrive\Documentos\MALENTIN KARIME\PROTOCOLIZACION\2015\ALVARO CARVAJAL.doc", "Abrir Documento")</f>
        <v>0</v>
      </c>
      <c r="D4789" t="s">
        <v>23500</v>
      </c>
      <c r="E4789" t="s">
        <v>27733</v>
      </c>
    </row>
    <row r="4790" spans="1:5">
      <c r="A4790" t="s">
        <v>6</v>
      </c>
      <c r="B4790" t="s">
        <v>4795</v>
      </c>
      <c r="C4790">
        <f>HYPERLINK("C:\Users\franc\OneDrive\Documentos\MALENTIN KARIME\PROTOCOLIZACION\2015\ASOCIACION GREMIAL FERIA MODELO 2.doc", "Abrir Documento")</f>
        <v>0</v>
      </c>
      <c r="D4790" t="s">
        <v>23500</v>
      </c>
      <c r="E4790" t="s">
        <v>27733</v>
      </c>
    </row>
    <row r="4791" spans="1:5">
      <c r="A4791" t="s">
        <v>6</v>
      </c>
      <c r="B4791" t="s">
        <v>4796</v>
      </c>
      <c r="C4791">
        <f>HYPERLINK("C:\Users\franc\OneDrive\Documentos\MALENTIN KARIME\PROTOCOLIZACION\2015\ALEJANDRA  CASTILLO BARRAZA.doc", "Abrir Documento")</f>
        <v>0</v>
      </c>
      <c r="D4791" t="s">
        <v>23500</v>
      </c>
      <c r="E4791" t="s">
        <v>27734</v>
      </c>
    </row>
    <row r="4792" spans="1:5">
      <c r="A4792" t="s">
        <v>6</v>
      </c>
      <c r="B4792" t="s">
        <v>4797</v>
      </c>
      <c r="C4792">
        <f>HYPERLINK("C:\Users\franc\OneDrive\Documentos\MALENTIN KARIME\PROTOCOLIZACION\2015\ALVARO CARVAJAL 2.doc", "Abrir Documento")</f>
        <v>0</v>
      </c>
      <c r="D4792" t="s">
        <v>23500</v>
      </c>
      <c r="E4792" t="s">
        <v>27734</v>
      </c>
    </row>
    <row r="4793" spans="1:5">
      <c r="A4793" t="s">
        <v>6</v>
      </c>
      <c r="B4793" t="s">
        <v>4798</v>
      </c>
      <c r="C4793">
        <f>HYPERLINK("C:\Users\franc\OneDrive\Documentos\MALENTIN KARIME\PROTOCOLIZACION\2015\Alba Guerrero Drogas MARO.doc", "Abrir Documento")</f>
        <v>0</v>
      </c>
      <c r="D4793" t="s">
        <v>23500</v>
      </c>
      <c r="E4793" t="s">
        <v>27735</v>
      </c>
    </row>
    <row r="4794" spans="1:5">
      <c r="A4794" t="s">
        <v>6</v>
      </c>
      <c r="B4794" t="s">
        <v>4799</v>
      </c>
      <c r="C4794">
        <f>HYPERLINK("C:\Users\franc\OneDrive\Documentos\MALENTIN KARIME\PROTOCOLIZACION\2015\Alba Guerrero } Drogas.doc", "Abrir Documento")</f>
        <v>0</v>
      </c>
      <c r="D4794" t="s">
        <v>23500</v>
      </c>
      <c r="E4794" t="s">
        <v>27735</v>
      </c>
    </row>
    <row r="4795" spans="1:5">
      <c r="A4795" t="s">
        <v>6</v>
      </c>
      <c r="B4795" t="s">
        <v>4800</v>
      </c>
      <c r="C4795">
        <f>HYPERLINK("C:\Users\franc\OneDrive\Documentos\MALENTIN KARIME\PROTOCOLIZACION\2015\AHIMCO INGENIERIA.doc", "Abrir Documento")</f>
        <v>0</v>
      </c>
      <c r="D4795" t="s">
        <v>23500</v>
      </c>
      <c r="E4795" t="s">
        <v>27736</v>
      </c>
    </row>
    <row r="4796" spans="1:5">
      <c r="A4796" t="s">
        <v>6</v>
      </c>
      <c r="B4796" t="s">
        <v>4801</v>
      </c>
      <c r="C4796">
        <f>HYPERLINK("C:\Users\franc\OneDrive\Documentos\MALENTIN KARIME\PROTOCOLIZACION\2015\AGRUPACION DE DISCAPACIDAD.doc", "Abrir Documento")</f>
        <v>0</v>
      </c>
      <c r="D4796" t="s">
        <v>23500</v>
      </c>
      <c r="E4796" t="s">
        <v>27737</v>
      </c>
    </row>
    <row r="4797" spans="1:5">
      <c r="A4797" t="s">
        <v>6</v>
      </c>
      <c r="B4797" t="s">
        <v>4802</v>
      </c>
      <c r="C4797">
        <f>HYPERLINK("C:\Users\franc\OneDrive\Documentos\MALENTIN KARIME\PROTOCOLIZACION\2014\SERVICIOS DE INGENIERIA  Propuesta 18-2014.doc", "Abrir Documento")</f>
        <v>0</v>
      </c>
      <c r="D4797" t="s">
        <v>23500</v>
      </c>
      <c r="E4797" t="s">
        <v>27738</v>
      </c>
    </row>
    <row r="4798" spans="1:5">
      <c r="A4798" t="s">
        <v>6</v>
      </c>
      <c r="B4798" t="s">
        <v>4803</v>
      </c>
      <c r="C4798">
        <f>HYPERLINK("C:\Users\franc\OneDrive\Documentos\MALENTIN KARIME\PROTOCOLIZACION\2014\SERVICIOS DE INGENIERIA  Propuesta 22-2014.doc", "Abrir Documento")</f>
        <v>0</v>
      </c>
      <c r="D4798" t="s">
        <v>23500</v>
      </c>
      <c r="E4798" t="s">
        <v>27738</v>
      </c>
    </row>
    <row r="4799" spans="1:5">
      <c r="A4799" t="s">
        <v>6</v>
      </c>
      <c r="B4799" t="s">
        <v>4804</v>
      </c>
      <c r="C4799">
        <f>HYPERLINK("C:\Users\franc\OneDrive\Documentos\MALENTIN KARIME\PROTOCOLIZACION\2014\SERVICIOS DE INGENIERIA  Propuesta 23-2014.doc", "Abrir Documento")</f>
        <v>0</v>
      </c>
      <c r="D4799" t="s">
        <v>23500</v>
      </c>
      <c r="E4799" t="s">
        <v>27738</v>
      </c>
    </row>
    <row r="4800" spans="1:5">
      <c r="A4800" t="s">
        <v>6</v>
      </c>
      <c r="B4800" t="s">
        <v>4805</v>
      </c>
      <c r="C4800">
        <f>HYPERLINK("C:\Users\franc\OneDrive\Documentos\MALENTIN KARIME\PROTOCOLIZACION\2014\SERVICIOS DE INGENIERIA  Propuesta  modif 23.doc", "Abrir Documento")</f>
        <v>0</v>
      </c>
      <c r="D4800" t="s">
        <v>23500</v>
      </c>
      <c r="E4800" t="s">
        <v>27739</v>
      </c>
    </row>
    <row r="4801" spans="1:5">
      <c r="A4801" t="s">
        <v>6</v>
      </c>
      <c r="B4801" t="s">
        <v>4806</v>
      </c>
      <c r="C4801">
        <f>HYPERLINK("C:\Users\franc\OneDrive\Documentos\MALENTIN KARIME\PROTOCOLIZACION\2014\SERVICIO TASUI dic 14.doc", "Abrir Documento")</f>
        <v>0</v>
      </c>
      <c r="D4801" t="s">
        <v>23500</v>
      </c>
      <c r="E4801" t="s">
        <v>27740</v>
      </c>
    </row>
    <row r="4802" spans="1:5">
      <c r="A4802" t="s">
        <v>6</v>
      </c>
      <c r="B4802" t="s">
        <v>4807</v>
      </c>
      <c r="C4802">
        <f>HYPERLINK("C:\Users\franc\OneDrive\Documentos\MALENTIN KARIME\PROTOCOLIZACION\2014\SERVICIO TASUI.doc", "Abrir Documento")</f>
        <v>0</v>
      </c>
      <c r="D4802" t="s">
        <v>23500</v>
      </c>
      <c r="E4802" t="s">
        <v>27740</v>
      </c>
    </row>
    <row r="4803" spans="1:5">
      <c r="A4803" t="s">
        <v>6</v>
      </c>
      <c r="B4803" t="s">
        <v>4808</v>
      </c>
      <c r="C4803">
        <f>HYPERLINK("C:\Users\franc\OneDrive\Documentos\MALENTIN KARIME\PROTOCOLIZACION\2014\RUDELIO MONTENEGRO Indap.doc", "Abrir Documento")</f>
        <v>0</v>
      </c>
      <c r="D4803" t="s">
        <v>23500</v>
      </c>
      <c r="E4803" t="s">
        <v>27741</v>
      </c>
    </row>
    <row r="4804" spans="1:5">
      <c r="A4804" t="s">
        <v>6</v>
      </c>
      <c r="B4804" t="s">
        <v>4809</v>
      </c>
      <c r="C4804">
        <f>HYPERLINK("C:\Users\franc\OneDrive\Documentos\MALENTIN KARIME\PROTOCOLIZACION\2014\SERVICIO TASUI dic 14 anexo.doc", "Abrir Documento")</f>
        <v>0</v>
      </c>
      <c r="D4804" t="s">
        <v>23500</v>
      </c>
      <c r="E4804" t="s">
        <v>27741</v>
      </c>
    </row>
    <row r="4805" spans="1:5">
      <c r="A4805" t="s">
        <v>6</v>
      </c>
      <c r="B4805" t="s">
        <v>4810</v>
      </c>
      <c r="C4805">
        <f>HYPERLINK("C:\Users\franc\OneDrive\Documentos\MALENTIN KARIME\PROTOCOLIZACION\2014\ROBERTO VEGA Propuesta.doc", "Abrir Documento")</f>
        <v>0</v>
      </c>
      <c r="D4805" t="s">
        <v>23500</v>
      </c>
      <c r="E4805" t="s">
        <v>27742</v>
      </c>
    </row>
    <row r="4806" spans="1:5">
      <c r="A4806" t="s">
        <v>6</v>
      </c>
      <c r="B4806" t="s">
        <v>4811</v>
      </c>
      <c r="C4806">
        <f>HYPERLINK("C:\Users\franc\OneDrive\Documentos\MALENTIN KARIME\PROTOCOLIZACION\2014\RODRIGO JARA OVALLE.doc", "Abrir Documento")</f>
        <v>0</v>
      </c>
      <c r="D4806" t="s">
        <v>23500</v>
      </c>
      <c r="E4806" t="s">
        <v>27742</v>
      </c>
    </row>
    <row r="4807" spans="1:5">
      <c r="A4807" t="s">
        <v>6</v>
      </c>
      <c r="B4807" t="s">
        <v>4812</v>
      </c>
      <c r="C4807">
        <f>HYPERLINK("C:\Users\franc\OneDrive\Documentos\MALENTIN KARIME\PROTOCOLIZACION\2014\ROBERTO VEGA (Resuelvo 3182 DOH).doc", "Abrir Documento")</f>
        <v>0</v>
      </c>
      <c r="D4807" t="s">
        <v>23500</v>
      </c>
      <c r="E4807" t="s">
        <v>27743</v>
      </c>
    </row>
    <row r="4808" spans="1:5">
      <c r="A4808" t="s">
        <v>6</v>
      </c>
      <c r="B4808" t="s">
        <v>4813</v>
      </c>
      <c r="C4808">
        <f>HYPERLINK("C:\Users\franc\OneDrive\Documentos\MALENTIN KARIME\PROTOCOLIZACION\2014\ROBERTO VEGA (Resuelvo 3178 DOH).doc", "Abrir Documento")</f>
        <v>0</v>
      </c>
      <c r="D4808" t="s">
        <v>23500</v>
      </c>
      <c r="E4808" t="s">
        <v>27744</v>
      </c>
    </row>
    <row r="4809" spans="1:5">
      <c r="A4809" t="s">
        <v>6</v>
      </c>
      <c r="B4809" t="s">
        <v>4814</v>
      </c>
      <c r="C4809">
        <f>HYPERLINK("C:\Users\franc\OneDrive\Documentos\MALENTIN KARIME\PROTOCOLIZACION\2014\ROBERTO VEGA (Resuelvo 3180 DOH).doc", "Abrir Documento")</f>
        <v>0</v>
      </c>
      <c r="D4809" t="s">
        <v>23500</v>
      </c>
      <c r="E4809" t="s">
        <v>27744</v>
      </c>
    </row>
    <row r="4810" spans="1:5">
      <c r="A4810" t="s">
        <v>6</v>
      </c>
      <c r="B4810" t="s">
        <v>4815</v>
      </c>
      <c r="C4810">
        <f>HYPERLINK("C:\Users\franc\OneDrive\Documentos\MALENTIN KARIME\PROTOCOLIZACION\2014\ROBERTO VEGA (Resuelvo 3174 DOH).doc", "Abrir Documento")</f>
        <v>0</v>
      </c>
      <c r="D4810" t="s">
        <v>23500</v>
      </c>
      <c r="E4810" t="s">
        <v>27745</v>
      </c>
    </row>
    <row r="4811" spans="1:5">
      <c r="A4811" t="s">
        <v>6</v>
      </c>
      <c r="B4811" t="s">
        <v>4816</v>
      </c>
      <c r="C4811">
        <f>HYPERLINK("C:\Users\franc\OneDrive\Documentos\MALENTIN KARIME\PROTOCOLIZACION\2014\ROBERTO VEGA (Resuelvo 2934 DOH).doc", "Abrir Documento")</f>
        <v>0</v>
      </c>
      <c r="D4811" t="s">
        <v>23500</v>
      </c>
      <c r="E4811" t="s">
        <v>27746</v>
      </c>
    </row>
    <row r="4812" spans="1:5">
      <c r="A4812" t="s">
        <v>6</v>
      </c>
      <c r="B4812" t="s">
        <v>4817</v>
      </c>
      <c r="C4812">
        <f>HYPERLINK("C:\Users\franc\OneDrive\Documentos\MALENTIN KARIME\PROTOCOLIZACION\2014\PEDRO TORRES SANHUEZA´Popuesta50-2011.doc", "Abrir Documento")</f>
        <v>0</v>
      </c>
      <c r="D4812" t="s">
        <v>23500</v>
      </c>
      <c r="E4812" t="s">
        <v>27747</v>
      </c>
    </row>
    <row r="4813" spans="1:5">
      <c r="A4813" t="s">
        <v>6</v>
      </c>
      <c r="B4813" t="s">
        <v>4818</v>
      </c>
      <c r="C4813">
        <f>HYPERLINK("C:\Users\franc\OneDrive\Documentos\MALENTIN KARIME\PROTOCOLIZACION\2014\PEDRO TORRES SANHUEZA´Popuesta50-2011 fEBRERO.doc", "Abrir Documento")</f>
        <v>0</v>
      </c>
      <c r="D4813" t="s">
        <v>23500</v>
      </c>
      <c r="E4813" t="s">
        <v>27748</v>
      </c>
    </row>
    <row r="4814" spans="1:5">
      <c r="A4814" t="s">
        <v>6</v>
      </c>
      <c r="B4814" t="s">
        <v>4819</v>
      </c>
      <c r="C4814">
        <f>HYPERLINK("C:\Users\franc\OneDrive\Documentos\MALENTIN KARIME\PROTOCOLIZACION\2014\PATRICIA ALFARO Rectificacion Inventario.doc", "Abrir Documento")</f>
        <v>0</v>
      </c>
      <c r="D4814" t="s">
        <v>23500</v>
      </c>
      <c r="E4814" t="s">
        <v>27749</v>
      </c>
    </row>
    <row r="4815" spans="1:5">
      <c r="A4815" t="s">
        <v>6</v>
      </c>
      <c r="B4815" t="s">
        <v>4820</v>
      </c>
      <c r="C4815">
        <f>HYPERLINK("C:\Users\franc\OneDrive\Documentos\MALENTIN KARIME\PROTOCOLIZACION\2014\PATRICIO RIVERA Indap.doc", "Abrir Documento")</f>
        <v>0</v>
      </c>
      <c r="D4815" t="s">
        <v>23500</v>
      </c>
      <c r="E4815" t="s">
        <v>27749</v>
      </c>
    </row>
    <row r="4816" spans="1:5">
      <c r="A4816" t="s">
        <v>6</v>
      </c>
      <c r="B4816" t="s">
        <v>4821</v>
      </c>
      <c r="C4816">
        <f>HYPERLINK("C:\Users\franc\OneDrive\Documentos\MALENTIN KARIME\PROTOCOLIZACION\2014\PATRICIA ALFARO Inventario.doc", "Abrir Documento")</f>
        <v>0</v>
      </c>
      <c r="D4816" t="s">
        <v>23500</v>
      </c>
      <c r="E4816" t="s">
        <v>27750</v>
      </c>
    </row>
    <row r="4817" spans="1:5">
      <c r="A4817" t="s">
        <v>6</v>
      </c>
      <c r="B4817" t="s">
        <v>4822</v>
      </c>
      <c r="C4817">
        <f>HYPERLINK("C:\Users\franc\OneDrive\Documentos\MALENTIN KARIME\PROTOCOLIZACION\2014\PATRICIA ALFARO Inventario y rect.doc", "Abrir Documento")</f>
        <v>0</v>
      </c>
      <c r="D4817" t="s">
        <v>23500</v>
      </c>
      <c r="E4817" t="s">
        <v>27751</v>
      </c>
    </row>
    <row r="4818" spans="1:5">
      <c r="A4818" t="s">
        <v>6</v>
      </c>
      <c r="B4818" t="s">
        <v>4823</v>
      </c>
      <c r="C4818">
        <f>HYPERLINK("C:\Users\franc\OneDrive\Documentos\MALENTIN KARIME\PROTOCOLIZACION\2014\OSVALDO PACHECO PLAPropuesta.doc", "Abrir Documento")</f>
        <v>0</v>
      </c>
      <c r="D4818" t="s">
        <v>23500</v>
      </c>
      <c r="E4818" t="s">
        <v>27752</v>
      </c>
    </row>
    <row r="4819" spans="1:5">
      <c r="A4819" t="s">
        <v>6</v>
      </c>
      <c r="B4819" t="s">
        <v>4824</v>
      </c>
      <c r="C4819">
        <f>HYPERLINK("C:\Users\franc\OneDrive\Documentos\MALENTIN KARIME\PROTOCOLIZACION\2014\PAOLA ANDRADES ROJAS Poder.doc", "Abrir Documento")</f>
        <v>0</v>
      </c>
      <c r="D4819" t="s">
        <v>23500</v>
      </c>
      <c r="E4819" t="s">
        <v>27752</v>
      </c>
    </row>
    <row r="4820" spans="1:5">
      <c r="A4820" t="s">
        <v>6</v>
      </c>
      <c r="B4820" t="s">
        <v>4825</v>
      </c>
      <c r="C4820">
        <f>HYPERLINK("C:\Users\franc\OneDrive\Documentos\MALENTIN KARIME\PROTOCOLIZACION\2014\PATRICIA ALFARO con Lorenzo Moroso Inventario.doc", "Abrir Documento")</f>
        <v>0</v>
      </c>
      <c r="D4820" t="s">
        <v>23500</v>
      </c>
      <c r="E4820" t="s">
        <v>27752</v>
      </c>
    </row>
    <row r="4821" spans="1:5">
      <c r="A4821" t="s">
        <v>6</v>
      </c>
      <c r="B4821" t="s">
        <v>4826</v>
      </c>
      <c r="C4821">
        <f>HYPERLINK("C:\Users\franc\OneDrive\Documentos\MALENTIN KARIME\PROTOCOLIZACION\2014\ORLANDO FLORES ALVAREZ fs.130.doc", "Abrir Documento")</f>
        <v>0</v>
      </c>
      <c r="D4821" t="s">
        <v>23500</v>
      </c>
      <c r="E4821" t="s">
        <v>27753</v>
      </c>
    </row>
    <row r="4822" spans="1:5">
      <c r="A4822" t="s">
        <v>6</v>
      </c>
      <c r="B4822" t="s">
        <v>4827</v>
      </c>
      <c r="C4822">
        <f>HYPERLINK("C:\Users\franc\OneDrive\Documentos\MALENTIN KARIME\PROTOCOLIZACION\2014\ORLANDO FLORES ALVAREZ.doc", "Abrir Documento")</f>
        <v>0</v>
      </c>
      <c r="D4822" t="s">
        <v>23500</v>
      </c>
      <c r="E4822" t="s">
        <v>27753</v>
      </c>
    </row>
    <row r="4823" spans="1:5">
      <c r="A4823" t="s">
        <v>6</v>
      </c>
      <c r="B4823" t="s">
        <v>4828</v>
      </c>
      <c r="C4823">
        <f>HYPERLINK("C:\Users\franc\OneDrive\Documentos\MALENTIN KARIME\PROTOCOLIZACION\2014\OLGA PIZARRO E.I.R.L ID 2711.doc", "Abrir Documento")</f>
        <v>0</v>
      </c>
      <c r="D4823" t="s">
        <v>23500</v>
      </c>
      <c r="E4823" t="s">
        <v>27754</v>
      </c>
    </row>
    <row r="4824" spans="1:5">
      <c r="A4824" t="s">
        <v>6</v>
      </c>
      <c r="B4824" t="s">
        <v>4829</v>
      </c>
      <c r="C4824">
        <f>HYPERLINK("C:\Users\franc\OneDrive\Documentos\MALENTIN KARIME\PROTOCOLIZACION\2014\MICHELLE  LATORRE Drogas.doc", "Abrir Documento")</f>
        <v>0</v>
      </c>
      <c r="D4824" t="s">
        <v>23500</v>
      </c>
      <c r="E4824" t="s">
        <v>27755</v>
      </c>
    </row>
    <row r="4825" spans="1:5">
      <c r="A4825" t="s">
        <v>6</v>
      </c>
      <c r="B4825" t="s">
        <v>4830</v>
      </c>
      <c r="C4825">
        <f>HYPERLINK("C:\Users\franc\OneDrive\Documentos\MALENTIN KARIME\PROTOCOLIZACION\2014\MARIA VEGA BARRAZA prop. vehiculo.doc", "Abrir Documento")</f>
        <v>0</v>
      </c>
      <c r="D4825" t="s">
        <v>23500</v>
      </c>
      <c r="E4825" t="s">
        <v>27756</v>
      </c>
    </row>
    <row r="4826" spans="1:5">
      <c r="A4826" t="s">
        <v>6</v>
      </c>
      <c r="B4826" t="s">
        <v>4831</v>
      </c>
      <c r="C4826">
        <f>HYPERLINK("C:\Users\franc\OneDrive\Documentos\MALENTIN KARIME\PROTOCOLIZACION\2014\LUIS LOPEZ ALVARADO.doc", "Abrir Documento")</f>
        <v>0</v>
      </c>
      <c r="D4826" t="s">
        <v>23500</v>
      </c>
      <c r="E4826" t="s">
        <v>27757</v>
      </c>
    </row>
    <row r="4827" spans="1:5">
      <c r="A4827" t="s">
        <v>6</v>
      </c>
      <c r="B4827" t="s">
        <v>4832</v>
      </c>
      <c r="C4827">
        <f>HYPERLINK("C:\Users\franc\OneDrive\Documentos\MALENTIN KARIME\PROTOCOLIZACION\2014\JUAN VALENZUELA RODRIGUEZ.doc", "Abrir Documento")</f>
        <v>0</v>
      </c>
      <c r="D4827" t="s">
        <v>23500</v>
      </c>
      <c r="E4827" t="s">
        <v>27758</v>
      </c>
    </row>
    <row r="4828" spans="1:5">
      <c r="A4828" t="s">
        <v>6</v>
      </c>
      <c r="B4828" t="s">
        <v>4833</v>
      </c>
      <c r="C4828">
        <f>HYPERLINK("C:\Users\franc\OneDrive\Documentos\MALENTIN KARIME\PROTOCOLIZACION\2014\JOSE GARMENDIA.doc", "Abrir Documento")</f>
        <v>0</v>
      </c>
      <c r="D4828" t="s">
        <v>23500</v>
      </c>
      <c r="E4828" t="s">
        <v>27759</v>
      </c>
    </row>
    <row r="4829" spans="1:5">
      <c r="A4829" t="s">
        <v>6</v>
      </c>
      <c r="B4829" t="s">
        <v>4834</v>
      </c>
      <c r="C4829">
        <f>HYPERLINK("C:\Users\franc\OneDrive\Documentos\MALENTIN KARIME\PROTOCOLIZACION\2014\H.G. Y B SERVICIOS ASOCIADOS.doc", "Abrir Documento")</f>
        <v>0</v>
      </c>
      <c r="D4829" t="s">
        <v>23500</v>
      </c>
      <c r="E4829" t="s">
        <v>27760</v>
      </c>
    </row>
    <row r="4830" spans="1:5">
      <c r="A4830" t="s">
        <v>6</v>
      </c>
      <c r="B4830" t="s">
        <v>4835</v>
      </c>
      <c r="C4830">
        <f>HYPERLINK("C:\Users\franc\OneDrive\Documentos\MALENTIN KARIME\PROTOCOLIZACION\2014\JOHANA ELGUETA.doc", "Abrir Documento")</f>
        <v>0</v>
      </c>
      <c r="D4830" t="s">
        <v>23500</v>
      </c>
      <c r="E4830" t="s">
        <v>27760</v>
      </c>
    </row>
    <row r="4831" spans="1:5">
      <c r="A4831" t="s">
        <v>6</v>
      </c>
      <c r="B4831" t="s">
        <v>4836</v>
      </c>
      <c r="C4831">
        <f>HYPERLINK("C:\Users\franc\OneDrive\Documentos\MALENTIN KARIME\PROTOCOLIZACION\2014\GUIDO TABILO CARVJAL Indap.doc", "Abrir Documento")</f>
        <v>0</v>
      </c>
      <c r="D4831" t="s">
        <v>23500</v>
      </c>
      <c r="E4831" t="s">
        <v>27761</v>
      </c>
    </row>
    <row r="4832" spans="1:5">
      <c r="A4832" t="s">
        <v>6</v>
      </c>
      <c r="B4832" t="s">
        <v>4837</v>
      </c>
      <c r="C4832">
        <f>HYPERLINK("C:\Users\franc\OneDrive\Documentos\MALENTIN KARIME\PROTOCOLIZACION\2014\H.G. Y B SERVICIOS ASOCIADOS POR Mirza Astudillo.doc", "Abrir Documento")</f>
        <v>0</v>
      </c>
      <c r="D4832" t="s">
        <v>23500</v>
      </c>
      <c r="E4832" t="s">
        <v>27761</v>
      </c>
    </row>
    <row r="4833" spans="1:5">
      <c r="A4833" t="s">
        <v>6</v>
      </c>
      <c r="B4833" t="s">
        <v>4838</v>
      </c>
      <c r="C4833">
        <f>HYPERLINK("C:\Users\franc\OneDrive\Documentos\MALENTIN KARIME\PROTOCOLIZACION\2014\GABRIEL RODRIGUEZ Inventario Hugo Jofre.doc", "Abrir Documento")</f>
        <v>0</v>
      </c>
      <c r="D4833" t="s">
        <v>23500</v>
      </c>
      <c r="E4833" t="s">
        <v>27762</v>
      </c>
    </row>
    <row r="4834" spans="1:5">
      <c r="A4834" t="s">
        <v>6</v>
      </c>
      <c r="B4834" t="s">
        <v>4839</v>
      </c>
      <c r="C4834">
        <f>HYPERLINK("C:\Users\franc\OneDrive\Documentos\MALENTIN KARIME\PROTOCOLIZACION\2014\GABRIEL RODRIGUEZ Inventario Misael.doc", "Abrir Documento")</f>
        <v>0</v>
      </c>
      <c r="D4834" t="s">
        <v>23500</v>
      </c>
      <c r="E4834" t="s">
        <v>27762</v>
      </c>
    </row>
    <row r="4835" spans="1:5">
      <c r="A4835" t="s">
        <v>6</v>
      </c>
      <c r="B4835" t="s">
        <v>4840</v>
      </c>
      <c r="C4835">
        <f>HYPERLINK("C:\Users\franc\OneDrive\Documentos\MALENTIN KARIME\PROTOCOLIZACION\2014\FUNDACION CAMINANDO JUNTOS.doc", "Abrir Documento")</f>
        <v>0</v>
      </c>
      <c r="D4835" t="s">
        <v>23500</v>
      </c>
      <c r="E4835" t="s">
        <v>27763</v>
      </c>
    </row>
    <row r="4836" spans="1:5">
      <c r="A4836" t="s">
        <v>6</v>
      </c>
      <c r="B4836" t="s">
        <v>4841</v>
      </c>
      <c r="C4836">
        <f>HYPERLINK("C:\Users\franc\OneDrive\Documentos\MALENTIN KARIME\PROTOCOLIZACION\2014\DESARROLLO Y EDUCACION  Propuesta.doc", "Abrir Documento")</f>
        <v>0</v>
      </c>
      <c r="D4836" t="s">
        <v>23500</v>
      </c>
      <c r="E4836" t="s">
        <v>27764</v>
      </c>
    </row>
    <row r="4837" spans="1:5">
      <c r="A4837" t="s">
        <v>6</v>
      </c>
      <c r="B4837" t="s">
        <v>4842</v>
      </c>
      <c r="C4837">
        <f>HYPERLINK("C:\Users\franc\OneDrive\Documentos\MALENTIN KARIME\PROTOCOLIZACION\2014\CONSTRUCTORA SAN FERNANDO  Propuesta 04-2012.doc", "Abrir Documento")</f>
        <v>0</v>
      </c>
      <c r="D4837" t="s">
        <v>23500</v>
      </c>
      <c r="E4837" t="s">
        <v>27765</v>
      </c>
    </row>
    <row r="4838" spans="1:5">
      <c r="A4838" t="s">
        <v>6</v>
      </c>
      <c r="B4838" t="s">
        <v>4843</v>
      </c>
      <c r="C4838">
        <f>HYPERLINK("C:\Users\franc\OneDrive\Documentos\MALENTIN KARIME\PROTOCOLIZACION\2014\CONDOMINIO DEL ATARDECER.doc", "Abrir Documento")</f>
        <v>0</v>
      </c>
      <c r="D4838" t="s">
        <v>23500</v>
      </c>
      <c r="E4838" t="s">
        <v>27766</v>
      </c>
    </row>
    <row r="4839" spans="1:5">
      <c r="A4839" t="s">
        <v>6</v>
      </c>
      <c r="B4839" t="s">
        <v>4844</v>
      </c>
      <c r="C4839">
        <f>HYPERLINK("C:\Users\franc\OneDrive\Documentos\MALENTIN KARIME\PROTOCOLIZACION\2014\COMUNIDAD LAS DAMAS  FS. 84 V.doc", "Abrir Documento")</f>
        <v>0</v>
      </c>
      <c r="D4839" t="s">
        <v>23500</v>
      </c>
      <c r="E4839" t="s">
        <v>27767</v>
      </c>
    </row>
    <row r="4840" spans="1:5">
      <c r="A4840" t="s">
        <v>6</v>
      </c>
      <c r="B4840" t="s">
        <v>4845</v>
      </c>
      <c r="C4840">
        <f>HYPERLINK("C:\Users\franc\OneDrive\Documentos\MALENTIN KARIME\PROTOCOLIZACION\2014\COMUNIDAD DIVISADERO.doc", "Abrir Documento")</f>
        <v>0</v>
      </c>
      <c r="D4840" t="s">
        <v>23500</v>
      </c>
      <c r="E4840" t="s">
        <v>27768</v>
      </c>
    </row>
    <row r="4841" spans="1:5">
      <c r="A4841" t="s">
        <v>6</v>
      </c>
      <c r="B4841" t="s">
        <v>4846</v>
      </c>
      <c r="C4841">
        <f>HYPERLINK("C:\Users\franc\OneDrive\Documentos\MALENTIN KARIME\PROTOCOLIZACION\2014\COMITE UN SUEÑO DOS.doc", "Abrir Documento")</f>
        <v>0</v>
      </c>
      <c r="D4841" t="s">
        <v>23500</v>
      </c>
      <c r="E4841" t="s">
        <v>27769</v>
      </c>
    </row>
    <row r="4842" spans="1:5">
      <c r="A4842" t="s">
        <v>6</v>
      </c>
      <c r="B4842" t="s">
        <v>4847</v>
      </c>
      <c r="C4842">
        <f>HYPERLINK("C:\Users\franc\OneDrive\Documentos\MALENTIN KARIME\PROTOCOLIZACION\2014\COMUNIDAD AGRICOLA SALALA.doc", "Abrir Documento")</f>
        <v>0</v>
      </c>
      <c r="D4842" t="s">
        <v>23500</v>
      </c>
      <c r="E4842" t="s">
        <v>27769</v>
      </c>
    </row>
    <row r="4843" spans="1:5">
      <c r="A4843" t="s">
        <v>6</v>
      </c>
      <c r="B4843" t="s">
        <v>4848</v>
      </c>
      <c r="C4843">
        <f>HYPERLINK("C:\Users\franc\OneDrive\Documentos\MALENTIN KARIME\PROTOCOLIZACION\2014\COMITE PRO CASA SAN PEDRO OVALLE fs 93.doc", "Abrir Documento")</f>
        <v>0</v>
      </c>
      <c r="D4843" t="s">
        <v>23500</v>
      </c>
      <c r="E4843" t="s">
        <v>27770</v>
      </c>
    </row>
    <row r="4844" spans="1:5">
      <c r="A4844" t="s">
        <v>6</v>
      </c>
      <c r="B4844" t="s">
        <v>4849</v>
      </c>
      <c r="C4844">
        <f>HYPERLINK("C:\Users\franc\OneDrive\Documentos\MALENTIN KARIME\PROTOCOLIZACION\2014\COMITE PRO CASA SAN PEDRO OVALLE.doc", "Abrir Documento")</f>
        <v>0</v>
      </c>
      <c r="D4844" t="s">
        <v>23500</v>
      </c>
      <c r="E4844" t="s">
        <v>27770</v>
      </c>
    </row>
    <row r="4845" spans="1:5">
      <c r="A4845" t="s">
        <v>6</v>
      </c>
      <c r="B4845" t="s">
        <v>4850</v>
      </c>
      <c r="C4845">
        <f>HYPERLINK("C:\Users\franc\OneDrive\Documentos\MALENTIN KARIME\PROTOCOLIZACION\2014\COMITE APR QUEBRADA SANTANDER.doc", "Abrir Documento")</f>
        <v>0</v>
      </c>
      <c r="D4845" t="s">
        <v>23500</v>
      </c>
      <c r="E4845" t="s">
        <v>27771</v>
      </c>
    </row>
    <row r="4846" spans="1:5">
      <c r="A4846" t="s">
        <v>6</v>
      </c>
      <c r="B4846" t="s">
        <v>4851</v>
      </c>
      <c r="C4846">
        <f>HYPERLINK("C:\Users\franc\OneDrive\Documentos\MALENTIN KARIME\PROTOCOLIZACION\2014\CLUB DE LEONES DE OVALLE 28 JUNIO 14.doc", "Abrir Documento")</f>
        <v>0</v>
      </c>
      <c r="D4846" t="s">
        <v>23500</v>
      </c>
      <c r="E4846" t="s">
        <v>27772</v>
      </c>
    </row>
    <row r="4847" spans="1:5">
      <c r="A4847" t="s">
        <v>6</v>
      </c>
      <c r="B4847" t="s">
        <v>4852</v>
      </c>
      <c r="C4847">
        <f>HYPERLINK("C:\Users\franc\OneDrive\Documentos\MALENTIN KARIME\PROTOCOLIZACION\2014\COMERCIAL RAYO FENIX Mirza Astudillo.doc", "Abrir Documento")</f>
        <v>0</v>
      </c>
      <c r="D4847" t="s">
        <v>23500</v>
      </c>
      <c r="E4847" t="s">
        <v>27772</v>
      </c>
    </row>
    <row r="4848" spans="1:5">
      <c r="A4848" t="s">
        <v>6</v>
      </c>
      <c r="B4848" t="s">
        <v>4853</v>
      </c>
      <c r="C4848">
        <f>HYPERLINK("C:\Users\franc\OneDrive\Documentos\MALENTIN KARIME\PROTOCOLIZACION\2014\CLUB DE LEONES DE OVALLE 15 JULIO 13.doc", "Abrir Documento")</f>
        <v>0</v>
      </c>
      <c r="D4848" t="s">
        <v>23500</v>
      </c>
      <c r="E4848" t="s">
        <v>27773</v>
      </c>
    </row>
    <row r="4849" spans="1:5">
      <c r="A4849" t="s">
        <v>6</v>
      </c>
      <c r="B4849" t="s">
        <v>4854</v>
      </c>
      <c r="C4849">
        <f>HYPERLINK("C:\Users\franc\OneDrive\Documentos\MALENTIN KARIME\PROTOCOLIZACION\2014\CLUB CAZA Y PESCA.doc", "Abrir Documento")</f>
        <v>0</v>
      </c>
      <c r="D4849" t="s">
        <v>23500</v>
      </c>
      <c r="E4849" t="s">
        <v>27774</v>
      </c>
    </row>
    <row r="4850" spans="1:5">
      <c r="A4850" t="s">
        <v>6</v>
      </c>
      <c r="B4850" t="s">
        <v>4855</v>
      </c>
      <c r="C4850">
        <f>HYPERLINK("C:\Users\franc\OneDrive\Documentos\MALENTIN KARIME\PROTOCOLIZACION\2014\CEA CONSORCIO  Propuesta.doc", "Abrir Documento")</f>
        <v>0</v>
      </c>
      <c r="D4850" t="s">
        <v>23500</v>
      </c>
      <c r="E4850" t="s">
        <v>27775</v>
      </c>
    </row>
    <row r="4851" spans="1:5">
      <c r="A4851" t="s">
        <v>6</v>
      </c>
      <c r="B4851" t="s">
        <v>4856</v>
      </c>
      <c r="C4851">
        <f>HYPERLINK("C:\Users\franc\OneDrive\Documentos\MALENTIN KARIME\PROTOCOLIZACION\2014\CHRISTIAN TABILO Inventario.doc", "Abrir Documento")</f>
        <v>0</v>
      </c>
      <c r="D4851" t="s">
        <v>23500</v>
      </c>
      <c r="E4851" t="s">
        <v>27775</v>
      </c>
    </row>
    <row r="4852" spans="1:5">
      <c r="A4852" t="s">
        <v>6</v>
      </c>
      <c r="B4852" t="s">
        <v>4857</v>
      </c>
      <c r="C4852">
        <f>HYPERLINK("C:\Users\franc\OneDrive\Documentos\MALENTIN KARIME\PROTOCOLIZACION\2014\CLAUDIO JORDAN B Propuesta.doc", "Abrir Documento")</f>
        <v>0</v>
      </c>
      <c r="D4852" t="s">
        <v>23500</v>
      </c>
      <c r="E4852" t="s">
        <v>27775</v>
      </c>
    </row>
    <row r="4853" spans="1:5">
      <c r="A4853" t="s">
        <v>6</v>
      </c>
      <c r="B4853" t="s">
        <v>4858</v>
      </c>
      <c r="C4853">
        <f>HYPERLINK("C:\Users\franc\OneDrive\Documentos\MALENTIN KARIME\PROTOCOLIZACION\2014\CDAD AGRICOLA QDA LAS MOLLACAS.doc", "Abrir Documento")</f>
        <v>0</v>
      </c>
      <c r="D4853" t="s">
        <v>23500</v>
      </c>
      <c r="E4853" t="s">
        <v>27776</v>
      </c>
    </row>
    <row r="4854" spans="1:5">
      <c r="A4854" t="s">
        <v>6</v>
      </c>
      <c r="B4854" t="s">
        <v>4859</v>
      </c>
      <c r="C4854">
        <f>HYPERLINK("C:\Users\franc\OneDrive\Documentos\MALENTIN KARIME\PROTOCOLIZACION\2014\CDAD AGUA RIO GRANDE.doc", "Abrir Documento")</f>
        <v>0</v>
      </c>
      <c r="D4854" t="s">
        <v>23500</v>
      </c>
      <c r="E4854" t="s">
        <v>27776</v>
      </c>
    </row>
    <row r="4855" spans="1:5">
      <c r="A4855" t="s">
        <v>6</v>
      </c>
      <c r="B4855" t="s">
        <v>4860</v>
      </c>
      <c r="C4855">
        <f>HYPERLINK("C:\Users\franc\OneDrive\Documentos\MALENTIN KARIME\PROTOCOLIZACION\2014\CDAD AGRICOLA BUENOS AIRES DE PUNILLA.doc", "Abrir Documento")</f>
        <v>0</v>
      </c>
      <c r="D4855" t="s">
        <v>23500</v>
      </c>
      <c r="E4855" t="s">
        <v>27777</v>
      </c>
    </row>
    <row r="4856" spans="1:5">
      <c r="A4856" t="s">
        <v>6</v>
      </c>
      <c r="B4856" t="s">
        <v>4861</v>
      </c>
      <c r="C4856">
        <f>HYPERLINK("C:\Users\franc\OneDrive\Documentos\MALENTIN KARIME\PROTOCOLIZACION\2014\CDAD AGRICOLA LAS MINILLAS.doc", "Abrir Documento")</f>
        <v>0</v>
      </c>
      <c r="D4856" t="s">
        <v>23500</v>
      </c>
      <c r="E4856" t="s">
        <v>27777</v>
      </c>
    </row>
    <row r="4857" spans="1:5">
      <c r="A4857" t="s">
        <v>6</v>
      </c>
      <c r="B4857" t="s">
        <v>4862</v>
      </c>
      <c r="C4857">
        <f>HYPERLINK("C:\Users\franc\OneDrive\Documentos\MALENTIN KARIME\PROTOCOLIZACION\2014\Autorizo la firma de TASUI.doc", "Abrir Documento")</f>
        <v>0</v>
      </c>
      <c r="D4857" t="s">
        <v>23500</v>
      </c>
      <c r="E4857" t="s">
        <v>27778</v>
      </c>
    </row>
    <row r="4858" spans="1:5">
      <c r="A4858" t="s">
        <v>6</v>
      </c>
      <c r="B4858" t="s">
        <v>4863</v>
      </c>
      <c r="C4858">
        <f>HYPERLINK("C:\Users\franc\OneDrive\Documentos\MALENTIN KARIME\PROTOCOLIZACION\2014\CDAD AGRICOLA BUENOS AIRES DE PUNILLA 2.doc", "Abrir Documento")</f>
        <v>0</v>
      </c>
      <c r="D4858" t="s">
        <v>23500</v>
      </c>
      <c r="E4858" t="s">
        <v>27778</v>
      </c>
    </row>
    <row r="4859" spans="1:5">
      <c r="A4859" t="s">
        <v>6</v>
      </c>
      <c r="B4859" t="s">
        <v>4864</v>
      </c>
      <c r="C4859">
        <f>HYPERLINK("C:\Users\franc\OneDrive\Documentos\MALENTIN KARIME\PROTOCOLIZACION\2014\Autorizo la firma de doña BEATRIZ GONZALEZ.doc", "Abrir Documento")</f>
        <v>0</v>
      </c>
      <c r="D4859" t="s">
        <v>23500</v>
      </c>
      <c r="E4859" t="s">
        <v>27779</v>
      </c>
    </row>
    <row r="4860" spans="1:5">
      <c r="A4860" t="s">
        <v>6</v>
      </c>
      <c r="B4860" t="s">
        <v>4865</v>
      </c>
      <c r="C4860">
        <f>HYPERLINK("C:\Users\franc\OneDrive\Documentos\MALENTIN KARIME\PROTOCOLIZACION\2014\Autorizo la firma de don RUBEN ANTONIO SIERRA SIERRA.doc", "Abrir Documento")</f>
        <v>0</v>
      </c>
      <c r="D4860" t="s">
        <v>23500</v>
      </c>
      <c r="E4860" t="s">
        <v>27780</v>
      </c>
    </row>
    <row r="4861" spans="1:5">
      <c r="A4861" t="s">
        <v>6</v>
      </c>
      <c r="B4861" t="s">
        <v>4866</v>
      </c>
      <c r="C4861">
        <f>HYPERLINK("C:\Users\franc\OneDrive\Documentos\MALENTIN KARIME\PROTOCOLIZACION\2014\Autorizo la firma de don MISAEL PIZARRO.doc", "Abrir Documento")</f>
        <v>0</v>
      </c>
      <c r="D4861" t="s">
        <v>23500</v>
      </c>
      <c r="E4861" t="s">
        <v>27781</v>
      </c>
    </row>
    <row r="4862" spans="1:5">
      <c r="A4862" t="s">
        <v>6</v>
      </c>
      <c r="B4862" t="s">
        <v>4867</v>
      </c>
      <c r="C4862">
        <f>HYPERLINK("C:\Users\franc\OneDrive\Documentos\MALENTIN KARIME\PROTOCOLIZACION\2014\Autorizo la firma de don JOSE RAMON GARMENDIA MONASTERIO.doc", "Abrir Documento")</f>
        <v>0</v>
      </c>
      <c r="D4862" t="s">
        <v>23500</v>
      </c>
      <c r="E4862" t="s">
        <v>27782</v>
      </c>
    </row>
    <row r="4863" spans="1:5">
      <c r="A4863" t="s">
        <v>6</v>
      </c>
      <c r="B4863" t="s">
        <v>4868</v>
      </c>
      <c r="C4863">
        <f>HYPERLINK("C:\Users\franc\OneDrive\Documentos\MALENTIN KARIME\PROTOCOLIZACION\2014\ASOCIACION GREMIAL.doc", "Abrir Documento")</f>
        <v>0</v>
      </c>
      <c r="D4863" t="s">
        <v>23500</v>
      </c>
      <c r="E4863" t="s">
        <v>27783</v>
      </c>
    </row>
    <row r="4864" spans="1:5">
      <c r="A4864" t="s">
        <v>6</v>
      </c>
      <c r="B4864" t="s">
        <v>4869</v>
      </c>
      <c r="C4864">
        <f>HYPERLINK("C:\Users\franc\OneDrive\Documentos\MALENTIN KARIME\PROTOCOLIZACION\2014\autorizacion.doc", "Abrir Documento")</f>
        <v>0</v>
      </c>
      <c r="D4864" t="s">
        <v>23500</v>
      </c>
      <c r="E4864" t="s">
        <v>27783</v>
      </c>
    </row>
    <row r="4865" spans="1:5">
      <c r="A4865" t="s">
        <v>6</v>
      </c>
      <c r="B4865" t="s">
        <v>4870</v>
      </c>
      <c r="C4865">
        <f>HYPERLINK("C:\Users\franc\OneDrive\Documentos\MALENTIN KARIME\PROTOCOLIZACION\2014\ANGELICA ALVAREZ BONILLA  Poder.doc", "Abrir Documento")</f>
        <v>0</v>
      </c>
      <c r="D4865" t="s">
        <v>23500</v>
      </c>
      <c r="E4865" t="s">
        <v>27784</v>
      </c>
    </row>
    <row r="4866" spans="1:5">
      <c r="A4866" t="s">
        <v>6</v>
      </c>
      <c r="B4866" t="s">
        <v>4871</v>
      </c>
      <c r="C4866">
        <f>HYPERLINK("C:\Users\franc\OneDrive\Documentos\MALENTIN KARIME\PROTOCOLIZACION\2014\ANEXO TASUI.doc", "Abrir Documento")</f>
        <v>0</v>
      </c>
      <c r="D4866" t="s">
        <v>23500</v>
      </c>
      <c r="E4866" t="s">
        <v>27785</v>
      </c>
    </row>
    <row r="4867" spans="1:5">
      <c r="A4867" t="s">
        <v>6</v>
      </c>
      <c r="B4867" t="s">
        <v>4872</v>
      </c>
      <c r="C4867">
        <f>HYPERLINK("C:\Users\franc\OneDrive\Documentos\MALENTIN KARIME\PROTOCOLIZACION\2014\AMABLE DIAZ Indap.doc", "Abrir Documento")</f>
        <v>0</v>
      </c>
      <c r="D4867" t="s">
        <v>23500</v>
      </c>
      <c r="E4867" t="s">
        <v>27786</v>
      </c>
    </row>
    <row r="4868" spans="1:5">
      <c r="A4868" t="s">
        <v>6</v>
      </c>
      <c r="B4868" t="s">
        <v>4873</v>
      </c>
      <c r="C4868">
        <f>HYPERLINK("C:\Users\franc\OneDrive\Documentos\MALENTIN KARIME\PROTOCOLIZACION\2014\ANA PIZARRO ADONES Inventario.doc", "Abrir Documento")</f>
        <v>0</v>
      </c>
      <c r="D4868" t="s">
        <v>23500</v>
      </c>
      <c r="E4868" t="s">
        <v>27786</v>
      </c>
    </row>
    <row r="4869" spans="1:5">
      <c r="A4869" t="s">
        <v>6</v>
      </c>
      <c r="B4869" t="s">
        <v>4874</v>
      </c>
      <c r="C4869">
        <f>HYPERLINK("C:\Users\franc\OneDrive\Documentos\MALENTIN KARIME\PROTOCOLIZACION\2014\AMABLE DIAZ Indap 2.doc", "Abrir Documento")</f>
        <v>0</v>
      </c>
      <c r="D4869" t="s">
        <v>23500</v>
      </c>
      <c r="E4869" t="s">
        <v>27787</v>
      </c>
    </row>
    <row r="4870" spans="1:5">
      <c r="A4870" t="s">
        <v>6</v>
      </c>
      <c r="B4870" t="s">
        <v>4875</v>
      </c>
      <c r="C4870">
        <f>HYPERLINK("C:\Users\franc\OneDrive\Documentos\MALENTIN KARIME\PROTOCOLIZACION\2014\ALEJANDRO GALLARDO Indap.doc", "Abrir Documento")</f>
        <v>0</v>
      </c>
      <c r="D4870" t="s">
        <v>23500</v>
      </c>
      <c r="E4870" t="s">
        <v>27788</v>
      </c>
    </row>
    <row r="4871" spans="1:5">
      <c r="A4871" t="s">
        <v>6</v>
      </c>
      <c r="B4871" t="s">
        <v>4876</v>
      </c>
      <c r="C4871">
        <f>HYPERLINK("C:\Users\franc\OneDrive\Documentos\MALENTIN KARIME\PROTOCOLIZACION\2014\ALEJANDRA VERA  Drogas.doc", "Abrir Documento")</f>
        <v>0</v>
      </c>
      <c r="D4871" t="s">
        <v>23500</v>
      </c>
      <c r="E4871" t="s">
        <v>27789</v>
      </c>
    </row>
    <row r="4872" spans="1:5">
      <c r="A4872" t="s">
        <v>6</v>
      </c>
      <c r="B4872" t="s">
        <v>4877</v>
      </c>
      <c r="C4872">
        <f>HYPERLINK("C:\Users\franc\OneDrive\Documentos\MALENTIN KARIME\PROTOCOLIZACION\VICTOR MORALES VARGAS Propuesta.doc", "Abrir Documento")</f>
        <v>0</v>
      </c>
      <c r="D4872" t="s">
        <v>23500</v>
      </c>
      <c r="E4872" t="s">
        <v>27790</v>
      </c>
    </row>
    <row r="4873" spans="1:5">
      <c r="A4873" t="s">
        <v>6</v>
      </c>
      <c r="B4873" t="s">
        <v>4878</v>
      </c>
      <c r="C4873">
        <f>HYPERLINK("C:\Users\franc\OneDrive\Documentos\MALENTIN KARIME\PROTOCOLIZACION\2014\ADOLFO LAY Inventario y rect.doc", "Abrir Documento")</f>
        <v>0</v>
      </c>
      <c r="D4873" t="s">
        <v>23500</v>
      </c>
      <c r="E4873" t="s">
        <v>27790</v>
      </c>
    </row>
    <row r="4874" spans="1:5">
      <c r="A4874" t="s">
        <v>6</v>
      </c>
      <c r="B4874" t="s">
        <v>4879</v>
      </c>
      <c r="C4874">
        <f>HYPERLINK("C:\Users\franc\OneDrive\Documentos\MALENTIN KARIME\PROTOCOLIZACION\SOPPUEX.doc", "Abrir Documento")</f>
        <v>0</v>
      </c>
      <c r="D4874" t="s">
        <v>23500</v>
      </c>
      <c r="E4874" t="s">
        <v>27791</v>
      </c>
    </row>
    <row r="4875" spans="1:5">
      <c r="A4875" t="s">
        <v>6</v>
      </c>
      <c r="B4875" t="s">
        <v>4880</v>
      </c>
      <c r="C4875">
        <f>HYPERLINK("C:\Users\franc\OneDrive\Documentos\MALENTIN KARIME\PROTOCOLIZACION\SOCIEDAD INMOBILIARIA FORMA prop 36.doc", "Abrir Documento")</f>
        <v>0</v>
      </c>
      <c r="D4875" t="s">
        <v>23500</v>
      </c>
      <c r="E4875" t="s">
        <v>27792</v>
      </c>
    </row>
    <row r="4876" spans="1:5">
      <c r="A4876" t="s">
        <v>6</v>
      </c>
      <c r="B4876" t="s">
        <v>4881</v>
      </c>
      <c r="C4876">
        <f>HYPERLINK("C:\Users\franc\OneDrive\Documentos\MALENTIN KARIME\PROTOCOLIZACION\SOPPUEX 2.doc", "Abrir Documento")</f>
        <v>0</v>
      </c>
      <c r="D4876" t="s">
        <v>23500</v>
      </c>
      <c r="E4876" t="s">
        <v>27792</v>
      </c>
    </row>
    <row r="4877" spans="1:5">
      <c r="A4877" t="s">
        <v>6</v>
      </c>
      <c r="B4877" t="s">
        <v>4882</v>
      </c>
      <c r="C4877">
        <f>HYPERLINK("C:\Users\franc\OneDrive\Documentos\MALENTIN KARIME\PROTOCOLIZACION\SOCIEDAD INMOBILIARIA FORMA II.doc", "Abrir Documento")</f>
        <v>0</v>
      </c>
      <c r="D4877" t="s">
        <v>23500</v>
      </c>
      <c r="E4877" t="s">
        <v>27793</v>
      </c>
    </row>
    <row r="4878" spans="1:5">
      <c r="A4878" t="s">
        <v>6</v>
      </c>
      <c r="B4878" t="s">
        <v>4883</v>
      </c>
      <c r="C4878">
        <f>HYPERLINK("C:\Users\franc\OneDrive\Documentos\MALENTIN KARIME\PROTOCOLIZACION\SOCIEDAD INMOBILIARIA FORMA prop 16.doc", "Abrir Documento")</f>
        <v>0</v>
      </c>
      <c r="D4878" t="s">
        <v>23500</v>
      </c>
      <c r="E4878" t="s">
        <v>27793</v>
      </c>
    </row>
    <row r="4879" spans="1:5">
      <c r="A4879" t="s">
        <v>6</v>
      </c>
      <c r="B4879" t="s">
        <v>4884</v>
      </c>
      <c r="C4879">
        <f>HYPERLINK("C:\Users\franc\OneDrive\Documentos\MALENTIN KARIME\PROTOCOLIZACION\SERVICIOS TASUI S.A. Propuesta.doc", "Abrir Documento")</f>
        <v>0</v>
      </c>
      <c r="D4879" t="s">
        <v>23500</v>
      </c>
      <c r="E4879" t="s">
        <v>27794</v>
      </c>
    </row>
    <row r="4880" spans="1:5">
      <c r="A4880" t="s">
        <v>6</v>
      </c>
      <c r="B4880" t="s">
        <v>4885</v>
      </c>
      <c r="C4880">
        <f>HYPERLINK("C:\Users\franc\OneDrive\Documentos\MALENTIN KARIME\PROTOCOLIZACION\SOCIEDAD INMOBILIARIA FORMA I.doc", "Abrir Documento")</f>
        <v>0</v>
      </c>
      <c r="D4880" t="s">
        <v>23500</v>
      </c>
      <c r="E4880" t="s">
        <v>27794</v>
      </c>
    </row>
    <row r="4881" spans="1:5">
      <c r="A4881" t="s">
        <v>6</v>
      </c>
      <c r="B4881" t="s">
        <v>4886</v>
      </c>
      <c r="C4881">
        <f>HYPERLINK("C:\Users\franc\OneDrive\Documentos\MALENTIN KARIME\PROTOCOLIZACION\SERVICIOS DE BARRIDO Propuesta.doc", "Abrir Documento")</f>
        <v>0</v>
      </c>
      <c r="D4881" t="s">
        <v>23500</v>
      </c>
      <c r="E4881" t="s">
        <v>27795</v>
      </c>
    </row>
    <row r="4882" spans="1:5">
      <c r="A4882" t="s">
        <v>6</v>
      </c>
      <c r="B4882" t="s">
        <v>4887</v>
      </c>
      <c r="C4882">
        <f>HYPERLINK("C:\Users\franc\OneDrive\Documentos\MALENTIN KARIME\PROTOCOLIZACION\SERVICIOS INFORMATICOS LIMARI.doc", "Abrir Documento")</f>
        <v>0</v>
      </c>
      <c r="D4882" t="s">
        <v>23500</v>
      </c>
      <c r="E4882" t="s">
        <v>27795</v>
      </c>
    </row>
    <row r="4883" spans="1:5">
      <c r="A4883" t="s">
        <v>6</v>
      </c>
      <c r="B4883" t="s">
        <v>4888</v>
      </c>
      <c r="C4883">
        <f>HYPERLINK("C:\Users\franc\OneDrive\Documentos\MALENTIN KARIME\PROTOCOLIZACION\SERGIO SALFATE Inventario.doc", "Abrir Documento")</f>
        <v>0</v>
      </c>
      <c r="D4883" t="s">
        <v>23500</v>
      </c>
      <c r="E4883" t="s">
        <v>27796</v>
      </c>
    </row>
    <row r="4884" spans="1:5">
      <c r="A4884" t="s">
        <v>6</v>
      </c>
      <c r="B4884" t="s">
        <v>4889</v>
      </c>
      <c r="C4884">
        <f>HYPERLINK("C:\Users\franc\OneDrive\Documentos\MALENTIN KARIME\PROTOCOLIZACION\SERVICIOS DE BARRIDO Propuesta Modificacion.doc", "Abrir Documento")</f>
        <v>0</v>
      </c>
      <c r="D4884" t="s">
        <v>23500</v>
      </c>
      <c r="E4884" t="s">
        <v>27796</v>
      </c>
    </row>
    <row r="4885" spans="1:5">
      <c r="A4885" t="s">
        <v>6</v>
      </c>
      <c r="B4885" t="s">
        <v>4890</v>
      </c>
      <c r="C4885">
        <f>HYPERLINK("C:\Users\franc\OneDrive\Documentos\MALENTIN KARIME\PROTOCOLIZACION\ROMAN AROS Acta.doc", "Abrir Documento")</f>
        <v>0</v>
      </c>
      <c r="D4885" t="s">
        <v>23500</v>
      </c>
      <c r="E4885" t="s">
        <v>27797</v>
      </c>
    </row>
    <row r="4886" spans="1:5">
      <c r="A4886" t="s">
        <v>6</v>
      </c>
      <c r="B4886" t="s">
        <v>4891</v>
      </c>
      <c r="C4886">
        <f>HYPERLINK("C:\Users\franc\OneDrive\Documentos\MALENTIN KARIME\PROTOCOLIZACION\SENDA URBANA Propuesta.doc", "Abrir Documento")</f>
        <v>0</v>
      </c>
      <c r="D4886" t="s">
        <v>23500</v>
      </c>
      <c r="E4886" t="s">
        <v>27797</v>
      </c>
    </row>
    <row r="4887" spans="1:5">
      <c r="A4887" t="s">
        <v>6</v>
      </c>
      <c r="B4887" t="s">
        <v>4892</v>
      </c>
      <c r="C4887">
        <f>HYPERLINK("C:\Users\franc\OneDrive\Documentos\MALENTIN KARIME\PROTOCOLIZACION\ROBERTO VEGA (Resuelvo3166 DOH).doc", "Abrir Documento")</f>
        <v>0</v>
      </c>
      <c r="D4887" t="s">
        <v>23500</v>
      </c>
      <c r="E4887" t="s">
        <v>27798</v>
      </c>
    </row>
    <row r="4888" spans="1:5">
      <c r="A4888" t="s">
        <v>6</v>
      </c>
      <c r="B4888" t="s">
        <v>4893</v>
      </c>
      <c r="C4888">
        <f>HYPERLINK("C:\Users\franc\OneDrive\Documentos\MALENTIN KARIME\PROTOCOLIZACION\ROBERTO VEGA (Resuelvo1470 DOH).doc", "Abrir Documento")</f>
        <v>0</v>
      </c>
      <c r="D4888" t="s">
        <v>23500</v>
      </c>
      <c r="E4888" t="s">
        <v>27799</v>
      </c>
    </row>
    <row r="4889" spans="1:5">
      <c r="A4889" t="s">
        <v>6</v>
      </c>
      <c r="B4889" t="s">
        <v>4894</v>
      </c>
      <c r="C4889">
        <f>HYPERLINK("C:\Users\franc\OneDrive\Documentos\MALENTIN KARIME\PROTOCOLIZACION\ROBERTO VEGA (Resuelvo1818 DOH).doc", "Abrir Documento")</f>
        <v>0</v>
      </c>
      <c r="D4889" t="s">
        <v>23500</v>
      </c>
      <c r="E4889" t="s">
        <v>27799</v>
      </c>
    </row>
    <row r="4890" spans="1:5">
      <c r="A4890" t="s">
        <v>6</v>
      </c>
      <c r="B4890" t="s">
        <v>4895</v>
      </c>
      <c r="C4890">
        <f>HYPERLINK("C:\Users\franc\OneDrive\Documentos\MALENTIN KARIME\PROTOCOLIZACION\ROBERTO VEGA (Resuelvo 2707 DOH).doc", "Abrir Documento")</f>
        <v>0</v>
      </c>
      <c r="D4890" t="s">
        <v>23500</v>
      </c>
      <c r="E4890" t="s">
        <v>27800</v>
      </c>
    </row>
    <row r="4891" spans="1:5">
      <c r="A4891" t="s">
        <v>6</v>
      </c>
      <c r="B4891" t="s">
        <v>4896</v>
      </c>
      <c r="C4891">
        <f>HYPERLINK("C:\Users\franc\OneDrive\Documentos\MALENTIN KARIME\PROTOCOLIZACION\ROBERTO VEGA (Resuelvo 4201 DOH).doc", "Abrir Documento")</f>
        <v>0</v>
      </c>
      <c r="D4891" t="s">
        <v>23500</v>
      </c>
      <c r="E4891" t="s">
        <v>27800</v>
      </c>
    </row>
    <row r="4892" spans="1:5">
      <c r="A4892" t="s">
        <v>6</v>
      </c>
      <c r="B4892" t="s">
        <v>4897</v>
      </c>
      <c r="C4892">
        <f>HYPERLINK("C:\Users\franc\OneDrive\Documentos\MALENTIN KARIME\PROTOCOLIZACION\ROBERTO VEGA (CONVENIO AD REFERENDUM).doc", "Abrir Documento")</f>
        <v>0</v>
      </c>
      <c r="D4892" t="s">
        <v>23500</v>
      </c>
      <c r="E4892" t="s">
        <v>27801</v>
      </c>
    </row>
    <row r="4893" spans="1:5">
      <c r="A4893" t="s">
        <v>6</v>
      </c>
      <c r="B4893" t="s">
        <v>4898</v>
      </c>
      <c r="C4893">
        <f>HYPERLINK("C:\Users\franc\OneDrive\Documentos\MALENTIN KARIME\PROTOCOLIZACION\RICARDO GOMEZ A SUSANA MUÑOZ Jundep.doc", "Abrir Documento")</f>
        <v>0</v>
      </c>
      <c r="D4893" t="s">
        <v>23500</v>
      </c>
      <c r="E4893" t="s">
        <v>27802</v>
      </c>
    </row>
    <row r="4894" spans="1:5">
      <c r="A4894" t="s">
        <v>6</v>
      </c>
      <c r="B4894" t="s">
        <v>4899</v>
      </c>
      <c r="C4894">
        <f>HYPERLINK("C:\Users\franc\OneDrive\Documentos\MALENTIN KARIME\PROTOCOLIZACION\RAMON ESCOBAR MONDACA Poder ext.doc", "Abrir Documento")</f>
        <v>0</v>
      </c>
      <c r="D4894" t="s">
        <v>23500</v>
      </c>
      <c r="E4894" t="s">
        <v>27803</v>
      </c>
    </row>
    <row r="4895" spans="1:5">
      <c r="A4895" t="s">
        <v>6</v>
      </c>
      <c r="B4895" t="s">
        <v>4900</v>
      </c>
      <c r="C4895">
        <f>HYPERLINK("C:\Users\franc\OneDrive\Documentos\MALENTIN KARIME\PROTOCOLIZACION\PROTO. NOMB. NOTARIO PATRICIA ALFARO.doc", "Abrir Documento")</f>
        <v>0</v>
      </c>
      <c r="D4895" t="s">
        <v>23500</v>
      </c>
      <c r="E4895" t="s">
        <v>27804</v>
      </c>
    </row>
    <row r="4896" spans="1:5">
      <c r="A4896" t="s">
        <v>6</v>
      </c>
      <c r="B4896" t="s">
        <v>4901</v>
      </c>
      <c r="C4896">
        <f>HYPERLINK("C:\Users\franc\OneDrive\Documentos\MALENTIN KARIME\PROTOCOLIZACION\PROTO. NOMB. NOTARIO JOYCE RALLIN TAPIA.doc", "Abrir Documento")</f>
        <v>0</v>
      </c>
      <c r="D4896" t="s">
        <v>23500</v>
      </c>
      <c r="E4896" t="s">
        <v>27805</v>
      </c>
    </row>
    <row r="4897" spans="1:5">
      <c r="A4897" t="s">
        <v>6</v>
      </c>
      <c r="B4897" t="s">
        <v>4902</v>
      </c>
      <c r="C4897">
        <f>HYPERLINK("C:\Users\franc\OneDrive\Documentos\MALENTIN KARIME\PROTOCOLIZACION\PROTO. Claudio Araya.doc", "Abrir Documento")</f>
        <v>0</v>
      </c>
      <c r="D4897" t="s">
        <v>23500</v>
      </c>
      <c r="E4897" t="s">
        <v>27806</v>
      </c>
    </row>
    <row r="4898" spans="1:5">
      <c r="A4898" t="s">
        <v>6</v>
      </c>
      <c r="B4898" t="s">
        <v>4903</v>
      </c>
      <c r="C4898">
        <f>HYPERLINK("C:\Users\franc\OneDrive\Documentos\MALENTIN KARIME\PROTOCOLIZACION\PEDRO TORRES SANHUEZA ´Popuesta50-2011.doc", "Abrir Documento")</f>
        <v>0</v>
      </c>
      <c r="D4898" t="s">
        <v>23500</v>
      </c>
      <c r="E4898" t="s">
        <v>27807</v>
      </c>
    </row>
    <row r="4899" spans="1:5">
      <c r="A4899" t="s">
        <v>6</v>
      </c>
      <c r="B4899" t="s">
        <v>4904</v>
      </c>
      <c r="C4899">
        <f>HYPERLINK("C:\Users\franc\OneDrive\Documentos\MALENTIN KARIME\PROTOCOLIZACION\PEDRO TORRES SANHUEZA ´Popuesta II.doc", "Abrir Documento")</f>
        <v>0</v>
      </c>
      <c r="D4899" t="s">
        <v>23500</v>
      </c>
      <c r="E4899" t="s">
        <v>27808</v>
      </c>
    </row>
    <row r="4900" spans="1:5">
      <c r="A4900" t="s">
        <v>6</v>
      </c>
      <c r="B4900" t="s">
        <v>4905</v>
      </c>
      <c r="C4900">
        <f>HYPERLINK("C:\Users\franc\OneDrive\Documentos\MALENTIN KARIME\PROTOCOLIZACION\PEDRO TORRES SANHUEZA ´Popuesta.doc", "Abrir Documento")</f>
        <v>0</v>
      </c>
      <c r="D4900" t="s">
        <v>23500</v>
      </c>
      <c r="E4900" t="s">
        <v>27808</v>
      </c>
    </row>
    <row r="4901" spans="1:5">
      <c r="A4901" t="s">
        <v>6</v>
      </c>
      <c r="B4901" t="s">
        <v>4906</v>
      </c>
      <c r="C4901">
        <f>HYPERLINK("C:\Users\franc\OneDrive\Documentos\MALENTIN KARIME\PROTOCOLIZACION\PEDRO TORRES SANHUEZA 3ª Modif.doc", "Abrir Documento")</f>
        <v>0</v>
      </c>
      <c r="D4901" t="s">
        <v>23500</v>
      </c>
      <c r="E4901" t="s">
        <v>27809</v>
      </c>
    </row>
    <row r="4902" spans="1:5">
      <c r="A4902" t="s">
        <v>6</v>
      </c>
      <c r="B4902" t="s">
        <v>4907</v>
      </c>
      <c r="C4902">
        <f>HYPERLINK("C:\Users\franc\OneDrive\Documentos\MALENTIN KARIME\PROTOCOLIZACION\PEDRO TORRES SANHUEZA 50-2011.doc", "Abrir Documento")</f>
        <v>0</v>
      </c>
      <c r="D4902" t="s">
        <v>23500</v>
      </c>
      <c r="E4902" t="s">
        <v>27809</v>
      </c>
    </row>
    <row r="4903" spans="1:5">
      <c r="A4903" t="s">
        <v>6</v>
      </c>
      <c r="B4903" t="s">
        <v>4908</v>
      </c>
      <c r="C4903">
        <f>HYPERLINK("C:\Users\franc\OneDrive\Documentos\MALENTIN KARIME\PROTOCOLIZACION\PAOLA AGUILERA drogas 2017.doc", "Abrir Documento")</f>
        <v>0</v>
      </c>
      <c r="D4903" t="s">
        <v>23500</v>
      </c>
      <c r="E4903" t="s">
        <v>27810</v>
      </c>
    </row>
    <row r="4904" spans="1:5">
      <c r="A4904" t="s">
        <v>6</v>
      </c>
      <c r="B4904" t="s">
        <v>4909</v>
      </c>
      <c r="C4904">
        <f>HYPERLINK("C:\Users\franc\OneDrive\Documentos\MALENTIN KARIME\PROTOCOLIZACION\PATRICIA LARA CASTRO Contrato Directo.doc", "Abrir Documento")</f>
        <v>0</v>
      </c>
      <c r="D4904" t="s">
        <v>23500</v>
      </c>
      <c r="E4904" t="s">
        <v>27810</v>
      </c>
    </row>
    <row r="4905" spans="1:5">
      <c r="A4905" t="s">
        <v>6</v>
      </c>
      <c r="B4905" t="s">
        <v>4910</v>
      </c>
      <c r="C4905">
        <f>HYPERLINK("C:\Users\franc\OneDrive\Documentos\MALENTIN KARIME\PROTOCOLIZACION\OSCAR GODOY CUELLAR Inventario.doc", "Abrir Documento")</f>
        <v>0</v>
      </c>
      <c r="D4905" t="s">
        <v>23500</v>
      </c>
      <c r="E4905" t="s">
        <v>27811</v>
      </c>
    </row>
    <row r="4906" spans="1:5">
      <c r="A4906" t="s">
        <v>6</v>
      </c>
      <c r="B4906" t="s">
        <v>4911</v>
      </c>
      <c r="C4906">
        <f>HYPERLINK("C:\Users\franc\OneDrive\Documentos\MALENTIN KARIME\PROTOCOLIZACION\OSCAR GODOY CUELLAR Arriendo.doc", "Abrir Documento")</f>
        <v>0</v>
      </c>
      <c r="D4906" t="s">
        <v>23500</v>
      </c>
      <c r="E4906" t="s">
        <v>27812</v>
      </c>
    </row>
    <row r="4907" spans="1:5">
      <c r="A4907" t="s">
        <v>6</v>
      </c>
      <c r="B4907" t="s">
        <v>4912</v>
      </c>
      <c r="C4907">
        <f>HYPERLINK("C:\Users\franc\OneDrive\Documentos\MALENTIN KARIME\PROTOCOLIZACION\OLGA PIZARRO E.I.R.L.pp 11-2012.doc", "Abrir Documento")</f>
        <v>0</v>
      </c>
      <c r="D4907" t="s">
        <v>23500</v>
      </c>
      <c r="E4907" t="s">
        <v>27813</v>
      </c>
    </row>
    <row r="4908" spans="1:5">
      <c r="A4908" t="s">
        <v>6</v>
      </c>
      <c r="B4908" t="s">
        <v>4913</v>
      </c>
      <c r="C4908">
        <f>HYPERLINK("C:\Users\franc\OneDrive\Documentos\MALENTIN KARIME\PROTOCOLIZACION\OLGA PIZARRO E.I.R.L.Agos 13.doc", "Abrir Documento")</f>
        <v>0</v>
      </c>
      <c r="D4908" t="s">
        <v>23500</v>
      </c>
      <c r="E4908" t="s">
        <v>27814</v>
      </c>
    </row>
    <row r="4909" spans="1:5">
      <c r="A4909" t="s">
        <v>6</v>
      </c>
      <c r="B4909" t="s">
        <v>4914</v>
      </c>
      <c r="C4909">
        <f>HYPERLINK("C:\Users\franc\OneDrive\Documentos\MALENTIN KARIME\PROTOCOLIZACION\OLGA PIZARRO E.I.R.L..doc", "Abrir Documento")</f>
        <v>0</v>
      </c>
      <c r="D4909" t="s">
        <v>23500</v>
      </c>
      <c r="E4909" t="s">
        <v>27815</v>
      </c>
    </row>
    <row r="4910" spans="1:5">
      <c r="A4910" t="s">
        <v>6</v>
      </c>
      <c r="B4910" t="s">
        <v>4915</v>
      </c>
      <c r="C4910">
        <f>HYPERLINK("C:\Users\franc\OneDrive\Documentos\MALENTIN KARIME\PROTOCOLIZACION\MERCADAL Propuesta.doc", "Abrir Documento")</f>
        <v>0</v>
      </c>
      <c r="D4910" t="s">
        <v>23500</v>
      </c>
      <c r="E4910" t="s">
        <v>27816</v>
      </c>
    </row>
    <row r="4911" spans="1:5">
      <c r="A4911" t="s">
        <v>6</v>
      </c>
      <c r="B4911" t="s">
        <v>4916</v>
      </c>
      <c r="C4911">
        <f>HYPERLINK("C:\Users\franc\OneDrive\Documentos\MALENTIN KARIME\PROTOCOLIZACION\MARTIN ESCALA DIAZ Propuesta.doc", "Abrir Documento")</f>
        <v>0</v>
      </c>
      <c r="D4911" t="s">
        <v>23500</v>
      </c>
      <c r="E4911" t="s">
        <v>27817</v>
      </c>
    </row>
    <row r="4912" spans="1:5">
      <c r="A4912" t="s">
        <v>6</v>
      </c>
      <c r="B4912" t="s">
        <v>4917</v>
      </c>
      <c r="C4912">
        <f>HYPERLINK("C:\Users\franc\OneDrive\Documentos\MALENTIN KARIME\PROTOCOLIZACION\MERCADAL Propuesta 09 octubre.doc", "Abrir Documento")</f>
        <v>0</v>
      </c>
      <c r="D4912" t="s">
        <v>23500</v>
      </c>
      <c r="E4912" t="s">
        <v>27817</v>
      </c>
    </row>
    <row r="4913" spans="1:5">
      <c r="A4913" t="s">
        <v>6</v>
      </c>
      <c r="B4913" t="s">
        <v>4918</v>
      </c>
      <c r="C4913">
        <f>HYPERLINK("C:\Users\franc\OneDrive\Documentos\MALENTIN KARIME\PROTOCOLIZACION\MARTA ACUÑA CORTES  Propuesta.doc", "Abrir Documento")</f>
        <v>0</v>
      </c>
      <c r="D4913" t="s">
        <v>23500</v>
      </c>
      <c r="E4913" t="s">
        <v>27818</v>
      </c>
    </row>
    <row r="4914" spans="1:5">
      <c r="A4914" t="s">
        <v>6</v>
      </c>
      <c r="B4914" t="s">
        <v>4919</v>
      </c>
      <c r="C4914">
        <f>HYPERLINK("C:\Users\franc\OneDrive\Documentos\MALENTIN KARIME\PROTOCOLIZACION\MARTA MUÑOZ SAAVEDRA.doc", "Abrir Documento")</f>
        <v>0</v>
      </c>
      <c r="D4914" t="s">
        <v>23500</v>
      </c>
      <c r="E4914" t="s">
        <v>27818</v>
      </c>
    </row>
    <row r="4915" spans="1:5">
      <c r="A4915" t="s">
        <v>6</v>
      </c>
      <c r="B4915" t="s">
        <v>4920</v>
      </c>
      <c r="C4915">
        <f>HYPERLINK("C:\Users\franc\OneDrive\Documentos\MALENTIN KARIME\PROTOCOLIZACION\MARIA PEREZ.doc", "Abrir Documento")</f>
        <v>0</v>
      </c>
      <c r="D4915" t="s">
        <v>23500</v>
      </c>
      <c r="E4915" t="s">
        <v>27819</v>
      </c>
    </row>
    <row r="4916" spans="1:5">
      <c r="A4916" t="s">
        <v>6</v>
      </c>
      <c r="B4916" t="s">
        <v>4921</v>
      </c>
      <c r="C4916">
        <f>HYPERLINK("C:\Users\franc\OneDrive\Documentos\MALENTIN KARIME\PROTOCOLIZACION\MARIA HERNANDEZ LEYTON.doc", "Abrir Documento")</f>
        <v>0</v>
      </c>
      <c r="D4916" t="s">
        <v>23500</v>
      </c>
      <c r="E4916" t="s">
        <v>27820</v>
      </c>
    </row>
    <row r="4917" spans="1:5">
      <c r="A4917" t="s">
        <v>6</v>
      </c>
      <c r="B4917" t="s">
        <v>4922</v>
      </c>
      <c r="C4917">
        <f>HYPERLINK("C:\Users\franc\OneDrive\Documentos\MALENTIN KARIME\PROTOCOLIZACION\MARIA ALVAREZ HENRIQUE drogas.doc", "Abrir Documento")</f>
        <v>0</v>
      </c>
      <c r="D4917" t="s">
        <v>23500</v>
      </c>
      <c r="E4917" t="s">
        <v>27821</v>
      </c>
    </row>
    <row r="4918" spans="1:5">
      <c r="A4918" t="s">
        <v>6</v>
      </c>
      <c r="B4918" t="s">
        <v>4923</v>
      </c>
      <c r="C4918">
        <f>HYPERLINK("C:\Users\franc\OneDrive\Documentos\MALENTIN KARIME\PROTOCOLIZACION\LUIS SALAS ROJAS.doc", "Abrir Documento")</f>
        <v>0</v>
      </c>
      <c r="D4918" t="s">
        <v>23500</v>
      </c>
      <c r="E4918" t="s">
        <v>27822</v>
      </c>
    </row>
    <row r="4919" spans="1:5">
      <c r="A4919" t="s">
        <v>6</v>
      </c>
      <c r="B4919" t="s">
        <v>4924</v>
      </c>
      <c r="C4919">
        <f>HYPERLINK("C:\Users\franc\OneDrive\Documentos\MALENTIN KARIME\PROTOCOLIZACION\LUIS DELGADOVALDES.doc", "Abrir Documento")</f>
        <v>0</v>
      </c>
      <c r="D4919" t="s">
        <v>23500</v>
      </c>
      <c r="E4919" t="s">
        <v>27823</v>
      </c>
    </row>
    <row r="4920" spans="1:5">
      <c r="A4920" t="s">
        <v>6</v>
      </c>
      <c r="B4920" t="s">
        <v>4925</v>
      </c>
      <c r="C4920">
        <f>HYPERLINK("C:\Users\franc\OneDrive\Documentos\MALENTIN KARIME\PROTOCOLIZACION\KAREN ALFARO Dcl.Juez Suplente 323 bis.doc", "Abrir Documento")</f>
        <v>0</v>
      </c>
      <c r="D4920" t="s">
        <v>23500</v>
      </c>
      <c r="E4920" t="s">
        <v>27824</v>
      </c>
    </row>
    <row r="4921" spans="1:5">
      <c r="A4921" t="s">
        <v>6</v>
      </c>
      <c r="B4921" t="s">
        <v>4926</v>
      </c>
      <c r="C4921">
        <f>HYPERLINK("C:\Users\franc\OneDrive\Documentos\MALENTIN KARIME\PROTOCOLIZACION\KAREN ALFARO Drogas.doc", "Abrir Documento")</f>
        <v>0</v>
      </c>
      <c r="D4921" t="s">
        <v>23500</v>
      </c>
      <c r="E4921" t="s">
        <v>27824</v>
      </c>
    </row>
    <row r="4922" spans="1:5">
      <c r="A4922" t="s">
        <v>6</v>
      </c>
      <c r="B4922" t="s">
        <v>4927</v>
      </c>
      <c r="C4922">
        <f>HYPERLINK("C:\Users\franc\OneDrive\Documentos\MALENTIN KARIME\PROTOCOLIZACION\JUNTA VECINOS PARRAL DE QUILES.doc", "Abrir Documento")</f>
        <v>0</v>
      </c>
      <c r="D4922" t="s">
        <v>23500</v>
      </c>
      <c r="E4922" t="s">
        <v>27825</v>
      </c>
    </row>
    <row r="4923" spans="1:5">
      <c r="A4923" t="s">
        <v>6</v>
      </c>
      <c r="B4923" t="s">
        <v>4928</v>
      </c>
      <c r="C4923">
        <f>HYPERLINK("C:\Users\franc\OneDrive\Documentos\MALENTIN KARIME\PROTOCOLIZACION\JUNTA VIGILANCIA RIO MOSTAZAL.doc", "Abrir Documento")</f>
        <v>0</v>
      </c>
      <c r="D4923" t="s">
        <v>23500</v>
      </c>
      <c r="E4923" t="s">
        <v>27825</v>
      </c>
    </row>
    <row r="4924" spans="1:5">
      <c r="A4924" t="s">
        <v>6</v>
      </c>
      <c r="B4924" t="s">
        <v>4929</v>
      </c>
      <c r="C4924">
        <f>HYPERLINK("C:\Users\franc\OneDrive\Documentos\MALENTIN KARIME\PROTOCOLIZACION\JUNTA VECINOS PARRAL DE QUILES MPunitaqui.doc", "Abrir Documento")</f>
        <v>0</v>
      </c>
      <c r="D4924" t="s">
        <v>23500</v>
      </c>
      <c r="E4924" t="s">
        <v>27826</v>
      </c>
    </row>
    <row r="4925" spans="1:5">
      <c r="A4925" t="s">
        <v>6</v>
      </c>
      <c r="B4925" t="s">
        <v>4930</v>
      </c>
      <c r="C4925">
        <f>HYPERLINK("C:\Users\franc\OneDrive\Documentos\MALENTIN KARIME\PROTOCOLIZACION\JTA DE VECINOS VILLA MINERA.doc", "Abrir Documento")</f>
        <v>0</v>
      </c>
      <c r="D4925" t="s">
        <v>23500</v>
      </c>
      <c r="E4925" t="s">
        <v>27827</v>
      </c>
    </row>
    <row r="4926" spans="1:5">
      <c r="A4926" t="s">
        <v>6</v>
      </c>
      <c r="B4926" t="s">
        <v>4931</v>
      </c>
      <c r="C4926">
        <f>HYPERLINK("C:\Users\franc\OneDrive\Documentos\MALENTIN KARIME\PROTOCOLIZACION\JORGE ARAYA MUÑOZ Indap.doc", "Abrir Documento")</f>
        <v>0</v>
      </c>
      <c r="D4926" t="s">
        <v>23500</v>
      </c>
      <c r="E4926" t="s">
        <v>27828</v>
      </c>
    </row>
    <row r="4927" spans="1:5">
      <c r="A4927" t="s">
        <v>6</v>
      </c>
      <c r="B4927" t="s">
        <v>4932</v>
      </c>
      <c r="C4927">
        <f>HYPERLINK("C:\Users\franc\OneDrive\Documentos\MALENTIN KARIME\PROTOCOLIZACION\JORGE ARAYA MUÑOZ.doc", "Abrir Documento")</f>
        <v>0</v>
      </c>
      <c r="D4927" t="s">
        <v>23500</v>
      </c>
      <c r="E4927" t="s">
        <v>27828</v>
      </c>
    </row>
    <row r="4928" spans="1:5">
      <c r="A4928" t="s">
        <v>6</v>
      </c>
      <c r="B4928" t="s">
        <v>4933</v>
      </c>
      <c r="C4928">
        <f>HYPERLINK("C:\Users\franc\OneDrive\Documentos\MALENTIN KARIME\PROTOCOLIZACION\JEANNETTE MEDINA ARAYA  Propuesta.doc", "Abrir Documento")</f>
        <v>0</v>
      </c>
      <c r="D4928" t="s">
        <v>23500</v>
      </c>
      <c r="E4928" t="s">
        <v>27829</v>
      </c>
    </row>
    <row r="4929" spans="1:5">
      <c r="A4929" t="s">
        <v>6</v>
      </c>
      <c r="B4929" t="s">
        <v>4934</v>
      </c>
      <c r="C4929">
        <f>HYPERLINK("C:\Users\franc\OneDrive\Documentos\MALENTIN KARIME\PROTOCOLIZACION\JAIME RAMIREZ VALENZUELA (Resuelvo).doc", "Abrir Documento")</f>
        <v>0</v>
      </c>
      <c r="D4929" t="s">
        <v>23500</v>
      </c>
      <c r="E4929" t="s">
        <v>27830</v>
      </c>
    </row>
    <row r="4930" spans="1:5">
      <c r="A4930" t="s">
        <v>6</v>
      </c>
      <c r="B4930" t="s">
        <v>4935</v>
      </c>
      <c r="C4930">
        <f>HYPERLINK("C:\Users\franc\OneDrive\Documentos\MALENTIN KARIME\PROTOCOLIZACION\Inventario.doc", "Abrir Documento")</f>
        <v>0</v>
      </c>
      <c r="D4930" t="s">
        <v>23500</v>
      </c>
      <c r="E4930" t="s">
        <v>27831</v>
      </c>
    </row>
    <row r="4931" spans="1:5">
      <c r="A4931" t="s">
        <v>6</v>
      </c>
      <c r="B4931" t="s">
        <v>4936</v>
      </c>
      <c r="C4931">
        <f>HYPERLINK("C:\Users\franc\OneDrive\Documentos\MALENTIN KARIME\PROTOCOLIZACION\IVAN VARELA.doc", "Abrir Documento")</f>
        <v>0</v>
      </c>
      <c r="D4931" t="s">
        <v>23500</v>
      </c>
      <c r="E4931" t="s">
        <v>27831</v>
      </c>
    </row>
    <row r="4932" spans="1:5">
      <c r="A4932" t="s">
        <v>6</v>
      </c>
      <c r="B4932" t="s">
        <v>4937</v>
      </c>
      <c r="C4932">
        <f>HYPERLINK("C:\Users\franc\OneDrive\Documentos\MALENTIN KARIME\PROTOCOLIZACION\INGENIERIA Y CONSTRUCCIONES CAMARICO Resolución 1578.doc", "Abrir Documento")</f>
        <v>0</v>
      </c>
      <c r="D4932" t="s">
        <v>23500</v>
      </c>
      <c r="E4932" t="s">
        <v>27832</v>
      </c>
    </row>
    <row r="4933" spans="1:5">
      <c r="A4933" t="s">
        <v>6</v>
      </c>
      <c r="B4933" t="s">
        <v>4938</v>
      </c>
      <c r="C4933">
        <f>HYPERLINK("C:\Users\franc\OneDrive\Documentos\MALENTIN KARIME\PROTOCOLIZACION\Hoja Anexa de Actas.doc", "Abrir Documento")</f>
        <v>0</v>
      </c>
      <c r="D4933" t="s">
        <v>23500</v>
      </c>
      <c r="E4933" t="s">
        <v>27833</v>
      </c>
    </row>
    <row r="4934" spans="1:5">
      <c r="A4934" t="s">
        <v>6</v>
      </c>
      <c r="B4934" t="s">
        <v>4939</v>
      </c>
      <c r="C4934">
        <f>HYPERLINK("C:\Users\franc\OneDrive\Documentos\MALENTIN KARIME\PROTOCOLIZACION\HERMAN ROJAS ALUCEMA.doc", "Abrir Documento")</f>
        <v>0</v>
      </c>
      <c r="D4934" t="s">
        <v>23500</v>
      </c>
      <c r="E4934" t="s">
        <v>27834</v>
      </c>
    </row>
    <row r="4935" spans="1:5">
      <c r="A4935" t="s">
        <v>6</v>
      </c>
      <c r="B4935" t="s">
        <v>4940</v>
      </c>
      <c r="C4935">
        <f>HYPERLINK("C:\Users\franc\OneDrive\Documentos\MALENTIN KARIME\PROTOCOLIZACION\HERMAN BOLVARAN DIAZ PP.doc", "Abrir Documento")</f>
        <v>0</v>
      </c>
      <c r="D4935" t="s">
        <v>23500</v>
      </c>
      <c r="E4935" t="s">
        <v>27835</v>
      </c>
    </row>
    <row r="4936" spans="1:5">
      <c r="A4936" t="s">
        <v>6</v>
      </c>
      <c r="B4936" t="s">
        <v>4941</v>
      </c>
      <c r="C4936">
        <f>HYPERLINK("C:\Users\franc\OneDrive\Documentos\MALENTIN KARIME\PROTOCOLIZACION\HERBET ROHDE Magistrado Fiscal.doc", "Abrir Documento")</f>
        <v>0</v>
      </c>
      <c r="D4936" t="s">
        <v>23500</v>
      </c>
      <c r="E4936" t="s">
        <v>27836</v>
      </c>
    </row>
    <row r="4937" spans="1:5">
      <c r="A4937" t="s">
        <v>6</v>
      </c>
      <c r="B4937" t="s">
        <v>4942</v>
      </c>
      <c r="C4937">
        <f>HYPERLINK("C:\Users\franc\OneDrive\Documentos\MALENTIN KARIME\PROTOCOLIZACION\GABRIEL RODRIGUEZ Inventario.doc", "Abrir Documento")</f>
        <v>0</v>
      </c>
      <c r="D4937" t="s">
        <v>23500</v>
      </c>
      <c r="E4937" t="s">
        <v>27837</v>
      </c>
    </row>
    <row r="4938" spans="1:5">
      <c r="A4938" t="s">
        <v>6</v>
      </c>
      <c r="B4938" t="s">
        <v>4943</v>
      </c>
      <c r="C4938">
        <f>HYPERLINK("C:\Users\franc\OneDrive\Documentos\MALENTIN KARIME\PROTOCOLIZACION\GABRIEL PEÑA LEDEZMA.doc", "Abrir Documento")</f>
        <v>0</v>
      </c>
      <c r="D4938" t="s">
        <v>23500</v>
      </c>
      <c r="E4938" t="s">
        <v>27838</v>
      </c>
    </row>
    <row r="4939" spans="1:5">
      <c r="A4939" t="s">
        <v>6</v>
      </c>
      <c r="B4939" t="s">
        <v>4944</v>
      </c>
      <c r="C4939">
        <f>HYPERLINK("C:\Users\franc\OneDrive\Documentos\MALENTIN KARIME\PROTOCOLIZACION\FRANCISCO PIZARRO RESOLUCION.doc", "Abrir Documento")</f>
        <v>0</v>
      </c>
      <c r="D4939" t="s">
        <v>23500</v>
      </c>
      <c r="E4939" t="s">
        <v>27839</v>
      </c>
    </row>
    <row r="4940" spans="1:5">
      <c r="A4940" t="s">
        <v>6</v>
      </c>
      <c r="B4940" t="s">
        <v>4945</v>
      </c>
      <c r="C4940">
        <f>HYPERLINK("C:\Users\franc\OneDrive\Documentos\MALENTIN KARIME\PROTOCOLIZACION\FRANCISCO UGALDE.doc", "Abrir Documento")</f>
        <v>0</v>
      </c>
      <c r="D4940" t="s">
        <v>23500</v>
      </c>
      <c r="E4940" t="s">
        <v>27839</v>
      </c>
    </row>
    <row r="4941" spans="1:5">
      <c r="A4941" t="s">
        <v>6</v>
      </c>
      <c r="B4941" t="s">
        <v>4946</v>
      </c>
      <c r="C4941">
        <f>HYPERLINK("C:\Users\franc\OneDrive\Documentos\MALENTIN KARIME\PROTOCOLIZACION\FIRMAS.AUT MUNICIP.ALCALDESA RIO HURTADO.doc", "Abrir Documento")</f>
        <v>0</v>
      </c>
      <c r="D4941" t="s">
        <v>23500</v>
      </c>
      <c r="E4941" t="s">
        <v>27840</v>
      </c>
    </row>
    <row r="4942" spans="1:5">
      <c r="A4942" t="s">
        <v>6</v>
      </c>
      <c r="B4942" t="s">
        <v>4947</v>
      </c>
      <c r="C4942">
        <f>HYPERLINK("C:\Users\franc\OneDrive\Documentos\MALENTIN KARIME\PROTOCOLIZACION\FIRMAS.AUT MUNICIP.ALCALDESA.doc", "Abrir Documento")</f>
        <v>0</v>
      </c>
      <c r="D4942" t="s">
        <v>23500</v>
      </c>
      <c r="E4942" t="s">
        <v>27840</v>
      </c>
    </row>
    <row r="4943" spans="1:5">
      <c r="A4943" t="s">
        <v>6</v>
      </c>
      <c r="B4943" t="s">
        <v>4948</v>
      </c>
      <c r="C4943">
        <f>HYPERLINK("C:\Users\franc\OneDrive\Documentos\MALENTIN KARIME\PROTOCOLIZACION\FIRMA AUT. Juan Francisco Soto Alfaro.doc", "Abrir Documento")</f>
        <v>0</v>
      </c>
      <c r="D4943" t="s">
        <v>23500</v>
      </c>
      <c r="E4943" t="s">
        <v>27841</v>
      </c>
    </row>
    <row r="4944" spans="1:5">
      <c r="A4944" t="s">
        <v>6</v>
      </c>
      <c r="B4944" t="s">
        <v>4949</v>
      </c>
      <c r="C4944">
        <f>HYPERLINK("C:\Users\franc\OneDrive\Documentos\MALENTIN KARIME\PROTOCOLIZACION\FIRMA AUT. Roberto Vega.doc", "Abrir Documento")</f>
        <v>0</v>
      </c>
      <c r="D4944" t="s">
        <v>23500</v>
      </c>
      <c r="E4944" t="s">
        <v>27841</v>
      </c>
    </row>
    <row r="4945" spans="1:5">
      <c r="A4945" t="s">
        <v>6</v>
      </c>
      <c r="B4945" t="s">
        <v>4950</v>
      </c>
      <c r="C4945">
        <f>HYPERLINK("C:\Users\franc\OneDrive\Documentos\MALENTIN KARIME\PROTOCOLIZACION\FABIOLA GONZALEZ BRAVO Indap.doc", "Abrir Documento")</f>
        <v>0</v>
      </c>
      <c r="D4945" t="s">
        <v>23500</v>
      </c>
      <c r="E4945" t="s">
        <v>27842</v>
      </c>
    </row>
    <row r="4946" spans="1:5">
      <c r="A4946" t="s">
        <v>6</v>
      </c>
      <c r="B4946" t="s">
        <v>4951</v>
      </c>
      <c r="C4946">
        <f>HYPERLINK("C:\Users\franc\OneDrive\Documentos\MALENTIN KARIME\PROTOCOLIZACION\ENRIQUE ORTIZ RIVAS Propuesta.doc", "Abrir Documento")</f>
        <v>0</v>
      </c>
      <c r="D4946" t="s">
        <v>23500</v>
      </c>
      <c r="E4946" t="s">
        <v>27843</v>
      </c>
    </row>
    <row r="4947" spans="1:5">
      <c r="A4947" t="s">
        <v>6</v>
      </c>
      <c r="B4947" t="s">
        <v>4952</v>
      </c>
      <c r="C4947">
        <f>HYPERLINK("C:\Users\franc\OneDrive\Documentos\MALENTIN KARIME\PROTOCOLIZACION\EDITH PIZARRO GUERRERO.doc", "Abrir Documento")</f>
        <v>0</v>
      </c>
      <c r="D4947" t="s">
        <v>23500</v>
      </c>
      <c r="E4947" t="s">
        <v>27844</v>
      </c>
    </row>
    <row r="4948" spans="1:5">
      <c r="A4948" t="s">
        <v>6</v>
      </c>
      <c r="B4948" t="s">
        <v>4953</v>
      </c>
      <c r="C4948">
        <f>HYPERLINK("C:\Users\franc\OneDrive\Documentos\MALENTIN KARIME\PROTOCOLIZACION\EDUARDO VARAS  Propuesta Modifc  Vehiculo.doc", "Abrir Documento")</f>
        <v>0</v>
      </c>
      <c r="D4948" t="s">
        <v>23500</v>
      </c>
      <c r="E4948" t="s">
        <v>27844</v>
      </c>
    </row>
    <row r="4949" spans="1:5">
      <c r="A4949" t="s">
        <v>6</v>
      </c>
      <c r="B4949" t="s">
        <v>4954</v>
      </c>
      <c r="C4949">
        <f>HYPERLINK("C:\Users\franc\OneDrive\Documentos\MALENTIN KARIME\PROTOCOLIZACION\DEONILA ARAYA ALFARO Poder ext.doc", "Abrir Documento")</f>
        <v>0</v>
      </c>
      <c r="D4949" t="s">
        <v>23500</v>
      </c>
      <c r="E4949" t="s">
        <v>27845</v>
      </c>
    </row>
    <row r="4950" spans="1:5">
      <c r="A4950" t="s">
        <v>6</v>
      </c>
      <c r="B4950" t="s">
        <v>4955</v>
      </c>
      <c r="C4950">
        <f>HYPERLINK("C:\Users\franc\OneDrive\Documentos\MALENTIN KARIME\PROTOCOLIZACION\DRV INGENIERIA Propuesta.doc", "Abrir Documento")</f>
        <v>0</v>
      </c>
      <c r="D4950" t="s">
        <v>23500</v>
      </c>
      <c r="E4950" t="s">
        <v>27845</v>
      </c>
    </row>
    <row r="4951" spans="1:5">
      <c r="A4951" t="s">
        <v>6</v>
      </c>
      <c r="B4951" t="s">
        <v>4956</v>
      </c>
      <c r="C4951">
        <f>HYPERLINK("C:\Users\franc\OneDrive\Documentos\MALENTIN KARIME\PROTOCOLIZACION\DAVID BUGUEÑO Testamento.doc", "Abrir Documento")</f>
        <v>0</v>
      </c>
      <c r="D4951" t="s">
        <v>23500</v>
      </c>
      <c r="E4951" t="s">
        <v>27846</v>
      </c>
    </row>
    <row r="4952" spans="1:5">
      <c r="A4952" t="s">
        <v>6</v>
      </c>
      <c r="B4952" t="s">
        <v>4957</v>
      </c>
      <c r="C4952">
        <f>HYPERLINK("C:\Users\franc\OneDrive\Documentos\MALENTIN KARIME\PROTOCOLIZACION\CUERPO DE BOMBEROS Super.doc", "Abrir Documento")</f>
        <v>0</v>
      </c>
      <c r="D4952" t="s">
        <v>23500</v>
      </c>
      <c r="E4952" t="s">
        <v>27847</v>
      </c>
    </row>
    <row r="4953" spans="1:5">
      <c r="A4953" t="s">
        <v>6</v>
      </c>
      <c r="B4953" t="s">
        <v>4958</v>
      </c>
      <c r="C4953">
        <f>HYPERLINK("C:\Users\franc\OneDrive\Documentos\MALENTIN KARIME\PROTOCOLIZACION\CUERPO DE BOMBEROS 3.doc", "Abrir Documento")</f>
        <v>0</v>
      </c>
      <c r="D4953" t="s">
        <v>23500</v>
      </c>
      <c r="E4953" t="s">
        <v>27848</v>
      </c>
    </row>
    <row r="4954" spans="1:5">
      <c r="A4954" t="s">
        <v>6</v>
      </c>
      <c r="B4954" t="s">
        <v>4959</v>
      </c>
      <c r="C4954">
        <f>HYPERLINK("C:\Users\franc\OneDrive\Documentos\MALENTIN KARIME\PROTOCOLIZACION\cuarta compañia de bomberos.doc", "Abrir Documento")</f>
        <v>0</v>
      </c>
      <c r="D4954" t="s">
        <v>23500</v>
      </c>
      <c r="E4954" t="s">
        <v>27849</v>
      </c>
    </row>
    <row r="4955" spans="1:5">
      <c r="A4955" t="s">
        <v>6</v>
      </c>
      <c r="B4955" t="s">
        <v>4960</v>
      </c>
      <c r="C4955">
        <f>HYPERLINK("C:\Users\franc\OneDrive\Documentos\MALENTIN KARIME\PROTOCOLIZACION\CONSTRUCTORA SAN FERNANDO  Propuesta.doc", "Abrir Documento")</f>
        <v>0</v>
      </c>
      <c r="D4955" t="s">
        <v>23500</v>
      </c>
      <c r="E4955" t="s">
        <v>27850</v>
      </c>
    </row>
    <row r="4956" spans="1:5">
      <c r="A4956" t="s">
        <v>6</v>
      </c>
      <c r="B4956" t="s">
        <v>4961</v>
      </c>
      <c r="C4956">
        <f>HYPERLINK("C:\Users\franc\OneDrive\Documentos\MALENTIN KARIME\PROTOCOLIZACION\CONSTRUCTORA SAN MATEO  Modificacion 3-12.doc", "Abrir Documento")</f>
        <v>0</v>
      </c>
      <c r="D4956" t="s">
        <v>23500</v>
      </c>
      <c r="E4956" t="s">
        <v>27850</v>
      </c>
    </row>
    <row r="4957" spans="1:5">
      <c r="A4957" t="s">
        <v>6</v>
      </c>
      <c r="B4957" t="s">
        <v>4962</v>
      </c>
      <c r="C4957">
        <f>HYPERLINK("C:\Users\franc\OneDrive\Documentos\MALENTIN KARIME\PROTOCOLIZACION\CONSTRUCTORA SAN MATEO  Propuesta.doc", "Abrir Documento")</f>
        <v>0</v>
      </c>
      <c r="D4957" t="s">
        <v>23500</v>
      </c>
      <c r="E4957" t="s">
        <v>27850</v>
      </c>
    </row>
    <row r="4958" spans="1:5">
      <c r="A4958" t="s">
        <v>6</v>
      </c>
      <c r="B4958" t="s">
        <v>4963</v>
      </c>
      <c r="C4958">
        <f>HYPERLINK("C:\Users\franc\OneDrive\Documentos\MALENTIN KARIME\PROTOCOLIZACION\CONSTRUCTORA SAN FERNANDO  Propuesta NOVIE 12.doc", "Abrir Documento")</f>
        <v>0</v>
      </c>
      <c r="D4958" t="s">
        <v>23500</v>
      </c>
      <c r="E4958" t="s">
        <v>27851</v>
      </c>
    </row>
    <row r="4959" spans="1:5">
      <c r="A4959" t="s">
        <v>6</v>
      </c>
      <c r="B4959" t="s">
        <v>4964</v>
      </c>
      <c r="C4959">
        <f>HYPERLINK("C:\Users\franc\OneDrive\Documentos\MALENTIN KARIME\PROTOCOLIZACION\CONSTRUCTORA SAN FERNANDO  Propuesta ii.doc", "Abrir Documento")</f>
        <v>0</v>
      </c>
      <c r="D4959" t="s">
        <v>23500</v>
      </c>
      <c r="E4959" t="s">
        <v>27852</v>
      </c>
    </row>
    <row r="4960" spans="1:5">
      <c r="A4960" t="s">
        <v>6</v>
      </c>
      <c r="B4960" t="s">
        <v>4965</v>
      </c>
      <c r="C4960">
        <f>HYPERLINK("C:\Users\franc\OneDrive\Documentos\MALENTIN KARIME\PROTOCOLIZACION\CONSTRUCTORA SAN FERNANDO  Propuesta 042013.doc", "Abrir Documento")</f>
        <v>0</v>
      </c>
      <c r="D4960" t="s">
        <v>23500</v>
      </c>
      <c r="E4960" t="s">
        <v>27853</v>
      </c>
    </row>
    <row r="4961" spans="1:5">
      <c r="A4961" t="s">
        <v>6</v>
      </c>
      <c r="B4961" t="s">
        <v>4966</v>
      </c>
      <c r="C4961">
        <f>HYPERLINK("C:\Users\franc\OneDrive\Documentos\MALENTIN KARIME\PROTOCOLIZACION\CONSTRUCTORA SAN FERNANDO  Propuesta 042013 ii.doc", "Abrir Documento")</f>
        <v>0</v>
      </c>
      <c r="D4961" t="s">
        <v>23500</v>
      </c>
      <c r="E4961" t="s">
        <v>27854</v>
      </c>
    </row>
    <row r="4962" spans="1:5">
      <c r="A4962" t="s">
        <v>6</v>
      </c>
      <c r="B4962" t="s">
        <v>4967</v>
      </c>
      <c r="C4962">
        <f>HYPERLINK("C:\Users\franc\OneDrive\Documentos\MALENTIN KARIME\PROTOCOLIZACION\CONSTRUCTORA SAN FERNANDO  Propuesta 04-12.doc", "Abrir Documento")</f>
        <v>0</v>
      </c>
      <c r="D4962" t="s">
        <v>23500</v>
      </c>
      <c r="E4962" t="s">
        <v>27855</v>
      </c>
    </row>
    <row r="4963" spans="1:5">
      <c r="A4963" t="s">
        <v>6</v>
      </c>
      <c r="B4963" t="s">
        <v>4968</v>
      </c>
      <c r="C4963">
        <f>HYPERLINK("C:\Users\franc\OneDrive\Documentos\MALENTIN KARIME\PROTOCOLIZACION\COMUNIDAD LAS DAMAS Presidente.doc", "Abrir Documento")</f>
        <v>0</v>
      </c>
      <c r="D4963" t="s">
        <v>23500</v>
      </c>
      <c r="E4963" t="s">
        <v>27856</v>
      </c>
    </row>
    <row r="4964" spans="1:5">
      <c r="A4964" t="s">
        <v>6</v>
      </c>
      <c r="B4964" t="s">
        <v>4969</v>
      </c>
      <c r="C4964">
        <f>HYPERLINK("C:\Users\franc\OneDrive\Documentos\MALENTIN KARIME\PROTOCOLIZACION\COMUNIDAD EL OLIVO.doc", "Abrir Documento")</f>
        <v>0</v>
      </c>
      <c r="D4964" t="s">
        <v>23500</v>
      </c>
      <c r="E4964" t="s">
        <v>27857</v>
      </c>
    </row>
    <row r="4965" spans="1:5">
      <c r="A4965" t="s">
        <v>6</v>
      </c>
      <c r="B4965" t="s">
        <v>4970</v>
      </c>
      <c r="C4965">
        <f>HYPERLINK("C:\Users\franc\OneDrive\Documentos\MALENTIN KARIME\PROTOCOLIZACION\COMUNIDAD EL PERAL OJO DE AGUA.doc", "Abrir Documento")</f>
        <v>0</v>
      </c>
      <c r="D4965" t="s">
        <v>23500</v>
      </c>
      <c r="E4965" t="s">
        <v>27857</v>
      </c>
    </row>
    <row r="4966" spans="1:5">
      <c r="A4966" t="s">
        <v>6</v>
      </c>
      <c r="B4966" t="s">
        <v>4971</v>
      </c>
      <c r="C4966">
        <f>HYPERLINK("C:\Users\franc\OneDrive\Documentos\MALENTIN KARIME\PROTOCOLIZACION\COMUNIDAD EL BUITRE.doc", "Abrir Documento")</f>
        <v>0</v>
      </c>
      <c r="D4966" t="s">
        <v>23500</v>
      </c>
      <c r="E4966" t="s">
        <v>27858</v>
      </c>
    </row>
    <row r="4967" spans="1:5">
      <c r="A4967" t="s">
        <v>6</v>
      </c>
      <c r="B4967" t="s">
        <v>4972</v>
      </c>
      <c r="C4967">
        <f>HYPERLINK("C:\Users\franc\OneDrive\Documentos\MALENTIN KARIME\PROTOCOLIZACION\COMUNIDAD EL OLIVO 09 AGOSTO.doc", "Abrir Documento")</f>
        <v>0</v>
      </c>
      <c r="D4967" t="s">
        <v>23500</v>
      </c>
      <c r="E4967" t="s">
        <v>27858</v>
      </c>
    </row>
    <row r="4968" spans="1:5">
      <c r="A4968" t="s">
        <v>6</v>
      </c>
      <c r="B4968" t="s">
        <v>4973</v>
      </c>
      <c r="C4968">
        <f>HYPERLINK("C:\Users\franc\OneDrive\Documentos\MALENTIN KARIME\PROTOCOLIZACION\Comunidad CARRIZAL Y LAGUNA de Seron.doc", "Abrir Documento")</f>
        <v>0</v>
      </c>
      <c r="D4968" t="s">
        <v>23500</v>
      </c>
      <c r="E4968" t="s">
        <v>27859</v>
      </c>
    </row>
    <row r="4969" spans="1:5">
      <c r="A4969" t="s">
        <v>6</v>
      </c>
      <c r="B4969" t="s">
        <v>4974</v>
      </c>
      <c r="C4969">
        <f>HYPERLINK("C:\Users\franc\OneDrive\Documentos\MALENTIN KARIME\PROTOCOLIZACION\COMUNIDAD AGRICOLA EL ALTAR.doc", "Abrir Documento")</f>
        <v>0</v>
      </c>
      <c r="D4969" t="s">
        <v>23500</v>
      </c>
      <c r="E4969" t="s">
        <v>27860</v>
      </c>
    </row>
    <row r="4970" spans="1:5">
      <c r="A4970" t="s">
        <v>6</v>
      </c>
      <c r="B4970" t="s">
        <v>4975</v>
      </c>
      <c r="C4970">
        <f>HYPERLINK("C:\Users\franc\OneDrive\Documentos\MALENTIN KARIME\PROTOCOLIZACION\COMUNIDAD AGRICOLA EL TOME.doc", "Abrir Documento")</f>
        <v>0</v>
      </c>
      <c r="D4970" t="s">
        <v>23500</v>
      </c>
      <c r="E4970" t="s">
        <v>27860</v>
      </c>
    </row>
    <row r="4971" spans="1:5">
      <c r="A4971" t="s">
        <v>6</v>
      </c>
      <c r="B4971" t="s">
        <v>4976</v>
      </c>
      <c r="C4971">
        <f>HYPERLINK("C:\Users\franc\OneDrive\Documentos\MALENTIN KARIME\PROTOCOLIZACION\COMITE JUAN PABLO I Y VERONICA VEGA.doc", "Abrir Documento")</f>
        <v>0</v>
      </c>
      <c r="D4971" t="s">
        <v>23500</v>
      </c>
      <c r="E4971" t="s">
        <v>27861</v>
      </c>
    </row>
    <row r="4972" spans="1:5">
      <c r="A4972" t="s">
        <v>6</v>
      </c>
      <c r="B4972" t="s">
        <v>4977</v>
      </c>
      <c r="C4972">
        <f>HYPERLINK("C:\Users\franc\OneDrive\Documentos\MALENTIN KARIME\PROTOCOLIZACION\COMITE DE AGUA POTABLE RURAL LAS MOLLACAS.doc", "Abrir Documento")</f>
        <v>0</v>
      </c>
      <c r="D4972" t="s">
        <v>23500</v>
      </c>
      <c r="E4972" t="s">
        <v>27862</v>
      </c>
    </row>
    <row r="4973" spans="1:5">
      <c r="A4973" t="s">
        <v>6</v>
      </c>
      <c r="B4973" t="s">
        <v>4978</v>
      </c>
      <c r="C4973">
        <f>HYPERLINK("C:\Users\franc\OneDrive\Documentos\MALENTIN KARIME\PROTOCOLIZACION\COMITE AGUA POTABLE.doc", "Abrir Documento")</f>
        <v>0</v>
      </c>
      <c r="D4973" t="s">
        <v>23500</v>
      </c>
      <c r="E4973" t="s">
        <v>27863</v>
      </c>
    </row>
    <row r="4974" spans="1:5">
      <c r="A4974" t="s">
        <v>6</v>
      </c>
      <c r="B4974" t="s">
        <v>4979</v>
      </c>
      <c r="C4974">
        <f>HYPERLINK("C:\Users\franc\OneDrive\Documentos\MALENTIN KARIME\PROTOCOLIZACION\COMITE DE ADELANTO VILLA AGRICOLA.doc", "Abrir Documento")</f>
        <v>0</v>
      </c>
      <c r="D4974" t="s">
        <v>23500</v>
      </c>
      <c r="E4974" t="s">
        <v>27863</v>
      </c>
    </row>
    <row r="4975" spans="1:5">
      <c r="A4975" t="s">
        <v>6</v>
      </c>
      <c r="B4975" t="s">
        <v>4980</v>
      </c>
      <c r="C4975">
        <f>HYPERLINK("C:\Users\franc\OneDrive\Documentos\MALENTIN KARIME\PROTOCOLIZACION\COFMED PRESTACIONES.doc", "Abrir Documento")</f>
        <v>0</v>
      </c>
      <c r="D4975" t="s">
        <v>23500</v>
      </c>
      <c r="E4975" t="s">
        <v>27864</v>
      </c>
    </row>
    <row r="4976" spans="1:5">
      <c r="A4976" t="s">
        <v>6</v>
      </c>
      <c r="B4976" t="s">
        <v>4981</v>
      </c>
      <c r="C4976">
        <f>HYPERLINK("C:\Users\franc\OneDrive\Documentos\MALENTIN KARIME\PROTOCOLIZACION\COMITE AGUA POTABLE RURAL COMBARBALA.doc", "Abrir Documento")</f>
        <v>0</v>
      </c>
      <c r="D4976" t="s">
        <v>23500</v>
      </c>
      <c r="E4976" t="s">
        <v>27864</v>
      </c>
    </row>
    <row r="4977" spans="1:5">
      <c r="A4977" t="s">
        <v>6</v>
      </c>
      <c r="B4977" t="s">
        <v>4982</v>
      </c>
      <c r="C4977">
        <f>HYPERLINK("C:\Users\franc\OneDrive\Documentos\MALENTIN KARIME\PROTOCOLIZACION\CLUB OVALLE 2009-2010Mario Barrios.doc", "Abrir Documento")</f>
        <v>0</v>
      </c>
      <c r="D4977" t="s">
        <v>23500</v>
      </c>
      <c r="E4977" t="s">
        <v>27865</v>
      </c>
    </row>
    <row r="4978" spans="1:5">
      <c r="A4978" t="s">
        <v>6</v>
      </c>
      <c r="B4978" t="s">
        <v>4983</v>
      </c>
      <c r="C4978">
        <f>HYPERLINK("C:\Users\franc\OneDrive\Documentos\MALENTIN KARIME\PROTOCOLIZACION\CLUB OVALLE Mario Barrios.doc", "Abrir Documento")</f>
        <v>0</v>
      </c>
      <c r="D4978" t="s">
        <v>23500</v>
      </c>
      <c r="E4978" t="s">
        <v>27865</v>
      </c>
    </row>
    <row r="4979" spans="1:5">
      <c r="A4979" t="s">
        <v>6</v>
      </c>
      <c r="B4979" t="s">
        <v>4984</v>
      </c>
      <c r="C4979">
        <f>HYPERLINK("C:\Users\franc\OneDrive\Documentos\MALENTIN KARIME\PROTOCOLIZACION\CLUB DE RODEO 23 JUNIO.doc", "Abrir Documento")</f>
        <v>0</v>
      </c>
      <c r="D4979" t="s">
        <v>23500</v>
      </c>
      <c r="E4979" t="s">
        <v>27866</v>
      </c>
    </row>
    <row r="4980" spans="1:5">
      <c r="A4980" t="s">
        <v>6</v>
      </c>
      <c r="B4980" t="s">
        <v>4985</v>
      </c>
      <c r="C4980">
        <f>HYPERLINK("C:\Users\franc\OneDrive\Documentos\MALENTIN KARIME\PROTOCOLIZACION\CLUB DEPORTIVO PUNITAQUI MPunitaqui.doc", "Abrir Documento")</f>
        <v>0</v>
      </c>
      <c r="D4980" t="s">
        <v>23500</v>
      </c>
      <c r="E4980" t="s">
        <v>27866</v>
      </c>
    </row>
    <row r="4981" spans="1:5">
      <c r="A4981" t="s">
        <v>6</v>
      </c>
      <c r="B4981" t="s">
        <v>4986</v>
      </c>
      <c r="C4981">
        <f>HYPERLINK("C:\Users\franc\OneDrive\Documentos\MALENTIN KARIME\PROTOCOLIZACION\CLUB DE RODEO 1 DICIEMBRE.doc", "Abrir Documento")</f>
        <v>0</v>
      </c>
      <c r="D4981" t="s">
        <v>23500</v>
      </c>
      <c r="E4981" t="s">
        <v>27867</v>
      </c>
    </row>
    <row r="4982" spans="1:5">
      <c r="A4982" t="s">
        <v>6</v>
      </c>
      <c r="B4982" t="s">
        <v>4987</v>
      </c>
      <c r="C4982">
        <f>HYPERLINK("C:\Users\franc\OneDrive\Documentos\MALENTIN KARIME\PROTOCOLIZACION\CLUB DE RODEO 15 JULIO.doc", "Abrir Documento")</f>
        <v>0</v>
      </c>
      <c r="D4982" t="s">
        <v>23500</v>
      </c>
      <c r="E4982" t="s">
        <v>27867</v>
      </c>
    </row>
    <row r="4983" spans="1:5">
      <c r="A4983" t="s">
        <v>6</v>
      </c>
      <c r="B4983" t="s">
        <v>4988</v>
      </c>
      <c r="C4983">
        <f>HYPERLINK("C:\Users\franc\OneDrive\Documentos\MALENTIN KARIME\PROTOCOLIZACION\CLAUDIA ORTIZ LEIVA drogas.doc", "Abrir Documento")</f>
        <v>0</v>
      </c>
      <c r="D4983" t="s">
        <v>23500</v>
      </c>
      <c r="E4983" t="s">
        <v>27868</v>
      </c>
    </row>
    <row r="4984" spans="1:5">
      <c r="A4984" t="s">
        <v>6</v>
      </c>
      <c r="B4984" t="s">
        <v>4989</v>
      </c>
      <c r="C4984">
        <f>HYPERLINK("C:\Users\franc\OneDrive\Documentos\MALENTIN KARIME\PROTOCOLIZACION\CLUB DE LEONES DE OVALLE 15 JULIO 13.doc", "Abrir Documento")</f>
        <v>0</v>
      </c>
      <c r="D4984" t="s">
        <v>23500</v>
      </c>
      <c r="E4984" t="s">
        <v>27868</v>
      </c>
    </row>
    <row r="4985" spans="1:5">
      <c r="A4985" t="s">
        <v>6</v>
      </c>
      <c r="B4985" t="s">
        <v>4990</v>
      </c>
      <c r="C4985">
        <f>HYPERLINK("C:\Users\franc\OneDrive\Documentos\MALENTIN KARIME\PROTOCOLIZACION\CIRO BERRIOS ROMERO  Propuesta.doc", "Abrir Documento")</f>
        <v>0</v>
      </c>
      <c r="D4985" t="s">
        <v>23500</v>
      </c>
      <c r="E4985" t="s">
        <v>27869</v>
      </c>
    </row>
    <row r="4986" spans="1:5">
      <c r="A4986" t="s">
        <v>6</v>
      </c>
      <c r="B4986" t="s">
        <v>4991</v>
      </c>
      <c r="C4986">
        <f>HYPERLINK("C:\Users\franc\OneDrive\Documentos\MALENTIN KARIME\PROTOCOLIZACION\CIRO BERRIOS  Propuesta.doc", "Abrir Documento")</f>
        <v>0</v>
      </c>
      <c r="D4986" t="s">
        <v>23500</v>
      </c>
      <c r="E4986" t="s">
        <v>27870</v>
      </c>
    </row>
    <row r="4987" spans="1:5">
      <c r="A4987" t="s">
        <v>6</v>
      </c>
      <c r="B4987" t="s">
        <v>4992</v>
      </c>
      <c r="C4987">
        <f>HYPERLINK("C:\Users\franc\OneDrive\Documentos\MALENTIN KARIME\PROTOCOLIZACION\CERMELO ZEPEDA Inventario.doc", "Abrir Documento")</f>
        <v>0</v>
      </c>
      <c r="D4987" t="s">
        <v>23500</v>
      </c>
      <c r="E4987" t="s">
        <v>27871</v>
      </c>
    </row>
    <row r="4988" spans="1:5">
      <c r="A4988" t="s">
        <v>6</v>
      </c>
      <c r="B4988" t="s">
        <v>4993</v>
      </c>
      <c r="C4988">
        <f>HYPERLINK("C:\Users\franc\OneDrive\Documentos\MALENTIN KARIME\PROTOCOLIZACION\CDAD INGA PICHASCA fs. 47 v.doc", "Abrir Documento")</f>
        <v>0</v>
      </c>
      <c r="D4988" t="s">
        <v>23500</v>
      </c>
      <c r="E4988" t="s">
        <v>27872</v>
      </c>
    </row>
    <row r="4989" spans="1:5">
      <c r="A4989" t="s">
        <v>6</v>
      </c>
      <c r="B4989" t="s">
        <v>4994</v>
      </c>
      <c r="C4989">
        <f>HYPERLINK("C:\Users\franc\OneDrive\Documentos\MALENTIN KARIME\PROTOCOLIZACION\CDAD INGA PICHASCA.doc", "Abrir Documento")</f>
        <v>0</v>
      </c>
      <c r="D4989" t="s">
        <v>23500</v>
      </c>
      <c r="E4989" t="s">
        <v>27872</v>
      </c>
    </row>
    <row r="4990" spans="1:5">
      <c r="A4990" t="s">
        <v>6</v>
      </c>
      <c r="B4990" t="s">
        <v>4995</v>
      </c>
      <c r="C4990">
        <f>HYPERLINK("C:\Users\franc\OneDrive\Documentos\MALENTIN KARIME\PROTOCOLIZACION\CDAD EL POTRERO DE HUATULAME.doc", "Abrir Documento")</f>
        <v>0</v>
      </c>
      <c r="D4990" t="s">
        <v>23500</v>
      </c>
      <c r="E4990" t="s">
        <v>27873</v>
      </c>
    </row>
    <row r="4991" spans="1:5">
      <c r="A4991" t="s">
        <v>6</v>
      </c>
      <c r="B4991" t="s">
        <v>4996</v>
      </c>
      <c r="C4991">
        <f>HYPERLINK("C:\Users\franc\OneDrive\Documentos\MALENTIN KARIME\PROTOCOLIZACION\CDAD AGUAS CANAL PUNTILLA SAN JUAN.doc", "Abrir Documento")</f>
        <v>0</v>
      </c>
      <c r="D4991" t="s">
        <v>23500</v>
      </c>
      <c r="E4991" t="s">
        <v>27874</v>
      </c>
    </row>
    <row r="4992" spans="1:5">
      <c r="A4992" t="s">
        <v>6</v>
      </c>
      <c r="B4992" t="s">
        <v>4997</v>
      </c>
      <c r="C4992">
        <f>HYPERLINK("C:\Users\franc\OneDrive\Documentos\MALENTIN KARIME\PROTOCOLIZACION\CDAD AGUAS CANAL ROMERAL.doc", "Abrir Documento")</f>
        <v>0</v>
      </c>
      <c r="D4992" t="s">
        <v>23500</v>
      </c>
      <c r="E4992" t="s">
        <v>27874</v>
      </c>
    </row>
    <row r="4993" spans="1:5">
      <c r="A4993" t="s">
        <v>6</v>
      </c>
      <c r="B4993" t="s">
        <v>4998</v>
      </c>
      <c r="C4993">
        <f>HYPERLINK("C:\Users\franc\OneDrive\Documentos\MALENTIN KARIME\PROTOCOLIZACION\CDAD AGRICOLA EL POTRERO DE HUATULAME.doc", "Abrir Documento")</f>
        <v>0</v>
      </c>
      <c r="D4993" t="s">
        <v>23500</v>
      </c>
      <c r="E4993" t="s">
        <v>27875</v>
      </c>
    </row>
    <row r="4994" spans="1:5">
      <c r="A4994" t="s">
        <v>6</v>
      </c>
      <c r="B4994" t="s">
        <v>4999</v>
      </c>
      <c r="C4994">
        <f>HYPERLINK("C:\Users\franc\OneDrive\Documentos\MALENTIN KARIME\PROTOCOLIZACION\CDAD AGRICOLA LA RINCONADA.doc", "Abrir Documento")</f>
        <v>0</v>
      </c>
      <c r="D4994" t="s">
        <v>23500</v>
      </c>
      <c r="E4994" t="s">
        <v>27875</v>
      </c>
    </row>
    <row r="4995" spans="1:5">
      <c r="A4995" t="s">
        <v>6</v>
      </c>
      <c r="B4995" t="s">
        <v>5000</v>
      </c>
      <c r="C4995">
        <f>HYPERLINK("C:\Users\franc\OneDrive\Documentos\MALENTIN KARIME\PROTOCOLIZACION\CDAD AGRICOLA EL POTRERO DE HUATULAME fs.37.doc", "Abrir Documento")</f>
        <v>0</v>
      </c>
      <c r="D4995" t="s">
        <v>23500</v>
      </c>
      <c r="E4995" t="s">
        <v>27876</v>
      </c>
    </row>
    <row r="4996" spans="1:5">
      <c r="A4996" t="s">
        <v>6</v>
      </c>
      <c r="B4996" t="s">
        <v>5001</v>
      </c>
      <c r="C4996">
        <f>HYPERLINK("C:\Users\franc\OneDrive\Documentos\MALENTIN KARIME\PROTOCOLIZACION\CDAD AGRICOLA CARRIZAL Y LAGUNA DE SERON.doc", "Abrir Documento")</f>
        <v>0</v>
      </c>
      <c r="D4996" t="s">
        <v>23500</v>
      </c>
      <c r="E4996" t="s">
        <v>27877</v>
      </c>
    </row>
    <row r="4997" spans="1:5">
      <c r="A4997" t="s">
        <v>6</v>
      </c>
      <c r="B4997" t="s">
        <v>5002</v>
      </c>
      <c r="C4997">
        <f>HYPERLINK("C:\Users\franc\OneDrive\Documentos\MALENTIN KARIME\PROTOCOLIZACION\CDAD AGRICOLA EL POTRERO DE HUATULAME fs 26 vta..doc", "Abrir Documento")</f>
        <v>0</v>
      </c>
      <c r="D4997" t="s">
        <v>23500</v>
      </c>
      <c r="E4997" t="s">
        <v>27877</v>
      </c>
    </row>
    <row r="4998" spans="1:5">
      <c r="A4998" t="s">
        <v>6</v>
      </c>
      <c r="B4998" t="s">
        <v>5003</v>
      </c>
      <c r="C4998">
        <f>HYPERLINK("C:\Users\franc\OneDrive\Documentos\MALENTIN KARIME\PROTOCOLIZACION\CAROLINA ROJAS drogas.doc", "Abrir Documento")</f>
        <v>0</v>
      </c>
      <c r="D4998" t="s">
        <v>23500</v>
      </c>
      <c r="E4998" t="s">
        <v>27878</v>
      </c>
    </row>
    <row r="4999" spans="1:5">
      <c r="A4999" t="s">
        <v>6</v>
      </c>
      <c r="B4999" t="s">
        <v>5004</v>
      </c>
      <c r="C4999">
        <f>HYPERLINK("C:\Users\franc\OneDrive\Documentos\MALENTIN KARIME\PROTOCOLIZACION\CARLOS MANRIQUEZ Propuesta.doc", "Abrir Documento")</f>
        <v>0</v>
      </c>
      <c r="D4999" t="s">
        <v>23500</v>
      </c>
      <c r="E4999" t="s">
        <v>27879</v>
      </c>
    </row>
    <row r="5000" spans="1:5">
      <c r="A5000" t="s">
        <v>6</v>
      </c>
      <c r="B5000" t="s">
        <v>5005</v>
      </c>
      <c r="C5000">
        <f>HYPERLINK("C:\Users\franc\OneDrive\Documentos\MALENTIN KARIME\PROTOCOLIZACION\CANAL VECINDARI GRANDE LA CHIMBA.doc", "Abrir Documento")</f>
        <v>0</v>
      </c>
      <c r="D5000" t="s">
        <v>23500</v>
      </c>
      <c r="E5000" t="s">
        <v>27880</v>
      </c>
    </row>
    <row r="5001" spans="1:5">
      <c r="A5001" t="s">
        <v>6</v>
      </c>
      <c r="B5001" t="s">
        <v>5006</v>
      </c>
      <c r="C5001">
        <f>HYPERLINK("C:\Users\franc\OneDrive\Documentos\MALENTIN KARIME\PROTOCOLIZACION\CANTUARIAS Propuesta.doc", "Abrir Documento")</f>
        <v>0</v>
      </c>
      <c r="D5001" t="s">
        <v>23500</v>
      </c>
      <c r="E5001" t="s">
        <v>27880</v>
      </c>
    </row>
    <row r="5002" spans="1:5">
      <c r="A5002" t="s">
        <v>6</v>
      </c>
      <c r="B5002" t="s">
        <v>5007</v>
      </c>
      <c r="C5002">
        <f>HYPERLINK("C:\Users\franc\OneDrive\Documentos\MALENTIN KARIME\PROTOCOLIZACION\BONIFICIO IBACACHE Inventario.doc", "Abrir Documento")</f>
        <v>0</v>
      </c>
      <c r="D5002" t="s">
        <v>23500</v>
      </c>
      <c r="E5002" t="s">
        <v>27881</v>
      </c>
    </row>
    <row r="5003" spans="1:5">
      <c r="A5003" t="s">
        <v>6</v>
      </c>
      <c r="B5003" t="s">
        <v>5008</v>
      </c>
      <c r="C5003">
        <f>HYPERLINK("C:\Users\franc\OneDrive\Documentos\MALENTIN KARIME\PROTOCOLIZACION\CANAL CHAÑARAL DE CAREN.doc", "Abrir Documento")</f>
        <v>0</v>
      </c>
      <c r="D5003" t="s">
        <v>23500</v>
      </c>
      <c r="E5003" t="s">
        <v>27881</v>
      </c>
    </row>
    <row r="5004" spans="1:5">
      <c r="A5004" t="s">
        <v>6</v>
      </c>
      <c r="B5004" t="s">
        <v>5009</v>
      </c>
      <c r="C5004">
        <f>HYPERLINK("C:\Users\franc\OneDrive\Documentos\MALENTIN KARIME\PROTOCOLIZACION\Autorizo la firma de PROTEC.doc", "Abrir Documento")</f>
        <v>0</v>
      </c>
      <c r="D5004" t="s">
        <v>23500</v>
      </c>
      <c r="E5004" t="s">
        <v>27882</v>
      </c>
    </row>
    <row r="5005" spans="1:5">
      <c r="A5005" t="s">
        <v>6</v>
      </c>
      <c r="B5005" t="s">
        <v>5010</v>
      </c>
      <c r="C5005">
        <f>HYPERLINK("C:\Users\franc\OneDrive\Documentos\MALENTIN KARIME\PROTOCOLIZACION\BOMBEROS 2 CIA..doc", "Abrir Documento")</f>
        <v>0</v>
      </c>
      <c r="D5005" t="s">
        <v>23500</v>
      </c>
      <c r="E5005" t="s">
        <v>27882</v>
      </c>
    </row>
    <row r="5006" spans="1:5">
      <c r="A5006" t="s">
        <v>6</v>
      </c>
      <c r="B5006" t="s">
        <v>5011</v>
      </c>
      <c r="C5006">
        <f>HYPERLINK("C:\Users\franc\OneDrive\Documentos\MALENTIN KARIME\PROTOCOLIZACION\Autorizo la firma de don RUBEN ANTONIO SIERRA SIERRA.doc", "Abrir Documento")</f>
        <v>0</v>
      </c>
      <c r="D5006" t="s">
        <v>23500</v>
      </c>
      <c r="E5006" t="s">
        <v>27883</v>
      </c>
    </row>
    <row r="5007" spans="1:5">
      <c r="A5007" t="s">
        <v>6</v>
      </c>
      <c r="B5007" t="s">
        <v>5012</v>
      </c>
      <c r="C5007">
        <f>HYPERLINK("C:\Users\franc\OneDrive\Documentos\MALENTIN KARIME\PROTOCOLIZACION\Autorizo la firma de don RAUL CAMPAÑA PIZARRO Tasui.doc", "Abrir Documento")</f>
        <v>0</v>
      </c>
      <c r="D5007" t="s">
        <v>23500</v>
      </c>
      <c r="E5007" t="s">
        <v>27884</v>
      </c>
    </row>
    <row r="5008" spans="1:5">
      <c r="A5008" t="s">
        <v>6</v>
      </c>
      <c r="B5008" t="s">
        <v>5013</v>
      </c>
      <c r="C5008">
        <f>HYPERLINK("C:\Users\franc\OneDrive\Documentos\MALENTIN KARIME\PROTOCOLIZACION\Autorizo la firma de don ROBERTO ENRIQUE VEGA ALCAYAGA.doc", "Abrir Documento")</f>
        <v>0</v>
      </c>
      <c r="D5008" t="s">
        <v>23500</v>
      </c>
      <c r="E5008" t="s">
        <v>27884</v>
      </c>
    </row>
    <row r="5009" spans="1:5">
      <c r="A5009" t="s">
        <v>6</v>
      </c>
      <c r="B5009" t="s">
        <v>5014</v>
      </c>
      <c r="C5009">
        <f>HYPERLINK("C:\Users\franc\OneDrive\Documentos\MALENTIN KARIME\PROTOCOLIZACION\Autorizo la firma de don MAURICIO DI PEDE MARTIN.doc", "Abrir Documento")</f>
        <v>0</v>
      </c>
      <c r="D5009" t="s">
        <v>23500</v>
      </c>
      <c r="E5009" t="s">
        <v>27885</v>
      </c>
    </row>
    <row r="5010" spans="1:5">
      <c r="A5010" t="s">
        <v>6</v>
      </c>
      <c r="B5010" t="s">
        <v>5015</v>
      </c>
      <c r="C5010">
        <f>HYPERLINK("C:\Users\franc\OneDrive\Documentos\MALENTIN KARIME\PROTOCOLIZACION\Autorizo la firma de don MAURICIO DI PEDE MARTIN POLIDEPORTIVO.doc", "Abrir Documento")</f>
        <v>0</v>
      </c>
      <c r="D5010" t="s">
        <v>23500</v>
      </c>
      <c r="E5010" t="s">
        <v>27886</v>
      </c>
    </row>
    <row r="5011" spans="1:5">
      <c r="A5011" t="s">
        <v>6</v>
      </c>
      <c r="B5011" t="s">
        <v>5016</v>
      </c>
      <c r="C5011">
        <f>HYPERLINK("C:\Users\franc\OneDrive\Documentos\MALENTIN KARIME\PROTOCOLIZACION\Autorizo la firma de don DIEGO CORTES DIAZ.doc", "Abrir Documento")</f>
        <v>0</v>
      </c>
      <c r="D5011" t="s">
        <v>23500</v>
      </c>
      <c r="E5011" t="s">
        <v>27887</v>
      </c>
    </row>
    <row r="5012" spans="1:5">
      <c r="A5012" t="s">
        <v>6</v>
      </c>
      <c r="B5012" t="s">
        <v>5017</v>
      </c>
      <c r="C5012">
        <f>HYPERLINK("C:\Users\franc\OneDrive\Documentos\MALENTIN KARIME\PROTOCOLIZACION\Autorizo la firma de don EDUARDO LOPEZ.doc", "Abrir Documento")</f>
        <v>0</v>
      </c>
      <c r="D5012" t="s">
        <v>23500</v>
      </c>
      <c r="E5012" t="s">
        <v>27887</v>
      </c>
    </row>
    <row r="5013" spans="1:5">
      <c r="A5013" t="s">
        <v>6</v>
      </c>
      <c r="B5013" t="s">
        <v>5018</v>
      </c>
      <c r="C5013">
        <f>HYPERLINK("C:\Users\franc\OneDrive\Documentos\MALENTIN KARIME\PROTOCOLIZACION\Autorizo la firma de don ARTURO ENRIQUE FORNO RAMIREZ.doc", "Abrir Documento")</f>
        <v>0</v>
      </c>
      <c r="D5013" t="s">
        <v>23500</v>
      </c>
      <c r="E5013" t="s">
        <v>27888</v>
      </c>
    </row>
    <row r="5014" spans="1:5">
      <c r="A5014" t="s">
        <v>6</v>
      </c>
      <c r="B5014" t="s">
        <v>5019</v>
      </c>
      <c r="C5014">
        <f>HYPERLINK("C:\Users\franc\OneDrive\Documentos\MALENTIN KARIME\PROTOCOLIZACION\Autorizo la firma de don CIRO BERRIOS.doc", "Abrir Documento")</f>
        <v>0</v>
      </c>
      <c r="D5014" t="s">
        <v>23500</v>
      </c>
      <c r="E5014" t="s">
        <v>27888</v>
      </c>
    </row>
    <row r="5015" spans="1:5">
      <c r="A5015" t="s">
        <v>6</v>
      </c>
      <c r="B5015" t="s">
        <v>5020</v>
      </c>
      <c r="C5015">
        <f>HYPERLINK("C:\Users\franc\OneDrive\Documentos\MALENTIN KARIME\PROTOCOLIZACION\Autorizo la firma de concesion puesto.doc", "Abrir Documento")</f>
        <v>0</v>
      </c>
      <c r="D5015" t="s">
        <v>23500</v>
      </c>
      <c r="E5015" t="s">
        <v>27889</v>
      </c>
    </row>
    <row r="5016" spans="1:5">
      <c r="A5016" t="s">
        <v>6</v>
      </c>
      <c r="B5016" t="s">
        <v>5021</v>
      </c>
      <c r="C5016">
        <f>HYPERLINK("C:\Users\franc\OneDrive\Documentos\MALENTIN KARIME\PROTOCOLIZACION\Autorizo la firma de don ALVARO FELIPE  MERCANDAL GONZALEZ.doc", "Abrir Documento")</f>
        <v>0</v>
      </c>
      <c r="D5016" t="s">
        <v>23500</v>
      </c>
      <c r="E5016" t="s">
        <v>27889</v>
      </c>
    </row>
    <row r="5017" spans="1:5">
      <c r="A5017" t="s">
        <v>6</v>
      </c>
      <c r="B5017" t="s">
        <v>5022</v>
      </c>
      <c r="C5017">
        <f>HYPERLINK("C:\Users\franc\OneDrive\Documentos\MALENTIN KARIME\PROTOCOLIZACION\autorizacion legajo.doc", "Abrir Documento")</f>
        <v>0</v>
      </c>
      <c r="D5017" t="s">
        <v>23500</v>
      </c>
      <c r="E5017" t="s">
        <v>27890</v>
      </c>
    </row>
    <row r="5018" spans="1:5">
      <c r="A5018" t="s">
        <v>6</v>
      </c>
      <c r="B5018" t="s">
        <v>5023</v>
      </c>
      <c r="C5018">
        <f>HYPERLINK("C:\Users\franc\OneDrive\Documentos\MALENTIN KARIME\PROTOCOLIZACION\autorizacion.doc", "Abrir Documento")</f>
        <v>0</v>
      </c>
      <c r="D5018" t="s">
        <v>23500</v>
      </c>
      <c r="E5018" t="s">
        <v>27890</v>
      </c>
    </row>
    <row r="5019" spans="1:5">
      <c r="A5019" t="s">
        <v>6</v>
      </c>
      <c r="B5019" t="s">
        <v>5024</v>
      </c>
      <c r="C5019">
        <f>HYPERLINK("C:\Users\franc\OneDrive\Documentos\MALENTIN KARIME\PROTOCOLIZACION\autorizacion horizontal PROTO.doc", "Abrir Documento")</f>
        <v>0</v>
      </c>
      <c r="D5019" t="s">
        <v>23500</v>
      </c>
      <c r="E5019" t="s">
        <v>27891</v>
      </c>
    </row>
    <row r="5020" spans="1:5">
      <c r="A5020" t="s">
        <v>6</v>
      </c>
      <c r="B5020" t="s">
        <v>5025</v>
      </c>
      <c r="C5020">
        <f>HYPERLINK("C:\Users\franc\OneDrive\Documentos\MALENTIN KARIME\PROTOCOLIZACION\autorizacion horizontal.doc", "Abrir Documento")</f>
        <v>0</v>
      </c>
      <c r="D5020" t="s">
        <v>23500</v>
      </c>
      <c r="E5020" t="s">
        <v>27891</v>
      </c>
    </row>
    <row r="5021" spans="1:5">
      <c r="A5021" t="s">
        <v>6</v>
      </c>
      <c r="B5021" t="s">
        <v>5026</v>
      </c>
      <c r="C5021">
        <f>HYPERLINK("C:\Users\franc\OneDrive\Documentos\MALENTIN KARIME\PROTOCOLIZACION\autorizacion hojas sueltas.doc", "Abrir Documento")</f>
        <v>0</v>
      </c>
      <c r="D5021" t="s">
        <v>23500</v>
      </c>
      <c r="E5021" t="s">
        <v>27892</v>
      </c>
    </row>
    <row r="5022" spans="1:5">
      <c r="A5022" t="s">
        <v>6</v>
      </c>
      <c r="B5022" t="s">
        <v>5027</v>
      </c>
      <c r="C5022">
        <f>HYPERLINK("C:\Users\franc\OneDrive\Documentos\MALENTIN KARIME\PROTOCOLIZACION\autorizacion hojas sueltas protocolizado.doc", "Abrir Documento")</f>
        <v>0</v>
      </c>
      <c r="D5022" t="s">
        <v>23500</v>
      </c>
      <c r="E5022" t="s">
        <v>27893</v>
      </c>
    </row>
    <row r="5023" spans="1:5">
      <c r="A5023" t="s">
        <v>6</v>
      </c>
      <c r="B5023" t="s">
        <v>5028</v>
      </c>
      <c r="C5023">
        <f>HYPERLINK("C:\Users\franc\OneDrive\Documentos\MALENTIN KARIME\PROTOCOLIZACION\ASOCIACION NACIONAL PENSIONADOS.doc", "Abrir Documento")</f>
        <v>0</v>
      </c>
      <c r="D5023" t="s">
        <v>23500</v>
      </c>
      <c r="E5023" t="s">
        <v>27894</v>
      </c>
    </row>
    <row r="5024" spans="1:5">
      <c r="A5024" t="s">
        <v>6</v>
      </c>
      <c r="B5024" t="s">
        <v>5029</v>
      </c>
      <c r="C5024">
        <f>HYPERLINK("C:\Users\franc\OneDrive\Documentos\MALENTIN KARIME\PROTOCOLIZACION\ASOCIACION NACIONAL PENSIONADOS directiva.doc", "Abrir Documento")</f>
        <v>0</v>
      </c>
      <c r="D5024" t="s">
        <v>23500</v>
      </c>
      <c r="E5024" t="s">
        <v>27895</v>
      </c>
    </row>
    <row r="5025" spans="1:5">
      <c r="A5025" t="s">
        <v>6</v>
      </c>
      <c r="B5025" t="s">
        <v>5030</v>
      </c>
      <c r="C5025">
        <f>HYPERLINK("C:\Users\franc\OneDrive\Documentos\MALENTIN KARIME\PROTOCOLIZACION\ASOC. GREMIAL MINERA PUNITAQUI estatutos.doc", "Abrir Documento")</f>
        <v>0</v>
      </c>
      <c r="D5025" t="s">
        <v>23500</v>
      </c>
      <c r="E5025" t="s">
        <v>27896</v>
      </c>
    </row>
    <row r="5026" spans="1:5">
      <c r="A5026" t="s">
        <v>6</v>
      </c>
      <c r="B5026" t="s">
        <v>5031</v>
      </c>
      <c r="C5026">
        <f>HYPERLINK("C:\Users\franc\OneDrive\Documentos\MALENTIN KARIME\PROTOCOLIZACION\ASOC. GREMIAL MINERA PUNITAQUI.doc", "Abrir Documento")</f>
        <v>0</v>
      </c>
      <c r="D5026" t="s">
        <v>23500</v>
      </c>
      <c r="E5026" t="s">
        <v>27896</v>
      </c>
    </row>
    <row r="5027" spans="1:5">
      <c r="A5027" t="s">
        <v>6</v>
      </c>
      <c r="B5027" t="s">
        <v>5032</v>
      </c>
      <c r="C5027">
        <f>HYPERLINK("C:\Users\franc\OneDrive\Documentos\MALENTIN KARIME\PROTOCOLIZACION\APR VILLA SECA.doc", "Abrir Documento")</f>
        <v>0</v>
      </c>
      <c r="D5027" t="s">
        <v>23500</v>
      </c>
      <c r="E5027" t="s">
        <v>27897</v>
      </c>
    </row>
    <row r="5028" spans="1:5">
      <c r="A5028" t="s">
        <v>6</v>
      </c>
      <c r="B5028" t="s">
        <v>5033</v>
      </c>
      <c r="C5028">
        <f>HYPERLINK("C:\Users\franc\OneDrive\Documentos\MALENTIN KARIME\PROTOCOLIZACION\APR SAN MARCOS  Fs 54.doc", "Abrir Documento")</f>
        <v>0</v>
      </c>
      <c r="D5028" t="s">
        <v>23500</v>
      </c>
      <c r="E5028" t="s">
        <v>27898</v>
      </c>
    </row>
    <row r="5029" spans="1:5">
      <c r="A5029" t="s">
        <v>6</v>
      </c>
      <c r="B5029" t="s">
        <v>5034</v>
      </c>
      <c r="C5029">
        <f>HYPERLINK("C:\Users\franc\OneDrive\Documentos\MALENTIN KARIME\PROTOCOLIZACION\APR SAN MARCOS.doc", "Abrir Documento")</f>
        <v>0</v>
      </c>
      <c r="D5029" t="s">
        <v>23500</v>
      </c>
      <c r="E5029" t="s">
        <v>27898</v>
      </c>
    </row>
    <row r="5030" spans="1:5">
      <c r="A5030" t="s">
        <v>6</v>
      </c>
      <c r="B5030" t="s">
        <v>5035</v>
      </c>
      <c r="C5030">
        <f>HYPERLINK("C:\Users\franc\OneDrive\Documentos\MALENTIN KARIME\PROTOCOLIZACION\APR SAN MARCOS  Fs 51 vta..doc", "Abrir Documento")</f>
        <v>0</v>
      </c>
      <c r="D5030" t="s">
        <v>23500</v>
      </c>
      <c r="E5030" t="s">
        <v>27899</v>
      </c>
    </row>
    <row r="5031" spans="1:5">
      <c r="A5031" t="s">
        <v>6</v>
      </c>
      <c r="B5031" t="s">
        <v>5036</v>
      </c>
      <c r="C5031">
        <f>HYPERLINK("C:\Users\franc\OneDrive\Documentos\MALENTIN KARIME\PROTOCOLIZACION\APR SAN MARCOS  Fs 52.doc", "Abrir Documento")</f>
        <v>0</v>
      </c>
      <c r="D5031" t="s">
        <v>23500</v>
      </c>
      <c r="E5031" t="s">
        <v>27899</v>
      </c>
    </row>
    <row r="5032" spans="1:5">
      <c r="A5032" t="s">
        <v>6</v>
      </c>
      <c r="B5032" t="s">
        <v>5037</v>
      </c>
      <c r="C5032">
        <f>HYPERLINK("C:\Users\franc\OneDrive\Documentos\MALENTIN KARIME\PROTOCOLIZACION\APR SAN MARCOS  Fs 49.doc", "Abrir Documento")</f>
        <v>0</v>
      </c>
      <c r="D5032" t="s">
        <v>23500</v>
      </c>
      <c r="E5032" t="s">
        <v>27900</v>
      </c>
    </row>
    <row r="5033" spans="1:5">
      <c r="A5033" t="s">
        <v>6</v>
      </c>
      <c r="B5033" t="s">
        <v>5038</v>
      </c>
      <c r="C5033">
        <f>HYPERLINK("C:\Users\franc\OneDrive\Documentos\MALENTIN KARIME\PROTOCOLIZACION\APR SAN MARCOS  Fs 47+.doc", "Abrir Documento")</f>
        <v>0</v>
      </c>
      <c r="D5033" t="s">
        <v>23500</v>
      </c>
      <c r="E5033" t="s">
        <v>27901</v>
      </c>
    </row>
    <row r="5034" spans="1:5">
      <c r="A5034" t="s">
        <v>6</v>
      </c>
      <c r="B5034" t="s">
        <v>5039</v>
      </c>
      <c r="C5034">
        <f>HYPERLINK("C:\Users\franc\OneDrive\Documentos\MALENTIN KARIME\PROTOCOLIZACION\APR SAN MARCOS  Fs 44 vta..doc", "Abrir Documento")</f>
        <v>0</v>
      </c>
      <c r="D5034" t="s">
        <v>23500</v>
      </c>
      <c r="E5034" t="s">
        <v>27902</v>
      </c>
    </row>
    <row r="5035" spans="1:5">
      <c r="A5035" t="s">
        <v>6</v>
      </c>
      <c r="B5035" t="s">
        <v>5040</v>
      </c>
      <c r="C5035">
        <f>HYPERLINK("C:\Users\franc\OneDrive\Documentos\MALENTIN KARIME\PROTOCOLIZACION\APR SAN MARCOS  Fs 47 vta..doc", "Abrir Documento")</f>
        <v>0</v>
      </c>
      <c r="D5035" t="s">
        <v>23500</v>
      </c>
      <c r="E5035" t="s">
        <v>27902</v>
      </c>
    </row>
    <row r="5036" spans="1:5">
      <c r="A5036" t="s">
        <v>6</v>
      </c>
      <c r="B5036" t="s">
        <v>5041</v>
      </c>
      <c r="C5036">
        <f>HYPERLINK("C:\Users\franc\OneDrive\Documentos\MALENTIN KARIME\PROTOCOLIZACION\APR LA RINCONADA.doc", "Abrir Documento")</f>
        <v>0</v>
      </c>
      <c r="D5036" t="s">
        <v>23500</v>
      </c>
      <c r="E5036" t="s">
        <v>27903</v>
      </c>
    </row>
    <row r="5037" spans="1:5">
      <c r="A5037" t="s">
        <v>6</v>
      </c>
      <c r="B5037" t="s">
        <v>5042</v>
      </c>
      <c r="C5037">
        <f>HYPERLINK("C:\Users\franc\OneDrive\Documentos\MALENTIN KARIME\PROTOCOLIZACION\APR SAN MARCOS  Fs 1.doc", "Abrir Documento")</f>
        <v>0</v>
      </c>
      <c r="D5037" t="s">
        <v>23500</v>
      </c>
      <c r="E5037" t="s">
        <v>27903</v>
      </c>
    </row>
    <row r="5038" spans="1:5">
      <c r="A5038" t="s">
        <v>6</v>
      </c>
      <c r="B5038" t="s">
        <v>5043</v>
      </c>
      <c r="C5038">
        <f>HYPERLINK("C:\Users\franc\OneDrive\Documentos\MALENTIN KARIME\PROTOCOLIZACION\APR SAN MARCOS  Fs 43.doc", "Abrir Documento")</f>
        <v>0</v>
      </c>
      <c r="D5038" t="s">
        <v>23500</v>
      </c>
      <c r="E5038" t="s">
        <v>27903</v>
      </c>
    </row>
    <row r="5039" spans="1:5">
      <c r="A5039" t="s">
        <v>6</v>
      </c>
      <c r="B5039" t="s">
        <v>5044</v>
      </c>
      <c r="C5039">
        <f>HYPERLINK("C:\Users\franc\OneDrive\Documentos\MALENTIN KARIME\PROTOCOLIZACION\APR CERRILLOS DE TAMAYA.doc", "Abrir Documento")</f>
        <v>0</v>
      </c>
      <c r="D5039" t="s">
        <v>23500</v>
      </c>
      <c r="E5039" t="s">
        <v>27904</v>
      </c>
    </row>
    <row r="5040" spans="1:5">
      <c r="A5040" t="s">
        <v>6</v>
      </c>
      <c r="B5040" t="s">
        <v>5045</v>
      </c>
      <c r="C5040">
        <f>HYPERLINK("C:\Users\franc\OneDrive\Documentos\MALENTIN KARIME\PROTOCOLIZACION\APR HUATULAME.doc", "Abrir Documento")</f>
        <v>0</v>
      </c>
      <c r="D5040" t="s">
        <v>23500</v>
      </c>
      <c r="E5040" t="s">
        <v>27904</v>
      </c>
    </row>
    <row r="5041" spans="1:5">
      <c r="A5041" t="s">
        <v>6</v>
      </c>
      <c r="B5041" t="s">
        <v>5046</v>
      </c>
      <c r="C5041">
        <f>HYPERLINK("C:\Users\franc\OneDrive\Documentos\MALENTIN KARIME\PROTOCOLIZACION\ANA ELIZABETH Inventario.doc", "Abrir Documento")</f>
        <v>0</v>
      </c>
      <c r="D5041" t="s">
        <v>23500</v>
      </c>
      <c r="E5041" t="s">
        <v>27905</v>
      </c>
    </row>
    <row r="5042" spans="1:5">
      <c r="A5042" t="s">
        <v>6</v>
      </c>
      <c r="B5042" t="s">
        <v>5047</v>
      </c>
      <c r="C5042">
        <f>HYPERLINK("C:\Users\franc\OneDrive\Documentos\MALENTIN KARIME\PROTOCOLIZACION\AMELIA MIRANDA ROJAS.doc", "Abrir Documento")</f>
        <v>0</v>
      </c>
      <c r="D5042" t="s">
        <v>23500</v>
      </c>
      <c r="E5042" t="s">
        <v>27906</v>
      </c>
    </row>
    <row r="5043" spans="1:5">
      <c r="A5043" t="s">
        <v>6</v>
      </c>
      <c r="B5043" t="s">
        <v>5048</v>
      </c>
      <c r="C5043">
        <f>HYPERLINK("C:\Users\franc\OneDrive\Documentos\MALENTIN KARIME\PROTOCOLIZACION\ALEJANDRA QUIROGA  Propuesta.doc", "Abrir Documento")</f>
        <v>0</v>
      </c>
      <c r="D5043" t="s">
        <v>23500</v>
      </c>
      <c r="E5043" t="s">
        <v>27907</v>
      </c>
    </row>
    <row r="5044" spans="1:5">
      <c r="A5044" t="s">
        <v>6</v>
      </c>
      <c r="B5044" t="s">
        <v>5049</v>
      </c>
      <c r="C5044">
        <f>HYPERLINK("C:\Users\franc\OneDrive\Documentos\MALENTIN KARIME\PROTOCOLIZACION\4cv inversiones ltda..doc", "Abrir Documento")</f>
        <v>0</v>
      </c>
      <c r="D5044" t="s">
        <v>23500</v>
      </c>
      <c r="E5044" t="s">
        <v>27908</v>
      </c>
    </row>
    <row r="5045" spans="1:5">
      <c r="A5045" t="s">
        <v>6</v>
      </c>
      <c r="B5045" t="s">
        <v>5050</v>
      </c>
      <c r="C5045">
        <f>HYPERLINK("C:\Users\franc\OneDrive\Documentos\MALENTIN KARIME\PROTOCOLIZACION\ALBA GUERRERO Drogas.doc", "Abrir Documento")</f>
        <v>0</v>
      </c>
      <c r="D5045" t="s">
        <v>23500</v>
      </c>
      <c r="E5045" t="s">
        <v>27908</v>
      </c>
    </row>
    <row r="5046" spans="1:5">
      <c r="A5046" t="s">
        <v>6</v>
      </c>
      <c r="B5046" t="s">
        <v>5051</v>
      </c>
      <c r="C5046">
        <f>HYPERLINK("C:\Users\franc\OneDrive\Documentos\MALENTIN KARIME\PROMESAS\2021\SERGIO OSSANDON VALDIVIA Y MARIA CASANGA Minuta.doc", "Abrir Documento")</f>
        <v>0</v>
      </c>
      <c r="D5046" t="s">
        <v>23500</v>
      </c>
      <c r="E5046" t="s">
        <v>27909</v>
      </c>
    </row>
    <row r="5047" spans="1:5">
      <c r="A5047" t="s">
        <v>6</v>
      </c>
      <c r="B5047" t="s">
        <v>5052</v>
      </c>
      <c r="C5047">
        <f>HYPERLINK("C:\Users\franc\OneDrive\Documentos\MALENTIN KARIME\PROMESAS\2021\VIVIANA ARAYA A ELIAS CERDA Y OTRO A-5.doc", "Abrir Documento")</f>
        <v>0</v>
      </c>
      <c r="D5047" t="s">
        <v>23500</v>
      </c>
      <c r="E5047" t="s">
        <v>27909</v>
      </c>
    </row>
    <row r="5048" spans="1:5">
      <c r="A5048" t="s">
        <v>6</v>
      </c>
      <c r="B5048" t="s">
        <v>5053</v>
      </c>
      <c r="C5048">
        <f>HYPERLINK("C:\Users\franc\OneDrive\Documentos\MALENTIN KARIME\PROTOCOLIZACION\4cv inversiones ltda PROP 74-2011.doc", "Abrir Documento")</f>
        <v>0</v>
      </c>
      <c r="D5048" t="s">
        <v>23500</v>
      </c>
      <c r="E5048" t="s">
        <v>27909</v>
      </c>
    </row>
    <row r="5049" spans="1:5">
      <c r="A5049" t="s">
        <v>6</v>
      </c>
      <c r="B5049" t="s">
        <v>5054</v>
      </c>
      <c r="C5049">
        <f>HYPERLINK("C:\Users\franc\OneDrive\Documentos\MALENTIN KARIME\PROMESAS\2021\HECTOR VELOZO A ROSANI ARAYA LT A 15.doc", "Abrir Documento")</f>
        <v>0</v>
      </c>
      <c r="D5049" t="s">
        <v>23500</v>
      </c>
      <c r="E5049" t="s">
        <v>27910</v>
      </c>
    </row>
    <row r="5050" spans="1:5">
      <c r="A5050" t="s">
        <v>6</v>
      </c>
      <c r="B5050" t="s">
        <v>5055</v>
      </c>
      <c r="C5050">
        <f>HYPERLINK("C:\Users\franc\OneDrive\Documentos\MALENTIN KARIME\PROMESAS\2021\LEO DAN CASTILLO Minuta.doc", "Abrir Documento")</f>
        <v>0</v>
      </c>
      <c r="D5050" t="s">
        <v>23500</v>
      </c>
      <c r="E5050" t="s">
        <v>27910</v>
      </c>
    </row>
    <row r="5051" spans="1:5">
      <c r="A5051" t="s">
        <v>6</v>
      </c>
      <c r="B5051" t="s">
        <v>5056</v>
      </c>
      <c r="C5051">
        <f>HYPERLINK("C:\Users\franc\OneDrive\Documentos\MALENTIN KARIME\PROMESAS\2021\HECTOR VELOZO A DIANA ARAYA LT A 17.doc", "Abrir Documento")</f>
        <v>0</v>
      </c>
      <c r="D5051" t="s">
        <v>23500</v>
      </c>
      <c r="E5051" t="s">
        <v>27911</v>
      </c>
    </row>
    <row r="5052" spans="1:5">
      <c r="A5052" t="s">
        <v>6</v>
      </c>
      <c r="B5052" t="s">
        <v>5057</v>
      </c>
      <c r="C5052">
        <f>HYPERLINK("C:\Users\franc\OneDrive\Documentos\MALENTIN KARIME\PROMESAS\2021\HECTOR VELOZO A PAULA COLLAO  LT 7 A 7.doc", "Abrir Documento")</f>
        <v>0</v>
      </c>
      <c r="D5052" t="s">
        <v>23500</v>
      </c>
      <c r="E5052" t="s">
        <v>27911</v>
      </c>
    </row>
    <row r="5053" spans="1:5">
      <c r="A5053" t="s">
        <v>6</v>
      </c>
      <c r="B5053" t="s">
        <v>5058</v>
      </c>
      <c r="C5053">
        <f>HYPERLINK("C:\Users\franc\OneDrive\Documentos\MALENTIN KARIME\PROMESAS\2021\HECTOR VELOZO A CARMEN OLAVE.doc", "Abrir Documento")</f>
        <v>0</v>
      </c>
      <c r="D5053" t="s">
        <v>23500</v>
      </c>
      <c r="E5053" t="s">
        <v>27912</v>
      </c>
    </row>
    <row r="5054" spans="1:5">
      <c r="A5054" t="s">
        <v>6</v>
      </c>
      <c r="B5054" t="s">
        <v>5059</v>
      </c>
      <c r="C5054">
        <f>HYPERLINK("C:\Users\franc\OneDrive\Documentos\MALENTIN KARIME\PROMESAS\2021\CARLOS VELIZ ADONES A CLAUDIO HERNANDEZ maquina.doc", "Abrir Documento")</f>
        <v>0</v>
      </c>
      <c r="D5054" t="s">
        <v>23500</v>
      </c>
      <c r="E5054" t="s">
        <v>27913</v>
      </c>
    </row>
    <row r="5055" spans="1:5">
      <c r="A5055" t="s">
        <v>6</v>
      </c>
      <c r="B5055" t="s">
        <v>5060</v>
      </c>
      <c r="C5055">
        <f>HYPERLINK("C:\Users\franc\OneDrive\Documentos\MALENTIN KARIME\PROMESAS\2021\FERNANDO OLIVARES Y LEO DAN CASTILLO Minuta.doc", "Abrir Documento")</f>
        <v>0</v>
      </c>
      <c r="D5055" t="s">
        <v>23500</v>
      </c>
      <c r="E5055" t="s">
        <v>27913</v>
      </c>
    </row>
    <row r="5056" spans="1:5">
      <c r="A5056" t="s">
        <v>6</v>
      </c>
      <c r="B5056" t="s">
        <v>5061</v>
      </c>
      <c r="C5056">
        <f>HYPERLINK("C:\Users\franc\OneDrive\Documentos\MALENTIN KARIME\PROMESAS\2018\VIVIANA ARAYA A María Segovia Lote A-Uno.doc", "Abrir Documento")</f>
        <v>0</v>
      </c>
      <c r="D5056" t="s">
        <v>23500</v>
      </c>
      <c r="E5056" t="s">
        <v>27914</v>
      </c>
    </row>
    <row r="5057" spans="1:5">
      <c r="A5057" t="s">
        <v>6</v>
      </c>
      <c r="B5057" t="s">
        <v>5062</v>
      </c>
      <c r="C5057">
        <f>HYPERLINK("C:\Users\franc\OneDrive\Documentos\MALENTIN KARIME\PROMESAS\2018\YURI AVENDAÑO y Agricola San Alejandro Minuta.doc", "Abrir Documento")</f>
        <v>0</v>
      </c>
      <c r="D5057" t="s">
        <v>23500</v>
      </c>
      <c r="E5057" t="s">
        <v>27914</v>
      </c>
    </row>
    <row r="5058" spans="1:5">
      <c r="A5058" t="s">
        <v>6</v>
      </c>
      <c r="B5058" t="s">
        <v>5063</v>
      </c>
      <c r="C5058">
        <f>HYPERLINK("C:\Users\franc\OneDrive\Documentos\MALENTIN KARIME\PROMESAS\2018\VIVIANA ARAYA A María Canihuante A-7.doc", "Abrir Documento")</f>
        <v>0</v>
      </c>
      <c r="D5058" t="s">
        <v>23500</v>
      </c>
      <c r="E5058" t="s">
        <v>27915</v>
      </c>
    </row>
    <row r="5059" spans="1:5">
      <c r="A5059" t="s">
        <v>6</v>
      </c>
      <c r="B5059" t="s">
        <v>5064</v>
      </c>
      <c r="C5059">
        <f>HYPERLINK("C:\Users\franc\OneDrive\Documentos\MALENTIN KARIME\PROMESAS\2018\VIVIANA ARAYA A Maria Carvajal A-6.doc", "Abrir Documento")</f>
        <v>0</v>
      </c>
      <c r="D5059" t="s">
        <v>23500</v>
      </c>
      <c r="E5059" t="s">
        <v>27916</v>
      </c>
    </row>
    <row r="5060" spans="1:5">
      <c r="A5060" t="s">
        <v>6</v>
      </c>
      <c r="B5060" t="s">
        <v>5065</v>
      </c>
      <c r="C5060">
        <f>HYPERLINK("C:\Users\franc\OneDrive\Documentos\MALENTIN KARIME\PROMESAS\2018\VIVIANA ARAYA A Maria Carvajal A-5.doc", "Abrir Documento")</f>
        <v>0</v>
      </c>
      <c r="D5060" t="s">
        <v>23500</v>
      </c>
      <c r="E5060" t="s">
        <v>27917</v>
      </c>
    </row>
    <row r="5061" spans="1:5">
      <c r="A5061" t="s">
        <v>6</v>
      </c>
      <c r="B5061" t="s">
        <v>5066</v>
      </c>
      <c r="C5061">
        <f>HYPERLINK("C:\Users\franc\OneDrive\Documentos\MALENTIN KARIME\PROMESAS\2018\VIVIANA ARAYA A Maria Alvarez A-8.doc", "Abrir Documento")</f>
        <v>0</v>
      </c>
      <c r="D5061" t="s">
        <v>23500</v>
      </c>
      <c r="E5061" t="s">
        <v>27918</v>
      </c>
    </row>
    <row r="5062" spans="1:5">
      <c r="A5062" t="s">
        <v>6</v>
      </c>
      <c r="B5062" t="s">
        <v>5067</v>
      </c>
      <c r="C5062">
        <f>HYPERLINK("C:\Users\franc\OneDrive\Documentos\MALENTIN KARIME\PROMESAS\2018\VIVIANA ARAYA A Maria Carvajal A-4.doc", "Abrir Documento")</f>
        <v>0</v>
      </c>
      <c r="D5062" t="s">
        <v>23500</v>
      </c>
      <c r="E5062" t="s">
        <v>27918</v>
      </c>
    </row>
    <row r="5063" spans="1:5">
      <c r="A5063" t="s">
        <v>6</v>
      </c>
      <c r="B5063" t="s">
        <v>5068</v>
      </c>
      <c r="C5063">
        <f>HYPERLINK("C:\Users\franc\OneDrive\Documentos\MALENTIN KARIME\PROMESAS\2018\VIVIANA ARAYA A Janet Venegas A-4.doc", "Abrir Documento")</f>
        <v>0</v>
      </c>
      <c r="D5063" t="s">
        <v>23500</v>
      </c>
      <c r="E5063" t="s">
        <v>27919</v>
      </c>
    </row>
    <row r="5064" spans="1:5">
      <c r="A5064" t="s">
        <v>6</v>
      </c>
      <c r="B5064" t="s">
        <v>5069</v>
      </c>
      <c r="C5064">
        <f>HYPERLINK("C:\Users\franc\OneDrive\Documentos\MALENTIN KARIME\PROMESAS\2018\VIVIANA ARAYA A Jorge Peñaloza A-4.doc", "Abrir Documento")</f>
        <v>0</v>
      </c>
      <c r="D5064" t="s">
        <v>23500</v>
      </c>
      <c r="E5064" t="s">
        <v>27919</v>
      </c>
    </row>
    <row r="5065" spans="1:5">
      <c r="A5065" t="s">
        <v>6</v>
      </c>
      <c r="B5065" t="s">
        <v>5070</v>
      </c>
      <c r="C5065">
        <f>HYPERLINK("C:\Users\franc\OneDrive\Documentos\MALENTIN KARIME\PROMESAS\2018\RAMONA ROJAS CASTILLO A Lorenzo Flores Promesa.doc", "Abrir Documento")</f>
        <v>0</v>
      </c>
      <c r="D5065" t="s">
        <v>23500</v>
      </c>
      <c r="E5065" t="s">
        <v>27920</v>
      </c>
    </row>
    <row r="5066" spans="1:5">
      <c r="A5066" t="s">
        <v>6</v>
      </c>
      <c r="B5066" t="s">
        <v>5071</v>
      </c>
      <c r="C5066">
        <f>HYPERLINK("C:\Users\franc\OneDrive\Documentos\MALENTIN KARIME\PROMESAS\2018\PATRICIO LARA RAMIREZ A Tasaciones y Servicios Inmobiliarios Limitada con cambios.doc", "Abrir Documento")</f>
        <v>0</v>
      </c>
      <c r="D5066" t="s">
        <v>23500</v>
      </c>
      <c r="E5066" t="s">
        <v>27921</v>
      </c>
    </row>
    <row r="5067" spans="1:5">
      <c r="A5067" t="s">
        <v>6</v>
      </c>
      <c r="B5067" t="s">
        <v>5072</v>
      </c>
      <c r="C5067">
        <f>HYPERLINK("C:\Users\franc\OneDrive\Documentos\MALENTIN KARIME\PROMESAS\2018\PRISCILA URQUETA Y Lady Toro minuta.doc", "Abrir Documento")</f>
        <v>0</v>
      </c>
      <c r="D5067" t="s">
        <v>23500</v>
      </c>
      <c r="E5067" t="s">
        <v>27921</v>
      </c>
    </row>
    <row r="5068" spans="1:5">
      <c r="A5068" t="s">
        <v>6</v>
      </c>
      <c r="B5068" t="s">
        <v>5073</v>
      </c>
      <c r="C5068">
        <f>HYPERLINK("C:\Users\franc\OneDrive\Documentos\MALENTIN KARIME\PROMESAS\2018\MARCELA COLLA OLIVARES vehiculo.doc", "Abrir Documento")</f>
        <v>0</v>
      </c>
      <c r="D5068" t="s">
        <v>23500</v>
      </c>
      <c r="E5068" t="s">
        <v>27922</v>
      </c>
    </row>
    <row r="5069" spans="1:5">
      <c r="A5069" t="s">
        <v>6</v>
      </c>
      <c r="B5069" t="s">
        <v>5074</v>
      </c>
      <c r="C5069">
        <f>HYPERLINK("C:\Users\franc\OneDrive\Documentos\MALENTIN KARIME\PROMESAS\2018\LUZ ARAYA HIDALGO A Zoraida Macakachi.doc", "Abrir Documento")</f>
        <v>0</v>
      </c>
      <c r="D5069" t="s">
        <v>23500</v>
      </c>
      <c r="E5069" t="s">
        <v>27923</v>
      </c>
    </row>
    <row r="5070" spans="1:5">
      <c r="A5070" t="s">
        <v>6</v>
      </c>
      <c r="B5070" t="s">
        <v>5075</v>
      </c>
      <c r="C5070">
        <f>HYPERLINK("C:\Users\franc\OneDrive\Documentos\MALENTIN KARIME\PROMESAS\2018\CARLOS ROJAS SALINAS A CHRISTOPHER ROJAS mina.doc", "Abrir Documento")</f>
        <v>0</v>
      </c>
      <c r="D5070" t="s">
        <v>23500</v>
      </c>
      <c r="E5070" t="s">
        <v>27924</v>
      </c>
    </row>
    <row r="5071" spans="1:5">
      <c r="A5071" t="s">
        <v>6</v>
      </c>
      <c r="B5071" t="s">
        <v>5076</v>
      </c>
      <c r="C5071">
        <f>HYPERLINK("C:\Users\franc\OneDrive\Documentos\MALENTIN KARIME\PROMESAS\2018\Borrador PATRICIO LARA RAMIREZ.doc", "Abrir Documento")</f>
        <v>0</v>
      </c>
      <c r="D5071" t="s">
        <v>23500</v>
      </c>
      <c r="E5071" t="s">
        <v>27925</v>
      </c>
    </row>
    <row r="5072" spans="1:5">
      <c r="A5072" t="s">
        <v>6</v>
      </c>
      <c r="B5072" t="s">
        <v>5077</v>
      </c>
      <c r="C5072">
        <f>HYPERLINK("C:\Users\franc\OneDrive\Documentos\MALENTIN KARIME\PROMESAS\2018\BERTA JOFRE Y Wilfredo Jiménez Minuta.doc", "Abrir Documento")</f>
        <v>0</v>
      </c>
      <c r="D5072" t="s">
        <v>23500</v>
      </c>
      <c r="E5072" t="s">
        <v>27926</v>
      </c>
    </row>
    <row r="5073" spans="1:5">
      <c r="A5073" t="s">
        <v>6</v>
      </c>
      <c r="B5073" t="s">
        <v>5078</v>
      </c>
      <c r="C5073">
        <f>HYPERLINK("C:\Users\franc\OneDrive\Documentos\MALENTIN KARIME\PROMESAS\2018\AMERICA TAPIA A Angelo Tatán.doc", "Abrir Documento")</f>
        <v>0</v>
      </c>
      <c r="D5073" t="s">
        <v>23500</v>
      </c>
      <c r="E5073" t="s">
        <v>27927</v>
      </c>
    </row>
    <row r="5074" spans="1:5">
      <c r="A5074" t="s">
        <v>6</v>
      </c>
      <c r="B5074" t="s">
        <v>5079</v>
      </c>
      <c r="C5074">
        <f>HYPERLINK("C:\Users\franc\OneDrive\Documentos\MALENTIN KARIME\PROMESAS\2018\BERTA JOFRE Y Wilfredo Jiménez Minuta Patricia Alfaro II.doc", "Abrir Documento")</f>
        <v>0</v>
      </c>
      <c r="D5074" t="s">
        <v>23500</v>
      </c>
      <c r="E5074" t="s">
        <v>27927</v>
      </c>
    </row>
    <row r="5075" spans="1:5">
      <c r="A5075" t="s">
        <v>6</v>
      </c>
      <c r="B5075" t="s">
        <v>5080</v>
      </c>
      <c r="C5075">
        <f>HYPERLINK("C:\Users\franc\OneDrive\Documentos\MALENTIN KARIME\PROMESAS\2018\ALFONSO PASTEN HENRRIQUEZ a COMERCIALlllllll GIANZO Minuta.doc", "Abrir Documento")</f>
        <v>0</v>
      </c>
      <c r="D5075" t="s">
        <v>23500</v>
      </c>
      <c r="E5075" t="s">
        <v>27928</v>
      </c>
    </row>
    <row r="5076" spans="1:5">
      <c r="A5076" t="s">
        <v>6</v>
      </c>
      <c r="B5076" t="s">
        <v>5081</v>
      </c>
      <c r="C5076">
        <f>HYPERLINK("C:\Users\franc\OneDrive\Documentos\MALENTIN KARIME\PROMESAS\2018\ALEJANDRO CORTES Y Rosa Gonzalez minuta.doc", "Abrir Documento")</f>
        <v>0</v>
      </c>
      <c r="D5076" t="s">
        <v>23500</v>
      </c>
      <c r="E5076" t="s">
        <v>27929</v>
      </c>
    </row>
    <row r="5077" spans="1:5">
      <c r="A5077" t="s">
        <v>6</v>
      </c>
      <c r="B5077" t="s">
        <v>5082</v>
      </c>
      <c r="C5077">
        <f>HYPERLINK("C:\Users\franc\OneDrive\Documentos\MALENTIN KARIME\PROMESAS\2017\VICTOR GUTIERREZ A Ildefonso Mansilla vehiculo.doc", "Abrir Documento")</f>
        <v>0</v>
      </c>
      <c r="D5077" t="s">
        <v>23500</v>
      </c>
      <c r="E5077" t="s">
        <v>27930</v>
      </c>
    </row>
    <row r="5078" spans="1:5">
      <c r="A5078" t="s">
        <v>6</v>
      </c>
      <c r="B5078" t="s">
        <v>5083</v>
      </c>
      <c r="C5078">
        <f>HYPERLINK("C:\Users\franc\OneDrive\Documentos\MALENTIN KARIME\PROMESAS\2017\VIOLETA GUERRERO SALAS 2018.doc", "Abrir Documento")</f>
        <v>0</v>
      </c>
      <c r="D5078" t="s">
        <v>23500</v>
      </c>
      <c r="E5078" t="s">
        <v>27930</v>
      </c>
    </row>
    <row r="5079" spans="1:5">
      <c r="A5079" t="s">
        <v>6</v>
      </c>
      <c r="B5079" t="s">
        <v>5084</v>
      </c>
      <c r="C5079">
        <f>HYPERLINK("C:\Users\franc\OneDrive\Documentos\MALENTIN KARIME\PROMESAS\2017\VICTOR GRANDON promesa depto OValle.doc", "Abrir Documento")</f>
        <v>0</v>
      </c>
      <c r="D5079" t="s">
        <v>23500</v>
      </c>
      <c r="E5079" t="s">
        <v>27931</v>
      </c>
    </row>
    <row r="5080" spans="1:5">
      <c r="A5080" t="s">
        <v>6</v>
      </c>
      <c r="B5080" t="s">
        <v>5085</v>
      </c>
      <c r="C5080">
        <f>HYPERLINK("C:\Users\franc\OneDrive\Documentos\MALENTIN KARIME\PROMESAS\2017\SYLVIA HUMERES PEREZ.doc", "Abrir Documento")</f>
        <v>0</v>
      </c>
      <c r="D5080" t="s">
        <v>23500</v>
      </c>
      <c r="E5080" t="s">
        <v>27932</v>
      </c>
    </row>
    <row r="5081" spans="1:5">
      <c r="A5081" t="s">
        <v>6</v>
      </c>
      <c r="B5081" t="s">
        <v>5086</v>
      </c>
      <c r="C5081">
        <f>HYPERLINK("C:\Users\franc\OneDrive\Documentos\MALENTIN KARIME\PROMESAS\2017\RUBEN ARANGUIZ  A SERGIO SEGOVIA.doc", "Abrir Documento")</f>
        <v>0</v>
      </c>
      <c r="D5081" t="s">
        <v>23500</v>
      </c>
      <c r="E5081" t="s">
        <v>27933</v>
      </c>
    </row>
    <row r="5082" spans="1:5">
      <c r="A5082" t="s">
        <v>6</v>
      </c>
      <c r="B5082" t="s">
        <v>5087</v>
      </c>
      <c r="C5082">
        <f>HYPERLINK("C:\Users\franc\OneDrive\Documentos\MALENTIN KARIME\PROMESAS\2017\MARIO TORO TORO.doc", "Abrir Documento")</f>
        <v>0</v>
      </c>
      <c r="D5082" t="s">
        <v>23500</v>
      </c>
      <c r="E5082" t="s">
        <v>27934</v>
      </c>
    </row>
    <row r="5083" spans="1:5">
      <c r="A5083" t="s">
        <v>6</v>
      </c>
      <c r="B5083" t="s">
        <v>5088</v>
      </c>
      <c r="C5083">
        <f>HYPERLINK("C:\Users\franc\OneDrive\Documentos\MALENTIN KARIME\PROMESAS\2017\LUZ ARAYA HIDALGO Sitio 3.doc", "Abrir Documento")</f>
        <v>0</v>
      </c>
      <c r="D5083" t="s">
        <v>23500</v>
      </c>
      <c r="E5083" t="s">
        <v>27935</v>
      </c>
    </row>
    <row r="5084" spans="1:5">
      <c r="A5084" t="s">
        <v>6</v>
      </c>
      <c r="B5084" t="s">
        <v>5089</v>
      </c>
      <c r="C5084">
        <f>HYPERLINK("C:\Users\franc\OneDrive\Documentos\MALENTIN KARIME\PROMESAS\2017\KAREN LUTTGUES RODRIGUEZ.doc", "Abrir Documento")</f>
        <v>0</v>
      </c>
      <c r="D5084" t="s">
        <v>23500</v>
      </c>
      <c r="E5084" t="s">
        <v>27936</v>
      </c>
    </row>
    <row r="5085" spans="1:5">
      <c r="A5085" t="s">
        <v>6</v>
      </c>
      <c r="B5085" t="s">
        <v>5090</v>
      </c>
      <c r="C5085">
        <f>HYPERLINK("C:\Users\franc\OneDrive\Documentos\MALENTIN KARIME\PROMESAS\2017\INVERSIONES URBANAS A Wilson Alfaro.doc", "Abrir Documento")</f>
        <v>0</v>
      </c>
      <c r="D5085" t="s">
        <v>23500</v>
      </c>
      <c r="E5085" t="s">
        <v>27937</v>
      </c>
    </row>
    <row r="5086" spans="1:5">
      <c r="A5086" t="s">
        <v>6</v>
      </c>
      <c r="B5086" t="s">
        <v>5091</v>
      </c>
      <c r="C5086">
        <f>HYPERLINK("C:\Users\franc\OneDrive\Documentos\MALENTIN KARIME\PROMESAS\2017\INSTRUCCIONES MARIO TORO.doc", "Abrir Documento")</f>
        <v>0</v>
      </c>
      <c r="D5086" t="s">
        <v>23500</v>
      </c>
      <c r="E5086" t="s">
        <v>27938</v>
      </c>
    </row>
    <row r="5087" spans="1:5">
      <c r="A5087" t="s">
        <v>6</v>
      </c>
      <c r="B5087" t="s">
        <v>5092</v>
      </c>
      <c r="C5087">
        <f>HYPERLINK("C:\Users\franc\OneDrive\Documentos\MALENTIN KARIME\PROMESAS\2017\DIONISIO ALVAREZ Y Maria Casanga.doc", "Abrir Documento")</f>
        <v>0</v>
      </c>
      <c r="D5087" t="s">
        <v>23500</v>
      </c>
      <c r="E5087" t="s">
        <v>27939</v>
      </c>
    </row>
    <row r="5088" spans="1:5">
      <c r="A5088" t="s">
        <v>6</v>
      </c>
      <c r="B5088" t="s">
        <v>5093</v>
      </c>
      <c r="C5088">
        <f>HYPERLINK("C:\Users\franc\OneDrive\Documentos\MALENTIN KARIME\PROMESAS\2016\MARIA AGUILERA A MIGUEL OLIVARES mariajose.doc", "Abrir Documento")</f>
        <v>0</v>
      </c>
      <c r="D5088" t="s">
        <v>23500</v>
      </c>
      <c r="E5088" t="s">
        <v>27940</v>
      </c>
    </row>
    <row r="5089" spans="1:5">
      <c r="A5089" t="s">
        <v>6</v>
      </c>
      <c r="B5089" t="s">
        <v>5094</v>
      </c>
      <c r="C5089">
        <f>HYPERLINK("C:\Users\franc\OneDrive\Documentos\MALENTIN KARIME\PROMESAS\2016\WILSON ARAYA A JUANA CONTRERASpórroga.doc", "Abrir Documento")</f>
        <v>0</v>
      </c>
      <c r="D5089" t="s">
        <v>23500</v>
      </c>
      <c r="E5089" t="s">
        <v>27940</v>
      </c>
    </row>
    <row r="5090" spans="1:5">
      <c r="A5090" t="s">
        <v>6</v>
      </c>
      <c r="B5090" t="s">
        <v>5095</v>
      </c>
      <c r="C5090">
        <f>HYPERLINK("C:\Users\franc\OneDrive\Documentos\MALENTIN KARIME\PROMESAS\2016\LUIS TAIBA VERGARA A Victor Arayapórroga.doc", "Abrir Documento")</f>
        <v>0</v>
      </c>
      <c r="D5090" t="s">
        <v>23500</v>
      </c>
      <c r="E5090" t="s">
        <v>27941</v>
      </c>
    </row>
    <row r="5091" spans="1:5">
      <c r="A5091" t="s">
        <v>6</v>
      </c>
      <c r="B5091" t="s">
        <v>5096</v>
      </c>
      <c r="C5091">
        <f>HYPERLINK("C:\Users\franc\OneDrive\Documentos\MALENTIN KARIME\PROMESAS\2016\ESTER ARAYA A LEYLA LOPEZ.doc", "Abrir Documento")</f>
        <v>0</v>
      </c>
      <c r="D5091" t="s">
        <v>23500</v>
      </c>
      <c r="E5091" t="s">
        <v>27942</v>
      </c>
    </row>
    <row r="5092" spans="1:5">
      <c r="A5092" t="s">
        <v>6</v>
      </c>
      <c r="B5092" t="s">
        <v>5097</v>
      </c>
      <c r="C5092">
        <f>HYPERLINK("C:\Users\franc\OneDrive\Documentos\MALENTIN KARIME\PROMESAS\2015\VICTOR GRANDON y MACARENA OTAROLA promesa depto.doc", "Abrir Documento")</f>
        <v>0</v>
      </c>
      <c r="D5092" t="s">
        <v>23500</v>
      </c>
      <c r="E5092" t="s">
        <v>27943</v>
      </c>
    </row>
    <row r="5093" spans="1:5">
      <c r="A5093" t="s">
        <v>6</v>
      </c>
      <c r="B5093" t="s">
        <v>5098</v>
      </c>
      <c r="C5093">
        <f>HYPERLINK("C:\Users\franc\OneDrive\Documentos\MALENTIN KARIME\PROMESAS\2015\VICTOR GRANDON y MACARENA OTAROLA promesa depto.do.doc", "Abrir Documento")</f>
        <v>0</v>
      </c>
      <c r="D5093" t="s">
        <v>23500</v>
      </c>
      <c r="E5093" t="s">
        <v>27944</v>
      </c>
    </row>
    <row r="5094" spans="1:5">
      <c r="A5094" t="s">
        <v>6</v>
      </c>
      <c r="B5094" t="s">
        <v>5099</v>
      </c>
      <c r="C5094">
        <f>HYPERLINK("C:\Users\franc\OneDrive\Documentos\MALENTIN KARIME\PROMESAS\2015\RICARDO SELEME A Hugo Arias.doc", "Abrir Documento")</f>
        <v>0</v>
      </c>
      <c r="D5094" t="s">
        <v>23500</v>
      </c>
      <c r="E5094" t="s">
        <v>27945</v>
      </c>
    </row>
    <row r="5095" spans="1:5">
      <c r="A5095" t="s">
        <v>6</v>
      </c>
      <c r="B5095" t="s">
        <v>5100</v>
      </c>
      <c r="C5095">
        <f>HYPERLINK("C:\Users\franc\OneDrive\Documentos\MALENTIN KARIME\PROMESAS\2015\personeria NORTE VERDE.doc", "Abrir Documento")</f>
        <v>0</v>
      </c>
      <c r="D5095" t="s">
        <v>23500</v>
      </c>
      <c r="E5095" t="s">
        <v>27946</v>
      </c>
    </row>
    <row r="5096" spans="1:5">
      <c r="A5096" t="s">
        <v>6</v>
      </c>
      <c r="B5096" t="s">
        <v>5101</v>
      </c>
      <c r="C5096">
        <f>HYPERLINK("C:\Users\franc\OneDrive\Documentos\MALENTIN KARIME\PROMESAS\2015\personeria FUNDACION.doc", "Abrir Documento")</f>
        <v>0</v>
      </c>
      <c r="D5096" t="s">
        <v>23500</v>
      </c>
      <c r="E5096" t="s">
        <v>27947</v>
      </c>
    </row>
    <row r="5097" spans="1:5">
      <c r="A5097" t="s">
        <v>6</v>
      </c>
      <c r="B5097" t="s">
        <v>5102</v>
      </c>
      <c r="C5097">
        <f>HYPERLINK("C:\Users\franc\OneDrive\Documentos\MALENTIN KARIME\PROMESAS\2015\MARCOS ROJAS A Angelo Tatàn.doc", "Abrir Documento")</f>
        <v>0</v>
      </c>
      <c r="D5097" t="s">
        <v>23500</v>
      </c>
      <c r="E5097" t="s">
        <v>27948</v>
      </c>
    </row>
    <row r="5098" spans="1:5">
      <c r="A5098" t="s">
        <v>6</v>
      </c>
      <c r="B5098" t="s">
        <v>5103</v>
      </c>
      <c r="C5098">
        <f>HYPERLINK("C:\Users\franc\OneDrive\Documentos\MALENTIN KARIME\PROMESAS\2015\MIRTO CORTES ROBLES A Rosenda Segovia Robles.doc", "Abrir Documento")</f>
        <v>0</v>
      </c>
      <c r="D5098" t="s">
        <v>23500</v>
      </c>
      <c r="E5098" t="s">
        <v>27948</v>
      </c>
    </row>
    <row r="5099" spans="1:5">
      <c r="A5099" t="s">
        <v>6</v>
      </c>
      <c r="B5099" t="s">
        <v>5104</v>
      </c>
      <c r="C5099">
        <f>HYPERLINK("C:\Users\franc\OneDrive\Documentos\MALENTIN KARIME\PROMESAS\2015\Marcelo Salinas  a LETICIA ROJASvehiculo.doc", "Abrir Documento")</f>
        <v>0</v>
      </c>
      <c r="D5099" t="s">
        <v>23500</v>
      </c>
      <c r="E5099" t="s">
        <v>27949</v>
      </c>
    </row>
    <row r="5100" spans="1:5">
      <c r="A5100" t="s">
        <v>6</v>
      </c>
      <c r="B5100" t="s">
        <v>5105</v>
      </c>
      <c r="C5100">
        <f>HYPERLINK("C:\Users\franc\OneDrive\Documentos\MALENTIN KARIME\PROMESAS\2015\MARCOS MOYA A Juan Varas.doc", "Abrir Documento")</f>
        <v>0</v>
      </c>
      <c r="D5100" t="s">
        <v>23500</v>
      </c>
      <c r="E5100" t="s">
        <v>27949</v>
      </c>
    </row>
    <row r="5101" spans="1:5">
      <c r="A5101" t="s">
        <v>6</v>
      </c>
      <c r="B5101" t="s">
        <v>5106</v>
      </c>
      <c r="C5101">
        <f>HYPERLINK("C:\Users\franc\OneDrive\Documentos\MALENTIN KARIME\PROMESAS\2015\LUIS VEAS VEGA A Tatiana Castro.doc", "Abrir Documento")</f>
        <v>0</v>
      </c>
      <c r="D5101" t="s">
        <v>23500</v>
      </c>
      <c r="E5101" t="s">
        <v>27950</v>
      </c>
    </row>
    <row r="5102" spans="1:5">
      <c r="A5102" t="s">
        <v>6</v>
      </c>
      <c r="B5102" t="s">
        <v>5107</v>
      </c>
      <c r="C5102">
        <f>HYPERLINK("C:\Users\franc\OneDrive\Documentos\MALENTIN KARIME\PROMESAS\2015\LETICIA ROJAS ALVAREZ A Marcelo Salinas vehiculo.doc", "Abrir Documento")</f>
        <v>0</v>
      </c>
      <c r="D5102" t="s">
        <v>23500</v>
      </c>
      <c r="E5102" t="s">
        <v>27951</v>
      </c>
    </row>
    <row r="5103" spans="1:5">
      <c r="A5103" t="s">
        <v>6</v>
      </c>
      <c r="B5103" t="s">
        <v>5108</v>
      </c>
      <c r="C5103">
        <f>HYPERLINK("C:\Users\franc\OneDrive\Documentos\MALENTIN KARIME\PROMESAS\2015\INMOBILIARIA NORTE VERDE A María Zepeda Provis Porroga.doc", "Abrir Documento")</f>
        <v>0</v>
      </c>
      <c r="D5103" t="s">
        <v>23500</v>
      </c>
      <c r="E5103" t="s">
        <v>27952</v>
      </c>
    </row>
    <row r="5104" spans="1:5">
      <c r="A5104" t="s">
        <v>6</v>
      </c>
      <c r="B5104" t="s">
        <v>5109</v>
      </c>
      <c r="C5104">
        <f>HYPERLINK("C:\Users\franc\OneDrive\Documentos\MALENTIN KARIME\PROMESAS\2015\ERIC CASTILLO A RICARDO VALENZUELA.doc", "Abrir Documento")</f>
        <v>0</v>
      </c>
      <c r="D5104" t="s">
        <v>23500</v>
      </c>
      <c r="E5104" t="s">
        <v>27953</v>
      </c>
    </row>
    <row r="5105" spans="1:5">
      <c r="A5105" t="s">
        <v>6</v>
      </c>
      <c r="B5105" t="s">
        <v>5110</v>
      </c>
      <c r="C5105">
        <f>HYPERLINK("C:\Users\franc\OneDrive\Documentos\MALENTIN KARIME\PROMESAS\2015\FRANCIS OLIVER A Fabiola Muñoz.doc", "Abrir Documento")</f>
        <v>0</v>
      </c>
      <c r="D5105" t="s">
        <v>23500</v>
      </c>
      <c r="E5105" t="s">
        <v>27953</v>
      </c>
    </row>
    <row r="5106" spans="1:5">
      <c r="A5106" t="s">
        <v>6</v>
      </c>
      <c r="B5106" t="s">
        <v>5111</v>
      </c>
      <c r="C5106">
        <f>HYPERLINK("C:\Users\franc\OneDrive\Documentos\MALENTIN KARIME\PROMESAS\2015\ELISA MIRANDA TORRES A Jaime Gonzalez.doc", "Abrir Documento")</f>
        <v>0</v>
      </c>
      <c r="D5106" t="s">
        <v>23500</v>
      </c>
      <c r="E5106" t="s">
        <v>27954</v>
      </c>
    </row>
    <row r="5107" spans="1:5">
      <c r="A5107" t="s">
        <v>6</v>
      </c>
      <c r="B5107" t="s">
        <v>5112</v>
      </c>
      <c r="C5107">
        <f>HYPERLINK("C:\Users\franc\OneDrive\Documentos\MALENTIN KARIME\PROMESAS\2015\CLEMENTE FUENTEALBA Promesa.doc", "Abrir Documento")</f>
        <v>0</v>
      </c>
      <c r="D5107" t="s">
        <v>23500</v>
      </c>
      <c r="E5107" t="s">
        <v>27955</v>
      </c>
    </row>
    <row r="5108" spans="1:5">
      <c r="A5108" t="s">
        <v>6</v>
      </c>
      <c r="B5108" t="s">
        <v>5113</v>
      </c>
      <c r="C5108">
        <f>HYPERLINK("C:\Users\franc\OneDrive\Documentos\MALENTIN KARIME\PROMESAS\2015\EDUARDO MIRANDA A JUAN SIERRA.doc", "Abrir Documento")</f>
        <v>0</v>
      </c>
      <c r="D5108" t="s">
        <v>23500</v>
      </c>
      <c r="E5108" t="s">
        <v>27955</v>
      </c>
    </row>
    <row r="5109" spans="1:5">
      <c r="A5109" t="s">
        <v>6</v>
      </c>
      <c r="B5109" t="s">
        <v>5114</v>
      </c>
      <c r="C5109">
        <f>HYPERLINK("C:\Users\franc\OneDrive\Documentos\MALENTIN KARIME\PROMESAS\2015\CARLOS SIERRA A Bernardito Cortés.doc", "Abrir Documento")</f>
        <v>0</v>
      </c>
      <c r="D5109" t="s">
        <v>23500</v>
      </c>
      <c r="E5109" t="s">
        <v>27956</v>
      </c>
    </row>
    <row r="5110" spans="1:5">
      <c r="A5110" t="s">
        <v>6</v>
      </c>
      <c r="B5110" t="s">
        <v>5115</v>
      </c>
      <c r="C5110">
        <f>HYPERLINK("C:\Users\franc\OneDrive\Documentos\MALENTIN KARIME\PROMESAS\2015\Borrador victor grandon.doc", "Abrir Documento")</f>
        <v>0</v>
      </c>
      <c r="D5110" t="s">
        <v>23500</v>
      </c>
      <c r="E5110" t="s">
        <v>27957</v>
      </c>
    </row>
    <row r="5111" spans="1:5">
      <c r="A5111" t="s">
        <v>6</v>
      </c>
      <c r="B5111" t="s">
        <v>5116</v>
      </c>
      <c r="C5111">
        <f>HYPERLINK("C:\Users\franc\OneDrive\Documentos\MALENTIN KARIME\PROMESAS\2014\VIOLETA CAMPUSANO TELLO Pomesa.doc", "Abrir Documento")</f>
        <v>0</v>
      </c>
      <c r="D5111" t="s">
        <v>23500</v>
      </c>
      <c r="E5111" t="s">
        <v>27958</v>
      </c>
    </row>
    <row r="5112" spans="1:5">
      <c r="A5112" t="s">
        <v>6</v>
      </c>
      <c r="B5112" t="s">
        <v>5117</v>
      </c>
      <c r="C5112">
        <f>HYPERLINK("C:\Users\franc\OneDrive\Documentos\MALENTIN KARIME\PROMESAS\2014\VIOLETA CAMPUSANO TELLO Pomesa Lote 4.doc", "Abrir Documento")</f>
        <v>0</v>
      </c>
      <c r="D5112" t="s">
        <v>23500</v>
      </c>
      <c r="E5112" t="s">
        <v>27959</v>
      </c>
    </row>
    <row r="5113" spans="1:5">
      <c r="A5113" t="s">
        <v>6</v>
      </c>
      <c r="B5113" t="s">
        <v>5118</v>
      </c>
      <c r="C5113">
        <f>HYPERLINK("C:\Users\franc\OneDrive\Documentos\MALENTIN KARIME\PROMESAS\2014\RODRIGO CABRERA Promesa.doc", "Abrir Documento")</f>
        <v>0</v>
      </c>
      <c r="D5113" t="s">
        <v>23500</v>
      </c>
      <c r="E5113" t="s">
        <v>27960</v>
      </c>
    </row>
    <row r="5114" spans="1:5">
      <c r="A5114" t="s">
        <v>6</v>
      </c>
      <c r="B5114" t="s">
        <v>5119</v>
      </c>
      <c r="C5114">
        <f>HYPERLINK("C:\Users\franc\OneDrive\Documentos\MALENTIN KARIME\PROMESAS\2014\PEDRO  COLLAO saga.doc", "Abrir Documento")</f>
        <v>0</v>
      </c>
      <c r="D5114" t="s">
        <v>23500</v>
      </c>
      <c r="E5114" t="s">
        <v>27961</v>
      </c>
    </row>
    <row r="5115" spans="1:5">
      <c r="A5115" t="s">
        <v>6</v>
      </c>
      <c r="B5115" t="s">
        <v>5120</v>
      </c>
      <c r="C5115">
        <f>HYPERLINK("C:\Users\franc\OneDrive\Documentos\MALENTIN KARIME\PROMESAS\2014\RIGOBERTO  COLLAO saga.doc", "Abrir Documento")</f>
        <v>0</v>
      </c>
      <c r="D5115" t="s">
        <v>23500</v>
      </c>
      <c r="E5115" t="s">
        <v>27961</v>
      </c>
    </row>
    <row r="5116" spans="1:5">
      <c r="A5116" t="s">
        <v>6</v>
      </c>
      <c r="B5116" t="s">
        <v>5121</v>
      </c>
      <c r="C5116">
        <f>HYPERLINK("C:\Users\franc\OneDrive\Documentos\MALENTIN KARIME\PROMESAS\2014\MARIA LORETO ANGEL ARTAL.doc", "Abrir Documento")</f>
        <v>0</v>
      </c>
      <c r="D5116" t="s">
        <v>23500</v>
      </c>
      <c r="E5116" t="s">
        <v>27962</v>
      </c>
    </row>
    <row r="5117" spans="1:5">
      <c r="A5117" t="s">
        <v>6</v>
      </c>
      <c r="B5117" t="s">
        <v>5122</v>
      </c>
      <c r="C5117">
        <f>HYPERLINK("C:\Users\franc\OneDrive\Documentos\MALENTIN KARIME\PROMESAS\2014\OLGA CORTES ROJAS A LEANDRO GALLARDO Minuta.doc", "Abrir Documento")</f>
        <v>0</v>
      </c>
      <c r="D5117" t="s">
        <v>23500</v>
      </c>
      <c r="E5117" t="s">
        <v>27962</v>
      </c>
    </row>
    <row r="5118" spans="1:5">
      <c r="A5118" t="s">
        <v>6</v>
      </c>
      <c r="B5118" t="s">
        <v>5123</v>
      </c>
      <c r="C5118">
        <f>HYPERLINK("C:\Users\franc\OneDrive\Documentos\MALENTIN KARIME\PROMESAS\2014\LUISA BARRAZA CASTRO Derecho.doc", "Abrir Documento")</f>
        <v>0</v>
      </c>
      <c r="D5118" t="s">
        <v>23500</v>
      </c>
      <c r="E5118" t="s">
        <v>27963</v>
      </c>
    </row>
    <row r="5119" spans="1:5">
      <c r="A5119" t="s">
        <v>6</v>
      </c>
      <c r="B5119" t="s">
        <v>5124</v>
      </c>
      <c r="C5119">
        <f>HYPERLINK("C:\Users\franc\OneDrive\Documentos\MALENTIN KARIME\PROMESAS\2014\JUAN MAURICIO RAMÍREZ COLLAO saga.doc", "Abrir Documento")</f>
        <v>0</v>
      </c>
      <c r="D5119" t="s">
        <v>23500</v>
      </c>
      <c r="E5119" t="s">
        <v>27964</v>
      </c>
    </row>
    <row r="5120" spans="1:5">
      <c r="A5120" t="s">
        <v>6</v>
      </c>
      <c r="B5120" t="s">
        <v>5125</v>
      </c>
      <c r="C5120">
        <f>HYPERLINK("C:\Users\franc\OneDrive\Documentos\MALENTIN KARIME\PROMESAS\2014\LUIS ERNESTO COLLAO saga.doc", "Abrir Documento")</f>
        <v>0</v>
      </c>
      <c r="D5120" t="s">
        <v>23500</v>
      </c>
      <c r="E5120" t="s">
        <v>27964</v>
      </c>
    </row>
    <row r="5121" spans="1:5">
      <c r="A5121" t="s">
        <v>6</v>
      </c>
      <c r="B5121" t="s">
        <v>5126</v>
      </c>
      <c r="C5121">
        <f>HYPERLINK("C:\Users\franc\OneDrive\Documentos\MALENTIN KARIME\PROMESAS\2014\ISRAEL ARAYA TELLO A Sandro Lopez.doc", "Abrir Documento")</f>
        <v>0</v>
      </c>
      <c r="D5121" t="s">
        <v>23500</v>
      </c>
      <c r="E5121" t="s">
        <v>27965</v>
      </c>
    </row>
    <row r="5122" spans="1:5">
      <c r="A5122" t="s">
        <v>6</v>
      </c>
      <c r="B5122" t="s">
        <v>5127</v>
      </c>
      <c r="C5122">
        <f>HYPERLINK("C:\Users\franc\OneDrive\Documentos\MALENTIN KARIME\PROMESAS\2014\JANINE TORO pórroga.doc", "Abrir Documento")</f>
        <v>0</v>
      </c>
      <c r="D5122" t="s">
        <v>23500</v>
      </c>
      <c r="E5122" t="s">
        <v>27965</v>
      </c>
    </row>
    <row r="5123" spans="1:5">
      <c r="A5123" t="s">
        <v>6</v>
      </c>
      <c r="B5123" t="s">
        <v>5128</v>
      </c>
      <c r="C5123">
        <f>HYPERLINK("C:\Users\franc\OneDrive\Documentos\MALENTIN KARIME\PROMESAS\2014\EDMUNDO LOYOLA A EDUARDO DIAZ.doc", "Abrir Documento")</f>
        <v>0</v>
      </c>
      <c r="D5123" t="s">
        <v>23500</v>
      </c>
      <c r="E5123" t="s">
        <v>27966</v>
      </c>
    </row>
    <row r="5124" spans="1:5">
      <c r="A5124" t="s">
        <v>6</v>
      </c>
      <c r="B5124" t="s">
        <v>5129</v>
      </c>
      <c r="C5124">
        <f>HYPERLINK("C:\Users\franc\OneDrive\Documentos\MALENTIN KARIME\PROMESAS\2014\FERNANDO LOPEZ A DANILA BARRAZA.doc", "Abrir Documento")</f>
        <v>0</v>
      </c>
      <c r="D5124" t="s">
        <v>23500</v>
      </c>
      <c r="E5124" t="s">
        <v>27966</v>
      </c>
    </row>
    <row r="5125" spans="1:5">
      <c r="A5125" t="s">
        <v>6</v>
      </c>
      <c r="B5125" t="s">
        <v>5130</v>
      </c>
      <c r="C5125">
        <f>HYPERLINK("C:\Users\franc\OneDrive\Documentos\MALENTIN KARIME\PROMESAS\2014\CHRISTIAN COLLAO saga.doc", "Abrir Documento")</f>
        <v>0</v>
      </c>
      <c r="D5125" t="s">
        <v>23500</v>
      </c>
      <c r="E5125" t="s">
        <v>27967</v>
      </c>
    </row>
    <row r="5126" spans="1:5">
      <c r="A5126" t="s">
        <v>6</v>
      </c>
      <c r="B5126" t="s">
        <v>5131</v>
      </c>
      <c r="C5126">
        <f>HYPERLINK("C:\Users\franc\OneDrive\Documentos\MALENTIN KARIME\PROMESAS\2014\CHRISTIAN DIAZ GONZALEZ Pomesa.doc", "Abrir Documento")</f>
        <v>0</v>
      </c>
      <c r="D5126" t="s">
        <v>23500</v>
      </c>
      <c r="E5126" t="s">
        <v>27967</v>
      </c>
    </row>
    <row r="5127" spans="1:5">
      <c r="A5127" t="s">
        <v>6</v>
      </c>
      <c r="B5127" t="s">
        <v>5132</v>
      </c>
      <c r="C5127">
        <f>HYPERLINK("C:\Users\franc\OneDrive\Documentos\MALENTIN KARIME\PROMESAS\WILFREDO CONTRERAS SANTANDER.doc", "Abrir Documento")</f>
        <v>0</v>
      </c>
      <c r="D5127" t="s">
        <v>23500</v>
      </c>
      <c r="E5127" t="s">
        <v>27968</v>
      </c>
    </row>
    <row r="5128" spans="1:5">
      <c r="A5128" t="s">
        <v>6</v>
      </c>
      <c r="B5128" t="s">
        <v>5133</v>
      </c>
      <c r="C5128">
        <f>HYPERLINK("C:\Users\franc\OneDrive\Documentos\MALENTIN KARIME\PROMESAS\2014\AURORA LINDERMANN  A JANINIE TORO.doc", "Abrir Documento")</f>
        <v>0</v>
      </c>
      <c r="D5128" t="s">
        <v>23500</v>
      </c>
      <c r="E5128" t="s">
        <v>27968</v>
      </c>
    </row>
    <row r="5129" spans="1:5">
      <c r="A5129" t="s">
        <v>6</v>
      </c>
      <c r="B5129" t="s">
        <v>5134</v>
      </c>
      <c r="C5129">
        <f>HYPERLINK("C:\Users\franc\OneDrive\Documentos\MALENTIN KARIME\PROMESAS\WANDA UGUEÑO UGUEÑO A MARIA FLORES.doc", "Abrir Documento")</f>
        <v>0</v>
      </c>
      <c r="D5129" t="s">
        <v>23500</v>
      </c>
      <c r="E5129" t="s">
        <v>27969</v>
      </c>
    </row>
    <row r="5130" spans="1:5">
      <c r="A5130" t="s">
        <v>6</v>
      </c>
      <c r="B5130" t="s">
        <v>5135</v>
      </c>
      <c r="C5130">
        <f>HYPERLINK("C:\Users\franc\OneDrive\Documentos\MALENTIN KARIME\PROMESAS\VICTOR CORTES A PATRICIA ARANCIBIA.doc", "Abrir Documento")</f>
        <v>0</v>
      </c>
      <c r="D5130" t="s">
        <v>23500</v>
      </c>
      <c r="E5130" t="s">
        <v>27970</v>
      </c>
    </row>
    <row r="5131" spans="1:5">
      <c r="A5131" t="s">
        <v>6</v>
      </c>
      <c r="B5131" t="s">
        <v>5136</v>
      </c>
      <c r="C5131">
        <f>HYPERLINK("C:\Users\franc\OneDrive\Documentos\MALENTIN KARIME\PROMESAS\TELLCOR LIMITADA A Alejandro Cornejo Minuta.doc", "Abrir Documento")</f>
        <v>0</v>
      </c>
      <c r="D5131" t="s">
        <v>23500</v>
      </c>
      <c r="E5131" t="s">
        <v>27971</v>
      </c>
    </row>
    <row r="5132" spans="1:5">
      <c r="A5132" t="s">
        <v>6</v>
      </c>
      <c r="B5132" t="s">
        <v>5137</v>
      </c>
      <c r="C5132">
        <f>HYPERLINK("C:\Users\franc\OneDrive\Documentos\MALENTIN KARIME\PROMESAS\TELLCOR LIMITADA A CARLOS SCHULTZ.doc", "Abrir Documento")</f>
        <v>0</v>
      </c>
      <c r="D5132" t="s">
        <v>23500</v>
      </c>
      <c r="E5132" t="s">
        <v>27971</v>
      </c>
    </row>
    <row r="5133" spans="1:5">
      <c r="A5133" t="s">
        <v>6</v>
      </c>
      <c r="B5133" t="s">
        <v>5138</v>
      </c>
      <c r="C5133">
        <f>HYPERLINK("C:\Users\franc\OneDrive\Documentos\MALENTIN KARIME\PROMESAS\TELLCOR LIMITADA A Alejandro Cornejo Minuta  MODIFICACION.doc", "Abrir Documento")</f>
        <v>0</v>
      </c>
      <c r="D5133" t="s">
        <v>23500</v>
      </c>
      <c r="E5133" t="s">
        <v>27972</v>
      </c>
    </row>
    <row r="5134" spans="1:5">
      <c r="A5134" t="s">
        <v>6</v>
      </c>
      <c r="B5134" t="s">
        <v>5139</v>
      </c>
      <c r="C5134">
        <f>HYPERLINK("C:\Users\franc\OneDrive\Documentos\MALENTIN KARIME\PROMESAS\SYLVIA FLORES ALVAREZ Con agua.doc", "Abrir Documento")</f>
        <v>0</v>
      </c>
      <c r="D5134" t="s">
        <v>23500</v>
      </c>
      <c r="E5134" t="s">
        <v>27973</v>
      </c>
    </row>
    <row r="5135" spans="1:5">
      <c r="A5135" t="s">
        <v>6</v>
      </c>
      <c r="B5135" t="s">
        <v>5140</v>
      </c>
      <c r="C5135">
        <f>HYPERLINK("C:\Users\franc\OneDrive\Documentos\MALENTIN KARIME\PROMESAS\ROSA SANVENERO A NOLVIA ARAYA.doc", "Abrir Documento")</f>
        <v>0</v>
      </c>
      <c r="D5135" t="s">
        <v>23500</v>
      </c>
      <c r="E5135" t="s">
        <v>27974</v>
      </c>
    </row>
    <row r="5136" spans="1:5">
      <c r="A5136" t="s">
        <v>6</v>
      </c>
      <c r="B5136" t="s">
        <v>5141</v>
      </c>
      <c r="C5136">
        <f>HYPERLINK("C:\Users\franc\OneDrive\Documentos\MALENTIN KARIME\PROMESAS\ROSSANA ARAYA ALFARO A AMADIEL ALFARO Ariztía.doc", "Abrir Documento")</f>
        <v>0</v>
      </c>
      <c r="D5136" t="s">
        <v>23500</v>
      </c>
      <c r="E5136" t="s">
        <v>27974</v>
      </c>
    </row>
    <row r="5137" spans="1:5">
      <c r="A5137" t="s">
        <v>6</v>
      </c>
      <c r="B5137" t="s">
        <v>5142</v>
      </c>
      <c r="C5137">
        <f>HYPERLINK("C:\Users\franc\OneDrive\Documentos\MALENTIN KARIME\PROMESAS\ROSA SANVENERO A NOLVIA ARAYA pórroga.doc", "Abrir Documento")</f>
        <v>0</v>
      </c>
      <c r="D5137" t="s">
        <v>23500</v>
      </c>
      <c r="E5137" t="s">
        <v>27975</v>
      </c>
    </row>
    <row r="5138" spans="1:5">
      <c r="A5138" t="s">
        <v>6</v>
      </c>
      <c r="B5138" t="s">
        <v>5143</v>
      </c>
      <c r="C5138">
        <f>HYPERLINK("C:\Users\franc\OneDrive\Documentos\MALENTIN KARIME\PROMESAS\ROSA CORTES RUBINA A CINTIHA ROJAS RIVERA.doc", "Abrir Documento")</f>
        <v>0</v>
      </c>
      <c r="D5138" t="s">
        <v>23500</v>
      </c>
      <c r="E5138" t="s">
        <v>27976</v>
      </c>
    </row>
    <row r="5139" spans="1:5">
      <c r="A5139" t="s">
        <v>6</v>
      </c>
      <c r="B5139" t="s">
        <v>5144</v>
      </c>
      <c r="C5139">
        <f>HYPERLINK("C:\Users\franc\OneDrive\Documentos\MALENTIN KARIME\PROMESAS\promesa vehiculo.doc", "Abrir Documento")</f>
        <v>0</v>
      </c>
      <c r="D5139" t="s">
        <v>23500</v>
      </c>
      <c r="E5139" t="s">
        <v>27977</v>
      </c>
    </row>
    <row r="5140" spans="1:5">
      <c r="A5140" t="s">
        <v>6</v>
      </c>
      <c r="B5140" t="s">
        <v>5145</v>
      </c>
      <c r="C5140">
        <f>HYPERLINK("C:\Users\franc\OneDrive\Documentos\MALENTIN KARIME\PROMESAS\RAQUEL ZAMBRA CASTELLANOS.doc", "Abrir Documento")</f>
        <v>0</v>
      </c>
      <c r="D5140" t="s">
        <v>23500</v>
      </c>
      <c r="E5140" t="s">
        <v>27977</v>
      </c>
    </row>
    <row r="5141" spans="1:5">
      <c r="A5141" t="s">
        <v>6</v>
      </c>
      <c r="B5141" t="s">
        <v>5146</v>
      </c>
      <c r="C5141">
        <f>HYPERLINK("C:\Users\franc\OneDrive\Documentos\MALENTIN KARIME\PROMESAS\PROMESA C-V  AGUAS ZAMBRA A CA HUANA.doc", "Abrir Documento")</f>
        <v>0</v>
      </c>
      <c r="D5141" t="s">
        <v>23500</v>
      </c>
      <c r="E5141" t="s">
        <v>27978</v>
      </c>
    </row>
    <row r="5142" spans="1:5">
      <c r="A5142" t="s">
        <v>6</v>
      </c>
      <c r="B5142" t="s">
        <v>5147</v>
      </c>
      <c r="C5142">
        <f>HYPERLINK("C:\Users\franc\OneDrive\Documentos\MALENTIN KARIME\PROMESAS\PEDRO VEGA ROJAS A RAFAEL DIAZ.doc", "Abrir Documento")</f>
        <v>0</v>
      </c>
      <c r="D5142" t="s">
        <v>23500</v>
      </c>
      <c r="E5142" t="s">
        <v>27979</v>
      </c>
    </row>
    <row r="5143" spans="1:5">
      <c r="A5143" t="s">
        <v>6</v>
      </c>
      <c r="B5143" t="s">
        <v>5148</v>
      </c>
      <c r="C5143">
        <f>HYPERLINK("C:\Users\franc\OneDrive\Documentos\MALENTIN KARIME\PROMESAS\PAGARÉ Alegría Araya 06 12 2013.doc", "Abrir Documento")</f>
        <v>0</v>
      </c>
      <c r="D5143" t="s">
        <v>23500</v>
      </c>
      <c r="E5143" t="s">
        <v>27980</v>
      </c>
    </row>
    <row r="5144" spans="1:5">
      <c r="A5144" t="s">
        <v>6</v>
      </c>
      <c r="B5144" t="s">
        <v>5149</v>
      </c>
      <c r="C5144">
        <f>HYPERLINK("C:\Users\franc\OneDrive\Documentos\MALENTIN KARIME\PROMESAS\PALMENIA MAYA A LUPERFINA PLAZA Minuta Valeska.doc", "Abrir Documento")</f>
        <v>0</v>
      </c>
      <c r="D5144" t="s">
        <v>23500</v>
      </c>
      <c r="E5144" t="s">
        <v>27980</v>
      </c>
    </row>
    <row r="5145" spans="1:5">
      <c r="A5145" t="s">
        <v>6</v>
      </c>
      <c r="B5145" t="s">
        <v>5150</v>
      </c>
      <c r="C5145">
        <f>HYPERLINK("C:\Users\franc\OneDrive\Documentos\MALENTIN KARIME\PROMESAS\PEDRO PIÑONES ANTIQUERA A PEDRO VEGA.doc", "Abrir Documento")</f>
        <v>0</v>
      </c>
      <c r="D5145" t="s">
        <v>23500</v>
      </c>
      <c r="E5145" t="s">
        <v>27980</v>
      </c>
    </row>
    <row r="5146" spans="1:5">
      <c r="A5146" t="s">
        <v>6</v>
      </c>
      <c r="B5146" t="s">
        <v>5151</v>
      </c>
      <c r="C5146">
        <f>HYPERLINK("C:\Users\franc\OneDrive\Documentos\MALENTIN KARIME\PROMESAS\PAGARE A LA VISTA.doc", "Abrir Documento")</f>
        <v>0</v>
      </c>
      <c r="D5146" t="s">
        <v>23500</v>
      </c>
      <c r="E5146" t="s">
        <v>27981</v>
      </c>
    </row>
    <row r="5147" spans="1:5">
      <c r="A5147" t="s">
        <v>6</v>
      </c>
      <c r="B5147" t="s">
        <v>5152</v>
      </c>
      <c r="C5147">
        <f>HYPERLINK("C:\Users\franc\OneDrive\Documentos\MALENTIN KARIME\PROMESAS\PAGARE A PLAZO.doc", "Abrir Documento")</f>
        <v>0</v>
      </c>
      <c r="D5147" t="s">
        <v>23500</v>
      </c>
      <c r="E5147" t="s">
        <v>27981</v>
      </c>
    </row>
    <row r="5148" spans="1:5">
      <c r="A5148" t="s">
        <v>6</v>
      </c>
      <c r="B5148" t="s">
        <v>5153</v>
      </c>
      <c r="C5148">
        <f>HYPERLINK("C:\Users\franc\OneDrive\Documentos\MALENTIN KARIME\PROMESAS\MOISES MIRANDA TELLO.doc", "Abrir Documento")</f>
        <v>0</v>
      </c>
      <c r="D5148" t="s">
        <v>23500</v>
      </c>
      <c r="E5148" t="s">
        <v>27982</v>
      </c>
    </row>
    <row r="5149" spans="1:5">
      <c r="A5149" t="s">
        <v>6</v>
      </c>
      <c r="B5149" t="s">
        <v>5154</v>
      </c>
      <c r="C5149">
        <f>HYPERLINK("C:\Users\franc\OneDrive\Documentos\MALENTIN KARIME\PROMESAS\OLGA TORO.doc", "Abrir Documento")</f>
        <v>0</v>
      </c>
      <c r="D5149" t="s">
        <v>23500</v>
      </c>
      <c r="E5149" t="s">
        <v>27982</v>
      </c>
    </row>
    <row r="5150" spans="1:5">
      <c r="A5150" t="s">
        <v>6</v>
      </c>
      <c r="B5150" t="s">
        <v>5155</v>
      </c>
      <c r="C5150">
        <f>HYPERLINK("C:\Users\franc\OneDrive\Documentos\MALENTIN KARIME\PROMESAS\MARIA MUÑOZ A PILAR ALEJANDRA.doc", "Abrir Documento")</f>
        <v>0</v>
      </c>
      <c r="D5150" t="s">
        <v>23500</v>
      </c>
      <c r="E5150" t="s">
        <v>27983</v>
      </c>
    </row>
    <row r="5151" spans="1:5">
      <c r="A5151" t="s">
        <v>6</v>
      </c>
      <c r="B5151" t="s">
        <v>5156</v>
      </c>
      <c r="C5151">
        <f>HYPERLINK("C:\Users\franc\OneDrive\Documentos\MALENTIN KARIME\PROMESAS\modelo SUPLENCIA.doc", "Abrir Documento")</f>
        <v>0</v>
      </c>
      <c r="D5151" t="s">
        <v>23500</v>
      </c>
      <c r="E5151" t="s">
        <v>27983</v>
      </c>
    </row>
    <row r="5152" spans="1:5">
      <c r="A5152" t="s">
        <v>6</v>
      </c>
      <c r="B5152" t="s">
        <v>5157</v>
      </c>
      <c r="C5152">
        <f>HYPERLINK("C:\Users\franc\OneDrive\Documentos\MALENTIN KARIME\PROMESAS\MARIA ISABEL GONZALEZ A JOSE MORALES MUÑOZ.doc", "Abrir Documento")</f>
        <v>0</v>
      </c>
      <c r="D5152" t="s">
        <v>23500</v>
      </c>
      <c r="E5152" t="s">
        <v>27984</v>
      </c>
    </row>
    <row r="5153" spans="1:5">
      <c r="A5153" t="s">
        <v>6</v>
      </c>
      <c r="B5153" t="s">
        <v>5158</v>
      </c>
      <c r="C5153">
        <f>HYPERLINK("C:\Users\franc\OneDrive\Documentos\MALENTIN KARIME\PROMESAS\LUIS ERNESTO FLORES A SAUL INOSTROZA MENDEZ.doc", "Abrir Documento")</f>
        <v>0</v>
      </c>
      <c r="D5153" t="s">
        <v>23500</v>
      </c>
      <c r="E5153" t="s">
        <v>27985</v>
      </c>
    </row>
    <row r="5154" spans="1:5">
      <c r="A5154" t="s">
        <v>6</v>
      </c>
      <c r="B5154" t="s">
        <v>5159</v>
      </c>
      <c r="C5154">
        <f>HYPERLINK("C:\Users\franc\OneDrive\Documentos\MALENTIN KARIME\PROMESAS\LEONARDO FERRADA CORTES.doc", "Abrir Documento")</f>
        <v>0</v>
      </c>
      <c r="D5154" t="s">
        <v>23500</v>
      </c>
      <c r="E5154" t="s">
        <v>27986</v>
      </c>
    </row>
    <row r="5155" spans="1:5">
      <c r="A5155" t="s">
        <v>6</v>
      </c>
      <c r="B5155" t="s">
        <v>5160</v>
      </c>
      <c r="C5155">
        <f>HYPERLINK("C:\Users\franc\OneDrive\Documentos\MALENTIN KARIME\PROMESAS\JUAN SANTELICES LUCERO A SALVADOR MAYA Noviembre.doc", "Abrir Documento")</f>
        <v>0</v>
      </c>
      <c r="D5155" t="s">
        <v>23500</v>
      </c>
      <c r="E5155" t="s">
        <v>27987</v>
      </c>
    </row>
    <row r="5156" spans="1:5">
      <c r="A5156" t="s">
        <v>6</v>
      </c>
      <c r="B5156" t="s">
        <v>5161</v>
      </c>
      <c r="C5156">
        <f>HYPERLINK("C:\Users\franc\OneDrive\Documentos\MALENTIN KARIME\PROMESAS\JUAN SANTELICES Cancelacion.doc", "Abrir Documento")</f>
        <v>0</v>
      </c>
      <c r="D5156" t="s">
        <v>23500</v>
      </c>
      <c r="E5156" t="s">
        <v>27988</v>
      </c>
    </row>
    <row r="5157" spans="1:5">
      <c r="A5157" t="s">
        <v>6</v>
      </c>
      <c r="B5157" t="s">
        <v>5162</v>
      </c>
      <c r="C5157">
        <f>HYPERLINK("C:\Users\franc\OneDrive\Documentos\MALENTIN KARIME\PROMESAS\JUAN SANTELICES LUCERO A Eduardo Castillo Abril.doc", "Abrir Documento")</f>
        <v>0</v>
      </c>
      <c r="D5157" t="s">
        <v>23500</v>
      </c>
      <c r="E5157" t="s">
        <v>27988</v>
      </c>
    </row>
    <row r="5158" spans="1:5">
      <c r="A5158" t="s">
        <v>6</v>
      </c>
      <c r="B5158" t="s">
        <v>5163</v>
      </c>
      <c r="C5158">
        <f>HYPERLINK("C:\Users\franc\OneDrive\Documentos\MALENTIN KARIME\PROMESAS\JUAN CARVAJAL ECHEVERRÍA A MIRIAM MONARDEZ.doc", "Abrir Documento")</f>
        <v>0</v>
      </c>
      <c r="D5158" t="s">
        <v>23500</v>
      </c>
      <c r="E5158" t="s">
        <v>27989</v>
      </c>
    </row>
    <row r="5159" spans="1:5">
      <c r="A5159" t="s">
        <v>6</v>
      </c>
      <c r="B5159" t="s">
        <v>5164</v>
      </c>
      <c r="C5159">
        <f>HYPERLINK("C:\Users\franc\OneDrive\Documentos\MALENTIN KARIME\PROMESAS\ISABEL ROJAS CARVAJAL A MERY HORTUA.doc", "Abrir Documento")</f>
        <v>0</v>
      </c>
      <c r="D5159" t="s">
        <v>23500</v>
      </c>
      <c r="E5159" t="s">
        <v>27990</v>
      </c>
    </row>
    <row r="5160" spans="1:5">
      <c r="A5160" t="s">
        <v>6</v>
      </c>
      <c r="B5160" t="s">
        <v>5165</v>
      </c>
      <c r="C5160">
        <f>HYPERLINK("C:\Users\franc\OneDrive\Documentos\MALENTIN KARIME\PROMESAS\JUAN ALBAREZ A MARCOS DIAZ.doc", "Abrir Documento")</f>
        <v>0</v>
      </c>
      <c r="D5160" t="s">
        <v>23500</v>
      </c>
      <c r="E5160" t="s">
        <v>27990</v>
      </c>
    </row>
    <row r="5161" spans="1:5">
      <c r="A5161" t="s">
        <v>6</v>
      </c>
      <c r="B5161" t="s">
        <v>5166</v>
      </c>
      <c r="C5161">
        <f>HYPERLINK("C:\Users\franc\OneDrive\Documentos\MALENTIN KARIME\PROMESAS\IRIS ARACENA A GLADYS PEÑA Minuta Roberto Vega.doc", "Abrir Documento")</f>
        <v>0</v>
      </c>
      <c r="D5161" t="s">
        <v>23500</v>
      </c>
      <c r="E5161" t="s">
        <v>27991</v>
      </c>
    </row>
    <row r="5162" spans="1:5">
      <c r="A5162" t="s">
        <v>6</v>
      </c>
      <c r="B5162" t="s">
        <v>5167</v>
      </c>
      <c r="C5162">
        <f>HYPERLINK("C:\Users\franc\OneDrive\Documentos\MALENTIN KARIME\PROMESAS\HUGO VALDIVIA ARAYA A Contador Frutos Minuta.doc", "Abrir Documento")</f>
        <v>0</v>
      </c>
      <c r="D5162" t="s">
        <v>23500</v>
      </c>
      <c r="E5162" t="s">
        <v>27992</v>
      </c>
    </row>
    <row r="5163" spans="1:5">
      <c r="A5163" t="s">
        <v>6</v>
      </c>
      <c r="B5163" t="s">
        <v>5168</v>
      </c>
      <c r="C5163">
        <f>HYPERLINK("C:\Users\franc\OneDrive\Documentos\MALENTIN KARIME\PROMESAS\HORACIO DEL ROSARIO LOPEZ  A Juan Santelices.doc", "Abrir Documento")</f>
        <v>0</v>
      </c>
      <c r="D5163" t="s">
        <v>23500</v>
      </c>
      <c r="E5163" t="s">
        <v>27993</v>
      </c>
    </row>
    <row r="5164" spans="1:5">
      <c r="A5164" t="s">
        <v>6</v>
      </c>
      <c r="B5164" t="s">
        <v>5169</v>
      </c>
      <c r="C5164">
        <f>HYPERLINK("C:\Users\franc\OneDrive\Documentos\MALENTIN KARIME\PROMESAS\HORACIO DEL ROSARIO LOPEZ  A Juan Santelices II.doc", "Abrir Documento")</f>
        <v>0</v>
      </c>
      <c r="D5164" t="s">
        <v>23500</v>
      </c>
      <c r="E5164" t="s">
        <v>27994</v>
      </c>
    </row>
    <row r="5165" spans="1:5">
      <c r="A5165" t="s">
        <v>6</v>
      </c>
      <c r="B5165" t="s">
        <v>5170</v>
      </c>
      <c r="C5165">
        <f>HYPERLINK("C:\Users\franc\OneDrive\Documentos\MALENTIN KARIME\PROMESAS\HECTOR GODOY A Estefanía Contreras.doc", "Abrir Documento")</f>
        <v>0</v>
      </c>
      <c r="D5165" t="s">
        <v>23500</v>
      </c>
      <c r="E5165" t="s">
        <v>27995</v>
      </c>
    </row>
    <row r="5166" spans="1:5">
      <c r="A5166" t="s">
        <v>6</v>
      </c>
      <c r="B5166" t="s">
        <v>5171</v>
      </c>
      <c r="C5166">
        <f>HYPERLINK("C:\Users\franc\OneDrive\Documentos\MALENTIN KARIME\PROMESAS\HECTOR RICARDO LOPEZ A Eric Lecaros.doc", "Abrir Documento")</f>
        <v>0</v>
      </c>
      <c r="D5166" t="s">
        <v>23500</v>
      </c>
      <c r="E5166" t="s">
        <v>27995</v>
      </c>
    </row>
    <row r="5167" spans="1:5">
      <c r="A5167" t="s">
        <v>6</v>
      </c>
      <c r="B5167" t="s">
        <v>5172</v>
      </c>
      <c r="C5167">
        <f>HYPERLINK("C:\Users\franc\OneDrive\Documentos\MALENTIN KARIME\PROMESAS\HANNA MISLEH A DOLLY TABILO pórroga.doc", "Abrir Documento")</f>
        <v>0</v>
      </c>
      <c r="D5167" t="s">
        <v>23500</v>
      </c>
      <c r="E5167" t="s">
        <v>27996</v>
      </c>
    </row>
    <row r="5168" spans="1:5">
      <c r="A5168" t="s">
        <v>6</v>
      </c>
      <c r="B5168" t="s">
        <v>5173</v>
      </c>
      <c r="C5168">
        <f>HYPERLINK("C:\Users\franc\OneDrive\Documentos\MALENTIN KARIME\PROMESAS\FRUTICOLA RIO COPIAPO A SUCESION ALEGRIA Prorroga.doc", "Abrir Documento")</f>
        <v>0</v>
      </c>
      <c r="D5168" t="s">
        <v>23500</v>
      </c>
      <c r="E5168" t="s">
        <v>27997</v>
      </c>
    </row>
    <row r="5169" spans="1:5">
      <c r="A5169" t="s">
        <v>6</v>
      </c>
      <c r="B5169" t="s">
        <v>5174</v>
      </c>
      <c r="C5169">
        <f>HYPERLINK("C:\Users\franc\OneDrive\Documentos\MALENTIN KARIME\PROMESAS\FRUTICOLA RIO COPIAPO A ALBERTO ALEGRIA.doc", "Abrir Documento")</f>
        <v>0</v>
      </c>
      <c r="D5169" t="s">
        <v>23500</v>
      </c>
      <c r="E5169" t="s">
        <v>27998</v>
      </c>
    </row>
    <row r="5170" spans="1:5">
      <c r="A5170" t="s">
        <v>6</v>
      </c>
      <c r="B5170" t="s">
        <v>5175</v>
      </c>
      <c r="C5170">
        <f>HYPERLINK("C:\Users\franc\OneDrive\Documentos\MALENTIN KARIME\PROMESAS\FERNANDO AGUILERA A MARIA MONARDEZ.doc", "Abrir Documento")</f>
        <v>0</v>
      </c>
      <c r="D5170" t="s">
        <v>23500</v>
      </c>
      <c r="E5170" t="s">
        <v>27999</v>
      </c>
    </row>
    <row r="5171" spans="1:5">
      <c r="A5171" t="s">
        <v>6</v>
      </c>
      <c r="B5171" t="s">
        <v>5176</v>
      </c>
      <c r="C5171">
        <f>HYPERLINK("C:\Users\franc\OneDrive\Documentos\MALENTIN KARIME\PROMESAS\FELIX SORIA A Carlos Sarras.doc", "Abrir Documento")</f>
        <v>0</v>
      </c>
      <c r="D5171" t="s">
        <v>23500</v>
      </c>
      <c r="E5171" t="s">
        <v>28000</v>
      </c>
    </row>
    <row r="5172" spans="1:5">
      <c r="A5172" t="s">
        <v>6</v>
      </c>
      <c r="B5172" t="s">
        <v>5177</v>
      </c>
      <c r="C5172">
        <f>HYPERLINK("C:\Users\franc\OneDrive\Documentos\MALENTIN KARIME\PROMESAS\DORALIZA AGUILERA A Jose Valenzuela.doc", "Abrir Documento")</f>
        <v>0</v>
      </c>
      <c r="D5172" t="s">
        <v>23500</v>
      </c>
      <c r="E5172" t="s">
        <v>28001</v>
      </c>
    </row>
    <row r="5173" spans="1:5">
      <c r="A5173" t="s">
        <v>6</v>
      </c>
      <c r="B5173" t="s">
        <v>5178</v>
      </c>
      <c r="C5173">
        <f>HYPERLINK("C:\Users\franc\OneDrive\Documentos\MALENTIN KARIME\PROMESAS\EDMUNDO ORTIZ A FERMIN QUISPE Minuta MIsabel Maluenda.doc", "Abrir Documento")</f>
        <v>0</v>
      </c>
      <c r="D5173" t="s">
        <v>23500</v>
      </c>
      <c r="E5173" t="s">
        <v>28001</v>
      </c>
    </row>
    <row r="5174" spans="1:5">
      <c r="A5174" t="s">
        <v>6</v>
      </c>
      <c r="B5174" t="s">
        <v>5179</v>
      </c>
      <c r="C5174">
        <f>HYPERLINK("C:\Users\franc\OneDrive\Documentos\MALENTIN KARIME\PROMESAS\CAROLYN  GONGORA NAVARRETE A ALEJANDRA CASTAÑEDA Clemente Fuentealba.doc", "Abrir Documento")</f>
        <v>0</v>
      </c>
      <c r="D5174" t="s">
        <v>23500</v>
      </c>
      <c r="E5174" t="s">
        <v>28002</v>
      </c>
    </row>
    <row r="5175" spans="1:5">
      <c r="A5175" t="s">
        <v>6</v>
      </c>
      <c r="B5175" t="s">
        <v>5180</v>
      </c>
      <c r="C5175">
        <f>HYPERLINK("C:\Users\franc\OneDrive\Documentos\MALENTIN KARIME\PROMESAS\Clausula vehiculo.doc", "Abrir Documento")</f>
        <v>0</v>
      </c>
      <c r="D5175" t="s">
        <v>23500</v>
      </c>
      <c r="E5175" t="s">
        <v>28002</v>
      </c>
    </row>
    <row r="5176" spans="1:5">
      <c r="A5176" t="s">
        <v>6</v>
      </c>
      <c r="B5176" t="s">
        <v>5181</v>
      </c>
      <c r="C5176">
        <f>HYPERLINK("C:\Users\franc\OneDrive\Documentos\MALENTIN KARIME\PROMESAS\CARLOS CARVAJAL RODRIGUEZ a VIRGINIA JINEZ 42.doc", "Abrir Documento")</f>
        <v>0</v>
      </c>
      <c r="D5176" t="s">
        <v>23500</v>
      </c>
      <c r="E5176" t="s">
        <v>28003</v>
      </c>
    </row>
    <row r="5177" spans="1:5">
      <c r="A5177" t="s">
        <v>6</v>
      </c>
      <c r="B5177" t="s">
        <v>5182</v>
      </c>
      <c r="C5177">
        <f>HYPERLINK("C:\Users\franc\OneDrive\Documentos\MALENTIN KARIME\PROMESAS\CARLOS CARVAJAL RODRIGUEZ.doc", "Abrir Documento")</f>
        <v>0</v>
      </c>
      <c r="D5177" t="s">
        <v>23500</v>
      </c>
      <c r="E5177" t="s">
        <v>28003</v>
      </c>
    </row>
    <row r="5178" spans="1:5">
      <c r="A5178" t="s">
        <v>6</v>
      </c>
      <c r="B5178" t="s">
        <v>5183</v>
      </c>
      <c r="C5178">
        <f>HYPERLINK("C:\Users\franc\OneDrive\Documentos\MALENTIN KARIME\PROMESAS\CARLOS CARVAJAL RODRIGUEZ a SAIDA MUNDACA RIVERA 35.doc", "Abrir Documento")</f>
        <v>0</v>
      </c>
      <c r="D5178" t="s">
        <v>23500</v>
      </c>
      <c r="E5178" t="s">
        <v>28004</v>
      </c>
    </row>
    <row r="5179" spans="1:5">
      <c r="A5179" t="s">
        <v>6</v>
      </c>
      <c r="B5179" t="s">
        <v>5184</v>
      </c>
      <c r="C5179">
        <f>HYPERLINK("C:\Users\franc\OneDrive\Documentos\MALENTIN KARIME\PROMESAS\CARLOS CARVAJAL RODRIGUEZ a MARIA SALINAS 17.doc", "Abrir Documento")</f>
        <v>0</v>
      </c>
      <c r="D5179" t="s">
        <v>23500</v>
      </c>
      <c r="E5179" t="s">
        <v>28005</v>
      </c>
    </row>
    <row r="5180" spans="1:5">
      <c r="A5180" t="s">
        <v>6</v>
      </c>
      <c r="B5180" t="s">
        <v>5185</v>
      </c>
      <c r="C5180">
        <f>HYPERLINK("C:\Users\franc\OneDrive\Documentos\MALENTIN KARIME\PROMESAS\CARLOS CARVAJAL RODRIGUEZ A Luis Veliz Salgado 18 B Nueva modelo.doc", "Abrir Documento")</f>
        <v>0</v>
      </c>
      <c r="D5180" t="s">
        <v>23500</v>
      </c>
      <c r="E5180" t="s">
        <v>28006</v>
      </c>
    </row>
    <row r="5181" spans="1:5">
      <c r="A5181" t="s">
        <v>6</v>
      </c>
      <c r="B5181" t="s">
        <v>5186</v>
      </c>
      <c r="C5181">
        <f>HYPERLINK("C:\Users\franc\OneDrive\Documentos\MALENTIN KARIME\PROMESAS\CARLOS CARVAJAL RODRIGUEZ a MARIA SALINAS  Y OTRA 16.doc", "Abrir Documento")</f>
        <v>0</v>
      </c>
      <c r="D5181" t="s">
        <v>23500</v>
      </c>
      <c r="E5181" t="s">
        <v>28006</v>
      </c>
    </row>
    <row r="5182" spans="1:5">
      <c r="A5182" t="s">
        <v>6</v>
      </c>
      <c r="B5182" t="s">
        <v>5187</v>
      </c>
      <c r="C5182">
        <f>HYPERLINK("C:\Users\franc\OneDrive\Documentos\MALENTIN KARIME\PROMESAS\CARLOS CARVAJAL RODRIGUEZ A Iribando Cortés y Otros.doc", "Abrir Documento")</f>
        <v>0</v>
      </c>
      <c r="D5182" t="s">
        <v>23500</v>
      </c>
      <c r="E5182" t="s">
        <v>28007</v>
      </c>
    </row>
    <row r="5183" spans="1:5">
      <c r="A5183" t="s">
        <v>6</v>
      </c>
      <c r="B5183" t="s">
        <v>5188</v>
      </c>
      <c r="C5183">
        <f>HYPERLINK("C:\Users\franc\OneDrive\Documentos\MALENTIN KARIME\PROMESAS\CARLOS CARVAJAL RODRIGUEZ a LORENA RAMIREZ 18 d.doc", "Abrir Documento")</f>
        <v>0</v>
      </c>
      <c r="D5183" t="s">
        <v>23500</v>
      </c>
      <c r="E5183" t="s">
        <v>28007</v>
      </c>
    </row>
    <row r="5184" spans="1:5">
      <c r="A5184" t="s">
        <v>6</v>
      </c>
      <c r="B5184" t="s">
        <v>5189</v>
      </c>
      <c r="C5184">
        <f>HYPERLINK("C:\Users\franc\OneDrive\Documentos\MALENTIN KARIME\PROMESAS\CARLOS CARVAJAL RODRIGUEZ a DANIEL PAUVIF Y OTRO L18F.doc", "Abrir Documento")</f>
        <v>0</v>
      </c>
      <c r="D5184" t="s">
        <v>23500</v>
      </c>
      <c r="E5184" t="s">
        <v>28008</v>
      </c>
    </row>
    <row r="5185" spans="1:5">
      <c r="A5185" t="s">
        <v>6</v>
      </c>
      <c r="B5185" t="s">
        <v>5190</v>
      </c>
      <c r="C5185">
        <f>HYPERLINK("C:\Users\franc\OneDrive\Documentos\MALENTIN KARIME\PROMESAS\CARLOS CARVAJAL RODRIGUEZ a GUSTAVO GONZALEZ.doc", "Abrir Documento")</f>
        <v>0</v>
      </c>
      <c r="D5185" t="s">
        <v>23500</v>
      </c>
      <c r="E5185" t="s">
        <v>28008</v>
      </c>
    </row>
    <row r="5186" spans="1:5">
      <c r="A5186" t="s">
        <v>6</v>
      </c>
      <c r="B5186" t="s">
        <v>5191</v>
      </c>
      <c r="C5186">
        <f>HYPERLINK("C:\Users\franc\OneDrive\Documentos\MALENTIN KARIME\PROMESAS\CARLOS CARVAJAL RODRIGUEZ a Cleopatra Meneses.doc", "Abrir Documento")</f>
        <v>0</v>
      </c>
      <c r="D5186" t="s">
        <v>23500</v>
      </c>
      <c r="E5186" t="s">
        <v>28009</v>
      </c>
    </row>
    <row r="5187" spans="1:5">
      <c r="A5187" t="s">
        <v>6</v>
      </c>
      <c r="B5187" t="s">
        <v>5192</v>
      </c>
      <c r="C5187">
        <f>HYPERLINK("C:\Users\franc\OneDrive\Documentos\MALENTIN KARIME\PROMESAS\CARLOS CARVAJAL RODRIGUEZ a Carmen Araya Pinto.doc", "Abrir Documento")</f>
        <v>0</v>
      </c>
      <c r="D5187" t="s">
        <v>23500</v>
      </c>
      <c r="E5187" t="s">
        <v>28010</v>
      </c>
    </row>
    <row r="5188" spans="1:5">
      <c r="A5188" t="s">
        <v>6</v>
      </c>
      <c r="B5188" t="s">
        <v>5193</v>
      </c>
      <c r="C5188">
        <f>HYPERLINK("C:\Users\franc\OneDrive\Documentos\MALENTIN KARIME\PROMESAS\CARLOS CARVAJAL RODRIGUEZ 24.doc", "Abrir Documento")</f>
        <v>0</v>
      </c>
      <c r="D5188" t="s">
        <v>23500</v>
      </c>
      <c r="E5188" t="s">
        <v>28011</v>
      </c>
    </row>
    <row r="5189" spans="1:5">
      <c r="A5189" t="s">
        <v>6</v>
      </c>
      <c r="B5189" t="s">
        <v>5194</v>
      </c>
      <c r="C5189">
        <f>HYPERLINK("C:\Users\franc\OneDrive\Documentos\MALENTIN KARIME\PROMESAS\CARLOS CARVAJAL RODRIGUEZ a ALFREDO SANTANDER ARENAS 27 Y 28.doc", "Abrir Documento")</f>
        <v>0</v>
      </c>
      <c r="D5189" t="s">
        <v>23500</v>
      </c>
      <c r="E5189" t="s">
        <v>28011</v>
      </c>
    </row>
    <row r="5190" spans="1:5">
      <c r="A5190" t="s">
        <v>6</v>
      </c>
      <c r="B5190" t="s">
        <v>5195</v>
      </c>
      <c r="C5190">
        <f>HYPERLINK("C:\Users\franc\OneDrive\Documentos\MALENTIN KARIME\PROMESAS\CARLOS CARVAJAL RODRIGUEZ 18 B 5 y rescliacion.doc", "Abrir Documento")</f>
        <v>0</v>
      </c>
      <c r="D5190" t="s">
        <v>23500</v>
      </c>
      <c r="E5190" t="s">
        <v>28012</v>
      </c>
    </row>
    <row r="5191" spans="1:5">
      <c r="A5191" t="s">
        <v>6</v>
      </c>
      <c r="B5191" t="s">
        <v>5196</v>
      </c>
      <c r="C5191">
        <f>HYPERLINK("C:\Users\franc\OneDrive\Documentos\MALENTIN KARIME\PROMESAS\CARLOS CARVAJAL RODRIGUEZ 18 B 3.doc", "Abrir Documento")</f>
        <v>0</v>
      </c>
      <c r="D5191" t="s">
        <v>23500</v>
      </c>
      <c r="E5191" t="s">
        <v>28013</v>
      </c>
    </row>
    <row r="5192" spans="1:5">
      <c r="A5192" t="s">
        <v>6</v>
      </c>
      <c r="B5192" t="s">
        <v>5197</v>
      </c>
      <c r="C5192">
        <f>HYPERLINK("C:\Users\franc\OneDrive\Documentos\MALENTIN KARIME\PROMESAS\BERNARDO GUZMAN A GABRIEL ORELLANA.doc", "Abrir Documento")</f>
        <v>0</v>
      </c>
      <c r="D5192" t="s">
        <v>23500</v>
      </c>
      <c r="E5192" t="s">
        <v>28014</v>
      </c>
    </row>
    <row r="5193" spans="1:5">
      <c r="A5193" t="s">
        <v>6</v>
      </c>
      <c r="B5193" t="s">
        <v>5198</v>
      </c>
      <c r="C5193">
        <f>HYPERLINK("C:\Users\franc\OneDrive\Documentos\MALENTIN KARIME\PROMESAS\CARLOS CARVAJAL RODRIGUEZ 13.doc", "Abrir Documento")</f>
        <v>0</v>
      </c>
      <c r="D5193" t="s">
        <v>23500</v>
      </c>
      <c r="E5193" t="s">
        <v>28014</v>
      </c>
    </row>
    <row r="5194" spans="1:5">
      <c r="A5194" t="s">
        <v>6</v>
      </c>
      <c r="B5194" t="s">
        <v>5199</v>
      </c>
      <c r="C5194">
        <f>HYPERLINK("C:\Users\franc\OneDrive\Documentos\MALENTIN KARIME\PROMESAS\ALAMIRO ZUÑIGA PIZARRO.doc", "Abrir Documento")</f>
        <v>0</v>
      </c>
      <c r="D5194" t="s">
        <v>23500</v>
      </c>
      <c r="E5194" t="s">
        <v>28015</v>
      </c>
    </row>
    <row r="5195" spans="1:5">
      <c r="A5195" t="s">
        <v>6</v>
      </c>
      <c r="B5195" t="s">
        <v>5200</v>
      </c>
      <c r="C5195">
        <f>HYPERLINK("C:\Users\franc\OneDrive\Documentos\MALENTIN KARIME\PRENDAS\UVA\SERGIO RIVERA Y SOC AGRICOLA MAL PASO.doc", "Abrir Documento")</f>
        <v>0</v>
      </c>
      <c r="D5195" t="s">
        <v>23500</v>
      </c>
      <c r="E5195" t="s">
        <v>28016</v>
      </c>
    </row>
    <row r="5196" spans="1:5">
      <c r="A5196" t="s">
        <v>6</v>
      </c>
      <c r="B5196" t="s">
        <v>5201</v>
      </c>
      <c r="C5196">
        <f>HYPERLINK("C:\Users\franc\OneDrive\Documentos\MALENTIN KARIME\PRENDAS\2015\RENATO GUERRA Alzamiento.doc", "Abrir Documento")</f>
        <v>0</v>
      </c>
      <c r="D5196" t="s">
        <v>23500</v>
      </c>
      <c r="E5196" t="s">
        <v>28017</v>
      </c>
    </row>
    <row r="5197" spans="1:5">
      <c r="A5197" t="s">
        <v>6</v>
      </c>
      <c r="B5197" t="s">
        <v>5202</v>
      </c>
      <c r="C5197">
        <f>HYPERLINK("C:\Users\franc\OneDrive\Documentos\MALENTIN KARIME\PRENDAS\2015\MARIA LARRONDO JAIME Y Coopeval.doc", "Abrir Documento")</f>
        <v>0</v>
      </c>
      <c r="D5197" t="s">
        <v>23500</v>
      </c>
      <c r="E5197" t="s">
        <v>28018</v>
      </c>
    </row>
    <row r="5198" spans="1:5">
      <c r="A5198" t="s">
        <v>6</v>
      </c>
      <c r="B5198" t="s">
        <v>5203</v>
      </c>
      <c r="C5198">
        <f>HYPERLINK("C:\Users\franc\OneDrive\Documentos\MALENTIN KARIME\PRENDAS\SOCIEDAD DE TRANSPORTES ALZER Alzam.doc", "Abrir Documento")</f>
        <v>0</v>
      </c>
      <c r="D5198" t="s">
        <v>23500</v>
      </c>
      <c r="E5198" t="s">
        <v>28019</v>
      </c>
    </row>
    <row r="5199" spans="1:5">
      <c r="A5199" t="s">
        <v>6</v>
      </c>
      <c r="B5199" t="s">
        <v>5204</v>
      </c>
      <c r="C5199">
        <f>HYPERLINK("C:\Users\franc\OneDrive\Documentos\MALENTIN KARIME\PRENDAS\SOCIEDAD DE TRANSPORTES ALZER Alzam PRIVADO.doc", "Abrir Documento")</f>
        <v>0</v>
      </c>
      <c r="D5199" t="s">
        <v>23500</v>
      </c>
      <c r="E5199" t="s">
        <v>28020</v>
      </c>
    </row>
    <row r="5200" spans="1:5">
      <c r="A5200" t="s">
        <v>6</v>
      </c>
      <c r="B5200" t="s">
        <v>5205</v>
      </c>
      <c r="C5200">
        <f>HYPERLINK("C:\Users\franc\OneDrive\Documentos\MALENTIN KARIME\PRENDAS\SOCIEDAD DE TRANSPORTES ALZER Alzam PRIVADO 2.doc", "Abrir Documento")</f>
        <v>0</v>
      </c>
      <c r="D5200" t="s">
        <v>23500</v>
      </c>
      <c r="E5200" t="s">
        <v>28021</v>
      </c>
    </row>
    <row r="5201" spans="1:5">
      <c r="A5201" t="s">
        <v>6</v>
      </c>
      <c r="B5201" t="s">
        <v>5206</v>
      </c>
      <c r="C5201">
        <f>HYPERLINK("C:\Users\franc\OneDrive\Documentos\MALENTIN KARIME\PRENDAS\SOCIEDAD AGRICOLA LOS PRIMOS A copeval  (Carro y Remolque).doc", "Abrir Documento")</f>
        <v>0</v>
      </c>
      <c r="D5201" t="s">
        <v>23500</v>
      </c>
      <c r="E5201" t="s">
        <v>28022</v>
      </c>
    </row>
    <row r="5202" spans="1:5">
      <c r="A5202" t="s">
        <v>6</v>
      </c>
      <c r="B5202" t="s">
        <v>5207</v>
      </c>
      <c r="C5202">
        <f>HYPERLINK("C:\Users\franc\OneDrive\Documentos\MALENTIN KARIME\PRENDAS\pagare.doc", "Abrir Documento")</f>
        <v>0</v>
      </c>
      <c r="D5202" t="s">
        <v>23500</v>
      </c>
      <c r="E5202" t="s">
        <v>28023</v>
      </c>
    </row>
    <row r="5203" spans="1:5">
      <c r="A5203" t="s">
        <v>6</v>
      </c>
      <c r="B5203" t="s">
        <v>5208</v>
      </c>
      <c r="C5203">
        <f>HYPERLINK("C:\Users\franc\OneDrive\Documentos\MALENTIN KARIME\PRENDAS\INVERSIONES TALQUILLA A Del Monte Dic 14.doc", "Abrir Documento")</f>
        <v>0</v>
      </c>
      <c r="D5203" t="s">
        <v>23500</v>
      </c>
      <c r="E5203" t="s">
        <v>28024</v>
      </c>
    </row>
    <row r="5204" spans="1:5">
      <c r="A5204" t="s">
        <v>6</v>
      </c>
      <c r="B5204" t="s">
        <v>5209</v>
      </c>
      <c r="C5204">
        <f>HYPERLINK("C:\Users\franc\OneDrive\Documentos\MALENTIN KARIME\PRENDAS\MIRTA GALLARDO A SOUTHERN FRUIT Nov 12.doc", "Abrir Documento")</f>
        <v>0</v>
      </c>
      <c r="D5204" t="s">
        <v>23500</v>
      </c>
      <c r="E5204" t="s">
        <v>28024</v>
      </c>
    </row>
    <row r="5205" spans="1:5">
      <c r="A5205" t="s">
        <v>6</v>
      </c>
      <c r="B5205" t="s">
        <v>5210</v>
      </c>
      <c r="C5205">
        <f>HYPERLINK("C:\Users\franc\OneDrive\Documentos\MALENTIN KARIME\PRENDAS\INVERSIONES TALQUILLA A Del Monte Dic 14 NUEVA FINAL2 PARTE visto bueno.doc", "Abrir Documento")</f>
        <v>0</v>
      </c>
      <c r="D5205" t="s">
        <v>23500</v>
      </c>
      <c r="E5205" t="s">
        <v>28025</v>
      </c>
    </row>
    <row r="5206" spans="1:5">
      <c r="A5206" t="s">
        <v>6</v>
      </c>
      <c r="B5206" t="s">
        <v>5211</v>
      </c>
      <c r="C5206">
        <f>HYPERLINK("C:\Users\franc\OneDrive\Documentos\MALENTIN KARIME\PRENDAS\INVERSIONES TALQUILLA A Del Monte Dic 14 NUEVA FINAL2 PARTE.doc", "Abrir Documento")</f>
        <v>0</v>
      </c>
      <c r="D5206" t="s">
        <v>23500</v>
      </c>
      <c r="E5206" t="s">
        <v>28025</v>
      </c>
    </row>
    <row r="5207" spans="1:5">
      <c r="A5207" t="s">
        <v>6</v>
      </c>
      <c r="B5207" t="s">
        <v>5212</v>
      </c>
      <c r="C5207">
        <f>HYPERLINK("C:\Users\franc\OneDrive\Documentos\MALENTIN KARIME\PRENDAS\INVERSIONES TALQUILLA A Del Monte Dic 14 NUEVA FINAL visto bueno.doc", "Abrir Documento")</f>
        <v>0</v>
      </c>
      <c r="D5207" t="s">
        <v>23500</v>
      </c>
      <c r="E5207" t="s">
        <v>28026</v>
      </c>
    </row>
    <row r="5208" spans="1:5">
      <c r="A5208" t="s">
        <v>6</v>
      </c>
      <c r="B5208" t="s">
        <v>5213</v>
      </c>
      <c r="C5208">
        <f>HYPERLINK("C:\Users\franc\OneDrive\Documentos\MALENTIN KARIME\PRENDAS\INVERSIONES TALQUILLA A Del Monte Dic 14 NUEVA FINAL.doc", "Abrir Documento")</f>
        <v>0</v>
      </c>
      <c r="D5208" t="s">
        <v>23500</v>
      </c>
      <c r="E5208" t="s">
        <v>28026</v>
      </c>
    </row>
    <row r="5209" spans="1:5">
      <c r="A5209" t="s">
        <v>6</v>
      </c>
      <c r="B5209" t="s">
        <v>5214</v>
      </c>
      <c r="C5209">
        <f>HYPERLINK("C:\Users\franc\OneDrive\Documentos\MALENTIN KARIME\PRENDAS\humberto aguirre y soc. mal paso RECTI.doc", "Abrir Documento")</f>
        <v>0</v>
      </c>
      <c r="D5209" t="s">
        <v>23500</v>
      </c>
      <c r="E5209" t="s">
        <v>28027</v>
      </c>
    </row>
    <row r="5210" spans="1:5">
      <c r="A5210" t="s">
        <v>6</v>
      </c>
      <c r="B5210" t="s">
        <v>5215</v>
      </c>
      <c r="C5210">
        <f>HYPERLINK("C:\Users\franc\OneDrive\Documentos\MALENTIN KARIME\PRENDAS\humberto aguirre.doc", "Abrir Documento")</f>
        <v>0</v>
      </c>
      <c r="D5210" t="s">
        <v>23500</v>
      </c>
      <c r="E5210" t="s">
        <v>28027</v>
      </c>
    </row>
    <row r="5211" spans="1:5">
      <c r="A5211" t="s">
        <v>6</v>
      </c>
      <c r="B5211" t="s">
        <v>5216</v>
      </c>
      <c r="C5211">
        <f>HYPERLINK("C:\Users\franc\OneDrive\Documentos\MALENTIN KARIME\PRENDAS\HUMBERTO AGUIRRE SA A RIO BLANCO.doc", "Abrir Documento")</f>
        <v>0</v>
      </c>
      <c r="D5211" t="s">
        <v>23500</v>
      </c>
      <c r="E5211" t="s">
        <v>28028</v>
      </c>
    </row>
    <row r="5212" spans="1:5">
      <c r="A5212" t="s">
        <v>6</v>
      </c>
      <c r="B5212" t="s">
        <v>5217</v>
      </c>
      <c r="C5212">
        <f>HYPERLINK("C:\Users\franc\OneDrive\Documentos\MALENTIN KARIME\PRENDAS\HERMAN CARVAJAL A MARCELO ONETTO DIC 2011.doc", "Abrir Documento")</f>
        <v>0</v>
      </c>
      <c r="D5212" t="s">
        <v>23500</v>
      </c>
      <c r="E5212" t="s">
        <v>28029</v>
      </c>
    </row>
    <row r="5213" spans="1:5">
      <c r="A5213" t="s">
        <v>6</v>
      </c>
      <c r="B5213" t="s">
        <v>5218</v>
      </c>
      <c r="C5213">
        <f>HYPERLINK("C:\Users\franc\OneDrive\Documentos\MALENTIN KARIME\PRENDAS\FERANCISCO BOU VILLADA A SOUTHERN FRUIT Nov 12.doc", "Abrir Documento")</f>
        <v>0</v>
      </c>
      <c r="D5213" t="s">
        <v>23500</v>
      </c>
      <c r="E5213" t="s">
        <v>28030</v>
      </c>
    </row>
    <row r="5214" spans="1:5">
      <c r="A5214" t="s">
        <v>6</v>
      </c>
      <c r="B5214" t="s">
        <v>5219</v>
      </c>
      <c r="C5214">
        <f>HYPERLINK("C:\Users\franc\OneDrive\Documentos\MALENTIN KARIME\PRENDAS\FACTORONE Y Karem Cortes Prenda dic 14.doc", "Abrir Documento")</f>
        <v>0</v>
      </c>
      <c r="D5214" t="s">
        <v>23500</v>
      </c>
      <c r="E5214" t="s">
        <v>28031</v>
      </c>
    </row>
    <row r="5215" spans="1:5">
      <c r="A5215" t="s">
        <v>6</v>
      </c>
      <c r="B5215" t="s">
        <v>5220</v>
      </c>
      <c r="C5215">
        <f>HYPERLINK("C:\Users\franc\OneDrive\Documentos\MALENTIN KARIME\PRENDAS\DEL MONTE Y LA GREDA.doc", "Abrir Documento")</f>
        <v>0</v>
      </c>
      <c r="D5215" t="s">
        <v>23500</v>
      </c>
      <c r="E5215" t="s">
        <v>28032</v>
      </c>
    </row>
    <row r="5216" spans="1:5">
      <c r="A5216" t="s">
        <v>6</v>
      </c>
      <c r="B5216" t="s">
        <v>5221</v>
      </c>
      <c r="C5216">
        <f>HYPERLINK("C:\Users\franc\OneDrive\Documentos\MALENTIN KARIME\PRENDAS\COPEVAL y SOCIEDAD AGRICOLA  LOS PRIMOS A Agosto 14.doc", "Abrir Documento")</f>
        <v>0</v>
      </c>
      <c r="D5216" t="s">
        <v>23500</v>
      </c>
      <c r="E5216" t="s">
        <v>28033</v>
      </c>
    </row>
    <row r="5217" spans="1:5">
      <c r="A5217" t="s">
        <v>6</v>
      </c>
      <c r="B5217" t="s">
        <v>5222</v>
      </c>
      <c r="C5217">
        <f>HYPERLINK("C:\Users\franc\OneDrive\Documentos\MALENTIN KARIME\PRENDAS\COPEVAL A MANUEL DIAZ.doc", "Abrir Documento")</f>
        <v>0</v>
      </c>
      <c r="D5217" t="s">
        <v>23500</v>
      </c>
      <c r="E5217" t="s">
        <v>28034</v>
      </c>
    </row>
    <row r="5218" spans="1:5">
      <c r="A5218" t="s">
        <v>6</v>
      </c>
      <c r="B5218" t="s">
        <v>5223</v>
      </c>
      <c r="C5218">
        <f>HYPERLINK("C:\Users\franc\OneDrive\Documentos\MALENTIN KARIME\PRENDAS\COPEVAL y AGRICOLA SANTA ANDREA LIMITADA Agosto 14.doc", "Abrir Documento")</f>
        <v>0</v>
      </c>
      <c r="D5218" t="s">
        <v>23500</v>
      </c>
      <c r="E5218" t="s">
        <v>28034</v>
      </c>
    </row>
    <row r="5219" spans="1:5">
      <c r="A5219" t="s">
        <v>6</v>
      </c>
      <c r="B5219" t="s">
        <v>5224</v>
      </c>
      <c r="C5219">
        <f>HYPERLINK("C:\Users\franc\OneDrive\Documentos\MALENTIN KARIME\PRENDAS\CLEMENTE FUENTEALBA.doc", "Abrir Documento")</f>
        <v>0</v>
      </c>
      <c r="D5219" t="s">
        <v>23500</v>
      </c>
      <c r="E5219" t="s">
        <v>28035</v>
      </c>
    </row>
    <row r="5220" spans="1:5">
      <c r="A5220" t="s">
        <v>6</v>
      </c>
      <c r="B5220" t="s">
        <v>5225</v>
      </c>
      <c r="C5220">
        <f>HYPERLINK("C:\Users\franc\OneDrive\Documentos\MALENTIN KARIME\PRENDAS\CARTA DE INSTRUCCIONES.doc", "Abrir Documento")</f>
        <v>0</v>
      </c>
      <c r="D5220" t="s">
        <v>23500</v>
      </c>
      <c r="E5220" t="s">
        <v>28036</v>
      </c>
    </row>
    <row r="5221" spans="1:5">
      <c r="A5221" t="s">
        <v>6</v>
      </c>
      <c r="B5221" t="s">
        <v>5226</v>
      </c>
      <c r="C5221">
        <f>HYPERLINK("C:\Users\franc\OneDrive\Documentos\MALENTIN KARIME\PRENDAS\CARTA DE INSTRUCCIONES ii.doc", "Abrir Documento")</f>
        <v>0</v>
      </c>
      <c r="D5221" t="s">
        <v>23500</v>
      </c>
      <c r="E5221" t="s">
        <v>28037</v>
      </c>
    </row>
    <row r="5222" spans="1:5">
      <c r="A5222" t="s">
        <v>6</v>
      </c>
      <c r="B5222" t="s">
        <v>5227</v>
      </c>
      <c r="C5222">
        <f>HYPERLINK("C:\Users\franc\OneDrive\Documentos\MALENTIN KARIME\pendientes\PERFECTO OLIVARES TAPIA Y OTROS Sucesion.doc", "Abrir Documento")</f>
        <v>0</v>
      </c>
      <c r="D5222" t="s">
        <v>23500</v>
      </c>
      <c r="E5222" t="s">
        <v>28038</v>
      </c>
    </row>
    <row r="5223" spans="1:5">
      <c r="A5223" t="s">
        <v>6</v>
      </c>
      <c r="B5223" t="s">
        <v>5228</v>
      </c>
      <c r="C5223">
        <f>HYPERLINK("C:\Users\franc\OneDrive\Documentos\MALENTIN KARIME\pendientes\PATRICIA ALFARO rect mandato.doc", "Abrir Documento")</f>
        <v>0</v>
      </c>
      <c r="D5223" t="s">
        <v>23500</v>
      </c>
      <c r="E5223" t="s">
        <v>28039</v>
      </c>
    </row>
    <row r="5224" spans="1:5">
      <c r="A5224" t="s">
        <v>6</v>
      </c>
      <c r="B5224" t="s">
        <v>5229</v>
      </c>
      <c r="C5224">
        <f>HYPERLINK("C:\Users\franc\OneDrive\Documentos\MALENTIN KARIME\pendientes\NOLFA AROS PIÑONES y Mauricio ALfaro Cancelacion.doc", "Abrir Documento")</f>
        <v>0</v>
      </c>
      <c r="D5224" t="s">
        <v>23500</v>
      </c>
      <c r="E5224" t="s">
        <v>28040</v>
      </c>
    </row>
    <row r="5225" spans="1:5">
      <c r="A5225" t="s">
        <v>6</v>
      </c>
      <c r="B5225" t="s">
        <v>5230</v>
      </c>
      <c r="C5225">
        <f>HYPERLINK("C:\Users\franc\OneDrive\Documentos\MALENTIN KARIME\pendientes\COMPRAVENTA PEDRO CORTES A LEONARDO CORTES.doc", "Abrir Documento")</f>
        <v>0</v>
      </c>
      <c r="D5225" t="s">
        <v>23500</v>
      </c>
      <c r="E5225" t="s">
        <v>28041</v>
      </c>
    </row>
    <row r="5226" spans="1:5">
      <c r="A5226" t="s">
        <v>6</v>
      </c>
      <c r="B5226" t="s">
        <v>5231</v>
      </c>
      <c r="C5226">
        <f>HYPERLINK("C:\Users\franc\OneDrive\Documentos\MALENTIN KARIME\pendientes\CESION DERECHOS HEREDITARIOS_bella   Albanez a Olga Cortes.doc", "Abrir Documento")</f>
        <v>0</v>
      </c>
      <c r="D5226" t="s">
        <v>23500</v>
      </c>
      <c r="E5226" t="s">
        <v>28042</v>
      </c>
    </row>
    <row r="5227" spans="1:5">
      <c r="A5227" t="s">
        <v>6</v>
      </c>
      <c r="B5227" t="s">
        <v>5232</v>
      </c>
      <c r="C5227">
        <f>HYPERLINK("C:\Users\franc\OneDrive\Documentos\MALENTIN KARIME\pendientes\CESION DE DERECHOS HEREDITARIO Willson Pereira.doc", "Abrir Documento")</f>
        <v>0</v>
      </c>
      <c r="D5227" t="s">
        <v>23500</v>
      </c>
      <c r="E5227" t="s">
        <v>28043</v>
      </c>
    </row>
    <row r="5228" spans="1:5">
      <c r="A5228" t="s">
        <v>6</v>
      </c>
      <c r="B5228" t="s">
        <v>5233</v>
      </c>
      <c r="C5228">
        <f>HYPERLINK("C:\Users\franc\OneDrive\Documentos\MALENTIN KARIME\pendientes\ANIVIEN  MANUFACTURA.doc", "Abrir Documento")</f>
        <v>0</v>
      </c>
      <c r="D5228" t="s">
        <v>23500</v>
      </c>
      <c r="E5228" t="s">
        <v>28044</v>
      </c>
    </row>
    <row r="5229" spans="1:5">
      <c r="A5229" t="s">
        <v>6</v>
      </c>
      <c r="B5229" t="s">
        <v>5234</v>
      </c>
      <c r="C5229">
        <f>HYPERLINK("C:\Users\franc\OneDrive\Documentos\MALENTIN KARIME\pendientes\CARMEN JORQUERA BUGUEÑO A Waldo Ledezma cony administrador tierra y agua.doc", "Abrir Documento")</f>
        <v>0</v>
      </c>
      <c r="D5229" t="s">
        <v>23500</v>
      </c>
      <c r="E5229" t="s">
        <v>28044</v>
      </c>
    </row>
    <row r="5230" spans="1:5">
      <c r="A5230" t="s">
        <v>6</v>
      </c>
      <c r="B5230" t="s">
        <v>5235</v>
      </c>
      <c r="C5230">
        <f>HYPERLINK("C:\Users\franc\OneDrive\Documentos\MALENTIN KARIME\pendientes\ANGELICA ARAYA ARANCIBIA reducción CAJ.doc", "Abrir Documento")</f>
        <v>0</v>
      </c>
      <c r="D5230" t="s">
        <v>23500</v>
      </c>
      <c r="E5230" t="s">
        <v>28045</v>
      </c>
    </row>
    <row r="5231" spans="1:5">
      <c r="A5231" t="s">
        <v>6</v>
      </c>
      <c r="B5231" t="s">
        <v>5236</v>
      </c>
      <c r="C5231">
        <f>HYPERLINK("C:\Users\franc\OneDrive\Documentos\MALENTIN KARIME\pendientes\ANGELICA ARAYA ARANCIBIA 2reducción CAJ.doc", "Abrir Documento")</f>
        <v>0</v>
      </c>
      <c r="D5231" t="s">
        <v>23500</v>
      </c>
      <c r="E5231" t="s">
        <v>28046</v>
      </c>
    </row>
    <row r="5232" spans="1:5">
      <c r="A5232" t="s">
        <v>6</v>
      </c>
      <c r="B5232" t="s">
        <v>5237</v>
      </c>
      <c r="C5232">
        <f>HYPERLINK("C:\Users\franc\OneDrive\Documentos\MALENTIN KARIME\pendientes\ANA ORTIZ GARCIA cesion derechos.doc", "Abrir Documento")</f>
        <v>0</v>
      </c>
      <c r="D5232" t="s">
        <v>23500</v>
      </c>
      <c r="E5232" t="s">
        <v>28047</v>
      </c>
    </row>
    <row r="5233" spans="1:5">
      <c r="A5233" t="s">
        <v>6</v>
      </c>
      <c r="B5233" t="s">
        <v>5238</v>
      </c>
      <c r="C5233">
        <f>HYPERLINK("C:\Users\franc\OneDrive\Documentos\MALENTIN KARIME\pendientes\ANA GUILLERMINA CASTRO CASTRO  Prohibicion Serviu.doc", "Abrir Documento")</f>
        <v>0</v>
      </c>
      <c r="D5233" t="s">
        <v>23500</v>
      </c>
      <c r="E5233" t="s">
        <v>28048</v>
      </c>
    </row>
    <row r="5234" spans="1:5">
      <c r="A5234" t="s">
        <v>6</v>
      </c>
      <c r="B5234" t="s">
        <v>5239</v>
      </c>
      <c r="C5234">
        <f>HYPERLINK("C:\Users\franc\OneDrive\Documentos\MALENTIN KARIME\pendientes\AMANDA DEL CARMEN BARRAZA BARRAZA, Compraventa derecho y tierra.doc", "Abrir Documento")</f>
        <v>0</v>
      </c>
      <c r="D5234" t="s">
        <v>23500</v>
      </c>
      <c r="E5234" t="s">
        <v>28049</v>
      </c>
    </row>
    <row r="5235" spans="1:5">
      <c r="A5235" t="s">
        <v>6</v>
      </c>
      <c r="B5235" t="s">
        <v>5240</v>
      </c>
      <c r="C5235">
        <f>HYPERLINK("C:\Users\franc\OneDrive\Documentos\MALENTIN KARIME\pendientes\AMANDA BARRAZA BARRAZA aguas.doc", "Abrir Documento")</f>
        <v>0</v>
      </c>
      <c r="D5235" t="s">
        <v>23500</v>
      </c>
      <c r="E5235" t="s">
        <v>28050</v>
      </c>
    </row>
    <row r="5236" spans="1:5">
      <c r="A5236" t="s">
        <v>6</v>
      </c>
      <c r="B5236" t="s">
        <v>5241</v>
      </c>
      <c r="C5236">
        <f>HYPERLINK("C:\Users\franc\OneDrive\Documentos\MALENTIN KARIME\PATRICIO CASTRO\SUCESION MIRANDA A ROBERTO VEGA.doc", "Abrir Documento")</f>
        <v>0</v>
      </c>
      <c r="D5236" t="s">
        <v>23500</v>
      </c>
      <c r="E5236" t="s">
        <v>28051</v>
      </c>
    </row>
    <row r="5237" spans="1:5">
      <c r="A5237" t="s">
        <v>6</v>
      </c>
      <c r="B5237" t="s">
        <v>5242</v>
      </c>
      <c r="C5237">
        <f>HYPERLINK("C:\Users\franc\OneDrive\Documentos\MALENTIN KARIME\PATRICIO CASTRO\PAGARE A PLAZO_Novoa.doc", "Abrir Documento")</f>
        <v>0</v>
      </c>
      <c r="D5237" t="s">
        <v>23500</v>
      </c>
      <c r="E5237" t="s">
        <v>28052</v>
      </c>
    </row>
    <row r="5238" spans="1:5">
      <c r="A5238" t="s">
        <v>6</v>
      </c>
      <c r="B5238" t="s">
        <v>5243</v>
      </c>
      <c r="C5238">
        <f>HYPERLINK("C:\Users\franc\OneDrive\Documentos\MALENTIN KARIME\PATRICIA ALFARO\2017\RAUL VEGA y Clara Barraza liquidación sociedad conyugal.doc", "Abrir Documento")</f>
        <v>0</v>
      </c>
      <c r="D5238" t="s">
        <v>23500</v>
      </c>
      <c r="E5238" t="s">
        <v>28053</v>
      </c>
    </row>
    <row r="5239" spans="1:5">
      <c r="A5239" t="s">
        <v>6</v>
      </c>
      <c r="B5239" t="s">
        <v>5244</v>
      </c>
      <c r="C5239">
        <f>HYPERLINK("C:\Users\franc\OneDrive\Documentos\MALENTIN KARIME\PATRICIA ALFARO\2019\EXTRACTO Salazar Araya ltda. (3).doc", "Abrir Documento")</f>
        <v>0</v>
      </c>
      <c r="D5239" t="s">
        <v>23500</v>
      </c>
      <c r="E5239" t="s">
        <v>28053</v>
      </c>
    </row>
    <row r="5240" spans="1:5">
      <c r="A5240" t="s">
        <v>6</v>
      </c>
      <c r="B5240" t="s">
        <v>5245</v>
      </c>
      <c r="C5240">
        <f>HYPERLINK("C:\Users\franc\OneDrive\Documentos\MALENTIN KARIME\PATRICIA ALFARO\2017\NANCY JULIO A ELENA JULIO 2018.doc", "Abrir Documento")</f>
        <v>0</v>
      </c>
      <c r="D5240" t="s">
        <v>23500</v>
      </c>
      <c r="E5240" t="s">
        <v>28054</v>
      </c>
    </row>
    <row r="5241" spans="1:5">
      <c r="A5241" t="s">
        <v>6</v>
      </c>
      <c r="B5241" t="s">
        <v>5246</v>
      </c>
      <c r="C5241">
        <f>HYPERLINK("C:\Users\franc\OneDrive\Documentos\MALENTIN KARIME\PATRICIA ALFARO\2017\MANUEL ROBLES ARAYA A Samuel Villarrroel borrador adjudicación.doc", "Abrir Documento")</f>
        <v>0</v>
      </c>
      <c r="D5241" t="s">
        <v>23500</v>
      </c>
      <c r="E5241" t="s">
        <v>28055</v>
      </c>
    </row>
    <row r="5242" spans="1:5">
      <c r="A5242" t="s">
        <v>6</v>
      </c>
      <c r="B5242" t="s">
        <v>5247</v>
      </c>
      <c r="C5242">
        <f>HYPERLINK("C:\Users\franc\OneDrive\Documentos\MALENTIN KARIME\PATRICIA ALFARO\2017\MARIA JULIO A Elena Julio mandato minuta.doc", "Abrir Documento")</f>
        <v>0</v>
      </c>
      <c r="D5242" t="s">
        <v>23500</v>
      </c>
      <c r="E5242" t="s">
        <v>28055</v>
      </c>
    </row>
    <row r="5243" spans="1:5">
      <c r="A5243" t="s">
        <v>6</v>
      </c>
      <c r="B5243" t="s">
        <v>5248</v>
      </c>
      <c r="C5243">
        <f>HYPERLINK("C:\Users\franc\OneDrive\Documentos\MALENTIN KARIME\PATRICIA ALFARO\2017\liquidacion comunidad_Moroso.doc", "Abrir Documento")</f>
        <v>0</v>
      </c>
      <c r="D5243" t="s">
        <v>23500</v>
      </c>
      <c r="E5243" t="s">
        <v>28056</v>
      </c>
    </row>
    <row r="5244" spans="1:5">
      <c r="A5244" t="s">
        <v>6</v>
      </c>
      <c r="B5244" t="s">
        <v>5249</v>
      </c>
      <c r="C5244">
        <f>HYPERLINK("C:\Users\franc\OneDrive\Documentos\MALENTIN KARIME\PATRICIA ALFARO\2017\MANUEL ROBLES ARAYA A Samuel Villarrroel adjudicación.doc", "Abrir Documento")</f>
        <v>0</v>
      </c>
      <c r="D5244" t="s">
        <v>23500</v>
      </c>
      <c r="E5244" t="s">
        <v>28056</v>
      </c>
    </row>
    <row r="5245" spans="1:5">
      <c r="A5245" t="s">
        <v>6</v>
      </c>
      <c r="B5245" t="s">
        <v>5250</v>
      </c>
      <c r="C5245">
        <f>HYPERLINK("C:\Users\franc\OneDrive\Documentos\MALENTIN KARIME\PATRICIA ALFARO\2017\IPS y CRISPILIANO ROJAS.doc", "Abrir Documento")</f>
        <v>0</v>
      </c>
      <c r="D5245" t="s">
        <v>23500</v>
      </c>
      <c r="E5245" t="s">
        <v>28057</v>
      </c>
    </row>
    <row r="5246" spans="1:5">
      <c r="A5246" t="s">
        <v>6</v>
      </c>
      <c r="B5246" t="s">
        <v>5251</v>
      </c>
      <c r="C5246">
        <f>HYPERLINK("C:\Users\franc\OneDrive\Documentos\MALENTIN KARIME\PATRICIA ALFARO\2017\Complementa y rectifica  escritura_carslo veliz.doc", "Abrir Documento")</f>
        <v>0</v>
      </c>
      <c r="D5246" t="s">
        <v>23500</v>
      </c>
      <c r="E5246" t="s">
        <v>28058</v>
      </c>
    </row>
    <row r="5247" spans="1:5">
      <c r="A5247" t="s">
        <v>6</v>
      </c>
      <c r="B5247" t="s">
        <v>5252</v>
      </c>
      <c r="C5247">
        <f>HYPERLINK("C:\Users\franc\OneDrive\Documentos\MALENTIN KARIME\PATRICIA ALFARO\2017\GUILLERMO CONTRERAS CASTRO Y OTROS partición.doc", "Abrir Documento")</f>
        <v>0</v>
      </c>
      <c r="D5247" t="s">
        <v>23500</v>
      </c>
      <c r="E5247" t="s">
        <v>28058</v>
      </c>
    </row>
    <row r="5248" spans="1:5">
      <c r="A5248" t="s">
        <v>6</v>
      </c>
      <c r="B5248" t="s">
        <v>5253</v>
      </c>
      <c r="C5248">
        <f>HYPERLINK("C:\Users\franc\OneDrive\Documentos\MALENTIN KARIME\PATRICIA ALFARO\2016\SUCESION IBACACHE partic aguas.doc", "Abrir Documento")</f>
        <v>0</v>
      </c>
      <c r="D5248" t="s">
        <v>23500</v>
      </c>
      <c r="E5248" t="s">
        <v>28059</v>
      </c>
    </row>
    <row r="5249" spans="1:5">
      <c r="A5249" t="s">
        <v>6</v>
      </c>
      <c r="B5249" t="s">
        <v>5254</v>
      </c>
      <c r="C5249">
        <f>HYPERLINK("C:\Users\franc\OneDrive\Documentos\MALENTIN KARIME\PATRICIA ALFARO\2017\COMERCIALIZADORA MARIA NOVOA A Boris Carmona 2018.doc", "Abrir Documento")</f>
        <v>0</v>
      </c>
      <c r="D5249" t="s">
        <v>23500</v>
      </c>
      <c r="E5249" t="s">
        <v>28059</v>
      </c>
    </row>
    <row r="5250" spans="1:5">
      <c r="A5250" t="s">
        <v>6</v>
      </c>
      <c r="B5250" t="s">
        <v>5255</v>
      </c>
      <c r="C5250">
        <f>HYPERLINK("C:\Users\franc\OneDrive\Documentos\MALENTIN KARIME\PATRICIA ALFARO\2016\SOC AGRICOLA SANTA ROSA Rectifica.doc", "Abrir Documento")</f>
        <v>0</v>
      </c>
      <c r="D5250" t="s">
        <v>23500</v>
      </c>
      <c r="E5250" t="s">
        <v>28060</v>
      </c>
    </row>
    <row r="5251" spans="1:5">
      <c r="A5251" t="s">
        <v>6</v>
      </c>
      <c r="B5251" t="s">
        <v>5256</v>
      </c>
      <c r="C5251">
        <f>HYPERLINK("C:\Users\franc\OneDrive\Documentos\MALENTIN KARIME\PATRICIA ALFARO\2016\SOC COM AGRICOLA SANTA ROSA LTDA Modificacion.doc", "Abrir Documento")</f>
        <v>0</v>
      </c>
      <c r="D5251" t="s">
        <v>23500</v>
      </c>
      <c r="E5251" t="s">
        <v>28060</v>
      </c>
    </row>
    <row r="5252" spans="1:5">
      <c r="A5252" t="s">
        <v>6</v>
      </c>
      <c r="B5252" t="s">
        <v>5257</v>
      </c>
      <c r="C5252">
        <f>HYPERLINK("C:\Users\franc\OneDrive\Documentos\MALENTIN KARIME\PATRICIA ALFARO\2016\ROSSANA REYES Y Carlos Pérez Liquidacion.doc", "Abrir Documento")</f>
        <v>0</v>
      </c>
      <c r="D5252" t="s">
        <v>23500</v>
      </c>
      <c r="E5252" t="s">
        <v>28061</v>
      </c>
    </row>
    <row r="5253" spans="1:5">
      <c r="A5253" t="s">
        <v>6</v>
      </c>
      <c r="B5253" t="s">
        <v>5258</v>
      </c>
      <c r="C5253">
        <f>HYPERLINK("C:\Users\franc\OneDrive\Documentos\MALENTIN KARIME\PATRICIA ALFARO\2016\EXTRACTO Santa Rosa rectifica.doc", "Abrir Documento")</f>
        <v>0</v>
      </c>
      <c r="D5253" t="s">
        <v>23500</v>
      </c>
      <c r="E5253" t="s">
        <v>28062</v>
      </c>
    </row>
    <row r="5254" spans="1:5">
      <c r="A5254" t="s">
        <v>6</v>
      </c>
      <c r="B5254" t="s">
        <v>5259</v>
      </c>
      <c r="C5254">
        <f>HYPERLINK("C:\Users\franc\OneDrive\Documentos\MALENTIN KARIME\PATRICIA ALFARO\2016\PATRICIA RIVERA Y JORGE MALDONADO Liquidacion.doc", "Abrir Documento")</f>
        <v>0</v>
      </c>
      <c r="D5254" t="s">
        <v>23500</v>
      </c>
      <c r="E5254" t="s">
        <v>28062</v>
      </c>
    </row>
    <row r="5255" spans="1:5">
      <c r="A5255" t="s">
        <v>6</v>
      </c>
      <c r="B5255" t="s">
        <v>5260</v>
      </c>
      <c r="C5255">
        <f>HYPERLINK("C:\Users\franc\OneDrive\Documentos\MALENTIN KARIME\PATRICIA ALFARO\2016\extracto modificacion sociedad_ santa rosa.doc", "Abrir Documento")</f>
        <v>0</v>
      </c>
      <c r="D5255" t="s">
        <v>23500</v>
      </c>
      <c r="E5255" t="s">
        <v>28063</v>
      </c>
    </row>
    <row r="5256" spans="1:5">
      <c r="A5256" t="s">
        <v>6</v>
      </c>
      <c r="B5256" t="s">
        <v>5261</v>
      </c>
      <c r="C5256">
        <f>HYPERLINK("C:\Users\franc\OneDrive\Documentos\MALENTIN KARIME\PATRICIA ALFARO\2015\_Driscolls de Chile.doc", "Abrir Documento")</f>
        <v>0</v>
      </c>
      <c r="D5256" t="s">
        <v>23500</v>
      </c>
      <c r="E5256" t="s">
        <v>28064</v>
      </c>
    </row>
    <row r="5257" spans="1:5">
      <c r="A5257" t="s">
        <v>6</v>
      </c>
      <c r="B5257" t="s">
        <v>5262</v>
      </c>
      <c r="C5257">
        <f>HYPERLINK("C:\Users\franc\OneDrive\Documentos\MALENTIN KARIME\PATRICIA ALFARO\2015\YANISA HECKESDORF A Isabel Cortes, Remate.doc", "Abrir Documento")</f>
        <v>0</v>
      </c>
      <c r="D5257" t="s">
        <v>23500</v>
      </c>
      <c r="E5257" t="s">
        <v>28065</v>
      </c>
    </row>
    <row r="5258" spans="1:5">
      <c r="A5258" t="s">
        <v>6</v>
      </c>
      <c r="B5258" t="s">
        <v>5263</v>
      </c>
      <c r="C5258">
        <f>HYPERLINK("C:\Users\franc\OneDrive\Documentos\MALENTIN KARIME\PATRICIA ALFARO\2015\VALDOMERO MAYEA PARRA Y Otros Particion.doc", "Abrir Documento")</f>
        <v>0</v>
      </c>
      <c r="D5258" t="s">
        <v>23500</v>
      </c>
      <c r="E5258" t="s">
        <v>28066</v>
      </c>
    </row>
    <row r="5259" spans="1:5">
      <c r="A5259" t="s">
        <v>6</v>
      </c>
      <c r="B5259" t="s">
        <v>5264</v>
      </c>
      <c r="C5259">
        <f>HYPERLINK("C:\Users\franc\OneDrive\Documentos\MALENTIN KARIME\PATRICIA ALFARO\2015\SUCESION MILLA ROJAS PARTICION  Tierra.doc", "Abrir Documento")</f>
        <v>0</v>
      </c>
      <c r="D5259" t="s">
        <v>23500</v>
      </c>
      <c r="E5259" t="s">
        <v>28067</v>
      </c>
    </row>
    <row r="5260" spans="1:5">
      <c r="A5260" t="s">
        <v>6</v>
      </c>
      <c r="B5260" t="s">
        <v>5265</v>
      </c>
      <c r="C5260">
        <f>HYPERLINK("C:\Users\franc\OneDrive\Documentos\MALENTIN KARIME\PATRICIA ALFARO\2015\SUCESION MILLA ROJAS PARTICION conservador.doc", "Abrir Documento")</f>
        <v>0</v>
      </c>
      <c r="D5260" t="s">
        <v>23500</v>
      </c>
      <c r="E5260" t="s">
        <v>28067</v>
      </c>
    </row>
    <row r="5261" spans="1:5">
      <c r="A5261" t="s">
        <v>6</v>
      </c>
      <c r="B5261" t="s">
        <v>5266</v>
      </c>
      <c r="C5261">
        <f>HYPERLINK("C:\Users\franc\OneDrive\Documentos\MALENTIN KARIME\PATRICIA ALFARO\2015\SUCESION Araya Rojas Particion  TIERRA y SERVIDUMBRE.doc", "Abrir Documento")</f>
        <v>0</v>
      </c>
      <c r="D5261" t="s">
        <v>23500</v>
      </c>
      <c r="E5261" t="s">
        <v>28068</v>
      </c>
    </row>
    <row r="5262" spans="1:5">
      <c r="A5262" t="s">
        <v>6</v>
      </c>
      <c r="B5262" t="s">
        <v>5267</v>
      </c>
      <c r="C5262">
        <f>HYPERLINK("C:\Users\franc\OneDrive\Documentos\MALENTIN KARIME\PATRICIA ALFARO\2015\SUCESION Araya Rojas Particion AGUAS.doc", "Abrir Documento")</f>
        <v>0</v>
      </c>
      <c r="D5262" t="s">
        <v>23500</v>
      </c>
      <c r="E5262" t="s">
        <v>28068</v>
      </c>
    </row>
    <row r="5263" spans="1:5">
      <c r="A5263" t="s">
        <v>6</v>
      </c>
      <c r="B5263" t="s">
        <v>5268</v>
      </c>
      <c r="C5263">
        <f>HYPERLINK("C:\Users\franc\OneDrive\Documentos\MALENTIN KARIME\PATRICIA ALFARO\2015\PAGARE A PLAZO_Andres DElgado.doc", "Abrir Documento")</f>
        <v>0</v>
      </c>
      <c r="D5263" t="s">
        <v>23500</v>
      </c>
      <c r="E5263" t="s">
        <v>28069</v>
      </c>
    </row>
    <row r="5264" spans="1:5">
      <c r="A5264" t="s">
        <v>6</v>
      </c>
      <c r="B5264" t="s">
        <v>5269</v>
      </c>
      <c r="C5264">
        <f>HYPERLINK("C:\Users\franc\OneDrive\Documentos\MALENTIN KARIME\PATRICIA ALFARO\2015\MIRTA JOFRE Y CARMEN CONTRERAS Remate 2°.doc", "Abrir Documento")</f>
        <v>0</v>
      </c>
      <c r="D5264" t="s">
        <v>23500</v>
      </c>
      <c r="E5264" t="s">
        <v>28070</v>
      </c>
    </row>
    <row r="5265" spans="1:5">
      <c r="A5265" t="s">
        <v>6</v>
      </c>
      <c r="B5265" t="s">
        <v>5270</v>
      </c>
      <c r="C5265">
        <f>HYPERLINK("C:\Users\franc\OneDrive\Documentos\MALENTIN KARIME\PATRICIA ALFARO\2015\OSVALD PARRA Y OTROS liquidacion comunidad.doc", "Abrir Documento")</f>
        <v>0</v>
      </c>
      <c r="D5265" t="s">
        <v>23500</v>
      </c>
      <c r="E5265" t="s">
        <v>28070</v>
      </c>
    </row>
    <row r="5266" spans="1:5">
      <c r="A5266" t="s">
        <v>6</v>
      </c>
      <c r="B5266" t="s">
        <v>5271</v>
      </c>
      <c r="C5266">
        <f>HYPERLINK("C:\Users\franc\OneDrive\Documentos\MALENTIN KARIME\PATRICIA ALFARO\2015\ISMAEL ARAYA A ANDRES DELGADO E.I.R.L.Cesion.doc", "Abrir Documento")</f>
        <v>0</v>
      </c>
      <c r="D5266" t="s">
        <v>23500</v>
      </c>
      <c r="E5266" t="s">
        <v>28071</v>
      </c>
    </row>
    <row r="5267" spans="1:5">
      <c r="A5267" t="s">
        <v>6</v>
      </c>
      <c r="B5267" t="s">
        <v>5272</v>
      </c>
      <c r="C5267">
        <f>HYPERLINK("C:\Users\franc\OneDrive\Documentos\MALENTIN KARIME\PATRICIA ALFARO\2015\GREGORIO LEYTON A MANUEL MEDALLA Compraventa.doc", "Abrir Documento")</f>
        <v>0</v>
      </c>
      <c r="D5267" t="s">
        <v>23500</v>
      </c>
      <c r="E5267" t="s">
        <v>28072</v>
      </c>
    </row>
    <row r="5268" spans="1:5">
      <c r="A5268" t="s">
        <v>6</v>
      </c>
      <c r="B5268" t="s">
        <v>5273</v>
      </c>
      <c r="C5268">
        <f>HYPERLINK("C:\Users\franc\OneDrive\Documentos\MALENTIN KARIME\PATRICIA ALFARO\2015\ISMAEL ARAYA A ANDRES DELGADO Cvta ST 5.doc", "Abrir Documento")</f>
        <v>0</v>
      </c>
      <c r="D5268" t="s">
        <v>23500</v>
      </c>
      <c r="E5268" t="s">
        <v>28072</v>
      </c>
    </row>
    <row r="5269" spans="1:5">
      <c r="A5269" t="s">
        <v>6</v>
      </c>
      <c r="B5269" t="s">
        <v>5274</v>
      </c>
      <c r="C5269">
        <f>HYPERLINK("C:\Users\franc\OneDrive\Documentos\MALENTIN KARIME\PATRICIA ALFARO\2015\extracto modificacion sociedad_ santa rosa.doc", "Abrir Documento")</f>
        <v>0</v>
      </c>
      <c r="D5269" t="s">
        <v>23500</v>
      </c>
      <c r="E5269" t="s">
        <v>28073</v>
      </c>
    </row>
    <row r="5270" spans="1:5">
      <c r="A5270" t="s">
        <v>6</v>
      </c>
      <c r="B5270" t="s">
        <v>5275</v>
      </c>
      <c r="C5270">
        <f>HYPERLINK("C:\Users\franc\OneDrive\Documentos\MALENTIN KARIME\PATRICIA ALFARO\2015\CESIu00D3N DE DERECHOS_control pisquero _andres delgado.doc", "Abrir Documento")</f>
        <v>0</v>
      </c>
      <c r="D5270" t="s">
        <v>23500</v>
      </c>
      <c r="E5270" t="s">
        <v>28074</v>
      </c>
    </row>
    <row r="5271" spans="1:5">
      <c r="A5271" t="s">
        <v>6</v>
      </c>
      <c r="B5271" t="s">
        <v>5276</v>
      </c>
      <c r="C5271">
        <f>HYPERLINK("C:\Users\franc\OneDrive\Documentos\MALENTIN KARIME\PATRICIA ALFARO\2014\PAGARE A PLAZO_ Daniela Araya.doc", "Abrir Documento")</f>
        <v>0</v>
      </c>
      <c r="D5271" t="s">
        <v>23500</v>
      </c>
      <c r="E5271" t="s">
        <v>28075</v>
      </c>
    </row>
    <row r="5272" spans="1:5">
      <c r="A5272" t="s">
        <v>6</v>
      </c>
      <c r="B5272" t="s">
        <v>5277</v>
      </c>
      <c r="C5272">
        <f>HYPERLINK("C:\Users\franc\OneDrive\Documentos\MALENTIN KARIME\PATRICIA ALFARO\2014\OSCAR ROJAS A Rossana Veliz Modif Arrend.doc", "Abrir Documento")</f>
        <v>0</v>
      </c>
      <c r="D5272" t="s">
        <v>23500</v>
      </c>
      <c r="E5272" t="s">
        <v>28076</v>
      </c>
    </row>
    <row r="5273" spans="1:5">
      <c r="A5273" t="s">
        <v>6</v>
      </c>
      <c r="B5273" t="s">
        <v>5278</v>
      </c>
      <c r="C5273">
        <f>HYPERLINK("C:\Users\franc\OneDrive\Documentos\MALENTIN KARIME\PATRICIA ALFARO\2014\OSCAR ROJAS A Rossana Veliz Arrendamiento.doc", "Abrir Documento")</f>
        <v>0</v>
      </c>
      <c r="D5273" t="s">
        <v>23500</v>
      </c>
      <c r="E5273" t="s">
        <v>28077</v>
      </c>
    </row>
    <row r="5274" spans="1:5">
      <c r="A5274" t="s">
        <v>6</v>
      </c>
      <c r="B5274" t="s">
        <v>5279</v>
      </c>
      <c r="C5274">
        <f>HYPERLINK("C:\Users\franc\OneDrive\Documentos\MALENTIN KARIME\PATRICIA ALFARO\2014\COMPRAVENTA_Dniela Araya con Subsidio.doc", "Abrir Documento")</f>
        <v>0</v>
      </c>
      <c r="D5274" t="s">
        <v>23500</v>
      </c>
      <c r="E5274" t="s">
        <v>28078</v>
      </c>
    </row>
    <row r="5275" spans="1:5">
      <c r="A5275" t="s">
        <v>6</v>
      </c>
      <c r="B5275" t="s">
        <v>5280</v>
      </c>
      <c r="C5275">
        <f>HYPERLINK("C:\Users\franc\OneDrive\Documentos\MALENTIN KARIME\PATRICIA ALFARO\2014\DECLARACION JURADA_ subsidio.doc", "Abrir Documento")</f>
        <v>0</v>
      </c>
      <c r="D5275" t="s">
        <v>23500</v>
      </c>
      <c r="E5275" t="s">
        <v>28078</v>
      </c>
    </row>
    <row r="5276" spans="1:5">
      <c r="A5276" t="s">
        <v>6</v>
      </c>
      <c r="B5276" t="s">
        <v>5281</v>
      </c>
      <c r="C5276">
        <f>HYPERLINK("C:\Users\franc\OneDrive\Documentos\MALENTIN KARIME\PATRICIA ALFARO\WALTER Y Rosa Gonzalez Liquidacion.doc", "Abrir Documento")</f>
        <v>0</v>
      </c>
      <c r="D5276" t="s">
        <v>23500</v>
      </c>
      <c r="E5276" t="s">
        <v>28079</v>
      </c>
    </row>
    <row r="5277" spans="1:5">
      <c r="A5277" t="s">
        <v>6</v>
      </c>
      <c r="B5277" t="s">
        <v>5282</v>
      </c>
      <c r="C5277">
        <f>HYPERLINK("C:\Users\franc\OneDrive\Documentos\MALENTIN KARIME\PATRICIA ALFARO\TERCER JUZGADO A CARMEN CONTRERAS adjudicación_carmen contreras.doc", "Abrir Documento")</f>
        <v>0</v>
      </c>
      <c r="D5277" t="s">
        <v>23500</v>
      </c>
      <c r="E5277" t="s">
        <v>28080</v>
      </c>
    </row>
    <row r="5278" spans="1:5">
      <c r="A5278" t="s">
        <v>6</v>
      </c>
      <c r="B5278" t="s">
        <v>5283</v>
      </c>
      <c r="C5278">
        <f>HYPERLINK("C:\Users\franc\OneDrive\Documentos\MALENTIN KARIME\PATRICIA ALFARO\Subdivisión _compraventa_María Elorza.doc", "Abrir Documento")</f>
        <v>0</v>
      </c>
      <c r="D5278" t="s">
        <v>23500</v>
      </c>
      <c r="E5278" t="s">
        <v>28081</v>
      </c>
    </row>
    <row r="5279" spans="1:5">
      <c r="A5279" t="s">
        <v>6</v>
      </c>
      <c r="B5279" t="s">
        <v>5284</v>
      </c>
      <c r="C5279">
        <f>HYPERLINK("C:\Users\franc\OneDrive\Documentos\MALENTIN KARIME\PATRICIA ALFARO\promesa luco gonzalez Promesa.doc", "Abrir Documento")</f>
        <v>0</v>
      </c>
      <c r="D5279" t="s">
        <v>23500</v>
      </c>
      <c r="E5279" t="s">
        <v>28082</v>
      </c>
    </row>
    <row r="5280" spans="1:5">
      <c r="A5280" t="s">
        <v>6</v>
      </c>
      <c r="B5280" t="s">
        <v>5285</v>
      </c>
      <c r="C5280">
        <f>HYPERLINK("C:\Users\franc\OneDrive\Documentos\MALENTIN KARIME\PATRICIA ALFARO\PATRICIA ALFARO Promesa.doc", "Abrir Documento")</f>
        <v>0</v>
      </c>
      <c r="D5280" t="s">
        <v>23500</v>
      </c>
      <c r="E5280" t="s">
        <v>28083</v>
      </c>
    </row>
    <row r="5281" spans="1:5">
      <c r="A5281" t="s">
        <v>6</v>
      </c>
      <c r="B5281" t="s">
        <v>5286</v>
      </c>
      <c r="C5281">
        <f>HYPERLINK("C:\Users\franc\OneDrive\Documentos\MALENTIN KARIME\PATRICIA ALFARO\PASCUAL CONTRERAS A Cesar Contreras cvta..doc", "Abrir Documento")</f>
        <v>0</v>
      </c>
      <c r="D5281" t="s">
        <v>23500</v>
      </c>
      <c r="E5281" t="s">
        <v>28084</v>
      </c>
    </row>
    <row r="5282" spans="1:5">
      <c r="A5282" t="s">
        <v>6</v>
      </c>
      <c r="B5282" t="s">
        <v>5287</v>
      </c>
      <c r="C5282">
        <f>HYPERLINK("C:\Users\franc\OneDrive\Documentos\MALENTIN KARIME\PATRICIA ALFARO\PAOLA CORTES BUGUEÑO Y Horacio Andrade Liquidacion.doc", "Abrir Documento")</f>
        <v>0</v>
      </c>
      <c r="D5282" t="s">
        <v>23500</v>
      </c>
      <c r="E5282" t="s">
        <v>28085</v>
      </c>
    </row>
    <row r="5283" spans="1:5">
      <c r="A5283" t="s">
        <v>6</v>
      </c>
      <c r="B5283" t="s">
        <v>5288</v>
      </c>
      <c r="C5283">
        <f>HYPERLINK("C:\Users\franc\OneDrive\Documentos\MALENTIN KARIME\PATRICIA ALFARO\PAGARE A PLAZO_Elorza Vergara.doc", "Abrir Documento")</f>
        <v>0</v>
      </c>
      <c r="D5283" t="s">
        <v>23500</v>
      </c>
      <c r="E5283" t="s">
        <v>28086</v>
      </c>
    </row>
    <row r="5284" spans="1:5">
      <c r="A5284" t="s">
        <v>6</v>
      </c>
      <c r="B5284" t="s">
        <v>5289</v>
      </c>
      <c r="C5284">
        <f>HYPERLINK("C:\Users\franc\OneDrive\Documentos\MALENTIN KARIME\PATRICIA ALFARO\PAGARE A PLAZO_Elorza Vergara VISTA.doc", "Abrir Documento")</f>
        <v>0</v>
      </c>
      <c r="D5284" t="s">
        <v>23500</v>
      </c>
      <c r="E5284" t="s">
        <v>28087</v>
      </c>
    </row>
    <row r="5285" spans="1:5">
      <c r="A5285" t="s">
        <v>6</v>
      </c>
      <c r="B5285" t="s">
        <v>5290</v>
      </c>
      <c r="C5285">
        <f>HYPERLINK("C:\Users\franc\OneDrive\Documentos\MALENTIN KARIME\PATRICIA ALFARO\OSCAR ROJAS ORDENES A SOC. AGRICOLA SAN MARCOS Term Arrenda.doc", "Abrir Documento")</f>
        <v>0</v>
      </c>
      <c r="D5285" t="s">
        <v>23500</v>
      </c>
      <c r="E5285" t="s">
        <v>28088</v>
      </c>
    </row>
    <row r="5286" spans="1:5">
      <c r="A5286" t="s">
        <v>6</v>
      </c>
      <c r="B5286" t="s">
        <v>5291</v>
      </c>
      <c r="C5286">
        <f>HYPERLINK("C:\Users\franc\OneDrive\Documentos\MALENTIN KARIME\PATRICIA ALFARO\OSCAR ARAYA BOLADOS Agosto 13.doc", "Abrir Documento")</f>
        <v>0</v>
      </c>
      <c r="D5286" t="s">
        <v>23500</v>
      </c>
      <c r="E5286" t="s">
        <v>28089</v>
      </c>
    </row>
    <row r="5287" spans="1:5">
      <c r="A5287" t="s">
        <v>6</v>
      </c>
      <c r="B5287" t="s">
        <v>5292</v>
      </c>
      <c r="C5287">
        <f>HYPERLINK("C:\Users\franc\OneDrive\Documentos\MALENTIN KARIME\PATRICIA ALFARO\MARIA GEMITA NOVOA PALACIOS.doc", "Abrir Documento")</f>
        <v>0</v>
      </c>
      <c r="D5287" t="s">
        <v>23500</v>
      </c>
      <c r="E5287" t="s">
        <v>28090</v>
      </c>
    </row>
    <row r="5288" spans="1:5">
      <c r="A5288" t="s">
        <v>6</v>
      </c>
      <c r="B5288" t="s">
        <v>5293</v>
      </c>
      <c r="C5288">
        <f>HYPERLINK("C:\Users\franc\OneDrive\Documentos\MALENTIN KARIME\PATRICIA ALFARO\MARIA ELORZA  VERGARA Particion, Usufructo.doc", "Abrir Documento")</f>
        <v>0</v>
      </c>
      <c r="D5288" t="s">
        <v>23500</v>
      </c>
      <c r="E5288" t="s">
        <v>28091</v>
      </c>
    </row>
    <row r="5289" spans="1:5">
      <c r="A5289" t="s">
        <v>6</v>
      </c>
      <c r="B5289" t="s">
        <v>5294</v>
      </c>
      <c r="C5289">
        <f>HYPERLINK("C:\Users\franc\OneDrive\Documentos\MALENTIN KARIME\PATRICIA ALFARO\MARIA ARAYA ELORZ A JUAN CARLOS JULIA Promesa Dic.13.doc", "Abrir Documento")</f>
        <v>0</v>
      </c>
      <c r="D5289" t="s">
        <v>23500</v>
      </c>
      <c r="E5289" t="s">
        <v>28092</v>
      </c>
    </row>
    <row r="5290" spans="1:5">
      <c r="A5290" t="s">
        <v>6</v>
      </c>
      <c r="B5290" t="s">
        <v>5295</v>
      </c>
      <c r="C5290">
        <f>HYPERLINK("C:\Users\franc\OneDrive\Documentos\MALENTIN KARIME\PATRICIA ALFARO\FRANCISCO IBACACHE A BONIFACIO IBACACHE mandato.doc", "Abrir Documento")</f>
        <v>0</v>
      </c>
      <c r="D5290" t="s">
        <v>23500</v>
      </c>
      <c r="E5290" t="s">
        <v>28093</v>
      </c>
    </row>
    <row r="5291" spans="1:5">
      <c r="A5291" t="s">
        <v>6</v>
      </c>
      <c r="B5291" t="s">
        <v>5296</v>
      </c>
      <c r="C5291">
        <f>HYPERLINK("C:\Users\franc\OneDrive\Documentos\MALENTIN KARIME\PATRICIA ALFARO\FRANCISCO IBACACHE A BONIFACIO IBACACHE mandato ii.doc", "Abrir Documento")</f>
        <v>0</v>
      </c>
      <c r="D5291" t="s">
        <v>23500</v>
      </c>
      <c r="E5291" t="s">
        <v>28094</v>
      </c>
    </row>
    <row r="5292" spans="1:5">
      <c r="A5292" t="s">
        <v>6</v>
      </c>
      <c r="B5292" t="s">
        <v>5297</v>
      </c>
      <c r="C5292">
        <f>HYPERLINK("C:\Users\franc\OneDrive\Documentos\MALENTIN KARIME\PATRICIA ALFARO\FLORES Y CHAMBI Modif Sociedad.doc", "Abrir Documento")</f>
        <v>0</v>
      </c>
      <c r="D5292" t="s">
        <v>23500</v>
      </c>
      <c r="E5292" t="s">
        <v>28095</v>
      </c>
    </row>
    <row r="5293" spans="1:5">
      <c r="A5293" t="s">
        <v>6</v>
      </c>
      <c r="B5293" t="s">
        <v>5298</v>
      </c>
      <c r="C5293">
        <f>HYPERLINK("C:\Users\franc\OneDrive\Documentos\MALENTIN KARIME\PATRICIA ALFARO\extracto modificacion sociedad_flores y chambi.doc", "Abrir Documento")</f>
        <v>0</v>
      </c>
      <c r="D5293" t="s">
        <v>23500</v>
      </c>
      <c r="E5293" t="s">
        <v>28096</v>
      </c>
    </row>
    <row r="5294" spans="1:5">
      <c r="A5294" t="s">
        <v>6</v>
      </c>
      <c r="B5294" t="s">
        <v>5299</v>
      </c>
      <c r="C5294">
        <f>HYPERLINK("C:\Users\franc\OneDrive\Documentos\MALENTIN KARIME\PATRICIA ALFARO\EXTRACTO Bona Fide Ltda..doc", "Abrir Documento")</f>
        <v>0</v>
      </c>
      <c r="D5294" t="s">
        <v>23500</v>
      </c>
      <c r="E5294" t="s">
        <v>28097</v>
      </c>
    </row>
    <row r="5295" spans="1:5">
      <c r="A5295" t="s">
        <v>6</v>
      </c>
      <c r="B5295" t="s">
        <v>5300</v>
      </c>
      <c r="C5295">
        <f>HYPERLINK("C:\Users\franc\OneDrive\Documentos\MALENTIN KARIME\PATRICIA ALFARO\EXTRACTO AP limitada.doc", "Abrir Documento")</f>
        <v>0</v>
      </c>
      <c r="D5295" t="s">
        <v>23500</v>
      </c>
      <c r="E5295" t="s">
        <v>28098</v>
      </c>
    </row>
    <row r="5296" spans="1:5">
      <c r="A5296" t="s">
        <v>6</v>
      </c>
      <c r="B5296" t="s">
        <v>5301</v>
      </c>
      <c r="C5296">
        <f>HYPERLINK("C:\Users\franc\OneDrive\Documentos\MALENTIN KARIME\PATRICIA ALFARO\CLUB DEPORTIVO Union Juventud y CLUB DE RODEO D.Uso.doc", "Abrir Documento")</f>
        <v>0</v>
      </c>
      <c r="D5296" t="s">
        <v>23500</v>
      </c>
      <c r="E5296" t="s">
        <v>28099</v>
      </c>
    </row>
    <row r="5297" spans="1:5">
      <c r="A5297" t="s">
        <v>6</v>
      </c>
      <c r="B5297" t="s">
        <v>5302</v>
      </c>
      <c r="C5297">
        <f>HYPERLINK("C:\Users\franc\OneDrive\Documentos\MALENTIN KARIME\PATRICIA ALFARO\CESAR RIVERA ALFAREZ Mandato.doc", "Abrir Documento")</f>
        <v>0</v>
      </c>
      <c r="D5297" t="s">
        <v>23500</v>
      </c>
      <c r="E5297" t="s">
        <v>28100</v>
      </c>
    </row>
    <row r="5298" spans="1:5">
      <c r="A5298" t="s">
        <v>6</v>
      </c>
      <c r="B5298" t="s">
        <v>5303</v>
      </c>
      <c r="C5298">
        <f>HYPERLINK("C:\Users\franc\OneDrive\Documentos\MALENTIN KARIME\PATRICIA ALFARO\carta de instrucciones_termino contrato de arrendamiento.doc", "Abrir Documento")</f>
        <v>0</v>
      </c>
      <c r="D5298" t="s">
        <v>23500</v>
      </c>
      <c r="E5298" t="s">
        <v>28101</v>
      </c>
    </row>
    <row r="5299" spans="1:5">
      <c r="A5299" t="s">
        <v>6</v>
      </c>
      <c r="B5299" t="s">
        <v>5304</v>
      </c>
      <c r="C5299">
        <f>HYPERLINK("C:\Users\franc\OneDrive\Documentos\MALENTIN KARIME\PATRICIA ALFARO\AUDALO SOTO A Alexis Araya Sept 13.doc", "Abrir Documento")</f>
        <v>0</v>
      </c>
      <c r="D5299" t="s">
        <v>23500</v>
      </c>
      <c r="E5299" t="s">
        <v>28102</v>
      </c>
    </row>
    <row r="5300" spans="1:5">
      <c r="A5300" t="s">
        <v>6</v>
      </c>
      <c r="B5300" t="s">
        <v>5305</v>
      </c>
      <c r="C5300">
        <f>HYPERLINK("C:\Users\franc\OneDrive\Documentos\MALENTIN KARIME\PATRICIA ALFARO\BONA FIDE Disolucion.doc", "Abrir Documento")</f>
        <v>0</v>
      </c>
      <c r="D5300" t="s">
        <v>23500</v>
      </c>
      <c r="E5300" t="s">
        <v>28102</v>
      </c>
    </row>
    <row r="5301" spans="1:5">
      <c r="A5301" t="s">
        <v>6</v>
      </c>
      <c r="B5301" t="s">
        <v>5306</v>
      </c>
      <c r="C5301">
        <f>HYPERLINK("C:\Users\franc\OneDrive\Documentos\MALENTIN KARIME\PATRICIA ALFARO\ASIA PACIFIC INTERNATIONAL TRADING Sociedad.doc", "Abrir Documento")</f>
        <v>0</v>
      </c>
      <c r="D5301" t="s">
        <v>23500</v>
      </c>
      <c r="E5301" t="s">
        <v>28103</v>
      </c>
    </row>
    <row r="5302" spans="1:5">
      <c r="A5302" t="s">
        <v>6</v>
      </c>
      <c r="B5302" t="s">
        <v>5307</v>
      </c>
      <c r="C5302">
        <f>HYPERLINK("C:\Users\franc\OneDrive\Documentos\MALENTIN KARIME\PATRICIA ALFARO\ALISTAHIR MUNDCA Y ANDRES DELGADO Medieria.doc", "Abrir Documento")</f>
        <v>0</v>
      </c>
      <c r="D5302" t="s">
        <v>23500</v>
      </c>
      <c r="E5302" t="s">
        <v>28104</v>
      </c>
    </row>
    <row r="5303" spans="1:5">
      <c r="A5303" t="s">
        <v>6</v>
      </c>
      <c r="B5303" t="s">
        <v>5308</v>
      </c>
      <c r="C5303">
        <f>HYPERLINK("C:\Users\franc\OneDrive\Documentos\MALENTIN KARIME\PATRICIA ALFARO\ALISTAHIR MUNDCA Y ANDRES DELGADO TERMINO Medieria.doc", "Abrir Documento")</f>
        <v>0</v>
      </c>
      <c r="D5303" t="s">
        <v>23500</v>
      </c>
      <c r="E5303" t="s">
        <v>28104</v>
      </c>
    </row>
    <row r="5304" spans="1:5">
      <c r="A5304" t="s">
        <v>6</v>
      </c>
      <c r="B5304" t="s">
        <v>5309</v>
      </c>
      <c r="C5304">
        <f>HYPERLINK("C:\Users\franc\OneDrive\Documentos\MALENTIN KARIME\PATRICIA ALFARO\ABRAHAM GALLARDO RIVERA A ALEJANDRA NAVARRO Usufructo.doc", "Abrir Documento")</f>
        <v>0</v>
      </c>
      <c r="D5304" t="s">
        <v>23500</v>
      </c>
      <c r="E5304" t="s">
        <v>28105</v>
      </c>
    </row>
    <row r="5305" spans="1:5">
      <c r="A5305" t="s">
        <v>6</v>
      </c>
      <c r="B5305" t="s">
        <v>5310</v>
      </c>
      <c r="C5305">
        <f>HYPERLINK("C:\Users\franc\OneDrive\Documentos\MALENTIN KARIME\PATRICIA ALFARO\ABRAHAM GALLARDO RIVERA A ALEJANDRA NAVARRO.doc", "Abrir Documento")</f>
        <v>0</v>
      </c>
      <c r="D5305" t="s">
        <v>23500</v>
      </c>
      <c r="E5305" t="s">
        <v>28105</v>
      </c>
    </row>
    <row r="5306" spans="1:5">
      <c r="A5306" t="s">
        <v>6</v>
      </c>
      <c r="B5306" t="s">
        <v>5311</v>
      </c>
      <c r="C5306">
        <f>HYPERLINK("C:\Users\franc\OneDrive\Documentos\MALENTIN KARIME\PARTICION\SUCESION YAÑEZ ROJAS.doc", "Abrir Documento")</f>
        <v>0</v>
      </c>
      <c r="D5306" t="s">
        <v>23500</v>
      </c>
      <c r="E5306" t="s">
        <v>28106</v>
      </c>
    </row>
    <row r="5307" spans="1:5">
      <c r="A5307" t="s">
        <v>6</v>
      </c>
      <c r="B5307" t="s">
        <v>5312</v>
      </c>
      <c r="C5307">
        <f>HYPERLINK("C:\Users\franc\OneDrive\Documentos\MALENTIN KARIME\PARTICION\SUCESION SEGOVIA II.doc", "Abrir Documento")</f>
        <v>0</v>
      </c>
      <c r="D5307" t="s">
        <v>23500</v>
      </c>
      <c r="E5307" t="s">
        <v>28107</v>
      </c>
    </row>
    <row r="5308" spans="1:5">
      <c r="A5308" t="s">
        <v>6</v>
      </c>
      <c r="B5308" t="s">
        <v>5313</v>
      </c>
      <c r="C5308">
        <f>HYPERLINK("C:\Users\franc\OneDrive\Documentos\MALENTIN KARIME\PARTICION\SUCESION ULLOA LOPEZ Minuta particion.doc", "Abrir Documento")</f>
        <v>0</v>
      </c>
      <c r="D5308" t="s">
        <v>23500</v>
      </c>
      <c r="E5308" t="s">
        <v>28107</v>
      </c>
    </row>
    <row r="5309" spans="1:5">
      <c r="A5309" t="s">
        <v>6</v>
      </c>
      <c r="B5309" t="s">
        <v>5314</v>
      </c>
      <c r="C5309">
        <f>HYPERLINK("C:\Users\franc\OneDrive\Documentos\MALENTIN KARIME\PARTICION\SUCESION Perines Alvaerz Jorge ALlende.doc", "Abrir Documento")</f>
        <v>0</v>
      </c>
      <c r="D5309" t="s">
        <v>23500</v>
      </c>
      <c r="E5309" t="s">
        <v>28108</v>
      </c>
    </row>
    <row r="5310" spans="1:5">
      <c r="A5310" t="s">
        <v>6</v>
      </c>
      <c r="B5310" t="s">
        <v>5315</v>
      </c>
      <c r="C5310">
        <f>HYPERLINK("C:\Users\franc\OneDrive\Documentos\MALENTIN KARIME\PARTICION\SUCESION ISABEL ESPINOSA.doc", "Abrir Documento")</f>
        <v>0</v>
      </c>
      <c r="D5310" t="s">
        <v>23500</v>
      </c>
      <c r="E5310" t="s">
        <v>28109</v>
      </c>
    </row>
    <row r="5311" spans="1:5">
      <c r="A5311" t="s">
        <v>6</v>
      </c>
      <c r="B5311" t="s">
        <v>5316</v>
      </c>
      <c r="C5311">
        <f>HYPERLINK("C:\Users\franc\OneDrive\Documentos\MALENTIN KARIME\PARTICION\MARIO ARAYA Y GRISELDA ARAYA particion.doc", "Abrir Documento")</f>
        <v>0</v>
      </c>
      <c r="D5311" t="s">
        <v>23500</v>
      </c>
      <c r="E5311" t="s">
        <v>28110</v>
      </c>
    </row>
    <row r="5312" spans="1:5">
      <c r="A5312" t="s">
        <v>6</v>
      </c>
      <c r="B5312" t="s">
        <v>5317</v>
      </c>
      <c r="C5312">
        <f>HYPERLINK("C:\Users\franc\OneDrive\Documentos\MALENTIN KARIME\PARTICION\PARTICION SUCESION HERNAN TELLO, NOTARIA.doc", "Abrir Documento")</f>
        <v>0</v>
      </c>
      <c r="D5312" t="s">
        <v>23500</v>
      </c>
      <c r="E5312" t="s">
        <v>28110</v>
      </c>
    </row>
    <row r="5313" spans="1:5">
      <c r="A5313" t="s">
        <v>6</v>
      </c>
      <c r="B5313" t="s">
        <v>5318</v>
      </c>
      <c r="C5313">
        <f>HYPERLINK("C:\Users\franc\OneDrive\Documentos\MALENTIN KARIME\PARTICION\LEYENDA Pago impuesto F  23.doc", "Abrir Documento")</f>
        <v>0</v>
      </c>
      <c r="D5313" t="s">
        <v>23500</v>
      </c>
      <c r="E5313" t="s">
        <v>28111</v>
      </c>
    </row>
    <row r="5314" spans="1:5">
      <c r="A5314" t="s">
        <v>6</v>
      </c>
      <c r="B5314" t="s">
        <v>5319</v>
      </c>
      <c r="C5314">
        <f>HYPERLINK("C:\Users\franc\OneDrive\Documentos\MALENTIN KARIME\PARTICION\EXTRACTO INMOBILIARIA SAN JOAQUIN.doc", "Abrir Documento")</f>
        <v>0</v>
      </c>
      <c r="D5314" t="s">
        <v>23500</v>
      </c>
      <c r="E5314" t="s">
        <v>28112</v>
      </c>
    </row>
    <row r="5315" spans="1:5">
      <c r="A5315" t="s">
        <v>6</v>
      </c>
      <c r="B5315" t="s">
        <v>5320</v>
      </c>
      <c r="C5315">
        <f>HYPERLINK("C:\Users\franc\OneDrive\Documentos\MALENTIN KARIME\PARTICION\EXTRACTO MINERA SAN JOAQUIN.doc", "Abrir Documento")</f>
        <v>0</v>
      </c>
      <c r="D5315" t="s">
        <v>23500</v>
      </c>
      <c r="E5315" t="s">
        <v>28112</v>
      </c>
    </row>
    <row r="5316" spans="1:5">
      <c r="A5316" t="s">
        <v>6</v>
      </c>
      <c r="B5316" t="s">
        <v>5321</v>
      </c>
      <c r="C5316">
        <f>HYPERLINK("C:\Users\franc\OneDrive\Documentos\MALENTIN KARIME\PARTICION\BERNARDA IGLESISAS PASTEN Y OTRAS.doc", "Abrir Documento")</f>
        <v>0</v>
      </c>
      <c r="D5316" t="s">
        <v>23500</v>
      </c>
      <c r="E5316" t="s">
        <v>28113</v>
      </c>
    </row>
    <row r="5317" spans="1:5">
      <c r="A5317" t="s">
        <v>6</v>
      </c>
      <c r="B5317" t="s">
        <v>5322</v>
      </c>
      <c r="C5317">
        <f>HYPERLINK("C:\Users\franc\OneDrive\Documentos\MALENTIN KARIME\PARTICION\CERTIFICO que la escritura pública precedente.doc", "Abrir Documento")</f>
        <v>0</v>
      </c>
      <c r="D5317" t="s">
        <v>23500</v>
      </c>
      <c r="E5317" t="s">
        <v>28113</v>
      </c>
    </row>
    <row r="5318" spans="1:5">
      <c r="A5318" t="s">
        <v>6</v>
      </c>
      <c r="B5318" t="s">
        <v>5323</v>
      </c>
      <c r="C5318">
        <f>HYPERLINK("C:\Users\franc\OneDrive\Documentos\MALENTIN KARIME\PARTICION\ADOLFO LAY Particion.doc", "Abrir Documento")</f>
        <v>0</v>
      </c>
      <c r="D5318" t="s">
        <v>23500</v>
      </c>
      <c r="E5318" t="s">
        <v>28114</v>
      </c>
    </row>
    <row r="5319" spans="1:5">
      <c r="A5319" t="s">
        <v>6</v>
      </c>
      <c r="B5319" t="s">
        <v>5324</v>
      </c>
      <c r="C5319">
        <f>HYPERLINK("C:\Users\franc\OneDrive\Documentos\MALENTIN KARIME\PARTICION\ADOLFO LAY Particion Final Modifica.doc", "Abrir Documento")</f>
        <v>0</v>
      </c>
      <c r="D5319" t="s">
        <v>23500</v>
      </c>
      <c r="E5319" t="s">
        <v>28115</v>
      </c>
    </row>
    <row r="5320" spans="1:5">
      <c r="A5320" t="s">
        <v>6</v>
      </c>
      <c r="B5320" t="s">
        <v>5325</v>
      </c>
      <c r="C5320">
        <f>HYPERLINK("C:\Users\franc\OneDrive\Documentos\MALENTIN KARIME\PARTICION\ADOLFO LAY Particion Final.doc", "Abrir Documento")</f>
        <v>0</v>
      </c>
      <c r="D5320" t="s">
        <v>23500</v>
      </c>
      <c r="E5320" t="s">
        <v>28115</v>
      </c>
    </row>
    <row r="5321" spans="1:5">
      <c r="A5321" t="s">
        <v>6</v>
      </c>
      <c r="B5321" t="s">
        <v>5326</v>
      </c>
      <c r="C5321">
        <f>HYPERLINK("C:\Users\franc\OneDrive\Documentos\MALENTIN KARIME\NOTARIOS Nombramientos\RAUL BELTRAMI LAZO 2017.doc", "Abrir Documento")</f>
        <v>0</v>
      </c>
      <c r="D5321" t="s">
        <v>23500</v>
      </c>
      <c r="E5321" t="s">
        <v>28116</v>
      </c>
    </row>
    <row r="5322" spans="1:5">
      <c r="A5322" t="s">
        <v>6</v>
      </c>
      <c r="B5322" t="s">
        <v>5327</v>
      </c>
      <c r="C5322">
        <f>HYPERLINK("C:\Users\franc\OneDrive\Documentos\MALENTIN KARIME\NOTARIOS Nombramientos\VIVIANA ALFARO ULLOA.doc", "Abrir Documento")</f>
        <v>0</v>
      </c>
      <c r="D5322" t="s">
        <v>23500</v>
      </c>
      <c r="E5322" t="s">
        <v>28116</v>
      </c>
    </row>
    <row r="5323" spans="1:5">
      <c r="A5323" t="s">
        <v>6</v>
      </c>
      <c r="B5323" t="s">
        <v>5328</v>
      </c>
      <c r="C5323">
        <f>HYPERLINK("C:\Users\franc\OneDrive\Documentos\MALENTIN KARIME\NOTARIOS Nombramientos\MODELO NOTARIO TITULAR.doc", "Abrir Documento")</f>
        <v>0</v>
      </c>
      <c r="D5323" t="s">
        <v>23500</v>
      </c>
      <c r="E5323" t="s">
        <v>28117</v>
      </c>
    </row>
    <row r="5324" spans="1:5">
      <c r="A5324" t="s">
        <v>6</v>
      </c>
      <c r="B5324" t="s">
        <v>5329</v>
      </c>
      <c r="C5324">
        <f>HYPERLINK("C:\Users\franc\OneDrive\Documentos\MALENTIN KARIME\NOTARIOS Nombramientos\MODELO NOTARIO TITULAR nuevo.doc", "Abrir Documento")</f>
        <v>0</v>
      </c>
      <c r="D5324" t="s">
        <v>23500</v>
      </c>
      <c r="E5324" t="s">
        <v>28118</v>
      </c>
    </row>
    <row r="5325" spans="1:5">
      <c r="A5325" t="s">
        <v>6</v>
      </c>
      <c r="B5325" t="s">
        <v>5330</v>
      </c>
      <c r="C5325">
        <f>HYPERLINK("C:\Users\franc\OneDrive\Documentos\MALENTIN KARIME\NOTARIOS Nombramientos\Membrete  titular nuevo.doc", "Abrir Documento")</f>
        <v>0</v>
      </c>
      <c r="D5325" t="s">
        <v>23500</v>
      </c>
      <c r="E5325" t="s">
        <v>28119</v>
      </c>
    </row>
    <row r="5326" spans="1:5">
      <c r="A5326" t="s">
        <v>6</v>
      </c>
      <c r="B5326" t="s">
        <v>5331</v>
      </c>
      <c r="C5326">
        <f>HYPERLINK("C:\Users\franc\OneDrive\Documentos\MALENTIN KARIME\NOTARIOS Nombramientos\HERNAN PEREZ 16 MAYO.doc", "Abrir Documento")</f>
        <v>0</v>
      </c>
      <c r="D5326" t="s">
        <v>23500</v>
      </c>
      <c r="E5326" t="s">
        <v>28120</v>
      </c>
    </row>
    <row r="5327" spans="1:5">
      <c r="A5327" t="s">
        <v>6</v>
      </c>
      <c r="B5327" t="s">
        <v>5332</v>
      </c>
      <c r="C5327">
        <f>HYPERLINK("C:\Users\franc\OneDrive\Documentos\MALENTIN KARIME\NOTARIOS Nombramientos\HERNAN PEREZ 2018.doc", "Abrir Documento")</f>
        <v>0</v>
      </c>
      <c r="D5327" t="s">
        <v>23500</v>
      </c>
      <c r="E5327" t="s">
        <v>28120</v>
      </c>
    </row>
    <row r="5328" spans="1:5">
      <c r="A5328" t="s">
        <v>6</v>
      </c>
      <c r="B5328" t="s">
        <v>5333</v>
      </c>
      <c r="C5328">
        <f>HYPERLINK("C:\Users\franc\OneDrive\Documentos\MALENTIN KARIME\NOTARIOS Nombramientos\HERNAN PEREZ DUARTE 2019.doc", "Abrir Documento")</f>
        <v>0</v>
      </c>
      <c r="D5328" t="s">
        <v>23500</v>
      </c>
      <c r="E5328" t="s">
        <v>28120</v>
      </c>
    </row>
    <row r="5329" spans="1:5">
      <c r="A5329" t="s">
        <v>6</v>
      </c>
      <c r="B5329" t="s">
        <v>5334</v>
      </c>
      <c r="C5329">
        <f>HYPERLINK("C:\Users\franc\OneDrive\Documentos\MALENTIN KARIME\NOTARIOS Nombramientos\DECRETO PATRICIA ALFARO.doc", "Abrir Documento")</f>
        <v>0</v>
      </c>
      <c r="D5329" t="s">
        <v>23500</v>
      </c>
      <c r="E5329" t="s">
        <v>28121</v>
      </c>
    </row>
    <row r="5330" spans="1:5">
      <c r="A5330" t="s">
        <v>6</v>
      </c>
      <c r="B5330" t="s">
        <v>5335</v>
      </c>
      <c r="C5330">
        <f>HYPERLINK("C:\Users\franc\OneDrive\Documentos\MALENTIN KARIME\NOTARIOS Nombramientos\DECRETO MARIA INES NUÑEZ.doc", "Abrir Documento")</f>
        <v>0</v>
      </c>
      <c r="D5330" t="s">
        <v>23500</v>
      </c>
      <c r="E5330" t="s">
        <v>28122</v>
      </c>
    </row>
    <row r="5331" spans="1:5">
      <c r="A5331" t="s">
        <v>6</v>
      </c>
      <c r="B5331" t="s">
        <v>5336</v>
      </c>
      <c r="C5331">
        <f>HYPERLINK("C:\Users\franc\OneDrive\Documentos\MALENTIN KARIME\NOTARIOS Nombramientos\DECRETO PATRICIA ALFARO 2.doc", "Abrir Documento")</f>
        <v>0</v>
      </c>
      <c r="D5331" t="s">
        <v>23500</v>
      </c>
      <c r="E5331" t="s">
        <v>28122</v>
      </c>
    </row>
    <row r="5332" spans="1:5">
      <c r="A5332" t="s">
        <v>6</v>
      </c>
      <c r="B5332" t="s">
        <v>5337</v>
      </c>
      <c r="C5332">
        <f>HYPERLINK("C:\Users\franc\OneDrive\Documentos\MALENTIN KARIME\NOTARIOS Nombramientos\DECRETO PATRICIA ALFARO 2015.doc", "Abrir Documento")</f>
        <v>0</v>
      </c>
      <c r="D5332" t="s">
        <v>23500</v>
      </c>
      <c r="E5332" t="s">
        <v>28122</v>
      </c>
    </row>
    <row r="5333" spans="1:5">
      <c r="A5333" t="s">
        <v>6</v>
      </c>
      <c r="B5333" t="s">
        <v>5338</v>
      </c>
      <c r="C5333">
        <f>HYPERLINK("C:\Users\franc\OneDrive\Documentos\MALENTIN KARIME\NOTARIOS Nombramientos\DECRETO JOYCE RALLIN 2.doc", "Abrir Documento")</f>
        <v>0</v>
      </c>
      <c r="D5333" t="s">
        <v>23500</v>
      </c>
      <c r="E5333" t="s">
        <v>28123</v>
      </c>
    </row>
    <row r="5334" spans="1:5">
      <c r="A5334" t="s">
        <v>6</v>
      </c>
      <c r="B5334" t="s">
        <v>5339</v>
      </c>
      <c r="C5334">
        <f>HYPERLINK("C:\Users\franc\OneDrive\Documentos\MALENTIN KARIME\NOTARIOS Nombramientos\DECRETO JOYCE RALLIN.doc", "Abrir Documento")</f>
        <v>0</v>
      </c>
      <c r="D5334" t="s">
        <v>23500</v>
      </c>
      <c r="E5334" t="s">
        <v>28123</v>
      </c>
    </row>
    <row r="5335" spans="1:5">
      <c r="A5335" t="s">
        <v>6</v>
      </c>
      <c r="B5335" t="s">
        <v>5340</v>
      </c>
      <c r="C5335">
        <f>HYPERLINK("C:\Users\franc\OneDrive\Documentos\MALENTIN KARIME\NOTARIOS Nombramientos\DECRETO ANDREA RODRIGUEZ.doc", "Abrir Documento")</f>
        <v>0</v>
      </c>
      <c r="D5335" t="s">
        <v>23500</v>
      </c>
      <c r="E5335" t="s">
        <v>28124</v>
      </c>
    </row>
    <row r="5336" spans="1:5">
      <c r="A5336" t="s">
        <v>6</v>
      </c>
      <c r="B5336" t="s">
        <v>5341</v>
      </c>
      <c r="C5336">
        <f>HYPERLINK("C:\Users\franc\OneDrive\Documentos\MALENTIN KARIME\NOTARIOS Nombramientos\DECRETO  CLAUDIO ARAYA.doc", "Abrir Documento")</f>
        <v>0</v>
      </c>
      <c r="D5336" t="s">
        <v>23500</v>
      </c>
      <c r="E5336" t="s">
        <v>28125</v>
      </c>
    </row>
    <row r="5337" spans="1:5">
      <c r="A5337" t="s">
        <v>6</v>
      </c>
      <c r="B5337" t="s">
        <v>5342</v>
      </c>
      <c r="C5337">
        <f>HYPERLINK("C:\Users\franc\OneDrive\Documentos\MALENTIN KARIME\NOTARIOS Nombramientos\CARLOS OSORIO CERDA 2016.doc", "Abrir Documento")</f>
        <v>0</v>
      </c>
      <c r="D5337" t="s">
        <v>23500</v>
      </c>
      <c r="E5337" t="s">
        <v>28126</v>
      </c>
    </row>
    <row r="5338" spans="1:5">
      <c r="A5338" t="s">
        <v>6</v>
      </c>
      <c r="B5338" t="s">
        <v>5343</v>
      </c>
      <c r="C5338">
        <f>HYPERLINK("C:\Users\franc\OneDrive\Documentos\MALENTIN KARIME\mutuos\MUTUOS\SOC. COMERCIAL GONART SPA A AGRICOLA GONAGRO SPA.doc", "Abrir Documento")</f>
        <v>0</v>
      </c>
      <c r="D5338" t="s">
        <v>23500</v>
      </c>
      <c r="E5338" t="s">
        <v>28127</v>
      </c>
    </row>
    <row r="5339" spans="1:5">
      <c r="A5339" t="s">
        <v>6</v>
      </c>
      <c r="B5339" t="s">
        <v>5344</v>
      </c>
      <c r="C5339">
        <f>HYPERLINK("C:\Users\franc\OneDrive\Documentos\MALENTIN KARIME\mutuos\MUTUOS\MUTUO BOSMAN.doc", "Abrir Documento")</f>
        <v>0</v>
      </c>
      <c r="D5339" t="s">
        <v>23500</v>
      </c>
      <c r="E5339" t="s">
        <v>28128</v>
      </c>
    </row>
    <row r="5340" spans="1:5">
      <c r="A5340" t="s">
        <v>6</v>
      </c>
      <c r="B5340" t="s">
        <v>5345</v>
      </c>
      <c r="C5340">
        <f>HYPERLINK("C:\Users\franc\OneDrive\Documentos\MALENTIN KARIME\mutuos\MUTUOS\MUTUO.doc", "Abrir Documento")</f>
        <v>0</v>
      </c>
      <c r="D5340" t="s">
        <v>23500</v>
      </c>
      <c r="E5340" t="s">
        <v>28128</v>
      </c>
    </row>
    <row r="5341" spans="1:5">
      <c r="A5341" t="s">
        <v>6</v>
      </c>
      <c r="B5341" t="s">
        <v>5346</v>
      </c>
      <c r="C5341">
        <f>HYPERLINK("C:\Users\franc\OneDrive\Documentos\MALENTIN KARIME\mutuos\MUTUOS\ELENA ZAPATA A CLAUDIA ZAPATA.doc", "Abrir Documento")</f>
        <v>0</v>
      </c>
      <c r="D5341" t="s">
        <v>23500</v>
      </c>
      <c r="E5341" t="s">
        <v>28129</v>
      </c>
    </row>
    <row r="5342" spans="1:5">
      <c r="A5342" t="s">
        <v>6</v>
      </c>
      <c r="B5342" t="s">
        <v>5347</v>
      </c>
      <c r="C5342">
        <f>HYPERLINK("C:\Users\franc\OneDrive\Documentos\MALENTIN KARIME\mutuos\2021\INMOBILIARIA PATRICIO ACUÑA A ROSA SEGOVIA mutuo minuta.doc", "Abrir Documento")</f>
        <v>0</v>
      </c>
      <c r="D5342" t="s">
        <v>23500</v>
      </c>
      <c r="E5342" t="s">
        <v>28130</v>
      </c>
    </row>
    <row r="5343" spans="1:5">
      <c r="A5343" t="s">
        <v>6</v>
      </c>
      <c r="B5343" t="s">
        <v>5348</v>
      </c>
      <c r="C5343">
        <f>HYPERLINK("C:\Users\franc\OneDrive\Documentos\MALENTIN KARIME\mutuos\MUTUOS\AGRICOLA LOS NISÑILES Lt 17.doc", "Abrir Documento")</f>
        <v>0</v>
      </c>
      <c r="D5343" t="s">
        <v>23500</v>
      </c>
      <c r="E5343" t="s">
        <v>28130</v>
      </c>
    </row>
    <row r="5344" spans="1:5">
      <c r="A5344" t="s">
        <v>6</v>
      </c>
      <c r="B5344" t="s">
        <v>5349</v>
      </c>
      <c r="C5344">
        <f>HYPERLINK("C:\Users\franc\OneDrive\Documentos\MALENTIN KARIME\mutuos\2021\HECTOR MALUENDA Mutuo.doc", "Abrir Documento")</f>
        <v>0</v>
      </c>
      <c r="D5344" t="s">
        <v>23500</v>
      </c>
      <c r="E5344" t="s">
        <v>28131</v>
      </c>
    </row>
    <row r="5345" spans="1:5">
      <c r="A5345" t="s">
        <v>6</v>
      </c>
      <c r="B5345" t="s">
        <v>5350</v>
      </c>
      <c r="C5345">
        <f>HYPERLINK("C:\Users\franc\OneDrive\Documentos\MALENTIN KARIME\mutuos\WILLIAMS ABUSLEME A GEMA LTDA..doc", "Abrir Documento")</f>
        <v>0</v>
      </c>
      <c r="D5345" t="s">
        <v>23500</v>
      </c>
      <c r="E5345" t="s">
        <v>28132</v>
      </c>
    </row>
    <row r="5346" spans="1:5">
      <c r="A5346" t="s">
        <v>6</v>
      </c>
      <c r="B5346" t="s">
        <v>5351</v>
      </c>
      <c r="C5346">
        <f>HYPERLINK("C:\Users\franc\OneDrive\Documentos\MALENTIN KARIME\mutuos\2021\AGREGA IMPUESTO MUTUO.doc", "Abrir Documento")</f>
        <v>0</v>
      </c>
      <c r="D5346" t="s">
        <v>23500</v>
      </c>
      <c r="E5346" t="s">
        <v>28132</v>
      </c>
    </row>
    <row r="5347" spans="1:5">
      <c r="A5347" t="s">
        <v>6</v>
      </c>
      <c r="B5347" t="s">
        <v>5352</v>
      </c>
      <c r="C5347">
        <f>HYPERLINK("C:\Users\franc\OneDrive\Documentos\MALENTIN KARIME\mutuos\SOC. INMOB. EL CHAÑAR A INMOBILIARIA AYLLI S.A..doc", "Abrir Documento")</f>
        <v>0</v>
      </c>
      <c r="D5347" t="s">
        <v>23500</v>
      </c>
      <c r="E5347" t="s">
        <v>28133</v>
      </c>
    </row>
    <row r="5348" spans="1:5">
      <c r="A5348" t="s">
        <v>6</v>
      </c>
      <c r="B5348" t="s">
        <v>5353</v>
      </c>
      <c r="C5348">
        <f>HYPERLINK("C:\Users\franc\OneDrive\Documentos\MALENTIN KARIME\mutuos\SOC. COMERCIAL GONART SPA A AGRICOLA GONAGRO SPA.doc", "Abrir Documento")</f>
        <v>0</v>
      </c>
      <c r="D5348" t="s">
        <v>23500</v>
      </c>
      <c r="E5348" t="s">
        <v>28134</v>
      </c>
    </row>
    <row r="5349" spans="1:5">
      <c r="A5349" t="s">
        <v>6</v>
      </c>
      <c r="B5349" t="s">
        <v>5354</v>
      </c>
      <c r="C5349">
        <f>HYPERLINK("C:\Users\franc\OneDrive\Documentos\MALENTIN KARIME\mutuos\SOC AGRICOLA LAS PINTADAS.doc", "Abrir Documento")</f>
        <v>0</v>
      </c>
      <c r="D5349" t="s">
        <v>23500</v>
      </c>
      <c r="E5349" t="s">
        <v>28135</v>
      </c>
    </row>
    <row r="5350" spans="1:5">
      <c r="A5350" t="s">
        <v>6</v>
      </c>
      <c r="B5350" t="s">
        <v>5355</v>
      </c>
      <c r="C5350">
        <f>HYPERLINK("C:\Users\franc\OneDrive\Documentos\MALENTIN KARIME\mutuos\SOC AGRICOLA LAS PINTADAS fINAL.doc", "Abrir Documento")</f>
        <v>0</v>
      </c>
      <c r="D5350" t="s">
        <v>23500</v>
      </c>
      <c r="E5350" t="s">
        <v>28136</v>
      </c>
    </row>
    <row r="5351" spans="1:5">
      <c r="A5351" t="s">
        <v>6</v>
      </c>
      <c r="B5351" t="s">
        <v>5356</v>
      </c>
      <c r="C5351">
        <f>HYPERLINK("C:\Users\franc\OneDrive\Documentos\MALENTIN KARIME\mutuos\SERGIO ARAYA A ALEJANDRINA BOQUEZ.doc", "Abrir Documento")</f>
        <v>0</v>
      </c>
      <c r="D5351" t="s">
        <v>23500</v>
      </c>
      <c r="E5351" t="s">
        <v>28137</v>
      </c>
    </row>
    <row r="5352" spans="1:5">
      <c r="A5352" t="s">
        <v>6</v>
      </c>
      <c r="B5352" t="s">
        <v>5357</v>
      </c>
      <c r="C5352">
        <f>HYPERLINK("C:\Users\franc\OneDrive\Documentos\MALENTIN KARIME\mutuos\SERGIO ALVAREZ AMANTE.doc", "Abrir Documento")</f>
        <v>0</v>
      </c>
      <c r="D5352" t="s">
        <v>23500</v>
      </c>
      <c r="E5352" t="s">
        <v>28138</v>
      </c>
    </row>
    <row r="5353" spans="1:5">
      <c r="A5353" t="s">
        <v>6</v>
      </c>
      <c r="B5353" t="s">
        <v>5358</v>
      </c>
      <c r="C5353">
        <f>HYPERLINK("C:\Users\franc\OneDrive\Documentos\MALENTIN KARIME\mutuos\ROSA CASTILLO a  la vista.doc", "Abrir Documento")</f>
        <v>0</v>
      </c>
      <c r="D5353" t="s">
        <v>23500</v>
      </c>
      <c r="E5353" t="s">
        <v>28139</v>
      </c>
    </row>
    <row r="5354" spans="1:5">
      <c r="A5354" t="s">
        <v>6</v>
      </c>
      <c r="B5354" t="s">
        <v>5359</v>
      </c>
      <c r="C5354">
        <f>HYPERLINK("C:\Users\franc\OneDrive\Documentos\MALENTIN KARIME\mutuos\RAQUEL LOYOLA ROJAS a  la vista.doc", "Abrir Documento")</f>
        <v>0</v>
      </c>
      <c r="D5354" t="s">
        <v>23500</v>
      </c>
      <c r="E5354" t="s">
        <v>28140</v>
      </c>
    </row>
    <row r="5355" spans="1:5">
      <c r="A5355" t="s">
        <v>6</v>
      </c>
      <c r="B5355" t="s">
        <v>5360</v>
      </c>
      <c r="C5355">
        <f>HYPERLINK("C:\Users\franc\OneDrive\Documentos\MALENTIN KARIME\mutuos\RAUL JOFRE SALINAS a la vista.doc", "Abrir Documento")</f>
        <v>0</v>
      </c>
      <c r="D5355" t="s">
        <v>23500</v>
      </c>
      <c r="E5355" t="s">
        <v>28140</v>
      </c>
    </row>
    <row r="5356" spans="1:5">
      <c r="A5356" t="s">
        <v>6</v>
      </c>
      <c r="B5356" t="s">
        <v>5361</v>
      </c>
      <c r="C5356">
        <f>HYPERLINK("C:\Users\franc\OneDrive\Documentos\MALENTIN KARIME\mutuos\muto a plazo.doc", "Abrir Documento")</f>
        <v>0</v>
      </c>
      <c r="D5356" t="s">
        <v>23500</v>
      </c>
      <c r="E5356" t="s">
        <v>28141</v>
      </c>
    </row>
    <row r="5357" spans="1:5">
      <c r="A5357" t="s">
        <v>6</v>
      </c>
      <c r="B5357" t="s">
        <v>5362</v>
      </c>
      <c r="C5357">
        <f>HYPERLINK("C:\Users\franc\OneDrive\Documentos\MALENTIN KARIME\mutuos\muto a la vista.doc", "Abrir Documento")</f>
        <v>0</v>
      </c>
      <c r="D5357" t="s">
        <v>23500</v>
      </c>
      <c r="E5357" t="s">
        <v>28142</v>
      </c>
    </row>
    <row r="5358" spans="1:5">
      <c r="A5358" t="s">
        <v>6</v>
      </c>
      <c r="B5358" t="s">
        <v>5363</v>
      </c>
      <c r="C5358">
        <f>HYPERLINK("C:\Users\franc\OneDrive\Documentos\MALENTIN KARIME\mutuos\MOVIMIENTO TIERRAS PORTILLA LTDA.A Inmobiliaria plazo.doc", "Abrir Documento")</f>
        <v>0</v>
      </c>
      <c r="D5358" t="s">
        <v>23500</v>
      </c>
      <c r="E5358" t="s">
        <v>28143</v>
      </c>
    </row>
    <row r="5359" spans="1:5">
      <c r="A5359" t="s">
        <v>6</v>
      </c>
      <c r="B5359" t="s">
        <v>5364</v>
      </c>
      <c r="C5359">
        <f>HYPERLINK("C:\Users\franc\OneDrive\Documentos\MALENTIN KARIME\mutuos\MARIO ARAYA VEGA.doc", "Abrir Documento")</f>
        <v>0</v>
      </c>
      <c r="D5359" t="s">
        <v>23500</v>
      </c>
      <c r="E5359" t="s">
        <v>28144</v>
      </c>
    </row>
    <row r="5360" spans="1:5">
      <c r="A5360" t="s">
        <v>6</v>
      </c>
      <c r="B5360" t="s">
        <v>5365</v>
      </c>
      <c r="C5360">
        <f>HYPERLINK("C:\Users\franc\OneDrive\Documentos\MALENTIN KARIME\mutuos\MARIA BUCCI PRENDEZ.doc", "Abrir Documento")</f>
        <v>0</v>
      </c>
      <c r="D5360" t="s">
        <v>23500</v>
      </c>
      <c r="E5360" t="s">
        <v>28145</v>
      </c>
    </row>
    <row r="5361" spans="1:5">
      <c r="A5361" t="s">
        <v>6</v>
      </c>
      <c r="B5361" t="s">
        <v>5366</v>
      </c>
      <c r="C5361">
        <f>HYPERLINK("C:\Users\franc\OneDrive\Documentos\MALENTIN KARIME\mutuos\LUCY ASTUDILLO.doc", "Abrir Documento")</f>
        <v>0</v>
      </c>
      <c r="D5361" t="s">
        <v>23500</v>
      </c>
      <c r="E5361" t="s">
        <v>28146</v>
      </c>
    </row>
    <row r="5362" spans="1:5">
      <c r="A5362" t="s">
        <v>6</v>
      </c>
      <c r="B5362" t="s">
        <v>5367</v>
      </c>
      <c r="C5362">
        <f>HYPERLINK("C:\Users\franc\OneDrive\Documentos\MALENTIN KARIME\mutuos\LILIANA ALFARO LAGUNAS.doc", "Abrir Documento")</f>
        <v>0</v>
      </c>
      <c r="D5362" t="s">
        <v>23500</v>
      </c>
      <c r="E5362" t="s">
        <v>28147</v>
      </c>
    </row>
    <row r="5363" spans="1:5">
      <c r="A5363" t="s">
        <v>6</v>
      </c>
      <c r="B5363" t="s">
        <v>5368</v>
      </c>
      <c r="C5363">
        <f>HYPERLINK("C:\Users\franc\OneDrive\Documentos\MALENTIN KARIME\mutuos\JUAN PORTILLA ALBURQUENQUE.doc", "Abrir Documento")</f>
        <v>0</v>
      </c>
      <c r="D5363" t="s">
        <v>23500</v>
      </c>
      <c r="E5363" t="s">
        <v>28148</v>
      </c>
    </row>
    <row r="5364" spans="1:5">
      <c r="A5364" t="s">
        <v>6</v>
      </c>
      <c r="B5364" t="s">
        <v>5369</v>
      </c>
      <c r="C5364">
        <f>HYPERLINK("C:\Users\franc\OneDrive\Documentos\MALENTIN KARIME\mutuos\IVAN PAVLETIC A KATIA PAVLETICH.doc", "Abrir Documento")</f>
        <v>0</v>
      </c>
      <c r="D5364" t="s">
        <v>23500</v>
      </c>
      <c r="E5364" t="s">
        <v>28149</v>
      </c>
    </row>
    <row r="5365" spans="1:5">
      <c r="A5365" t="s">
        <v>6</v>
      </c>
      <c r="B5365" t="s">
        <v>5370</v>
      </c>
      <c r="C5365">
        <f>HYPERLINK("C:\Users\franc\OneDrive\Documentos\MALENTIN KARIME\mutuos\HERMOGENES RUBIO CHICO.doc", "Abrir Documento")</f>
        <v>0</v>
      </c>
      <c r="D5365" t="s">
        <v>23500</v>
      </c>
      <c r="E5365" t="s">
        <v>28150</v>
      </c>
    </row>
    <row r="5366" spans="1:5">
      <c r="A5366" t="s">
        <v>6</v>
      </c>
      <c r="B5366" t="s">
        <v>5371</v>
      </c>
      <c r="C5366">
        <f>HYPERLINK("C:\Users\franc\OneDrive\Documentos\MALENTIN KARIME\mutuos\FRANCISCO ROJAS ZAMBRA A Leoncio Carvajal.doc", "Abrir Documento")</f>
        <v>0</v>
      </c>
      <c r="D5366" t="s">
        <v>23500</v>
      </c>
      <c r="E5366" t="s">
        <v>28151</v>
      </c>
    </row>
    <row r="5367" spans="1:5">
      <c r="A5367" t="s">
        <v>6</v>
      </c>
      <c r="B5367" t="s">
        <v>5372</v>
      </c>
      <c r="C5367">
        <f>HYPERLINK("C:\Users\franc\OneDrive\Documentos\MALENTIN KARIME\mutuos\GUILLERMO MARIN A CLEMENTINA MARIN.doc", "Abrir Documento")</f>
        <v>0</v>
      </c>
      <c r="D5367" t="s">
        <v>23500</v>
      </c>
      <c r="E5367" t="s">
        <v>28151</v>
      </c>
    </row>
    <row r="5368" spans="1:5">
      <c r="A5368" t="s">
        <v>6</v>
      </c>
      <c r="B5368" t="s">
        <v>5373</v>
      </c>
      <c r="C5368">
        <f>HYPERLINK("C:\Users\franc\OneDrive\Documentos\MALENTIN KARIME\mutuos\FRANCISCO CASTILLO ROBLES}.doc", "Abrir Documento")</f>
        <v>0</v>
      </c>
      <c r="D5368" t="s">
        <v>23500</v>
      </c>
      <c r="E5368" t="s">
        <v>28152</v>
      </c>
    </row>
    <row r="5369" spans="1:5">
      <c r="A5369" t="s">
        <v>6</v>
      </c>
      <c r="B5369" t="s">
        <v>5374</v>
      </c>
      <c r="C5369">
        <f>HYPERLINK("C:\Users\franc\OneDrive\Documentos\MALENTIN KARIME\mutuos\F 241.doc", "Abrir Documento")</f>
        <v>0</v>
      </c>
      <c r="D5369" t="s">
        <v>23500</v>
      </c>
      <c r="E5369" t="s">
        <v>28153</v>
      </c>
    </row>
    <row r="5370" spans="1:5">
      <c r="A5370" t="s">
        <v>6</v>
      </c>
      <c r="B5370" t="s">
        <v>5375</v>
      </c>
      <c r="C5370">
        <f>HYPERLINK("C:\Users\franc\OneDrive\Documentos\MALENTIN KARIME\mutuos\F 24.doc", "Abrir Documento")</f>
        <v>0</v>
      </c>
      <c r="D5370" t="s">
        <v>23500</v>
      </c>
      <c r="E5370" t="s">
        <v>28154</v>
      </c>
    </row>
    <row r="5371" spans="1:5">
      <c r="A5371" t="s">
        <v>6</v>
      </c>
      <c r="B5371" t="s">
        <v>5376</v>
      </c>
      <c r="C5371">
        <f>HYPERLINK("C:\Users\franc\OneDrive\Documentos\MALENTIN KARIME\mutuos\F 24 PEDRO ALFONSO.doc", "Abrir Documento")</f>
        <v>0</v>
      </c>
      <c r="D5371" t="s">
        <v>23500</v>
      </c>
      <c r="E5371" t="s">
        <v>28155</v>
      </c>
    </row>
    <row r="5372" spans="1:5">
      <c r="A5372" t="s">
        <v>6</v>
      </c>
      <c r="B5372" t="s">
        <v>5377</v>
      </c>
      <c r="C5372">
        <f>HYPERLINK("C:\Users\franc\OneDrive\Documentos\MALENTIN KARIME\mutuos\F 24 nutuo.doc", "Abrir Documento")</f>
        <v>0</v>
      </c>
      <c r="D5372" t="s">
        <v>23500</v>
      </c>
      <c r="E5372" t="s">
        <v>28156</v>
      </c>
    </row>
    <row r="5373" spans="1:5">
      <c r="A5373" t="s">
        <v>6</v>
      </c>
      <c r="B5373" t="s">
        <v>5378</v>
      </c>
      <c r="C5373">
        <f>HYPERLINK("C:\Users\franc\OneDrive\Documentos\MALENTIN KARIME\mutuos\F 24 LAS PINTADAS.doc", "Abrir Documento")</f>
        <v>0</v>
      </c>
      <c r="D5373" t="s">
        <v>23500</v>
      </c>
      <c r="E5373" t="s">
        <v>28157</v>
      </c>
    </row>
    <row r="5374" spans="1:5">
      <c r="A5374" t="s">
        <v>6</v>
      </c>
      <c r="B5374" t="s">
        <v>5379</v>
      </c>
      <c r="C5374">
        <f>HYPERLINK("C:\Users\franc\OneDrive\Documentos\MALENTIN KARIME\mutuos\F 24 empresa.doc", "Abrir Documento")</f>
        <v>0</v>
      </c>
      <c r="D5374" t="s">
        <v>23500</v>
      </c>
      <c r="E5374" t="s">
        <v>28158</v>
      </c>
    </row>
    <row r="5375" spans="1:5">
      <c r="A5375" t="s">
        <v>6</v>
      </c>
      <c r="B5375" t="s">
        <v>5380</v>
      </c>
      <c r="C5375">
        <f>HYPERLINK("C:\Users\franc\OneDrive\Documentos\MALENTIN KARIME\mutuos\F 24 Alejandrina Borquez.doc", "Abrir Documento")</f>
        <v>0</v>
      </c>
      <c r="D5375" t="s">
        <v>23500</v>
      </c>
      <c r="E5375" t="s">
        <v>28159</v>
      </c>
    </row>
    <row r="5376" spans="1:5">
      <c r="A5376" t="s">
        <v>6</v>
      </c>
      <c r="B5376" t="s">
        <v>5381</v>
      </c>
      <c r="C5376">
        <f>HYPERLINK("C:\Users\franc\OneDrive\Documentos\MALENTIN KARIME\mutuos\F 24 Bastian Tapia.doc", "Abrir Documento")</f>
        <v>0</v>
      </c>
      <c r="D5376" t="s">
        <v>23500</v>
      </c>
      <c r="E5376" t="s">
        <v>28159</v>
      </c>
    </row>
    <row r="5377" spans="1:5">
      <c r="A5377" t="s">
        <v>6</v>
      </c>
      <c r="B5377" t="s">
        <v>5382</v>
      </c>
      <c r="C5377">
        <f>HYPERLINK("C:\Users\franc\OneDrive\Documentos\MALENTIN KARIME\mutuos\CLEMENTE FUENTEALBA A la vista.doc", "Abrir Documento")</f>
        <v>0</v>
      </c>
      <c r="D5377" t="s">
        <v>23500</v>
      </c>
      <c r="E5377" t="s">
        <v>28160</v>
      </c>
    </row>
    <row r="5378" spans="1:5">
      <c r="A5378" t="s">
        <v>6</v>
      </c>
      <c r="B5378" t="s">
        <v>5383</v>
      </c>
      <c r="C5378">
        <f>HYPERLINK("C:\Users\franc\OneDrive\Documentos\MALENTIN KARIME\mutuos\CLAUDIA PEREZ DIAZ Privado.doc", "Abrir Documento")</f>
        <v>0</v>
      </c>
      <c r="D5378" t="s">
        <v>23500</v>
      </c>
      <c r="E5378" t="s">
        <v>28161</v>
      </c>
    </row>
    <row r="5379" spans="1:5">
      <c r="A5379" t="s">
        <v>6</v>
      </c>
      <c r="B5379" t="s">
        <v>5384</v>
      </c>
      <c r="C5379">
        <f>HYPERLINK("C:\Users\franc\OneDrive\Documentos\MALENTIN KARIME\mutuos\AMANDA BARRAZA Mutuo.doc", "Abrir Documento")</f>
        <v>0</v>
      </c>
      <c r="D5379" t="s">
        <v>23500</v>
      </c>
      <c r="E5379" t="s">
        <v>28162</v>
      </c>
    </row>
    <row r="5380" spans="1:5">
      <c r="A5380" t="s">
        <v>6</v>
      </c>
      <c r="B5380" t="s">
        <v>5385</v>
      </c>
      <c r="C5380">
        <f>HYPERLINK("C:\Users\franc\OneDrive\Documentos\MALENTIN KARIME\mutuos\AGREGA IMPUESTO MUTUO.doc", "Abrir Documento")</f>
        <v>0</v>
      </c>
      <c r="D5380" t="s">
        <v>23500</v>
      </c>
      <c r="E5380" t="s">
        <v>28163</v>
      </c>
    </row>
    <row r="5381" spans="1:5">
      <c r="A5381" t="s">
        <v>6</v>
      </c>
      <c r="B5381" t="s">
        <v>5386</v>
      </c>
      <c r="C5381">
        <f>HYPERLINK("C:\Users\franc\OneDrive\Documentos\MALENTIN KARIME\mutuos\AGREGA IMPUESTO MUTUO 2.doc", "Abrir Documento")</f>
        <v>0</v>
      </c>
      <c r="D5381" t="s">
        <v>23500</v>
      </c>
      <c r="E5381" t="s">
        <v>28164</v>
      </c>
    </row>
    <row r="5382" spans="1:5">
      <c r="A5382" t="s">
        <v>6</v>
      </c>
      <c r="B5382" t="s">
        <v>5387</v>
      </c>
      <c r="C5382">
        <f>HYPERLINK("C:\Users\franc\OneDrive\Documentos\MALENTIN KARIME\MUSALEN\2015\GUILLERMO ROJAS PORTILLA Prenda.doc", "Abrir Documento")</f>
        <v>0</v>
      </c>
      <c r="D5382" t="s">
        <v>23500</v>
      </c>
      <c r="E5382" t="s">
        <v>28165</v>
      </c>
    </row>
    <row r="5383" spans="1:5">
      <c r="A5383" t="s">
        <v>6</v>
      </c>
      <c r="B5383" t="s">
        <v>5388</v>
      </c>
      <c r="C5383">
        <f>HYPERLINK("C:\Users\franc\OneDrive\Documentos\MALENTIN KARIME\MUSALEN\2015\MONICA OLIVARES ARAYA Prenda.doc", "Abrir Documento")</f>
        <v>0</v>
      </c>
      <c r="D5383" t="s">
        <v>23500</v>
      </c>
      <c r="E5383" t="s">
        <v>28165</v>
      </c>
    </row>
    <row r="5384" spans="1:5">
      <c r="A5384" t="s">
        <v>6</v>
      </c>
      <c r="B5384" t="s">
        <v>5389</v>
      </c>
      <c r="C5384">
        <f>HYPERLINK("C:\Users\franc\OneDrive\Documentos\MALENTIN KARIME\MUSALEN\2015\AGRICOLA ROLANDO CASTRO Prenda.doc", "Abrir Documento")</f>
        <v>0</v>
      </c>
      <c r="D5384" t="s">
        <v>23500</v>
      </c>
      <c r="E5384" t="s">
        <v>28166</v>
      </c>
    </row>
    <row r="5385" spans="1:5">
      <c r="A5385" t="s">
        <v>6</v>
      </c>
      <c r="B5385" t="s">
        <v>5390</v>
      </c>
      <c r="C5385">
        <f>HYPERLINK("C:\Users\franc\OneDrive\Documentos\MALENTIN KARIME\MUSALEN\Transportes Alser AlzamientoCOVALSA.doc", "Abrir Documento")</f>
        <v>0</v>
      </c>
      <c r="D5385" t="s">
        <v>23500</v>
      </c>
      <c r="E5385" t="s">
        <v>28167</v>
      </c>
    </row>
    <row r="5386" spans="1:5">
      <c r="A5386" t="s">
        <v>6</v>
      </c>
      <c r="B5386" t="s">
        <v>5391</v>
      </c>
      <c r="C5386">
        <f>HYPERLINK("C:\Users\franc\OneDrive\Documentos\MALENTIN KARIME\MUSALEN\Malvina Valezuela Alzamiento.doc", "Abrir Documento")</f>
        <v>0</v>
      </c>
      <c r="D5386" t="s">
        <v>23500</v>
      </c>
      <c r="E5386" t="s">
        <v>28168</v>
      </c>
    </row>
    <row r="5387" spans="1:5">
      <c r="A5387" t="s">
        <v>6</v>
      </c>
      <c r="B5387" t="s">
        <v>5392</v>
      </c>
      <c r="C5387">
        <f>HYPERLINK("C:\Users\franc\OneDrive\Documentos\MALENTIN KARIME\MUSALEN\RODRIGO OLIVARES ARREDONDO Azamiento.doc", "Abrir Documento")</f>
        <v>0</v>
      </c>
      <c r="D5387" t="s">
        <v>23500</v>
      </c>
      <c r="E5387" t="s">
        <v>28168</v>
      </c>
    </row>
    <row r="5388" spans="1:5">
      <c r="A5388" t="s">
        <v>6</v>
      </c>
      <c r="B5388" t="s">
        <v>5393</v>
      </c>
      <c r="C5388">
        <f>HYPERLINK("C:\Users\franc\OneDrive\Documentos\MALENTIN KARIME\MUSALEN\MAGDA VENEGAS PLAZA.doc", "Abrir Documento")</f>
        <v>0</v>
      </c>
      <c r="D5388" t="s">
        <v>23500</v>
      </c>
      <c r="E5388" t="s">
        <v>28169</v>
      </c>
    </row>
    <row r="5389" spans="1:5">
      <c r="A5389" t="s">
        <v>6</v>
      </c>
      <c r="B5389" t="s">
        <v>5394</v>
      </c>
      <c r="C5389">
        <f>HYPERLINK("C:\Users\franc\OneDrive\Documentos\MALENTIN KARIME\MUSALEN\LOGISTICA INDUSTRIAL Febr 2013.doc", "Abrir Documento")</f>
        <v>0</v>
      </c>
      <c r="D5389" t="s">
        <v>23500</v>
      </c>
      <c r="E5389" t="s">
        <v>28170</v>
      </c>
    </row>
    <row r="5390" spans="1:5">
      <c r="A5390" t="s">
        <v>6</v>
      </c>
      <c r="B5390" t="s">
        <v>5395</v>
      </c>
      <c r="C5390">
        <f>HYPERLINK("C:\Users\franc\OneDrive\Documentos\MALENTIN KARIME\MUSALEN\JOSE MICHEA MICHEA Alzamiento.doc", "Abrir Documento")</f>
        <v>0</v>
      </c>
      <c r="D5390" t="s">
        <v>23500</v>
      </c>
      <c r="E5390" t="s">
        <v>28171</v>
      </c>
    </row>
    <row r="5391" spans="1:5">
      <c r="A5391" t="s">
        <v>6</v>
      </c>
      <c r="B5391" t="s">
        <v>5396</v>
      </c>
      <c r="C5391">
        <f>HYPERLINK("C:\Users\franc\OneDrive\Documentos\MALENTIN KARIME\MUSALEN\FRIO LOA Septiembre.doc", "Abrir Documento")</f>
        <v>0</v>
      </c>
      <c r="D5391" t="s">
        <v>23500</v>
      </c>
      <c r="E5391" t="s">
        <v>28172</v>
      </c>
    </row>
    <row r="5392" spans="1:5">
      <c r="A5392" t="s">
        <v>6</v>
      </c>
      <c r="B5392" t="s">
        <v>5397</v>
      </c>
      <c r="C5392">
        <f>HYPERLINK("C:\Users\franc\OneDrive\Documentos\MALENTIN KARIME\MUSALEN\FRIO LOA Febr 2013.doc", "Abrir Documento")</f>
        <v>0</v>
      </c>
      <c r="D5392" t="s">
        <v>23500</v>
      </c>
      <c r="E5392" t="s">
        <v>28173</v>
      </c>
    </row>
    <row r="5393" spans="1:5">
      <c r="A5393" t="s">
        <v>6</v>
      </c>
      <c r="B5393" t="s">
        <v>5398</v>
      </c>
      <c r="C5393">
        <f>HYPERLINK("C:\Users\franc\OneDrive\Documentos\MALENTIN KARIME\MUSALEN\ERIC JOSE MUÑOZ TAUCARE proto vehiculo.doc", "Abrir Documento")</f>
        <v>0</v>
      </c>
      <c r="D5393" t="s">
        <v>23500</v>
      </c>
      <c r="E5393" t="s">
        <v>28174</v>
      </c>
    </row>
    <row r="5394" spans="1:5">
      <c r="A5394" t="s">
        <v>6</v>
      </c>
      <c r="B5394" t="s">
        <v>5399</v>
      </c>
      <c r="C5394">
        <f>HYPERLINK("C:\Users\franc\OneDrive\Documentos\MALENTIN KARIME\MUSALEN\FRANCISCO MOLINA ZORRICUELTAAlzamiento.doc", "Abrir Documento")</f>
        <v>0</v>
      </c>
      <c r="D5394" t="s">
        <v>23500</v>
      </c>
      <c r="E5394" t="s">
        <v>28174</v>
      </c>
    </row>
    <row r="5395" spans="1:5">
      <c r="A5395" t="s">
        <v>6</v>
      </c>
      <c r="B5395" t="s">
        <v>5400</v>
      </c>
      <c r="C5395">
        <f>HYPERLINK("C:\Users\franc\OneDrive\Documentos\MALENTIN KARIME\MUSALEN\EDMUNDO ARAYA.doc", "Abrir Documento")</f>
        <v>0</v>
      </c>
      <c r="D5395" t="s">
        <v>23500</v>
      </c>
      <c r="E5395" t="s">
        <v>28175</v>
      </c>
    </row>
    <row r="5396" spans="1:5">
      <c r="A5396" t="s">
        <v>6</v>
      </c>
      <c r="B5396" t="s">
        <v>5401</v>
      </c>
      <c r="C5396">
        <f>HYPERLINK("C:\Users\franc\OneDrive\Documentos\MALENTIN KARIME\MUSALEN\CARLOS CONTRERAS CARVAJAL.doc", "Abrir Documento")</f>
        <v>0</v>
      </c>
      <c r="D5396" t="s">
        <v>23500</v>
      </c>
      <c r="E5396" t="s">
        <v>28176</v>
      </c>
    </row>
    <row r="5397" spans="1:5">
      <c r="A5397" t="s">
        <v>6</v>
      </c>
      <c r="B5397" t="s">
        <v>5402</v>
      </c>
      <c r="C5397">
        <f>HYPERLINK("C:\Users\franc\OneDrive\Documentos\MALENTIN KARIME\MUNICIPALIDAD\YASMIN VEGA PIZARRO.doc", "Abrir Documento")</f>
        <v>0</v>
      </c>
      <c r="D5397" t="s">
        <v>23500</v>
      </c>
      <c r="E5397" t="s">
        <v>28177</v>
      </c>
    </row>
    <row r="5398" spans="1:5">
      <c r="A5398" t="s">
        <v>6</v>
      </c>
      <c r="B5398" t="s">
        <v>5403</v>
      </c>
      <c r="C5398">
        <f>HYPERLINK("C:\Users\franc\OneDrive\Documentos\MALENTIN KARIME\MUSALEN\ANA MARIA ROJAS BUGUEÑO Cvta.doc", "Abrir Documento")</f>
        <v>0</v>
      </c>
      <c r="D5398" t="s">
        <v>23500</v>
      </c>
      <c r="E5398" t="s">
        <v>28177</v>
      </c>
    </row>
    <row r="5399" spans="1:5">
      <c r="A5399" t="s">
        <v>6</v>
      </c>
      <c r="B5399" t="s">
        <v>5404</v>
      </c>
      <c r="C5399">
        <f>HYPERLINK("C:\Users\franc\OneDrive\Documentos\MALENTIN KARIME\MUNICIPALIDAD\VALENTIN MONTENEGRO RIVDENEIRA.doc", "Abrir Documento")</f>
        <v>0</v>
      </c>
      <c r="D5399" t="s">
        <v>23500</v>
      </c>
      <c r="E5399" t="s">
        <v>28178</v>
      </c>
    </row>
    <row r="5400" spans="1:5">
      <c r="A5400" t="s">
        <v>6</v>
      </c>
      <c r="B5400" t="s">
        <v>5405</v>
      </c>
      <c r="C5400">
        <f>HYPERLINK("C:\Users\franc\OneDrive\Documentos\MALENTIN KARIME\MUNICIPALIDAD\YASMIN VEGA PIZARRO rectificacion.doc", "Abrir Documento")</f>
        <v>0</v>
      </c>
      <c r="D5400" t="s">
        <v>23500</v>
      </c>
      <c r="E5400" t="s">
        <v>28178</v>
      </c>
    </row>
    <row r="5401" spans="1:5">
      <c r="A5401" t="s">
        <v>6</v>
      </c>
      <c r="B5401" t="s">
        <v>5406</v>
      </c>
      <c r="C5401">
        <f>HYPERLINK("C:\Users\franc\OneDrive\Documentos\MALENTIN KARIME\MUNICIPALIDAD\VALENTIN MONTENEGRO RIVDENEIRA Subrogante.doc", "Abrir Documento")</f>
        <v>0</v>
      </c>
      <c r="D5401" t="s">
        <v>23500</v>
      </c>
      <c r="E5401" t="s">
        <v>28179</v>
      </c>
    </row>
    <row r="5402" spans="1:5">
      <c r="A5402" t="s">
        <v>6</v>
      </c>
      <c r="B5402" t="s">
        <v>5407</v>
      </c>
      <c r="C5402">
        <f>HYPERLINK("C:\Users\franc\OneDrive\Documentos\MALENTIN KARIME\MUNICIPALIDAD\RUBEN ARAYA MIRANDA Claudio Renteria.doc", "Abrir Documento")</f>
        <v>0</v>
      </c>
      <c r="D5402" t="s">
        <v>23500</v>
      </c>
      <c r="E5402" t="s">
        <v>28180</v>
      </c>
    </row>
    <row r="5403" spans="1:5">
      <c r="A5403" t="s">
        <v>6</v>
      </c>
      <c r="B5403" t="s">
        <v>5408</v>
      </c>
      <c r="C5403">
        <f>HYPERLINK("C:\Users\franc\OneDrive\Documentos\MALENTIN KARIME\MUNICIPALIDAD\SERGIO CORREA DIAZ Claudio Renteria.doc", "Abrir Documento")</f>
        <v>0</v>
      </c>
      <c r="D5403" t="s">
        <v>23500</v>
      </c>
      <c r="E5403" t="s">
        <v>28180</v>
      </c>
    </row>
    <row r="5404" spans="1:5">
      <c r="A5404" t="s">
        <v>6</v>
      </c>
      <c r="B5404" t="s">
        <v>5409</v>
      </c>
      <c r="C5404">
        <f>HYPERLINK("C:\Users\franc\OneDrive\Documentos\MALENTIN KARIME\MUNICIPALIDAD\RUBEN ARAYA MIRANDA Claudio Renteria NOTITULAR.doc", "Abrir Documento")</f>
        <v>0</v>
      </c>
      <c r="D5404" t="s">
        <v>23500</v>
      </c>
      <c r="E5404" t="s">
        <v>28181</v>
      </c>
    </row>
    <row r="5405" spans="1:5">
      <c r="A5405" t="s">
        <v>6</v>
      </c>
      <c r="B5405" t="s">
        <v>5410</v>
      </c>
      <c r="C5405">
        <f>HYPERLINK("C:\Users\franc\OneDrive\Documentos\MALENTIN KARIME\MUNICIPALIDAD\ROSA MELENDRE SANVENERO.doc", "Abrir Documento")</f>
        <v>0</v>
      </c>
      <c r="D5405" t="s">
        <v>23500</v>
      </c>
      <c r="E5405" t="s">
        <v>28182</v>
      </c>
    </row>
    <row r="5406" spans="1:5">
      <c r="A5406" t="s">
        <v>6</v>
      </c>
      <c r="B5406" t="s">
        <v>5411</v>
      </c>
      <c r="C5406">
        <f>HYPERLINK("C:\Users\franc\OneDrive\Documentos\MALENTIN KARIME\MUNICIPALIDAD\PILAR ARAYA.doc", "Abrir Documento")</f>
        <v>0</v>
      </c>
      <c r="D5406" t="s">
        <v>23500</v>
      </c>
      <c r="E5406" t="s">
        <v>28183</v>
      </c>
    </row>
    <row r="5407" spans="1:5">
      <c r="A5407" t="s">
        <v>6</v>
      </c>
      <c r="B5407" t="s">
        <v>5412</v>
      </c>
      <c r="C5407">
        <f>HYPERLINK("C:\Users\franc\OneDrive\Documentos\MALENTIN KARIME\MUNICIPALIDAD\MUNICIPALIDAD OVALLE A Carlos Vargas.doc", "Abrir Documento")</f>
        <v>0</v>
      </c>
      <c r="D5407" t="s">
        <v>23500</v>
      </c>
      <c r="E5407" t="s">
        <v>28184</v>
      </c>
    </row>
    <row r="5408" spans="1:5">
      <c r="A5408" t="s">
        <v>6</v>
      </c>
      <c r="B5408" t="s">
        <v>5413</v>
      </c>
      <c r="C5408">
        <f>HYPERLINK("C:\Users\franc\OneDrive\Documentos\MALENTIN KARIME\MUNICIPALIDAD\MUNICIPALIDAD DE OVALLE C Renteria A SERGIO GALLEGUILLOS.doc", "Abrir Documento")</f>
        <v>0</v>
      </c>
      <c r="D5408" t="s">
        <v>23500</v>
      </c>
      <c r="E5408" t="s">
        <v>28185</v>
      </c>
    </row>
    <row r="5409" spans="1:5">
      <c r="A5409" t="s">
        <v>6</v>
      </c>
      <c r="B5409" t="s">
        <v>5414</v>
      </c>
      <c r="C5409">
        <f>HYPERLINK("C:\Users\franc\OneDrive\Documentos\MALENTIN KARIME\MUNICIPALIDAD\MUNICIPALIDAD DE OVALLE C Renteria A claudio ardiles.doc", "Abrir Documento")</f>
        <v>0</v>
      </c>
      <c r="D5409" t="s">
        <v>23500</v>
      </c>
      <c r="E5409" t="s">
        <v>28186</v>
      </c>
    </row>
    <row r="5410" spans="1:5">
      <c r="A5410" t="s">
        <v>6</v>
      </c>
      <c r="B5410" t="s">
        <v>5415</v>
      </c>
      <c r="C5410">
        <f>HYPERLINK("C:\Users\franc\OneDrive\Documentos\MALENTIN KARIME\MUNICIPALIDAD\MUNICIPALIDAD DE OVALLE A PAOLA MORALES M Especial.doc", "Abrir Documento")</f>
        <v>0</v>
      </c>
      <c r="D5410" t="s">
        <v>23500</v>
      </c>
      <c r="E5410" t="s">
        <v>28187</v>
      </c>
    </row>
    <row r="5411" spans="1:5">
      <c r="A5411" t="s">
        <v>6</v>
      </c>
      <c r="B5411" t="s">
        <v>5416</v>
      </c>
      <c r="C5411">
        <f>HYPERLINK("C:\Users\franc\OneDrive\Documentos\MALENTIN KARIME\MUNICIPALIDAD\MUNICIPALIDAD DE OVALLE A CARLOS GUEDE ARAYA M Especial.doc", "Abrir Documento")</f>
        <v>0</v>
      </c>
      <c r="D5411" t="s">
        <v>23500</v>
      </c>
      <c r="E5411" t="s">
        <v>28188</v>
      </c>
    </row>
    <row r="5412" spans="1:5">
      <c r="A5412" t="s">
        <v>6</v>
      </c>
      <c r="B5412" t="s">
        <v>5417</v>
      </c>
      <c r="C5412">
        <f>HYPERLINK("C:\Users\franc\OneDrive\Documentos\MALENTIN KARIME\MUNICIPALIDAD\MONICA ARAYA LASTARRIA.doc", "Abrir Documento")</f>
        <v>0</v>
      </c>
      <c r="D5412" t="s">
        <v>23500</v>
      </c>
      <c r="E5412" t="s">
        <v>28189</v>
      </c>
    </row>
    <row r="5413" spans="1:5">
      <c r="A5413" t="s">
        <v>6</v>
      </c>
      <c r="B5413" t="s">
        <v>5418</v>
      </c>
      <c r="C5413">
        <f>HYPERLINK("C:\Users\franc\OneDrive\Documentos\MALENTIN KARIME\MUNICIPALIDAD\MARTA SEGOVIA HONORES Claudio Renteria.doc", "Abrir Documento")</f>
        <v>0</v>
      </c>
      <c r="D5413" t="s">
        <v>23500</v>
      </c>
      <c r="E5413" t="s">
        <v>28190</v>
      </c>
    </row>
    <row r="5414" spans="1:5">
      <c r="A5414" t="s">
        <v>6</v>
      </c>
      <c r="B5414" t="s">
        <v>5419</v>
      </c>
      <c r="C5414">
        <f>HYPERLINK("C:\Users\franc\OneDrive\Documentos\MALENTIN KARIME\MUNICIPALIDAD\MARTA SEGOVIA HONORES Claudio Renteria II.doc", "Abrir Documento")</f>
        <v>0</v>
      </c>
      <c r="D5414" t="s">
        <v>23500</v>
      </c>
      <c r="E5414" t="s">
        <v>28191</v>
      </c>
    </row>
    <row r="5415" spans="1:5">
      <c r="A5415" t="s">
        <v>6</v>
      </c>
      <c r="B5415" t="s">
        <v>5420</v>
      </c>
      <c r="C5415">
        <f>HYPERLINK("C:\Users\franc\OneDrive\Documentos\MALENTIN KARIME\MUNICIPALIDAD\LILIAN GODOY Subrogante.doc", "Abrir Documento")</f>
        <v>0</v>
      </c>
      <c r="D5415" t="s">
        <v>23500</v>
      </c>
      <c r="E5415" t="s">
        <v>28192</v>
      </c>
    </row>
    <row r="5416" spans="1:5">
      <c r="A5416" t="s">
        <v>6</v>
      </c>
      <c r="B5416" t="s">
        <v>5421</v>
      </c>
      <c r="C5416">
        <f>HYPERLINK("C:\Users\franc\OneDrive\Documentos\MALENTIN KARIME\MUNICIPALIDAD\MARIA AGUILERA CASTILLO.doc", "Abrir Documento")</f>
        <v>0</v>
      </c>
      <c r="D5416" t="s">
        <v>23500</v>
      </c>
      <c r="E5416" t="s">
        <v>28192</v>
      </c>
    </row>
    <row r="5417" spans="1:5">
      <c r="A5417" t="s">
        <v>6</v>
      </c>
      <c r="B5417" t="s">
        <v>5422</v>
      </c>
      <c r="C5417">
        <f>HYPERLINK("C:\Users\franc\OneDrive\Documentos\MALENTIN KARIME\MUNICIPALIDAD\KARINA ANDREA RAMOS MOYA.doc", "Abrir Documento")</f>
        <v>0</v>
      </c>
      <c r="D5417" t="s">
        <v>23500</v>
      </c>
      <c r="E5417" t="s">
        <v>28193</v>
      </c>
    </row>
    <row r="5418" spans="1:5">
      <c r="A5418" t="s">
        <v>6</v>
      </c>
      <c r="B5418" t="s">
        <v>5423</v>
      </c>
      <c r="C5418">
        <f>HYPERLINK("C:\Users\franc\OneDrive\Documentos\MALENTIN KARIME\MUNICIPALIDAD\KARINA ANDREA RAMOS MOYA Not Suplente.doc", "Abrir Documento")</f>
        <v>0</v>
      </c>
      <c r="D5418" t="s">
        <v>23500</v>
      </c>
      <c r="E5418" t="s">
        <v>28194</v>
      </c>
    </row>
    <row r="5419" spans="1:5">
      <c r="A5419" t="s">
        <v>6</v>
      </c>
      <c r="B5419" t="s">
        <v>5424</v>
      </c>
      <c r="C5419">
        <f>HYPERLINK("C:\Users\franc\OneDrive\Documentos\MALENTIN KARIME\MUNICIPALIDAD\INGENIERIA SENDA URBANA Contrato Modificacion.doc", "Abrir Documento")</f>
        <v>0</v>
      </c>
      <c r="D5419" t="s">
        <v>23500</v>
      </c>
      <c r="E5419" t="s">
        <v>28195</v>
      </c>
    </row>
    <row r="5420" spans="1:5">
      <c r="A5420" t="s">
        <v>6</v>
      </c>
      <c r="B5420" t="s">
        <v>5425</v>
      </c>
      <c r="C5420">
        <f>HYPERLINK("C:\Users\franc\OneDrive\Documentos\MALENTIN KARIME\MUNICIPALIDAD\INGENIERIA SENDA URBANA Contrato.doc", "Abrir Documento")</f>
        <v>0</v>
      </c>
      <c r="D5420" t="s">
        <v>23500</v>
      </c>
      <c r="E5420" t="s">
        <v>28195</v>
      </c>
    </row>
    <row r="5421" spans="1:5">
      <c r="A5421" t="s">
        <v>6</v>
      </c>
      <c r="B5421" t="s">
        <v>5426</v>
      </c>
      <c r="C5421">
        <f>HYPERLINK("C:\Users\franc\OneDrive\Documentos\MALENTIN KARIME\MUNICIPALIDAD\INGENIERIA SENDA URBANA Contrato Modificacion Subrogante.doc", "Abrir Documento")</f>
        <v>0</v>
      </c>
      <c r="D5421" t="s">
        <v>23500</v>
      </c>
      <c r="E5421" t="s">
        <v>28196</v>
      </c>
    </row>
    <row r="5422" spans="1:5">
      <c r="A5422" t="s">
        <v>6</v>
      </c>
      <c r="B5422" t="s">
        <v>5427</v>
      </c>
      <c r="C5422">
        <f>HYPERLINK("C:\Users\franc\OneDrive\Documentos\MALENTIN KARIME\MUNICIPALIDAD\ILUSTRE MUNICIPALIDAD DE OVALLE A MARIA JOSE CERDA y otros  Mjudicial.doc", "Abrir Documento")</f>
        <v>0</v>
      </c>
      <c r="D5422" t="s">
        <v>23500</v>
      </c>
      <c r="E5422" t="s">
        <v>28197</v>
      </c>
    </row>
    <row r="5423" spans="1:5">
      <c r="A5423" t="s">
        <v>6</v>
      </c>
      <c r="B5423" t="s">
        <v>5428</v>
      </c>
      <c r="C5423">
        <f>HYPERLINK("C:\Users\franc\OneDrive\Documentos\MALENTIN KARIME\MUNICIPALIDAD\ILUSTRE MUNICIPALIDAD DE OVALLE A MARIA JOSE CERDA y  Mjudicial.doc", "Abrir Documento")</f>
        <v>0</v>
      </c>
      <c r="D5423" t="s">
        <v>23500</v>
      </c>
      <c r="E5423" t="s">
        <v>28198</v>
      </c>
    </row>
    <row r="5424" spans="1:5">
      <c r="A5424" t="s">
        <v>6</v>
      </c>
      <c r="B5424" t="s">
        <v>5429</v>
      </c>
      <c r="C5424">
        <f>HYPERLINK("C:\Users\franc\OneDrive\Documentos\MALENTIN KARIME\MUNICIPALIDAD\HUGO OPAZO CONTRERAS.doc", "Abrir Documento")</f>
        <v>0</v>
      </c>
      <c r="D5424" t="s">
        <v>23500</v>
      </c>
      <c r="E5424" t="s">
        <v>28199</v>
      </c>
    </row>
    <row r="5425" spans="1:5">
      <c r="A5425" t="s">
        <v>6</v>
      </c>
      <c r="B5425" t="s">
        <v>5430</v>
      </c>
      <c r="C5425">
        <f>HYPERLINK("C:\Users\franc\OneDrive\Documentos\MALENTIN KARIME\MUNICIPALIDAD\EN LO PRINCIPAL.doc", "Abrir Documento")</f>
        <v>0</v>
      </c>
      <c r="D5425" t="s">
        <v>23500</v>
      </c>
      <c r="E5425" t="s">
        <v>28200</v>
      </c>
    </row>
    <row r="5426" spans="1:5">
      <c r="A5426" t="s">
        <v>6</v>
      </c>
      <c r="B5426" t="s">
        <v>5431</v>
      </c>
      <c r="C5426">
        <f>HYPERLINK("C:\Users\franc\OneDrive\Documentos\MALENTIN KARIME\MUNICIPALIDAD\CUERPO DE BOMBEROS Resciliacion.doc", "Abrir Documento")</f>
        <v>0</v>
      </c>
      <c r="D5426" t="s">
        <v>23500</v>
      </c>
      <c r="E5426" t="s">
        <v>28201</v>
      </c>
    </row>
    <row r="5427" spans="1:5">
      <c r="A5427" t="s">
        <v>6</v>
      </c>
      <c r="B5427" t="s">
        <v>5432</v>
      </c>
      <c r="C5427">
        <f>HYPERLINK("C:\Users\franc\OneDrive\Documentos\MALENTIN KARIME\MUNICIPALIDAD\BORIS MONTT ESPINOZA.doc", "Abrir Documento")</f>
        <v>0</v>
      </c>
      <c r="D5427" t="s">
        <v>23500</v>
      </c>
      <c r="E5427" t="s">
        <v>28202</v>
      </c>
    </row>
    <row r="5428" spans="1:5">
      <c r="A5428" t="s">
        <v>6</v>
      </c>
      <c r="B5428" t="s">
        <v>5433</v>
      </c>
      <c r="C5428">
        <f>HYPERLINK("C:\Users\franc\OneDrive\Documentos\MALENTIN KARIME\MUNICIPALIDAD\Autorizo la firma de doña MARTA ELISA LOBOS INZUNZA ALCALDESA.doc", "Abrir Documento")</f>
        <v>0</v>
      </c>
      <c r="D5428" t="s">
        <v>23500</v>
      </c>
      <c r="E5428" t="s">
        <v>28203</v>
      </c>
    </row>
    <row r="5429" spans="1:5">
      <c r="A5429" t="s">
        <v>6</v>
      </c>
      <c r="B5429" t="s">
        <v>5434</v>
      </c>
      <c r="C5429">
        <f>HYPERLINK("C:\Users\franc\OneDrive\Documentos\MALENTIN KARIME\MUNICIPALIDAD\Autorizo la firma de doña MARTA ELISA LOBOS INZUNZA.doc", "Abrir Documento")</f>
        <v>0</v>
      </c>
      <c r="D5429" t="s">
        <v>23500</v>
      </c>
      <c r="E5429" t="s">
        <v>28203</v>
      </c>
    </row>
    <row r="5430" spans="1:5">
      <c r="A5430" t="s">
        <v>6</v>
      </c>
      <c r="B5430" t="s">
        <v>5435</v>
      </c>
      <c r="C5430">
        <f>HYPERLINK("C:\Users\franc\OneDrive\Documentos\MALENTIN KARIME\MUNICIPALIDAD\Autorizo la firma de don RODRIGO IGNACIO VEGA GOMEZ.doc", "Abrir Documento")</f>
        <v>0</v>
      </c>
      <c r="D5430" t="s">
        <v>23500</v>
      </c>
      <c r="E5430" t="s">
        <v>28204</v>
      </c>
    </row>
    <row r="5431" spans="1:5">
      <c r="A5431" t="s">
        <v>6</v>
      </c>
      <c r="B5431" t="s">
        <v>5436</v>
      </c>
      <c r="C5431">
        <f>HYPERLINK("C:\Users\franc\OneDrive\Documentos\MALENTIN KARIME\MINUTAS\RUBEN GOTTREEUX A MARIA BARRAZA.doc", "Abrir Documento")</f>
        <v>0</v>
      </c>
      <c r="D5431" t="s">
        <v>23500</v>
      </c>
      <c r="E5431" t="s">
        <v>28205</v>
      </c>
    </row>
    <row r="5432" spans="1:5">
      <c r="A5432" t="s">
        <v>6</v>
      </c>
      <c r="B5432" t="s">
        <v>5437</v>
      </c>
      <c r="C5432">
        <f>HYPERLINK("C:\Users\franc\OneDrive\Documentos\MALENTIN KARIME\MINUTAS\PEDRO OLIVARES Y Silvia Romero Transaccion.doc", "Abrir Documento")</f>
        <v>0</v>
      </c>
      <c r="D5432" t="s">
        <v>23500</v>
      </c>
      <c r="E5432" t="s">
        <v>28206</v>
      </c>
    </row>
    <row r="5433" spans="1:5">
      <c r="A5433" t="s">
        <v>6</v>
      </c>
      <c r="B5433" t="s">
        <v>5438</v>
      </c>
      <c r="C5433">
        <f>HYPERLINK("C:\Users\franc\OneDrive\Documentos\MALENTIN KARIME\MINUTAS\MARIA LUISA BARRAZA OLIVARES Instrucciones.doc", "Abrir Documento")</f>
        <v>0</v>
      </c>
      <c r="D5433" t="s">
        <v>23500</v>
      </c>
      <c r="E5433" t="s">
        <v>28207</v>
      </c>
    </row>
    <row r="5434" spans="1:5">
      <c r="A5434" t="s">
        <v>6</v>
      </c>
      <c r="B5434" t="s">
        <v>5439</v>
      </c>
      <c r="C5434">
        <f>HYPERLINK("C:\Users\franc\OneDrive\Documentos\MALENTIN KARIME\MINUTAS\Patricio_Araya_Godoy_a_Erwin_Rojas_Bolados[1].doc", "Abrir Documento")</f>
        <v>0</v>
      </c>
      <c r="D5434" t="s">
        <v>23500</v>
      </c>
      <c r="E5434" t="s">
        <v>28207</v>
      </c>
    </row>
    <row r="5435" spans="1:5">
      <c r="A5435" t="s">
        <v>6</v>
      </c>
      <c r="B5435" t="s">
        <v>5440</v>
      </c>
      <c r="C5435">
        <f>HYPERLINK("C:\Users\franc\OneDrive\Documentos\MALENTIN KARIME\MINUTAS\MARIA BARRIOS ROJAS A PAMELA GUTIERREZ.doc", "Abrir Documento")</f>
        <v>0</v>
      </c>
      <c r="D5435" t="s">
        <v>23500</v>
      </c>
      <c r="E5435" t="s">
        <v>28208</v>
      </c>
    </row>
    <row r="5436" spans="1:5">
      <c r="A5436" t="s">
        <v>6</v>
      </c>
      <c r="B5436" t="s">
        <v>5441</v>
      </c>
      <c r="C5436">
        <f>HYPERLINK("C:\Users\franc\OneDrive\Documentos\MALENTIN KARIME\MINUTAS\JAIME CASTILLO A MARIZA ARAYA Pendiente.doc", "Abrir Documento")</f>
        <v>0</v>
      </c>
      <c r="D5436" t="s">
        <v>23500</v>
      </c>
      <c r="E5436" t="s">
        <v>28209</v>
      </c>
    </row>
    <row r="5437" spans="1:5">
      <c r="A5437" t="s">
        <v>6</v>
      </c>
      <c r="B5437" t="s">
        <v>5442</v>
      </c>
      <c r="C5437">
        <f>HYPERLINK("C:\Users\franc\OneDrive\Documentos\MALENTIN KARIME\MINUTAS\compraventa con divorcio.doc", "Abrir Documento")</f>
        <v>0</v>
      </c>
      <c r="D5437" t="s">
        <v>23500</v>
      </c>
      <c r="E5437" t="s">
        <v>28210</v>
      </c>
    </row>
    <row r="5438" spans="1:5">
      <c r="A5438" t="s">
        <v>6</v>
      </c>
      <c r="B5438" t="s">
        <v>5443</v>
      </c>
      <c r="C5438">
        <f>HYPERLINK("C:\Users\franc\OneDrive\Documentos\MALENTIN KARIME\MINUTAS\ANA ROJAS BRITO A ROBERTO MUÑOZ ROJAS.doc", "Abrir Documento")</f>
        <v>0</v>
      </c>
      <c r="D5438" t="s">
        <v>23500</v>
      </c>
      <c r="E5438" t="s">
        <v>28211</v>
      </c>
    </row>
    <row r="5439" spans="1:5">
      <c r="A5439" t="s">
        <v>6</v>
      </c>
      <c r="B5439" t="s">
        <v>5444</v>
      </c>
      <c r="C5439">
        <f>HYPERLINK("C:\Users\franc\OneDrive\Documentos\MALENTIN KARIME\MINUTAS\ANA ROJAS BRITO A ANA MUÑOZ.doc", "Abrir Documento")</f>
        <v>0</v>
      </c>
      <c r="D5439" t="s">
        <v>23500</v>
      </c>
      <c r="E5439" t="s">
        <v>28212</v>
      </c>
    </row>
    <row r="5440" spans="1:5">
      <c r="A5440" t="s">
        <v>6</v>
      </c>
      <c r="B5440" t="s">
        <v>5445</v>
      </c>
      <c r="C5440">
        <f>HYPERLINK("C:\Users\franc\OneDrive\Documentos\MALENTIN KARIME\MINERIA\JUNTA\SLM LAS TURQUESAS UNO DE EL ALTAR.doc", "Abrir Documento")</f>
        <v>0</v>
      </c>
      <c r="D5440" t="s">
        <v>23500</v>
      </c>
      <c r="E5440" t="s">
        <v>28213</v>
      </c>
    </row>
    <row r="5441" spans="1:5">
      <c r="A5441" t="s">
        <v>6</v>
      </c>
      <c r="B5441" t="s">
        <v>5446</v>
      </c>
      <c r="C5441">
        <f>HYPERLINK("C:\Users\franc\OneDrive\Documentos\MALENTIN KARIME\MINERIA\2018\SLM ESPERANZA UNO A COMERCIAL MINERA ZEPEDA Venta pertenencia.doc", "Abrir Documento")</f>
        <v>0</v>
      </c>
      <c r="D5441" t="s">
        <v>23500</v>
      </c>
      <c r="E5441" t="s">
        <v>28214</v>
      </c>
    </row>
    <row r="5442" spans="1:5">
      <c r="A5442" t="s">
        <v>6</v>
      </c>
      <c r="B5442" t="s">
        <v>5447</v>
      </c>
      <c r="C5442">
        <f>HYPERLINK("C:\Users\franc\OneDrive\Documentos\MALENTIN KARIME\MINERIA\2018\SANDRA LARRONDO A NIBALDO NUÑEZ CV PERTENENCIAS MENSURADA.doc", "Abrir Documento")</f>
        <v>0</v>
      </c>
      <c r="D5442" t="s">
        <v>23500</v>
      </c>
      <c r="E5442" t="s">
        <v>28215</v>
      </c>
    </row>
    <row r="5443" spans="1:5">
      <c r="A5443" t="s">
        <v>6</v>
      </c>
      <c r="B5443" t="s">
        <v>5448</v>
      </c>
      <c r="C5443">
        <f>HYPERLINK("C:\Users\franc\OneDrive\Documentos\MALENTIN KARIME\MINERIA\2018\RAMIRO SEPULVEDA BARRIGA A Delfos Mineral S.P.A..doc", "Abrir Documento")</f>
        <v>0</v>
      </c>
      <c r="D5443" t="s">
        <v>23500</v>
      </c>
      <c r="E5443" t="s">
        <v>28216</v>
      </c>
    </row>
    <row r="5444" spans="1:5">
      <c r="A5444" t="s">
        <v>6</v>
      </c>
      <c r="B5444" t="s">
        <v>5449</v>
      </c>
      <c r="C5444">
        <f>HYPERLINK("C:\Users\franc\OneDrive\Documentos\MALENTIN KARIME\MINERIA\2018\LUIS TAIBA VERGARA A JOSE CISTERNAS Y VICTOR ARAYA Mensura.doc", "Abrir Documento")</f>
        <v>0</v>
      </c>
      <c r="D5444" t="s">
        <v>23500</v>
      </c>
      <c r="E5444" t="s">
        <v>28217</v>
      </c>
    </row>
    <row r="5445" spans="1:5">
      <c r="A5445" t="s">
        <v>6</v>
      </c>
      <c r="B5445" t="s">
        <v>5450</v>
      </c>
      <c r="C5445">
        <f>HYPERLINK("C:\Users\franc\OneDrive\Documentos\MALENTIN KARIME\MINERIA\2018\IVAN TELLO A DOMITILA ANDRADE minuta.doc", "Abrir Documento")</f>
        <v>0</v>
      </c>
      <c r="D5445" t="s">
        <v>23500</v>
      </c>
      <c r="E5445" t="s">
        <v>28218</v>
      </c>
    </row>
    <row r="5446" spans="1:5">
      <c r="A5446" t="s">
        <v>6</v>
      </c>
      <c r="B5446" t="s">
        <v>5451</v>
      </c>
      <c r="C5446">
        <f>HYPERLINK("C:\Users\franc\OneDrive\Documentos\MALENTIN KARIME\MINERIA\2018\IVAN TELLO A ARTURO ANDRADE minuta pedimento.doc", "Abrir Documento")</f>
        <v>0</v>
      </c>
      <c r="D5446" t="s">
        <v>23500</v>
      </c>
      <c r="E5446" t="s">
        <v>28219</v>
      </c>
    </row>
    <row r="5447" spans="1:5">
      <c r="A5447" t="s">
        <v>6</v>
      </c>
      <c r="B5447" t="s">
        <v>5452</v>
      </c>
      <c r="C5447">
        <f>HYPERLINK("C:\Users\franc\OneDrive\Documentos\MALENTIN KARIME\MINERIA\2018\IRMA CORTES ROJAS A PIA CORTES  CV PERTENENCIAS MENSURADA.doc", "Abrir Documento")</f>
        <v>0</v>
      </c>
      <c r="D5447" t="s">
        <v>23500</v>
      </c>
      <c r="E5447" t="s">
        <v>28220</v>
      </c>
    </row>
    <row r="5448" spans="1:5">
      <c r="A5448" t="s">
        <v>6</v>
      </c>
      <c r="B5448" t="s">
        <v>5453</v>
      </c>
      <c r="C5448">
        <f>HYPERLINK("C:\Users\franc\OneDrive\Documentos\MALENTIN KARIME\MINERIA\2018\FRANCISCO CASTILLO CUELLO A CARLOS ROJAS  CV PERTENENCIAS MENSURADA.doc", "Abrir Documento")</f>
        <v>0</v>
      </c>
      <c r="D5448" t="s">
        <v>23500</v>
      </c>
      <c r="E5448" t="s">
        <v>28221</v>
      </c>
    </row>
    <row r="5449" spans="1:5">
      <c r="A5449" t="s">
        <v>6</v>
      </c>
      <c r="B5449" t="s">
        <v>5454</v>
      </c>
      <c r="C5449">
        <f>HYPERLINK("C:\Users\franc\OneDrive\Documentos\MALENTIN KARIME\MINERIA\2015\SLM BICKMAR 1 A MARCIAL VEGA Minuta.doc", "Abrir Documento")</f>
        <v>0</v>
      </c>
      <c r="D5449" t="s">
        <v>23500</v>
      </c>
      <c r="E5449" t="s">
        <v>28222</v>
      </c>
    </row>
    <row r="5450" spans="1:5">
      <c r="A5450" t="s">
        <v>6</v>
      </c>
      <c r="B5450" t="s">
        <v>5455</v>
      </c>
      <c r="C5450">
        <f>HYPERLINK("C:\Users\franc\OneDrive\Documentos\MALENTIN KARIME\MINERIA\2015\NICOLAS AGUIRRE A SOC LA UNION.doc", "Abrir Documento")</f>
        <v>0</v>
      </c>
      <c r="D5450" t="s">
        <v>23500</v>
      </c>
      <c r="E5450" t="s">
        <v>28223</v>
      </c>
    </row>
    <row r="5451" spans="1:5">
      <c r="A5451" t="s">
        <v>6</v>
      </c>
      <c r="B5451" t="s">
        <v>5456</v>
      </c>
      <c r="C5451">
        <f>HYPERLINK("C:\Users\franc\OneDrive\Documentos\MALENTIN KARIME\MINERIA\2015\JORGE CATALDO A PATRICIA ARACENA anexo 1 arr.doc", "Abrir Documento")</f>
        <v>0</v>
      </c>
      <c r="D5451" t="s">
        <v>23500</v>
      </c>
      <c r="E5451" t="s">
        <v>28224</v>
      </c>
    </row>
    <row r="5452" spans="1:5">
      <c r="A5452" t="s">
        <v>6</v>
      </c>
      <c r="B5452" t="s">
        <v>5457</v>
      </c>
      <c r="C5452">
        <f>HYPERLINK("C:\Users\franc\OneDrive\Documentos\MALENTIN KARIME\MINERIA\2015\JORGE CATALDO A PATRICIA ARACENA.doc", "Abrir Documento")</f>
        <v>0</v>
      </c>
      <c r="D5452" t="s">
        <v>23500</v>
      </c>
      <c r="E5452" t="s">
        <v>28224</v>
      </c>
    </row>
    <row r="5453" spans="1:5">
      <c r="A5453" t="s">
        <v>6</v>
      </c>
      <c r="B5453" t="s">
        <v>5458</v>
      </c>
      <c r="C5453">
        <f>HYPERLINK("C:\Users\franc\OneDrive\Documentos\MALENTIN KARIME\MINERIA\2015\COMUNIDAD AGRICOLA PUNITAQUI y Minera Altos de Punitaqui Minuta.doc", "Abrir Documento")</f>
        <v>0</v>
      </c>
      <c r="D5453" t="s">
        <v>23500</v>
      </c>
      <c r="E5453" t="s">
        <v>28225</v>
      </c>
    </row>
    <row r="5454" spans="1:5">
      <c r="A5454" t="s">
        <v>6</v>
      </c>
      <c r="B5454" t="s">
        <v>5459</v>
      </c>
      <c r="C5454">
        <f>HYPERLINK("C:\Users\franc\OneDrive\Documentos\MALENTIN KARIME\MINERIA\2014\MINERA LOMAS ALTAS Y EXPORTADORA FRONTERA Opción de compra NIGHTINGALE rev3.doc", "Abrir Documento")</f>
        <v>0</v>
      </c>
      <c r="D5454" t="s">
        <v>23500</v>
      </c>
      <c r="E5454" t="s">
        <v>28226</v>
      </c>
    </row>
    <row r="5455" spans="1:5">
      <c r="A5455" t="s">
        <v>6</v>
      </c>
      <c r="B5455" t="s">
        <v>5460</v>
      </c>
      <c r="C5455">
        <f>HYPERLINK("C:\Users\franc\OneDrive\Documentos\MALENTIN KARIME\MINERIA\2014\RENATO URQUIETA Y EXPORT FRONTERAOpcion-Minera Onda 1 al 10.doc", "Abrir Documento")</f>
        <v>0</v>
      </c>
      <c r="D5455" t="s">
        <v>23500</v>
      </c>
      <c r="E5455" t="s">
        <v>28226</v>
      </c>
    </row>
    <row r="5456" spans="1:5">
      <c r="A5456" t="s">
        <v>6</v>
      </c>
      <c r="B5456" t="s">
        <v>5461</v>
      </c>
      <c r="C5456">
        <f>HYPERLINK("C:\Users\franc\OneDrive\Documentos\MALENTIN KARIME\MINERIA\SLM EL REVENTON A DMO MINERALS arriendo minero.doc", "Abrir Documento")</f>
        <v>0</v>
      </c>
      <c r="D5456" t="s">
        <v>23500</v>
      </c>
      <c r="E5456" t="s">
        <v>28227</v>
      </c>
    </row>
    <row r="5457" spans="1:5">
      <c r="A5457" t="s">
        <v>6</v>
      </c>
      <c r="B5457" t="s">
        <v>5462</v>
      </c>
      <c r="C5457">
        <f>HYPERLINK("C:\Users\franc\OneDrive\Documentos\MALENTIN KARIME\MINERIA\SLM EL REVENTON A DMO MINERALS A DMO Legal.doc", "Abrir Documento")</f>
        <v>0</v>
      </c>
      <c r="D5457" t="s">
        <v>23500</v>
      </c>
      <c r="E5457" t="s">
        <v>28228</v>
      </c>
    </row>
    <row r="5458" spans="1:5">
      <c r="A5458" t="s">
        <v>6</v>
      </c>
      <c r="B5458" t="s">
        <v>5463</v>
      </c>
      <c r="C5458">
        <f>HYPERLINK("C:\Users\franc\OneDrive\Documentos\MALENTIN KARIME\MINERIA\SLM EL REVENTON A DMO MINERALS arriendo minero II.doc", "Abrir Documento")</f>
        <v>0</v>
      </c>
      <c r="D5458" t="s">
        <v>23500</v>
      </c>
      <c r="E5458" t="s">
        <v>28228</v>
      </c>
    </row>
    <row r="5459" spans="1:5">
      <c r="A5459" t="s">
        <v>6</v>
      </c>
      <c r="B5459" t="s">
        <v>5464</v>
      </c>
      <c r="C5459">
        <f>HYPERLINK("C:\Users\franc\OneDrive\Documentos\MALENTIN KARIME\MINERIA\SLM DIVISADERO II DE SAN LORENZO.doc", "Abrir Documento")</f>
        <v>0</v>
      </c>
      <c r="D5459" t="s">
        <v>23500</v>
      </c>
      <c r="E5459" t="s">
        <v>28229</v>
      </c>
    </row>
    <row r="5460" spans="1:5">
      <c r="A5460" t="s">
        <v>6</v>
      </c>
      <c r="B5460" t="s">
        <v>5465</v>
      </c>
      <c r="C5460">
        <f>HYPERLINK("C:\Users\franc\OneDrive\Documentos\MALENTIN KARIME\MINERIA\S.L.M. MINA ISRAEL ANTONIO UNO DE PUNITAQUI junta acc.doc", "Abrir Documento")</f>
        <v>0</v>
      </c>
      <c r="D5460" t="s">
        <v>23500</v>
      </c>
      <c r="E5460" t="s">
        <v>28230</v>
      </c>
    </row>
    <row r="5461" spans="1:5">
      <c r="A5461" t="s">
        <v>6</v>
      </c>
      <c r="B5461" t="s">
        <v>5466</v>
      </c>
      <c r="C5461">
        <f>HYPERLINK("C:\Users\franc\OneDrive\Documentos\MALENTIN KARIME\MINERIA\PEDRO ACUÑA CASTRO A PEDRO ARAYA Ces. Acc. Mras Y Termino Soc..doc", "Abrir Documento")</f>
        <v>0</v>
      </c>
      <c r="D5461" t="s">
        <v>23500</v>
      </c>
      <c r="E5461" t="s">
        <v>28231</v>
      </c>
    </row>
    <row r="5462" spans="1:5">
      <c r="A5462" t="s">
        <v>6</v>
      </c>
      <c r="B5462" t="s">
        <v>5467</v>
      </c>
      <c r="C5462">
        <f>HYPERLINK("C:\Users\franc\OneDrive\Documentos\MALENTIN KARIME\MINERIA\MARCIAL VEGA NUÑEZ A SINEP - ACCIONES.doc", "Abrir Documento")</f>
        <v>0</v>
      </c>
      <c r="D5462" t="s">
        <v>23500</v>
      </c>
      <c r="E5462" t="s">
        <v>28232</v>
      </c>
    </row>
    <row r="5463" spans="1:5">
      <c r="A5463" t="s">
        <v>6</v>
      </c>
      <c r="B5463" t="s">
        <v>5468</v>
      </c>
      <c r="C5463">
        <f>HYPERLINK("C:\Users\franc\OneDrive\Documentos\MALENTIN KARIME\MINERIA\NIVALDO CAMPOS SEGOVIA A SCM.doc", "Abrir Documento")</f>
        <v>0</v>
      </c>
      <c r="D5463" t="s">
        <v>23500</v>
      </c>
      <c r="E5463" t="s">
        <v>28232</v>
      </c>
    </row>
    <row r="5464" spans="1:5">
      <c r="A5464" t="s">
        <v>6</v>
      </c>
      <c r="B5464" t="s">
        <v>5469</v>
      </c>
      <c r="C5464">
        <f>HYPERLINK("C:\Users\franc\OneDrive\Documentos\MALENTIN KARIME\MINERIA\Junta de Accionistas sociedad legal minera 2 amigos Uno de Andacollo.doc", "Abrir Documento")</f>
        <v>0</v>
      </c>
      <c r="D5464" t="s">
        <v>23500</v>
      </c>
      <c r="E5464" t="s">
        <v>28233</v>
      </c>
    </row>
    <row r="5465" spans="1:5">
      <c r="A5465" t="s">
        <v>6</v>
      </c>
      <c r="B5465" t="s">
        <v>5470</v>
      </c>
      <c r="C5465">
        <f>HYPERLINK("C:\Users\franc\OneDrive\Documentos\MALENTIN KARIME\MINERIA\LEONARDO LA FLOR A JUAN ARAYA  LA ELY 1 AL 20.doc", "Abrir Documento")</f>
        <v>0</v>
      </c>
      <c r="D5465" t="s">
        <v>23500</v>
      </c>
      <c r="E5465" t="s">
        <v>28233</v>
      </c>
    </row>
    <row r="5466" spans="1:5">
      <c r="A5466" t="s">
        <v>6</v>
      </c>
      <c r="B5466" t="s">
        <v>5471</v>
      </c>
      <c r="C5466">
        <f>HYPERLINK("C:\Users\franc\OneDrive\Documentos\MALENTIN KARIME\MINERIA\JUAN ACUÑA CASTRO Y OT. Ces. Acc. Mras.doc", "Abrir Documento")</f>
        <v>0</v>
      </c>
      <c r="D5466" t="s">
        <v>23500</v>
      </c>
      <c r="E5466" t="s">
        <v>28234</v>
      </c>
    </row>
    <row r="5467" spans="1:5">
      <c r="A5467" t="s">
        <v>6</v>
      </c>
      <c r="B5467" t="s">
        <v>5472</v>
      </c>
      <c r="C5467">
        <f>HYPERLINK("C:\Users\franc\OneDrive\Documentos\MALENTIN KARIME\MINERIA\JUAN CARLOS DIAZ DIAZ.doc", "Abrir Documento")</f>
        <v>0</v>
      </c>
      <c r="D5467" t="s">
        <v>23500</v>
      </c>
      <c r="E5467" t="s">
        <v>28234</v>
      </c>
    </row>
    <row r="5468" spans="1:5">
      <c r="A5468" t="s">
        <v>6</v>
      </c>
      <c r="B5468" t="s">
        <v>5473</v>
      </c>
      <c r="C5468">
        <f>HYPERLINK("C:\Users\franc\OneDrive\Documentos\MALENTIN KARIME\MINERIA\Instrucciones_notariales_recibo_de_pago_(febrero_2012)[1].DOC", "Abrir Documento")</f>
        <v>0</v>
      </c>
      <c r="D5468" t="s">
        <v>23500</v>
      </c>
      <c r="E5468" t="s">
        <v>28235</v>
      </c>
    </row>
    <row r="5469" spans="1:5">
      <c r="A5469" t="s">
        <v>6</v>
      </c>
      <c r="B5469" t="s">
        <v>5474</v>
      </c>
      <c r="C5469">
        <f>HYPERLINK("C:\Users\franc\OneDrive\Documentos\MALENTIN KARIME\MINERIA\JUAN ACUÑA CASTRO a MINERA ZUPILOCOS Mensuras.doc", "Abrir Documento")</f>
        <v>0</v>
      </c>
      <c r="D5469" t="s">
        <v>23500</v>
      </c>
      <c r="E5469" t="s">
        <v>28235</v>
      </c>
    </row>
    <row r="5470" spans="1:5">
      <c r="A5470" t="s">
        <v>6</v>
      </c>
      <c r="B5470" t="s">
        <v>5475</v>
      </c>
      <c r="C5470">
        <f>HYPERLINK("C:\Users\franc\OneDrive\Documentos\MALENTIN KARIME\MINERIA\HUMBERTO RIVERA a MINERA ZUPILOCOS Mensuras.doc", "Abrir Documento")</f>
        <v>0</v>
      </c>
      <c r="D5470" t="s">
        <v>23500</v>
      </c>
      <c r="E5470" t="s">
        <v>28236</v>
      </c>
    </row>
    <row r="5471" spans="1:5">
      <c r="A5471" t="s">
        <v>6</v>
      </c>
      <c r="B5471" t="s">
        <v>5476</v>
      </c>
      <c r="C5471">
        <f>HYPERLINK("C:\Users\franc\OneDrive\Documentos\MALENTIN KARIME\MINERIA\Instrucciones notario rectificación y modificación cttos de cv, opción CMDT-1.DOC", "Abrir Documento")</f>
        <v>0</v>
      </c>
      <c r="D5471" t="s">
        <v>23500</v>
      </c>
      <c r="E5471" t="s">
        <v>28236</v>
      </c>
    </row>
    <row r="5472" spans="1:5">
      <c r="A5472" t="s">
        <v>6</v>
      </c>
      <c r="B5472" t="s">
        <v>5477</v>
      </c>
      <c r="C5472">
        <f>HYPERLINK("C:\Users\franc\OneDrive\Documentos\MALENTIN KARIME\MINERIA\COMPAÑIA DEMETRIO TELLO Dacion pago.doc", "Abrir Documento")</f>
        <v>0</v>
      </c>
      <c r="D5472" t="s">
        <v>23500</v>
      </c>
      <c r="E5472" t="s">
        <v>28237</v>
      </c>
    </row>
    <row r="5473" spans="1:5">
      <c r="A5473" t="s">
        <v>6</v>
      </c>
      <c r="B5473" t="s">
        <v>5478</v>
      </c>
      <c r="C5473">
        <f>HYPERLINK("C:\Users\franc\OneDrive\Documentos\MALENTIN KARIME\MINERIA\FORTUNE VALLE Rectifica.doc", "Abrir Documento")</f>
        <v>0</v>
      </c>
      <c r="D5473" t="s">
        <v>23500</v>
      </c>
      <c r="E5473" t="s">
        <v>28237</v>
      </c>
    </row>
    <row r="5474" spans="1:5">
      <c r="A5474" t="s">
        <v>6</v>
      </c>
      <c r="B5474" t="s">
        <v>5479</v>
      </c>
      <c r="C5474">
        <f>HYPERLINK("C:\Users\franc\OneDrive\Documentos\MALENTIN KARIME\MINERIA\CIA DEMETRIO TELLO A FORTUNE VALLEY DIc.doc", "Abrir Documento")</f>
        <v>0</v>
      </c>
      <c r="D5474" t="s">
        <v>23500</v>
      </c>
      <c r="E5474" t="s">
        <v>28238</v>
      </c>
    </row>
    <row r="5475" spans="1:5">
      <c r="A5475" t="s">
        <v>6</v>
      </c>
      <c r="B5475" t="s">
        <v>5480</v>
      </c>
      <c r="C5475">
        <f>HYPERLINK("C:\Users\franc\OneDrive\Documentos\MALENTIN KARIME\MINERIA\CAMILO CORTES A SOC. RIO GRANDE (MINAS).doc", "Abrir Documento")</f>
        <v>0</v>
      </c>
      <c r="D5475" t="s">
        <v>23500</v>
      </c>
      <c r="E5475" t="s">
        <v>28239</v>
      </c>
    </row>
    <row r="5476" spans="1:5">
      <c r="A5476" t="s">
        <v>6</v>
      </c>
      <c r="B5476" t="s">
        <v>5481</v>
      </c>
      <c r="C5476">
        <f>HYPERLINK("C:\Users\franc\OneDrive\Documentos\MALENTIN KARIME\MINERIA\CARLOS OLIVARES LOPEZ 20147.doc", "Abrir Documento")</f>
        <v>0</v>
      </c>
      <c r="D5476" t="s">
        <v>23500</v>
      </c>
      <c r="E5476" t="s">
        <v>28239</v>
      </c>
    </row>
    <row r="5477" spans="1:5">
      <c r="A5477" t="s">
        <v>6</v>
      </c>
      <c r="B5477" t="s">
        <v>5482</v>
      </c>
      <c r="C5477">
        <f>HYPERLINK("C:\Users\franc\OneDrive\Documentos\MALENTIN KARIME\MINERIA\24  7 SERVICIOS MINEROS.doc", "Abrir Documento")</f>
        <v>0</v>
      </c>
      <c r="D5477" t="s">
        <v>23500</v>
      </c>
      <c r="E5477" t="s">
        <v>28240</v>
      </c>
    </row>
    <row r="5478" spans="1:5">
      <c r="A5478" t="s">
        <v>6</v>
      </c>
      <c r="B5478" t="s">
        <v>5483</v>
      </c>
      <c r="C5478">
        <f>HYPERLINK("C:\Users\franc\OneDrive\Documentos\MALENTIN KARIME\MINERIA\ADRIAN TELLO MONDACA Ces. Acc. Mras.doc", "Abrir Documento")</f>
        <v>0</v>
      </c>
      <c r="D5478" t="s">
        <v>23500</v>
      </c>
      <c r="E5478" t="s">
        <v>28240</v>
      </c>
    </row>
    <row r="5479" spans="1:5">
      <c r="A5479" t="s">
        <v>6</v>
      </c>
      <c r="B5479" t="s">
        <v>5484</v>
      </c>
      <c r="C5479">
        <f>HYPERLINK("C:\Users\franc\OneDrive\Documentos\MALENTIN KARIME\Meson\recibo dinero contratista.doc", "Abrir Documento")</f>
        <v>0</v>
      </c>
      <c r="D5479" t="s">
        <v>23500</v>
      </c>
      <c r="E5479" t="s">
        <v>28241</v>
      </c>
    </row>
    <row r="5480" spans="1:5">
      <c r="A5480" t="s">
        <v>6</v>
      </c>
      <c r="B5480" t="s">
        <v>5485</v>
      </c>
      <c r="C5480">
        <f>HYPERLINK("C:\Users\franc\OneDrive\Documentos\MALENTIN KARIME\Meson\recibo dinero.doc", "Abrir Documento")</f>
        <v>0</v>
      </c>
      <c r="D5480" t="s">
        <v>23500</v>
      </c>
      <c r="E5480" t="s">
        <v>28241</v>
      </c>
    </row>
    <row r="5481" spans="1:5">
      <c r="A5481" t="s">
        <v>6</v>
      </c>
      <c r="B5481" t="s">
        <v>5486</v>
      </c>
      <c r="C5481">
        <f>HYPERLINK("C:\Users\franc\OneDrive\Documentos\MALENTIN KARIME\Meson\DECLARACION  JURADA MARIO PIZARRO.doc", "Abrir Documento")</f>
        <v>0</v>
      </c>
      <c r="D5481" t="s">
        <v>23500</v>
      </c>
      <c r="E5481" t="s">
        <v>28242</v>
      </c>
    </row>
    <row r="5482" spans="1:5">
      <c r="A5482" t="s">
        <v>6</v>
      </c>
      <c r="B5482" t="s">
        <v>5487</v>
      </c>
      <c r="C5482">
        <f>HYPERLINK("C:\Users\franc\OneDrive\Documentos\MALENTIN KARIME\Meson\recibo dinero contratista 2.doc", "Abrir Documento")</f>
        <v>0</v>
      </c>
      <c r="D5482" t="s">
        <v>23500</v>
      </c>
      <c r="E5482" t="s">
        <v>28242</v>
      </c>
    </row>
    <row r="5483" spans="1:5">
      <c r="A5483" t="s">
        <v>6</v>
      </c>
      <c r="B5483" t="s">
        <v>5488</v>
      </c>
      <c r="C5483">
        <f>HYPERLINK("C:\Users\franc\OneDrive\Documentos\MALENTIN KARIME\Meson\dec.jurada.doc", "Abrir Documento")</f>
        <v>0</v>
      </c>
      <c r="D5483" t="s">
        <v>23500</v>
      </c>
      <c r="E5483" t="s">
        <v>28243</v>
      </c>
    </row>
    <row r="5484" spans="1:5">
      <c r="A5484" t="s">
        <v>6</v>
      </c>
      <c r="B5484" t="s">
        <v>5489</v>
      </c>
      <c r="C5484">
        <f>HYPERLINK("C:\Users\franc\OneDrive\Documentos\MALENTIN KARIME\Meson\autoriza.doc", "Abrir Documento")</f>
        <v>0</v>
      </c>
      <c r="D5484" t="s">
        <v>23500</v>
      </c>
      <c r="E5484" t="s">
        <v>28244</v>
      </c>
    </row>
    <row r="5485" spans="1:5">
      <c r="A5485" t="s">
        <v>6</v>
      </c>
      <c r="B5485" t="s">
        <v>5490</v>
      </c>
      <c r="C5485">
        <f>HYPERLINK("C:\Users\franc\OneDrive\Documentos\MALENTIN KARIME\Meson\cese de convivencia.doc", "Abrir Documento")</f>
        <v>0</v>
      </c>
      <c r="D5485" t="s">
        <v>23500</v>
      </c>
      <c r="E5485" t="s">
        <v>28244</v>
      </c>
    </row>
    <row r="5486" spans="1:5">
      <c r="A5486" t="s">
        <v>6</v>
      </c>
      <c r="B5486" t="s">
        <v>5491</v>
      </c>
      <c r="C5486">
        <f>HYPERLINK("C:\Users\franc\OneDrive\Documentos\MALENTIN KARIME\Meson\AUT SERVIU PAGOS.doc", "Abrir Documento")</f>
        <v>0</v>
      </c>
      <c r="D5486" t="s">
        <v>23500</v>
      </c>
      <c r="E5486" t="s">
        <v>28245</v>
      </c>
    </row>
    <row r="5487" spans="1:5">
      <c r="A5487" t="s">
        <v>6</v>
      </c>
      <c r="B5487" t="s">
        <v>5492</v>
      </c>
      <c r="C5487">
        <f>HYPERLINK("C:\Users\franc\OneDrive\Documentos\MALENTIN KARIME\maria isabel maluenda\MANDATO\GABRIELA CORTES VILLALOBOS.doc", "Abrir Documento")</f>
        <v>0</v>
      </c>
      <c r="D5487" t="s">
        <v>23500</v>
      </c>
      <c r="E5487" t="s">
        <v>28246</v>
      </c>
    </row>
    <row r="5488" spans="1:5">
      <c r="A5488" t="s">
        <v>6</v>
      </c>
      <c r="B5488" t="s">
        <v>5493</v>
      </c>
      <c r="C5488">
        <f>HYPERLINK("C:\Users\franc\OneDrive\Documentos\MALENTIN KARIME\maria isabel maluenda\MANDATO\ROSA LETELIER RAMIREZ.doc", "Abrir Documento")</f>
        <v>0</v>
      </c>
      <c r="D5488" t="s">
        <v>23500</v>
      </c>
      <c r="E5488" t="s">
        <v>28246</v>
      </c>
    </row>
    <row r="5489" spans="1:5">
      <c r="A5489" t="s">
        <v>6</v>
      </c>
      <c r="B5489" t="s">
        <v>5494</v>
      </c>
      <c r="C5489">
        <f>HYPERLINK("C:\Users\franc\OneDrive\Documentos\MALENTIN KARIME\maria isabel maluenda\MANDATO\EMILIA ZEPEDA.doc", "Abrir Documento")</f>
        <v>0</v>
      </c>
      <c r="D5489" t="s">
        <v>23500</v>
      </c>
      <c r="E5489" t="s">
        <v>28247</v>
      </c>
    </row>
    <row r="5490" spans="1:5">
      <c r="A5490" t="s">
        <v>6</v>
      </c>
      <c r="B5490" t="s">
        <v>5495</v>
      </c>
      <c r="C5490">
        <f>HYPERLINK("C:\Users\franc\OneDrive\Documentos\MALENTIN KARIME\maria isabel maluenda\MANDATO\balbina diaz.doc", "Abrir Documento")</f>
        <v>0</v>
      </c>
      <c r="D5490" t="s">
        <v>23500</v>
      </c>
      <c r="E5490" t="s">
        <v>28248</v>
      </c>
    </row>
    <row r="5491" spans="1:5">
      <c r="A5491" t="s">
        <v>6</v>
      </c>
      <c r="B5491" t="s">
        <v>5496</v>
      </c>
      <c r="C5491">
        <f>HYPERLINK("C:\Users\franc\OneDrive\Documentos\MALENTIN KARIME\maria isabel maluenda\2016\BALBINA DIAZ ARAYA A Elias Diaz Nuda propiedad.doc", "Abrir Documento")</f>
        <v>0</v>
      </c>
      <c r="D5491" t="s">
        <v>23500</v>
      </c>
      <c r="E5491" t="s">
        <v>28249</v>
      </c>
    </row>
    <row r="5492" spans="1:5">
      <c r="A5492" t="s">
        <v>6</v>
      </c>
      <c r="B5492" t="s">
        <v>5497</v>
      </c>
      <c r="C5492">
        <f>HYPERLINK("C:\Users\franc\OneDrive\Documentos\MALENTIN KARIME\maria isabel maluenda\2015\MARIA JIMENA PAYERO MJudicial.doc", "Abrir Documento")</f>
        <v>0</v>
      </c>
      <c r="D5492" t="s">
        <v>23500</v>
      </c>
      <c r="E5492" t="s">
        <v>28250</v>
      </c>
    </row>
    <row r="5493" spans="1:5">
      <c r="A5493" t="s">
        <v>6</v>
      </c>
      <c r="B5493" t="s">
        <v>5498</v>
      </c>
      <c r="C5493">
        <f>HYPERLINK("C:\Users\franc\OneDrive\Documentos\MALENTIN KARIME\maria isabel maluenda\2015\MAGALY CHINGA A HECTOR MALDONADO.doc", "Abrir Documento")</f>
        <v>0</v>
      </c>
      <c r="D5493" t="s">
        <v>23500</v>
      </c>
      <c r="E5493" t="s">
        <v>28251</v>
      </c>
    </row>
    <row r="5494" spans="1:5">
      <c r="A5494" t="s">
        <v>6</v>
      </c>
      <c r="B5494" t="s">
        <v>5499</v>
      </c>
      <c r="C5494">
        <f>HYPERLINK("C:\Users\franc\OneDrive\Documentos\MALENTIN KARIME\maria isabel maluenda\2015\MARIA ISABEL MALUENDA Rectifica.doc", "Abrir Documento")</f>
        <v>0</v>
      </c>
      <c r="D5494" t="s">
        <v>23500</v>
      </c>
      <c r="E5494" t="s">
        <v>28251</v>
      </c>
    </row>
    <row r="5495" spans="1:5">
      <c r="A5495" t="s">
        <v>6</v>
      </c>
      <c r="B5495" t="s">
        <v>5500</v>
      </c>
      <c r="C5495">
        <f>HYPERLINK("C:\Users\franc\OneDrive\Documentos\MALENTIN KARIME\maria isabel maluenda\2015\FRESIA BRICEÑO CASANGA Cesion.doc", "Abrir Documento")</f>
        <v>0</v>
      </c>
      <c r="D5495" t="s">
        <v>23500</v>
      </c>
      <c r="E5495" t="s">
        <v>28252</v>
      </c>
    </row>
    <row r="5496" spans="1:5">
      <c r="A5496" t="s">
        <v>6</v>
      </c>
      <c r="B5496" t="s">
        <v>5501</v>
      </c>
      <c r="C5496">
        <f>HYPERLINK("C:\Users\franc\OneDrive\Documentos\MALENTIN KARIME\maria isabel maluenda\2015\CARLOS MANRIQUEZ QUIROZ.doc", "Abrir Documento")</f>
        <v>0</v>
      </c>
      <c r="D5496" t="s">
        <v>23500</v>
      </c>
      <c r="E5496" t="s">
        <v>28253</v>
      </c>
    </row>
    <row r="5497" spans="1:5">
      <c r="A5497" t="s">
        <v>6</v>
      </c>
      <c r="B5497" t="s">
        <v>5502</v>
      </c>
      <c r="C5497">
        <f>HYPERLINK("C:\Users\franc\OneDrive\Documentos\MALENTIN KARIME\maria isabel maluenda\2015\CARLOS MANRIQUEZ QUIROZ 04 DIC.doc", "Abrir Documento")</f>
        <v>0</v>
      </c>
      <c r="D5497" t="s">
        <v>23500</v>
      </c>
      <c r="E5497" t="s">
        <v>28254</v>
      </c>
    </row>
    <row r="5498" spans="1:5">
      <c r="A5498" t="s">
        <v>6</v>
      </c>
      <c r="B5498" t="s">
        <v>5503</v>
      </c>
      <c r="C5498">
        <f>HYPERLINK("C:\Users\franc\OneDrive\Documentos\MALENTIN KARIME\maria isabel maluenda\VICTOR ALLENDE AGUILERA A María Maluenda.doc", "Abrir Documento")</f>
        <v>0</v>
      </c>
      <c r="D5498" t="s">
        <v>23500</v>
      </c>
      <c r="E5498" t="s">
        <v>28255</v>
      </c>
    </row>
    <row r="5499" spans="1:5">
      <c r="A5499" t="s">
        <v>6</v>
      </c>
      <c r="B5499" t="s">
        <v>5504</v>
      </c>
      <c r="C5499">
        <f>HYPERLINK("C:\Users\franc\OneDrive\Documentos\MALENTIN KARIME\maria isabel maluenda\MONICA MIRANDA A JORGE MIRANDA copia.doc", "Abrir Documento")</f>
        <v>0</v>
      </c>
      <c r="D5499" t="s">
        <v>23500</v>
      </c>
      <c r="E5499" t="s">
        <v>28256</v>
      </c>
    </row>
    <row r="5500" spans="1:5">
      <c r="A5500" t="s">
        <v>6</v>
      </c>
      <c r="B5500" t="s">
        <v>5505</v>
      </c>
      <c r="C5500">
        <f>HYPERLINK("C:\Users\franc\OneDrive\Documentos\MALENTIN KARIME\maria isabel maluenda\MONICA MIRANDA A JORGE MIRANDA.doc", "Abrir Documento")</f>
        <v>0</v>
      </c>
      <c r="D5500" t="s">
        <v>23500</v>
      </c>
      <c r="E5500" t="s">
        <v>28256</v>
      </c>
    </row>
    <row r="5501" spans="1:5">
      <c r="A5501" t="s">
        <v>6</v>
      </c>
      <c r="B5501" t="s">
        <v>5506</v>
      </c>
      <c r="C5501">
        <f>HYPERLINK("C:\Users\franc\OneDrive\Documentos\MALENTIN KARIME\maria isabel maluenda\MINERA LOS MAITENES RIO HURTADO A Elias Díaz.doc", "Abrir Documento")</f>
        <v>0</v>
      </c>
      <c r="D5501" t="s">
        <v>23500</v>
      </c>
      <c r="E5501" t="s">
        <v>28257</v>
      </c>
    </row>
    <row r="5502" spans="1:5">
      <c r="A5502" t="s">
        <v>6</v>
      </c>
      <c r="B5502" t="s">
        <v>5507</v>
      </c>
      <c r="C5502">
        <f>HYPERLINK("C:\Users\franc\OneDrive\Documentos\MALENTIN KARIME\maria isabel maluenda\MINERA LOS MAITENES Cancelacion.doc", "Abrir Documento")</f>
        <v>0</v>
      </c>
      <c r="D5502" t="s">
        <v>23500</v>
      </c>
      <c r="E5502" t="s">
        <v>28258</v>
      </c>
    </row>
    <row r="5503" spans="1:5">
      <c r="A5503" t="s">
        <v>6</v>
      </c>
      <c r="B5503" t="s">
        <v>5508</v>
      </c>
      <c r="C5503">
        <f>HYPERLINK("C:\Users\franc\OneDrive\Documentos\MALENTIN KARIME\maria isabel maluenda\MINERA LOS MAITENES RIO HURTADO A Elias Díaz Modificacion.doc", "Abrir Documento")</f>
        <v>0</v>
      </c>
      <c r="D5503" t="s">
        <v>23500</v>
      </c>
      <c r="E5503" t="s">
        <v>28258</v>
      </c>
    </row>
    <row r="5504" spans="1:5">
      <c r="A5504" t="s">
        <v>6</v>
      </c>
      <c r="B5504" t="s">
        <v>5509</v>
      </c>
      <c r="C5504">
        <f>HYPERLINK("C:\Users\franc\OneDrive\Documentos\MALENTIN KARIME\maria isabel maluenda\MARIA JIMENA PAYERO MJudicial 2222.doc", "Abrir Documento")</f>
        <v>0</v>
      </c>
      <c r="D5504" t="s">
        <v>23500</v>
      </c>
      <c r="E5504" t="s">
        <v>28259</v>
      </c>
    </row>
    <row r="5505" spans="1:5">
      <c r="A5505" t="s">
        <v>6</v>
      </c>
      <c r="B5505" t="s">
        <v>5510</v>
      </c>
      <c r="C5505">
        <f>HYPERLINK("C:\Users\franc\OneDrive\Documentos\MALENTIN KARIME\maria isabel maluenda\MARIA JIMENA PAYERO MJudicial.doc", "Abrir Documento")</f>
        <v>0</v>
      </c>
      <c r="D5505" t="s">
        <v>23500</v>
      </c>
      <c r="E5505" t="s">
        <v>28259</v>
      </c>
    </row>
    <row r="5506" spans="1:5">
      <c r="A5506" t="s">
        <v>6</v>
      </c>
      <c r="B5506" t="s">
        <v>5511</v>
      </c>
      <c r="C5506">
        <f>HYPERLINK("C:\Users\franc\OneDrive\Documentos\MALENTIN KARIME\maria isabel maluenda\MARCOS CUELLO VEGA.doc", "Abrir Documento")</f>
        <v>0</v>
      </c>
      <c r="D5506" t="s">
        <v>23500</v>
      </c>
      <c r="E5506" t="s">
        <v>28260</v>
      </c>
    </row>
    <row r="5507" spans="1:5">
      <c r="A5507" t="s">
        <v>6</v>
      </c>
      <c r="B5507" t="s">
        <v>5512</v>
      </c>
      <c r="C5507">
        <f>HYPERLINK("C:\Users\franc\OneDrive\Documentos\MALENTIN KARIME\maria isabel maluenda\MANDATO. PARA PERCIBIR SRA JIMENA.doc", "Abrir Documento")</f>
        <v>0</v>
      </c>
      <c r="D5507" t="s">
        <v>23500</v>
      </c>
      <c r="E5507" t="s">
        <v>28261</v>
      </c>
    </row>
    <row r="5508" spans="1:5">
      <c r="A5508" t="s">
        <v>6</v>
      </c>
      <c r="B5508" t="s">
        <v>5513</v>
      </c>
      <c r="C5508">
        <f>HYPERLINK("C:\Users\franc\OneDrive\Documentos\MALENTIN KARIME\maria isabel maluenda\mandato especial maría isabel maluenda.doc", "Abrir Documento")</f>
        <v>0</v>
      </c>
      <c r="D5508" t="s">
        <v>23500</v>
      </c>
      <c r="E5508" t="s">
        <v>28262</v>
      </c>
    </row>
    <row r="5509" spans="1:5">
      <c r="A5509" t="s">
        <v>6</v>
      </c>
      <c r="B5509" t="s">
        <v>5514</v>
      </c>
      <c r="C5509">
        <f>HYPERLINK("C:\Users\franc\OneDrive\Documentos\MALENTIN KARIME\maria isabel maluenda\JAIME GONZALEZ CASTILLO Mjudicial.doc", "Abrir Documento")</f>
        <v>0</v>
      </c>
      <c r="D5509" t="s">
        <v>23500</v>
      </c>
      <c r="E5509" t="s">
        <v>28263</v>
      </c>
    </row>
    <row r="5510" spans="1:5">
      <c r="A5510" t="s">
        <v>6</v>
      </c>
      <c r="B5510" t="s">
        <v>5515</v>
      </c>
      <c r="C5510">
        <f>HYPERLINK("C:\Users\franc\OneDrive\Documentos\MALENTIN KARIME\maria isabel maluenda\JESUS MILLA DIAZ Y OTROS.doc", "Abrir Documento")</f>
        <v>0</v>
      </c>
      <c r="D5510" t="s">
        <v>23500</v>
      </c>
      <c r="E5510" t="s">
        <v>28263</v>
      </c>
    </row>
    <row r="5511" spans="1:5">
      <c r="A5511" t="s">
        <v>6</v>
      </c>
      <c r="B5511" t="s">
        <v>5516</v>
      </c>
      <c r="C5511">
        <f>HYPERLINK("C:\Users\franc\OneDrive\Documentos\MALENTIN KARIME\maria isabel maluenda\GUILLERMO LEDEZMA ARACENA.doc", "Abrir Documento")</f>
        <v>0</v>
      </c>
      <c r="D5511" t="s">
        <v>23500</v>
      </c>
      <c r="E5511" t="s">
        <v>28264</v>
      </c>
    </row>
    <row r="5512" spans="1:5">
      <c r="A5512" t="s">
        <v>6</v>
      </c>
      <c r="B5512" t="s">
        <v>5517</v>
      </c>
      <c r="C5512">
        <f>HYPERLINK("C:\Users\franc\OneDrive\Documentos\MALENTIN KARIME\maria isabel maluenda\GUIDO MUÑOZ Y AILSA VILLEGAS ACUERDO COMPLETO Y SUFICIENTE.doc", "Abrir Documento")</f>
        <v>0</v>
      </c>
      <c r="D5512" t="s">
        <v>23500</v>
      </c>
      <c r="E5512" t="s">
        <v>28265</v>
      </c>
    </row>
    <row r="5513" spans="1:5">
      <c r="A5513" t="s">
        <v>6</v>
      </c>
      <c r="B5513" t="s">
        <v>5518</v>
      </c>
      <c r="C5513">
        <f>HYPERLINK("C:\Users\franc\OneDrive\Documentos\MALENTIN KARIME\maria isabel maluenda\ELIANA AGUILAR AVALOS.doc", "Abrir Documento")</f>
        <v>0</v>
      </c>
      <c r="D5513" t="s">
        <v>23500</v>
      </c>
      <c r="E5513" t="s">
        <v>28266</v>
      </c>
    </row>
    <row r="5514" spans="1:5">
      <c r="A5514" t="s">
        <v>6</v>
      </c>
      <c r="B5514" t="s">
        <v>5519</v>
      </c>
      <c r="C5514">
        <f>HYPERLINK("C:\Users\franc\OneDrive\Documentos\MALENTIN KARIME\maria isabel maluenda\CARMEN CONTADOR Oct 13.doc", "Abrir Documento")</f>
        <v>0</v>
      </c>
      <c r="D5514" t="s">
        <v>23500</v>
      </c>
      <c r="E5514" t="s">
        <v>28267</v>
      </c>
    </row>
    <row r="5515" spans="1:5">
      <c r="A5515" t="s">
        <v>6</v>
      </c>
      <c r="B5515" t="s">
        <v>5520</v>
      </c>
      <c r="C5515">
        <f>HYPERLINK("C:\Users\franc\OneDrive\Documentos\MALENTIN KARIME\maria isabel maluenda\BALBINA DIAZ ARAYA.doc", "Abrir Documento")</f>
        <v>0</v>
      </c>
      <c r="D5515" t="s">
        <v>23500</v>
      </c>
      <c r="E5515" t="s">
        <v>28268</v>
      </c>
    </row>
    <row r="5516" spans="1:5">
      <c r="A5516" t="s">
        <v>6</v>
      </c>
      <c r="B5516" t="s">
        <v>5521</v>
      </c>
      <c r="C5516">
        <f>HYPERLINK("C:\Users\franc\OneDrive\Documentos\MALENTIN KARIME\maria isabel maluenda\ACTA DIVORCIO Ailsa Villegas y Guido Muñoz.doc", "Abrir Documento")</f>
        <v>0</v>
      </c>
      <c r="D5516" t="s">
        <v>23500</v>
      </c>
      <c r="E5516" t="s">
        <v>28269</v>
      </c>
    </row>
    <row r="5517" spans="1:5">
      <c r="A5517" t="s">
        <v>6</v>
      </c>
      <c r="B5517" t="s">
        <v>5522</v>
      </c>
      <c r="C5517">
        <f>HYPERLINK("C:\Users\franc\OneDrive\Documentos\MALENTIN KARIME\MARIA INES\2015\MARIA INES NUÑEZ Rectif.doc", "Abrir Documento")</f>
        <v>0</v>
      </c>
      <c r="D5517" t="s">
        <v>23500</v>
      </c>
      <c r="E5517" t="s">
        <v>28270</v>
      </c>
    </row>
    <row r="5518" spans="1:5">
      <c r="A5518" t="s">
        <v>6</v>
      </c>
      <c r="B5518" t="s">
        <v>5523</v>
      </c>
      <c r="C5518">
        <f>HYPERLINK("C:\Users\franc\OneDrive\Documentos\MALENTIN KARIME\MARIA INES\2015\EXPORTADORA RIO RAPEL A CARLOS JOFRE Alz Hipoteca.doc", "Abrir Documento")</f>
        <v>0</v>
      </c>
      <c r="D5518" t="s">
        <v>23500</v>
      </c>
      <c r="E5518" t="s">
        <v>28271</v>
      </c>
    </row>
    <row r="5519" spans="1:5">
      <c r="A5519" t="s">
        <v>6</v>
      </c>
      <c r="B5519" t="s">
        <v>5524</v>
      </c>
      <c r="C5519">
        <f>HYPERLINK("C:\Users\franc\OneDrive\Documentos\MALENTIN KARIME\MARIA INES\SONIA PEREZ MICHEA A Manuel Perez.doc", "Abrir Documento")</f>
        <v>0</v>
      </c>
      <c r="D5519" t="s">
        <v>23500</v>
      </c>
      <c r="E5519" t="s">
        <v>28272</v>
      </c>
    </row>
    <row r="5520" spans="1:5">
      <c r="A5520" t="s">
        <v>6</v>
      </c>
      <c r="B5520" t="s">
        <v>5525</v>
      </c>
      <c r="C5520">
        <f>HYPERLINK("C:\Users\franc\OneDrive\Documentos\MALENTIN KARIME\MARIA INES\PATRICIA PERRY PALMA 2016.doc", "Abrir Documento")</f>
        <v>0</v>
      </c>
      <c r="D5520" t="s">
        <v>23500</v>
      </c>
      <c r="E5520" t="s">
        <v>28273</v>
      </c>
    </row>
    <row r="5521" spans="1:5">
      <c r="A5521" t="s">
        <v>6</v>
      </c>
      <c r="B5521" t="s">
        <v>5526</v>
      </c>
      <c r="C5521">
        <f>HYPERLINK("C:\Users\franc\OneDrive\Documentos\MALENTIN KARIME\MANDATOS JUDICIALES\YEIMMY CORTES\CARLOS GONZALEZ.doc", "Abrir Documento")</f>
        <v>0</v>
      </c>
      <c r="D5521" t="s">
        <v>23500</v>
      </c>
      <c r="E5521" t="s">
        <v>28274</v>
      </c>
    </row>
    <row r="5522" spans="1:5">
      <c r="A5522" t="s">
        <v>6</v>
      </c>
      <c r="B5522" t="s">
        <v>5527</v>
      </c>
      <c r="C5522">
        <f>HYPERLINK("C:\Users\franc\OneDrive\Documentos\MALENTIN KARIME\MANDATOS JUDICIALES\WASHINGTON ALTAMIRANO\EVA MORGADO TAPIA.doc", "Abrir Documento")</f>
        <v>0</v>
      </c>
      <c r="D5522" t="s">
        <v>23500</v>
      </c>
      <c r="E5522" t="s">
        <v>28275</v>
      </c>
    </row>
    <row r="5523" spans="1:5">
      <c r="A5523" t="s">
        <v>6</v>
      </c>
      <c r="B5523" t="s">
        <v>5528</v>
      </c>
      <c r="C5523">
        <f>HYPERLINK("C:\Users\franc\OneDrive\Documentos\MALENTIN KARIME\MANDATOS JUDICIALES\WASHINGTON ALTAMIRANO\WILFREDO BORQUEZ.doc", "Abrir Documento")</f>
        <v>0</v>
      </c>
      <c r="D5523" t="s">
        <v>23500</v>
      </c>
      <c r="E5523" t="s">
        <v>28275</v>
      </c>
    </row>
    <row r="5524" spans="1:5">
      <c r="A5524" t="s">
        <v>6</v>
      </c>
      <c r="B5524" t="s">
        <v>5529</v>
      </c>
      <c r="C5524">
        <f>HYPERLINK("C:\Users\franc\OneDrive\Documentos\MALENTIN KARIME\MANDATOS JUDICIALES\WASHINGTON ALTAMIRANO\CARLOS VARGAS.doc", "Abrir Documento")</f>
        <v>0</v>
      </c>
      <c r="D5524" t="s">
        <v>23500</v>
      </c>
      <c r="E5524" t="s">
        <v>28276</v>
      </c>
    </row>
    <row r="5525" spans="1:5">
      <c r="A5525" t="s">
        <v>6</v>
      </c>
      <c r="B5525" t="s">
        <v>5530</v>
      </c>
      <c r="C5525">
        <f>HYPERLINK("C:\Users\franc\OneDrive\Documentos\MALENTIN KARIME\MANDATOS JUDICIALES\VERONICA CERDA\RAMON RAMIREZ CERDA.doc", "Abrir Documento")</f>
        <v>0</v>
      </c>
      <c r="D5525" t="s">
        <v>23500</v>
      </c>
      <c r="E5525" t="s">
        <v>28277</v>
      </c>
    </row>
    <row r="5526" spans="1:5">
      <c r="A5526" t="s">
        <v>6</v>
      </c>
      <c r="B5526" t="s">
        <v>5531</v>
      </c>
      <c r="C5526">
        <f>HYPERLINK("C:\Users\franc\OneDrive\Documentos\MALENTIN KARIME\MANDATOS JUDICIALES\VERONICA CERDA\VIOLETA VALDIVIA CHEPILLO.doc", "Abrir Documento")</f>
        <v>0</v>
      </c>
      <c r="D5526" t="s">
        <v>23500</v>
      </c>
      <c r="E5526" t="s">
        <v>28277</v>
      </c>
    </row>
    <row r="5527" spans="1:5">
      <c r="A5527" t="s">
        <v>6</v>
      </c>
      <c r="B5527" t="s">
        <v>5532</v>
      </c>
      <c r="C5527">
        <f>HYPERLINK("C:\Users\franc\OneDrive\Documentos\MALENTIN KARIME\MANDATOS JUDICIALES\VERONICA CERDA\PAMELA ACUÑA NARANJO.doc", "Abrir Documento")</f>
        <v>0</v>
      </c>
      <c r="D5527" t="s">
        <v>23500</v>
      </c>
      <c r="E5527" t="s">
        <v>28278</v>
      </c>
    </row>
    <row r="5528" spans="1:5">
      <c r="A5528" t="s">
        <v>6</v>
      </c>
      <c r="B5528" t="s">
        <v>5533</v>
      </c>
      <c r="C5528">
        <f>HYPERLINK("C:\Users\franc\OneDrive\Documentos\MALENTIN KARIME\MANDATOS JUDICIALES\VERONICA CERDA\PAULA MUÑOZ HINOJOSO.doc", "Abrir Documento")</f>
        <v>0</v>
      </c>
      <c r="D5528" t="s">
        <v>23500</v>
      </c>
      <c r="E5528" t="s">
        <v>28278</v>
      </c>
    </row>
    <row r="5529" spans="1:5">
      <c r="A5529" t="s">
        <v>6</v>
      </c>
      <c r="B5529" t="s">
        <v>5534</v>
      </c>
      <c r="C5529">
        <f>HYPERLINK("C:\Users\franc\OneDrive\Documentos\MALENTIN KARIME\MANDATOS JUDICIALES\VERONICA CERDA\PAMELA ACUÑA NARANJO final.doc", "Abrir Documento")</f>
        <v>0</v>
      </c>
      <c r="D5529" t="s">
        <v>23500</v>
      </c>
      <c r="E5529" t="s">
        <v>28279</v>
      </c>
    </row>
    <row r="5530" spans="1:5">
      <c r="A5530" t="s">
        <v>6</v>
      </c>
      <c r="B5530" t="s">
        <v>5535</v>
      </c>
      <c r="C5530">
        <f>HYPERLINK("C:\Users\franc\OneDrive\Documentos\MALENTIN KARIME\MANDATOS JUDICIALES\VERONICA CERDA\DANIZA ANGEL MILLA.doc", "Abrir Documento")</f>
        <v>0</v>
      </c>
      <c r="D5530" t="s">
        <v>23500</v>
      </c>
      <c r="E5530" t="s">
        <v>28280</v>
      </c>
    </row>
    <row r="5531" spans="1:5">
      <c r="A5531" t="s">
        <v>6</v>
      </c>
      <c r="B5531" t="s">
        <v>5536</v>
      </c>
      <c r="C5531">
        <f>HYPERLINK("C:\Users\franc\OneDrive\Documentos\MALENTIN KARIME\MANDATOS JUDICIALES\VALERIA OLIVARES\RODRIGO JARA OVALLE Inversiones Santa Olivia.doc", "Abrir Documento")</f>
        <v>0</v>
      </c>
      <c r="D5531" t="s">
        <v>23500</v>
      </c>
      <c r="E5531" t="s">
        <v>28281</v>
      </c>
    </row>
    <row r="5532" spans="1:5">
      <c r="A5532" t="s">
        <v>6</v>
      </c>
      <c r="B5532" t="s">
        <v>5537</v>
      </c>
      <c r="C5532">
        <f>HYPERLINK("C:\Users\franc\OneDrive\Documentos\MALENTIN KARIME\MANDATOS JUDICIALES\VALERIA OLIVARES\RODRIGO JARA OVALLE Comsat.doc", "Abrir Documento")</f>
        <v>0</v>
      </c>
      <c r="D5532" t="s">
        <v>23500</v>
      </c>
      <c r="E5532" t="s">
        <v>28282</v>
      </c>
    </row>
    <row r="5533" spans="1:5">
      <c r="A5533" t="s">
        <v>6</v>
      </c>
      <c r="B5533" t="s">
        <v>5538</v>
      </c>
      <c r="C5533">
        <f>HYPERLINK("C:\Users\franc\OneDrive\Documentos\MALENTIN KARIME\MANDATOS JUDICIALES\VALERIA OLIVARES\INGERBOR TABILO.doc", "Abrir Documento")</f>
        <v>0</v>
      </c>
      <c r="D5533" t="s">
        <v>23500</v>
      </c>
      <c r="E5533" t="s">
        <v>28283</v>
      </c>
    </row>
    <row r="5534" spans="1:5">
      <c r="A5534" t="s">
        <v>6</v>
      </c>
      <c r="B5534" t="s">
        <v>5539</v>
      </c>
      <c r="C5534">
        <f>HYPERLINK("C:\Users\franc\OneDrive\Documentos\MALENTIN KARIME\MANDATOS JUDICIALES\VALERIA OLIVARES\Rodrigo Jara COMERCIALIZADORA UNO.doc", "Abrir Documento")</f>
        <v>0</v>
      </c>
      <c r="D5534" t="s">
        <v>23500</v>
      </c>
      <c r="E5534" t="s">
        <v>28283</v>
      </c>
    </row>
    <row r="5535" spans="1:5">
      <c r="A5535" t="s">
        <v>6</v>
      </c>
      <c r="B5535" t="s">
        <v>5540</v>
      </c>
      <c r="C5535">
        <f>HYPERLINK("C:\Users\franc\OneDrive\Documentos\MALENTIN KARIME\MANDATOS JUDICIALES\TANYA PEÑA\PATRICIA TAPIA.doc", "Abrir Documento")</f>
        <v>0</v>
      </c>
      <c r="D5535" t="s">
        <v>23500</v>
      </c>
      <c r="E5535" t="s">
        <v>28284</v>
      </c>
    </row>
    <row r="5536" spans="1:5">
      <c r="A5536" t="s">
        <v>6</v>
      </c>
      <c r="B5536" t="s">
        <v>5541</v>
      </c>
      <c r="C5536">
        <f>HYPERLINK("C:\Users\franc\OneDrive\Documentos\MALENTIN KARIME\MANDATOS JUDICIALES\SOLEDAD FARR\PABLO DE LA CRUZ.doc", "Abrir Documento")</f>
        <v>0</v>
      </c>
      <c r="D5536" t="s">
        <v>23500</v>
      </c>
      <c r="E5536" t="s">
        <v>28285</v>
      </c>
    </row>
    <row r="5537" spans="1:5">
      <c r="A5537" t="s">
        <v>6</v>
      </c>
      <c r="B5537" t="s">
        <v>5542</v>
      </c>
      <c r="C5537">
        <f>HYPERLINK("C:\Users\franc\OneDrive\Documentos\MALENTIN KARIME\MANDATOS JUDICIALES\SOLEDAD FARR\CARMEN MORGADO ROJAS 2017.doc", "Abrir Documento")</f>
        <v>0</v>
      </c>
      <c r="D5537" t="s">
        <v>23500</v>
      </c>
      <c r="E5537" t="s">
        <v>28286</v>
      </c>
    </row>
    <row r="5538" spans="1:5">
      <c r="A5538" t="s">
        <v>6</v>
      </c>
      <c r="B5538" t="s">
        <v>5543</v>
      </c>
      <c r="C5538">
        <f>HYPERLINK("C:\Users\franc\OneDrive\Documentos\MALENTIN KARIME\MANDATOS JUDICIALES\SERGIO SALFATE\LUCAS ROJAS HONORES.doc", "Abrir Documento")</f>
        <v>0</v>
      </c>
      <c r="D5538" t="s">
        <v>23500</v>
      </c>
      <c r="E5538" t="s">
        <v>28287</v>
      </c>
    </row>
    <row r="5539" spans="1:5">
      <c r="A5539" t="s">
        <v>6</v>
      </c>
      <c r="B5539" t="s">
        <v>5544</v>
      </c>
      <c r="C5539">
        <f>HYPERLINK("C:\Users\franc\OneDrive\Documentos\MALENTIN KARIME\MANDATOS JUDICIALES\SERGIO SALFATE\JUAN BRAVO CALDERON Minuta.doc", "Abrir Documento")</f>
        <v>0</v>
      </c>
      <c r="D5539" t="s">
        <v>23500</v>
      </c>
      <c r="E5539" t="s">
        <v>28288</v>
      </c>
    </row>
    <row r="5540" spans="1:5">
      <c r="A5540" t="s">
        <v>6</v>
      </c>
      <c r="B5540" t="s">
        <v>5545</v>
      </c>
      <c r="C5540">
        <f>HYPERLINK("C:\Users\franc\OneDrive\Documentos\MALENTIN KARIME\MANDATOS JUDICIALES\SERGIO SALFATE\ELECOOP 2017.doc", "Abrir Documento")</f>
        <v>0</v>
      </c>
      <c r="D5540" t="s">
        <v>23500</v>
      </c>
      <c r="E5540" t="s">
        <v>28289</v>
      </c>
    </row>
    <row r="5541" spans="1:5">
      <c r="A5541" t="s">
        <v>6</v>
      </c>
      <c r="B5541" t="s">
        <v>5546</v>
      </c>
      <c r="C5541">
        <f>HYPERLINK("C:\Users\franc\OneDrive\Documentos\MALENTIN KARIME\MANDATOS JUDICIALES\SERGIO SALFATE\Eleccoop Mandato 2018.doc", "Abrir Documento")</f>
        <v>0</v>
      </c>
      <c r="D5541" t="s">
        <v>23500</v>
      </c>
      <c r="E5541" t="s">
        <v>28290</v>
      </c>
    </row>
    <row r="5542" spans="1:5">
      <c r="A5542" t="s">
        <v>6</v>
      </c>
      <c r="B5542" t="s">
        <v>5547</v>
      </c>
      <c r="C5542">
        <f>HYPERLINK("C:\Users\franc\OneDrive\Documentos\MALENTIN KARIME\MANDATOS JUDICIALES\SERGIO PERALTA\IRLANDA JARA Aedo.doc", "Abrir Documento")</f>
        <v>0</v>
      </c>
      <c r="D5542" t="s">
        <v>23500</v>
      </c>
      <c r="E5542" t="s">
        <v>28291</v>
      </c>
    </row>
    <row r="5543" spans="1:5">
      <c r="A5543" t="s">
        <v>6</v>
      </c>
      <c r="B5543" t="s">
        <v>5548</v>
      </c>
      <c r="C5543">
        <f>HYPERLINK("C:\Users\franc\OneDrive\Documentos\MALENTIN KARIME\MANDATOS JUDICIALES\SERGIO PERALTA\EXPORTADORA VELEZ.doc", "Abrir Documento")</f>
        <v>0</v>
      </c>
      <c r="D5543" t="s">
        <v>23500</v>
      </c>
      <c r="E5543" t="s">
        <v>28292</v>
      </c>
    </row>
    <row r="5544" spans="1:5">
      <c r="A5544" t="s">
        <v>6</v>
      </c>
      <c r="B5544" t="s">
        <v>5549</v>
      </c>
      <c r="C5544">
        <f>HYPERLINK("C:\Users\franc\OneDrive\Documentos\MALENTIN KARIME\MANDATOS JUDICIALES\SERGIO PERALTA\EXPORTADORA VELEZ  a Oscar Tapia.doc", "Abrir Documento")</f>
        <v>0</v>
      </c>
      <c r="D5544" t="s">
        <v>23500</v>
      </c>
      <c r="E5544" t="s">
        <v>28293</v>
      </c>
    </row>
    <row r="5545" spans="1:5">
      <c r="A5545" t="s">
        <v>6</v>
      </c>
      <c r="B5545" t="s">
        <v>5550</v>
      </c>
      <c r="C5545">
        <f>HYPERLINK("C:\Users\franc\OneDrive\Documentos\MALENTIN KARIME\MANDATOS JUDICIALES\SERGIO GALLEGUILLOS\ILUSTRE MUNICIPALIDAD DE OVALLE.doc", "Abrir Documento")</f>
        <v>0</v>
      </c>
      <c r="D5545" t="s">
        <v>23500</v>
      </c>
      <c r="E5545" t="s">
        <v>28294</v>
      </c>
    </row>
    <row r="5546" spans="1:5">
      <c r="A5546" t="s">
        <v>6</v>
      </c>
      <c r="B5546" t="s">
        <v>5551</v>
      </c>
      <c r="C5546">
        <f>HYPERLINK("C:\Users\franc\OneDrive\Documentos\MALENTIN KARIME\MANDATOS JUDICIALES\SEBASTIAN RIESCO\JOVELIO OSSANDON A SEBASTIAN RIESCO Mandato minuta.doc", "Abrir Documento")</f>
        <v>0</v>
      </c>
      <c r="D5546" t="s">
        <v>23500</v>
      </c>
      <c r="E5546" t="s">
        <v>28295</v>
      </c>
    </row>
    <row r="5547" spans="1:5">
      <c r="A5547" t="s">
        <v>6</v>
      </c>
      <c r="B5547" t="s">
        <v>5552</v>
      </c>
      <c r="C5547">
        <f>HYPERLINK("C:\Users\franc\OneDrive\Documentos\MALENTIN KARIME\MANDATOS JUDICIALES\SEBASTIAN RIESCO\Declaración Jurada Jovelio Ossandón.docx", "Abrir Documento")</f>
        <v>0</v>
      </c>
      <c r="D5547" t="s">
        <v>23501</v>
      </c>
      <c r="E5547" t="s">
        <v>28296</v>
      </c>
    </row>
    <row r="5548" spans="1:5">
      <c r="A5548" t="s">
        <v>6</v>
      </c>
      <c r="B5548" t="s">
        <v>5553</v>
      </c>
      <c r="C5548">
        <f>HYPERLINK("C:\Users\franc\OneDrive\Documentos\MALENTIN KARIME\MANDATOS JUDICIALES\sebastian covarubias\DIOMEDES CRUZ.doc", "Abrir Documento")</f>
        <v>0</v>
      </c>
      <c r="D5548" t="s">
        <v>23500</v>
      </c>
      <c r="E5548" t="s">
        <v>28297</v>
      </c>
    </row>
    <row r="5549" spans="1:5">
      <c r="A5549" t="s">
        <v>6</v>
      </c>
      <c r="B5549" t="s">
        <v>5554</v>
      </c>
      <c r="C5549">
        <f>HYPERLINK("C:\Users\franc\OneDrive\Documentos\MALENTIN KARIME\MANDATOS JUDICIALES\SARA VILLEGAS CUADRA\RUFINA VELIZ.doc", "Abrir Documento")</f>
        <v>0</v>
      </c>
      <c r="D5549" t="s">
        <v>23500</v>
      </c>
      <c r="E5549" t="s">
        <v>28298</v>
      </c>
    </row>
    <row r="5550" spans="1:5">
      <c r="A5550" t="s">
        <v>6</v>
      </c>
      <c r="B5550" t="s">
        <v>5555</v>
      </c>
      <c r="C5550">
        <f>HYPERLINK("C:\Users\franc\OneDrive\Documentos\MALENTIN KARIME\MANDATOS JUDICIALES\SEBASTIAN COVARRUBIAS\ALEX BRICEÑO Y LUIS ORREGO.doc", "Abrir Documento")</f>
        <v>0</v>
      </c>
      <c r="D5550" t="s">
        <v>23500</v>
      </c>
      <c r="E5550" t="s">
        <v>28298</v>
      </c>
    </row>
    <row r="5551" spans="1:5">
      <c r="A5551" t="s">
        <v>6</v>
      </c>
      <c r="B5551" t="s">
        <v>5556</v>
      </c>
      <c r="C5551">
        <f>HYPERLINK("C:\Users\franc\OneDrive\Documentos\MALENTIN KARIME\MANDATOS JUDICIALES\SARA VILLEGAS CUADRA\Patricia Vallejos.doc", "Abrir Documento")</f>
        <v>0</v>
      </c>
      <c r="D5551" t="s">
        <v>23500</v>
      </c>
      <c r="E5551" t="s">
        <v>28299</v>
      </c>
    </row>
    <row r="5552" spans="1:5">
      <c r="A5552" t="s">
        <v>6</v>
      </c>
      <c r="B5552" t="s">
        <v>5557</v>
      </c>
      <c r="C5552">
        <f>HYPERLINK("C:\Users\franc\OneDrive\Documentos\MALENTIN KARIME\MANDATOS JUDICIALES\RODRIGO VARAS\VICTORIA ARAYA ROJAS.doc", "Abrir Documento")</f>
        <v>0</v>
      </c>
      <c r="D5552" t="s">
        <v>23500</v>
      </c>
      <c r="E5552" t="s">
        <v>28300</v>
      </c>
    </row>
    <row r="5553" spans="1:5">
      <c r="A5553" t="s">
        <v>6</v>
      </c>
      <c r="B5553" t="s">
        <v>5558</v>
      </c>
      <c r="C5553">
        <f>HYPERLINK("C:\Users\franc\OneDrive\Documentos\MALENTIN KARIME\MANDATOS JUDICIALES\RUBEN MIRANDA\LUIS CHANDIA.doc", "Abrir Documento")</f>
        <v>0</v>
      </c>
      <c r="D5553" t="s">
        <v>23500</v>
      </c>
      <c r="E5553" t="s">
        <v>28300</v>
      </c>
    </row>
    <row r="5554" spans="1:5">
      <c r="A5554" t="s">
        <v>6</v>
      </c>
      <c r="B5554" t="s">
        <v>5559</v>
      </c>
      <c r="C5554">
        <f>HYPERLINK("C:\Users\franc\OneDrive\Documentos\MALENTIN KARIME\MANDATOS JUDICIALES\RODRIGO VARAS\VICTOR ARAYA OSSANDON.doc", "Abrir Documento")</f>
        <v>0</v>
      </c>
      <c r="D5554" t="s">
        <v>23500</v>
      </c>
      <c r="E5554" t="s">
        <v>28301</v>
      </c>
    </row>
    <row r="5555" spans="1:5">
      <c r="A5555" t="s">
        <v>6</v>
      </c>
      <c r="B5555" t="s">
        <v>5560</v>
      </c>
      <c r="C5555">
        <f>HYPERLINK("C:\Users\franc\OneDrive\Documentos\MALENTIN KARIME\MANDATOS JUDICIALES\RODRIGO ROJAS\LUIS MENCO CARDENAS.doc", "Abrir Documento")</f>
        <v>0</v>
      </c>
      <c r="D5555" t="s">
        <v>23500</v>
      </c>
      <c r="E5555" t="s">
        <v>28302</v>
      </c>
    </row>
    <row r="5556" spans="1:5">
      <c r="A5556" t="s">
        <v>6</v>
      </c>
      <c r="B5556" t="s">
        <v>5561</v>
      </c>
      <c r="C5556">
        <f>HYPERLINK("C:\Users\franc\OneDrive\Documentos\MALENTIN KARIME\MANDATOS JUDICIALES\ROBIN VALENZUELA\WALDO PEREZ FLORES.doc", "Abrir Documento")</f>
        <v>0</v>
      </c>
      <c r="D5556" t="s">
        <v>23500</v>
      </c>
      <c r="E5556" t="s">
        <v>28303</v>
      </c>
    </row>
    <row r="5557" spans="1:5">
      <c r="A5557" t="s">
        <v>6</v>
      </c>
      <c r="B5557" t="s">
        <v>5562</v>
      </c>
      <c r="C5557">
        <f>HYPERLINK("C:\Users\franc\OneDrive\Documentos\MALENTIN KARIME\MANDATOS JUDICIALES\RODRIGO CONTADOR\AGUIRRE DREY.doc", "Abrir Documento")</f>
        <v>0</v>
      </c>
      <c r="D5557" t="s">
        <v>23500</v>
      </c>
      <c r="E5557" t="s">
        <v>28303</v>
      </c>
    </row>
    <row r="5558" spans="1:5">
      <c r="A5558" t="s">
        <v>6</v>
      </c>
      <c r="B5558" t="s">
        <v>5563</v>
      </c>
      <c r="C5558">
        <f>HYPERLINK("C:\Users\franc\OneDrive\Documentos\MALENTIN KARIME\MANDATOS JUDICIALES\ROBIN VALENZUELA\RODRIGO MUNDACA.doc", "Abrir Documento")</f>
        <v>0</v>
      </c>
      <c r="D5558" t="s">
        <v>23500</v>
      </c>
      <c r="E5558" t="s">
        <v>28304</v>
      </c>
    </row>
    <row r="5559" spans="1:5">
      <c r="A5559" t="s">
        <v>6</v>
      </c>
      <c r="B5559" t="s">
        <v>5564</v>
      </c>
      <c r="C5559">
        <f>HYPERLINK("C:\Users\franc\OneDrive\Documentos\MALENTIN KARIME\MANDATOS JUDICIALES\ROBIN VALENZUELA\NICOLAS BARRAZA 2017.doc", "Abrir Documento")</f>
        <v>0</v>
      </c>
      <c r="D5559" t="s">
        <v>23500</v>
      </c>
      <c r="E5559" t="s">
        <v>28305</v>
      </c>
    </row>
    <row r="5560" spans="1:5">
      <c r="A5560" t="s">
        <v>6</v>
      </c>
      <c r="B5560" t="s">
        <v>5565</v>
      </c>
      <c r="C5560">
        <f>HYPERLINK("C:\Users\franc\OneDrive\Documentos\MALENTIN KARIME\MANDATOS JUDICIALES\ROBIN VALENZUELA\RODRIGO AJRAZ.doc", "Abrir Documento")</f>
        <v>0</v>
      </c>
      <c r="D5560" t="s">
        <v>23500</v>
      </c>
      <c r="E5560" t="s">
        <v>28305</v>
      </c>
    </row>
    <row r="5561" spans="1:5">
      <c r="A5561" t="s">
        <v>6</v>
      </c>
      <c r="B5561" t="s">
        <v>5566</v>
      </c>
      <c r="C5561">
        <f>HYPERLINK("C:\Users\franc\OneDrive\Documentos\MALENTIN KARIME\MANDATOS JUDICIALES\ROBIN VALENZUELA\MIGUEL CHAMBI PUMA.doc", "Abrir Documento")</f>
        <v>0</v>
      </c>
      <c r="D5561" t="s">
        <v>23500</v>
      </c>
      <c r="E5561" t="s">
        <v>28306</v>
      </c>
    </row>
    <row r="5562" spans="1:5">
      <c r="A5562" t="s">
        <v>6</v>
      </c>
      <c r="B5562" t="s">
        <v>5567</v>
      </c>
      <c r="C5562">
        <f>HYPERLINK("C:\Users\franc\OneDrive\Documentos\MALENTIN KARIME\MANDATOS JUDICIALES\ROBIN VALENZUELA\MARIA SEGOVIA Y OTRA.doc", "Abrir Documento")</f>
        <v>0</v>
      </c>
      <c r="D5562" t="s">
        <v>23500</v>
      </c>
      <c r="E5562" t="s">
        <v>28307</v>
      </c>
    </row>
    <row r="5563" spans="1:5">
      <c r="A5563" t="s">
        <v>6</v>
      </c>
      <c r="B5563" t="s">
        <v>5568</v>
      </c>
      <c r="C5563">
        <f>HYPERLINK("C:\Users\franc\OneDrive\Documentos\MALENTIN KARIME\MANDATOS JUDICIALES\ROBIN VALENZUELA\MAURICIO GUERRA MORALES.doc", "Abrir Documento")</f>
        <v>0</v>
      </c>
      <c r="D5563" t="s">
        <v>23500</v>
      </c>
      <c r="E5563" t="s">
        <v>28307</v>
      </c>
    </row>
    <row r="5564" spans="1:5">
      <c r="A5564" t="s">
        <v>6</v>
      </c>
      <c r="B5564" t="s">
        <v>5569</v>
      </c>
      <c r="C5564">
        <f>HYPERLINK("C:\Users\franc\OneDrive\Documentos\MALENTIN KARIME\MANDATOS JUDICIALES\ROBIN VALENZUELA\MARIA PIZARRO PIZARRO.doc", "Abrir Documento")</f>
        <v>0</v>
      </c>
      <c r="D5564" t="s">
        <v>23500</v>
      </c>
      <c r="E5564" t="s">
        <v>28308</v>
      </c>
    </row>
    <row r="5565" spans="1:5">
      <c r="A5565" t="s">
        <v>6</v>
      </c>
      <c r="B5565" t="s">
        <v>5570</v>
      </c>
      <c r="C5565">
        <f>HYPERLINK("C:\Users\franc\OneDrive\Documentos\MALENTIN KARIME\MANDATOS JUDICIALES\ROBIN VALENZUELA\MAIKEL PIZARRO 2017.doc", "Abrir Documento")</f>
        <v>0</v>
      </c>
      <c r="D5565" t="s">
        <v>23500</v>
      </c>
      <c r="E5565" t="s">
        <v>28309</v>
      </c>
    </row>
    <row r="5566" spans="1:5">
      <c r="A5566" t="s">
        <v>6</v>
      </c>
      <c r="B5566" t="s">
        <v>5571</v>
      </c>
      <c r="C5566">
        <f>HYPERLINK("C:\Users\franc\OneDrive\Documentos\MALENTIN KARIME\MANDATOS JUDICIALES\ROBIN VALENZUELA\GUILLERMO ZEPEDA ARAYA 2018.doc", "Abrir Documento")</f>
        <v>0</v>
      </c>
      <c r="D5566" t="s">
        <v>23500</v>
      </c>
      <c r="E5566" t="s">
        <v>28310</v>
      </c>
    </row>
    <row r="5567" spans="1:5">
      <c r="A5567" t="s">
        <v>6</v>
      </c>
      <c r="B5567" t="s">
        <v>5572</v>
      </c>
      <c r="C5567">
        <f>HYPERLINK("C:\Users\franc\OneDrive\Documentos\MALENTIN KARIME\MANDATOS JUDICIALES\ROBIN VALENZUELA\LUIS RIVERA CASANGA.doc", "Abrir Documento")</f>
        <v>0</v>
      </c>
      <c r="D5567" t="s">
        <v>23500</v>
      </c>
      <c r="E5567" t="s">
        <v>28310</v>
      </c>
    </row>
    <row r="5568" spans="1:5">
      <c r="A5568" t="s">
        <v>6</v>
      </c>
      <c r="B5568" t="s">
        <v>5573</v>
      </c>
      <c r="C5568">
        <f>HYPERLINK("C:\Users\franc\OneDrive\Documentos\MALENTIN KARIME\MANDATOS JUDICIALES\ROBIN VALENZUELA\ALEJANDRO AVALOS.doc", "Abrir Documento")</f>
        <v>0</v>
      </c>
      <c r="D5568" t="s">
        <v>23500</v>
      </c>
      <c r="E5568" t="s">
        <v>28311</v>
      </c>
    </row>
    <row r="5569" spans="1:5">
      <c r="A5569" t="s">
        <v>6</v>
      </c>
      <c r="B5569" t="s">
        <v>5574</v>
      </c>
      <c r="C5569">
        <f>HYPERLINK("C:\Users\franc\OneDrive\Documentos\MALENTIN KARIME\MANDATOS JUDICIALES\ROBIN VALENZUELA\CAROLINA BARRERA.doc", "Abrir Documento")</f>
        <v>0</v>
      </c>
      <c r="D5569" t="s">
        <v>23500</v>
      </c>
      <c r="E5569" t="s">
        <v>28311</v>
      </c>
    </row>
    <row r="5570" spans="1:5">
      <c r="A5570" t="s">
        <v>6</v>
      </c>
      <c r="B5570" t="s">
        <v>5575</v>
      </c>
      <c r="C5570">
        <f>HYPERLINK("C:\Users\franc\OneDrive\Documentos\MALENTIN KARIME\MANDATOS JUDICIALES\ROBERTO VEGA\JUSTO BARRIOS A Roberto Vega.doc", "Abrir Documento")</f>
        <v>0</v>
      </c>
      <c r="D5570" t="s">
        <v>23500</v>
      </c>
      <c r="E5570" t="s">
        <v>28312</v>
      </c>
    </row>
    <row r="5571" spans="1:5">
      <c r="A5571" t="s">
        <v>6</v>
      </c>
      <c r="B5571" t="s">
        <v>5576</v>
      </c>
      <c r="C5571">
        <f>HYPERLINK("C:\Users\franc\OneDrive\Documentos\MALENTIN KARIME\MANDATOS JUDICIALES\RICARDO SEPULVEDA\ESTER RODRIGUEZ.doc", "Abrir Documento")</f>
        <v>0</v>
      </c>
      <c r="D5571" t="s">
        <v>23500</v>
      </c>
      <c r="E5571" t="s">
        <v>28313</v>
      </c>
    </row>
    <row r="5572" spans="1:5">
      <c r="A5572" t="s">
        <v>6</v>
      </c>
      <c r="B5572" t="s">
        <v>5577</v>
      </c>
      <c r="C5572">
        <f>HYPERLINK("C:\Users\franc\OneDrive\Documentos\MALENTIN KARIME\MANDATOS JUDICIALES\RICARDO SEPULVEDA\MARIANELA DIAZ 2017.doc", "Abrir Documento")</f>
        <v>0</v>
      </c>
      <c r="D5572" t="s">
        <v>23500</v>
      </c>
      <c r="E5572" t="s">
        <v>28313</v>
      </c>
    </row>
    <row r="5573" spans="1:5">
      <c r="A5573" t="s">
        <v>6</v>
      </c>
      <c r="B5573" t="s">
        <v>5578</v>
      </c>
      <c r="C5573">
        <f>HYPERLINK("C:\Users\franc\OneDrive\Documentos\MALENTIN KARIME\MANDATOS JUDICIALES\RICARDO SEPULVEDA\ANDRES POBLETE VIAL.doc", "Abrir Documento")</f>
        <v>0</v>
      </c>
      <c r="D5573" t="s">
        <v>23500</v>
      </c>
      <c r="E5573" t="s">
        <v>28314</v>
      </c>
    </row>
    <row r="5574" spans="1:5">
      <c r="A5574" t="s">
        <v>6</v>
      </c>
      <c r="B5574" t="s">
        <v>5579</v>
      </c>
      <c r="C5574">
        <f>HYPERLINK("C:\Users\franc\OneDrive\Documentos\MALENTIN KARIME\MANDATOS JUDICIALES\RICARDO SEPULVEDA\CRISTIAN ROJAS TABILO 2018.doc", "Abrir Documento")</f>
        <v>0</v>
      </c>
      <c r="D5574" t="s">
        <v>23500</v>
      </c>
      <c r="E5574" t="s">
        <v>28314</v>
      </c>
    </row>
    <row r="5575" spans="1:5">
      <c r="A5575" t="s">
        <v>6</v>
      </c>
      <c r="B5575" t="s">
        <v>5580</v>
      </c>
      <c r="C5575">
        <f>HYPERLINK("C:\Users\franc\OneDrive\Documentos\MALENTIN KARIME\MANDATOS JUDICIALES\RENE ALLENDE\SOC ANGOSTURA mandato especial judicial.doc", "Abrir Documento")</f>
        <v>0</v>
      </c>
      <c r="D5575" t="s">
        <v>23500</v>
      </c>
      <c r="E5575" t="s">
        <v>28315</v>
      </c>
    </row>
    <row r="5576" spans="1:5">
      <c r="A5576" t="s">
        <v>6</v>
      </c>
      <c r="B5576" t="s">
        <v>5581</v>
      </c>
      <c r="C5576">
        <f>HYPERLINK("C:\Users\franc\OneDrive\Documentos\MALENTIN KARIME\MANDATOS JUDICIALES\RENE ALLENDE\VALENTIN CONTRERAS.doc", "Abrir Documento")</f>
        <v>0</v>
      </c>
      <c r="D5576" t="s">
        <v>23500</v>
      </c>
      <c r="E5576" t="s">
        <v>28315</v>
      </c>
    </row>
    <row r="5577" spans="1:5">
      <c r="A5577" t="s">
        <v>6</v>
      </c>
      <c r="B5577" t="s">
        <v>5582</v>
      </c>
      <c r="C5577">
        <f>HYPERLINK("C:\Users\franc\OneDrive\Documentos\MALENTIN KARIME\MANDATOS JUDICIALES\RENE ALLENDE\RENE MIRANDA SALAS.doc", "Abrir Documento")</f>
        <v>0</v>
      </c>
      <c r="D5577" t="s">
        <v>23500</v>
      </c>
      <c r="E5577" t="s">
        <v>28316</v>
      </c>
    </row>
    <row r="5578" spans="1:5">
      <c r="A5578" t="s">
        <v>6</v>
      </c>
      <c r="B5578" t="s">
        <v>5583</v>
      </c>
      <c r="C5578">
        <f>HYPERLINK("C:\Users\franc\OneDrive\Documentos\MALENTIN KARIME\MANDATOS JUDICIALES\RENE ALLENDE\RUBEN TABILO ROBLES 2018.doc", "Abrir Documento")</f>
        <v>0</v>
      </c>
      <c r="D5578" t="s">
        <v>23500</v>
      </c>
      <c r="E5578" t="s">
        <v>28316</v>
      </c>
    </row>
    <row r="5579" spans="1:5">
      <c r="A5579" t="s">
        <v>6</v>
      </c>
      <c r="B5579" t="s">
        <v>5584</v>
      </c>
      <c r="C5579">
        <f>HYPERLINK("C:\Users\franc\OneDrive\Documentos\MALENTIN KARIME\MANDATOS JUDICIALES\RENE ALLENDE\MURICIO VEGA.doc", "Abrir Documento")</f>
        <v>0</v>
      </c>
      <c r="D5579" t="s">
        <v>23500</v>
      </c>
      <c r="E5579" t="s">
        <v>28317</v>
      </c>
    </row>
    <row r="5580" spans="1:5">
      <c r="A5580" t="s">
        <v>6</v>
      </c>
      <c r="B5580" t="s">
        <v>5585</v>
      </c>
      <c r="C5580">
        <f>HYPERLINK("C:\Users\franc\OneDrive\Documentos\MALENTIN KARIME\MANDATOS JUDICIALES\RENE ALLENDE\MICHAEL VALDIVIA 2015.doc", "Abrir Documento")</f>
        <v>0</v>
      </c>
      <c r="D5580" t="s">
        <v>23500</v>
      </c>
      <c r="E5580" t="s">
        <v>28318</v>
      </c>
    </row>
    <row r="5581" spans="1:5">
      <c r="A5581" t="s">
        <v>6</v>
      </c>
      <c r="B5581" t="s">
        <v>5586</v>
      </c>
      <c r="C5581">
        <f>HYPERLINK("C:\Users\franc\OneDrive\Documentos\MALENTIN KARIME\MANDATOS JUDICIALES\RENE ALLENDE\MARIA CASTRO MUÑOZ.doc", "Abrir Documento")</f>
        <v>0</v>
      </c>
      <c r="D5581" t="s">
        <v>23500</v>
      </c>
      <c r="E5581" t="s">
        <v>28319</v>
      </c>
    </row>
    <row r="5582" spans="1:5">
      <c r="A5582" t="s">
        <v>6</v>
      </c>
      <c r="B5582" t="s">
        <v>5587</v>
      </c>
      <c r="C5582">
        <f>HYPERLINK("C:\Users\franc\OneDrive\Documentos\MALENTIN KARIME\MANDATOS JUDICIALES\RENE ALLENDE\JOANNA ROJAS MERY.doc", "Abrir Documento")</f>
        <v>0</v>
      </c>
      <c r="D5582" t="s">
        <v>23500</v>
      </c>
      <c r="E5582" t="s">
        <v>28320</v>
      </c>
    </row>
    <row r="5583" spans="1:5">
      <c r="A5583" t="s">
        <v>6</v>
      </c>
      <c r="B5583" t="s">
        <v>5588</v>
      </c>
      <c r="C5583">
        <f>HYPERLINK("C:\Users\franc\OneDrive\Documentos\MALENTIN KARIME\MANDATOS JUDICIALES\RENE ALLENDE\MAMERTO DELGADO JOPIA.doc", "Abrir Documento")</f>
        <v>0</v>
      </c>
      <c r="D5583" t="s">
        <v>23500</v>
      </c>
      <c r="E5583" t="s">
        <v>28320</v>
      </c>
    </row>
    <row r="5584" spans="1:5">
      <c r="A5584" t="s">
        <v>6</v>
      </c>
      <c r="B5584" t="s">
        <v>5589</v>
      </c>
      <c r="C5584">
        <f>HYPERLINK("C:\Users\franc\OneDrive\Documentos\MALENTIN KARIME\MANDATOS JUDICIALES\RENE ALLENDE\JEANETTE TABILO.doc", "Abrir Documento")</f>
        <v>0</v>
      </c>
      <c r="D5584" t="s">
        <v>23500</v>
      </c>
      <c r="E5584" t="s">
        <v>28321</v>
      </c>
    </row>
    <row r="5585" spans="1:5">
      <c r="A5585" t="s">
        <v>6</v>
      </c>
      <c r="B5585" t="s">
        <v>5590</v>
      </c>
      <c r="C5585">
        <f>HYPERLINK("C:\Users\franc\OneDrive\Documentos\MALENTIN KARIME\MANDATOS JUDICIALES\RENE ALLENDE\HECTOR BARRAZA.doc", "Abrir Documento")</f>
        <v>0</v>
      </c>
      <c r="D5585" t="s">
        <v>23500</v>
      </c>
      <c r="E5585" t="s">
        <v>28322</v>
      </c>
    </row>
    <row r="5586" spans="1:5">
      <c r="A5586" t="s">
        <v>6</v>
      </c>
      <c r="B5586" t="s">
        <v>5591</v>
      </c>
      <c r="C5586">
        <f>HYPERLINK("C:\Users\franc\OneDrive\Documentos\MALENTIN KARIME\MANDATOS JUDICIALES\RENE ALLENDE\INVERSIONES JUAN PABLO  mandato especial judicial.doc", "Abrir Documento")</f>
        <v>0</v>
      </c>
      <c r="D5586" t="s">
        <v>23500</v>
      </c>
      <c r="E5586" t="s">
        <v>28322</v>
      </c>
    </row>
    <row r="5587" spans="1:5">
      <c r="A5587" t="s">
        <v>6</v>
      </c>
      <c r="B5587" t="s">
        <v>5592</v>
      </c>
      <c r="C5587">
        <f>HYPERLINK("C:\Users\franc\OneDrive\Documentos\MALENTIN KARIME\MANDATOS JUDICIALES\RENE ALLENDE\EXPORTADORA VELEZ.doc", "Abrir Documento")</f>
        <v>0</v>
      </c>
      <c r="D5587" t="s">
        <v>23500</v>
      </c>
      <c r="E5587" t="s">
        <v>28323</v>
      </c>
    </row>
    <row r="5588" spans="1:5">
      <c r="A5588" t="s">
        <v>6</v>
      </c>
      <c r="B5588" t="s">
        <v>5593</v>
      </c>
      <c r="C5588">
        <f>HYPERLINK("C:\Users\franc\OneDrive\Documentos\MALENTIN KARIME\MANDATOS JUDICIALES\RENE ALLENDE\EVA MORGADO.doc", "Abrir Documento")</f>
        <v>0</v>
      </c>
      <c r="D5588" t="s">
        <v>23500</v>
      </c>
      <c r="E5588" t="s">
        <v>28324</v>
      </c>
    </row>
    <row r="5589" spans="1:5">
      <c r="A5589" t="s">
        <v>6</v>
      </c>
      <c r="B5589" t="s">
        <v>5594</v>
      </c>
      <c r="C5589">
        <f>HYPERLINK("C:\Users\franc\OneDrive\Documentos\MALENTIN KARIME\MANDATOS JUDICIALES\RENE ALLENDE\ALBA ORMAZABAL 2019.doc", "Abrir Documento")</f>
        <v>0</v>
      </c>
      <c r="D5589" t="s">
        <v>23500</v>
      </c>
      <c r="E5589" t="s">
        <v>28325</v>
      </c>
    </row>
    <row r="5590" spans="1:5">
      <c r="A5590" t="s">
        <v>6</v>
      </c>
      <c r="B5590" t="s">
        <v>5595</v>
      </c>
      <c r="C5590">
        <f>HYPERLINK("C:\Users\franc\OneDrive\Documentos\MALENTIN KARIME\MANDATOS JUDICIALES\RAUL SALAMANCA\ORLANDO DIAZ DIAZ.doc", "Abrir Documento")</f>
        <v>0</v>
      </c>
      <c r="D5590" t="s">
        <v>23500</v>
      </c>
      <c r="E5590" t="s">
        <v>28326</v>
      </c>
    </row>
    <row r="5591" spans="1:5">
      <c r="A5591" t="s">
        <v>6</v>
      </c>
      <c r="B5591" t="s">
        <v>5596</v>
      </c>
      <c r="C5591">
        <f>HYPERLINK("C:\Users\franc\OneDrive\Documentos\MALENTIN KARIME\MANDATOS JUDICIALES\RENE ALLENDE\ADA VILCHES.doc", "Abrir Documento")</f>
        <v>0</v>
      </c>
      <c r="D5591" t="s">
        <v>23500</v>
      </c>
      <c r="E5591" t="s">
        <v>28326</v>
      </c>
    </row>
    <row r="5592" spans="1:5">
      <c r="A5592" t="s">
        <v>6</v>
      </c>
      <c r="B5592" t="s">
        <v>5597</v>
      </c>
      <c r="C5592">
        <f>HYPERLINK("C:\Users\franc\OneDrive\Documentos\MALENTIN KARIME\MANDATOS JUDICIALES\RAUL SALAMANCA\JUAN DIAZ DIAZ 2021.doc", "Abrir Documento")</f>
        <v>0</v>
      </c>
      <c r="D5592" t="s">
        <v>23500</v>
      </c>
      <c r="E5592" t="s">
        <v>28327</v>
      </c>
    </row>
    <row r="5593" spans="1:5">
      <c r="A5593" t="s">
        <v>6</v>
      </c>
      <c r="B5593" t="s">
        <v>5598</v>
      </c>
      <c r="C5593">
        <f>HYPERLINK("C:\Users\franc\OneDrive\Documentos\MALENTIN KARIME\MANDATOS JUDICIALES\RAUL SALAMANCA\JUAN ORDENEZ ALFARO.doc", "Abrir Documento")</f>
        <v>0</v>
      </c>
      <c r="D5593" t="s">
        <v>23500</v>
      </c>
      <c r="E5593" t="s">
        <v>28327</v>
      </c>
    </row>
    <row r="5594" spans="1:5">
      <c r="A5594" t="s">
        <v>6</v>
      </c>
      <c r="B5594" t="s">
        <v>5599</v>
      </c>
      <c r="C5594">
        <f>HYPERLINK("C:\Users\franc\OneDrive\Documentos\MALENTIN KARIME\MANDATOS JUDICIALES\RAUL SALAMANCA\GRACE CIR A RAUL SALAMANCA.doc", "Abrir Documento")</f>
        <v>0</v>
      </c>
      <c r="D5594" t="s">
        <v>23500</v>
      </c>
      <c r="E5594" t="s">
        <v>28328</v>
      </c>
    </row>
    <row r="5595" spans="1:5">
      <c r="A5595" t="s">
        <v>6</v>
      </c>
      <c r="B5595" t="s">
        <v>5600</v>
      </c>
      <c r="C5595">
        <f>HYPERLINK("C:\Users\franc\OneDrive\Documentos\MALENTIN KARIME\MANDATOS JUDICIALES\RAUL SALAMANCA\CRISTIAN VAN DER A RAUL SALAMANCA.doc", "Abrir Documento")</f>
        <v>0</v>
      </c>
      <c r="D5595" t="s">
        <v>23500</v>
      </c>
      <c r="E5595" t="s">
        <v>28329</v>
      </c>
    </row>
    <row r="5596" spans="1:5">
      <c r="A5596" t="s">
        <v>6</v>
      </c>
      <c r="B5596" t="s">
        <v>5601</v>
      </c>
      <c r="C5596">
        <f>HYPERLINK("C:\Users\franc\OneDrive\Documentos\MALENTIN KARIME\MANDATOS JUDICIALES\RAUL RIVERA\SULAYDA CASTRO.docx", "Abrir Documento")</f>
        <v>0</v>
      </c>
      <c r="D5596" t="s">
        <v>23501</v>
      </c>
      <c r="E5596" t="s">
        <v>28330</v>
      </c>
    </row>
    <row r="5597" spans="1:5">
      <c r="A5597" t="s">
        <v>6</v>
      </c>
      <c r="B5597" t="s">
        <v>5602</v>
      </c>
      <c r="C5597">
        <f>HYPERLINK("C:\Users\franc\OneDrive\Documentos\MALENTIN KARIME\MANDATOS JUDICIALES\RAUL RIVERA\KATHERINE AVALOS.doc", "Abrir Documento")</f>
        <v>0</v>
      </c>
      <c r="D5597" t="s">
        <v>23500</v>
      </c>
      <c r="E5597" t="s">
        <v>28331</v>
      </c>
    </row>
    <row r="5598" spans="1:5">
      <c r="A5598" t="s">
        <v>6</v>
      </c>
      <c r="B5598" t="s">
        <v>5603</v>
      </c>
      <c r="C5598">
        <f>HYPERLINK("C:\Users\franc\OneDrive\Documentos\MALENTIN KARIME\MANDATOS JUDICIALES\RAUL MORALES VASQUEZ\VERONICA ARAYA A JORGE LENA.doc", "Abrir Documento")</f>
        <v>0</v>
      </c>
      <c r="D5598" t="s">
        <v>23500</v>
      </c>
      <c r="E5598" t="s">
        <v>28332</v>
      </c>
    </row>
    <row r="5599" spans="1:5">
      <c r="A5599" t="s">
        <v>6</v>
      </c>
      <c r="B5599" t="s">
        <v>5604</v>
      </c>
      <c r="C5599">
        <f>HYPERLINK("C:\Users\franc\OneDrive\Documentos\MALENTIN KARIME\MANDATOS JUDICIALES\raph sommerfeld\MIRTA IRIARTE.doc", "Abrir Documento")</f>
        <v>0</v>
      </c>
      <c r="D5599" t="s">
        <v>23500</v>
      </c>
      <c r="E5599" t="s">
        <v>28333</v>
      </c>
    </row>
    <row r="5600" spans="1:5">
      <c r="A5600" t="s">
        <v>6</v>
      </c>
      <c r="B5600" t="s">
        <v>5605</v>
      </c>
      <c r="C5600">
        <f>HYPERLINK("C:\Users\franc\OneDrive\Documentos\MALENTIN KARIME\MANDATOS JUDICIALES\raph sommerfeld\MIRTA IRIARTE II Parte.doc", "Abrir Documento")</f>
        <v>0</v>
      </c>
      <c r="D5600" t="s">
        <v>23500</v>
      </c>
      <c r="E5600" t="s">
        <v>28334</v>
      </c>
    </row>
    <row r="5601" spans="1:5">
      <c r="A5601" t="s">
        <v>6</v>
      </c>
      <c r="B5601" t="s">
        <v>5606</v>
      </c>
      <c r="C5601">
        <f>HYPERLINK("C:\Users\franc\OneDrive\Documentos\MALENTIN KARIME\MANDATOS JUDICIALES\PEDRO GUTIERREZ\HUGO ARAYA HERRERO.doc", "Abrir Documento")</f>
        <v>0</v>
      </c>
      <c r="D5601" t="s">
        <v>23500</v>
      </c>
      <c r="E5601" t="s">
        <v>28335</v>
      </c>
    </row>
    <row r="5602" spans="1:5">
      <c r="A5602" t="s">
        <v>6</v>
      </c>
      <c r="B5602" t="s">
        <v>5607</v>
      </c>
      <c r="C5602">
        <f>HYPERLINK("C:\Users\franc\OneDrive\Documentos\MALENTIN KARIME\MANDATOS JUDICIALES\PEDRO GUTIERREZ\PATRICIO RAMIREZ QUIROZ.doc", "Abrir Documento")</f>
        <v>0</v>
      </c>
      <c r="D5602" t="s">
        <v>23500</v>
      </c>
      <c r="E5602" t="s">
        <v>28335</v>
      </c>
    </row>
    <row r="5603" spans="1:5">
      <c r="A5603" t="s">
        <v>6</v>
      </c>
      <c r="B5603" t="s">
        <v>5608</v>
      </c>
      <c r="C5603">
        <f>HYPERLINK("C:\Users\franc\OneDrive\Documentos\MALENTIN KARIME\MANDATOS JUDICIALES\PATRICIA CASTRO\Esmilda Rubina.doc", "Abrir Documento")</f>
        <v>0</v>
      </c>
      <c r="D5603" t="s">
        <v>23500</v>
      </c>
      <c r="E5603" t="s">
        <v>28336</v>
      </c>
    </row>
    <row r="5604" spans="1:5">
      <c r="A5604" t="s">
        <v>6</v>
      </c>
      <c r="B5604" t="s">
        <v>5609</v>
      </c>
      <c r="C5604">
        <f>HYPERLINK("C:\Users\franc\OneDrive\Documentos\MALENTIN KARIME\MANDATOS JUDICIALES\PATRICIA CASTRO\Esmilda Rubina modelo.doc", "Abrir Documento")</f>
        <v>0</v>
      </c>
      <c r="D5604" t="s">
        <v>23500</v>
      </c>
      <c r="E5604" t="s">
        <v>28337</v>
      </c>
    </row>
    <row r="5605" spans="1:5">
      <c r="A5605" t="s">
        <v>6</v>
      </c>
      <c r="B5605" t="s">
        <v>5610</v>
      </c>
      <c r="C5605">
        <f>HYPERLINK("C:\Users\franc\OneDrive\Documentos\MALENTIN KARIME\MANDATOS JUDICIALES\PATRICIA ALFARO\VERONICA INES ZEPEDA ARAYA.doc", "Abrir Documento")</f>
        <v>0</v>
      </c>
      <c r="D5605" t="s">
        <v>23500</v>
      </c>
      <c r="E5605" t="s">
        <v>28338</v>
      </c>
    </row>
    <row r="5606" spans="1:5">
      <c r="A5606" t="s">
        <v>6</v>
      </c>
      <c r="B5606" t="s">
        <v>5611</v>
      </c>
      <c r="C5606">
        <f>HYPERLINK("C:\Users\franc\OneDrive\Documentos\MALENTIN KARIME\MANDATOS JUDICIALES\PATRICIA ALFARO\SOLANGE ALVAREZ 2019.doc", "Abrir Documento")</f>
        <v>0</v>
      </c>
      <c r="D5606" t="s">
        <v>23500</v>
      </c>
      <c r="E5606" t="s">
        <v>28339</v>
      </c>
    </row>
    <row r="5607" spans="1:5">
      <c r="A5607" t="s">
        <v>6</v>
      </c>
      <c r="B5607" t="s">
        <v>5612</v>
      </c>
      <c r="C5607">
        <f>HYPERLINK("C:\Users\franc\OneDrive\Documentos\MALENTIN KARIME\MANDATOS JUDICIALES\PATRICIA ALFARO\SILVIA ROJAS SARRIA.doc", "Abrir Documento")</f>
        <v>0</v>
      </c>
      <c r="D5607" t="s">
        <v>23500</v>
      </c>
      <c r="E5607" t="s">
        <v>28340</v>
      </c>
    </row>
    <row r="5608" spans="1:5">
      <c r="A5608" t="s">
        <v>6</v>
      </c>
      <c r="B5608" t="s">
        <v>5613</v>
      </c>
      <c r="C5608">
        <f>HYPERLINK("C:\Users\franc\OneDrive\Documentos\MALENTIN KARIME\MANDATOS JUDICIALES\PATRICIA ALFARO\MODELO.doc", "Abrir Documento")</f>
        <v>0</v>
      </c>
      <c r="D5608" t="s">
        <v>23500</v>
      </c>
      <c r="E5608" t="s">
        <v>28341</v>
      </c>
    </row>
    <row r="5609" spans="1:5">
      <c r="A5609" t="s">
        <v>6</v>
      </c>
      <c r="B5609" t="s">
        <v>5614</v>
      </c>
      <c r="C5609">
        <f>HYPERLINK("C:\Users\franc\OneDrive\Documentos\MALENTIN KARIME\MANDATOS JUDICIALES\PATRICIA ALFARO\PERSONAL Patty Alfaro.doc", "Abrir Documento")</f>
        <v>0</v>
      </c>
      <c r="D5609" t="s">
        <v>23500</v>
      </c>
      <c r="E5609" t="s">
        <v>28341</v>
      </c>
    </row>
    <row r="5610" spans="1:5">
      <c r="A5610" t="s">
        <v>6</v>
      </c>
      <c r="B5610" t="s">
        <v>5615</v>
      </c>
      <c r="C5610">
        <f>HYPERLINK("C:\Users\franc\OneDrive\Documentos\MALENTIN KARIME\MANDATOS JUDICIALES\PATRICIA ALFARO\MIRIAM AVILA.doc", "Abrir Documento")</f>
        <v>0</v>
      </c>
      <c r="D5610" t="s">
        <v>23500</v>
      </c>
      <c r="E5610" t="s">
        <v>28342</v>
      </c>
    </row>
    <row r="5611" spans="1:5">
      <c r="A5611" t="s">
        <v>6</v>
      </c>
      <c r="B5611" t="s">
        <v>5616</v>
      </c>
      <c r="C5611">
        <f>HYPERLINK("C:\Users\franc\OneDrive\Documentos\MALENTIN KARIME\MANDATOS JUDICIALES\PATRICIA ALFARO\MARIO PIZARRO A VIVIANA ALFARO.doc", "Abrir Documento")</f>
        <v>0</v>
      </c>
      <c r="D5611" t="s">
        <v>23500</v>
      </c>
      <c r="E5611" t="s">
        <v>28343</v>
      </c>
    </row>
    <row r="5612" spans="1:5">
      <c r="A5612" t="s">
        <v>6</v>
      </c>
      <c r="B5612" t="s">
        <v>5617</v>
      </c>
      <c r="C5612">
        <f>HYPERLINK("C:\Users\franc\OneDrive\Documentos\MALENTIN KARIME\MANDATOS JUDICIALES\PATRICIA ALFARO\MARIO DIAZ 2018.doc", "Abrir Documento")</f>
        <v>0</v>
      </c>
      <c r="D5612" t="s">
        <v>23500</v>
      </c>
      <c r="E5612" t="s">
        <v>28344</v>
      </c>
    </row>
    <row r="5613" spans="1:5">
      <c r="A5613" t="s">
        <v>6</v>
      </c>
      <c r="B5613" t="s">
        <v>5618</v>
      </c>
      <c r="C5613">
        <f>HYPERLINK("C:\Users\franc\OneDrive\Documentos\MALENTIN KARIME\MANDATOS JUDICIALES\PATRICIA ALFARO\JINCONG DENG.doc", "Abrir Documento")</f>
        <v>0</v>
      </c>
      <c r="D5613" t="s">
        <v>23500</v>
      </c>
      <c r="E5613" t="s">
        <v>28345</v>
      </c>
    </row>
    <row r="5614" spans="1:5">
      <c r="A5614" t="s">
        <v>6</v>
      </c>
      <c r="B5614" t="s">
        <v>5619</v>
      </c>
      <c r="C5614">
        <f>HYPERLINK("C:\Users\franc\OneDrive\Documentos\MALENTIN KARIME\MANDATOS JUDICIALES\PATRICIA ALFARO\JUAN CORTES MURA.doc", "Abrir Documento")</f>
        <v>0</v>
      </c>
      <c r="D5614" t="s">
        <v>23500</v>
      </c>
      <c r="E5614" t="s">
        <v>28345</v>
      </c>
    </row>
    <row r="5615" spans="1:5">
      <c r="A5615" t="s">
        <v>6</v>
      </c>
      <c r="B5615" t="s">
        <v>5620</v>
      </c>
      <c r="C5615">
        <f>HYPERLINK("C:\Users\franc\OneDrive\Documentos\MALENTIN KARIME\MANDATOS JUDICIALES\PATRICIA ALFARO\FUL BUSS.doc", "Abrir Documento")</f>
        <v>0</v>
      </c>
      <c r="D5615" t="s">
        <v>23500</v>
      </c>
      <c r="E5615" t="s">
        <v>28346</v>
      </c>
    </row>
    <row r="5616" spans="1:5">
      <c r="A5616" t="s">
        <v>6</v>
      </c>
      <c r="B5616" t="s">
        <v>5621</v>
      </c>
      <c r="C5616">
        <f>HYPERLINK("C:\Users\franc\OneDrive\Documentos\MALENTIN KARIME\MANDATOS JUDICIALES\PATRICIA ALFARO\CRISTIAN LOPEZ PORTILLA.doc", "Abrir Documento")</f>
        <v>0</v>
      </c>
      <c r="D5616" t="s">
        <v>23500</v>
      </c>
      <c r="E5616" t="s">
        <v>28347</v>
      </c>
    </row>
    <row r="5617" spans="1:5">
      <c r="A5617" t="s">
        <v>6</v>
      </c>
      <c r="B5617" t="s">
        <v>5622</v>
      </c>
      <c r="C5617">
        <f>HYPERLINK("C:\Users\franc\OneDrive\Documentos\MALENTIN KARIME\MANDATOS JUDICIALES\PABLO VEGA ETCHEVERRY\RONALD LANAS.doc", "Abrir Documento")</f>
        <v>0</v>
      </c>
      <c r="D5617" t="s">
        <v>23500</v>
      </c>
      <c r="E5617" t="s">
        <v>28348</v>
      </c>
    </row>
    <row r="5618" spans="1:5">
      <c r="A5618" t="s">
        <v>6</v>
      </c>
      <c r="B5618" t="s">
        <v>5623</v>
      </c>
      <c r="C5618">
        <f>HYPERLINK("C:\Users\franc\OneDrive\Documentos\MALENTIN KARIME\MANDATOS JUDICIALES\PABLO VEGA ETCHEVERRY\RONALD LANAS copia.doc", "Abrir Documento")</f>
        <v>0</v>
      </c>
      <c r="D5618" t="s">
        <v>23500</v>
      </c>
      <c r="E5618" t="s">
        <v>28349</v>
      </c>
    </row>
    <row r="5619" spans="1:5">
      <c r="A5619" t="s">
        <v>6</v>
      </c>
      <c r="B5619" t="s">
        <v>5624</v>
      </c>
      <c r="C5619">
        <f>HYPERLINK("C:\Users\franc\OneDrive\Documentos\MALENTIN KARIME\MANDATOS JUDICIALES\PABLO BARRANTES\PAMELA CORTES.doc", "Abrir Documento")</f>
        <v>0</v>
      </c>
      <c r="D5619" t="s">
        <v>23500</v>
      </c>
      <c r="E5619" t="s">
        <v>28350</v>
      </c>
    </row>
    <row r="5620" spans="1:5">
      <c r="A5620" t="s">
        <v>6</v>
      </c>
      <c r="B5620" t="s">
        <v>5625</v>
      </c>
      <c r="C5620">
        <f>HYPERLINK("C:\Users\franc\OneDrive\Documentos\MALENTIN KARIME\MANDATOS JUDICIALES\PABLO BARRANTES\MARCIA VEGA VALDIVIA.doc", "Abrir Documento")</f>
        <v>0</v>
      </c>
      <c r="D5620" t="s">
        <v>23500</v>
      </c>
      <c r="E5620" t="s">
        <v>28351</v>
      </c>
    </row>
    <row r="5621" spans="1:5">
      <c r="A5621" t="s">
        <v>6</v>
      </c>
      <c r="B5621" t="s">
        <v>5626</v>
      </c>
      <c r="C5621">
        <f>HYPERLINK("C:\Users\franc\OneDrive\Documentos\MALENTIN KARIME\MANDATOS JUDICIALES\NATALIA ESPINOZA\JULIAN MORATA G.doc", "Abrir Documento")</f>
        <v>0</v>
      </c>
      <c r="D5621" t="s">
        <v>23500</v>
      </c>
      <c r="E5621" t="s">
        <v>28352</v>
      </c>
    </row>
    <row r="5622" spans="1:5">
      <c r="A5622" t="s">
        <v>6</v>
      </c>
      <c r="B5622" t="s">
        <v>5627</v>
      </c>
      <c r="C5622">
        <f>HYPERLINK("C:\Users\franc\OneDrive\Documentos\MALENTIN KARIME\MANDATOS JUDICIALES\MIGUEL ANGEL SANHUEZA\JOSE TORREJON VILLALOBOS.doc", "Abrir Documento")</f>
        <v>0</v>
      </c>
      <c r="D5622" t="s">
        <v>23500</v>
      </c>
      <c r="E5622" t="s">
        <v>28353</v>
      </c>
    </row>
    <row r="5623" spans="1:5">
      <c r="A5623" t="s">
        <v>6</v>
      </c>
      <c r="B5623" t="s">
        <v>5628</v>
      </c>
      <c r="C5623">
        <f>HYPERLINK("C:\Users\franc\OneDrive\Documentos\MALENTIN KARIME\MANDATOS JUDICIALES\MIGUEL ANGEL SANHUEZA\EDUARDO MILLA TRIGOS.doc", "Abrir Documento")</f>
        <v>0</v>
      </c>
      <c r="D5623" t="s">
        <v>23500</v>
      </c>
      <c r="E5623" t="s">
        <v>28354</v>
      </c>
    </row>
    <row r="5624" spans="1:5">
      <c r="A5624" t="s">
        <v>6</v>
      </c>
      <c r="B5624" t="s">
        <v>5629</v>
      </c>
      <c r="C5624">
        <f>HYPERLINK("C:\Users\franc\OneDrive\Documentos\MALENTIN KARIME\MANDATOS JUDICIALES\MIGUEL ANGEL\RODRIGO FLORES.doc", "Abrir Documento")</f>
        <v>0</v>
      </c>
      <c r="D5624" t="s">
        <v>23500</v>
      </c>
      <c r="E5624" t="s">
        <v>28355</v>
      </c>
    </row>
    <row r="5625" spans="1:5">
      <c r="A5625" t="s">
        <v>6</v>
      </c>
      <c r="B5625" t="s">
        <v>5630</v>
      </c>
      <c r="C5625">
        <f>HYPERLINK("C:\Users\franc\OneDrive\Documentos\MALENTIN KARIME\MANDATOS JUDICIALES\MERCEDES VALDIVIA\OTILIA OCHOA VALENCIA.doc", "Abrir Documento")</f>
        <v>0</v>
      </c>
      <c r="D5625" t="s">
        <v>23500</v>
      </c>
      <c r="E5625" t="s">
        <v>28356</v>
      </c>
    </row>
    <row r="5626" spans="1:5">
      <c r="A5626" t="s">
        <v>6</v>
      </c>
      <c r="B5626" t="s">
        <v>5631</v>
      </c>
      <c r="C5626">
        <f>HYPERLINK("C:\Users\franc\OneDrive\Documentos\MALENTIN KARIME\MANDATOS JUDICIALES\MAX MUÑOZ\not_rcabreraalb_Copia Escritura - MANDATO JUDICIAL_123456805791.pdf", "Abrir Documento")</f>
        <v>0</v>
      </c>
      <c r="D5626" t="s">
        <v>23501</v>
      </c>
      <c r="E5626" t="s">
        <v>28357</v>
      </c>
    </row>
    <row r="5627" spans="1:5">
      <c r="A5627" t="s">
        <v>6</v>
      </c>
      <c r="B5627" t="s">
        <v>5632</v>
      </c>
      <c r="C5627">
        <f>HYPERLINK("C:\Users\franc\OneDrive\Documentos\MALENTIN KARIME\MANDATOS JUDICIALES\MAX MUÑOZ\SULAYDA CASTRO A MAX MUÑOZ.doc", "Abrir Documento")</f>
        <v>0</v>
      </c>
      <c r="D5627" t="s">
        <v>23500</v>
      </c>
      <c r="E5627" t="s">
        <v>28357</v>
      </c>
    </row>
    <row r="5628" spans="1:5">
      <c r="A5628" t="s">
        <v>6</v>
      </c>
      <c r="B5628" t="s">
        <v>5633</v>
      </c>
      <c r="C5628">
        <f>HYPERLINK("C:\Users\franc\OneDrive\Documentos\MALENTIN KARIME\MANDATOS JUDICIALES\MAX MUÑOZ\MANDATO JUDICIAL SULAYDA CASTRO del correo.docx", "Abrir Documento")</f>
        <v>0</v>
      </c>
      <c r="D5628" t="s">
        <v>23501</v>
      </c>
      <c r="E5628" t="s">
        <v>28358</v>
      </c>
    </row>
    <row r="5629" spans="1:5">
      <c r="A5629" t="s">
        <v>6</v>
      </c>
      <c r="B5629" t="s">
        <v>5634</v>
      </c>
      <c r="C5629">
        <f>HYPERLINK("C:\Users\franc\OneDrive\Documentos\MALENTIN KARIME\MANDATOS JUDICIALES\MARITZA RETAMAL\MARIANELA CAMPUSANO.doc", "Abrir Documento")</f>
        <v>0</v>
      </c>
      <c r="D5629" t="s">
        <v>23500</v>
      </c>
      <c r="E5629" t="s">
        <v>28359</v>
      </c>
    </row>
    <row r="5630" spans="1:5">
      <c r="A5630" t="s">
        <v>6</v>
      </c>
      <c r="B5630" t="s">
        <v>5635</v>
      </c>
      <c r="C5630">
        <f>HYPERLINK("C:\Users\franc\OneDrive\Documentos\MALENTIN KARIME\MANDATOS JUDICIALES\MARITZA RETAMAL\LUCY LOPEZ 2018.doc", "Abrir Documento")</f>
        <v>0</v>
      </c>
      <c r="D5630" t="s">
        <v>23500</v>
      </c>
      <c r="E5630" t="s">
        <v>28360</v>
      </c>
    </row>
    <row r="5631" spans="1:5">
      <c r="A5631" t="s">
        <v>6</v>
      </c>
      <c r="B5631" t="s">
        <v>5636</v>
      </c>
      <c r="C5631">
        <f>HYPERLINK("C:\Users\franc\OneDrive\Documentos\MALENTIN KARIME\MANDATOS JUDICIALES\MARITZA RETAMAL\CONSTRUCTORA OLIVARES Y CORTES Y CIA..doc", "Abrir Documento")</f>
        <v>0</v>
      </c>
      <c r="D5631" t="s">
        <v>23500</v>
      </c>
      <c r="E5631" t="s">
        <v>28361</v>
      </c>
    </row>
    <row r="5632" spans="1:5">
      <c r="A5632" t="s">
        <v>6</v>
      </c>
      <c r="B5632" t="s">
        <v>5637</v>
      </c>
      <c r="C5632">
        <f>HYPERLINK("C:\Users\franc\OneDrive\Documentos\MALENTIN KARIME\MANDATOS JUDICIALES\MARITZA RETAMAL\CLAUDIO ALFARO ROJAS.doc", "Abrir Documento")</f>
        <v>0</v>
      </c>
      <c r="D5632" t="s">
        <v>23500</v>
      </c>
      <c r="E5632" t="s">
        <v>28362</v>
      </c>
    </row>
    <row r="5633" spans="1:5">
      <c r="A5633" t="s">
        <v>6</v>
      </c>
      <c r="B5633" t="s">
        <v>5638</v>
      </c>
      <c r="C5633">
        <f>HYPERLINK("C:\Users\franc\OneDrive\Documentos\MALENTIN KARIME\MANDATOS JUDICIALES\MARITZA RETAMAL\ADRIAN ELORZA 2021.doc", "Abrir Documento")</f>
        <v>0</v>
      </c>
      <c r="D5633" t="s">
        <v>23500</v>
      </c>
      <c r="E5633" t="s">
        <v>28363</v>
      </c>
    </row>
    <row r="5634" spans="1:5">
      <c r="A5634" t="s">
        <v>6</v>
      </c>
      <c r="B5634" t="s">
        <v>5639</v>
      </c>
      <c r="C5634">
        <f>HYPERLINK("C:\Users\franc\OneDrive\Documentos\MALENTIN KARIME\MANDATOS JUDICIALES\MARIO RODRIGUEZ\YANET PIZARRO 2017.doc", "Abrir Documento")</f>
        <v>0</v>
      </c>
      <c r="D5634" t="s">
        <v>23500</v>
      </c>
      <c r="E5634" t="s">
        <v>28364</v>
      </c>
    </row>
    <row r="5635" spans="1:5">
      <c r="A5635" t="s">
        <v>6</v>
      </c>
      <c r="B5635" t="s">
        <v>5640</v>
      </c>
      <c r="C5635">
        <f>HYPERLINK("C:\Users\franc\OneDrive\Documentos\MALENTIN KARIME\MANDATOS JUDICIALES\MARIO RODRIGUEZ\sucesion UREN.doc", "Abrir Documento")</f>
        <v>0</v>
      </c>
      <c r="D5635" t="s">
        <v>23500</v>
      </c>
      <c r="E5635" t="s">
        <v>28365</v>
      </c>
    </row>
    <row r="5636" spans="1:5">
      <c r="A5636" t="s">
        <v>6</v>
      </c>
      <c r="B5636" t="s">
        <v>5641</v>
      </c>
      <c r="C5636">
        <f>HYPERLINK("C:\Users\franc\OneDrive\Documentos\MALENTIN KARIME\MANDATOS JUDICIALES\MARIO RODRIGUEZ\sucesion UREN varios.doc", "Abrir Documento")</f>
        <v>0</v>
      </c>
      <c r="D5636" t="s">
        <v>23500</v>
      </c>
      <c r="E5636" t="s">
        <v>28366</v>
      </c>
    </row>
    <row r="5637" spans="1:5">
      <c r="A5637" t="s">
        <v>6</v>
      </c>
      <c r="B5637" t="s">
        <v>5642</v>
      </c>
      <c r="C5637">
        <f>HYPERLINK("C:\Users\franc\OneDrive\Documentos\MALENTIN KARIME\MANDATOS JUDICIALES\MARIO RODRIGUEZ\sucesion UREN menores de edad varios.doc", "Abrir Documento")</f>
        <v>0</v>
      </c>
      <c r="D5637" t="s">
        <v>23500</v>
      </c>
      <c r="E5637" t="s">
        <v>28367</v>
      </c>
    </row>
    <row r="5638" spans="1:5">
      <c r="A5638" t="s">
        <v>6</v>
      </c>
      <c r="B5638" t="s">
        <v>5643</v>
      </c>
      <c r="C5638">
        <f>HYPERLINK("C:\Users\franc\OneDrive\Documentos\MALENTIN KARIME\MANDATOS JUDICIALES\MARIO RODRIGUEZ\MARIO VALDIVIA Y OTRO.doc", "Abrir Documento")</f>
        <v>0</v>
      </c>
      <c r="D5638" t="s">
        <v>23500</v>
      </c>
      <c r="E5638" t="s">
        <v>28368</v>
      </c>
    </row>
    <row r="5639" spans="1:5">
      <c r="A5639" t="s">
        <v>6</v>
      </c>
      <c r="B5639" t="s">
        <v>5644</v>
      </c>
      <c r="C5639">
        <f>HYPERLINK("C:\Users\franc\OneDrive\Documentos\MALENTIN KARIME\MANDATOS JUDICIALES\MARIO RODRIGUEZ\LUIS CARRASCO GUERRA.doc", "Abrir Documento")</f>
        <v>0</v>
      </c>
      <c r="D5639" t="s">
        <v>23500</v>
      </c>
      <c r="E5639" t="s">
        <v>28369</v>
      </c>
    </row>
    <row r="5640" spans="1:5">
      <c r="A5640" t="s">
        <v>6</v>
      </c>
      <c r="B5640" t="s">
        <v>5645</v>
      </c>
      <c r="C5640">
        <f>HYPERLINK("C:\Users\franc\OneDrive\Documentos\MALENTIN KARIME\MANDATOS JUDICIALES\MARIO RODRIGUEZ\JUAN LUENGO GAJARDO.doc", "Abrir Documento")</f>
        <v>0</v>
      </c>
      <c r="D5640" t="s">
        <v>23500</v>
      </c>
      <c r="E5640" t="s">
        <v>28370</v>
      </c>
    </row>
    <row r="5641" spans="1:5">
      <c r="A5641" t="s">
        <v>6</v>
      </c>
      <c r="B5641" t="s">
        <v>5646</v>
      </c>
      <c r="C5641">
        <f>HYPERLINK("C:\Users\franc\OneDrive\Documentos\MALENTIN KARIME\MANDATOS JUDICIALES\MARIO RODRIGUEZ\JESSICA RIVERA AGUIRRE.doc", "Abrir Documento")</f>
        <v>0</v>
      </c>
      <c r="D5641" t="s">
        <v>23500</v>
      </c>
      <c r="E5641" t="s">
        <v>28371</v>
      </c>
    </row>
    <row r="5642" spans="1:5">
      <c r="A5642" t="s">
        <v>6</v>
      </c>
      <c r="B5642" t="s">
        <v>5647</v>
      </c>
      <c r="C5642">
        <f>HYPERLINK("C:\Users\franc\OneDrive\Documentos\MALENTIN KARIME\MANDATOS JUDICIALES\MARIO RODRIGUEZ\HUMBERTO CONTRERAS CONTRERAS.doc", "Abrir Documento")</f>
        <v>0</v>
      </c>
      <c r="D5642" t="s">
        <v>23500</v>
      </c>
      <c r="E5642" t="s">
        <v>28372</v>
      </c>
    </row>
    <row r="5643" spans="1:5">
      <c r="A5643" t="s">
        <v>6</v>
      </c>
      <c r="B5643" t="s">
        <v>5648</v>
      </c>
      <c r="C5643">
        <f>HYPERLINK("C:\Users\franc\OneDrive\Documentos\MALENTIN KARIME\MANDATOS JUDICIALES\MARIO RODRIGUEZ\EMA GALLARDO.doc", "Abrir Documento")</f>
        <v>0</v>
      </c>
      <c r="D5643" t="s">
        <v>23500</v>
      </c>
      <c r="E5643" t="s">
        <v>28373</v>
      </c>
    </row>
    <row r="5644" spans="1:5">
      <c r="A5644" t="s">
        <v>6</v>
      </c>
      <c r="B5644" t="s">
        <v>5649</v>
      </c>
      <c r="C5644">
        <f>HYPERLINK("C:\Users\franc\OneDrive\Documentos\MALENTIN KARIME\MANDATOS JUDICIALES\MARIO RODRIGUEZ\Datos Mario Rodriguez.doc", "Abrir Documento")</f>
        <v>0</v>
      </c>
      <c r="D5644" t="s">
        <v>23500</v>
      </c>
      <c r="E5644" t="s">
        <v>28374</v>
      </c>
    </row>
    <row r="5645" spans="1:5">
      <c r="A5645" t="s">
        <v>6</v>
      </c>
      <c r="B5645" t="s">
        <v>5650</v>
      </c>
      <c r="C5645">
        <f>HYPERLINK("C:\Users\franc\OneDrive\Documentos\MALENTIN KARIME\MANDATOS JUDICIALES\MARIO RODRIGUEZ\CLAUDIO ANDRADE.doc", "Abrir Documento")</f>
        <v>0</v>
      </c>
      <c r="D5645" t="s">
        <v>23500</v>
      </c>
      <c r="E5645" t="s">
        <v>28375</v>
      </c>
    </row>
    <row r="5646" spans="1:5">
      <c r="A5646" t="s">
        <v>6</v>
      </c>
      <c r="B5646" t="s">
        <v>5651</v>
      </c>
      <c r="C5646">
        <f>HYPERLINK("C:\Users\franc\OneDrive\Documentos\MALENTIN KARIME\MANDATOS JUDICIALES\MARIO RODRIGUEZ\CLAUDIO ANDRADE dir nueve.doc", "Abrir Documento")</f>
        <v>0</v>
      </c>
      <c r="D5646" t="s">
        <v>23500</v>
      </c>
      <c r="E5646" t="s">
        <v>28376</v>
      </c>
    </row>
    <row r="5647" spans="1:5">
      <c r="A5647" t="s">
        <v>6</v>
      </c>
      <c r="B5647" t="s">
        <v>5652</v>
      </c>
      <c r="C5647">
        <f>HYPERLINK("C:\Users\franc\OneDrive\Documentos\MALENTIN KARIME\MANDATOS JUDICIALES\MARIO RODRIGUEZ\ANTONIA RODRIGUEZ ACUÑA.doc", "Abrir Documento")</f>
        <v>0</v>
      </c>
      <c r="D5647" t="s">
        <v>23500</v>
      </c>
      <c r="E5647" t="s">
        <v>28377</v>
      </c>
    </row>
    <row r="5648" spans="1:5">
      <c r="A5648" t="s">
        <v>6</v>
      </c>
      <c r="B5648" t="s">
        <v>5653</v>
      </c>
      <c r="C5648">
        <f>HYPERLINK("C:\Users\franc\OneDrive\Documentos\MALENTIN KARIME\MANDATOS JUDICIALES\MARIO RODRIGUEZ\ANA LAZO VILLAR.doc", "Abrir Documento")</f>
        <v>0</v>
      </c>
      <c r="D5648" t="s">
        <v>23500</v>
      </c>
      <c r="E5648" t="s">
        <v>28378</v>
      </c>
    </row>
    <row r="5649" spans="1:5">
      <c r="A5649" t="s">
        <v>6</v>
      </c>
      <c r="B5649" t="s">
        <v>5654</v>
      </c>
      <c r="C5649">
        <f>HYPERLINK("C:\Users\franc\OneDrive\Documentos\MALENTIN KARIME\MANDATOS JUDICIALES\MARIO RODRIGUEZ\ALEJANDRO CARRASCO.doc", "Abrir Documento")</f>
        <v>0</v>
      </c>
      <c r="D5649" t="s">
        <v>23500</v>
      </c>
      <c r="E5649" t="s">
        <v>28379</v>
      </c>
    </row>
    <row r="5650" spans="1:5">
      <c r="A5650" t="s">
        <v>6</v>
      </c>
      <c r="B5650" t="s">
        <v>5655</v>
      </c>
      <c r="C5650">
        <f>HYPERLINK("C:\Users\franc\OneDrive\Documentos\MALENTIN KARIME\MANDATOS JUDICIALES\MARIO BARRIOS\SERGIO ARAYA GARCIA Minuta.doc", "Abrir Documento")</f>
        <v>0</v>
      </c>
      <c r="D5650" t="s">
        <v>23500</v>
      </c>
      <c r="E5650" t="s">
        <v>28380</v>
      </c>
    </row>
    <row r="5651" spans="1:5">
      <c r="A5651" t="s">
        <v>6</v>
      </c>
      <c r="B5651" t="s">
        <v>5656</v>
      </c>
      <c r="C5651">
        <f>HYPERLINK("C:\Users\franc\OneDrive\Documentos\MALENTIN KARIME\MANDATOS JUDICIALES\MARIO BARRIOS\NORMA DURAN.doc", "Abrir Documento")</f>
        <v>0</v>
      </c>
      <c r="D5651" t="s">
        <v>23500</v>
      </c>
      <c r="E5651" t="s">
        <v>28381</v>
      </c>
    </row>
    <row r="5652" spans="1:5">
      <c r="A5652" t="s">
        <v>6</v>
      </c>
      <c r="B5652" t="s">
        <v>5657</v>
      </c>
      <c r="C5652">
        <f>HYPERLINK("C:\Users\franc\OneDrive\Documentos\MALENTIN KARIME\MANDATOS JUDICIALES\MARIO BARRIOS\NELSON CONTRERAS.doc", "Abrir Documento")</f>
        <v>0</v>
      </c>
      <c r="D5652" t="s">
        <v>23500</v>
      </c>
      <c r="E5652" t="s">
        <v>28382</v>
      </c>
    </row>
    <row r="5653" spans="1:5">
      <c r="A5653" t="s">
        <v>6</v>
      </c>
      <c r="B5653" t="s">
        <v>5658</v>
      </c>
      <c r="C5653">
        <f>HYPERLINK("C:\Users\franc\OneDrive\Documentos\MALENTIN KARIME\MANDATOS JUDICIALES\MARIO BARRIOS\MARCELO MERCADO.doc", "Abrir Documento")</f>
        <v>0</v>
      </c>
      <c r="D5653" t="s">
        <v>23500</v>
      </c>
      <c r="E5653" t="s">
        <v>28383</v>
      </c>
    </row>
    <row r="5654" spans="1:5">
      <c r="A5654" t="s">
        <v>6</v>
      </c>
      <c r="B5654" t="s">
        <v>5659</v>
      </c>
      <c r="C5654">
        <f>HYPERLINK("C:\Users\franc\OneDrive\Documentos\MALENTIN KARIME\MANDATOS JUDICIALES\MARIO BARRIOS\LUISA GONZALEZ.doc", "Abrir Documento")</f>
        <v>0</v>
      </c>
      <c r="D5654" t="s">
        <v>23500</v>
      </c>
      <c r="E5654" t="s">
        <v>28384</v>
      </c>
    </row>
    <row r="5655" spans="1:5">
      <c r="A5655" t="s">
        <v>6</v>
      </c>
      <c r="B5655" t="s">
        <v>5660</v>
      </c>
      <c r="C5655">
        <f>HYPERLINK("C:\Users\franc\OneDrive\Documentos\MALENTIN KARIME\MANDATOS JUDICIALES\MARIO BARRIOS\JANET CARVAJAL SOLIS.doc", "Abrir Documento")</f>
        <v>0</v>
      </c>
      <c r="D5655" t="s">
        <v>23500</v>
      </c>
      <c r="E5655" t="s">
        <v>28385</v>
      </c>
    </row>
    <row r="5656" spans="1:5">
      <c r="A5656" t="s">
        <v>6</v>
      </c>
      <c r="B5656" t="s">
        <v>5661</v>
      </c>
      <c r="C5656">
        <f>HYPERLINK("C:\Users\franc\OneDrive\Documentos\MALENTIN KARIME\MANDATOS JUDICIALES\MARIO BARRIOS\ISNELDA ZEPEDA GOMEZ}.doc", "Abrir Documento")</f>
        <v>0</v>
      </c>
      <c r="D5656" t="s">
        <v>23500</v>
      </c>
      <c r="E5656" t="s">
        <v>28386</v>
      </c>
    </row>
    <row r="5657" spans="1:5">
      <c r="A5657" t="s">
        <v>6</v>
      </c>
      <c r="B5657" t="s">
        <v>5662</v>
      </c>
      <c r="C5657">
        <f>HYPERLINK("C:\Users\franc\OneDrive\Documentos\MALENTIN KARIME\MANDATOS JUDICIALES\MARIO BARRIOS\INMOBILIARIA COLOMBRE.doc", "Abrir Documento")</f>
        <v>0</v>
      </c>
      <c r="D5657" t="s">
        <v>23500</v>
      </c>
      <c r="E5657" t="s">
        <v>28387</v>
      </c>
    </row>
    <row r="5658" spans="1:5">
      <c r="A5658" t="s">
        <v>6</v>
      </c>
      <c r="B5658" t="s">
        <v>5663</v>
      </c>
      <c r="C5658">
        <f>HYPERLINK("C:\Users\franc\OneDrive\Documentos\MALENTIN KARIME\MANDATOS JUDICIALES\MARIO BARRIOS\INMOBILIARIA COLOMBRE borrador.doc", "Abrir Documento")</f>
        <v>0</v>
      </c>
      <c r="D5658" t="s">
        <v>23500</v>
      </c>
      <c r="E5658" t="s">
        <v>28388</v>
      </c>
    </row>
    <row r="5659" spans="1:5">
      <c r="A5659" t="s">
        <v>6</v>
      </c>
      <c r="B5659" t="s">
        <v>5664</v>
      </c>
      <c r="C5659">
        <f>HYPERLINK("C:\Users\franc\OneDrive\Documentos\MALENTIN KARIME\MANDATOS JUDICIALES\MARIO BARRIOS\ELIANA RAMIREZ DIAZ Minuta.doc", "Abrir Documento")</f>
        <v>0</v>
      </c>
      <c r="D5659" t="s">
        <v>23500</v>
      </c>
      <c r="E5659" t="s">
        <v>28389</v>
      </c>
    </row>
    <row r="5660" spans="1:5">
      <c r="A5660" t="s">
        <v>6</v>
      </c>
      <c r="B5660" t="s">
        <v>5665</v>
      </c>
      <c r="C5660">
        <f>HYPERLINK("C:\Users\franc\OneDrive\Documentos\MALENTIN KARIME\MANDATOS JUDICIALES\MARIO BARRIOS\CARLA OLIVARES ARREDONDO.doc", "Abrir Documento")</f>
        <v>0</v>
      </c>
      <c r="D5660" t="s">
        <v>23500</v>
      </c>
      <c r="E5660" t="s">
        <v>28390</v>
      </c>
    </row>
    <row r="5661" spans="1:5">
      <c r="A5661" t="s">
        <v>6</v>
      </c>
      <c r="B5661" t="s">
        <v>5666</v>
      </c>
      <c r="C5661">
        <f>HYPERLINK("C:\Users\franc\OneDrive\Documentos\MALENTIN KARIME\MANDATOS JUDICIALES\MARIO BARRIOS\ALEJANDRO ITURRIAGA.doc", "Abrir Documento")</f>
        <v>0</v>
      </c>
      <c r="D5661" t="s">
        <v>23500</v>
      </c>
      <c r="E5661" t="s">
        <v>28391</v>
      </c>
    </row>
    <row r="5662" spans="1:5">
      <c r="A5662" t="s">
        <v>6</v>
      </c>
      <c r="B5662" t="s">
        <v>5667</v>
      </c>
      <c r="C5662">
        <f>HYPERLINK("C:\Users\franc\OneDrive\Documentos\MALENTIN KARIME\MANDATOS JUDICIALES\MARIO BARRIOS\ALEJANDRO AGUIRRE.doc", "Abrir Documento")</f>
        <v>0</v>
      </c>
      <c r="D5662" t="s">
        <v>23500</v>
      </c>
      <c r="E5662" t="s">
        <v>28392</v>
      </c>
    </row>
    <row r="5663" spans="1:5">
      <c r="A5663" t="s">
        <v>6</v>
      </c>
      <c r="B5663" t="s">
        <v>5668</v>
      </c>
      <c r="C5663">
        <f>HYPERLINK("C:\Users\franc\OneDrive\Documentos\MALENTIN KARIME\MANDATOS JUDICIALES\MARIO BARRIOS\ABELARDO ALCAYAGA A NORMA TAPIA Minuta.doc", "Abrir Documento")</f>
        <v>0</v>
      </c>
      <c r="D5663" t="s">
        <v>23500</v>
      </c>
      <c r="E5663" t="s">
        <v>28393</v>
      </c>
    </row>
    <row r="5664" spans="1:5">
      <c r="A5664" t="s">
        <v>6</v>
      </c>
      <c r="B5664" t="s">
        <v>5669</v>
      </c>
      <c r="C5664">
        <f>HYPERLINK("C:\Users\franc\OneDrive\Documentos\MALENTIN KARIME\MANDATOS JUDICIALES\MARIA NUÑEZ HERRERA\ROLANDO GARRIDO 2017.doc", "Abrir Documento")</f>
        <v>0</v>
      </c>
      <c r="D5664" t="s">
        <v>23500</v>
      </c>
      <c r="E5664" t="s">
        <v>28394</v>
      </c>
    </row>
    <row r="5665" spans="1:5">
      <c r="A5665" t="s">
        <v>6</v>
      </c>
      <c r="B5665" t="s">
        <v>5670</v>
      </c>
      <c r="C5665">
        <f>HYPERLINK("C:\Users\franc\OneDrive\Documentos\MALENTIN KARIME\MANDATOS JUDICIALES\MARIA NUÑEZ HERRERA\MUNICIPALIDAD DE OVALLE C Renteria.doc", "Abrir Documento")</f>
        <v>0</v>
      </c>
      <c r="D5665" t="s">
        <v>23500</v>
      </c>
      <c r="E5665" t="s">
        <v>28395</v>
      </c>
    </row>
    <row r="5666" spans="1:5">
      <c r="A5666" t="s">
        <v>6</v>
      </c>
      <c r="B5666" t="s">
        <v>5671</v>
      </c>
      <c r="C5666">
        <f>HYPERLINK("C:\Users\franc\OneDrive\Documentos\MALENTIN KARIME\MANDATOS JUDICIALES\MARIA NUÑEZ HERRERA\MARIA INES NUÑEZ.doc", "Abrir Documento")</f>
        <v>0</v>
      </c>
      <c r="D5666" t="s">
        <v>23500</v>
      </c>
      <c r="E5666" t="s">
        <v>28396</v>
      </c>
    </row>
    <row r="5667" spans="1:5">
      <c r="A5667" t="s">
        <v>6</v>
      </c>
      <c r="B5667" t="s">
        <v>5672</v>
      </c>
      <c r="C5667">
        <f>HYPERLINK("C:\Users\franc\OneDrive\Documentos\MALENTIN KARIME\MANDATOS JUDICIALES\MARIA NUÑEZ HERRERA\LUIS LOPEZ CORTES.doc", "Abrir Documento")</f>
        <v>0</v>
      </c>
      <c r="D5667" t="s">
        <v>23500</v>
      </c>
      <c r="E5667" t="s">
        <v>28397</v>
      </c>
    </row>
    <row r="5668" spans="1:5">
      <c r="A5668" t="s">
        <v>6</v>
      </c>
      <c r="B5668" t="s">
        <v>5673</v>
      </c>
      <c r="C5668">
        <f>HYPERLINK("C:\Users\franc\OneDrive\Documentos\MALENTIN KARIME\MANDATOS JUDICIALES\MARIA NUÑEZ HERRERA\LUIS GUIRALDES.doc", "Abrir Documento")</f>
        <v>0</v>
      </c>
      <c r="D5668" t="s">
        <v>23500</v>
      </c>
      <c r="E5668" t="s">
        <v>28398</v>
      </c>
    </row>
    <row r="5669" spans="1:5">
      <c r="A5669" t="s">
        <v>6</v>
      </c>
      <c r="B5669" t="s">
        <v>5674</v>
      </c>
      <c r="C5669">
        <f>HYPERLINK("C:\Users\franc\OneDrive\Documentos\MALENTIN KARIME\MANDATOS JUDICIALES\MARIA NUÑEZ HERRERA\JOSE JOFRE FUENTES.doc", "Abrir Documento")</f>
        <v>0</v>
      </c>
      <c r="D5669" t="s">
        <v>23500</v>
      </c>
      <c r="E5669" t="s">
        <v>28399</v>
      </c>
    </row>
    <row r="5670" spans="1:5">
      <c r="A5670" t="s">
        <v>6</v>
      </c>
      <c r="B5670" t="s">
        <v>5675</v>
      </c>
      <c r="C5670">
        <f>HYPERLINK("C:\Users\franc\OneDrive\Documentos\MALENTIN KARIME\MANDATOS JUDICIALES\MARIA NUÑEZ HERRERA\HUGO ZEPEDA PINTO.doc", "Abrir Documento")</f>
        <v>0</v>
      </c>
      <c r="D5670" t="s">
        <v>23500</v>
      </c>
      <c r="E5670" t="s">
        <v>28400</v>
      </c>
    </row>
    <row r="5671" spans="1:5">
      <c r="A5671" t="s">
        <v>6</v>
      </c>
      <c r="B5671" t="s">
        <v>5676</v>
      </c>
      <c r="C5671">
        <f>HYPERLINK("C:\Users\franc\OneDrive\Documentos\MALENTIN KARIME\MANDATOS JUDICIALES\MARIA NUÑEZ HERRERA\HECTOR ROJAS ARAYA.doc", "Abrir Documento")</f>
        <v>0</v>
      </c>
      <c r="D5671" t="s">
        <v>23500</v>
      </c>
      <c r="E5671" t="s">
        <v>28401</v>
      </c>
    </row>
    <row r="5672" spans="1:5">
      <c r="A5672" t="s">
        <v>6</v>
      </c>
      <c r="B5672" t="s">
        <v>5677</v>
      </c>
      <c r="C5672">
        <f>HYPERLINK("C:\Users\franc\OneDrive\Documentos\MALENTIN KARIME\MANDATOS JUDICIALES\MARIA NUÑEZ HERRERA\ARMANDO SALAMANCA C.doc", "Abrir Documento")</f>
        <v>0</v>
      </c>
      <c r="D5672" t="s">
        <v>23500</v>
      </c>
      <c r="E5672" t="s">
        <v>28402</v>
      </c>
    </row>
    <row r="5673" spans="1:5">
      <c r="A5673" t="s">
        <v>6</v>
      </c>
      <c r="B5673" t="s">
        <v>5678</v>
      </c>
      <c r="C5673">
        <f>HYPERLINK("C:\Users\franc\OneDrive\Documentos\MALENTIN KARIME\MANDATOS JUDICIALES\MARIA JOSE CERDA ARANCIBIA\MACARENA GARCIA Y OTRO.doc", "Abrir Documento")</f>
        <v>0</v>
      </c>
      <c r="D5673" t="s">
        <v>23500</v>
      </c>
      <c r="E5673" t="s">
        <v>28403</v>
      </c>
    </row>
    <row r="5674" spans="1:5">
      <c r="A5674" t="s">
        <v>6</v>
      </c>
      <c r="B5674" t="s">
        <v>5679</v>
      </c>
      <c r="C5674">
        <f>HYPERLINK("C:\Users\franc\OneDrive\Documentos\MALENTIN KARIME\MANDATOS JUDICIALES\MARIA JOSE CERDA ARANCIBIA\MACARENA GARCIA Y OTRO individual.doc", "Abrir Documento")</f>
        <v>0</v>
      </c>
      <c r="D5674" t="s">
        <v>23500</v>
      </c>
      <c r="E5674" t="s">
        <v>28404</v>
      </c>
    </row>
    <row r="5675" spans="1:5">
      <c r="A5675" t="s">
        <v>6</v>
      </c>
      <c r="B5675" t="s">
        <v>5680</v>
      </c>
      <c r="C5675">
        <f>HYPERLINK("C:\Users\franc\OneDrive\Documentos\MALENTIN KARIME\MANDATOS JUDICIALES\MARIA JOSE CERDA ARANCIBIA\GABRIEL MONDACA CONTRERAS Minuta.doc", "Abrir Documento")</f>
        <v>0</v>
      </c>
      <c r="D5675" t="s">
        <v>23500</v>
      </c>
      <c r="E5675" t="s">
        <v>28405</v>
      </c>
    </row>
    <row r="5676" spans="1:5">
      <c r="A5676" t="s">
        <v>6</v>
      </c>
      <c r="B5676" t="s">
        <v>5681</v>
      </c>
      <c r="C5676">
        <f>HYPERLINK("C:\Users\franc\OneDrive\Documentos\MALENTIN KARIME\MANDATOS JUDICIALES\MARIA JOSE CERDA ARANCIBIA\DANILO TELLO individual.doc", "Abrir Documento")</f>
        <v>0</v>
      </c>
      <c r="D5676" t="s">
        <v>23500</v>
      </c>
      <c r="E5676" t="s">
        <v>28406</v>
      </c>
    </row>
    <row r="5677" spans="1:5">
      <c r="A5677" t="s">
        <v>6</v>
      </c>
      <c r="B5677" t="s">
        <v>5682</v>
      </c>
      <c r="C5677">
        <f>HYPERLINK("C:\Users\franc\OneDrive\Documentos\MALENTIN KARIME\MANDATOS JUDICIALES\MARIA CRISTINA DIAZ HERNANDEZ\ROXANA COFRE OLIVARES minuta.doc", "Abrir Documento")</f>
        <v>0</v>
      </c>
      <c r="D5677" t="s">
        <v>23500</v>
      </c>
      <c r="E5677" t="s">
        <v>28407</v>
      </c>
    </row>
    <row r="5678" spans="1:5">
      <c r="A5678" t="s">
        <v>6</v>
      </c>
      <c r="B5678" t="s">
        <v>5683</v>
      </c>
      <c r="C5678">
        <f>HYPERLINK("C:\Users\franc\OneDrive\Documentos\MALENTIN KARIME\MANDATOS JUDICIALES\MARIA CRISTINA DIAZ HERNANDEZ\MARCO MUÑOZ BORQUEZ 2016.doc", "Abrir Documento")</f>
        <v>0</v>
      </c>
      <c r="D5678" t="s">
        <v>23500</v>
      </c>
      <c r="E5678" t="s">
        <v>28408</v>
      </c>
    </row>
    <row r="5679" spans="1:5">
      <c r="A5679" t="s">
        <v>6</v>
      </c>
      <c r="B5679" t="s">
        <v>5684</v>
      </c>
      <c r="C5679">
        <f>HYPERLINK("C:\Users\franc\OneDrive\Documentos\MALENTIN KARIME\MANDATOS JUDICIALES\MARIA CRISTINA DIAZ HERNANDEZ\JORGE MOYA Minuta.doc", "Abrir Documento")</f>
        <v>0</v>
      </c>
      <c r="D5679" t="s">
        <v>23500</v>
      </c>
      <c r="E5679" t="s">
        <v>28409</v>
      </c>
    </row>
    <row r="5680" spans="1:5">
      <c r="A5680" t="s">
        <v>6</v>
      </c>
      <c r="B5680" t="s">
        <v>5685</v>
      </c>
      <c r="C5680">
        <f>HYPERLINK("C:\Users\franc\OneDrive\Documentos\MALENTIN KARIME\MANDATOS JUDICIALES\MARIA CRISTINA DIAZ HERNANDEZ\CERRO CAMPAÑARIO.doc", "Abrir Documento")</f>
        <v>0</v>
      </c>
      <c r="D5680" t="s">
        <v>23500</v>
      </c>
      <c r="E5680" t="s">
        <v>28410</v>
      </c>
    </row>
    <row r="5681" spans="1:5">
      <c r="A5681" t="s">
        <v>6</v>
      </c>
      <c r="B5681" t="s">
        <v>5686</v>
      </c>
      <c r="C5681">
        <f>HYPERLINK("C:\Users\franc\OneDrive\Documentos\MALENTIN KARIME\MANDATOS JUDICIALES\MARIA CRISTINA DIAZ HERNANDEZ\CERRO CAMPANARIO Mayo 2014.doc", "Abrir Documento")</f>
        <v>0</v>
      </c>
      <c r="D5681" t="s">
        <v>23500</v>
      </c>
      <c r="E5681" t="s">
        <v>28411</v>
      </c>
    </row>
    <row r="5682" spans="1:5">
      <c r="A5682" t="s">
        <v>6</v>
      </c>
      <c r="B5682" t="s">
        <v>5687</v>
      </c>
      <c r="C5682">
        <f>HYPERLINK("C:\Users\franc\OneDrive\Documentos\MALENTIN KARIME\MANDATOS JUDICIALES\MARIA CRISTINA DIAZ HERNANDEZ\CERRO CAMPANARIO Junio 2014.doc", "Abrir Documento")</f>
        <v>0</v>
      </c>
      <c r="D5682" t="s">
        <v>23500</v>
      </c>
      <c r="E5682" t="s">
        <v>28412</v>
      </c>
    </row>
    <row r="5683" spans="1:5">
      <c r="A5683" t="s">
        <v>6</v>
      </c>
      <c r="B5683" t="s">
        <v>5688</v>
      </c>
      <c r="C5683">
        <f>HYPERLINK("C:\Users\franc\OneDrive\Documentos\MALENTIN KARIME\MANDATOS JUDICIALES\MARCO JURIN\MARIA SALAS Y OTRO.doc", "Abrir Documento")</f>
        <v>0</v>
      </c>
      <c r="D5683" t="s">
        <v>23500</v>
      </c>
      <c r="E5683" t="s">
        <v>28413</v>
      </c>
    </row>
    <row r="5684" spans="1:5">
      <c r="A5684" t="s">
        <v>6</v>
      </c>
      <c r="B5684" t="s">
        <v>5689</v>
      </c>
      <c r="C5684">
        <f>HYPERLINK("C:\Users\franc\OneDrive\Documentos\MALENTIN KARIME\MANDATOS JUDICIALES\MARCO JURIN\JULIO MONTERO.doc", "Abrir Documento")</f>
        <v>0</v>
      </c>
      <c r="D5684" t="s">
        <v>23500</v>
      </c>
      <c r="E5684" t="s">
        <v>28414</v>
      </c>
    </row>
    <row r="5685" spans="1:5">
      <c r="A5685" t="s">
        <v>6</v>
      </c>
      <c r="B5685" t="s">
        <v>5690</v>
      </c>
      <c r="C5685">
        <f>HYPERLINK("C:\Users\franc\OneDrive\Documentos\MALENTIN KARIME\MANDATOS JUDICIALES\LUISA BARRAZA\DAGOBERTO ALMONACID.doc", "Abrir Documento")</f>
        <v>0</v>
      </c>
      <c r="D5685" t="s">
        <v>23500</v>
      </c>
      <c r="E5685" t="s">
        <v>28415</v>
      </c>
    </row>
    <row r="5686" spans="1:5">
      <c r="A5686" t="s">
        <v>6</v>
      </c>
      <c r="B5686" t="s">
        <v>5691</v>
      </c>
      <c r="C5686">
        <f>HYPERLINK("C:\Users\franc\OneDrive\Documentos\MALENTIN KARIME\MANDATOS JUDICIALES\LUIS URQUETA\LOS AROMOS.doc", "Abrir Documento")</f>
        <v>0</v>
      </c>
      <c r="D5686" t="s">
        <v>23500</v>
      </c>
      <c r="E5686" t="s">
        <v>28416</v>
      </c>
    </row>
    <row r="5687" spans="1:5">
      <c r="A5687" t="s">
        <v>6</v>
      </c>
      <c r="B5687" t="s">
        <v>5692</v>
      </c>
      <c r="C5687">
        <f>HYPERLINK("C:\Users\franc\OneDrive\Documentos\MALENTIN KARIME\MANDATOS JUDICIALES\LUIS URQUETA\JAVIER CONTADOR CORTES.doc", "Abrir Documento")</f>
        <v>0</v>
      </c>
      <c r="D5687" t="s">
        <v>23500</v>
      </c>
      <c r="E5687" t="s">
        <v>28417</v>
      </c>
    </row>
    <row r="5688" spans="1:5">
      <c r="A5688" t="s">
        <v>6</v>
      </c>
      <c r="B5688" t="s">
        <v>5693</v>
      </c>
      <c r="C5688">
        <f>HYPERLINK("C:\Users\franc\OneDrive\Documentos\MALENTIN KARIME\MANDATOS JUDICIALES\LUIS URQUETA\FREDDY DIAZ 2018.doc", "Abrir Documento")</f>
        <v>0</v>
      </c>
      <c r="D5688" t="s">
        <v>23500</v>
      </c>
      <c r="E5688" t="s">
        <v>28418</v>
      </c>
    </row>
    <row r="5689" spans="1:5">
      <c r="A5689" t="s">
        <v>6</v>
      </c>
      <c r="B5689" t="s">
        <v>5694</v>
      </c>
      <c r="C5689">
        <f>HYPERLINK("C:\Users\franc\OneDrive\Documentos\MALENTIN KARIME\MANDATOS JUDICIALES\LUIS OCTAVIO SALAS\RENE MAURIN A Luis Octavio.doc", "Abrir Documento")</f>
        <v>0</v>
      </c>
      <c r="D5689" t="s">
        <v>23500</v>
      </c>
      <c r="E5689" t="s">
        <v>28419</v>
      </c>
    </row>
    <row r="5690" spans="1:5">
      <c r="A5690" t="s">
        <v>6</v>
      </c>
      <c r="B5690" t="s">
        <v>5695</v>
      </c>
      <c r="C5690">
        <f>HYPERLINK("C:\Users\franc\OneDrive\Documentos\MALENTIN KARIME\MANDATOS JUDICIALES\LUIS GALLARDO\2016\MARIA PAYER.doc", "Abrir Documento")</f>
        <v>0</v>
      </c>
      <c r="D5690" t="s">
        <v>23500</v>
      </c>
      <c r="E5690" t="s">
        <v>28420</v>
      </c>
    </row>
    <row r="5691" spans="1:5">
      <c r="A5691" t="s">
        <v>6</v>
      </c>
      <c r="B5691" t="s">
        <v>5696</v>
      </c>
      <c r="C5691">
        <f>HYPERLINK("C:\Users\franc\OneDrive\Documentos\MALENTIN KARIME\MANDATOS JUDICIALES\LUIS GALLARDO\2016\HAROLDO VEGA POZO.doc", "Abrir Documento")</f>
        <v>0</v>
      </c>
      <c r="D5691" t="s">
        <v>23500</v>
      </c>
      <c r="E5691" t="s">
        <v>28421</v>
      </c>
    </row>
    <row r="5692" spans="1:5">
      <c r="A5692" t="s">
        <v>6</v>
      </c>
      <c r="B5692" t="s">
        <v>5697</v>
      </c>
      <c r="C5692">
        <f>HYPERLINK("C:\Users\franc\OneDrive\Documentos\MALENTIN KARIME\MANDATOS JUDICIALES\LUIS GALLARDO\MANUEL MORA ARAYA 2015.doc", "Abrir Documento")</f>
        <v>0</v>
      </c>
      <c r="D5692" t="s">
        <v>23500</v>
      </c>
      <c r="E5692" t="s">
        <v>28422</v>
      </c>
    </row>
    <row r="5693" spans="1:5">
      <c r="A5693" t="s">
        <v>6</v>
      </c>
      <c r="B5693" t="s">
        <v>5698</v>
      </c>
      <c r="C5693">
        <f>HYPERLINK("C:\Users\franc\OneDrive\Documentos\MALENTIN KARIME\MANDATOS JUDICIALES\LUIS GALLARDO\JULIO ARAYA GODOY.doc", "Abrir Documento")</f>
        <v>0</v>
      </c>
      <c r="D5693" t="s">
        <v>23500</v>
      </c>
      <c r="E5693" t="s">
        <v>28423</v>
      </c>
    </row>
    <row r="5694" spans="1:5">
      <c r="A5694" t="s">
        <v>6</v>
      </c>
      <c r="B5694" t="s">
        <v>5699</v>
      </c>
      <c r="C5694">
        <f>HYPERLINK("C:\Users\franc\OneDrive\Documentos\MALENTIN KARIME\MANDATOS JUDICIALES\LUIS GALLARDO\GERMAN AHUMADA GOMEZ.doc", "Abrir Documento")</f>
        <v>0</v>
      </c>
      <c r="D5694" t="s">
        <v>23500</v>
      </c>
      <c r="E5694" t="s">
        <v>28424</v>
      </c>
    </row>
    <row r="5695" spans="1:5">
      <c r="A5695" t="s">
        <v>6</v>
      </c>
      <c r="B5695" t="s">
        <v>5700</v>
      </c>
      <c r="C5695">
        <f>HYPERLINK("C:\Users\franc\OneDrive\Documentos\MALENTIN KARIME\MANDATOS JUDICIALES\LUCIANO SARMIENTO\MARIA ROJAS JARA.doc", "Abrir Documento")</f>
        <v>0</v>
      </c>
      <c r="D5695" t="s">
        <v>23500</v>
      </c>
      <c r="E5695" t="s">
        <v>28425</v>
      </c>
    </row>
    <row r="5696" spans="1:5">
      <c r="A5696" t="s">
        <v>6</v>
      </c>
      <c r="B5696" t="s">
        <v>5701</v>
      </c>
      <c r="C5696">
        <f>HYPERLINK("C:\Users\franc\OneDrive\Documentos\MALENTIN KARIME\MANDATOS JUDICIALES\JUIO POLANCO\PATRICIO POLANCO.doc", "Abrir Documento")</f>
        <v>0</v>
      </c>
      <c r="D5696" t="s">
        <v>23500</v>
      </c>
      <c r="E5696" t="s">
        <v>28426</v>
      </c>
    </row>
    <row r="5697" spans="1:5">
      <c r="A5697" t="s">
        <v>6</v>
      </c>
      <c r="B5697" t="s">
        <v>5702</v>
      </c>
      <c r="C5697">
        <f>HYPERLINK("C:\Users\franc\OneDrive\Documentos\MALENTIN KARIME\MANDATOS JUDICIALES\JUIO POLANCO\GABRIEL RIVERA.doc", "Abrir Documento")</f>
        <v>0</v>
      </c>
      <c r="D5697" t="s">
        <v>23500</v>
      </c>
      <c r="E5697" t="s">
        <v>28427</v>
      </c>
    </row>
    <row r="5698" spans="1:5">
      <c r="A5698" t="s">
        <v>6</v>
      </c>
      <c r="B5698" t="s">
        <v>5703</v>
      </c>
      <c r="C5698">
        <f>HYPERLINK("C:\Users\franc\OneDrive\Documentos\MALENTIN KARIME\MANDATOS JUDICIALES\JUIO POLANCO\GABRIEL RIVERA nuevo.doc", "Abrir Documento")</f>
        <v>0</v>
      </c>
      <c r="D5698" t="s">
        <v>23500</v>
      </c>
      <c r="E5698" t="s">
        <v>28428</v>
      </c>
    </row>
    <row r="5699" spans="1:5">
      <c r="A5699" t="s">
        <v>6</v>
      </c>
      <c r="B5699" t="s">
        <v>5704</v>
      </c>
      <c r="C5699">
        <f>HYPERLINK("C:\Users\franc\OneDrive\Documentos\MALENTIN KARIME\MANDATOS JUDICIALES\JUIO POLANCO\AGRICOLA LAGUNAS Y SASTRE.doc", "Abrir Documento")</f>
        <v>0</v>
      </c>
      <c r="D5699" t="s">
        <v>23500</v>
      </c>
      <c r="E5699" t="s">
        <v>28429</v>
      </c>
    </row>
    <row r="5700" spans="1:5">
      <c r="A5700" t="s">
        <v>6</v>
      </c>
      <c r="B5700" t="s">
        <v>5705</v>
      </c>
      <c r="C5700">
        <f>HYPERLINK("C:\Users\franc\OneDrive\Documentos\MALENTIN KARIME\MANDATOS JUDICIALES\JUAN PABLO CORRAL\XIMENA VARGAS.doc", "Abrir Documento")</f>
        <v>0</v>
      </c>
      <c r="D5700" t="s">
        <v>23500</v>
      </c>
      <c r="E5700" t="s">
        <v>28430</v>
      </c>
    </row>
    <row r="5701" spans="1:5">
      <c r="A5701" t="s">
        <v>6</v>
      </c>
      <c r="B5701" t="s">
        <v>5706</v>
      </c>
      <c r="C5701">
        <f>HYPERLINK("C:\Users\franc\OneDrive\Documentos\MALENTIN KARIME\MANDATOS JUDICIALES\JUAN PABLO CORRAL\RUTH MUÑOZ ROJAS 2016.doc", "Abrir Documento")</f>
        <v>0</v>
      </c>
      <c r="D5701" t="s">
        <v>23500</v>
      </c>
      <c r="E5701" t="s">
        <v>28431</v>
      </c>
    </row>
    <row r="5702" spans="1:5">
      <c r="A5702" t="s">
        <v>6</v>
      </c>
      <c r="B5702" t="s">
        <v>5707</v>
      </c>
      <c r="C5702">
        <f>HYPERLINK("C:\Users\franc\OneDrive\Documentos\MALENTIN KARIME\MANDATOS JUDICIALES\JUAN PABLO CORRAL\SANDRA LIRA.doc", "Abrir Documento")</f>
        <v>0</v>
      </c>
      <c r="D5702" t="s">
        <v>23500</v>
      </c>
      <c r="E5702" t="s">
        <v>28431</v>
      </c>
    </row>
    <row r="5703" spans="1:5">
      <c r="A5703" t="s">
        <v>6</v>
      </c>
      <c r="B5703" t="s">
        <v>5708</v>
      </c>
      <c r="C5703">
        <f>HYPERLINK("C:\Users\franc\OneDrive\Documentos\MALENTIN KARIME\MANDATOS JUDICIALES\JUAN PABLO CORRAL\RODRIGO VILLEGAS.doc", "Abrir Documento")</f>
        <v>0</v>
      </c>
      <c r="D5703" t="s">
        <v>23500</v>
      </c>
      <c r="E5703" t="s">
        <v>28432</v>
      </c>
    </row>
    <row r="5704" spans="1:5">
      <c r="A5704" t="s">
        <v>6</v>
      </c>
      <c r="B5704" t="s">
        <v>5709</v>
      </c>
      <c r="C5704">
        <f>HYPERLINK("C:\Users\franc\OneDrive\Documentos\MALENTIN KARIME\MANDATOS JUDICIALES\JUAN PABLO CORRAL\RICARDO RISI.doc", "Abrir Documento")</f>
        <v>0</v>
      </c>
      <c r="D5704" t="s">
        <v>23500</v>
      </c>
      <c r="E5704" t="s">
        <v>28433</v>
      </c>
    </row>
    <row r="5705" spans="1:5">
      <c r="A5705" t="s">
        <v>6</v>
      </c>
      <c r="B5705" t="s">
        <v>5710</v>
      </c>
      <c r="C5705">
        <f>HYPERLINK("C:\Users\franc\OneDrive\Documentos\MALENTIN KARIME\MANDATOS JUDICIALES\JUAN PABLO CORRAL\RAMON ARAYA MIRANDA.doc", "Abrir Documento")</f>
        <v>0</v>
      </c>
      <c r="D5705" t="s">
        <v>23500</v>
      </c>
      <c r="E5705" t="s">
        <v>28434</v>
      </c>
    </row>
    <row r="5706" spans="1:5">
      <c r="A5706" t="s">
        <v>6</v>
      </c>
      <c r="B5706" t="s">
        <v>5711</v>
      </c>
      <c r="C5706">
        <f>HYPERLINK("C:\Users\franc\OneDrive\Documentos\MALENTIN KARIME\MANDATOS JUDICIALES\JUAN PABLO CORRAL\RAUL ARDILES Y VARIOS 2018.doc", "Abrir Documento")</f>
        <v>0</v>
      </c>
      <c r="D5706" t="s">
        <v>23500</v>
      </c>
      <c r="E5706" t="s">
        <v>28434</v>
      </c>
    </row>
    <row r="5707" spans="1:5">
      <c r="A5707" t="s">
        <v>6</v>
      </c>
      <c r="B5707" t="s">
        <v>5712</v>
      </c>
      <c r="C5707">
        <f>HYPERLINK("C:\Users\franc\OneDrive\Documentos\MALENTIN KARIME\MANDATOS JUDICIALES\JUAN PABLO CORRAL\PEDRO JOSE AVILA AVILA.doc", "Abrir Documento")</f>
        <v>0</v>
      </c>
      <c r="D5707" t="s">
        <v>23500</v>
      </c>
      <c r="E5707" t="s">
        <v>28435</v>
      </c>
    </row>
    <row r="5708" spans="1:5">
      <c r="A5708" t="s">
        <v>6</v>
      </c>
      <c r="B5708" t="s">
        <v>5713</v>
      </c>
      <c r="C5708">
        <f>HYPERLINK("C:\Users\franc\OneDrive\Documentos\MALENTIN KARIME\MANDATOS JUDICIALES\JUAN PABLO CORRAL\RAFAEL PROHENS.doc", "Abrir Documento")</f>
        <v>0</v>
      </c>
      <c r="D5708" t="s">
        <v>23500</v>
      </c>
      <c r="E5708" t="s">
        <v>28435</v>
      </c>
    </row>
    <row r="5709" spans="1:5">
      <c r="A5709" t="s">
        <v>6</v>
      </c>
      <c r="B5709" t="s">
        <v>5714</v>
      </c>
      <c r="C5709">
        <f>HYPERLINK("C:\Users\franc\OneDrive\Documentos\MALENTIN KARIME\MANDATOS JUDICIALES\JUAN PABLO CORRAL\NICOLE GUERRERO.doc", "Abrir Documento")</f>
        <v>0</v>
      </c>
      <c r="D5709" t="s">
        <v>23500</v>
      </c>
      <c r="E5709" t="s">
        <v>28436</v>
      </c>
    </row>
    <row r="5710" spans="1:5">
      <c r="A5710" t="s">
        <v>6</v>
      </c>
      <c r="B5710" t="s">
        <v>5715</v>
      </c>
      <c r="C5710">
        <f>HYPERLINK("C:\Users\franc\OneDrive\Documentos\MALENTIN KARIME\MANDATOS JUDICIALES\JUAN PABLO CORRAL\PATRICIO GONZALEZ CASTILLO 2017.doc", "Abrir Documento")</f>
        <v>0</v>
      </c>
      <c r="D5710" t="s">
        <v>23500</v>
      </c>
      <c r="E5710" t="s">
        <v>28436</v>
      </c>
    </row>
    <row r="5711" spans="1:5">
      <c r="A5711" t="s">
        <v>6</v>
      </c>
      <c r="B5711" t="s">
        <v>5716</v>
      </c>
      <c r="C5711">
        <f>HYPERLINK("C:\Users\franc\OneDrive\Documentos\MALENTIN KARIME\MANDATOS JUDICIALES\JUAN PABLO CORRAL\MAURICIO BRAVO.doc", "Abrir Documento")</f>
        <v>0</v>
      </c>
      <c r="D5711" t="s">
        <v>23500</v>
      </c>
      <c r="E5711" t="s">
        <v>28437</v>
      </c>
    </row>
    <row r="5712" spans="1:5">
      <c r="A5712" t="s">
        <v>6</v>
      </c>
      <c r="B5712" t="s">
        <v>5717</v>
      </c>
      <c r="C5712">
        <f>HYPERLINK("C:\Users\franc\OneDrive\Documentos\MALENTIN KARIME\MANDATOS JUDICIALES\JUAN PABLO CORRAL\NELSON CARRASCO.doc", "Abrir Documento")</f>
        <v>0</v>
      </c>
      <c r="D5712" t="s">
        <v>23500</v>
      </c>
      <c r="E5712" t="s">
        <v>28437</v>
      </c>
    </row>
    <row r="5713" spans="1:5">
      <c r="A5713" t="s">
        <v>6</v>
      </c>
      <c r="B5713" t="s">
        <v>5718</v>
      </c>
      <c r="C5713">
        <f>HYPERLINK("C:\Users\franc\OneDrive\Documentos\MALENTIN KARIME\MANDATOS JUDICIALES\JUAN PABLO CORRAL\MARILUZ LOPEZ Y OTRA 2015.doc", "Abrir Documento")</f>
        <v>0</v>
      </c>
      <c r="D5713" t="s">
        <v>23500</v>
      </c>
      <c r="E5713" t="s">
        <v>28438</v>
      </c>
    </row>
    <row r="5714" spans="1:5">
      <c r="A5714" t="s">
        <v>6</v>
      </c>
      <c r="B5714" t="s">
        <v>5719</v>
      </c>
      <c r="C5714">
        <f>HYPERLINK("C:\Users\franc\OneDrive\Documentos\MALENTIN KARIME\MANDATOS JUDICIALES\JUAN PABLO CORRAL\MARCIAL VEGA NUÑEZ.doc", "Abrir Documento")</f>
        <v>0</v>
      </c>
      <c r="D5714" t="s">
        <v>23500</v>
      </c>
      <c r="E5714" t="s">
        <v>28439</v>
      </c>
    </row>
    <row r="5715" spans="1:5">
      <c r="A5715" t="s">
        <v>6</v>
      </c>
      <c r="B5715" t="s">
        <v>5720</v>
      </c>
      <c r="C5715">
        <f>HYPERLINK("C:\Users\franc\OneDrive\Documentos\MALENTIN KARIME\MANDATOS JUDICIALES\JUAN PABLO CORRAL\MANUEL LANAS NUÑEZ.doc", "Abrir Documento")</f>
        <v>0</v>
      </c>
      <c r="D5715" t="s">
        <v>23500</v>
      </c>
      <c r="E5715" t="s">
        <v>28440</v>
      </c>
    </row>
    <row r="5716" spans="1:5">
      <c r="A5716" t="s">
        <v>6</v>
      </c>
      <c r="B5716" t="s">
        <v>5721</v>
      </c>
      <c r="C5716">
        <f>HYPERLINK("C:\Users\franc\OneDrive\Documentos\MALENTIN KARIME\MANDATOS JUDICIALES\JUAN PABLO CORRAL\MALVINA CORTES CASTILLO Y OTROS.doc", "Abrir Documento")</f>
        <v>0</v>
      </c>
      <c r="D5716" t="s">
        <v>23500</v>
      </c>
      <c r="E5716" t="s">
        <v>28441</v>
      </c>
    </row>
    <row r="5717" spans="1:5">
      <c r="A5717" t="s">
        <v>6</v>
      </c>
      <c r="B5717" t="s">
        <v>5722</v>
      </c>
      <c r="C5717">
        <f>HYPERLINK("C:\Users\franc\OneDrive\Documentos\MALENTIN KARIME\MANDATOS JUDICIALES\JUAN PABLO CORRAL\LEONARDO VELIZ 2018.doc", "Abrir Documento")</f>
        <v>0</v>
      </c>
      <c r="D5717" t="s">
        <v>23500</v>
      </c>
      <c r="E5717" t="s">
        <v>28442</v>
      </c>
    </row>
    <row r="5718" spans="1:5">
      <c r="A5718" t="s">
        <v>6</v>
      </c>
      <c r="B5718" t="s">
        <v>5723</v>
      </c>
      <c r="C5718">
        <f>HYPERLINK("C:\Users\franc\OneDrive\Documentos\MALENTIN KARIME\MANDATOS JUDICIALES\JUAN PABLO CORRAL\LUIS REINOS.doc", "Abrir Documento")</f>
        <v>0</v>
      </c>
      <c r="D5718" t="s">
        <v>23500</v>
      </c>
      <c r="E5718" t="s">
        <v>28442</v>
      </c>
    </row>
    <row r="5719" spans="1:5">
      <c r="A5719" t="s">
        <v>6</v>
      </c>
      <c r="B5719" t="s">
        <v>5724</v>
      </c>
      <c r="C5719">
        <f>HYPERLINK("C:\Users\franc\OneDrive\Documentos\MALENTIN KARIME\MANDATOS JUDICIALES\JUAN PABLO CORRAL\LEONARDO ARAVENA 2018.doc", "Abrir Documento")</f>
        <v>0</v>
      </c>
      <c r="D5719" t="s">
        <v>23500</v>
      </c>
      <c r="E5719" t="s">
        <v>28443</v>
      </c>
    </row>
    <row r="5720" spans="1:5">
      <c r="A5720" t="s">
        <v>6</v>
      </c>
      <c r="B5720" t="s">
        <v>5725</v>
      </c>
      <c r="C5720">
        <f>HYPERLINK("C:\Users\franc\OneDrive\Documentos\MALENTIN KARIME\MANDATOS JUDICIALES\JUAN PABLO CORRAL\JUAN MENDOZA ROMERO.doc", "Abrir Documento")</f>
        <v>0</v>
      </c>
      <c r="D5720" t="s">
        <v>23500</v>
      </c>
      <c r="E5720" t="s">
        <v>28444</v>
      </c>
    </row>
    <row r="5721" spans="1:5">
      <c r="A5721" t="s">
        <v>6</v>
      </c>
      <c r="B5721" t="s">
        <v>5726</v>
      </c>
      <c r="C5721">
        <f>HYPERLINK("C:\Users\franc\OneDrive\Documentos\MALENTIN KARIME\MANDATOS JUDICIALES\JUAN PABLO CORRAL\JULIO PINEDA.doc", "Abrir Documento")</f>
        <v>0</v>
      </c>
      <c r="D5721" t="s">
        <v>23500</v>
      </c>
      <c r="E5721" t="s">
        <v>28444</v>
      </c>
    </row>
    <row r="5722" spans="1:5">
      <c r="A5722" t="s">
        <v>6</v>
      </c>
      <c r="B5722" t="s">
        <v>5727</v>
      </c>
      <c r="C5722">
        <f>HYPERLINK("C:\Users\franc\OneDrive\Documentos\MALENTIN KARIME\MANDATOS JUDICIALES\JUAN PABLO CORRAL\JOSE VIVAR.doc", "Abrir Documento")</f>
        <v>0</v>
      </c>
      <c r="D5722" t="s">
        <v>23500</v>
      </c>
      <c r="E5722" t="s">
        <v>28445</v>
      </c>
    </row>
    <row r="5723" spans="1:5">
      <c r="A5723" t="s">
        <v>6</v>
      </c>
      <c r="B5723" t="s">
        <v>5728</v>
      </c>
      <c r="C5723">
        <f>HYPERLINK("C:\Users\franc\OneDrive\Documentos\MALENTIN KARIME\MANDATOS JUDICIALES\JUAN PABLO CORRAL\JOSE HERIBERTO FLORES ARAYA a FRANCISCO POBLETE 2018.doc", "Abrir Documento")</f>
        <v>0</v>
      </c>
      <c r="D5723" t="s">
        <v>23500</v>
      </c>
      <c r="E5723" t="s">
        <v>28446</v>
      </c>
    </row>
    <row r="5724" spans="1:5">
      <c r="A5724" t="s">
        <v>6</v>
      </c>
      <c r="B5724" t="s">
        <v>5729</v>
      </c>
      <c r="C5724">
        <f>HYPERLINK("C:\Users\franc\OneDrive\Documentos\MALENTIN KARIME\MANDATOS JUDICIALES\JUAN PABLO CORRAL\JOSE HERIBERTO FLORES ARAYA 2018.doc", "Abrir Documento")</f>
        <v>0</v>
      </c>
      <c r="D5724" t="s">
        <v>23500</v>
      </c>
      <c r="E5724" t="s">
        <v>28447</v>
      </c>
    </row>
    <row r="5725" spans="1:5">
      <c r="A5725" t="s">
        <v>6</v>
      </c>
      <c r="B5725" t="s">
        <v>5730</v>
      </c>
      <c r="C5725">
        <f>HYPERLINK("C:\Users\franc\OneDrive\Documentos\MALENTIN KARIME\MANDATOS JUDICIALES\JUAN PABLO CORRAL\JOSE FLORES ARAYA.doc", "Abrir Documento")</f>
        <v>0</v>
      </c>
      <c r="D5725" t="s">
        <v>23500</v>
      </c>
      <c r="E5725" t="s">
        <v>28448</v>
      </c>
    </row>
    <row r="5726" spans="1:5">
      <c r="A5726" t="s">
        <v>6</v>
      </c>
      <c r="B5726" t="s">
        <v>5731</v>
      </c>
      <c r="C5726">
        <f>HYPERLINK("C:\Users\franc\OneDrive\Documentos\MALENTIN KARIME\MANDATOS JUDICIALES\JUAN PABLO CORRAL\HUGO ARANEDA.doc", "Abrir Documento")</f>
        <v>0</v>
      </c>
      <c r="D5726" t="s">
        <v>23500</v>
      </c>
      <c r="E5726" t="s">
        <v>28449</v>
      </c>
    </row>
    <row r="5727" spans="1:5">
      <c r="A5727" t="s">
        <v>6</v>
      </c>
      <c r="B5727" t="s">
        <v>5732</v>
      </c>
      <c r="C5727">
        <f>HYPERLINK("C:\Users\franc\OneDrive\Documentos\MALENTIN KARIME\MANDATOS JUDICIALES\JUAN PABLO CORRAL\JOSE FLORES ARAYA Julio 2018.doc", "Abrir Documento")</f>
        <v>0</v>
      </c>
      <c r="D5727" t="s">
        <v>23500</v>
      </c>
      <c r="E5727" t="s">
        <v>28449</v>
      </c>
    </row>
    <row r="5728" spans="1:5">
      <c r="A5728" t="s">
        <v>6</v>
      </c>
      <c r="B5728" t="s">
        <v>5733</v>
      </c>
      <c r="C5728">
        <f>HYPERLINK("C:\Users\franc\OneDrive\Documentos\MALENTIN KARIME\MANDATOS JUDICIALES\JUAN PABLO CORRAL\HECTOR IGLESIAS.doc", "Abrir Documento")</f>
        <v>0</v>
      </c>
      <c r="D5728" t="s">
        <v>23500</v>
      </c>
      <c r="E5728" t="s">
        <v>28450</v>
      </c>
    </row>
    <row r="5729" spans="1:5">
      <c r="A5729" t="s">
        <v>6</v>
      </c>
      <c r="B5729" t="s">
        <v>5734</v>
      </c>
      <c r="C5729">
        <f>HYPERLINK("C:\Users\franc\OneDrive\Documentos\MALENTIN KARIME\MANDATOS JUDICIALES\JUAN PABLO CORRAL\FRANCO AROS en representacion.doc", "Abrir Documento")</f>
        <v>0</v>
      </c>
      <c r="D5729" t="s">
        <v>23500</v>
      </c>
      <c r="E5729" t="s">
        <v>28451</v>
      </c>
    </row>
    <row r="5730" spans="1:5">
      <c r="A5730" t="s">
        <v>6</v>
      </c>
      <c r="B5730" t="s">
        <v>5735</v>
      </c>
      <c r="C5730">
        <f>HYPERLINK("C:\Users\franc\OneDrive\Documentos\MALENTIN KARIME\MANDATOS JUDICIALES\JUAN PABLO CORRAL\GONZALO TORREJON.doc", "Abrir Documento")</f>
        <v>0</v>
      </c>
      <c r="D5730" t="s">
        <v>23500</v>
      </c>
      <c r="E5730" t="s">
        <v>28451</v>
      </c>
    </row>
    <row r="5731" spans="1:5">
      <c r="A5731" t="s">
        <v>6</v>
      </c>
      <c r="B5731" t="s">
        <v>5736</v>
      </c>
      <c r="C5731">
        <f>HYPERLINK("C:\Users\franc\OneDrive\Documentos\MALENTIN KARIME\MANDATOS JUDICIALES\JUAN PABLO CORRAL\FRANCO AROS 2017.doc", "Abrir Documento")</f>
        <v>0</v>
      </c>
      <c r="D5731" t="s">
        <v>23500</v>
      </c>
      <c r="E5731" t="s">
        <v>28452</v>
      </c>
    </row>
    <row r="5732" spans="1:5">
      <c r="A5732" t="s">
        <v>6</v>
      </c>
      <c r="B5732" t="s">
        <v>5737</v>
      </c>
      <c r="C5732">
        <f>HYPERLINK("C:\Users\franc\OneDrive\Documentos\MALENTIN KARIME\MANDATOS JUDICIALES\JUAN PABLO CORRAL\ERIC MELLADO.doc", "Abrir Documento")</f>
        <v>0</v>
      </c>
      <c r="D5732" t="s">
        <v>23500</v>
      </c>
      <c r="E5732" t="s">
        <v>28453</v>
      </c>
    </row>
    <row r="5733" spans="1:5">
      <c r="A5733" t="s">
        <v>6</v>
      </c>
      <c r="B5733" t="s">
        <v>5738</v>
      </c>
      <c r="C5733">
        <f>HYPERLINK("C:\Users\franc\OneDrive\Documentos\MALENTIN KARIME\MANDATOS JUDICIALES\JUAN PABLO CORRAL\DOUGLAS GONZALEZZ.doc", "Abrir Documento")</f>
        <v>0</v>
      </c>
      <c r="D5733" t="s">
        <v>23500</v>
      </c>
      <c r="E5733" t="s">
        <v>28454</v>
      </c>
    </row>
    <row r="5734" spans="1:5">
      <c r="A5734" t="s">
        <v>6</v>
      </c>
      <c r="B5734" t="s">
        <v>5739</v>
      </c>
      <c r="C5734">
        <f>HYPERLINK("C:\Users\franc\OneDrive\Documentos\MALENTIN KARIME\MANDATOS JUDICIALES\JUAN PABLO CORRAL\DIEGO TAMBLAY TAPIA.doc", "Abrir Documento")</f>
        <v>0</v>
      </c>
      <c r="D5734" t="s">
        <v>23500</v>
      </c>
      <c r="E5734" t="s">
        <v>28455</v>
      </c>
    </row>
    <row r="5735" spans="1:5">
      <c r="A5735" t="s">
        <v>6</v>
      </c>
      <c r="B5735" t="s">
        <v>5740</v>
      </c>
      <c r="C5735">
        <f>HYPERLINK("C:\Users\franc\OneDrive\Documentos\MALENTIN KARIME\MANDATOS JUDICIALES\JUAN PABLO CORRAL\DIEGO RAMIREZ.doc", "Abrir Documento")</f>
        <v>0</v>
      </c>
      <c r="D5735" t="s">
        <v>23500</v>
      </c>
      <c r="E5735" t="s">
        <v>28456</v>
      </c>
    </row>
    <row r="5736" spans="1:5">
      <c r="A5736" t="s">
        <v>6</v>
      </c>
      <c r="B5736" t="s">
        <v>5741</v>
      </c>
      <c r="C5736">
        <f>HYPERLINK("C:\Users\franc\OneDrive\Documentos\MALENTIN KARIME\MANDATOS JUDICIALES\JUAN PABLO CORRAL\DANIELA GALLARDO Y OTRO.doc", "Abrir Documento")</f>
        <v>0</v>
      </c>
      <c r="D5736" t="s">
        <v>23500</v>
      </c>
      <c r="E5736" t="s">
        <v>28457</v>
      </c>
    </row>
    <row r="5737" spans="1:5">
      <c r="A5737" t="s">
        <v>6</v>
      </c>
      <c r="B5737" t="s">
        <v>5742</v>
      </c>
      <c r="C5737">
        <f>HYPERLINK("C:\Users\franc\OneDrive\Documentos\MALENTIN KARIME\MANDATOS JUDICIALES\JUAN PABLO CORRAL\CHRISTIAN LOYOLA.doc", "Abrir Documento")</f>
        <v>0</v>
      </c>
      <c r="D5737" t="s">
        <v>23500</v>
      </c>
      <c r="E5737" t="s">
        <v>28458</v>
      </c>
    </row>
    <row r="5738" spans="1:5">
      <c r="A5738" t="s">
        <v>6</v>
      </c>
      <c r="B5738" t="s">
        <v>5743</v>
      </c>
      <c r="C5738">
        <f>HYPERLINK("C:\Users\franc\OneDrive\Documentos\MALENTIN KARIME\MANDATOS JUDICIALES\JUAN PABLO CORRAL\CAROLINA AGUILERA 2017.doc", "Abrir Documento")</f>
        <v>0</v>
      </c>
      <c r="D5738" t="s">
        <v>23500</v>
      </c>
      <c r="E5738" t="s">
        <v>28459</v>
      </c>
    </row>
    <row r="5739" spans="1:5">
      <c r="A5739" t="s">
        <v>6</v>
      </c>
      <c r="B5739" t="s">
        <v>5744</v>
      </c>
      <c r="C5739">
        <f>HYPERLINK("C:\Users\franc\OneDrive\Documentos\MALENTIN KARIME\MANDATOS JUDICIALES\JUAN PABLO CORRAL\CARLOS SARRAS.doc", "Abrir Documento")</f>
        <v>0</v>
      </c>
      <c r="D5739" t="s">
        <v>23500</v>
      </c>
      <c r="E5739" t="s">
        <v>28460</v>
      </c>
    </row>
    <row r="5740" spans="1:5">
      <c r="A5740" t="s">
        <v>6</v>
      </c>
      <c r="B5740" t="s">
        <v>5745</v>
      </c>
      <c r="C5740">
        <f>HYPERLINK("C:\Users\franc\OneDrive\Documentos\MALENTIN KARIME\MANDATOS JUDICIALES\JUAN PABLO CORRAL\CAMILA MUÑOZ 2018.doc", "Abrir Documento")</f>
        <v>0</v>
      </c>
      <c r="D5740" t="s">
        <v>23500</v>
      </c>
      <c r="E5740" t="s">
        <v>28461</v>
      </c>
    </row>
    <row r="5741" spans="1:5">
      <c r="A5741" t="s">
        <v>6</v>
      </c>
      <c r="B5741" t="s">
        <v>5746</v>
      </c>
      <c r="C5741">
        <f>HYPERLINK("C:\Users\franc\OneDrive\Documentos\MALENTIN KARIME\MANDATOS JUDICIALES\JUAN PABLO CORRAL\BRENDA LYS CORTES ALFARO.doc", "Abrir Documento")</f>
        <v>0</v>
      </c>
      <c r="D5741" t="s">
        <v>23500</v>
      </c>
      <c r="E5741" t="s">
        <v>28462</v>
      </c>
    </row>
    <row r="5742" spans="1:5">
      <c r="A5742" t="s">
        <v>6</v>
      </c>
      <c r="B5742" t="s">
        <v>5747</v>
      </c>
      <c r="C5742">
        <f>HYPERLINK("C:\Users\franc\OneDrive\Documentos\MALENTIN KARIME\MANDATOS JUDICIALES\JUAN PABLO CORRAL\BIANCA TAMBLAY.doc", "Abrir Documento")</f>
        <v>0</v>
      </c>
      <c r="D5742" t="s">
        <v>23500</v>
      </c>
      <c r="E5742" t="s">
        <v>28463</v>
      </c>
    </row>
    <row r="5743" spans="1:5">
      <c r="A5743" t="s">
        <v>6</v>
      </c>
      <c r="B5743" t="s">
        <v>5748</v>
      </c>
      <c r="C5743">
        <f>HYPERLINK("C:\Users\franc\OneDrive\Documentos\MALENTIN KARIME\MANDATOS JUDICIALES\JUAN PABLO CORRAL\BASTIAN VEGA 2021.doc", "Abrir Documento")</f>
        <v>0</v>
      </c>
      <c r="D5743" t="s">
        <v>23500</v>
      </c>
      <c r="E5743" t="s">
        <v>28464</v>
      </c>
    </row>
    <row r="5744" spans="1:5">
      <c r="A5744" t="s">
        <v>6</v>
      </c>
      <c r="B5744" t="s">
        <v>5749</v>
      </c>
      <c r="C5744">
        <f>HYPERLINK("C:\Users\franc\OneDrive\Documentos\MALENTIN KARIME\MANDATOS JUDICIALES\JUAN PABLO CORRAL\AGRICOLA CHAÑARAL BAJO NORTE.doc", "Abrir Documento")</f>
        <v>0</v>
      </c>
      <c r="D5744" t="s">
        <v>23500</v>
      </c>
      <c r="E5744" t="s">
        <v>28465</v>
      </c>
    </row>
    <row r="5745" spans="1:5">
      <c r="A5745" t="s">
        <v>6</v>
      </c>
      <c r="B5745" t="s">
        <v>5750</v>
      </c>
      <c r="C5745">
        <f>HYPERLINK("C:\Users\franc\OneDrive\Documentos\MALENTIN KARIME\MANDATOS JUDICIALES\JUAN PABLO CORRAL\ANTONELLA ARAYA.doc", "Abrir Documento")</f>
        <v>0</v>
      </c>
      <c r="D5745" t="s">
        <v>23500</v>
      </c>
      <c r="E5745" t="s">
        <v>28465</v>
      </c>
    </row>
    <row r="5746" spans="1:5">
      <c r="A5746" t="s">
        <v>6</v>
      </c>
      <c r="B5746" t="s">
        <v>5751</v>
      </c>
      <c r="C5746">
        <f>HYPERLINK("C:\Users\franc\OneDrive\Documentos\MALENTIN KARIME\MANDATOS JUDICIALES\JUAN GUIÑEZ LLAMBIAS\JULIA CORTES Y OTROS.doc", "Abrir Documento")</f>
        <v>0</v>
      </c>
      <c r="D5746" t="s">
        <v>23500</v>
      </c>
      <c r="E5746" t="s">
        <v>28466</v>
      </c>
    </row>
    <row r="5747" spans="1:5">
      <c r="A5747" t="s">
        <v>6</v>
      </c>
      <c r="B5747" t="s">
        <v>5752</v>
      </c>
      <c r="C5747">
        <f>HYPERLINK("C:\Users\franc\OneDrive\Documentos\MALENTIN KARIME\MANDATOS JUDICIALES\JOSE MIGUEL TABILO\NELSON JOFRE TORRES.doc", "Abrir Documento")</f>
        <v>0</v>
      </c>
      <c r="D5747" t="s">
        <v>23500</v>
      </c>
      <c r="E5747" t="s">
        <v>28467</v>
      </c>
    </row>
    <row r="5748" spans="1:5">
      <c r="A5748" t="s">
        <v>6</v>
      </c>
      <c r="B5748" t="s">
        <v>5753</v>
      </c>
      <c r="C5748">
        <f>HYPERLINK("C:\Users\franc\OneDrive\Documentos\MALENTIN KARIME\MANDATOS JUDICIALES\JOSE MIGUEL TABILO\ROSA DINAMARCA REYES 2017.doc", "Abrir Documento")</f>
        <v>0</v>
      </c>
      <c r="D5748" t="s">
        <v>23500</v>
      </c>
      <c r="E5748" t="s">
        <v>28467</v>
      </c>
    </row>
    <row r="5749" spans="1:5">
      <c r="A5749" t="s">
        <v>6</v>
      </c>
      <c r="B5749" t="s">
        <v>5754</v>
      </c>
      <c r="C5749">
        <f>HYPERLINK("C:\Users\franc\OneDrive\Documentos\MALENTIN KARIME\MANDATOS JUDICIALES\JOSE MIGUEL TABILO\MIGUEL CONCHA PUJADO.doc", "Abrir Documento")</f>
        <v>0</v>
      </c>
      <c r="D5749" t="s">
        <v>23500</v>
      </c>
      <c r="E5749" t="s">
        <v>28468</v>
      </c>
    </row>
    <row r="5750" spans="1:5">
      <c r="A5750" t="s">
        <v>6</v>
      </c>
      <c r="B5750" t="s">
        <v>5755</v>
      </c>
      <c r="C5750">
        <f>HYPERLINK("C:\Users\franc\OneDrive\Documentos\MALENTIN KARIME\MANDATOS JUDICIALES\JOSE MIGUEL TABILO\LUIS PEÑAFIEL JAIME 2017.doc", "Abrir Documento")</f>
        <v>0</v>
      </c>
      <c r="D5750" t="s">
        <v>23500</v>
      </c>
      <c r="E5750" t="s">
        <v>28469</v>
      </c>
    </row>
    <row r="5751" spans="1:5">
      <c r="A5751" t="s">
        <v>6</v>
      </c>
      <c r="B5751" t="s">
        <v>5756</v>
      </c>
      <c r="C5751">
        <f>HYPERLINK("C:\Users\franc\OneDrive\Documentos\MALENTIN KARIME\MANDATOS JUDICIALES\JOSE MIGUEL TABILO\MARIA MUÑOZ ESPINOSA.doc", "Abrir Documento")</f>
        <v>0</v>
      </c>
      <c r="D5751" t="s">
        <v>23500</v>
      </c>
      <c r="E5751" t="s">
        <v>28469</v>
      </c>
    </row>
    <row r="5752" spans="1:5">
      <c r="A5752" t="s">
        <v>6</v>
      </c>
      <c r="B5752" t="s">
        <v>5757</v>
      </c>
      <c r="C5752">
        <f>HYPERLINK("C:\Users\franc\OneDrive\Documentos\MALENTIN KARIME\MANDATOS JUDICIALES\JOSE MIGUEL TABILO\LUIS BORQUEZ MICHEA A JOSE TABILO GOMILAMandato con formato notaria.doc", "Abrir Documento")</f>
        <v>0</v>
      </c>
      <c r="D5752" t="s">
        <v>23500</v>
      </c>
      <c r="E5752" t="s">
        <v>28470</v>
      </c>
    </row>
    <row r="5753" spans="1:5">
      <c r="A5753" t="s">
        <v>6</v>
      </c>
      <c r="B5753" t="s">
        <v>5758</v>
      </c>
      <c r="C5753">
        <f>HYPERLINK("C:\Users\franc\OneDrive\Documentos\MALENTIN KARIME\MANDATOS JUDICIALES\JOSE MIGUEL TABILO\LITAPEL S.A..doc", "Abrir Documento")</f>
        <v>0</v>
      </c>
      <c r="D5753" t="s">
        <v>23500</v>
      </c>
      <c r="E5753" t="s">
        <v>28471</v>
      </c>
    </row>
    <row r="5754" spans="1:5">
      <c r="A5754" t="s">
        <v>6</v>
      </c>
      <c r="B5754" t="s">
        <v>5759</v>
      </c>
      <c r="C5754">
        <f>HYPERLINK("C:\Users\franc\OneDrive\Documentos\MALENTIN KARIME\MANDATOS JUDICIALES\JOSE MIGUEL TABILO\JESSICA AREYUNA.doc", "Abrir Documento")</f>
        <v>0</v>
      </c>
      <c r="D5754" t="s">
        <v>23500</v>
      </c>
      <c r="E5754" t="s">
        <v>28472</v>
      </c>
    </row>
    <row r="5755" spans="1:5">
      <c r="A5755" t="s">
        <v>6</v>
      </c>
      <c r="B5755" t="s">
        <v>5760</v>
      </c>
      <c r="C5755">
        <f>HYPERLINK("C:\Users\franc\OneDrive\Documentos\MALENTIN KARIME\MANDATOS JUDICIALES\JOSE MIGUEL TABILO\FRANCO CASTRO GOMEZ.doc", "Abrir Documento")</f>
        <v>0</v>
      </c>
      <c r="D5755" t="s">
        <v>23500</v>
      </c>
      <c r="E5755" t="s">
        <v>28473</v>
      </c>
    </row>
    <row r="5756" spans="1:5">
      <c r="A5756" t="s">
        <v>6</v>
      </c>
      <c r="B5756" t="s">
        <v>5761</v>
      </c>
      <c r="C5756">
        <f>HYPERLINK("C:\Users\franc\OneDrive\Documentos\MALENTIN KARIME\MANDATOS JUDICIALES\JOSE MIGUEL TABILO\CAROLINA JIMENEZ.doc", "Abrir Documento")</f>
        <v>0</v>
      </c>
      <c r="D5756" t="s">
        <v>23500</v>
      </c>
      <c r="E5756" t="s">
        <v>28474</v>
      </c>
    </row>
    <row r="5757" spans="1:5">
      <c r="A5757" t="s">
        <v>6</v>
      </c>
      <c r="B5757" t="s">
        <v>5762</v>
      </c>
      <c r="C5757">
        <f>HYPERLINK("C:\Users\franc\OneDrive\Documentos\MALENTIN KARIME\MANDATOS JUDICIALES\JOSE MIGUEL TABILO\AVELINO BARRAZA.doc", "Abrir Documento")</f>
        <v>0</v>
      </c>
      <c r="D5757" t="s">
        <v>23500</v>
      </c>
      <c r="E5757" t="s">
        <v>28475</v>
      </c>
    </row>
    <row r="5758" spans="1:5">
      <c r="A5758" t="s">
        <v>6</v>
      </c>
      <c r="B5758" t="s">
        <v>5763</v>
      </c>
      <c r="C5758">
        <f>HYPERLINK("C:\Users\franc\OneDrive\Documentos\MALENTIN KARIME\MANDATOS JUDICIALES\JOSE MIGUEL TABILO\ANDRES ROJAS RIVERA.doc", "Abrir Documento")</f>
        <v>0</v>
      </c>
      <c r="D5758" t="s">
        <v>23500</v>
      </c>
      <c r="E5758" t="s">
        <v>28476</v>
      </c>
    </row>
    <row r="5759" spans="1:5">
      <c r="A5759" t="s">
        <v>6</v>
      </c>
      <c r="B5759" t="s">
        <v>5764</v>
      </c>
      <c r="C5759">
        <f>HYPERLINK("C:\Users\franc\OneDrive\Documentos\MALENTIN KARIME\MANDATOS JUDICIALES\JOSE AMPUERO VALLADARES\SOCIEDAD CARGO NORTE.doc", "Abrir Documento")</f>
        <v>0</v>
      </c>
      <c r="D5759" t="s">
        <v>23500</v>
      </c>
      <c r="E5759" t="s">
        <v>28477</v>
      </c>
    </row>
    <row r="5760" spans="1:5">
      <c r="A5760" t="s">
        <v>6</v>
      </c>
      <c r="B5760" t="s">
        <v>5765</v>
      </c>
      <c r="C5760">
        <f>HYPERLINK("C:\Users\franc\OneDrive\Documentos\MALENTIN KARIME\MANDATOS JUDICIALES\JOSE ILABACA\MARIA FARIAS Y OTRO.doc", "Abrir Documento")</f>
        <v>0</v>
      </c>
      <c r="D5760" t="s">
        <v>23500</v>
      </c>
      <c r="E5760" t="s">
        <v>28477</v>
      </c>
    </row>
    <row r="5761" spans="1:5">
      <c r="A5761" t="s">
        <v>6</v>
      </c>
      <c r="B5761" t="s">
        <v>5766</v>
      </c>
      <c r="C5761">
        <f>HYPERLINK("C:\Users\franc\OneDrive\Documentos\MALENTIN KARIME\MANDATOS JUDICIALES\JORGE ALVARADO\2019\RAFAEL ORTIZ ROJAS.doc", "Abrir Documento")</f>
        <v>0</v>
      </c>
      <c r="D5761" t="s">
        <v>23500</v>
      </c>
      <c r="E5761" t="s">
        <v>28478</v>
      </c>
    </row>
    <row r="5762" spans="1:5">
      <c r="A5762" t="s">
        <v>6</v>
      </c>
      <c r="B5762" t="s">
        <v>5767</v>
      </c>
      <c r="C5762">
        <f>HYPERLINK("C:\Users\franc\OneDrive\Documentos\MALENTIN KARIME\MANDATOS JUDICIALES\JORGE ALVARADO\2019\LUIS COLLAO BRAVO.doc", "Abrir Documento")</f>
        <v>0</v>
      </c>
      <c r="D5762" t="s">
        <v>23500</v>
      </c>
      <c r="E5762" t="s">
        <v>28479</v>
      </c>
    </row>
    <row r="5763" spans="1:5">
      <c r="A5763" t="s">
        <v>6</v>
      </c>
      <c r="B5763" t="s">
        <v>5768</v>
      </c>
      <c r="C5763">
        <f>HYPERLINK("C:\Users\franc\OneDrive\Documentos\MALENTIN KARIME\MANDATOS JUDICIALES\JORGE ALVARADO\2019\ESMILDA RUBINA.doc", "Abrir Documento")</f>
        <v>0</v>
      </c>
      <c r="D5763" t="s">
        <v>23500</v>
      </c>
      <c r="E5763" t="s">
        <v>28480</v>
      </c>
    </row>
    <row r="5764" spans="1:5">
      <c r="A5764" t="s">
        <v>6</v>
      </c>
      <c r="B5764" t="s">
        <v>5769</v>
      </c>
      <c r="C5764">
        <f>HYPERLINK("C:\Users\franc\OneDrive\Documentos\MALENTIN KARIME\MANDATOS JUDICIALES\JORGE ALVARADO\2019\ELIZABETH CARRERA 2020.doc", "Abrir Documento")</f>
        <v>0</v>
      </c>
      <c r="D5764" t="s">
        <v>23500</v>
      </c>
      <c r="E5764" t="s">
        <v>28481</v>
      </c>
    </row>
    <row r="5765" spans="1:5">
      <c r="A5765" t="s">
        <v>6</v>
      </c>
      <c r="B5765" t="s">
        <v>5770</v>
      </c>
      <c r="C5765">
        <f>HYPERLINK("C:\Users\franc\OneDrive\Documentos\MALENTIN KARIME\MANDATOS JUDICIALES\JORGE ALVARADO\2019\DANIEL MONARDES.doc", "Abrir Documento")</f>
        <v>0</v>
      </c>
      <c r="D5765" t="s">
        <v>23500</v>
      </c>
      <c r="E5765" t="s">
        <v>28482</v>
      </c>
    </row>
    <row r="5766" spans="1:5">
      <c r="A5766" t="s">
        <v>6</v>
      </c>
      <c r="B5766" t="s">
        <v>5771</v>
      </c>
      <c r="C5766">
        <f>HYPERLINK("C:\Users\franc\OneDrive\Documentos\MALENTIN KARIME\MANDATOS JUDICIALES\JORGE ALVARADO\2019\CLAUDIO ANDRADE.doc", "Abrir Documento")</f>
        <v>0</v>
      </c>
      <c r="D5766" t="s">
        <v>23500</v>
      </c>
      <c r="E5766" t="s">
        <v>28483</v>
      </c>
    </row>
    <row r="5767" spans="1:5">
      <c r="A5767" t="s">
        <v>6</v>
      </c>
      <c r="B5767" t="s">
        <v>5772</v>
      </c>
      <c r="C5767">
        <f>HYPERLINK("C:\Users\franc\OneDrive\Documentos\MALENTIN KARIME\MANDATOS JUDICIALES\JORGE ALVARADO\2016\ZALVA LAHSEN 2018.doc", "Abrir Documento")</f>
        <v>0</v>
      </c>
      <c r="D5767" t="s">
        <v>23500</v>
      </c>
      <c r="E5767" t="s">
        <v>28484</v>
      </c>
    </row>
    <row r="5768" spans="1:5">
      <c r="A5768" t="s">
        <v>6</v>
      </c>
      <c r="B5768" t="s">
        <v>5773</v>
      </c>
      <c r="C5768">
        <f>HYPERLINK("C:\Users\franc\OneDrive\Documentos\MALENTIN KARIME\MANDATOS JUDICIALES\JORGE ALVARADO\2016\YESENIA ESPINOSA.doc", "Abrir Documento")</f>
        <v>0</v>
      </c>
      <c r="D5768" t="s">
        <v>23500</v>
      </c>
      <c r="E5768" t="s">
        <v>28485</v>
      </c>
    </row>
    <row r="5769" spans="1:5">
      <c r="A5769" t="s">
        <v>6</v>
      </c>
      <c r="B5769" t="s">
        <v>5774</v>
      </c>
      <c r="C5769">
        <f>HYPERLINK("C:\Users\franc\OneDrive\Documentos\MALENTIN KARIME\MANDATOS JUDICIALES\JORGE ALVARADO\2016\YENNY PEREIRA Y OTRO.doc", "Abrir Documento")</f>
        <v>0</v>
      </c>
      <c r="D5769" t="s">
        <v>23500</v>
      </c>
      <c r="E5769" t="s">
        <v>28486</v>
      </c>
    </row>
    <row r="5770" spans="1:5">
      <c r="A5770" t="s">
        <v>6</v>
      </c>
      <c r="B5770" t="s">
        <v>5775</v>
      </c>
      <c r="C5770">
        <f>HYPERLINK("C:\Users\franc\OneDrive\Documentos\MALENTIN KARIME\MANDATOS JUDICIALES\JORGE ALVARADO\2016\VIOLETA ROJAS CORTES 2018.doc", "Abrir Documento")</f>
        <v>0</v>
      </c>
      <c r="D5770" t="s">
        <v>23500</v>
      </c>
      <c r="E5770" t="s">
        <v>28487</v>
      </c>
    </row>
    <row r="5771" spans="1:5">
      <c r="A5771" t="s">
        <v>6</v>
      </c>
      <c r="B5771" t="s">
        <v>5776</v>
      </c>
      <c r="C5771">
        <f>HYPERLINK("C:\Users\franc\OneDrive\Documentos\MALENTIN KARIME\MANDATOS JUDICIALES\JORGE ALVARADO\2016\SANDRA REYES ROJAS.doc", "Abrir Documento")</f>
        <v>0</v>
      </c>
      <c r="D5771" t="s">
        <v>23500</v>
      </c>
      <c r="E5771" t="s">
        <v>28488</v>
      </c>
    </row>
    <row r="5772" spans="1:5">
      <c r="A5772" t="s">
        <v>6</v>
      </c>
      <c r="B5772" t="s">
        <v>5777</v>
      </c>
      <c r="C5772">
        <f>HYPERLINK("C:\Users\franc\OneDrive\Documentos\MALENTIN KARIME\MANDATOS JUDICIALES\JORGE ALVARADO\2016\SABINA MILLALONCO.doc", "Abrir Documento")</f>
        <v>0</v>
      </c>
      <c r="D5772" t="s">
        <v>23500</v>
      </c>
      <c r="E5772" t="s">
        <v>28489</v>
      </c>
    </row>
    <row r="5773" spans="1:5">
      <c r="A5773" t="s">
        <v>6</v>
      </c>
      <c r="B5773" t="s">
        <v>5778</v>
      </c>
      <c r="C5773">
        <f>HYPERLINK("C:\Users\franc\OneDrive\Documentos\MALENTIN KARIME\MANDATOS JUDICIALES\JORGE ALVARADO\2016\ROSA ARAYA ROJAS2018.doc", "Abrir Documento")</f>
        <v>0</v>
      </c>
      <c r="D5773" t="s">
        <v>23500</v>
      </c>
      <c r="E5773" t="s">
        <v>28490</v>
      </c>
    </row>
    <row r="5774" spans="1:5">
      <c r="A5774" t="s">
        <v>6</v>
      </c>
      <c r="B5774" t="s">
        <v>5779</v>
      </c>
      <c r="C5774">
        <f>HYPERLINK("C:\Users\franc\OneDrive\Documentos\MALENTIN KARIME\MANDATOS JUDICIALES\JORGE ALVARADO\2016\PATRICIO IBACACHE ARAYA.doc", "Abrir Documento")</f>
        <v>0</v>
      </c>
      <c r="D5774" t="s">
        <v>23500</v>
      </c>
      <c r="E5774" t="s">
        <v>28491</v>
      </c>
    </row>
    <row r="5775" spans="1:5">
      <c r="A5775" t="s">
        <v>6</v>
      </c>
      <c r="B5775" t="s">
        <v>5780</v>
      </c>
      <c r="C5775">
        <f>HYPERLINK("C:\Users\franc\OneDrive\Documentos\MALENTIN KARIME\MANDATOS JUDICIALES\JORGE ALVARADO\2016\PABLO MUÑOZ TABILO 2018 Hernan.doc", "Abrir Documento")</f>
        <v>0</v>
      </c>
      <c r="D5775" t="s">
        <v>23500</v>
      </c>
      <c r="E5775" t="s">
        <v>28492</v>
      </c>
    </row>
    <row r="5776" spans="1:5">
      <c r="A5776" t="s">
        <v>6</v>
      </c>
      <c r="B5776" t="s">
        <v>5781</v>
      </c>
      <c r="C5776">
        <f>HYPERLINK("C:\Users\franc\OneDrive\Documentos\MALENTIN KARIME\MANDATOS JUDICIALES\JORGE ALVARADO\2016\OSCAR MARIN ARAYA2017.doc", "Abrir Documento")</f>
        <v>0</v>
      </c>
      <c r="D5776" t="s">
        <v>23500</v>
      </c>
      <c r="E5776" t="s">
        <v>28493</v>
      </c>
    </row>
    <row r="5777" spans="1:5">
      <c r="A5777" t="s">
        <v>6</v>
      </c>
      <c r="B5777" t="s">
        <v>5782</v>
      </c>
      <c r="C5777">
        <f>HYPERLINK("C:\Users\franc\OneDrive\Documentos\MALENTIN KARIME\MANDATOS JUDICIALES\JORGE ALVARADO\2016\OSCAR COLLAO DIAZ 2018.doc", "Abrir Documento")</f>
        <v>0</v>
      </c>
      <c r="D5777" t="s">
        <v>23500</v>
      </c>
      <c r="E5777" t="s">
        <v>28494</v>
      </c>
    </row>
    <row r="5778" spans="1:5">
      <c r="A5778" t="s">
        <v>6</v>
      </c>
      <c r="B5778" t="s">
        <v>5783</v>
      </c>
      <c r="C5778">
        <f>HYPERLINK("C:\Users\franc\OneDrive\Documentos\MALENTIN KARIME\MANDATOS JUDICIALES\JORGE ALVARADO\2016\MONICA MARIN 2017.doc", "Abrir Documento")</f>
        <v>0</v>
      </c>
      <c r="D5778" t="s">
        <v>23500</v>
      </c>
      <c r="E5778" t="s">
        <v>28495</v>
      </c>
    </row>
    <row r="5779" spans="1:5">
      <c r="A5779" t="s">
        <v>6</v>
      </c>
      <c r="B5779" t="s">
        <v>5784</v>
      </c>
      <c r="C5779">
        <f>HYPERLINK("C:\Users\franc\OneDrive\Documentos\MALENTIN KARIME\MANDATOS JUDICIALES\JORGE ALVARADO\2016\MIRIAM FIGUEROA 2016.doc", "Abrir Documento")</f>
        <v>0</v>
      </c>
      <c r="D5779" t="s">
        <v>23500</v>
      </c>
      <c r="E5779" t="s">
        <v>28496</v>
      </c>
    </row>
    <row r="5780" spans="1:5">
      <c r="A5780" t="s">
        <v>6</v>
      </c>
      <c r="B5780" t="s">
        <v>5785</v>
      </c>
      <c r="C5780">
        <f>HYPERLINK("C:\Users\franc\OneDrive\Documentos\MALENTIN KARIME\MANDATOS JUDICIALES\JORGE ALVARADO\2016\MAVIS GUERRERO 2017.doc", "Abrir Documento")</f>
        <v>0</v>
      </c>
      <c r="D5780" t="s">
        <v>23500</v>
      </c>
      <c r="E5780" t="s">
        <v>28497</v>
      </c>
    </row>
    <row r="5781" spans="1:5">
      <c r="A5781" t="s">
        <v>6</v>
      </c>
      <c r="B5781" t="s">
        <v>5786</v>
      </c>
      <c r="C5781">
        <f>HYPERLINK("C:\Users\franc\OneDrive\Documentos\MALENTIN KARIME\MANDATOS JUDICIALES\JORGE ALVARADO\2016\MARIA TAVILO VERAS.doc", "Abrir Documento")</f>
        <v>0</v>
      </c>
      <c r="D5781" t="s">
        <v>23500</v>
      </c>
      <c r="E5781" t="s">
        <v>28498</v>
      </c>
    </row>
    <row r="5782" spans="1:5">
      <c r="A5782" t="s">
        <v>6</v>
      </c>
      <c r="B5782" t="s">
        <v>5787</v>
      </c>
      <c r="C5782">
        <f>HYPERLINK("C:\Users\franc\OneDrive\Documentos\MALENTIN KARIME\MANDATOS JUDICIALES\JORGE ALVARADO\2016\MARIA OLIVARES ARAYA.doc", "Abrir Documento")</f>
        <v>0</v>
      </c>
      <c r="D5782" t="s">
        <v>23500</v>
      </c>
      <c r="E5782" t="s">
        <v>28499</v>
      </c>
    </row>
    <row r="5783" spans="1:5">
      <c r="A5783" t="s">
        <v>6</v>
      </c>
      <c r="B5783" t="s">
        <v>5788</v>
      </c>
      <c r="C5783">
        <f>HYPERLINK("C:\Users\franc\OneDrive\Documentos\MALENTIN KARIME\MANDATOS JUDICIALES\JORGE ALVARADO\2016\MARIA GONZALEZ CONTRERAS 2018.doc", "Abrir Documento")</f>
        <v>0</v>
      </c>
      <c r="D5783" t="s">
        <v>23500</v>
      </c>
      <c r="E5783" t="s">
        <v>28500</v>
      </c>
    </row>
    <row r="5784" spans="1:5">
      <c r="A5784" t="s">
        <v>6</v>
      </c>
      <c r="B5784" t="s">
        <v>5789</v>
      </c>
      <c r="C5784">
        <f>HYPERLINK("C:\Users\franc\OneDrive\Documentos\MALENTIN KARIME\MANDATOS JUDICIALES\JORGE ALVARADO\2016\MARIA CONTRERAS MALUENDA.doc", "Abrir Documento")</f>
        <v>0</v>
      </c>
      <c r="D5784" t="s">
        <v>23500</v>
      </c>
      <c r="E5784" t="s">
        <v>28501</v>
      </c>
    </row>
    <row r="5785" spans="1:5">
      <c r="A5785" t="s">
        <v>6</v>
      </c>
      <c r="B5785" t="s">
        <v>5790</v>
      </c>
      <c r="C5785">
        <f>HYPERLINK("C:\Users\franc\OneDrive\Documentos\MALENTIN KARIME\MANDATOS JUDICIALES\JORGE ALVARADO\2016\MARCELO OLIVARES ROJAS.doc", "Abrir Documento")</f>
        <v>0</v>
      </c>
      <c r="D5785" t="s">
        <v>23500</v>
      </c>
      <c r="E5785" t="s">
        <v>28502</v>
      </c>
    </row>
    <row r="5786" spans="1:5">
      <c r="A5786" t="s">
        <v>6</v>
      </c>
      <c r="B5786" t="s">
        <v>5791</v>
      </c>
      <c r="C5786">
        <f>HYPERLINK("C:\Users\franc\OneDrive\Documentos\MALENTIN KARIME\MANDATOS JUDICIALES\JORGE ALVARADO\2016\MARCELA PENNA 2017.doc", "Abrir Documento")</f>
        <v>0</v>
      </c>
      <c r="D5786" t="s">
        <v>23500</v>
      </c>
      <c r="E5786" t="s">
        <v>28503</v>
      </c>
    </row>
    <row r="5787" spans="1:5">
      <c r="A5787" t="s">
        <v>6</v>
      </c>
      <c r="B5787" t="s">
        <v>5792</v>
      </c>
      <c r="C5787">
        <f>HYPERLINK("C:\Users\franc\OneDrive\Documentos\MALENTIN KARIME\MANDATOS JUDICIALES\JORGE ALVARADO\2016\MACARENA SAAVEDRA 2017.doc", "Abrir Documento")</f>
        <v>0</v>
      </c>
      <c r="D5787" t="s">
        <v>23500</v>
      </c>
      <c r="E5787" t="s">
        <v>28504</v>
      </c>
    </row>
    <row r="5788" spans="1:5">
      <c r="A5788" t="s">
        <v>6</v>
      </c>
      <c r="B5788" t="s">
        <v>5793</v>
      </c>
      <c r="C5788">
        <f>HYPERLINK("C:\Users\franc\OneDrive\Documentos\MALENTIN KARIME\MANDATOS JUDICIALES\JORGE ALVARADO\2016\JULIO MUÑOZ CORTES 2017.doc", "Abrir Documento")</f>
        <v>0</v>
      </c>
      <c r="D5788" t="s">
        <v>23500</v>
      </c>
      <c r="E5788" t="s">
        <v>28505</v>
      </c>
    </row>
    <row r="5789" spans="1:5">
      <c r="A5789" t="s">
        <v>6</v>
      </c>
      <c r="B5789" t="s">
        <v>5794</v>
      </c>
      <c r="C5789">
        <f>HYPERLINK("C:\Users\franc\OneDrive\Documentos\MALENTIN KARIME\MANDATOS JUDICIALES\JORGE ALVARADO\2016\JULIO SALAS OLIVARES 2018.doc", "Abrir Documento")</f>
        <v>0</v>
      </c>
      <c r="D5789" t="s">
        <v>23500</v>
      </c>
      <c r="E5789" t="s">
        <v>28505</v>
      </c>
    </row>
    <row r="5790" spans="1:5">
      <c r="A5790" t="s">
        <v>6</v>
      </c>
      <c r="B5790" t="s">
        <v>5795</v>
      </c>
      <c r="C5790">
        <f>HYPERLINK("C:\Users\franc\OneDrive\Documentos\MALENTIN KARIME\MANDATOS JUDICIALES\JORGE ALVARADO\2016\JOSE VALENZUELA.doc", "Abrir Documento")</f>
        <v>0</v>
      </c>
      <c r="D5790" t="s">
        <v>23500</v>
      </c>
      <c r="E5790" t="s">
        <v>28506</v>
      </c>
    </row>
    <row r="5791" spans="1:5">
      <c r="A5791" t="s">
        <v>6</v>
      </c>
      <c r="B5791" t="s">
        <v>5796</v>
      </c>
      <c r="C5791">
        <f>HYPERLINK("C:\Users\franc\OneDrive\Documentos\MALENTIN KARIME\MANDATOS JUDICIALES\JORGE ALVARADO\2016\JOSE GALLEGUILLOS CARVAJAL Hernan2018.doc", "Abrir Documento")</f>
        <v>0</v>
      </c>
      <c r="D5791" t="s">
        <v>23500</v>
      </c>
      <c r="E5791" t="s">
        <v>28507</v>
      </c>
    </row>
    <row r="5792" spans="1:5">
      <c r="A5792" t="s">
        <v>6</v>
      </c>
      <c r="B5792" t="s">
        <v>5797</v>
      </c>
      <c r="C5792">
        <f>HYPERLINK("C:\Users\franc\OneDrive\Documentos\MALENTIN KARIME\MANDATOS JUDICIALES\JORGE ALVARADO\2016\JORGE CAMPOS ALVARADO 2017.doc", "Abrir Documento")</f>
        <v>0</v>
      </c>
      <c r="D5792" t="s">
        <v>23500</v>
      </c>
      <c r="E5792" t="s">
        <v>28508</v>
      </c>
    </row>
    <row r="5793" spans="1:5">
      <c r="A5793" t="s">
        <v>6</v>
      </c>
      <c r="B5793" t="s">
        <v>5798</v>
      </c>
      <c r="C5793">
        <f>HYPERLINK("C:\Users\franc\OneDrive\Documentos\MALENTIN KARIME\MANDATOS JUDICIALES\JORGE ALVARADO\2016\HECTOR ELGUETA NARANJO  2018.doc", "Abrir Documento")</f>
        <v>0</v>
      </c>
      <c r="D5793" t="s">
        <v>23500</v>
      </c>
      <c r="E5793" t="s">
        <v>28509</v>
      </c>
    </row>
    <row r="5794" spans="1:5">
      <c r="A5794" t="s">
        <v>6</v>
      </c>
      <c r="B5794" t="s">
        <v>5799</v>
      </c>
      <c r="C5794">
        <f>HYPERLINK("C:\Users\franc\OneDrive\Documentos\MALENTIN KARIME\MANDATOS JUDICIALES\JORGE ALVARADO\2016\ISMAEL TORRES ARAYA 2018.doc", "Abrir Documento")</f>
        <v>0</v>
      </c>
      <c r="D5794" t="s">
        <v>23500</v>
      </c>
      <c r="E5794" t="s">
        <v>28509</v>
      </c>
    </row>
    <row r="5795" spans="1:5">
      <c r="A5795" t="s">
        <v>6</v>
      </c>
      <c r="B5795" t="s">
        <v>5800</v>
      </c>
      <c r="C5795">
        <f>HYPERLINK("C:\Users\franc\OneDrive\Documentos\MALENTIN KARIME\MANDATOS JUDICIALES\JORGE ALVARADO\2016\GLADYS TELLO TAPIA.doc", "Abrir Documento")</f>
        <v>0</v>
      </c>
      <c r="D5795" t="s">
        <v>23500</v>
      </c>
      <c r="E5795" t="s">
        <v>28510</v>
      </c>
    </row>
    <row r="5796" spans="1:5">
      <c r="A5796" t="s">
        <v>6</v>
      </c>
      <c r="B5796" t="s">
        <v>5801</v>
      </c>
      <c r="C5796">
        <f>HYPERLINK("C:\Users\franc\OneDrive\Documentos\MALENTIN KARIME\MANDATOS JUDICIALES\JORGE ALVARADO\2016\GEORGINA RIVERA.doc", "Abrir Documento")</f>
        <v>0</v>
      </c>
      <c r="D5796" t="s">
        <v>23500</v>
      </c>
      <c r="E5796" t="s">
        <v>28511</v>
      </c>
    </row>
    <row r="5797" spans="1:5">
      <c r="A5797" t="s">
        <v>6</v>
      </c>
      <c r="B5797" t="s">
        <v>5802</v>
      </c>
      <c r="C5797">
        <f>HYPERLINK("C:\Users\franc\OneDrive\Documentos\MALENTIN KARIME\MANDATOS JUDICIALES\JORGE ALVARADO\2016\EVA CARDENAS PASTEN.doc", "Abrir Documento")</f>
        <v>0</v>
      </c>
      <c r="D5797" t="s">
        <v>23500</v>
      </c>
      <c r="E5797" t="s">
        <v>28512</v>
      </c>
    </row>
    <row r="5798" spans="1:5">
      <c r="A5798" t="s">
        <v>6</v>
      </c>
      <c r="B5798" t="s">
        <v>5803</v>
      </c>
      <c r="C5798">
        <f>HYPERLINK("C:\Users\franc\OneDrive\Documentos\MALENTIN KARIME\MANDATOS JUDICIALES\JORGE ALVARADO\2016\ENRIQUE MARAMBIO.doc", "Abrir Documento")</f>
        <v>0</v>
      </c>
      <c r="D5798" t="s">
        <v>23500</v>
      </c>
      <c r="E5798" t="s">
        <v>28513</v>
      </c>
    </row>
    <row r="5799" spans="1:5">
      <c r="A5799" t="s">
        <v>6</v>
      </c>
      <c r="B5799" t="s">
        <v>5804</v>
      </c>
      <c r="C5799">
        <f>HYPERLINK("C:\Users\franc\OneDrive\Documentos\MALENTIN KARIME\MANDATOS JUDICIALES\JORGE ALVARADO\2016\ELIANA ECHEVERRIA 2017.doc", "Abrir Documento")</f>
        <v>0</v>
      </c>
      <c r="D5799" t="s">
        <v>23500</v>
      </c>
      <c r="E5799" t="s">
        <v>28514</v>
      </c>
    </row>
    <row r="5800" spans="1:5">
      <c r="A5800" t="s">
        <v>6</v>
      </c>
      <c r="B5800" t="s">
        <v>5805</v>
      </c>
      <c r="C5800">
        <f>HYPERLINK("C:\Users\franc\OneDrive\Documentos\MALENTIN KARIME\MANDATOS JUDICIALES\JORGE ALVARADO\2016\DOMINIQUE RIVERA.doc", "Abrir Documento")</f>
        <v>0</v>
      </c>
      <c r="D5800" t="s">
        <v>23500</v>
      </c>
      <c r="E5800" t="s">
        <v>28515</v>
      </c>
    </row>
    <row r="5801" spans="1:5">
      <c r="A5801" t="s">
        <v>6</v>
      </c>
      <c r="B5801" t="s">
        <v>5806</v>
      </c>
      <c r="C5801">
        <f>HYPERLINK("C:\Users\franc\OneDrive\Documentos\MALENTIN KARIME\MANDATOS JUDICIALES\JORGE ALVARADO\2016\DIEGO RAMIREZ BEJARANO Y OTRO.doc", "Abrir Documento")</f>
        <v>0</v>
      </c>
      <c r="D5801" t="s">
        <v>23500</v>
      </c>
      <c r="E5801" t="s">
        <v>28516</v>
      </c>
    </row>
    <row r="5802" spans="1:5">
      <c r="A5802" t="s">
        <v>6</v>
      </c>
      <c r="B5802" t="s">
        <v>5807</v>
      </c>
      <c r="C5802">
        <f>HYPERLINK("C:\Users\franc\OneDrive\Documentos\MALENTIN KARIME\MANDATOS JUDICIALES\JORGE ALVARADO\2016\DELICIA ALUCEMA 2018.doc", "Abrir Documento")</f>
        <v>0</v>
      </c>
      <c r="D5802" t="s">
        <v>23500</v>
      </c>
      <c r="E5802" t="s">
        <v>28517</v>
      </c>
    </row>
    <row r="5803" spans="1:5">
      <c r="A5803" t="s">
        <v>6</v>
      </c>
      <c r="B5803" t="s">
        <v>5808</v>
      </c>
      <c r="C5803">
        <f>HYPERLINK("C:\Users\franc\OneDrive\Documentos\MALENTIN KARIME\MANDATOS JUDICIALES\JORGE ALVARADO\2016\CHRISTIAN ALBANEZ 2018.doc", "Abrir Documento")</f>
        <v>0</v>
      </c>
      <c r="D5803" t="s">
        <v>23500</v>
      </c>
      <c r="E5803" t="s">
        <v>28518</v>
      </c>
    </row>
    <row r="5804" spans="1:5">
      <c r="A5804" t="s">
        <v>6</v>
      </c>
      <c r="B5804" t="s">
        <v>5809</v>
      </c>
      <c r="C5804">
        <f>HYPERLINK("C:\Users\franc\OneDrive\Documentos\MALENTIN KARIME\MANDATOS JUDICIALES\JORGE ALVARADO\2016\CARLOS RAMOS GARCIA 2017.doc", "Abrir Documento")</f>
        <v>0</v>
      </c>
      <c r="D5804" t="s">
        <v>23500</v>
      </c>
      <c r="E5804" t="s">
        <v>28519</v>
      </c>
    </row>
    <row r="5805" spans="1:5">
      <c r="A5805" t="s">
        <v>6</v>
      </c>
      <c r="B5805" t="s">
        <v>5810</v>
      </c>
      <c r="C5805">
        <f>HYPERLINK("C:\Users\franc\OneDrive\Documentos\MALENTIN KARIME\MANDATOS JUDICIALES\JORGE ALVARADO\2016\CARLOS GALLARDO CARVAJAL 2018.doc", "Abrir Documento")</f>
        <v>0</v>
      </c>
      <c r="D5805" t="s">
        <v>23500</v>
      </c>
      <c r="E5805" t="s">
        <v>28520</v>
      </c>
    </row>
    <row r="5806" spans="1:5">
      <c r="A5806" t="s">
        <v>6</v>
      </c>
      <c r="B5806" t="s">
        <v>5811</v>
      </c>
      <c r="C5806">
        <f>HYPERLINK("C:\Users\franc\OneDrive\Documentos\MALENTIN KARIME\MANDATOS JUDICIALES\JORGE ALVARADO\2016\ARNOLDO VALLEJOS 2017.doc", "Abrir Documento")</f>
        <v>0</v>
      </c>
      <c r="D5806" t="s">
        <v>23500</v>
      </c>
      <c r="E5806" t="s">
        <v>28521</v>
      </c>
    </row>
    <row r="5807" spans="1:5">
      <c r="A5807" t="s">
        <v>6</v>
      </c>
      <c r="B5807" t="s">
        <v>5812</v>
      </c>
      <c r="C5807">
        <f>HYPERLINK("C:\Users\franc\OneDrive\Documentos\MALENTIN KARIME\MANDATOS JUDICIALES\JORGE ALVARADO\2016\ARMIN TERRAZAS.doc", "Abrir Documento")</f>
        <v>0</v>
      </c>
      <c r="D5807" t="s">
        <v>23500</v>
      </c>
      <c r="E5807" t="s">
        <v>28522</v>
      </c>
    </row>
    <row r="5808" spans="1:5">
      <c r="A5808" t="s">
        <v>6</v>
      </c>
      <c r="B5808" t="s">
        <v>5813</v>
      </c>
      <c r="C5808">
        <f>HYPERLINK("C:\Users\franc\OneDrive\Documentos\MALENTIN KARIME\MANDATOS JUDICIALES\JORGE ALVARADO\2016\ARINDO PASTEN.doc", "Abrir Documento")</f>
        <v>0</v>
      </c>
      <c r="D5808" t="s">
        <v>23500</v>
      </c>
      <c r="E5808" t="s">
        <v>28523</v>
      </c>
    </row>
    <row r="5809" spans="1:5">
      <c r="A5809" t="s">
        <v>6</v>
      </c>
      <c r="B5809" t="s">
        <v>5814</v>
      </c>
      <c r="C5809">
        <f>HYPERLINK("C:\Users\franc\OneDrive\Documentos\MALENTIN KARIME\MANDATOS JUDICIALES\JORGE ALVARADO\2016\ANA RODRIGUEZ PIZARRO.doc", "Abrir Documento")</f>
        <v>0</v>
      </c>
      <c r="D5809" t="s">
        <v>23500</v>
      </c>
      <c r="E5809" t="s">
        <v>28524</v>
      </c>
    </row>
    <row r="5810" spans="1:5">
      <c r="A5810" t="s">
        <v>6</v>
      </c>
      <c r="B5810" t="s">
        <v>5815</v>
      </c>
      <c r="C5810">
        <f>HYPERLINK("C:\Users\franc\OneDrive\Documentos\MALENTIN KARIME\MANDATOS JUDICIALES\JORGE ALVARADO\2015\YANETT FERNANDEZ.doc", "Abrir Documento")</f>
        <v>0</v>
      </c>
      <c r="D5810" t="s">
        <v>23500</v>
      </c>
      <c r="E5810" t="s">
        <v>28525</v>
      </c>
    </row>
    <row r="5811" spans="1:5">
      <c r="A5811" t="s">
        <v>6</v>
      </c>
      <c r="B5811" t="s">
        <v>5816</v>
      </c>
      <c r="C5811">
        <f>HYPERLINK("C:\Users\franc\OneDrive\Documentos\MALENTIN KARIME\MANDATOS JUDICIALES\JORGE ALVARADO\2015\SANDRA ROJAS.doc", "Abrir Documento")</f>
        <v>0</v>
      </c>
      <c r="D5811" t="s">
        <v>23500</v>
      </c>
      <c r="E5811" t="s">
        <v>28526</v>
      </c>
    </row>
    <row r="5812" spans="1:5">
      <c r="A5812" t="s">
        <v>6</v>
      </c>
      <c r="B5812" t="s">
        <v>5817</v>
      </c>
      <c r="C5812">
        <f>HYPERLINK("C:\Users\franc\OneDrive\Documentos\MALENTIN KARIME\MANDATOS JUDICIALES\JORGE ALVARADO\2015\RODRIGO VALDIVIA Y OTRO.doc", "Abrir Documento")</f>
        <v>0</v>
      </c>
      <c r="D5812" t="s">
        <v>23500</v>
      </c>
      <c r="E5812" t="s">
        <v>28527</v>
      </c>
    </row>
    <row r="5813" spans="1:5">
      <c r="A5813" t="s">
        <v>6</v>
      </c>
      <c r="B5813" t="s">
        <v>5818</v>
      </c>
      <c r="C5813">
        <f>HYPERLINK("C:\Users\franc\OneDrive\Documentos\MALENTIN KARIME\MANDATOS JUDICIALES\JORGE ALVARADO\2015\ROBINSON VALDIVIA.doc", "Abrir Documento")</f>
        <v>0</v>
      </c>
      <c r="D5813" t="s">
        <v>23500</v>
      </c>
      <c r="E5813" t="s">
        <v>28528</v>
      </c>
    </row>
    <row r="5814" spans="1:5">
      <c r="A5814" t="s">
        <v>6</v>
      </c>
      <c r="B5814" t="s">
        <v>5819</v>
      </c>
      <c r="C5814">
        <f>HYPERLINK("C:\Users\franc\OneDrive\Documentos\MALENTIN KARIME\MANDATOS JUDICIALES\JORGE ALVARADO\2015\PAOLA FERNANDEZ BONILLA.doc", "Abrir Documento")</f>
        <v>0</v>
      </c>
      <c r="D5814" t="s">
        <v>23500</v>
      </c>
      <c r="E5814" t="s">
        <v>28529</v>
      </c>
    </row>
    <row r="5815" spans="1:5">
      <c r="A5815" t="s">
        <v>6</v>
      </c>
      <c r="B5815" t="s">
        <v>5820</v>
      </c>
      <c r="C5815">
        <f>HYPERLINK("C:\Users\franc\OneDrive\Documentos\MALENTIN KARIME\MANDATOS JUDICIALES\JORGE ALVARADO\2015\LUIS PEÑAFIEL JAIME.doc", "Abrir Documento")</f>
        <v>0</v>
      </c>
      <c r="D5815" t="s">
        <v>23500</v>
      </c>
      <c r="E5815" t="s">
        <v>28530</v>
      </c>
    </row>
    <row r="5816" spans="1:5">
      <c r="A5816" t="s">
        <v>6</v>
      </c>
      <c r="B5816" t="s">
        <v>5821</v>
      </c>
      <c r="C5816">
        <f>HYPERLINK("C:\Users\franc\OneDrive\Documentos\MALENTIN KARIME\MANDATOS JUDICIALES\JORGE ALVARADO\2015\JULIA MARIN.doc", "Abrir Documento")</f>
        <v>0</v>
      </c>
      <c r="D5816" t="s">
        <v>23500</v>
      </c>
      <c r="E5816" t="s">
        <v>28531</v>
      </c>
    </row>
    <row r="5817" spans="1:5">
      <c r="A5817" t="s">
        <v>6</v>
      </c>
      <c r="B5817" t="s">
        <v>5822</v>
      </c>
      <c r="C5817">
        <f>HYPERLINK("C:\Users\franc\OneDrive\Documentos\MALENTIN KARIME\MANDATOS JUDICIALES\JORGE ALVARADO\2015\CINTYA ROJAS.doc", "Abrir Documento")</f>
        <v>0</v>
      </c>
      <c r="D5817" t="s">
        <v>23500</v>
      </c>
      <c r="E5817" t="s">
        <v>28532</v>
      </c>
    </row>
    <row r="5818" spans="1:5">
      <c r="A5818" t="s">
        <v>6</v>
      </c>
      <c r="B5818" t="s">
        <v>5823</v>
      </c>
      <c r="C5818">
        <f>HYPERLINK("C:\Users\franc\OneDrive\Documentos\MALENTIN KARIME\MANDATOS JUDICIALES\JORGE ALVARADO\2015\JACQUELINE CASTRO.doc", "Abrir Documento")</f>
        <v>0</v>
      </c>
      <c r="D5818" t="s">
        <v>23500</v>
      </c>
      <c r="E5818" t="s">
        <v>28532</v>
      </c>
    </row>
    <row r="5819" spans="1:5">
      <c r="A5819" t="s">
        <v>6</v>
      </c>
      <c r="B5819" t="s">
        <v>5824</v>
      </c>
      <c r="C5819">
        <f>HYPERLINK("C:\Users\franc\OneDrive\Documentos\MALENTIN KARIME\MANDATOS JUDICIALES\JORGE ALVARADO\2015\CECILIA ALBURQUENQUE.doc", "Abrir Documento")</f>
        <v>0</v>
      </c>
      <c r="D5819" t="s">
        <v>23500</v>
      </c>
      <c r="E5819" t="s">
        <v>28533</v>
      </c>
    </row>
    <row r="5820" spans="1:5">
      <c r="A5820" t="s">
        <v>6</v>
      </c>
      <c r="B5820" t="s">
        <v>5825</v>
      </c>
      <c r="C5820">
        <f>HYPERLINK("C:\Users\franc\OneDrive\Documentos\MALENTIN KARIME\MANDATOS JUDICIALES\JORGE ALVARADO\YENKA Y OTRO 2021.doc", "Abrir Documento")</f>
        <v>0</v>
      </c>
      <c r="D5820" t="s">
        <v>23500</v>
      </c>
      <c r="E5820" t="s">
        <v>28534</v>
      </c>
    </row>
    <row r="5821" spans="1:5">
      <c r="A5821" t="s">
        <v>6</v>
      </c>
      <c r="B5821" t="s">
        <v>5826</v>
      </c>
      <c r="C5821">
        <f>HYPERLINK("C:\Users\franc\OneDrive\Documentos\MALENTIN KARIME\MANDATOS JUDICIALES\JORGE ALVARADO\VICTOR GARCIA TAPIA.doc", "Abrir Documento")</f>
        <v>0</v>
      </c>
      <c r="D5821" t="s">
        <v>23500</v>
      </c>
      <c r="E5821" t="s">
        <v>28535</v>
      </c>
    </row>
    <row r="5822" spans="1:5">
      <c r="A5822" t="s">
        <v>6</v>
      </c>
      <c r="B5822" t="s">
        <v>5827</v>
      </c>
      <c r="C5822">
        <f>HYPERLINK("C:\Users\franc\OneDrive\Documentos\MALENTIN KARIME\MANDATOS JUDICIALES\JORGE ALVARADO\ULISES ROBLES EGAÑA.doc", "Abrir Documento")</f>
        <v>0</v>
      </c>
      <c r="D5822" t="s">
        <v>23500</v>
      </c>
      <c r="E5822" t="s">
        <v>28536</v>
      </c>
    </row>
    <row r="5823" spans="1:5">
      <c r="A5823" t="s">
        <v>6</v>
      </c>
      <c r="B5823" t="s">
        <v>5828</v>
      </c>
      <c r="C5823">
        <f>HYPERLINK("C:\Users\franc\OneDrive\Documentos\MALENTIN KARIME\MANDATOS JUDICIALES\JORGE ALVARADO\UBERLINDA VILLALOBOS.doc", "Abrir Documento")</f>
        <v>0</v>
      </c>
      <c r="D5823" t="s">
        <v>23500</v>
      </c>
      <c r="E5823" t="s">
        <v>28537</v>
      </c>
    </row>
    <row r="5824" spans="1:5">
      <c r="A5824" t="s">
        <v>6</v>
      </c>
      <c r="B5824" t="s">
        <v>5829</v>
      </c>
      <c r="C5824">
        <f>HYPERLINK("C:\Users\franc\OneDrive\Documentos\MALENTIN KARIME\MANDATOS JUDICIALES\JORGE ALVARADO\UBERLINDA VILLALOBOS 2014.doc", "Abrir Documento")</f>
        <v>0</v>
      </c>
      <c r="D5824" t="s">
        <v>23500</v>
      </c>
      <c r="E5824" t="s">
        <v>28538</v>
      </c>
    </row>
    <row r="5825" spans="1:5">
      <c r="A5825" t="s">
        <v>6</v>
      </c>
      <c r="B5825" t="s">
        <v>5830</v>
      </c>
      <c r="C5825">
        <f>HYPERLINK("C:\Users\franc\OneDrive\Documentos\MALENTIN KARIME\MANDATOS JUDICIALES\JORGE ALVARADO\SOLANGE SANTIBAÑEZ.doc", "Abrir Documento")</f>
        <v>0</v>
      </c>
      <c r="D5825" t="s">
        <v>23500</v>
      </c>
      <c r="E5825" t="s">
        <v>28539</v>
      </c>
    </row>
    <row r="5826" spans="1:5">
      <c r="A5826" t="s">
        <v>6</v>
      </c>
      <c r="B5826" t="s">
        <v>5831</v>
      </c>
      <c r="C5826">
        <f>HYPERLINK("C:\Users\franc\OneDrive\Documentos\MALENTIN KARIME\MANDATOS JUDICIALES\JORGE ALVARADO\ROSA GUERRERO.doc", "Abrir Documento")</f>
        <v>0</v>
      </c>
      <c r="D5826" t="s">
        <v>23500</v>
      </c>
      <c r="E5826" t="s">
        <v>28540</v>
      </c>
    </row>
    <row r="5827" spans="1:5">
      <c r="A5827" t="s">
        <v>6</v>
      </c>
      <c r="B5827" t="s">
        <v>5832</v>
      </c>
      <c r="C5827">
        <f>HYPERLINK("C:\Users\franc\OneDrive\Documentos\MALENTIN KARIME\MANDATOS JUDICIALES\JORGE ALVARADO\SIXTO REED CARRRASCO.doc", "Abrir Documento")</f>
        <v>0</v>
      </c>
      <c r="D5827" t="s">
        <v>23500</v>
      </c>
      <c r="E5827" t="s">
        <v>28540</v>
      </c>
    </row>
    <row r="5828" spans="1:5">
      <c r="A5828" t="s">
        <v>6</v>
      </c>
      <c r="B5828" t="s">
        <v>5833</v>
      </c>
      <c r="C5828">
        <f>HYPERLINK("C:\Users\franc\OneDrive\Documentos\MALENTIN KARIME\MANDATOS JUDICIALES\JORGE ALVARADO\RODRIGO CONTRERAS.doc", "Abrir Documento")</f>
        <v>0</v>
      </c>
      <c r="D5828" t="s">
        <v>23500</v>
      </c>
      <c r="E5828" t="s">
        <v>28541</v>
      </c>
    </row>
    <row r="5829" spans="1:5">
      <c r="A5829" t="s">
        <v>6</v>
      </c>
      <c r="B5829" t="s">
        <v>5834</v>
      </c>
      <c r="C5829">
        <f>HYPERLINK("C:\Users\franc\OneDrive\Documentos\MALENTIN KARIME\MANDATOS JUDICIALES\JORGE ALVARADO\RAMON CORTES Y OTRA.doc", "Abrir Documento")</f>
        <v>0</v>
      </c>
      <c r="D5829" t="s">
        <v>23500</v>
      </c>
      <c r="E5829" t="s">
        <v>28542</v>
      </c>
    </row>
    <row r="5830" spans="1:5">
      <c r="A5830" t="s">
        <v>6</v>
      </c>
      <c r="B5830" t="s">
        <v>5835</v>
      </c>
      <c r="C5830">
        <f>HYPERLINK("C:\Users\franc\OneDrive\Documentos\MALENTIN KARIME\MANDATOS JUDICIALES\JORGE ALVARADO\PEDRO JOFRE GOMEZ.doc", "Abrir Documento")</f>
        <v>0</v>
      </c>
      <c r="D5830" t="s">
        <v>23500</v>
      </c>
      <c r="E5830" t="s">
        <v>28543</v>
      </c>
    </row>
    <row r="5831" spans="1:5">
      <c r="A5831" t="s">
        <v>6</v>
      </c>
      <c r="B5831" t="s">
        <v>5836</v>
      </c>
      <c r="C5831">
        <f>HYPERLINK("C:\Users\franc\OneDrive\Documentos\MALENTIN KARIME\MANDATOS JUDICIALES\JORGE ALVARADO\PEDRO GONZALEZ.doc", "Abrir Documento")</f>
        <v>0</v>
      </c>
      <c r="D5831" t="s">
        <v>23500</v>
      </c>
      <c r="E5831" t="s">
        <v>28544</v>
      </c>
    </row>
    <row r="5832" spans="1:5">
      <c r="A5832" t="s">
        <v>6</v>
      </c>
      <c r="B5832" t="s">
        <v>5837</v>
      </c>
      <c r="C5832">
        <f>HYPERLINK("C:\Users\franc\OneDrive\Documentos\MALENTIN KARIME\MANDATOS JUDICIALES\JORGE ALVARADO\OSCAR AGUIRRE FLORES.doc", "Abrir Documento")</f>
        <v>0</v>
      </c>
      <c r="D5832" t="s">
        <v>23500</v>
      </c>
      <c r="E5832" t="s">
        <v>28545</v>
      </c>
    </row>
    <row r="5833" spans="1:5">
      <c r="A5833" t="s">
        <v>6</v>
      </c>
      <c r="B5833" t="s">
        <v>5838</v>
      </c>
      <c r="C5833">
        <f>HYPERLINK("C:\Users\franc\OneDrive\Documentos\MALENTIN KARIME\MANDATOS JUDICIALES\JORGE ALVARADO\NILDA ROJAS ARAYA.doc", "Abrir Documento")</f>
        <v>0</v>
      </c>
      <c r="D5833" t="s">
        <v>23500</v>
      </c>
      <c r="E5833" t="s">
        <v>28546</v>
      </c>
    </row>
    <row r="5834" spans="1:5">
      <c r="A5834" t="s">
        <v>6</v>
      </c>
      <c r="B5834" t="s">
        <v>5839</v>
      </c>
      <c r="C5834">
        <f>HYPERLINK("C:\Users\franc\OneDrive\Documentos\MALENTIN KARIME\MANDATOS JUDICIALES\JORGE ALVARADO\MARINA VERGARA ROJAS.doc", "Abrir Documento")</f>
        <v>0</v>
      </c>
      <c r="D5834" t="s">
        <v>23500</v>
      </c>
      <c r="E5834" t="s">
        <v>28547</v>
      </c>
    </row>
    <row r="5835" spans="1:5">
      <c r="A5835" t="s">
        <v>6</v>
      </c>
      <c r="B5835" t="s">
        <v>5840</v>
      </c>
      <c r="C5835">
        <f>HYPERLINK("C:\Users\franc\OneDrive\Documentos\MALENTIN KARIME\MANDATOS JUDICIALES\JORGE ALVARADO\MARIANELA ARAYA.doc", "Abrir Documento")</f>
        <v>0</v>
      </c>
      <c r="D5835" t="s">
        <v>23500</v>
      </c>
      <c r="E5835" t="s">
        <v>28548</v>
      </c>
    </row>
    <row r="5836" spans="1:5">
      <c r="A5836" t="s">
        <v>6</v>
      </c>
      <c r="B5836" t="s">
        <v>5841</v>
      </c>
      <c r="C5836">
        <f>HYPERLINK("C:\Users\franc\OneDrive\Documentos\MALENTIN KARIME\MANDATOS JUDICIALES\JORGE ALVARADO\KARINA ZEPEDA VEGA.doc", "Abrir Documento")</f>
        <v>0</v>
      </c>
      <c r="D5836" t="s">
        <v>23500</v>
      </c>
      <c r="E5836" t="s">
        <v>28549</v>
      </c>
    </row>
    <row r="5837" spans="1:5">
      <c r="A5837" t="s">
        <v>6</v>
      </c>
      <c r="B5837" t="s">
        <v>5842</v>
      </c>
      <c r="C5837">
        <f>HYPERLINK("C:\Users\franc\OneDrive\Documentos\MALENTIN KARIME\MANDATOS JUDICIALES\JORGE ALVARADO\KAREM CORTES A Jorge Figueroa 2018.doc", "Abrir Documento")</f>
        <v>0</v>
      </c>
      <c r="D5837" t="s">
        <v>23500</v>
      </c>
      <c r="E5837" t="s">
        <v>28550</v>
      </c>
    </row>
    <row r="5838" spans="1:5">
      <c r="A5838" t="s">
        <v>6</v>
      </c>
      <c r="B5838" t="s">
        <v>5843</v>
      </c>
      <c r="C5838">
        <f>HYPERLINK("C:\Users\franc\OneDrive\Documentos\MALENTIN KARIME\MANDATOS JUDICIALES\JORGE ALVARADO\JOYSELIN CORDOVA.doc", "Abrir Documento")</f>
        <v>0</v>
      </c>
      <c r="D5838" t="s">
        <v>23500</v>
      </c>
      <c r="E5838" t="s">
        <v>28551</v>
      </c>
    </row>
    <row r="5839" spans="1:5">
      <c r="A5839" t="s">
        <v>6</v>
      </c>
      <c r="B5839" t="s">
        <v>5844</v>
      </c>
      <c r="C5839">
        <f>HYPERLINK("C:\Users\franc\OneDrive\Documentos\MALENTIN KARIME\MANDATOS JUDICIALES\JORGE ALVARADO\JOSE OLIVARES JAIME Y OTRO.doc", "Abrir Documento")</f>
        <v>0</v>
      </c>
      <c r="D5839" t="s">
        <v>23500</v>
      </c>
      <c r="E5839" t="s">
        <v>28552</v>
      </c>
    </row>
    <row r="5840" spans="1:5">
      <c r="A5840" t="s">
        <v>6</v>
      </c>
      <c r="B5840" t="s">
        <v>5845</v>
      </c>
      <c r="C5840">
        <f>HYPERLINK("C:\Users\franc\OneDrive\Documentos\MALENTIN KARIME\MANDATOS JUDICIALES\JORGE ALVARADO\JOSE CASTRO HERRERA Sociedad.doc", "Abrir Documento")</f>
        <v>0</v>
      </c>
      <c r="D5840" t="s">
        <v>23500</v>
      </c>
      <c r="E5840" t="s">
        <v>28553</v>
      </c>
    </row>
    <row r="5841" spans="1:5">
      <c r="A5841" t="s">
        <v>6</v>
      </c>
      <c r="B5841" t="s">
        <v>5846</v>
      </c>
      <c r="C5841">
        <f>HYPERLINK("C:\Users\franc\OneDrive\Documentos\MALENTIN KARIME\MANDATOS JUDICIALES\JORGE ALVARADO\HILDA MUÑOZ ALBANEZ.doc", "Abrir Documento")</f>
        <v>0</v>
      </c>
      <c r="D5841" t="s">
        <v>23500</v>
      </c>
      <c r="E5841" t="s">
        <v>28554</v>
      </c>
    </row>
    <row r="5842" spans="1:5">
      <c r="A5842" t="s">
        <v>6</v>
      </c>
      <c r="B5842" t="s">
        <v>5847</v>
      </c>
      <c r="C5842">
        <f>HYPERLINK("C:\Users\franc\OneDrive\Documentos\MALENTIN KARIME\MANDATOS JUDICIALES\JORGE ALVARADO\HECTOR GARCIA VALDIVIA.doc", "Abrir Documento")</f>
        <v>0</v>
      </c>
      <c r="D5842" t="s">
        <v>23500</v>
      </c>
      <c r="E5842" t="s">
        <v>28555</v>
      </c>
    </row>
    <row r="5843" spans="1:5">
      <c r="A5843" t="s">
        <v>6</v>
      </c>
      <c r="B5843" t="s">
        <v>5848</v>
      </c>
      <c r="C5843">
        <f>HYPERLINK("C:\Users\franc\OneDrive\Documentos\MALENTIN KARIME\MANDATOS JUDICIALES\JORGE ALVARADO\GONZALO GARCIA DE LA VEGA.doc", "Abrir Documento")</f>
        <v>0</v>
      </c>
      <c r="D5843" t="s">
        <v>23500</v>
      </c>
      <c r="E5843" t="s">
        <v>28556</v>
      </c>
    </row>
    <row r="5844" spans="1:5">
      <c r="A5844" t="s">
        <v>6</v>
      </c>
      <c r="B5844" t="s">
        <v>5849</v>
      </c>
      <c r="C5844">
        <f>HYPERLINK("C:\Users\franc\OneDrive\Documentos\MALENTIN KARIME\MANDATOS JUDICIALES\JORGE ALVARADO\FRANCISCO ARAYA.doc", "Abrir Documento")</f>
        <v>0</v>
      </c>
      <c r="D5844" t="s">
        <v>23500</v>
      </c>
      <c r="E5844" t="s">
        <v>28557</v>
      </c>
    </row>
    <row r="5845" spans="1:5">
      <c r="A5845" t="s">
        <v>6</v>
      </c>
      <c r="B5845" t="s">
        <v>5850</v>
      </c>
      <c r="C5845">
        <f>HYPERLINK("C:\Users\franc\OneDrive\Documentos\MALENTIN KARIME\MANDATOS JUDICIALES\JORGE ALVARADO\FABIAN DIAZ MUÑOZ.doc", "Abrir Documento")</f>
        <v>0</v>
      </c>
      <c r="D5845" t="s">
        <v>23500</v>
      </c>
      <c r="E5845" t="s">
        <v>28558</v>
      </c>
    </row>
    <row r="5846" spans="1:5">
      <c r="A5846" t="s">
        <v>6</v>
      </c>
      <c r="B5846" t="s">
        <v>5851</v>
      </c>
      <c r="C5846">
        <f>HYPERLINK("C:\Users\franc\OneDrive\Documentos\MALENTIN KARIME\MANDATOS JUDICIALES\JORGE ALVARADO\ESIQUEL CORTES GARCIA.doc", "Abrir Documento")</f>
        <v>0</v>
      </c>
      <c r="D5846" t="s">
        <v>23500</v>
      </c>
      <c r="E5846" t="s">
        <v>28559</v>
      </c>
    </row>
    <row r="5847" spans="1:5">
      <c r="A5847" t="s">
        <v>6</v>
      </c>
      <c r="B5847" t="s">
        <v>5852</v>
      </c>
      <c r="C5847">
        <f>HYPERLINK("C:\Users\franc\OneDrive\Documentos\MALENTIN KARIME\MANDATOS JUDICIALES\JORGE ALVARADO\ERIKA ROSALES.doc", "Abrir Documento")</f>
        <v>0</v>
      </c>
      <c r="D5847" t="s">
        <v>23500</v>
      </c>
      <c r="E5847" t="s">
        <v>28560</v>
      </c>
    </row>
    <row r="5848" spans="1:5">
      <c r="A5848" t="s">
        <v>6</v>
      </c>
      <c r="B5848" t="s">
        <v>5853</v>
      </c>
      <c r="C5848">
        <f>HYPERLINK("C:\Users\franc\OneDrive\Documentos\MALENTIN KARIME\MANDATOS JUDICIALES\JORGE ALVARADO\ELIANA MALLEGAS TAPIA.doc", "Abrir Documento")</f>
        <v>0</v>
      </c>
      <c r="D5848" t="s">
        <v>23500</v>
      </c>
      <c r="E5848" t="s">
        <v>28561</v>
      </c>
    </row>
    <row r="5849" spans="1:5">
      <c r="A5849" t="s">
        <v>6</v>
      </c>
      <c r="B5849" t="s">
        <v>5854</v>
      </c>
      <c r="C5849">
        <f>HYPERLINK("C:\Users\franc\OneDrive\Documentos\MALENTIN KARIME\MANDATOS JUDICIALES\JORGE ALVARADO\DANIEL RIVERA.doc", "Abrir Documento")</f>
        <v>0</v>
      </c>
      <c r="D5849" t="s">
        <v>23500</v>
      </c>
      <c r="E5849" t="s">
        <v>28562</v>
      </c>
    </row>
    <row r="5850" spans="1:5">
      <c r="A5850" t="s">
        <v>6</v>
      </c>
      <c r="B5850" t="s">
        <v>5855</v>
      </c>
      <c r="C5850">
        <f>HYPERLINK("C:\Users\franc\OneDrive\Documentos\MALENTIN KARIME\MANDATOS JUDICIALES\JORGE ALVARADO\ELENA AGUIRRE.doc", "Abrir Documento")</f>
        <v>0</v>
      </c>
      <c r="D5850" t="s">
        <v>23500</v>
      </c>
      <c r="E5850" t="s">
        <v>28562</v>
      </c>
    </row>
    <row r="5851" spans="1:5">
      <c r="A5851" t="s">
        <v>6</v>
      </c>
      <c r="B5851" t="s">
        <v>5856</v>
      </c>
      <c r="C5851">
        <f>HYPERLINK("C:\Users\franc\OneDrive\Documentos\MALENTIN KARIME\MANDATOS JUDICIALES\JORGE ALVARADO\CRISTIANA CODOCEO AGUIRRE.doc", "Abrir Documento")</f>
        <v>0</v>
      </c>
      <c r="D5851" t="s">
        <v>23500</v>
      </c>
      <c r="E5851" t="s">
        <v>28563</v>
      </c>
    </row>
    <row r="5852" spans="1:5">
      <c r="A5852" t="s">
        <v>6</v>
      </c>
      <c r="B5852" t="s">
        <v>5857</v>
      </c>
      <c r="C5852">
        <f>HYPERLINK("C:\Users\franc\OneDrive\Documentos\MALENTIN KARIME\MANDATOS JUDICIALES\JORGE ALVARADO\CESAR VIDELA CABELLO.doc", "Abrir Documento")</f>
        <v>0</v>
      </c>
      <c r="D5852" t="s">
        <v>23500</v>
      </c>
      <c r="E5852" t="s">
        <v>28564</v>
      </c>
    </row>
    <row r="5853" spans="1:5">
      <c r="A5853" t="s">
        <v>6</v>
      </c>
      <c r="B5853" t="s">
        <v>5858</v>
      </c>
      <c r="C5853">
        <f>HYPERLINK("C:\Users\franc\OneDrive\Documentos\MALENTIN KARIME\MANDATOS JUDICIALES\JORGE ALVARADO\CENTRO DE GESTION Y CAPACITACION DEL LIMARI LTDA.doc", "Abrir Documento")</f>
        <v>0</v>
      </c>
      <c r="D5853" t="s">
        <v>23500</v>
      </c>
      <c r="E5853" t="s">
        <v>28565</v>
      </c>
    </row>
    <row r="5854" spans="1:5">
      <c r="A5854" t="s">
        <v>6</v>
      </c>
      <c r="B5854" t="s">
        <v>5859</v>
      </c>
      <c r="C5854">
        <f>HYPERLINK("C:\Users\franc\OneDrive\Documentos\MALENTIN KARIME\MANDATOS JUDICIALES\JORGE ALVARADO\ANA GARCIA FLORES.doc", "Abrir Documento")</f>
        <v>0</v>
      </c>
      <c r="D5854" t="s">
        <v>23500</v>
      </c>
      <c r="E5854" t="s">
        <v>28566</v>
      </c>
    </row>
    <row r="5855" spans="1:5">
      <c r="A5855" t="s">
        <v>6</v>
      </c>
      <c r="B5855" t="s">
        <v>5860</v>
      </c>
      <c r="C5855">
        <f>HYPERLINK("C:\Users\franc\OneDrive\Documentos\MALENTIN KARIME\MANDATOS JUDICIALES\JORGE ALLENDE\RICARDO ALLENDE.doc", "Abrir Documento")</f>
        <v>0</v>
      </c>
      <c r="D5855" t="s">
        <v>23500</v>
      </c>
      <c r="E5855" t="s">
        <v>28567</v>
      </c>
    </row>
    <row r="5856" spans="1:5">
      <c r="A5856" t="s">
        <v>6</v>
      </c>
      <c r="B5856" t="s">
        <v>5861</v>
      </c>
      <c r="C5856">
        <f>HYPERLINK("C:\Users\franc\OneDrive\Documentos\MALENTIN KARIME\MANDATOS JUDICIALES\JORGE ALLENDE\PEDRO PIZARRO CISTERNAS.doc", "Abrir Documento")</f>
        <v>0</v>
      </c>
      <c r="D5856" t="s">
        <v>23500</v>
      </c>
      <c r="E5856" t="s">
        <v>28568</v>
      </c>
    </row>
    <row r="5857" spans="1:5">
      <c r="A5857" t="s">
        <v>6</v>
      </c>
      <c r="B5857" t="s">
        <v>5862</v>
      </c>
      <c r="C5857">
        <f>HYPERLINK("C:\Users\franc\OneDrive\Documentos\MALENTIN KARIME\MANDATOS JUDICIALES\JORGE ALLENDE\PATRICIO DIAZ DIAZ 2018.doc", "Abrir Documento")</f>
        <v>0</v>
      </c>
      <c r="D5857" t="s">
        <v>23500</v>
      </c>
      <c r="E5857" t="s">
        <v>28569</v>
      </c>
    </row>
    <row r="5858" spans="1:5">
      <c r="A5858" t="s">
        <v>6</v>
      </c>
      <c r="B5858" t="s">
        <v>5863</v>
      </c>
      <c r="C5858">
        <f>HYPERLINK("C:\Users\franc\OneDrive\Documentos\MALENTIN KARIME\MANDATOS JUDICIALES\JORGE ALLENDE\OLGA TORO.doc", "Abrir Documento")</f>
        <v>0</v>
      </c>
      <c r="D5858" t="s">
        <v>23500</v>
      </c>
      <c r="E5858" t="s">
        <v>28570</v>
      </c>
    </row>
    <row r="5859" spans="1:5">
      <c r="A5859" t="s">
        <v>6</v>
      </c>
      <c r="B5859" t="s">
        <v>5864</v>
      </c>
      <c r="C5859">
        <f>HYPERLINK("C:\Users\franc\OneDrive\Documentos\MALENTIN KARIME\MANDATOS JUDICIALES\JORGE ALLENDE\JUAN OPAZO OPAZO Y OTRO.doc", "Abrir Documento")</f>
        <v>0</v>
      </c>
      <c r="D5859" t="s">
        <v>23500</v>
      </c>
      <c r="E5859" t="s">
        <v>28571</v>
      </c>
    </row>
    <row r="5860" spans="1:5">
      <c r="A5860" t="s">
        <v>6</v>
      </c>
      <c r="B5860" t="s">
        <v>5865</v>
      </c>
      <c r="C5860">
        <f>HYPERLINK("C:\Users\franc\OneDrive\Documentos\MALENTIN KARIME\MANDATOS JUDICIALES\JORGE ALLENDE\ISRAEL VALDIVIA VALDIVIA.doc", "Abrir Documento")</f>
        <v>0</v>
      </c>
      <c r="D5860" t="s">
        <v>23500</v>
      </c>
      <c r="E5860" t="s">
        <v>28572</v>
      </c>
    </row>
    <row r="5861" spans="1:5">
      <c r="A5861" t="s">
        <v>6</v>
      </c>
      <c r="B5861" t="s">
        <v>5866</v>
      </c>
      <c r="C5861">
        <f>HYPERLINK("C:\Users\franc\OneDrive\Documentos\MALENTIN KARIME\MANDATOS JUDICIALES\JORGE ALLENDE\INVERSIONES JUAN PABLO LTDA.doc", "Abrir Documento")</f>
        <v>0</v>
      </c>
      <c r="D5861" t="s">
        <v>23500</v>
      </c>
      <c r="E5861" t="s">
        <v>28573</v>
      </c>
    </row>
    <row r="5862" spans="1:5">
      <c r="A5862" t="s">
        <v>6</v>
      </c>
      <c r="B5862" t="s">
        <v>5867</v>
      </c>
      <c r="C5862">
        <f>HYPERLINK("C:\Users\franc\OneDrive\Documentos\MALENTIN KARIME\MANDATOS JUDICIALES\JORGE ALLENDE\GLADYS  ROMERO.doc", "Abrir Documento")</f>
        <v>0</v>
      </c>
      <c r="D5862" t="s">
        <v>23500</v>
      </c>
      <c r="E5862" t="s">
        <v>28574</v>
      </c>
    </row>
    <row r="5863" spans="1:5">
      <c r="A5863" t="s">
        <v>6</v>
      </c>
      <c r="B5863" t="s">
        <v>5868</v>
      </c>
      <c r="C5863">
        <f>HYPERLINK("C:\Users\franc\OneDrive\Documentos\MALENTIN KARIME\MANDATOS JUDICIALES\JORGE ALLENDE\HERMAN AROS LOPEZ.doc", "Abrir Documento")</f>
        <v>0</v>
      </c>
      <c r="D5863" t="s">
        <v>23500</v>
      </c>
      <c r="E5863" t="s">
        <v>28574</v>
      </c>
    </row>
    <row r="5864" spans="1:5">
      <c r="A5864" t="s">
        <v>6</v>
      </c>
      <c r="B5864" t="s">
        <v>5869</v>
      </c>
      <c r="C5864">
        <f>HYPERLINK("C:\Users\franc\OneDrive\Documentos\MALENTIN KARIME\MANDATOS JUDICIALES\JORGE ALLENDE\FRANCISCO BOU VILLADA.doc", "Abrir Documento")</f>
        <v>0</v>
      </c>
      <c r="D5864" t="s">
        <v>23500</v>
      </c>
      <c r="E5864" t="s">
        <v>28575</v>
      </c>
    </row>
    <row r="5865" spans="1:5">
      <c r="A5865" t="s">
        <v>6</v>
      </c>
      <c r="B5865" t="s">
        <v>5870</v>
      </c>
      <c r="C5865">
        <f>HYPERLINK("C:\Users\franc\OneDrive\Documentos\MALENTIN KARIME\MANDATOS JUDICIALES\JORGE ALLENDE\alfalfares.doc", "Abrir Documento")</f>
        <v>0</v>
      </c>
      <c r="D5865" t="s">
        <v>23500</v>
      </c>
      <c r="E5865" t="s">
        <v>28576</v>
      </c>
    </row>
    <row r="5866" spans="1:5">
      <c r="A5866" t="s">
        <v>6</v>
      </c>
      <c r="B5866" t="s">
        <v>5871</v>
      </c>
      <c r="C5866">
        <f>HYPERLINK("C:\Users\franc\OneDrive\Documentos\MALENTIN KARIME\MANDATOS JUDICIALES\JERONIMO ROJAS\CRISTIAN PIZARRO TAPIA.doc", "Abrir Documento")</f>
        <v>0</v>
      </c>
      <c r="D5866" t="s">
        <v>23500</v>
      </c>
      <c r="E5866" t="s">
        <v>28577</v>
      </c>
    </row>
    <row r="5867" spans="1:5">
      <c r="A5867" t="s">
        <v>6</v>
      </c>
      <c r="B5867" t="s">
        <v>5872</v>
      </c>
      <c r="C5867">
        <f>HYPERLINK("C:\Users\franc\OneDrive\Documentos\MALENTIN KARIME\MANDATOS JUDICIALES\JERONIMO ROJAS\CORPORACION EDUCACIONAL.doc", "Abrir Documento")</f>
        <v>0</v>
      </c>
      <c r="D5867" t="s">
        <v>23500</v>
      </c>
      <c r="E5867" t="s">
        <v>28578</v>
      </c>
    </row>
    <row r="5868" spans="1:5">
      <c r="A5868" t="s">
        <v>6</v>
      </c>
      <c r="B5868" t="s">
        <v>5873</v>
      </c>
      <c r="C5868">
        <f>HYPERLINK("C:\Users\franc\OneDrive\Documentos\MALENTIN KARIME\MANDATOS JUDICIALES\JENNIFER\MIGUEL CASTILLO.doc", "Abrir Documento")</f>
        <v>0</v>
      </c>
      <c r="D5868" t="s">
        <v>23500</v>
      </c>
      <c r="E5868" t="s">
        <v>28579</v>
      </c>
    </row>
    <row r="5869" spans="1:5">
      <c r="A5869" t="s">
        <v>6</v>
      </c>
      <c r="B5869" t="s">
        <v>5874</v>
      </c>
      <c r="C5869">
        <f>HYPERLINK("C:\Users\franc\OneDrive\Documentos\MALENTIN KARIME\MANDATOS JUDICIALES\JENNIFER\CLAUDIA ESPINOZA.doc", "Abrir Documento")</f>
        <v>0</v>
      </c>
      <c r="D5869" t="s">
        <v>23500</v>
      </c>
      <c r="E5869" t="s">
        <v>28580</v>
      </c>
    </row>
    <row r="5870" spans="1:5">
      <c r="A5870" t="s">
        <v>6</v>
      </c>
      <c r="B5870" t="s">
        <v>5875</v>
      </c>
      <c r="C5870">
        <f>HYPERLINK("C:\Users\franc\OneDrive\Documentos\MALENTIN KARIME\MANDATOS JUDICIALES\JAME MARAMBIO DURAN\YANETT DIAZ.doc", "Abrir Documento")</f>
        <v>0</v>
      </c>
      <c r="D5870" t="s">
        <v>23500</v>
      </c>
      <c r="E5870" t="s">
        <v>28581</v>
      </c>
    </row>
    <row r="5871" spans="1:5">
      <c r="A5871" t="s">
        <v>6</v>
      </c>
      <c r="B5871" t="s">
        <v>5876</v>
      </c>
      <c r="C5871">
        <f>HYPERLINK("C:\Users\franc\OneDrive\Documentos\MALENTIN KARIME\MANDATOS JUDICIALES\JAME MARAMBIO DURAN\ROBERTO TORRES.doc", "Abrir Documento")</f>
        <v>0</v>
      </c>
      <c r="D5871" t="s">
        <v>23500</v>
      </c>
      <c r="E5871" t="s">
        <v>28582</v>
      </c>
    </row>
    <row r="5872" spans="1:5">
      <c r="A5872" t="s">
        <v>6</v>
      </c>
      <c r="B5872" t="s">
        <v>5877</v>
      </c>
      <c r="C5872">
        <f>HYPERLINK("C:\Users\franc\OneDrive\Documentos\MALENTIN KARIME\MANDATOS JUDICIALES\JAME MARAMBIO DURAN\PATRICIA SANZANA.doc", "Abrir Documento")</f>
        <v>0</v>
      </c>
      <c r="D5872" t="s">
        <v>23500</v>
      </c>
      <c r="E5872" t="s">
        <v>28583</v>
      </c>
    </row>
    <row r="5873" spans="1:5">
      <c r="A5873" t="s">
        <v>6</v>
      </c>
      <c r="B5873" t="s">
        <v>5878</v>
      </c>
      <c r="C5873">
        <f>HYPERLINK("C:\Users\franc\OneDrive\Documentos\MALENTIN KARIME\MANDATOS JUDICIALES\JAME MARAMBIO DURAN\MANUELA ROJAS.doc", "Abrir Documento")</f>
        <v>0</v>
      </c>
      <c r="D5873" t="s">
        <v>23500</v>
      </c>
      <c r="E5873" t="s">
        <v>28584</v>
      </c>
    </row>
    <row r="5874" spans="1:5">
      <c r="A5874" t="s">
        <v>6</v>
      </c>
      <c r="B5874" t="s">
        <v>5879</v>
      </c>
      <c r="C5874">
        <f>HYPERLINK("C:\Users\franc\OneDrive\Documentos\MALENTIN KARIME\MANDATOS JUDICIALES\JAME MARAMBIO DURAN\ESMERALDA  POLO NUÑEZ.docx.doc", "Abrir Documento")</f>
        <v>0</v>
      </c>
      <c r="D5874" t="s">
        <v>23500</v>
      </c>
      <c r="E5874" t="s">
        <v>28585</v>
      </c>
    </row>
    <row r="5875" spans="1:5">
      <c r="A5875" t="s">
        <v>6</v>
      </c>
      <c r="B5875" t="s">
        <v>5880</v>
      </c>
      <c r="C5875">
        <f>HYPERLINK("C:\Users\franc\OneDrive\Documentos\MALENTIN KARIME\MANDATOS JUDICIALES\JAME MARAMBIO DURAN\HUGO OLMEDO HUERAT.doc", "Abrir Documento")</f>
        <v>0</v>
      </c>
      <c r="D5875" t="s">
        <v>23500</v>
      </c>
      <c r="E5875" t="s">
        <v>28585</v>
      </c>
    </row>
    <row r="5876" spans="1:5">
      <c r="A5876" t="s">
        <v>6</v>
      </c>
      <c r="B5876" t="s">
        <v>5881</v>
      </c>
      <c r="C5876">
        <f>HYPERLINK("C:\Users\franc\OneDrive\Documentos\MALENTIN KARIME\MANDATOS JUDICIALES\JAME MARAMBIO DURAN\CLARA CONEJEROS.doc", "Abrir Documento")</f>
        <v>0</v>
      </c>
      <c r="D5876" t="s">
        <v>23500</v>
      </c>
      <c r="E5876" t="s">
        <v>28586</v>
      </c>
    </row>
    <row r="5877" spans="1:5">
      <c r="A5877" t="s">
        <v>6</v>
      </c>
      <c r="B5877" t="s">
        <v>5882</v>
      </c>
      <c r="C5877">
        <f>HYPERLINK("C:\Users\franc\OneDrive\Documentos\MALENTIN KARIME\MANDATOS JUDICIALES\JAIME MUÑOZ ALMAZAN\MINERA ALTOS PUNITAQUI A SOLEDAD FARR.doc", "Abrir Documento")</f>
        <v>0</v>
      </c>
      <c r="D5877" t="s">
        <v>23500</v>
      </c>
      <c r="E5877" t="s">
        <v>28587</v>
      </c>
    </row>
    <row r="5878" spans="1:5">
      <c r="A5878" t="s">
        <v>6</v>
      </c>
      <c r="B5878" t="s">
        <v>5883</v>
      </c>
      <c r="C5878">
        <f>HYPERLINK("C:\Users\franc\OneDrive\Documentos\MALENTIN KARIME\MANDATOS JUDICIALES\JAIME MUÑOZ ALMAZAN\MINERA ALTOS PUNITAQUI.doc", "Abrir Documento")</f>
        <v>0</v>
      </c>
      <c r="D5878" t="s">
        <v>23500</v>
      </c>
      <c r="E5878" t="s">
        <v>28587</v>
      </c>
    </row>
    <row r="5879" spans="1:5">
      <c r="A5879" t="s">
        <v>6</v>
      </c>
      <c r="B5879" t="s">
        <v>5884</v>
      </c>
      <c r="C5879">
        <f>HYPERLINK("C:\Users\franc\OneDrive\Documentos\MALENTIN KARIME\MANDATOS JUDICIALES\IVONNE SEGURA Y OTRA\CAROLINA GODOY.doc", "Abrir Documento")</f>
        <v>0</v>
      </c>
      <c r="D5879" t="s">
        <v>23500</v>
      </c>
      <c r="E5879" t="s">
        <v>28588</v>
      </c>
    </row>
    <row r="5880" spans="1:5">
      <c r="A5880" t="s">
        <v>6</v>
      </c>
      <c r="B5880" t="s">
        <v>5885</v>
      </c>
      <c r="C5880">
        <f>HYPERLINK("C:\Users\franc\OneDrive\Documentos\MALENTIN KARIME\MANDATOS JUDICIALES\INGRID NAYEM\PAMELA ROJAS A Ingrid Nayem.doc", "Abrir Documento")</f>
        <v>0</v>
      </c>
      <c r="D5880" t="s">
        <v>23500</v>
      </c>
      <c r="E5880" t="s">
        <v>28589</v>
      </c>
    </row>
    <row r="5881" spans="1:5">
      <c r="A5881" t="s">
        <v>6</v>
      </c>
      <c r="B5881" t="s">
        <v>5886</v>
      </c>
      <c r="C5881">
        <f>HYPERLINK("C:\Users\franc\OneDrive\Documentos\MALENTIN KARIME\MANDATOS JUDICIALES\INGRID NAYEM\Katherine MajmudA Ingrid Nayem.doc", "Abrir Documento")</f>
        <v>0</v>
      </c>
      <c r="D5881" t="s">
        <v>23500</v>
      </c>
      <c r="E5881" t="s">
        <v>28590</v>
      </c>
    </row>
    <row r="5882" spans="1:5">
      <c r="A5882" t="s">
        <v>6</v>
      </c>
      <c r="B5882" t="s">
        <v>5887</v>
      </c>
      <c r="C5882">
        <f>HYPERLINK("C:\Users\franc\OneDrive\Documentos\MALENTIN KARIME\MANDATOS JUDICIALES\INGRID NAYEM\DANIEL CACERES Ingrid Nayem.doc", "Abrir Documento")</f>
        <v>0</v>
      </c>
      <c r="D5882" t="s">
        <v>23500</v>
      </c>
      <c r="E5882" t="s">
        <v>28591</v>
      </c>
    </row>
    <row r="5883" spans="1:5">
      <c r="A5883" t="s">
        <v>6</v>
      </c>
      <c r="B5883" t="s">
        <v>5888</v>
      </c>
      <c r="C5883">
        <f>HYPERLINK("C:\Users\franc\OneDrive\Documentos\MALENTIN KARIME\MANDATOS JUDICIALES\INGRID NAYEM\ALBA SEGOVIA A Ingrid Nayem.doc", "Abrir Documento")</f>
        <v>0</v>
      </c>
      <c r="D5883" t="s">
        <v>23500</v>
      </c>
      <c r="E5883" t="s">
        <v>28592</v>
      </c>
    </row>
    <row r="5884" spans="1:5">
      <c r="A5884" t="s">
        <v>6</v>
      </c>
      <c r="B5884" t="s">
        <v>5889</v>
      </c>
      <c r="C5884">
        <f>HYPERLINK("C:\Users\franc\OneDrive\Documentos\MALENTIN KARIME\MANDATOS JUDICIALES\INGRID NAYEM\ALBA FUENTES A Ingrid Nayem.doc", "Abrir Documento")</f>
        <v>0</v>
      </c>
      <c r="D5884" t="s">
        <v>23500</v>
      </c>
      <c r="E5884" t="s">
        <v>28593</v>
      </c>
    </row>
    <row r="5885" spans="1:5">
      <c r="A5885" t="s">
        <v>6</v>
      </c>
      <c r="B5885" t="s">
        <v>5890</v>
      </c>
      <c r="C5885">
        <f>HYPERLINK("C:\Users\franc\OneDrive\Documentos\MALENTIN KARIME\MANDATOS JUDICIALES\HUGO DEL CAMPO\AGRICOLA SAN MARCOS.doc", "Abrir Documento")</f>
        <v>0</v>
      </c>
      <c r="D5885" t="s">
        <v>23500</v>
      </c>
      <c r="E5885" t="s">
        <v>28594</v>
      </c>
    </row>
    <row r="5886" spans="1:5">
      <c r="A5886" t="s">
        <v>6</v>
      </c>
      <c r="B5886" t="s">
        <v>5891</v>
      </c>
      <c r="C5886">
        <f>HYPERLINK("C:\Users\franc\OneDrive\Documentos\MALENTIN KARIME\MANDATOS JUDICIALES\HUGO CHAVEZ\TRES COLUMNAS.doc", "Abrir Documento")</f>
        <v>0</v>
      </c>
      <c r="D5886" t="s">
        <v>23500</v>
      </c>
      <c r="E5886" t="s">
        <v>28595</v>
      </c>
    </row>
    <row r="5887" spans="1:5">
      <c r="A5887" t="s">
        <v>6</v>
      </c>
      <c r="B5887" t="s">
        <v>5892</v>
      </c>
      <c r="C5887">
        <f>HYPERLINK("C:\Users\franc\OneDrive\Documentos\MALENTIN KARIME\MANDATOS JUDICIALES\HUGO CHAVEZ\IVAN ELGUETA CORTES.doc", "Abrir Documento")</f>
        <v>0</v>
      </c>
      <c r="D5887" t="s">
        <v>23500</v>
      </c>
      <c r="E5887" t="s">
        <v>28596</v>
      </c>
    </row>
    <row r="5888" spans="1:5">
      <c r="A5888" t="s">
        <v>6</v>
      </c>
      <c r="B5888" t="s">
        <v>5893</v>
      </c>
      <c r="C5888">
        <f>HYPERLINK("C:\Users\franc\OneDrive\Documentos\MALENTIN KARIME\MANDATOS JUDICIALES\HERNAN PEREZ\ROBERTO ROJAS 2017.doc", "Abrir Documento")</f>
        <v>0</v>
      </c>
      <c r="D5888" t="s">
        <v>23500</v>
      </c>
      <c r="E5888" t="s">
        <v>28597</v>
      </c>
    </row>
    <row r="5889" spans="1:5">
      <c r="A5889" t="s">
        <v>6</v>
      </c>
      <c r="B5889" t="s">
        <v>5894</v>
      </c>
      <c r="C5889">
        <f>HYPERLINK("C:\Users\franc\OneDrive\Documentos\MALENTIN KARIME\MANDATOS JUDICIALES\HERNAN PEREZ\RODOLFO RIVERA A Hernan Perez y Otradoc.doc", "Abrir Documento")</f>
        <v>0</v>
      </c>
      <c r="D5889" t="s">
        <v>23500</v>
      </c>
      <c r="E5889" t="s">
        <v>28597</v>
      </c>
    </row>
    <row r="5890" spans="1:5">
      <c r="A5890" t="s">
        <v>6</v>
      </c>
      <c r="B5890" t="s">
        <v>5895</v>
      </c>
      <c r="C5890">
        <f>HYPERLINK("C:\Users\franc\OneDrive\Documentos\MALENTIN KARIME\MANDATOS JUDICIALES\HERNAN PEREZ\NIVALDO FLORES EGAÑA Y SOC..doc", "Abrir Documento")</f>
        <v>0</v>
      </c>
      <c r="D5890" t="s">
        <v>23500</v>
      </c>
      <c r="E5890" t="s">
        <v>28598</v>
      </c>
    </row>
    <row r="5891" spans="1:5">
      <c r="A5891" t="s">
        <v>6</v>
      </c>
      <c r="B5891" t="s">
        <v>5896</v>
      </c>
      <c r="C5891">
        <f>HYPERLINK("C:\Users\franc\OneDrive\Documentos\MALENTIN KARIME\MANDATOS JUDICIALES\HERNAN PEREZ\MAURICIO ASTORGA.doc", "Abrir Documento")</f>
        <v>0</v>
      </c>
      <c r="D5891" t="s">
        <v>23500</v>
      </c>
      <c r="E5891" t="s">
        <v>28599</v>
      </c>
    </row>
    <row r="5892" spans="1:5">
      <c r="A5892" t="s">
        <v>6</v>
      </c>
      <c r="B5892" t="s">
        <v>5897</v>
      </c>
      <c r="C5892">
        <f>HYPERLINK("C:\Users\franc\OneDrive\Documentos\MALENTIN KARIME\MANDATOS JUDICIALES\HERNAN PEREZ\MAURICIO ASTORGA solo.doc", "Abrir Documento")</f>
        <v>0</v>
      </c>
      <c r="D5892" t="s">
        <v>23500</v>
      </c>
      <c r="E5892" t="s">
        <v>28600</v>
      </c>
    </row>
    <row r="5893" spans="1:5">
      <c r="A5893" t="s">
        <v>6</v>
      </c>
      <c r="B5893" t="s">
        <v>5898</v>
      </c>
      <c r="C5893">
        <f>HYPERLINK("C:\Users\franc\OneDrive\Documentos\MALENTIN KARIME\MANDATOS JUDICIALES\HERNAN PEREZ\MAURICIO ASTORGA ii.doc", "Abrir Documento")</f>
        <v>0</v>
      </c>
      <c r="D5893" t="s">
        <v>23500</v>
      </c>
      <c r="E5893" t="s">
        <v>28601</v>
      </c>
    </row>
    <row r="5894" spans="1:5">
      <c r="A5894" t="s">
        <v>6</v>
      </c>
      <c r="B5894" t="s">
        <v>5899</v>
      </c>
      <c r="C5894">
        <f>HYPERLINK("C:\Users\franc\OneDrive\Documentos\MALENTIN KARIME\MANDATOS JUDICIALES\HERNAN PEREZ\LUIS TAPIA ROJAS Hernan Perez y Otradoc.doc", "Abrir Documento")</f>
        <v>0</v>
      </c>
      <c r="D5894" t="s">
        <v>23500</v>
      </c>
      <c r="E5894" t="s">
        <v>28602</v>
      </c>
    </row>
    <row r="5895" spans="1:5">
      <c r="A5895" t="s">
        <v>6</v>
      </c>
      <c r="B5895" t="s">
        <v>5900</v>
      </c>
      <c r="C5895">
        <f>HYPERLINK("C:\Users\franc\OneDrive\Documentos\MALENTIN KARIME\MANDATOS JUDICIALES\HERNAN PEREZ\LUIS NORTES Y OTRA.doc", "Abrir Documento")</f>
        <v>0</v>
      </c>
      <c r="D5895" t="s">
        <v>23500</v>
      </c>
      <c r="E5895" t="s">
        <v>28603</v>
      </c>
    </row>
    <row r="5896" spans="1:5">
      <c r="A5896" t="s">
        <v>6</v>
      </c>
      <c r="B5896" t="s">
        <v>5901</v>
      </c>
      <c r="C5896">
        <f>HYPERLINK("C:\Users\franc\OneDrive\Documentos\MALENTIN KARIME\MANDATOS JUDICIALES\HERNAN PEREZ\COMUNIDAD LOS MAINTENES DE SERON.doc", "Abrir Documento")</f>
        <v>0</v>
      </c>
      <c r="D5896" t="s">
        <v>23500</v>
      </c>
      <c r="E5896" t="s">
        <v>28604</v>
      </c>
    </row>
    <row r="5897" spans="1:5">
      <c r="A5897" t="s">
        <v>6</v>
      </c>
      <c r="B5897" t="s">
        <v>5902</v>
      </c>
      <c r="C5897">
        <f>HYPERLINK("C:\Users\franc\OneDrive\Documentos\MALENTIN KARIME\MANDATOS JUDICIALES\HERNAN PEREZ\COMUNIDAD LA COIPA.doc", "Abrir Documento")</f>
        <v>0</v>
      </c>
      <c r="D5897" t="s">
        <v>23500</v>
      </c>
      <c r="E5897" t="s">
        <v>28605</v>
      </c>
    </row>
    <row r="5898" spans="1:5">
      <c r="A5898" t="s">
        <v>6</v>
      </c>
      <c r="B5898" t="s">
        <v>5903</v>
      </c>
      <c r="C5898">
        <f>HYPERLINK("C:\Users\franc\OneDrive\Documentos\MALENTIN KARIME\MANDATOS JUDICIALES\HERNAN PEREZ\COMUNIDAD CERRO BLANCO.doc", "Abrir Documento")</f>
        <v>0</v>
      </c>
      <c r="D5898" t="s">
        <v>23500</v>
      </c>
      <c r="E5898" t="s">
        <v>28606</v>
      </c>
    </row>
    <row r="5899" spans="1:5">
      <c r="A5899" t="s">
        <v>6</v>
      </c>
      <c r="B5899" t="s">
        <v>5904</v>
      </c>
      <c r="C5899">
        <f>HYPERLINK("C:\Users\franc\OneDrive\Documentos\MALENTIN KARIME\MANDATOS JUDICIALES\HERNAN PEREZ\ANGEL BRICEÑO CARVAJAL}2017.doc", "Abrir Documento")</f>
        <v>0</v>
      </c>
      <c r="D5899" t="s">
        <v>23500</v>
      </c>
      <c r="E5899" t="s">
        <v>28607</v>
      </c>
    </row>
    <row r="5900" spans="1:5">
      <c r="A5900" t="s">
        <v>6</v>
      </c>
      <c r="B5900" t="s">
        <v>5905</v>
      </c>
      <c r="C5900">
        <f>HYPERLINK("C:\Users\franc\OneDrive\Documentos\MALENTIN KARIME\MANDATOS JUDICIALES\GUILLERMO CLAVERIE BRAVO\MISAEL BUGUEÑO CASTILLO.doc", "Abrir Documento")</f>
        <v>0</v>
      </c>
      <c r="D5900" t="s">
        <v>23500</v>
      </c>
      <c r="E5900" t="s">
        <v>28608</v>
      </c>
    </row>
    <row r="5901" spans="1:5">
      <c r="A5901" t="s">
        <v>6</v>
      </c>
      <c r="B5901" t="s">
        <v>5906</v>
      </c>
      <c r="C5901">
        <f>HYPERLINK("C:\Users\franc\OneDrive\Documentos\MALENTIN KARIME\MANDATOS JUDICIALES\HERNAN PEREZ\ALEJANDRO ZEPEDA 2017.doc", "Abrir Documento")</f>
        <v>0</v>
      </c>
      <c r="D5901" t="s">
        <v>23500</v>
      </c>
      <c r="E5901" t="s">
        <v>28608</v>
      </c>
    </row>
    <row r="5902" spans="1:5">
      <c r="A5902" t="s">
        <v>6</v>
      </c>
      <c r="B5902" t="s">
        <v>5907</v>
      </c>
      <c r="C5902">
        <f>HYPERLINK("C:\Users\franc\OneDrive\Documentos\MALENTIN KARIME\MANDATOS JUDICIALES\GUILLERMO CLAVERIE BRAVO\DANIEL CORTES ROBLES.doc", "Abrir Documento")</f>
        <v>0</v>
      </c>
      <c r="D5902" t="s">
        <v>23500</v>
      </c>
      <c r="E5902" t="s">
        <v>28609</v>
      </c>
    </row>
    <row r="5903" spans="1:5">
      <c r="A5903" t="s">
        <v>6</v>
      </c>
      <c r="B5903" t="s">
        <v>5908</v>
      </c>
      <c r="C5903">
        <f>HYPERLINK("C:\Users\franc\OneDrive\Documentos\MALENTIN KARIME\MANDATOS JUDICIALES\GUILLERMO CLAVERIE BRAVO\JOSE CASTILLO.doc", "Abrir Documento")</f>
        <v>0</v>
      </c>
      <c r="D5903" t="s">
        <v>23500</v>
      </c>
      <c r="E5903" t="s">
        <v>28609</v>
      </c>
    </row>
    <row r="5904" spans="1:5">
      <c r="A5904" t="s">
        <v>6</v>
      </c>
      <c r="B5904" t="s">
        <v>5909</v>
      </c>
      <c r="C5904">
        <f>HYPERLINK("C:\Users\franc\OneDrive\Documentos\MALENTIN KARIME\MANDATOS JUDICIALES\GONZALO OÑATE\GILBERTO VILLALOBOS.doc", "Abrir Documento")</f>
        <v>0</v>
      </c>
      <c r="D5904" t="s">
        <v>23500</v>
      </c>
      <c r="E5904" t="s">
        <v>28610</v>
      </c>
    </row>
    <row r="5905" spans="1:5">
      <c r="A5905" t="s">
        <v>6</v>
      </c>
      <c r="B5905" t="s">
        <v>5910</v>
      </c>
      <c r="C5905">
        <f>HYPERLINK("C:\Users\franc\OneDrive\Documentos\MALENTIN KARIME\MANDATOS JUDICIALES\GUILLERMO CLAVERIE BRAVO\1.doc", "Abrir Documento")</f>
        <v>0</v>
      </c>
      <c r="D5905" t="s">
        <v>23500</v>
      </c>
      <c r="E5905" t="s">
        <v>28610</v>
      </c>
    </row>
    <row r="5906" spans="1:5">
      <c r="A5906" t="s">
        <v>6</v>
      </c>
      <c r="B5906" t="s">
        <v>5911</v>
      </c>
      <c r="C5906">
        <f>HYPERLINK("C:\Users\franc\OneDrive\Documentos\MALENTIN KARIME\MANDATOS JUDICIALES\GMO. CLAVERIA\ROBERTO BOZZO.doc", "Abrir Documento")</f>
        <v>0</v>
      </c>
      <c r="D5906" t="s">
        <v>23500</v>
      </c>
      <c r="E5906" t="s">
        <v>28611</v>
      </c>
    </row>
    <row r="5907" spans="1:5">
      <c r="A5907" t="s">
        <v>6</v>
      </c>
      <c r="B5907" t="s">
        <v>5912</v>
      </c>
      <c r="C5907">
        <f>HYPERLINK("C:\Users\franc\OneDrive\Documentos\MALENTIN KARIME\MANDATOS JUDICIALES\GMO. CLAVERIA\MISAEL VEGA BERRIOS.doc", "Abrir Documento")</f>
        <v>0</v>
      </c>
      <c r="D5907" t="s">
        <v>23500</v>
      </c>
      <c r="E5907" t="s">
        <v>28612</v>
      </c>
    </row>
    <row r="5908" spans="1:5">
      <c r="A5908" t="s">
        <v>6</v>
      </c>
      <c r="B5908" t="s">
        <v>5913</v>
      </c>
      <c r="C5908">
        <f>HYPERLINK("C:\Users\franc\OneDrive\Documentos\MALENTIN KARIME\MANDATOS JUDICIALES\GMO. CLAVERIA\MANDATO MODELO.doc", "Abrir Documento")</f>
        <v>0</v>
      </c>
      <c r="D5908" t="s">
        <v>23500</v>
      </c>
      <c r="E5908" t="s">
        <v>28613</v>
      </c>
    </row>
    <row r="5909" spans="1:5">
      <c r="A5909" t="s">
        <v>6</v>
      </c>
      <c r="B5909" t="s">
        <v>5914</v>
      </c>
      <c r="C5909">
        <f>HYPERLINK("C:\Users\franc\OneDrive\Documentos\MALENTIN KARIME\MANDATOS JUDICIALES\GMO. CLAVERIA\CAMILO CORTES.doc", "Abrir Documento")</f>
        <v>0</v>
      </c>
      <c r="D5909" t="s">
        <v>23500</v>
      </c>
      <c r="E5909" t="s">
        <v>28614</v>
      </c>
    </row>
    <row r="5910" spans="1:5">
      <c r="A5910" t="s">
        <v>6</v>
      </c>
      <c r="B5910" t="s">
        <v>5915</v>
      </c>
      <c r="C5910">
        <f>HYPERLINK("C:\Users\franc\OneDrive\Documentos\MALENTIN KARIME\MANDATOS JUDICIALES\GABRIEL RODRIGUEZ RAMIREZ\WASHINGTON A\REINALDO FERNANDEZ.doc", "Abrir Documento")</f>
        <v>0</v>
      </c>
      <c r="D5910" t="s">
        <v>23500</v>
      </c>
      <c r="E5910" t="s">
        <v>28615</v>
      </c>
    </row>
    <row r="5911" spans="1:5">
      <c r="A5911" t="s">
        <v>6</v>
      </c>
      <c r="B5911" t="s">
        <v>5916</v>
      </c>
      <c r="C5911">
        <f>HYPERLINK("C:\Users\franc\OneDrive\Documentos\MALENTIN KARIME\MANDATOS JUDICIALES\GABRIEL RODRIGUEZ RAMIREZ\2018\Transportes ABH Ltda..doc", "Abrir Documento")</f>
        <v>0</v>
      </c>
      <c r="D5911" t="s">
        <v>23500</v>
      </c>
      <c r="E5911" t="s">
        <v>28616</v>
      </c>
    </row>
    <row r="5912" spans="1:5">
      <c r="A5912" t="s">
        <v>6</v>
      </c>
      <c r="B5912" t="s">
        <v>5917</v>
      </c>
      <c r="C5912">
        <f>HYPERLINK("C:\Users\franc\OneDrive\Documentos\MALENTIN KARIME\MANDATOS JUDICIALES\GABRIEL RODRIGUEZ RAMIREZ\2018\ROBERTO ARAYA MONARDEZ.doc", "Abrir Documento")</f>
        <v>0</v>
      </c>
      <c r="D5912" t="s">
        <v>23500</v>
      </c>
      <c r="E5912" t="s">
        <v>28617</v>
      </c>
    </row>
    <row r="5913" spans="1:5">
      <c r="A5913" t="s">
        <v>6</v>
      </c>
      <c r="B5913" t="s">
        <v>5918</v>
      </c>
      <c r="C5913">
        <f>HYPERLINK("C:\Users\franc\OneDrive\Documentos\MALENTIN KARIME\MANDATOS JUDICIALES\GABRIEL RODRIGUEZ RAMIREZ\2018\LUIS TABILO CONTRERAS.doc", "Abrir Documento")</f>
        <v>0</v>
      </c>
      <c r="D5913" t="s">
        <v>23500</v>
      </c>
      <c r="E5913" t="s">
        <v>28618</v>
      </c>
    </row>
    <row r="5914" spans="1:5">
      <c r="A5914" t="s">
        <v>6</v>
      </c>
      <c r="B5914" t="s">
        <v>5919</v>
      </c>
      <c r="C5914">
        <f>HYPERLINK("C:\Users\franc\OneDrive\Documentos\MALENTIN KARIME\MANDATOS JUDICIALES\GABRIEL RODRIGUEZ RAMIREZ\2018\Eleccoop Mandato a Cristian Araya (1).doc", "Abrir Documento")</f>
        <v>0</v>
      </c>
      <c r="D5914" t="s">
        <v>23500</v>
      </c>
      <c r="E5914" t="s">
        <v>28619</v>
      </c>
    </row>
    <row r="5915" spans="1:5">
      <c r="A5915" t="s">
        <v>6</v>
      </c>
      <c r="B5915" t="s">
        <v>5920</v>
      </c>
      <c r="C5915">
        <f>HYPERLINK("C:\Users\franc\OneDrive\Documentos\MALENTIN KARIME\MANDATOS JUDICIALES\GABRIEL RODRIGUEZ RAMIREZ\2018\BLANCA ALFARO P.doc", "Abrir Documento")</f>
        <v>0</v>
      </c>
      <c r="D5915" t="s">
        <v>23500</v>
      </c>
      <c r="E5915" t="s">
        <v>28620</v>
      </c>
    </row>
    <row r="5916" spans="1:5">
      <c r="A5916" t="s">
        <v>6</v>
      </c>
      <c r="B5916" t="s">
        <v>5921</v>
      </c>
      <c r="C5916">
        <f>HYPERLINK("C:\Users\franc\OneDrive\Documentos\MALENTIN KARIME\MANDATOS JUDICIALES\GABRIEL RODRIGUEZ RAMIREZ\2016\VIANKA SALFATE 2017.doc", "Abrir Documento")</f>
        <v>0</v>
      </c>
      <c r="D5916" t="s">
        <v>23500</v>
      </c>
      <c r="E5916" t="s">
        <v>28621</v>
      </c>
    </row>
    <row r="5917" spans="1:5">
      <c r="A5917" t="s">
        <v>6</v>
      </c>
      <c r="B5917" t="s">
        <v>5922</v>
      </c>
      <c r="C5917">
        <f>HYPERLINK("C:\Users\franc\OneDrive\Documentos\MALENTIN KARIME\MANDATOS JUDICIALES\GABRIEL RODRIGUEZ RAMIREZ\2016\WILLIAM ESCOBAR 2018.doc", "Abrir Documento")</f>
        <v>0</v>
      </c>
      <c r="D5917" t="s">
        <v>23500</v>
      </c>
      <c r="E5917" t="s">
        <v>28621</v>
      </c>
    </row>
    <row r="5918" spans="1:5">
      <c r="A5918" t="s">
        <v>6</v>
      </c>
      <c r="B5918" t="s">
        <v>5923</v>
      </c>
      <c r="C5918">
        <f>HYPERLINK("C:\Users\franc\OneDrive\Documentos\MALENTIN KARIME\MANDATOS JUDICIALES\GABRIEL RODRIGUEZ RAMIREZ\2016\MARITZA JOFRE 2018.doc", "Abrir Documento")</f>
        <v>0</v>
      </c>
      <c r="D5918" t="s">
        <v>23500</v>
      </c>
      <c r="E5918" t="s">
        <v>28622</v>
      </c>
    </row>
    <row r="5919" spans="1:5">
      <c r="A5919" t="s">
        <v>6</v>
      </c>
      <c r="B5919" t="s">
        <v>5924</v>
      </c>
      <c r="C5919">
        <f>HYPERLINK("C:\Users\franc\OneDrive\Documentos\MALENTIN KARIME\MANDATOS JUDICIALES\GABRIEL RODRIGUEZ RAMIREZ\2016\MARIA MADARIAGA PIZARRO.doc", "Abrir Documento")</f>
        <v>0</v>
      </c>
      <c r="D5919" t="s">
        <v>23500</v>
      </c>
      <c r="E5919" t="s">
        <v>28623</v>
      </c>
    </row>
    <row r="5920" spans="1:5">
      <c r="A5920" t="s">
        <v>6</v>
      </c>
      <c r="B5920" t="s">
        <v>5925</v>
      </c>
      <c r="C5920">
        <f>HYPERLINK("C:\Users\franc\OneDrive\Documentos\MALENTIN KARIME\MANDATOS JUDICIALES\GABRIEL RODRIGUEZ RAMIREZ\2016\LAUREANO ARAYA Y OTRA.doc", "Abrir Documento")</f>
        <v>0</v>
      </c>
      <c r="D5920" t="s">
        <v>23500</v>
      </c>
      <c r="E5920" t="s">
        <v>28624</v>
      </c>
    </row>
    <row r="5921" spans="1:5">
      <c r="A5921" t="s">
        <v>6</v>
      </c>
      <c r="B5921" t="s">
        <v>5926</v>
      </c>
      <c r="C5921">
        <f>HYPERLINK("C:\Users\franc\OneDrive\Documentos\MALENTIN KARIME\MANDATOS JUDICIALES\GABRIEL RODRIGUEZ RAMIREZ\2016\JOSE MUNDACA RIVRA 2017.doc", "Abrir Documento")</f>
        <v>0</v>
      </c>
      <c r="D5921" t="s">
        <v>23500</v>
      </c>
      <c r="E5921" t="s">
        <v>28625</v>
      </c>
    </row>
    <row r="5922" spans="1:5">
      <c r="A5922" t="s">
        <v>6</v>
      </c>
      <c r="B5922" t="s">
        <v>5927</v>
      </c>
      <c r="C5922">
        <f>HYPERLINK("C:\Users\franc\OneDrive\Documentos\MALENTIN KARIME\MANDATOS JUDICIALES\GABRIEL RODRIGUEZ RAMIREZ\2016\ESTRELLA ARANCIBIA 2017.doc", "Abrir Documento")</f>
        <v>0</v>
      </c>
      <c r="D5922" t="s">
        <v>23500</v>
      </c>
      <c r="E5922" t="s">
        <v>28626</v>
      </c>
    </row>
    <row r="5923" spans="1:5">
      <c r="A5923" t="s">
        <v>6</v>
      </c>
      <c r="B5923" t="s">
        <v>5928</v>
      </c>
      <c r="C5923">
        <f>HYPERLINK("C:\Users\franc\OneDrive\Documentos\MALENTIN KARIME\MANDATOS JUDICIALES\GABRIEL RODRIGUEZ RAMIREZ\2016\AGRICOLA Y TRANSPORTES ARTURO ZEPEDA 2017.doc", "Abrir Documento")</f>
        <v>0</v>
      </c>
      <c r="D5923" t="s">
        <v>23500</v>
      </c>
      <c r="E5923" t="s">
        <v>28627</v>
      </c>
    </row>
    <row r="5924" spans="1:5">
      <c r="A5924" t="s">
        <v>6</v>
      </c>
      <c r="B5924" t="s">
        <v>5929</v>
      </c>
      <c r="C5924">
        <f>HYPERLINK("C:\Users\franc\OneDrive\Documentos\MALENTIN KARIME\MANDATOS JUDICIALES\GABRIEL RODRIGUEZ RAMIREZ\YENNY OVALLE.doc", "Abrir Documento")</f>
        <v>0</v>
      </c>
      <c r="D5924" t="s">
        <v>23500</v>
      </c>
      <c r="E5924" t="s">
        <v>28628</v>
      </c>
    </row>
    <row r="5925" spans="1:5">
      <c r="A5925" t="s">
        <v>6</v>
      </c>
      <c r="B5925" t="s">
        <v>5930</v>
      </c>
      <c r="C5925">
        <f>HYPERLINK("C:\Users\franc\OneDrive\Documentos\MALENTIN KARIME\MANDATOS JUDICIALES\GABRIEL RODRIGUEZ RAMIREZ\WASHINGTON ALTAMIRANO.doc", "Abrir Documento")</f>
        <v>0</v>
      </c>
      <c r="D5925" t="s">
        <v>23500</v>
      </c>
      <c r="E5925" t="s">
        <v>28629</v>
      </c>
    </row>
    <row r="5926" spans="1:5">
      <c r="A5926" t="s">
        <v>6</v>
      </c>
      <c r="B5926" t="s">
        <v>5931</v>
      </c>
      <c r="C5926">
        <f>HYPERLINK("C:\Users\franc\OneDrive\Documentos\MALENTIN KARIME\MANDATOS JUDICIALES\GABRIEL RODRIGUEZ RAMIREZ\SYLVANA ARAYA.doc", "Abrir Documento")</f>
        <v>0</v>
      </c>
      <c r="D5926" t="s">
        <v>23500</v>
      </c>
      <c r="E5926" t="s">
        <v>28630</v>
      </c>
    </row>
    <row r="5927" spans="1:5">
      <c r="A5927" t="s">
        <v>6</v>
      </c>
      <c r="B5927" t="s">
        <v>5932</v>
      </c>
      <c r="C5927">
        <f>HYPERLINK("C:\Users\franc\OneDrive\Documentos\MALENTIN KARIME\MANDATOS JUDICIALES\GABRIEL RODRIGUEZ RAMIREZ\ROBINSON VALENZUELA Varios abogados.doc", "Abrir Documento")</f>
        <v>0</v>
      </c>
      <c r="D5927" t="s">
        <v>23500</v>
      </c>
      <c r="E5927" t="s">
        <v>28631</v>
      </c>
    </row>
    <row r="5928" spans="1:5">
      <c r="A5928" t="s">
        <v>6</v>
      </c>
      <c r="B5928" t="s">
        <v>5933</v>
      </c>
      <c r="C5928">
        <f>HYPERLINK("C:\Users\franc\OneDrive\Documentos\MALENTIN KARIME\MANDATOS JUDICIALES\GABRIEL RODRIGUEZ RAMIREZ\RICARDO SEGOVIA.doc", "Abrir Documento")</f>
        <v>0</v>
      </c>
      <c r="D5928" t="s">
        <v>23500</v>
      </c>
      <c r="E5928" t="s">
        <v>28632</v>
      </c>
    </row>
    <row r="5929" spans="1:5">
      <c r="A5929" t="s">
        <v>6</v>
      </c>
      <c r="B5929" t="s">
        <v>5934</v>
      </c>
      <c r="C5929">
        <f>HYPERLINK("C:\Users\franc\OneDrive\Documentos\MALENTIN KARIME\MANDATOS JUDICIALES\GABRIEL RODRIGUEZ RAMIREZ\RAFAEL VALENZUELA Indep.doc", "Abrir Documento")</f>
        <v>0</v>
      </c>
      <c r="D5929" t="s">
        <v>23500</v>
      </c>
      <c r="E5929" t="s">
        <v>28633</v>
      </c>
    </row>
    <row r="5930" spans="1:5">
      <c r="A5930" t="s">
        <v>6</v>
      </c>
      <c r="B5930" t="s">
        <v>5935</v>
      </c>
      <c r="C5930">
        <f>HYPERLINK("C:\Users\franc\OneDrive\Documentos\MALENTIN KARIME\MANDATOS JUDICIALES\GABRIEL RODRIGUEZ RAMIREZ\PATRICIO CANIBILO.doc", "Abrir Documento")</f>
        <v>0</v>
      </c>
      <c r="D5930" t="s">
        <v>23500</v>
      </c>
      <c r="E5930" t="s">
        <v>28634</v>
      </c>
    </row>
    <row r="5931" spans="1:5">
      <c r="A5931" t="s">
        <v>6</v>
      </c>
      <c r="B5931" t="s">
        <v>5936</v>
      </c>
      <c r="C5931">
        <f>HYPERLINK("C:\Users\franc\OneDrive\Documentos\MALENTIN KARIME\MANDATOS JUDICIALES\GABRIEL RODRIGUEZ RAMIREZ\PABLO CORTES.doc", "Abrir Documento")</f>
        <v>0</v>
      </c>
      <c r="D5931" t="s">
        <v>23500</v>
      </c>
      <c r="E5931" t="s">
        <v>28635</v>
      </c>
    </row>
    <row r="5932" spans="1:5">
      <c r="A5932" t="s">
        <v>6</v>
      </c>
      <c r="B5932" t="s">
        <v>5937</v>
      </c>
      <c r="C5932">
        <f>HYPERLINK("C:\Users\franc\OneDrive\Documentos\MALENTIN KARIME\MANDATOS JUDICIALES\GABRIEL RODRIGUEZ RAMIREZ\ONOFRE ESPINOSA GARCIA.doc", "Abrir Documento")</f>
        <v>0</v>
      </c>
      <c r="D5932" t="s">
        <v>23500</v>
      </c>
      <c r="E5932" t="s">
        <v>28636</v>
      </c>
    </row>
    <row r="5933" spans="1:5">
      <c r="A5933" t="s">
        <v>6</v>
      </c>
      <c r="B5933" t="s">
        <v>5938</v>
      </c>
      <c r="C5933">
        <f>HYPERLINK("C:\Users\franc\OneDrive\Documentos\MALENTIN KARIME\MANDATOS JUDICIALES\GABRIEL RODRIGUEZ RAMIREZ\MIRSA BORIC.doc", "Abrir Documento")</f>
        <v>0</v>
      </c>
      <c r="D5933" t="s">
        <v>23500</v>
      </c>
      <c r="E5933" t="s">
        <v>28637</v>
      </c>
    </row>
    <row r="5934" spans="1:5">
      <c r="A5934" t="s">
        <v>6</v>
      </c>
      <c r="B5934" t="s">
        <v>5939</v>
      </c>
      <c r="C5934">
        <f>HYPERLINK("C:\Users\franc\OneDrive\Documentos\MALENTIN KARIME\MANDATOS JUDICIALES\GABRIEL RODRIGUEZ RAMIREZ\MAURICIO ARAYA  2015.doc", "Abrir Documento")</f>
        <v>0</v>
      </c>
      <c r="D5934" t="s">
        <v>23500</v>
      </c>
      <c r="E5934" t="s">
        <v>28638</v>
      </c>
    </row>
    <row r="5935" spans="1:5">
      <c r="A5935" t="s">
        <v>6</v>
      </c>
      <c r="B5935" t="s">
        <v>5940</v>
      </c>
      <c r="C5935">
        <f>HYPERLINK("C:\Users\franc\OneDrive\Documentos\MALENTIN KARIME\MANDATOS JUDICIALES\GABRIEL RODRIGUEZ RAMIREZ\MARIVA VILLALOBOS.doc", "Abrir Documento")</f>
        <v>0</v>
      </c>
      <c r="D5935" t="s">
        <v>23500</v>
      </c>
      <c r="E5935" t="s">
        <v>28639</v>
      </c>
    </row>
    <row r="5936" spans="1:5">
      <c r="A5936" t="s">
        <v>6</v>
      </c>
      <c r="B5936" t="s">
        <v>5941</v>
      </c>
      <c r="C5936">
        <f>HYPERLINK("C:\Users\franc\OneDrive\Documentos\MALENTIN KARIME\MANDATOS JUDICIALES\GABRIEL RODRIGUEZ RAMIREZ\MARIA VIDELA MUNDACA.doc", "Abrir Documento")</f>
        <v>0</v>
      </c>
      <c r="D5936" t="s">
        <v>23500</v>
      </c>
      <c r="E5936" t="s">
        <v>28640</v>
      </c>
    </row>
    <row r="5937" spans="1:5">
      <c r="A5937" t="s">
        <v>6</v>
      </c>
      <c r="B5937" t="s">
        <v>5942</v>
      </c>
      <c r="C5937">
        <f>HYPERLINK("C:\Users\franc\OneDrive\Documentos\MALENTIN KARIME\MANDATOS JUDICIALES\GABRIEL RODRIGUEZ RAMIREZ\LUIS LOYOLA LEON.doc", "Abrir Documento")</f>
        <v>0</v>
      </c>
      <c r="D5937" t="s">
        <v>23500</v>
      </c>
      <c r="E5937" t="s">
        <v>28641</v>
      </c>
    </row>
    <row r="5938" spans="1:5">
      <c r="A5938" t="s">
        <v>6</v>
      </c>
      <c r="B5938" t="s">
        <v>5943</v>
      </c>
      <c r="C5938">
        <f>HYPERLINK("C:\Users\franc\OneDrive\Documentos\MALENTIN KARIME\MANDATOS JUDICIALES\GABRIEL RODRIGUEZ RAMIREZ\LUIS MILLA Y don WASHINGTON ALTAMIRANO.doc", "Abrir Documento")</f>
        <v>0</v>
      </c>
      <c r="D5938" t="s">
        <v>23500</v>
      </c>
      <c r="E5938" t="s">
        <v>28641</v>
      </c>
    </row>
    <row r="5939" spans="1:5">
      <c r="A5939" t="s">
        <v>6</v>
      </c>
      <c r="B5939" t="s">
        <v>5944</v>
      </c>
      <c r="C5939">
        <f>HYPERLINK("C:\Users\franc\OneDrive\Documentos\MALENTIN KARIME\MANDATOS JUDICIALES\GABRIEL RODRIGUEZ RAMIREZ\JUAN LAYANA ADONES.doc", "Abrir Documento")</f>
        <v>0</v>
      </c>
      <c r="D5939" t="s">
        <v>23500</v>
      </c>
      <c r="E5939" t="s">
        <v>28642</v>
      </c>
    </row>
    <row r="5940" spans="1:5">
      <c r="A5940" t="s">
        <v>6</v>
      </c>
      <c r="B5940" t="s">
        <v>5945</v>
      </c>
      <c r="C5940">
        <f>HYPERLINK("C:\Users\franc\OneDrive\Documentos\MALENTIN KARIME\MANDATOS JUDICIALES\GABRIEL RODRIGUEZ RAMIREZ\LUIS ARAYA ROJAS.doc", "Abrir Documento")</f>
        <v>0</v>
      </c>
      <c r="D5940" t="s">
        <v>23500</v>
      </c>
      <c r="E5940" t="s">
        <v>28642</v>
      </c>
    </row>
    <row r="5941" spans="1:5">
      <c r="A5941" t="s">
        <v>6</v>
      </c>
      <c r="B5941" t="s">
        <v>5946</v>
      </c>
      <c r="C5941">
        <f>HYPERLINK("C:\Users\franc\OneDrive\Documentos\MALENTIN KARIME\MANDATOS JUDICIALES\GABRIEL RODRIGUEZ RAMIREZ\JOSE TORREJON otra direccion.doc", "Abrir Documento")</f>
        <v>0</v>
      </c>
      <c r="D5941" t="s">
        <v>23500</v>
      </c>
      <c r="E5941" t="s">
        <v>28643</v>
      </c>
    </row>
    <row r="5942" spans="1:5">
      <c r="A5942" t="s">
        <v>6</v>
      </c>
      <c r="B5942" t="s">
        <v>5947</v>
      </c>
      <c r="C5942">
        <f>HYPERLINK("C:\Users\franc\OneDrive\Documentos\MALENTIN KARIME\MANDATOS JUDICIALES\GABRIEL RODRIGUEZ RAMIREZ\JORGE RIVERA CASTILLO 2015.doc", "Abrir Documento")</f>
        <v>0</v>
      </c>
      <c r="D5942" t="s">
        <v>23500</v>
      </c>
      <c r="E5942" t="s">
        <v>28644</v>
      </c>
    </row>
    <row r="5943" spans="1:5">
      <c r="A5943" t="s">
        <v>6</v>
      </c>
      <c r="B5943" t="s">
        <v>5948</v>
      </c>
      <c r="C5943">
        <f>HYPERLINK("C:\Users\franc\OneDrive\Documentos\MALENTIN KARIME\MANDATOS JUDICIALES\GABRIEL RODRIGUEZ RAMIREZ\HUGO ARTAL AVILEZ.doc", "Abrir Documento")</f>
        <v>0</v>
      </c>
      <c r="D5943" t="s">
        <v>23500</v>
      </c>
      <c r="E5943" t="s">
        <v>28645</v>
      </c>
    </row>
    <row r="5944" spans="1:5">
      <c r="A5944" t="s">
        <v>6</v>
      </c>
      <c r="B5944" t="s">
        <v>5949</v>
      </c>
      <c r="C5944">
        <f>HYPERLINK("C:\Users\franc\OneDrive\Documentos\MALENTIN KARIME\MANDATOS JUDICIALES\GABRIEL RODRIGUEZ RAMIREZ\ELIAS ALFARO OSSANDON.doc", "Abrir Documento")</f>
        <v>0</v>
      </c>
      <c r="D5944" t="s">
        <v>23500</v>
      </c>
      <c r="E5944" t="s">
        <v>28646</v>
      </c>
    </row>
    <row r="5945" spans="1:5">
      <c r="A5945" t="s">
        <v>6</v>
      </c>
      <c r="B5945" t="s">
        <v>5950</v>
      </c>
      <c r="C5945">
        <f>HYPERLINK("C:\Users\franc\OneDrive\Documentos\MALENTIN KARIME\MANDATOS JUDICIALES\GABRIEL RODRIGUEZ RAMIREZ\GLADYS MUÑOZ OLMOS.doc", "Abrir Documento")</f>
        <v>0</v>
      </c>
      <c r="D5945" t="s">
        <v>23500</v>
      </c>
      <c r="E5945" t="s">
        <v>28646</v>
      </c>
    </row>
    <row r="5946" spans="1:5">
      <c r="A5946" t="s">
        <v>6</v>
      </c>
      <c r="B5946" t="s">
        <v>5951</v>
      </c>
      <c r="C5946">
        <f>HYPERLINK("C:\Users\franc\OneDrive\Documentos\MALENTIN KARIME\MANDATOS JUDICIALES\GABRIEL RODRIGUEZ RAMIREZ\DILEMA CASTILLO.doc", "Abrir Documento")</f>
        <v>0</v>
      </c>
      <c r="D5946" t="s">
        <v>23500</v>
      </c>
      <c r="E5946" t="s">
        <v>28647</v>
      </c>
    </row>
    <row r="5947" spans="1:5">
      <c r="A5947" t="s">
        <v>6</v>
      </c>
      <c r="B5947" t="s">
        <v>5952</v>
      </c>
      <c r="C5947">
        <f>HYPERLINK("C:\Users\franc\OneDrive\Documentos\MALENTIN KARIME\MANDATOS JUDICIALES\GABRIEL RODRIGUEZ RAMIREZ\DANILO ULLOA HIDALGO.doc", "Abrir Documento")</f>
        <v>0</v>
      </c>
      <c r="D5947" t="s">
        <v>23500</v>
      </c>
      <c r="E5947" t="s">
        <v>28648</v>
      </c>
    </row>
    <row r="5948" spans="1:5">
      <c r="A5948" t="s">
        <v>6</v>
      </c>
      <c r="B5948" t="s">
        <v>5953</v>
      </c>
      <c r="C5948">
        <f>HYPERLINK("C:\Users\franc\OneDrive\Documentos\MALENTIN KARIME\MANDATOS JUDICIALES\GABRIEL RODRIGUEZ RAMIREZ\DANIELA MANCILLA.doc", "Abrir Documento")</f>
        <v>0</v>
      </c>
      <c r="D5948" t="s">
        <v>23500</v>
      </c>
      <c r="E5948" t="s">
        <v>28649</v>
      </c>
    </row>
    <row r="5949" spans="1:5">
      <c r="A5949" t="s">
        <v>6</v>
      </c>
      <c r="B5949" t="s">
        <v>5954</v>
      </c>
      <c r="C5949">
        <f>HYPERLINK("C:\Users\franc\OneDrive\Documentos\MALENTIN KARIME\MANDATOS JUDICIALES\GABRIEL RODRIGUEZ RAMIREZ\CRISTIAN ROJAS BRUNA 2015.doc", "Abrir Documento")</f>
        <v>0</v>
      </c>
      <c r="D5949" t="s">
        <v>23500</v>
      </c>
      <c r="E5949" t="s">
        <v>28650</v>
      </c>
    </row>
    <row r="5950" spans="1:5">
      <c r="A5950" t="s">
        <v>6</v>
      </c>
      <c r="B5950" t="s">
        <v>5955</v>
      </c>
      <c r="C5950">
        <f>HYPERLINK("C:\Users\franc\OneDrive\Documentos\MALENTIN KARIME\MANDATOS JUDICIALES\GABRIEL RODRIGUEZ RAMIREZ\COSME MORALES CALDERON.doc", "Abrir Documento")</f>
        <v>0</v>
      </c>
      <c r="D5950" t="s">
        <v>23500</v>
      </c>
      <c r="E5950" t="s">
        <v>28651</v>
      </c>
    </row>
    <row r="5951" spans="1:5">
      <c r="A5951" t="s">
        <v>6</v>
      </c>
      <c r="B5951" t="s">
        <v>5956</v>
      </c>
      <c r="C5951">
        <f>HYPERLINK("C:\Users\franc\OneDrive\Documentos\MALENTIN KARIME\MANDATOS JUDICIALES\GABRIEL RODRIGUEZ RAMIREZ\COOPERATIVA CAMPESINA TULAHUEN.doc", "Abrir Documento")</f>
        <v>0</v>
      </c>
      <c r="D5951" t="s">
        <v>23500</v>
      </c>
      <c r="E5951" t="s">
        <v>28652</v>
      </c>
    </row>
    <row r="5952" spans="1:5">
      <c r="A5952" t="s">
        <v>6</v>
      </c>
      <c r="B5952" t="s">
        <v>5957</v>
      </c>
      <c r="C5952">
        <f>HYPERLINK("C:\Users\franc\OneDrive\Documentos\MALENTIN KARIME\MANDATOS JUDICIALES\GABRIEL RODRIGUEZ RAMIREZ\CLAUDIO MARQUEZ.doc", "Abrir Documento")</f>
        <v>0</v>
      </c>
      <c r="D5952" t="s">
        <v>23500</v>
      </c>
      <c r="E5952" t="s">
        <v>28653</v>
      </c>
    </row>
    <row r="5953" spans="1:5">
      <c r="A5953" t="s">
        <v>6</v>
      </c>
      <c r="B5953" t="s">
        <v>5958</v>
      </c>
      <c r="C5953">
        <f>HYPERLINK("C:\Users\franc\OneDrive\Documentos\MALENTIN KARIME\MANDATOS JUDICIALES\GABRIEL RODRIGUEZ RAMIREZ\CLAUDIO MARQUEZ  calle Carmen.doc", "Abrir Documento")</f>
        <v>0</v>
      </c>
      <c r="D5953" t="s">
        <v>23500</v>
      </c>
      <c r="E5953" t="s">
        <v>28654</v>
      </c>
    </row>
    <row r="5954" spans="1:5">
      <c r="A5954" t="s">
        <v>6</v>
      </c>
      <c r="B5954" t="s">
        <v>5959</v>
      </c>
      <c r="C5954">
        <f>HYPERLINK("C:\Users\franc\OneDrive\Documentos\MALENTIN KARIME\MANDATOS JUDICIALES\GABRIEL RODRIGUEZ RAMIREZ\CAMILA HERMOSILLA Mandato posesión efectiva.doc", "Abrir Documento")</f>
        <v>0</v>
      </c>
      <c r="D5954" t="s">
        <v>23500</v>
      </c>
      <c r="E5954" t="s">
        <v>28655</v>
      </c>
    </row>
    <row r="5955" spans="1:5">
      <c r="A5955" t="s">
        <v>6</v>
      </c>
      <c r="B5955" t="s">
        <v>5960</v>
      </c>
      <c r="C5955">
        <f>HYPERLINK("C:\Users\franc\OneDrive\Documentos\MALENTIN KARIME\MANDATOS JUDICIALES\GABRIEL RODRIGUEZ RAMIREZ\CAMEN PEÑA ZELADA.doc", "Abrir Documento")</f>
        <v>0</v>
      </c>
      <c r="D5955" t="s">
        <v>23500</v>
      </c>
      <c r="E5955" t="s">
        <v>28656</v>
      </c>
    </row>
    <row r="5956" spans="1:5">
      <c r="A5956" t="s">
        <v>6</v>
      </c>
      <c r="B5956" t="s">
        <v>5961</v>
      </c>
      <c r="C5956">
        <f>HYPERLINK("C:\Users\franc\OneDrive\Documentos\MALENTIN KARIME\MANDATOS JUDICIALES\GABRIEL RODRIGUEZ RAMIREZ\BLANCA ALFARO PIZARO 2015.doc", "Abrir Documento")</f>
        <v>0</v>
      </c>
      <c r="D5956" t="s">
        <v>23500</v>
      </c>
      <c r="E5956" t="s">
        <v>28657</v>
      </c>
    </row>
    <row r="5957" spans="1:5">
      <c r="A5957" t="s">
        <v>6</v>
      </c>
      <c r="B5957" t="s">
        <v>5962</v>
      </c>
      <c r="C5957">
        <f>HYPERLINK("C:\Users\franc\OneDrive\Documentos\MALENTIN KARIME\MANDATOS JUDICIALES\GABRIEL RODRIGUEZ RAMIREZ\BALTASAR MALUENDA.doc", "Abrir Documento")</f>
        <v>0</v>
      </c>
      <c r="D5957" t="s">
        <v>23500</v>
      </c>
      <c r="E5957" t="s">
        <v>28658</v>
      </c>
    </row>
    <row r="5958" spans="1:5">
      <c r="A5958" t="s">
        <v>6</v>
      </c>
      <c r="B5958" t="s">
        <v>5963</v>
      </c>
      <c r="C5958">
        <f>HYPERLINK("C:\Users\franc\OneDrive\Documentos\MALENTIN KARIME\MANDATOS JUDICIALES\GABRIEL RODRIGUEZ RAMIREZ\AGRICOLA FUENSANTA LTDA. Minuta.doc", "Abrir Documento")</f>
        <v>0</v>
      </c>
      <c r="D5958" t="s">
        <v>23500</v>
      </c>
      <c r="E5958" t="s">
        <v>28659</v>
      </c>
    </row>
    <row r="5959" spans="1:5">
      <c r="A5959" t="s">
        <v>6</v>
      </c>
      <c r="B5959" t="s">
        <v>5964</v>
      </c>
      <c r="C5959">
        <f>HYPERLINK("C:\Users\franc\OneDrive\Documentos\MALENTIN KARIME\MANDATOS JUDICIALES\Francisco de CLAVERIE\MICHEL LACHITT Mandato Judicial Divorcio.doc", "Abrir Documento")</f>
        <v>0</v>
      </c>
      <c r="D5959" t="s">
        <v>23500</v>
      </c>
      <c r="E5959" t="s">
        <v>28660</v>
      </c>
    </row>
    <row r="5960" spans="1:5">
      <c r="A5960" t="s">
        <v>6</v>
      </c>
      <c r="B5960" t="s">
        <v>5965</v>
      </c>
      <c r="C5960">
        <f>HYPERLINK("C:\Users\franc\OneDrive\Documentos\MALENTIN KARIME\MANDATOS JUDICIALES\Francisco de CLAVERIE\Demanda Divorcio de Común Acuerdo.Sandra.2.doc", "Abrir Documento")</f>
        <v>0</v>
      </c>
      <c r="D5960" t="s">
        <v>23500</v>
      </c>
      <c r="E5960" t="s">
        <v>28661</v>
      </c>
    </row>
    <row r="5961" spans="1:5">
      <c r="A5961" t="s">
        <v>6</v>
      </c>
      <c r="B5961" t="s">
        <v>5966</v>
      </c>
      <c r="C5961">
        <f>HYPERLINK("C:\Users\franc\OneDrive\Documentos\MALENTIN KARIME\MANDATOS JUDICIALES\Francisco de CLAVERIE\acuerdo.relaciones mutuas.doc", "Abrir Documento")</f>
        <v>0</v>
      </c>
      <c r="D5961" t="s">
        <v>23500</v>
      </c>
      <c r="E5961" t="s">
        <v>28662</v>
      </c>
    </row>
    <row r="5962" spans="1:5">
      <c r="A5962" t="s">
        <v>6</v>
      </c>
      <c r="B5962" t="s">
        <v>5967</v>
      </c>
      <c r="C5962">
        <f>HYPERLINK("C:\Users\franc\OneDrive\Documentos\MALENTIN KARIME\MANDATOS JUDICIALES\FELIX SAEZ\varios.doc", "Abrir Documento")</f>
        <v>0</v>
      </c>
      <c r="D5962" t="s">
        <v>23500</v>
      </c>
      <c r="E5962" t="s">
        <v>28663</v>
      </c>
    </row>
    <row r="5963" spans="1:5">
      <c r="A5963" t="s">
        <v>6</v>
      </c>
      <c r="B5963" t="s">
        <v>5968</v>
      </c>
      <c r="C5963">
        <f>HYPERLINK("C:\Users\franc\OneDrive\Documentos\MALENTIN KARIME\MANDATOS JUDICIALES\FELIX SAEZ\SERGIO SALAMANCA.doc", "Abrir Documento")</f>
        <v>0</v>
      </c>
      <c r="D5963" t="s">
        <v>23500</v>
      </c>
      <c r="E5963" t="s">
        <v>28664</v>
      </c>
    </row>
    <row r="5964" spans="1:5">
      <c r="A5964" t="s">
        <v>6</v>
      </c>
      <c r="B5964" t="s">
        <v>5969</v>
      </c>
      <c r="C5964">
        <f>HYPERLINK("C:\Users\franc\OneDrive\Documentos\MALENTIN KARIME\MANDATOS JUDICIALES\FELIX SAEZ\SAMUEL ENRIQUE CASTRO ROJAS A Féliz Sáez Alvayay.doc", "Abrir Documento")</f>
        <v>0</v>
      </c>
      <c r="D5964" t="s">
        <v>23500</v>
      </c>
      <c r="E5964" t="s">
        <v>28665</v>
      </c>
    </row>
    <row r="5965" spans="1:5">
      <c r="A5965" t="s">
        <v>6</v>
      </c>
      <c r="B5965" t="s">
        <v>5970</v>
      </c>
      <c r="C5965">
        <f>HYPERLINK("C:\Users\franc\OneDrive\Documentos\MALENTIN KARIME\MANDATOS JUDICIALES\FELIX SAEZ\SARA PEREZ Nuevo.doc", "Abrir Documento")</f>
        <v>0</v>
      </c>
      <c r="D5965" t="s">
        <v>23500</v>
      </c>
      <c r="E5965" t="s">
        <v>28665</v>
      </c>
    </row>
    <row r="5966" spans="1:5">
      <c r="A5966" t="s">
        <v>6</v>
      </c>
      <c r="B5966" t="s">
        <v>5971</v>
      </c>
      <c r="C5966">
        <f>HYPERLINK("C:\Users\franc\OneDrive\Documentos\MALENTIN KARIME\MANDATOS JUDICIALES\FELIX SAEZ\SAMUEL CASTRO A Féliz Sáez Alvayay.doc", "Abrir Documento")</f>
        <v>0</v>
      </c>
      <c r="D5966" t="s">
        <v>23500</v>
      </c>
      <c r="E5966" t="s">
        <v>28666</v>
      </c>
    </row>
    <row r="5967" spans="1:5">
      <c r="A5967" t="s">
        <v>6</v>
      </c>
      <c r="B5967" t="s">
        <v>5972</v>
      </c>
      <c r="C5967">
        <f>HYPERLINK("C:\Users\franc\OneDrive\Documentos\MALENTIN KARIME\MANDATOS JUDICIALES\FELIX SAEZ\SALVADOR GALLEGUILLOSvarios.doc", "Abrir Documento")</f>
        <v>0</v>
      </c>
      <c r="D5967" t="s">
        <v>23500</v>
      </c>
      <c r="E5967" t="s">
        <v>28667</v>
      </c>
    </row>
    <row r="5968" spans="1:5">
      <c r="A5968" t="s">
        <v>6</v>
      </c>
      <c r="B5968" t="s">
        <v>5973</v>
      </c>
      <c r="C5968">
        <f>HYPERLINK("C:\Users\franc\OneDrive\Documentos\MALENTIN KARIME\MANDATOS JUDICIALES\FELIX SAEZ\ROSA ARAYA VELIZ.doc", "Abrir Documento")</f>
        <v>0</v>
      </c>
      <c r="D5968" t="s">
        <v>23500</v>
      </c>
      <c r="E5968" t="s">
        <v>28668</v>
      </c>
    </row>
    <row r="5969" spans="1:5">
      <c r="A5969" t="s">
        <v>6</v>
      </c>
      <c r="B5969" t="s">
        <v>5974</v>
      </c>
      <c r="C5969">
        <f>HYPERLINK("C:\Users\franc\OneDrive\Documentos\MALENTIN KARIME\MANDATOS JUDICIALES\FELIX SAEZ\ROSA CONTRERAS A felix a don Alejandro.doc", "Abrir Documento")</f>
        <v>0</v>
      </c>
      <c r="D5969" t="s">
        <v>23500</v>
      </c>
      <c r="E5969" t="s">
        <v>28668</v>
      </c>
    </row>
    <row r="5970" spans="1:5">
      <c r="A5970" t="s">
        <v>6</v>
      </c>
      <c r="B5970" t="s">
        <v>5975</v>
      </c>
      <c r="C5970">
        <f>HYPERLINK("C:\Users\franc\OneDrive\Documentos\MALENTIN KARIME\MANDATOS JUDICIALES\FELIX SAEZ\ROBERTO CUELLO CUELLO.doc", "Abrir Documento")</f>
        <v>0</v>
      </c>
      <c r="D5970" t="s">
        <v>23500</v>
      </c>
      <c r="E5970" t="s">
        <v>28669</v>
      </c>
    </row>
    <row r="5971" spans="1:5">
      <c r="A5971" t="s">
        <v>6</v>
      </c>
      <c r="B5971" t="s">
        <v>5976</v>
      </c>
      <c r="C5971">
        <f>HYPERLINK("C:\Users\franc\OneDrive\Documentos\MALENTIN KARIME\MANDATOS JUDICIALES\FELIX SAEZ\PATRICIO CONTRERAS A Féliz Sáez Alvayay.doc", "Abrir Documento")</f>
        <v>0</v>
      </c>
      <c r="D5971" t="s">
        <v>23500</v>
      </c>
      <c r="E5971" t="s">
        <v>28670</v>
      </c>
    </row>
    <row r="5972" spans="1:5">
      <c r="A5972" t="s">
        <v>6</v>
      </c>
      <c r="B5972" t="s">
        <v>5977</v>
      </c>
      <c r="C5972">
        <f>HYPERLINK("C:\Users\franc\OneDrive\Documentos\MALENTIN KARIME\MANDATOS JUDICIALES\FELIX SAEZ\PATRICIA PONCE.doc", "Abrir Documento")</f>
        <v>0</v>
      </c>
      <c r="D5972" t="s">
        <v>23500</v>
      </c>
      <c r="E5972" t="s">
        <v>28671</v>
      </c>
    </row>
    <row r="5973" spans="1:5">
      <c r="A5973" t="s">
        <v>6</v>
      </c>
      <c r="B5973" t="s">
        <v>5978</v>
      </c>
      <c r="C5973">
        <f>HYPERLINK("C:\Users\franc\OneDrive\Documentos\MALENTIN KARIME\MANDATOS JUDICIALES\FELIX SAEZ\NARCELO CASTRO 2017 A FELIZ SAEZ (Mandato Especial Juicio de Divorcio).doc", "Abrir Documento")</f>
        <v>0</v>
      </c>
      <c r="D5973" t="s">
        <v>23500</v>
      </c>
      <c r="E5973" t="s">
        <v>28672</v>
      </c>
    </row>
    <row r="5974" spans="1:5">
      <c r="A5974" t="s">
        <v>6</v>
      </c>
      <c r="B5974" t="s">
        <v>5979</v>
      </c>
      <c r="C5974">
        <f>HYPERLINK("C:\Users\franc\OneDrive\Documentos\MALENTIN KARIME\MANDATOS JUDICIALES\FELIX SAEZ\modelo.doc", "Abrir Documento")</f>
        <v>0</v>
      </c>
      <c r="D5974" t="s">
        <v>23500</v>
      </c>
      <c r="E5974" t="s">
        <v>28673</v>
      </c>
    </row>
    <row r="5975" spans="1:5">
      <c r="A5975" t="s">
        <v>6</v>
      </c>
      <c r="B5975" t="s">
        <v>5980</v>
      </c>
      <c r="C5975">
        <f>HYPERLINK("C:\Users\franc\OneDrive\Documentos\MALENTIN KARIME\MANDATOS JUDICIALES\FELIX SAEZ\MILTHON DUARTE.doc", "Abrir Documento")</f>
        <v>0</v>
      </c>
      <c r="D5975" t="s">
        <v>23500</v>
      </c>
      <c r="E5975" t="s">
        <v>28674</v>
      </c>
    </row>
    <row r="5976" spans="1:5">
      <c r="A5976" t="s">
        <v>6</v>
      </c>
      <c r="B5976" t="s">
        <v>5981</v>
      </c>
      <c r="C5976">
        <f>HYPERLINK("C:\Users\franc\OneDrive\Documentos\MALENTIN KARIME\MANDATOS JUDICIALES\FELIX SAEZ\MILTHON DUARTE Nuevo.doc", "Abrir Documento")</f>
        <v>0</v>
      </c>
      <c r="D5976" t="s">
        <v>23500</v>
      </c>
      <c r="E5976" t="s">
        <v>28675</v>
      </c>
    </row>
    <row r="5977" spans="1:5">
      <c r="A5977" t="s">
        <v>6</v>
      </c>
      <c r="B5977" t="s">
        <v>5982</v>
      </c>
      <c r="C5977">
        <f>HYPERLINK("C:\Users\franc\OneDrive\Documentos\MALENTIN KARIME\MANDATOS JUDICIALES\FELIX SAEZ\MARIA RODRIGUEZ.doc", "Abrir Documento")</f>
        <v>0</v>
      </c>
      <c r="D5977" t="s">
        <v>23500</v>
      </c>
      <c r="E5977" t="s">
        <v>28676</v>
      </c>
    </row>
    <row r="5978" spans="1:5">
      <c r="A5978" t="s">
        <v>6</v>
      </c>
      <c r="B5978" t="s">
        <v>5983</v>
      </c>
      <c r="C5978">
        <f>HYPERLINK("C:\Users\franc\OneDrive\Documentos\MALENTIN KARIME\MANDATOS JUDICIALES\FELIX SAEZ\JORGE RIQUELME Y OTRO.doc", "Abrir Documento")</f>
        <v>0</v>
      </c>
      <c r="D5978" t="s">
        <v>23500</v>
      </c>
      <c r="E5978" t="s">
        <v>28677</v>
      </c>
    </row>
    <row r="5979" spans="1:5">
      <c r="A5979" t="s">
        <v>6</v>
      </c>
      <c r="B5979" t="s">
        <v>5984</v>
      </c>
      <c r="C5979">
        <f>HYPERLINK("C:\Users\franc\OneDrive\Documentos\MALENTIN KARIME\MANDATOS JUDICIALES\FELIX SAEZ\JOSE CONTRERAS Y OTRA.doc", "Abrir Documento")</f>
        <v>0</v>
      </c>
      <c r="D5979" t="s">
        <v>23500</v>
      </c>
      <c r="E5979" t="s">
        <v>28677</v>
      </c>
    </row>
    <row r="5980" spans="1:5">
      <c r="A5980" t="s">
        <v>6</v>
      </c>
      <c r="B5980" t="s">
        <v>5985</v>
      </c>
      <c r="C5980">
        <f>HYPERLINK("C:\Users\franc\OneDrive\Documentos\MALENTIN KARIME\MANDATOS JUDICIALES\FELIX SAEZ\JORGE HIDALGO RAMOS.doc", "Abrir Documento")</f>
        <v>0</v>
      </c>
      <c r="D5980" t="s">
        <v>23500</v>
      </c>
      <c r="E5980" t="s">
        <v>28678</v>
      </c>
    </row>
    <row r="5981" spans="1:5">
      <c r="A5981" t="s">
        <v>6</v>
      </c>
      <c r="B5981" t="s">
        <v>5986</v>
      </c>
      <c r="C5981">
        <f>HYPERLINK("C:\Users\franc\OneDrive\Documentos\MALENTIN KARIME\MANDATOS JUDICIALES\FELIX SAEZ\JONHATAN BORQUEZ 2015.doc", "Abrir Documento")</f>
        <v>0</v>
      </c>
      <c r="D5981" t="s">
        <v>23500</v>
      </c>
      <c r="E5981" t="s">
        <v>28679</v>
      </c>
    </row>
    <row r="5982" spans="1:5">
      <c r="A5982" t="s">
        <v>6</v>
      </c>
      <c r="B5982" t="s">
        <v>5987</v>
      </c>
      <c r="C5982">
        <f>HYPERLINK("C:\Users\franc\OneDrive\Documentos\MALENTIN KARIME\MANDATOS JUDICIALES\FELIX SAEZ\JOHANNA PIZARRO CORTES.doc", "Abrir Documento")</f>
        <v>0</v>
      </c>
      <c r="D5982" t="s">
        <v>23500</v>
      </c>
      <c r="E5982" t="s">
        <v>28680</v>
      </c>
    </row>
    <row r="5983" spans="1:5">
      <c r="A5983" t="s">
        <v>6</v>
      </c>
      <c r="B5983" t="s">
        <v>5988</v>
      </c>
      <c r="C5983">
        <f>HYPERLINK("C:\Users\franc\OneDrive\Documentos\MALENTIN KARIME\MANDATOS JUDICIALES\FELIX SAEZ\HECTOR OMAR MEDALLA MEDALLA Mandato.doc", "Abrir Documento")</f>
        <v>0</v>
      </c>
      <c r="D5983" t="s">
        <v>23500</v>
      </c>
      <c r="E5983" t="s">
        <v>28681</v>
      </c>
    </row>
    <row r="5984" spans="1:5">
      <c r="A5984" t="s">
        <v>6</v>
      </c>
      <c r="B5984" t="s">
        <v>5989</v>
      </c>
      <c r="C5984">
        <f>HYPERLINK("C:\Users\franc\OneDrive\Documentos\MALENTIN KARIME\MANDATOS JUDICIALES\FELIX SAEZ\GERALD BELLENGER 2015.doc", "Abrir Documento")</f>
        <v>0</v>
      </c>
      <c r="D5984" t="s">
        <v>23500</v>
      </c>
      <c r="E5984" t="s">
        <v>28682</v>
      </c>
    </row>
    <row r="5985" spans="1:5">
      <c r="A5985" t="s">
        <v>6</v>
      </c>
      <c r="B5985" t="s">
        <v>5990</v>
      </c>
      <c r="C5985">
        <f>HYPERLINK("C:\Users\franc\OneDrive\Documentos\MALENTIN KARIME\MANDATOS JUDICIALES\FELIX SAEZ\GASPAR FARIA ORTEGA.doc", "Abrir Documento")</f>
        <v>0</v>
      </c>
      <c r="D5985" t="s">
        <v>23500</v>
      </c>
      <c r="E5985" t="s">
        <v>28683</v>
      </c>
    </row>
    <row r="5986" spans="1:5">
      <c r="A5986" t="s">
        <v>6</v>
      </c>
      <c r="B5986" t="s">
        <v>5991</v>
      </c>
      <c r="C5986">
        <f>HYPERLINK("C:\Users\franc\OneDrive\Documentos\MALENTIN KARIME\MANDATOS JUDICIALES\FELIX SAEZ\DIONISIO ALARCON.doc", "Abrir Documento")</f>
        <v>0</v>
      </c>
      <c r="D5986" t="s">
        <v>23500</v>
      </c>
      <c r="E5986" t="s">
        <v>28684</v>
      </c>
    </row>
    <row r="5987" spans="1:5">
      <c r="A5987" t="s">
        <v>6</v>
      </c>
      <c r="B5987" t="s">
        <v>5992</v>
      </c>
      <c r="C5987">
        <f>HYPERLINK("C:\Users\franc\OneDrive\Documentos\MALENTIN KARIME\MANDATOS JUDICIALES\FELIX SAEZ\especial.doc", "Abrir Documento")</f>
        <v>0</v>
      </c>
      <c r="D5987" t="s">
        <v>23500</v>
      </c>
      <c r="E5987" t="s">
        <v>28684</v>
      </c>
    </row>
    <row r="5988" spans="1:5">
      <c r="A5988" t="s">
        <v>6</v>
      </c>
      <c r="B5988" t="s">
        <v>5993</v>
      </c>
      <c r="C5988">
        <f>HYPERLINK("C:\Users\franc\OneDrive\Documentos\MALENTIN KARIME\MANDATOS JUDICIALES\FELIX SAEZ\DIEGO GUTIERREZ.doc", "Abrir Documento")</f>
        <v>0</v>
      </c>
      <c r="D5988" t="s">
        <v>23500</v>
      </c>
      <c r="E5988" t="s">
        <v>28685</v>
      </c>
    </row>
    <row r="5989" spans="1:5">
      <c r="A5989" t="s">
        <v>6</v>
      </c>
      <c r="B5989" t="s">
        <v>5994</v>
      </c>
      <c r="C5989">
        <f>HYPERLINK("C:\Users\franc\OneDrive\Documentos\MALENTIN KARIME\MANDATOS JUDICIALES\FELIX SAEZ\CLAUDIO ARAYA.doc", "Abrir Documento")</f>
        <v>0</v>
      </c>
      <c r="D5989" t="s">
        <v>23500</v>
      </c>
      <c r="E5989" t="s">
        <v>28686</v>
      </c>
    </row>
    <row r="5990" spans="1:5">
      <c r="A5990" t="s">
        <v>6</v>
      </c>
      <c r="B5990" t="s">
        <v>5995</v>
      </c>
      <c r="C5990">
        <f>HYPERLINK("C:\Users\franc\OneDrive\Documentos\MALENTIN KARIME\MANDATOS JUDICIALES\FELIX SAEZ\CAROLINA VALDIVIA.doc", "Abrir Documento")</f>
        <v>0</v>
      </c>
      <c r="D5990" t="s">
        <v>23500</v>
      </c>
      <c r="E5990" t="s">
        <v>28687</v>
      </c>
    </row>
    <row r="5991" spans="1:5">
      <c r="A5991" t="s">
        <v>6</v>
      </c>
      <c r="B5991" t="s">
        <v>5996</v>
      </c>
      <c r="C5991">
        <f>HYPERLINK("C:\Users\franc\OneDrive\Documentos\MALENTIN KARIME\MANDATOS JUDICIALES\FELIX SAEZ\ALEJANDRO CORTES 2017.doc", "Abrir Documento")</f>
        <v>0</v>
      </c>
      <c r="D5991" t="s">
        <v>23500</v>
      </c>
      <c r="E5991" t="s">
        <v>28688</v>
      </c>
    </row>
    <row r="5992" spans="1:5">
      <c r="A5992" t="s">
        <v>6</v>
      </c>
      <c r="B5992" t="s">
        <v>5997</v>
      </c>
      <c r="C5992">
        <f>HYPERLINK("C:\Users\franc\OneDrive\Documentos\MALENTIN KARIME\MANDATOS JUDICIALES\FELIX SAEZ\2019.doc", "Abrir Documento")</f>
        <v>0</v>
      </c>
      <c r="D5992" t="s">
        <v>23500</v>
      </c>
      <c r="E5992" t="s">
        <v>28689</v>
      </c>
    </row>
    <row r="5993" spans="1:5">
      <c r="A5993" t="s">
        <v>6</v>
      </c>
      <c r="B5993" t="s">
        <v>5998</v>
      </c>
      <c r="C5993">
        <f>HYPERLINK("C:\Users\franc\OneDrive\Documentos\MALENTIN KARIME\MANDATOS JUDICIALES\FELIPE BRAVO ALBORNOZ\CRISTIAN PEREZ ESCOBAR.doc", "Abrir Documento")</f>
        <v>0</v>
      </c>
      <c r="D5993" t="s">
        <v>23500</v>
      </c>
      <c r="E5993" t="s">
        <v>28690</v>
      </c>
    </row>
    <row r="5994" spans="1:5">
      <c r="A5994" t="s">
        <v>6</v>
      </c>
      <c r="B5994" t="s">
        <v>5999</v>
      </c>
      <c r="C5994">
        <f>HYPERLINK("C:\Users\franc\OneDrive\Documentos\MALENTIN KARIME\MANDATOS JUDICIALES\FELIPE BRAVO ALBORNOZ\INVERSIONES ESCOBAR LTDA..doc", "Abrir Documento")</f>
        <v>0</v>
      </c>
      <c r="D5994" t="s">
        <v>23500</v>
      </c>
      <c r="E5994" t="s">
        <v>28690</v>
      </c>
    </row>
    <row r="5995" spans="1:5">
      <c r="A5995" t="s">
        <v>6</v>
      </c>
      <c r="B5995" t="s">
        <v>6000</v>
      </c>
      <c r="C5995">
        <f>HYPERLINK("C:\Users\franc\OneDrive\Documentos\MALENTIN KARIME\MANDATOS JUDICIALES\FELIPE BARRIOS CALLEJAS\WLATER VEGA 2019.doc", "Abrir Documento")</f>
        <v>0</v>
      </c>
      <c r="D5995" t="s">
        <v>23500</v>
      </c>
      <c r="E5995" t="s">
        <v>28691</v>
      </c>
    </row>
    <row r="5996" spans="1:5">
      <c r="A5996" t="s">
        <v>6</v>
      </c>
      <c r="B5996" t="s">
        <v>6001</v>
      </c>
      <c r="C5996">
        <f>HYPERLINK("C:\Users\franc\OneDrive\Documentos\MALENTIN KARIME\MANDATOS JUDICIALES\FELIPE BARRIOS CALLEJAS\MARIO PEREZ MUÑOZ.doc", "Abrir Documento")</f>
        <v>0</v>
      </c>
      <c r="D5996" t="s">
        <v>23500</v>
      </c>
      <c r="E5996" t="s">
        <v>28692</v>
      </c>
    </row>
    <row r="5997" spans="1:5">
      <c r="A5997" t="s">
        <v>6</v>
      </c>
      <c r="B5997" t="s">
        <v>6002</v>
      </c>
      <c r="C5997">
        <f>HYPERLINK("C:\Users\franc\OneDrive\Documentos\MALENTIN KARIME\MANDATOS JUDICIALES\FELIPE BARRIOS CALLEJAS\NATALIA ERICES.doc", "Abrir Documento")</f>
        <v>0</v>
      </c>
      <c r="D5997" t="s">
        <v>23500</v>
      </c>
      <c r="E5997" t="s">
        <v>28692</v>
      </c>
    </row>
    <row r="5998" spans="1:5">
      <c r="A5998" t="s">
        <v>6</v>
      </c>
      <c r="B5998" t="s">
        <v>6003</v>
      </c>
      <c r="C5998">
        <f>HYPERLINK("C:\Users\franc\OneDrive\Documentos\MALENTIN KARIME\MANDATOS JUDICIALES\FELIPE BARRIOS CALLEJAS\Juicio divorciodoc.doc", "Abrir Documento")</f>
        <v>0</v>
      </c>
      <c r="D5998" t="s">
        <v>23500</v>
      </c>
      <c r="E5998" t="s">
        <v>28693</v>
      </c>
    </row>
    <row r="5999" spans="1:5">
      <c r="A5999" t="s">
        <v>6</v>
      </c>
      <c r="B5999" t="s">
        <v>6004</v>
      </c>
      <c r="C5999">
        <f>HYPERLINK("C:\Users\franc\OneDrive\Documentos\MALENTIN KARIME\MANDATOS JUDICIALES\FELIPE BARRIOS CALLEJAS\KARINE ALVARADO 2020.doc", "Abrir Documento")</f>
        <v>0</v>
      </c>
      <c r="D5999" t="s">
        <v>23500</v>
      </c>
      <c r="E5999" t="s">
        <v>28693</v>
      </c>
    </row>
    <row r="6000" spans="1:5">
      <c r="A6000" t="s">
        <v>6</v>
      </c>
      <c r="B6000" t="s">
        <v>6005</v>
      </c>
      <c r="C6000">
        <f>HYPERLINK("C:\Users\franc\OneDrive\Documentos\MALENTIN KARIME\MANDATOS JUDICIALES\FELIPE BARRIOS CALLEJAS\GERALD FARIAS 2020.doc", "Abrir Documento")</f>
        <v>0</v>
      </c>
      <c r="D6000" t="s">
        <v>23500</v>
      </c>
      <c r="E6000" t="s">
        <v>28694</v>
      </c>
    </row>
    <row r="6001" spans="1:5">
      <c r="A6001" t="s">
        <v>6</v>
      </c>
      <c r="B6001" t="s">
        <v>6006</v>
      </c>
      <c r="C6001">
        <f>HYPERLINK("C:\Users\franc\OneDrive\Documentos\MALENTIN KARIME\MANDATOS JUDICIALES\FELIPE BARRIOS CALLEJAS\ERIC PINTO.doc", "Abrir Documento")</f>
        <v>0</v>
      </c>
      <c r="D6001" t="s">
        <v>23500</v>
      </c>
      <c r="E6001" t="s">
        <v>28695</v>
      </c>
    </row>
    <row r="6002" spans="1:5">
      <c r="A6002" t="s">
        <v>6</v>
      </c>
      <c r="B6002" t="s">
        <v>6007</v>
      </c>
      <c r="C6002">
        <f>HYPERLINK("C:\Users\franc\OneDrive\Documentos\MALENTIN KARIME\MANDATOS JUDICIALES\FELIPE BARRIOS CALLEJAS\DERLINDA ALVAREZ.doc", "Abrir Documento")</f>
        <v>0</v>
      </c>
      <c r="D6002" t="s">
        <v>23500</v>
      </c>
      <c r="E6002" t="s">
        <v>28696</v>
      </c>
    </row>
    <row r="6003" spans="1:5">
      <c r="A6003" t="s">
        <v>6</v>
      </c>
      <c r="B6003" t="s">
        <v>6008</v>
      </c>
      <c r="C6003">
        <f>HYPERLINK("C:\Users\franc\OneDrive\Documentos\MALENTIN KARIME\MANDATOS JUDICIALES\FELIPE BARRIOS CALLEJAS\CONNIE PAZ Juicio divorciodoc.doc", "Abrir Documento")</f>
        <v>0</v>
      </c>
      <c r="D6003" t="s">
        <v>23500</v>
      </c>
      <c r="E6003" t="s">
        <v>28697</v>
      </c>
    </row>
    <row r="6004" spans="1:5">
      <c r="A6004" t="s">
        <v>6</v>
      </c>
      <c r="B6004" t="s">
        <v>6009</v>
      </c>
      <c r="C6004">
        <f>HYPERLINK("C:\Users\franc\OneDrive\Documentos\MALENTIN KARIME\MANDATOS JUDICIALES\FELIPE BARRIOS CALLEJAS\CELINDA CONTRERAS.doc", "Abrir Documento")</f>
        <v>0</v>
      </c>
      <c r="D6004" t="s">
        <v>23500</v>
      </c>
      <c r="E6004" t="s">
        <v>28698</v>
      </c>
    </row>
    <row r="6005" spans="1:5">
      <c r="A6005" t="s">
        <v>6</v>
      </c>
      <c r="B6005" t="s">
        <v>6010</v>
      </c>
      <c r="C6005">
        <f>HYPERLINK("C:\Users\franc\OneDrive\Documentos\MALENTIN KARIME\MANDATOS JUDICIALES\FELIPE BARRIOS CALLEJAS\CAMILA ALVARADO CASTRO 2021.doc", "Abrir Documento")</f>
        <v>0</v>
      </c>
      <c r="D6005" t="s">
        <v>23500</v>
      </c>
      <c r="E6005" t="s">
        <v>28699</v>
      </c>
    </row>
    <row r="6006" spans="1:5">
      <c r="A6006" t="s">
        <v>6</v>
      </c>
      <c r="B6006" t="s">
        <v>6011</v>
      </c>
      <c r="C6006">
        <f>HYPERLINK("C:\Users\franc\OneDrive\Documentos\MALENTIN KARIME\MANDATOS JUDICIALES\FELIPE ALAMO BARRIOS\SOC. AGRICOLA LOS ALAMOS.doc", "Abrir Documento")</f>
        <v>0</v>
      </c>
      <c r="D6006" t="s">
        <v>23500</v>
      </c>
      <c r="E6006" t="s">
        <v>28700</v>
      </c>
    </row>
    <row r="6007" spans="1:5">
      <c r="A6007" t="s">
        <v>6</v>
      </c>
      <c r="B6007" t="s">
        <v>6012</v>
      </c>
      <c r="C6007">
        <f>HYPERLINK("C:\Users\franc\OneDrive\Documentos\MALENTIN KARIME\MANDATOS JUDICIALES\FELIPE ALAMO BARRIOS\RODRIGO JARA OVALLE Comsat.doc", "Abrir Documento")</f>
        <v>0</v>
      </c>
      <c r="D6007" t="s">
        <v>23500</v>
      </c>
      <c r="E6007" t="s">
        <v>28701</v>
      </c>
    </row>
    <row r="6008" spans="1:5">
      <c r="A6008" t="s">
        <v>6</v>
      </c>
      <c r="B6008" t="s">
        <v>6013</v>
      </c>
      <c r="C6008">
        <f>HYPERLINK("C:\Users\franc\OneDrive\Documentos\MALENTIN KARIME\MANDATOS JUDICIALES\FELIPE ALAMO BARRIOS\RODRIGO JARA OVALLE Comsat BORRADOR.doc", "Abrir Documento")</f>
        <v>0</v>
      </c>
      <c r="D6008" t="s">
        <v>23500</v>
      </c>
      <c r="E6008" t="s">
        <v>28702</v>
      </c>
    </row>
    <row r="6009" spans="1:5">
      <c r="A6009" t="s">
        <v>6</v>
      </c>
      <c r="B6009" t="s">
        <v>6014</v>
      </c>
      <c r="C6009">
        <f>HYPERLINK("C:\Users\franc\OneDrive\Documentos\MALENTIN KARIME\MANDATOS JUDICIALES\EVELYN PINTO\FRANCISCO CATALDO.doc", "Abrir Documento")</f>
        <v>0</v>
      </c>
      <c r="D6009" t="s">
        <v>23500</v>
      </c>
      <c r="E6009" t="s">
        <v>28703</v>
      </c>
    </row>
    <row r="6010" spans="1:5">
      <c r="A6010" t="s">
        <v>6</v>
      </c>
      <c r="B6010" t="s">
        <v>6015</v>
      </c>
      <c r="C6010">
        <f>HYPERLINK("C:\Users\franc\OneDrive\Documentos\MALENTIN KARIME\MANDATOS JUDICIALES\FELIPE ALAMO BARRIOS\GABRIEL TOLEDO.doc", "Abrir Documento")</f>
        <v>0</v>
      </c>
      <c r="D6010" t="s">
        <v>23500</v>
      </c>
      <c r="E6010" t="s">
        <v>28703</v>
      </c>
    </row>
    <row r="6011" spans="1:5">
      <c r="A6011" t="s">
        <v>6</v>
      </c>
      <c r="B6011" t="s">
        <v>6016</v>
      </c>
      <c r="C6011">
        <f>HYPERLINK("C:\Users\franc\OneDrive\Documentos\MALENTIN KARIME\MANDATOS JUDICIALES\EUGENIO RIVAS\2019\ORLAN CAMINADA 2019.doc", "Abrir Documento")</f>
        <v>0</v>
      </c>
      <c r="D6011" t="s">
        <v>23500</v>
      </c>
      <c r="E6011" t="s">
        <v>28704</v>
      </c>
    </row>
    <row r="6012" spans="1:5">
      <c r="A6012" t="s">
        <v>6</v>
      </c>
      <c r="B6012" t="s">
        <v>6017</v>
      </c>
      <c r="C6012">
        <f>HYPERLINK("C:\Users\franc\OneDrive\Documentos\MALENTIN KARIME\MANDATOS JUDICIALES\EUGENIO RIVAS\2016\ULISES GALLARDO 2017.doc", "Abrir Documento")</f>
        <v>0</v>
      </c>
      <c r="D6012" t="s">
        <v>23500</v>
      </c>
      <c r="E6012" t="s">
        <v>28705</v>
      </c>
    </row>
    <row r="6013" spans="1:5">
      <c r="A6013" t="s">
        <v>6</v>
      </c>
      <c r="B6013" t="s">
        <v>6018</v>
      </c>
      <c r="C6013">
        <f>HYPERLINK("C:\Users\franc\OneDrive\Documentos\MALENTIN KARIME\MANDATOS JUDICIALES\EUGENIO RIVAS\2016\SOCIEDAD SILVA Y CLARKE LIMITADA.doc", "Abrir Documento")</f>
        <v>0</v>
      </c>
      <c r="D6013" t="s">
        <v>23500</v>
      </c>
      <c r="E6013" t="s">
        <v>28706</v>
      </c>
    </row>
    <row r="6014" spans="1:5">
      <c r="A6014" t="s">
        <v>6</v>
      </c>
      <c r="B6014" t="s">
        <v>6019</v>
      </c>
      <c r="C6014">
        <f>HYPERLINK("C:\Users\franc\OneDrive\Documentos\MALENTIN KARIME\MANDATOS JUDICIALES\EUGENIO RIVAS\2016\SIMON VARGAS.doc", "Abrir Documento")</f>
        <v>0</v>
      </c>
      <c r="D6014" t="s">
        <v>23500</v>
      </c>
      <c r="E6014" t="s">
        <v>28707</v>
      </c>
    </row>
    <row r="6015" spans="1:5">
      <c r="A6015" t="s">
        <v>6</v>
      </c>
      <c r="B6015" t="s">
        <v>6020</v>
      </c>
      <c r="C6015">
        <f>HYPERLINK("C:\Users\franc\OneDrive\Documentos\MALENTIN KARIME\MANDATOS JUDICIALES\EUGENIO RIVAS\2016\ROSA RODRIGUEZ CONTRERAS.doc", "Abrir Documento")</f>
        <v>0</v>
      </c>
      <c r="D6015" t="s">
        <v>23500</v>
      </c>
      <c r="E6015" t="s">
        <v>28708</v>
      </c>
    </row>
    <row r="6016" spans="1:5">
      <c r="A6016" t="s">
        <v>6</v>
      </c>
      <c r="B6016" t="s">
        <v>6021</v>
      </c>
      <c r="C6016">
        <f>HYPERLINK("C:\Users\franc\OneDrive\Documentos\MALENTIN KARIME\MANDATOS JUDICIALES\EUGENIO RIVAS\2016\RENE CONTRERAS 2017.doc", "Abrir Documento")</f>
        <v>0</v>
      </c>
      <c r="D6016" t="s">
        <v>23500</v>
      </c>
      <c r="E6016" t="s">
        <v>28709</v>
      </c>
    </row>
    <row r="6017" spans="1:5">
      <c r="A6017" t="s">
        <v>6</v>
      </c>
      <c r="B6017" t="s">
        <v>6022</v>
      </c>
      <c r="C6017">
        <f>HYPERLINK("C:\Users\franc\OneDrive\Documentos\MALENTIN KARIME\MANDATOS JUDICIALES\EUGENIO RIVAS\2016\PABLA OSSANDON 2017.doc", "Abrir Documento")</f>
        <v>0</v>
      </c>
      <c r="D6017" t="s">
        <v>23500</v>
      </c>
      <c r="E6017" t="s">
        <v>28710</v>
      </c>
    </row>
    <row r="6018" spans="1:5">
      <c r="A6018" t="s">
        <v>6</v>
      </c>
      <c r="B6018" t="s">
        <v>6023</v>
      </c>
      <c r="C6018">
        <f>HYPERLINK("C:\Users\franc\OneDrive\Documentos\MALENTIN KARIME\MANDATOS JUDICIALES\EUGENIO RIVAS\2016\luis torrejon.doc", "Abrir Documento")</f>
        <v>0</v>
      </c>
      <c r="D6018" t="s">
        <v>23500</v>
      </c>
      <c r="E6018" t="s">
        <v>28711</v>
      </c>
    </row>
    <row r="6019" spans="1:5">
      <c r="A6019" t="s">
        <v>6</v>
      </c>
      <c r="B6019" t="s">
        <v>6024</v>
      </c>
      <c r="C6019">
        <f>HYPERLINK("C:\Users\franc\OneDrive\Documentos\MALENTIN KARIME\MANDATOS JUDICIALES\EUGENIO RIVAS\2016\MARIELA CLARKE.doc", "Abrir Documento")</f>
        <v>0</v>
      </c>
      <c r="D6019" t="s">
        <v>23500</v>
      </c>
      <c r="E6019" t="s">
        <v>28711</v>
      </c>
    </row>
    <row r="6020" spans="1:5">
      <c r="A6020" t="s">
        <v>6</v>
      </c>
      <c r="B6020" t="s">
        <v>6025</v>
      </c>
      <c r="C6020">
        <f>HYPERLINK("C:\Users\franc\OneDrive\Documentos\MALENTIN KARIME\MANDATOS JUDICIALES\EUGENIO RIVAS\2016\JANDRY CASTILLO.doc", "Abrir Documento")</f>
        <v>0</v>
      </c>
      <c r="D6020" t="s">
        <v>23500</v>
      </c>
      <c r="E6020" t="s">
        <v>28712</v>
      </c>
    </row>
    <row r="6021" spans="1:5">
      <c r="A6021" t="s">
        <v>6</v>
      </c>
      <c r="B6021" t="s">
        <v>6026</v>
      </c>
      <c r="C6021">
        <f>HYPERLINK("C:\Users\franc\OneDrive\Documentos\MALENTIN KARIME\MANDATOS JUDICIALES\EUGENIO RIVAS\2016\JAIME ARDILES ARDILES Y OTROS.doc", "Abrir Documento")</f>
        <v>0</v>
      </c>
      <c r="D6021" t="s">
        <v>23500</v>
      </c>
      <c r="E6021" t="s">
        <v>28713</v>
      </c>
    </row>
    <row r="6022" spans="1:5">
      <c r="A6022" t="s">
        <v>6</v>
      </c>
      <c r="B6022" t="s">
        <v>6027</v>
      </c>
      <c r="C6022">
        <f>HYPERLINK("C:\Users\franc\OneDrive\Documentos\MALENTIN KARIME\MANDATOS JUDICIALES\EUGENIO RIVAS\2016\EDITH GILIOLA ORTIZ COLLAO.doc", "Abrir Documento")</f>
        <v>0</v>
      </c>
      <c r="D6022" t="s">
        <v>23500</v>
      </c>
      <c r="E6022" t="s">
        <v>28714</v>
      </c>
    </row>
    <row r="6023" spans="1:5">
      <c r="A6023" t="s">
        <v>6</v>
      </c>
      <c r="B6023" t="s">
        <v>6028</v>
      </c>
      <c r="C6023">
        <f>HYPERLINK("C:\Users\franc\OneDrive\Documentos\MALENTIN KARIME\MANDATOS JUDICIALES\EUGENIO RIVAS\2016\CRISTIAN RODRIGUEZ MUÑOZ 2017.doc", "Abrir Documento")</f>
        <v>0</v>
      </c>
      <c r="D6023" t="s">
        <v>23500</v>
      </c>
      <c r="E6023" t="s">
        <v>28715</v>
      </c>
    </row>
    <row r="6024" spans="1:5">
      <c r="A6024" t="s">
        <v>6</v>
      </c>
      <c r="B6024" t="s">
        <v>6029</v>
      </c>
      <c r="C6024">
        <f>HYPERLINK("C:\Users\franc\OneDrive\Documentos\MALENTIN KARIME\MANDATOS JUDICIALES\EUGENIO RIVAS\2016\COM AGRICOLA LOS HUASCO ALTINOS.doc", "Abrir Documento")</f>
        <v>0</v>
      </c>
      <c r="D6024" t="s">
        <v>23500</v>
      </c>
      <c r="E6024" t="s">
        <v>28716</v>
      </c>
    </row>
    <row r="6025" spans="1:5">
      <c r="A6025" t="s">
        <v>6</v>
      </c>
      <c r="B6025" t="s">
        <v>6030</v>
      </c>
      <c r="C6025">
        <f>HYPERLINK("C:\Users\franc\OneDrive\Documentos\MALENTIN KARIME\MANDATOS JUDICIALES\EUGENIO RIVAS\2016\COMUNIDAD PUNITAQUI.doc", "Abrir Documento")</f>
        <v>0</v>
      </c>
      <c r="D6025" t="s">
        <v>23500</v>
      </c>
      <c r="E6025" t="s">
        <v>28716</v>
      </c>
    </row>
    <row r="6026" spans="1:5">
      <c r="A6026" t="s">
        <v>6</v>
      </c>
      <c r="B6026" t="s">
        <v>6031</v>
      </c>
      <c r="C6026">
        <f>HYPERLINK("C:\Users\franc\OneDrive\Documentos\MALENTIN KARIME\MANDATOS JUDICIALES\EUGENIO RIVAS\2016\ALBINA ROJAS ARAYA 2018.doc", "Abrir Documento")</f>
        <v>0</v>
      </c>
      <c r="D6026" t="s">
        <v>23500</v>
      </c>
      <c r="E6026" t="s">
        <v>28717</v>
      </c>
    </row>
    <row r="6027" spans="1:5">
      <c r="A6027" t="s">
        <v>6</v>
      </c>
      <c r="B6027" t="s">
        <v>6032</v>
      </c>
      <c r="C6027">
        <f>HYPERLINK("C:\Users\franc\OneDrive\Documentos\MALENTIN KARIME\MANDATOS JUDICIALES\EUGENIO RIVAS\WILFREDO CAMPOS.doc", "Abrir Documento")</f>
        <v>0</v>
      </c>
      <c r="D6027" t="s">
        <v>23500</v>
      </c>
      <c r="E6027" t="s">
        <v>28718</v>
      </c>
    </row>
    <row r="6028" spans="1:5">
      <c r="A6028" t="s">
        <v>6</v>
      </c>
      <c r="B6028" t="s">
        <v>6033</v>
      </c>
      <c r="C6028">
        <f>HYPERLINK("C:\Users\franc\OneDrive\Documentos\MALENTIN KARIME\MANDATOS JUDICIALES\EUGENIO RIVAS\SORAYA ALAMO Minuta.doc", "Abrir Documento")</f>
        <v>0</v>
      </c>
      <c r="D6028" t="s">
        <v>23500</v>
      </c>
      <c r="E6028" t="s">
        <v>28719</v>
      </c>
    </row>
    <row r="6029" spans="1:5">
      <c r="A6029" t="s">
        <v>6</v>
      </c>
      <c r="B6029" t="s">
        <v>6034</v>
      </c>
      <c r="C6029">
        <f>HYPERLINK("C:\Users\franc\OneDrive\Documentos\MALENTIN KARIME\MANDATOS JUDICIALES\EUGENIO RIVAS\SOCIEDAD SILVA Y CLARKE LTDA..doc", "Abrir Documento")</f>
        <v>0</v>
      </c>
      <c r="D6029" t="s">
        <v>23500</v>
      </c>
      <c r="E6029" t="s">
        <v>28720</v>
      </c>
    </row>
    <row r="6030" spans="1:5">
      <c r="A6030" t="s">
        <v>6</v>
      </c>
      <c r="B6030" t="s">
        <v>6035</v>
      </c>
      <c r="C6030">
        <f>HYPERLINK("C:\Users\franc\OneDrive\Documentos\MALENTIN KARIME\MANDATOS JUDICIALES\EUGENIO RIVAS\SOCIEDAD INMOBILIARIA FARIVAR Especial no judicial.doc", "Abrir Documento")</f>
        <v>0</v>
      </c>
      <c r="D6030" t="s">
        <v>23500</v>
      </c>
      <c r="E6030" t="s">
        <v>28721</v>
      </c>
    </row>
    <row r="6031" spans="1:5">
      <c r="A6031" t="s">
        <v>6</v>
      </c>
      <c r="B6031" t="s">
        <v>6036</v>
      </c>
      <c r="C6031">
        <f>HYPERLINK("C:\Users\franc\OneDrive\Documentos\MALENTIN KARIME\MANDATOS JUDICIALES\EUGENIO RIVAS\ROSA PUELLES.doc", "Abrir Documento")</f>
        <v>0</v>
      </c>
      <c r="D6031" t="s">
        <v>23500</v>
      </c>
      <c r="E6031" t="s">
        <v>28722</v>
      </c>
    </row>
    <row r="6032" spans="1:5">
      <c r="A6032" t="s">
        <v>6</v>
      </c>
      <c r="B6032" t="s">
        <v>6037</v>
      </c>
      <c r="C6032">
        <f>HYPERLINK("C:\Users\franc\OneDrive\Documentos\MALENTIN KARIME\MANDATOS JUDICIALES\EUGENIO RIVAS\ROBERT VEAS SANTIBAÑEZ.doc", "Abrir Documento")</f>
        <v>0</v>
      </c>
      <c r="D6032" t="s">
        <v>23500</v>
      </c>
      <c r="E6032" t="s">
        <v>28723</v>
      </c>
    </row>
    <row r="6033" spans="1:5">
      <c r="A6033" t="s">
        <v>6</v>
      </c>
      <c r="B6033" t="s">
        <v>6038</v>
      </c>
      <c r="C6033">
        <f>HYPERLINK("C:\Users\franc\OneDrive\Documentos\MALENTIN KARIME\MANDATOS JUDICIALES\EUGENIO RIVAS\richard cuno.doc", "Abrir Documento")</f>
        <v>0</v>
      </c>
      <c r="D6033" t="s">
        <v>23500</v>
      </c>
      <c r="E6033" t="s">
        <v>28724</v>
      </c>
    </row>
    <row r="6034" spans="1:5">
      <c r="A6034" t="s">
        <v>6</v>
      </c>
      <c r="B6034" t="s">
        <v>6039</v>
      </c>
      <c r="C6034">
        <f>HYPERLINK("C:\Users\franc\OneDrive\Documentos\MALENTIN KARIME\MANDATOS JUDICIALES\EUGENIO RIVAS\RENE MIRANDA.doc", "Abrir Documento")</f>
        <v>0</v>
      </c>
      <c r="D6034" t="s">
        <v>23500</v>
      </c>
      <c r="E6034" t="s">
        <v>28725</v>
      </c>
    </row>
    <row r="6035" spans="1:5">
      <c r="A6035" t="s">
        <v>6</v>
      </c>
      <c r="B6035" t="s">
        <v>6040</v>
      </c>
      <c r="C6035">
        <f>HYPERLINK("C:\Users\franc\OneDrive\Documentos\MALENTIN KARIME\MANDATOS JUDICIALES\EUGENIO RIVAS\OLGA BUGUEÑO MUÑOZ.doc", "Abrir Documento")</f>
        <v>0</v>
      </c>
      <c r="D6035" t="s">
        <v>23500</v>
      </c>
      <c r="E6035" t="s">
        <v>28726</v>
      </c>
    </row>
    <row r="6036" spans="1:5">
      <c r="A6036" t="s">
        <v>6</v>
      </c>
      <c r="B6036" t="s">
        <v>6041</v>
      </c>
      <c r="C6036">
        <f>HYPERLINK("C:\Users\franc\OneDrive\Documentos\MALENTIN KARIME\MANDATOS JUDICIALES\EUGENIO RIVAS\PEDRO CASTILLO.doc", "Abrir Documento")</f>
        <v>0</v>
      </c>
      <c r="D6036" t="s">
        <v>23500</v>
      </c>
      <c r="E6036" t="s">
        <v>28726</v>
      </c>
    </row>
    <row r="6037" spans="1:5">
      <c r="A6037" t="s">
        <v>6</v>
      </c>
      <c r="B6037" t="s">
        <v>6042</v>
      </c>
      <c r="C6037">
        <f>HYPERLINK("C:\Users\franc\OneDrive\Documentos\MALENTIN KARIME\MANDATOS JUDICIALES\EUGENIO RIVAS\MARIA LATORRE.doc", "Abrir Documento")</f>
        <v>0</v>
      </c>
      <c r="D6037" t="s">
        <v>23500</v>
      </c>
      <c r="E6037" t="s">
        <v>28727</v>
      </c>
    </row>
    <row r="6038" spans="1:5">
      <c r="A6038" t="s">
        <v>6</v>
      </c>
      <c r="B6038" t="s">
        <v>6043</v>
      </c>
      <c r="C6038">
        <f>HYPERLINK("C:\Users\franc\OneDrive\Documentos\MALENTIN KARIME\MANDATOS JUDICIALES\EUGENIO RIVAS\JOEL LAGUNAS.doc", "Abrir Documento")</f>
        <v>0</v>
      </c>
      <c r="D6038" t="s">
        <v>23500</v>
      </c>
      <c r="E6038" t="s">
        <v>28728</v>
      </c>
    </row>
    <row r="6039" spans="1:5">
      <c r="A6039" t="s">
        <v>6</v>
      </c>
      <c r="B6039" t="s">
        <v>6044</v>
      </c>
      <c r="C6039">
        <f>HYPERLINK("C:\Users\franc\OneDrive\Documentos\MALENTIN KARIME\MANDATOS JUDICIALES\EUGENIO RIVAS\JULIO CARVAJAL.doc", "Abrir Documento")</f>
        <v>0</v>
      </c>
      <c r="D6039" t="s">
        <v>23500</v>
      </c>
      <c r="E6039" t="s">
        <v>28728</v>
      </c>
    </row>
    <row r="6040" spans="1:5">
      <c r="A6040" t="s">
        <v>6</v>
      </c>
      <c r="B6040" t="s">
        <v>6045</v>
      </c>
      <c r="C6040">
        <f>HYPERLINK("C:\Users\franc\OneDrive\Documentos\MALENTIN KARIME\MANDATOS JUDICIALES\EUGENIO RIVAS\ISAIRA ANGEL DIAZ.doc", "Abrir Documento")</f>
        <v>0</v>
      </c>
      <c r="D6040" t="s">
        <v>23500</v>
      </c>
      <c r="E6040" t="s">
        <v>28729</v>
      </c>
    </row>
    <row r="6041" spans="1:5">
      <c r="A6041" t="s">
        <v>6</v>
      </c>
      <c r="B6041" t="s">
        <v>6046</v>
      </c>
      <c r="C6041">
        <f>HYPERLINK("C:\Users\franc\OneDrive\Documentos\MALENTIN KARIME\MANDATOS JUDICIALES\EUGENIO RIVAS\ISRAEL PEREIRA VILLALOBOS.doc", "Abrir Documento")</f>
        <v>0</v>
      </c>
      <c r="D6041" t="s">
        <v>23500</v>
      </c>
      <c r="E6041" t="s">
        <v>28729</v>
      </c>
    </row>
    <row r="6042" spans="1:5">
      <c r="A6042" t="s">
        <v>6</v>
      </c>
      <c r="B6042" t="s">
        <v>6047</v>
      </c>
      <c r="C6042">
        <f>HYPERLINK("C:\Users\franc\OneDrive\Documentos\MALENTIN KARIME\MANDATOS JUDICIALES\EUGENIO RIVAS\FELIX PIZARRO.doc", "Abrir Documento")</f>
        <v>0</v>
      </c>
      <c r="D6042" t="s">
        <v>23500</v>
      </c>
      <c r="E6042" t="s">
        <v>28730</v>
      </c>
    </row>
    <row r="6043" spans="1:5">
      <c r="A6043" t="s">
        <v>6</v>
      </c>
      <c r="B6043" t="s">
        <v>6048</v>
      </c>
      <c r="C6043">
        <f>HYPERLINK("C:\Users\franc\OneDrive\Documentos\MALENTIN KARIME\MANDATOS JUDICIALES\EUGENIO RIVAS\HERNAN CORTES.doc", "Abrir Documento")</f>
        <v>0</v>
      </c>
      <c r="D6043" t="s">
        <v>23500</v>
      </c>
      <c r="E6043" t="s">
        <v>28730</v>
      </c>
    </row>
    <row r="6044" spans="1:5">
      <c r="A6044" t="s">
        <v>6</v>
      </c>
      <c r="B6044" t="s">
        <v>6049</v>
      </c>
      <c r="C6044">
        <f>HYPERLINK("C:\Users\franc\OneDrive\Documentos\MALENTIN KARIME\MANDATOS JUDICIALES\EUGENIO RIVAS\BORIS JIMENEZ BORQUEZ Especial.doc", "Abrir Documento")</f>
        <v>0</v>
      </c>
      <c r="D6044" t="s">
        <v>23500</v>
      </c>
      <c r="E6044" t="s">
        <v>28731</v>
      </c>
    </row>
    <row r="6045" spans="1:5">
      <c r="A6045" t="s">
        <v>6</v>
      </c>
      <c r="B6045" t="s">
        <v>6050</v>
      </c>
      <c r="C6045">
        <f>HYPERLINK("C:\Users\franc\OneDrive\Documentos\MALENTIN KARIME\MANDATOS JUDICIALES\EUGENIO RIVAS\DAGOBERTO VEGA TORO.doc", "Abrir Documento")</f>
        <v>0</v>
      </c>
      <c r="D6045" t="s">
        <v>23500</v>
      </c>
      <c r="E6045" t="s">
        <v>28731</v>
      </c>
    </row>
    <row r="6046" spans="1:5">
      <c r="A6046" t="s">
        <v>6</v>
      </c>
      <c r="B6046" t="s">
        <v>6051</v>
      </c>
      <c r="C6046">
        <f>HYPERLINK("C:\Users\franc\OneDrive\Documentos\MALENTIN KARIME\MANDATOS JUDICIALES\EUGENIO RIVAS\BELLA ALBANEZ.doc", "Abrir Documento")</f>
        <v>0</v>
      </c>
      <c r="D6046" t="s">
        <v>23500</v>
      </c>
      <c r="E6046" t="s">
        <v>28732</v>
      </c>
    </row>
    <row r="6047" spans="1:5">
      <c r="A6047" t="s">
        <v>6</v>
      </c>
      <c r="B6047" t="s">
        <v>6052</v>
      </c>
      <c r="C6047">
        <f>HYPERLINK("C:\Users\franc\OneDrive\Documentos\MALENTIN KARIME\MANDATOS JUDICIALES\EUGENIO RIVAS\ACADEMIA DE FUTBOL.doc", "Abrir Documento")</f>
        <v>0</v>
      </c>
      <c r="D6047" t="s">
        <v>23500</v>
      </c>
      <c r="E6047" t="s">
        <v>28733</v>
      </c>
    </row>
    <row r="6048" spans="1:5">
      <c r="A6048" t="s">
        <v>6</v>
      </c>
      <c r="B6048" t="s">
        <v>6053</v>
      </c>
      <c r="C6048">
        <f>HYPERLINK("C:\Users\franc\OneDrive\Documentos\MALENTIN KARIME\MANDATOS JUDICIALES\EUGENIO RIVAS\ANDREA CAPDEVILA.doc", "Abrir Documento")</f>
        <v>0</v>
      </c>
      <c r="D6048" t="s">
        <v>23500</v>
      </c>
      <c r="E6048" t="s">
        <v>28733</v>
      </c>
    </row>
    <row r="6049" spans="1:5">
      <c r="A6049" t="s">
        <v>6</v>
      </c>
      <c r="B6049" t="s">
        <v>6054</v>
      </c>
      <c r="C6049">
        <f>HYPERLINK("C:\Users\franc\OneDrive\Documentos\MALENTIN KARIME\MANDATOS JUDICIALES\EUGENIO RIVAS\ACADEMIA DE FUTBOL 3.doc", "Abrir Documento")</f>
        <v>0</v>
      </c>
      <c r="D6049" t="s">
        <v>23500</v>
      </c>
      <c r="E6049" t="s">
        <v>28734</v>
      </c>
    </row>
    <row r="6050" spans="1:5">
      <c r="A6050" t="s">
        <v>6</v>
      </c>
      <c r="B6050" t="s">
        <v>6055</v>
      </c>
      <c r="C6050">
        <f>HYPERLINK("C:\Users\franc\OneDrive\Documentos\MALENTIN KARIME\MANDATOS JUDICIALES\EUGENIO RIVAS\ACADEMIA DE FUTBOL 2.doc", "Abrir Documento")</f>
        <v>0</v>
      </c>
      <c r="D6050" t="s">
        <v>23500</v>
      </c>
      <c r="E6050" t="s">
        <v>28735</v>
      </c>
    </row>
    <row r="6051" spans="1:5">
      <c r="A6051" t="s">
        <v>6</v>
      </c>
      <c r="B6051" t="s">
        <v>6056</v>
      </c>
      <c r="C6051">
        <f>HYPERLINK("C:\Users\franc\OneDrive\Documentos\MALENTIN KARIME\MANDATOS JUDICIALES\EUGENIO RIVAS\ACADEMIA DE FUTBOL 2 cambios.doc", "Abrir Documento")</f>
        <v>0</v>
      </c>
      <c r="D6051" t="s">
        <v>23500</v>
      </c>
      <c r="E6051" t="s">
        <v>28736</v>
      </c>
    </row>
    <row r="6052" spans="1:5">
      <c r="A6052" t="s">
        <v>6</v>
      </c>
      <c r="B6052" t="s">
        <v>6057</v>
      </c>
      <c r="C6052">
        <f>HYPERLINK("C:\Users\franc\OneDrive\Documentos\MALENTIN KARIME\MANDATOS JUDICIALES\EUGENIO RIVAS\ABEL VEGA BERRIOS.doc", "Abrir Documento")</f>
        <v>0</v>
      </c>
      <c r="D6052" t="s">
        <v>23500</v>
      </c>
      <c r="E6052" t="s">
        <v>28737</v>
      </c>
    </row>
    <row r="6053" spans="1:5">
      <c r="A6053" t="s">
        <v>6</v>
      </c>
      <c r="B6053" t="s">
        <v>6058</v>
      </c>
      <c r="C6053">
        <f>HYPERLINK("C:\Users\franc\OneDrive\Documentos\MALENTIN KARIME\MANDATOS JUDICIALES\EUGENIO CORTES CAROCA\SANTA OLIVA SpA Rodrigo Jara.doc", "Abrir Documento")</f>
        <v>0</v>
      </c>
      <c r="D6053" t="s">
        <v>23500</v>
      </c>
      <c r="E6053" t="s">
        <v>28738</v>
      </c>
    </row>
    <row r="6054" spans="1:5">
      <c r="A6054" t="s">
        <v>6</v>
      </c>
      <c r="B6054" t="s">
        <v>6059</v>
      </c>
      <c r="C6054">
        <f>HYPERLINK("C:\Users\franc\OneDrive\Documentos\MALENTIN KARIME\MANDATOS JUDICIALES\ESPECIAL DIVORCIO\RAMON CORTES VEGA.doc", "Abrir Documento")</f>
        <v>0</v>
      </c>
      <c r="D6054" t="s">
        <v>23500</v>
      </c>
      <c r="E6054" t="s">
        <v>28739</v>
      </c>
    </row>
    <row r="6055" spans="1:5">
      <c r="A6055" t="s">
        <v>6</v>
      </c>
      <c r="B6055" t="s">
        <v>6060</v>
      </c>
      <c r="C6055">
        <f>HYPERLINK("C:\Users\franc\OneDrive\Documentos\MALENTIN KARIME\MANDATOS JUDICIALES\E-MAIL\JUAN ADAOS A CLAUDIO CONEJEROS.doc", "Abrir Documento")</f>
        <v>0</v>
      </c>
      <c r="D6055" t="s">
        <v>23500</v>
      </c>
      <c r="E6055" t="s">
        <v>28740</v>
      </c>
    </row>
    <row r="6056" spans="1:5">
      <c r="A6056" t="s">
        <v>6</v>
      </c>
      <c r="B6056" t="s">
        <v>6061</v>
      </c>
      <c r="C6056">
        <f>HYPERLINK("C:\Users\franc\OneDrive\Documentos\MALENTIN KARIME\MANDATOS JUDICIALES\DOMINIK URQUIETA\VIANKA CARVAJAL.docx", "Abrir Documento")</f>
        <v>0</v>
      </c>
      <c r="D6056" t="s">
        <v>23501</v>
      </c>
      <c r="E6056" t="s">
        <v>28741</v>
      </c>
    </row>
    <row r="6057" spans="1:5">
      <c r="A6057" t="s">
        <v>6</v>
      </c>
      <c r="B6057" t="s">
        <v>6062</v>
      </c>
      <c r="C6057">
        <f>HYPERLINK("C:\Users\franc\OneDrive\Documentos\MALENTIN KARIME\MANDATOS JUDICIALES\DIEGO SEVERIN\VERONICA JORQUERA.doc", "Abrir Documento")</f>
        <v>0</v>
      </c>
      <c r="D6057" t="s">
        <v>23500</v>
      </c>
      <c r="E6057" t="s">
        <v>28742</v>
      </c>
    </row>
    <row r="6058" spans="1:5">
      <c r="A6058" t="s">
        <v>6</v>
      </c>
      <c r="B6058" t="s">
        <v>6063</v>
      </c>
      <c r="C6058">
        <f>HYPERLINK("C:\Users\franc\OneDrive\Documentos\MALENTIN KARIME\MANDATOS JUDICIALES\DIEGO SEVERIN\not_rcabreraalb_Copia Escritura - MANDATO JUDICIAL_123456805790.pdf", "Abrir Documento")</f>
        <v>0</v>
      </c>
      <c r="D6058" t="s">
        <v>23501</v>
      </c>
      <c r="E6058" t="s">
        <v>28743</v>
      </c>
    </row>
    <row r="6059" spans="1:5">
      <c r="A6059" t="s">
        <v>6</v>
      </c>
      <c r="B6059" t="s">
        <v>6064</v>
      </c>
      <c r="C6059">
        <f>HYPERLINK("C:\Users\franc\OneDrive\Documentos\MALENTIN KARIME\MANDATOS JUDICIALES\DIEGO SEVERIN\MAURICIO ROJAS del correo.docx", "Abrir Documento")</f>
        <v>0</v>
      </c>
      <c r="D6059" t="s">
        <v>23501</v>
      </c>
      <c r="E6059" t="s">
        <v>28744</v>
      </c>
    </row>
    <row r="6060" spans="1:5">
      <c r="A6060" t="s">
        <v>6</v>
      </c>
      <c r="B6060" t="s">
        <v>6065</v>
      </c>
      <c r="C6060">
        <f>HYPERLINK("C:\Users\franc\OneDrive\Documentos\MALENTIN KARIME\MANDATOS JUDICIALES\DIEGO SEVERIN\MAURICIO ROJAS A RAUL RIVERA.doc", "Abrir Documento")</f>
        <v>0</v>
      </c>
      <c r="D6060" t="s">
        <v>23500</v>
      </c>
      <c r="E6060" t="s">
        <v>28745</v>
      </c>
    </row>
    <row r="6061" spans="1:5">
      <c r="A6061" t="s">
        <v>6</v>
      </c>
      <c r="B6061" t="s">
        <v>6066</v>
      </c>
      <c r="C6061">
        <f>HYPERLINK("C:\Users\franc\OneDrive\Documentos\MALENTIN KARIME\MANDATOS JUDICIALES\DIEGO SEVERIN\GUACOLDA MUNDACA.doc", "Abrir Documento")</f>
        <v>0</v>
      </c>
      <c r="D6061" t="s">
        <v>23500</v>
      </c>
      <c r="E6061" t="s">
        <v>28746</v>
      </c>
    </row>
    <row r="6062" spans="1:5">
      <c r="A6062" t="s">
        <v>6</v>
      </c>
      <c r="B6062" t="s">
        <v>6067</v>
      </c>
      <c r="C6062">
        <f>HYPERLINK("C:\Users\franc\OneDrive\Documentos\MALENTIN KARIME\MANDATOS JUDICIALES\DAVID TAPIA ARAYA\IRIS PIZARRO CERECEDA Interdiccion.doc", "Abrir Documento")</f>
        <v>0</v>
      </c>
      <c r="D6062" t="s">
        <v>23500</v>
      </c>
      <c r="E6062" t="s">
        <v>28747</v>
      </c>
    </row>
    <row r="6063" spans="1:5">
      <c r="A6063" t="s">
        <v>6</v>
      </c>
      <c r="B6063" t="s">
        <v>6068</v>
      </c>
      <c r="C6063">
        <f>HYPERLINK("C:\Users\franc\OneDrive\Documentos\MALENTIN KARIME\MANDATOS JUDICIALES\DAVID GALAZ\CLAUDIA LABARCA.doc", "Abrir Documento")</f>
        <v>0</v>
      </c>
      <c r="D6063" t="s">
        <v>23500</v>
      </c>
      <c r="E6063" t="s">
        <v>28748</v>
      </c>
    </row>
    <row r="6064" spans="1:5">
      <c r="A6064" t="s">
        <v>6</v>
      </c>
      <c r="B6064" t="s">
        <v>6069</v>
      </c>
      <c r="C6064">
        <f>HYPERLINK("C:\Users\franc\OneDrive\Documentos\MALENTIN KARIME\MANDATOS JUDICIALES\CRISTIAN ZEPEDA RODRIGUEZ\MODELO.doc", "Abrir Documento")</f>
        <v>0</v>
      </c>
      <c r="D6064" t="s">
        <v>23500</v>
      </c>
      <c r="E6064" t="s">
        <v>28749</v>
      </c>
    </row>
    <row r="6065" spans="1:5">
      <c r="A6065" t="s">
        <v>6</v>
      </c>
      <c r="B6065" t="s">
        <v>6070</v>
      </c>
      <c r="C6065">
        <f>HYPERLINK("C:\Users\franc\OneDrive\Documentos\MALENTIN KARIME\MANDATOS JUDICIALES\CRISTIAN ZEPEDA RODRIGUEZ\MANUEL ROJAS BERRIOS.doc", "Abrir Documento")</f>
        <v>0</v>
      </c>
      <c r="D6065" t="s">
        <v>23500</v>
      </c>
      <c r="E6065" t="s">
        <v>28750</v>
      </c>
    </row>
    <row r="6066" spans="1:5">
      <c r="A6066" t="s">
        <v>6</v>
      </c>
      <c r="B6066" t="s">
        <v>6071</v>
      </c>
      <c r="C6066">
        <f>HYPERLINK("C:\Users\franc\OneDrive\Documentos\MALENTIN KARIME\MANDATOS JUDICIALES\CRISTIAN ZEPEDA RODRIGUEZ\LINA ROBLES CARVAJAL 2018.doc", "Abrir Documento")</f>
        <v>0</v>
      </c>
      <c r="D6066" t="s">
        <v>23500</v>
      </c>
      <c r="E6066" t="s">
        <v>28751</v>
      </c>
    </row>
    <row r="6067" spans="1:5">
      <c r="A6067" t="s">
        <v>6</v>
      </c>
      <c r="B6067" t="s">
        <v>6072</v>
      </c>
      <c r="C6067">
        <f>HYPERLINK("C:\Users\franc\OneDrive\Documentos\MALENTIN KARIME\MANDATOS JUDICIALES\CRISTIAN ZEPEDA RODRIGUEZ\ANA GALLARDO DIAZ 2017.doc", "Abrir Documento")</f>
        <v>0</v>
      </c>
      <c r="D6067" t="s">
        <v>23500</v>
      </c>
      <c r="E6067" t="s">
        <v>28752</v>
      </c>
    </row>
    <row r="6068" spans="1:5">
      <c r="A6068" t="s">
        <v>6</v>
      </c>
      <c r="B6068" t="s">
        <v>6073</v>
      </c>
      <c r="C6068">
        <f>HYPERLINK("C:\Users\franc\OneDrive\Documentos\MALENTIN KARIME\MANDATOS JUDICIALES\CRISTIAN ZEPEA\ROBERTO PONCE TELLO 2018.doc", "Abrir Documento")</f>
        <v>0</v>
      </c>
      <c r="D6068" t="s">
        <v>23500</v>
      </c>
      <c r="E6068" t="s">
        <v>28753</v>
      </c>
    </row>
    <row r="6069" spans="1:5">
      <c r="A6069" t="s">
        <v>6</v>
      </c>
      <c r="B6069" t="s">
        <v>6074</v>
      </c>
      <c r="C6069">
        <f>HYPERLINK("C:\Users\franc\OneDrive\Documentos\MALENTIN KARIME\MANDATOS JUDICIALES\CRISTIAN ZEPEA\GARY ASTUDILLO.doc", "Abrir Documento")</f>
        <v>0</v>
      </c>
      <c r="D6069" t="s">
        <v>23500</v>
      </c>
      <c r="E6069" t="s">
        <v>28754</v>
      </c>
    </row>
    <row r="6070" spans="1:5">
      <c r="A6070" t="s">
        <v>6</v>
      </c>
      <c r="B6070" t="s">
        <v>6075</v>
      </c>
      <c r="C6070">
        <f>HYPERLINK("C:\Users\franc\OneDrive\Documentos\MALENTIN KARIME\MANDATOS JUDICIALES\CRISTIAN VALDES Arica\NANCY CARVAJAL.doc", "Abrir Documento")</f>
        <v>0</v>
      </c>
      <c r="D6070" t="s">
        <v>23500</v>
      </c>
      <c r="E6070" t="s">
        <v>28755</v>
      </c>
    </row>
    <row r="6071" spans="1:5">
      <c r="A6071" t="s">
        <v>6</v>
      </c>
      <c r="B6071" t="s">
        <v>6076</v>
      </c>
      <c r="C6071">
        <f>HYPERLINK("C:\Users\franc\OneDrive\Documentos\MALENTIN KARIME\MANDATOS JUDICIALES\CLAUDIO ARDILES\2016\RAUL GARCIA CONTRERAS a Sergio Pizarro.doc", "Abrir Documento")</f>
        <v>0</v>
      </c>
      <c r="D6071" t="s">
        <v>23500</v>
      </c>
      <c r="E6071" t="s">
        <v>28756</v>
      </c>
    </row>
    <row r="6072" spans="1:5">
      <c r="A6072" t="s">
        <v>6</v>
      </c>
      <c r="B6072" t="s">
        <v>6077</v>
      </c>
      <c r="C6072">
        <f>HYPERLINK("C:\Users\franc\OneDrive\Documentos\MALENTIN KARIME\MANDATOS JUDICIALES\CLAUDIO ARDILES\2016\RAUL GARCIA CONTRERAAS.doc", "Abrir Documento")</f>
        <v>0</v>
      </c>
      <c r="D6072" t="s">
        <v>23500</v>
      </c>
      <c r="E6072" t="s">
        <v>28757</v>
      </c>
    </row>
    <row r="6073" spans="1:5">
      <c r="A6073" t="s">
        <v>6</v>
      </c>
      <c r="B6073" t="s">
        <v>6078</v>
      </c>
      <c r="C6073">
        <f>HYPERLINK("C:\Users\franc\OneDrive\Documentos\MALENTIN KARIME\MANDATOS JUDICIALES\CLAUDIO ARDILES\2016\AGROC. y Ganadera Loma Larga.doc", "Abrir Documento")</f>
        <v>0</v>
      </c>
      <c r="D6073" t="s">
        <v>23500</v>
      </c>
      <c r="E6073" t="s">
        <v>28758</v>
      </c>
    </row>
    <row r="6074" spans="1:5">
      <c r="A6074" t="s">
        <v>6</v>
      </c>
      <c r="B6074" t="s">
        <v>6079</v>
      </c>
      <c r="C6074">
        <f>HYPERLINK("C:\Users\franc\OneDrive\Documentos\MALENTIN KARIME\MANDATOS JUDICIALES\CLAUDIO ARDILES\2015\pilar michea gallardo.doc", "Abrir Documento")</f>
        <v>0</v>
      </c>
      <c r="D6074" t="s">
        <v>23500</v>
      </c>
      <c r="E6074" t="s">
        <v>28759</v>
      </c>
    </row>
    <row r="6075" spans="1:5">
      <c r="A6075" t="s">
        <v>6</v>
      </c>
      <c r="B6075" t="s">
        <v>6080</v>
      </c>
      <c r="C6075">
        <f>HYPERLINK("C:\Users\franc\OneDrive\Documentos\MALENTIN KARIME\MANDATOS JUDICIALES\CLAUDIO ARDILES\ZENADIA DIAZ Divorcio+.doc", "Abrir Documento")</f>
        <v>0</v>
      </c>
      <c r="D6075" t="s">
        <v>23500</v>
      </c>
      <c r="E6075" t="s">
        <v>28760</v>
      </c>
    </row>
    <row r="6076" spans="1:5">
      <c r="A6076" t="s">
        <v>6</v>
      </c>
      <c r="B6076" t="s">
        <v>6081</v>
      </c>
      <c r="C6076">
        <f>HYPERLINK("C:\Users\franc\OneDrive\Documentos\MALENTIN KARIME\MANDATOS JUDICIALES\CLAUDIO ARDILES\YESSENIA VERENICE RAMIREZ MUNIZAGA.doc", "Abrir Documento")</f>
        <v>0</v>
      </c>
      <c r="D6076" t="s">
        <v>23500</v>
      </c>
      <c r="E6076" t="s">
        <v>28761</v>
      </c>
    </row>
    <row r="6077" spans="1:5">
      <c r="A6077" t="s">
        <v>6</v>
      </c>
      <c r="B6077" t="s">
        <v>6082</v>
      </c>
      <c r="C6077">
        <f>HYPERLINK("C:\Users\franc\OneDrive\Documentos\MALENTIN KARIME\MANDATOS JUDICIALES\CLAUDIO ARDILES\VERONICA PASTEN JERALDO.doc", "Abrir Documento")</f>
        <v>0</v>
      </c>
      <c r="D6077" t="s">
        <v>23500</v>
      </c>
      <c r="E6077" t="s">
        <v>28762</v>
      </c>
    </row>
    <row r="6078" spans="1:5">
      <c r="A6078" t="s">
        <v>6</v>
      </c>
      <c r="B6078" t="s">
        <v>6083</v>
      </c>
      <c r="C6078">
        <f>HYPERLINK("C:\Users\franc\OneDrive\Documentos\MALENTIN KARIME\MANDATOS JUDICIALES\CLAUDIO ARDILES\VERONICA JORQUERA.doc", "Abrir Documento")</f>
        <v>0</v>
      </c>
      <c r="D6078" t="s">
        <v>23500</v>
      </c>
      <c r="E6078" t="s">
        <v>28763</v>
      </c>
    </row>
    <row r="6079" spans="1:5">
      <c r="A6079" t="s">
        <v>6</v>
      </c>
      <c r="B6079" t="s">
        <v>6084</v>
      </c>
      <c r="C6079">
        <f>HYPERLINK("C:\Users\franc\OneDrive\Documentos\MALENTIN KARIME\MANDATOS JUDICIALES\CLAUDIO ARDILES\TRANSPORTES FLECHAS DEL NORTE.doc", "Abrir Documento")</f>
        <v>0</v>
      </c>
      <c r="D6079" t="s">
        <v>23500</v>
      </c>
      <c r="E6079" t="s">
        <v>28764</v>
      </c>
    </row>
    <row r="6080" spans="1:5">
      <c r="A6080" t="s">
        <v>6</v>
      </c>
      <c r="B6080" t="s">
        <v>6085</v>
      </c>
      <c r="C6080">
        <f>HYPERLINK("C:\Users\franc\OneDrive\Documentos\MALENTIN KARIME\MANDATOS JUDICIALES\CLAUDIO ARDILES\SOCIEDAD CARNES LOMA LARGA COMPAÑIA LIMITADA.doc", "Abrir Documento")</f>
        <v>0</v>
      </c>
      <c r="D6080" t="s">
        <v>23500</v>
      </c>
      <c r="E6080" t="s">
        <v>28765</v>
      </c>
    </row>
    <row r="6081" spans="1:5">
      <c r="A6081" t="s">
        <v>6</v>
      </c>
      <c r="B6081" t="s">
        <v>6086</v>
      </c>
      <c r="C6081">
        <f>HYPERLINK("C:\Users\franc\OneDrive\Documentos\MALENTIN KARIME\MANDATOS JUDICIALES\CLAUDIO ARDILES\rut ARCE.doc", "Abrir Documento")</f>
        <v>0</v>
      </c>
      <c r="D6081" t="s">
        <v>23500</v>
      </c>
      <c r="E6081" t="s">
        <v>28766</v>
      </c>
    </row>
    <row r="6082" spans="1:5">
      <c r="A6082" t="s">
        <v>6</v>
      </c>
      <c r="B6082" t="s">
        <v>6087</v>
      </c>
      <c r="C6082">
        <f>HYPERLINK("C:\Users\franc\OneDrive\Documentos\MALENTIN KARIME\MANDATOS JUDICIALES\CLAUDIO ARDILES\SERGIO FINSCHI 2017.doc", "Abrir Documento")</f>
        <v>0</v>
      </c>
      <c r="D6082" t="s">
        <v>23500</v>
      </c>
      <c r="E6082" t="s">
        <v>28766</v>
      </c>
    </row>
    <row r="6083" spans="1:5">
      <c r="A6083" t="s">
        <v>6</v>
      </c>
      <c r="B6083" t="s">
        <v>6088</v>
      </c>
      <c r="C6083">
        <f>HYPERLINK("C:\Users\franc\OneDrive\Documentos\MALENTIN KARIME\MANDATOS JUDICIALES\CLAUDIO ARDILES\RICARDO VEGA.doc", "Abrir Documento")</f>
        <v>0</v>
      </c>
      <c r="D6083" t="s">
        <v>23500</v>
      </c>
      <c r="E6083" t="s">
        <v>28767</v>
      </c>
    </row>
    <row r="6084" spans="1:5">
      <c r="A6084" t="s">
        <v>6</v>
      </c>
      <c r="B6084" t="s">
        <v>6089</v>
      </c>
      <c r="C6084">
        <f>HYPERLINK("C:\Users\franc\OneDrive\Documentos\MALENTIN KARIME\MANDATOS JUDICIALES\CLAUDIO ARDILES\RENALDO TAPIA ARAVENA.doc", "Abrir Documento")</f>
        <v>0</v>
      </c>
      <c r="D6084" t="s">
        <v>23500</v>
      </c>
      <c r="E6084" t="s">
        <v>28768</v>
      </c>
    </row>
    <row r="6085" spans="1:5">
      <c r="A6085" t="s">
        <v>6</v>
      </c>
      <c r="B6085" t="s">
        <v>6090</v>
      </c>
      <c r="C6085">
        <f>HYPERLINK("C:\Users\franc\OneDrive\Documentos\MALENTIN KARIME\MANDATOS JUDICIALES\CLAUDIO ARDILES\PEDRO SIERRA MOYA.doc", "Abrir Documento")</f>
        <v>0</v>
      </c>
      <c r="D6085" t="s">
        <v>23500</v>
      </c>
      <c r="E6085" t="s">
        <v>28769</v>
      </c>
    </row>
    <row r="6086" spans="1:5">
      <c r="A6086" t="s">
        <v>6</v>
      </c>
      <c r="B6086" t="s">
        <v>6091</v>
      </c>
      <c r="C6086">
        <f>HYPERLINK("C:\Users\franc\OneDrive\Documentos\MALENTIN KARIME\MANDATOS JUDICIALES\CLAUDIO ARDILES\NICOLAS BARRAZA.doc", "Abrir Documento")</f>
        <v>0</v>
      </c>
      <c r="D6086" t="s">
        <v>23500</v>
      </c>
      <c r="E6086" t="s">
        <v>28770</v>
      </c>
    </row>
    <row r="6087" spans="1:5">
      <c r="A6087" t="s">
        <v>6</v>
      </c>
      <c r="B6087" t="s">
        <v>6092</v>
      </c>
      <c r="C6087">
        <f>HYPERLINK("C:\Users\franc\OneDrive\Documentos\MALENTIN KARIME\MANDATOS JUDICIALES\CLAUDIO ARDILES\PABLO TAPIA CASTELLANO.doc", "Abrir Documento")</f>
        <v>0</v>
      </c>
      <c r="D6087" t="s">
        <v>23500</v>
      </c>
      <c r="E6087" t="s">
        <v>28770</v>
      </c>
    </row>
    <row r="6088" spans="1:5">
      <c r="A6088" t="s">
        <v>6</v>
      </c>
      <c r="B6088" t="s">
        <v>6093</v>
      </c>
      <c r="C6088">
        <f>HYPERLINK("C:\Users\franc\OneDrive\Documentos\MALENTIN KARIME\MANDATOS JUDICIALES\CLAUDIO ARDILES\MIGUEL VERA SAAVEDRA.doc", "Abrir Documento")</f>
        <v>0</v>
      </c>
      <c r="D6088" t="s">
        <v>23500</v>
      </c>
      <c r="E6088" t="s">
        <v>28771</v>
      </c>
    </row>
    <row r="6089" spans="1:5">
      <c r="A6089" t="s">
        <v>6</v>
      </c>
      <c r="B6089" t="s">
        <v>6094</v>
      </c>
      <c r="C6089">
        <f>HYPERLINK("C:\Users\franc\OneDrive\Documentos\MALENTIN KARIME\MANDATOS JUDICIALES\CLAUDIO ARDILES\MIGUEL AGUIRRE ADONES.doc", "Abrir Documento")</f>
        <v>0</v>
      </c>
      <c r="D6089" t="s">
        <v>23500</v>
      </c>
      <c r="E6089" t="s">
        <v>28772</v>
      </c>
    </row>
    <row r="6090" spans="1:5">
      <c r="A6090" t="s">
        <v>6</v>
      </c>
      <c r="B6090" t="s">
        <v>6095</v>
      </c>
      <c r="C6090">
        <f>HYPERLINK("C:\Users\franc\OneDrive\Documentos\MALENTIN KARIME\MANDATOS JUDICIALES\CLAUDIO ARDILES\MAURO GALLEGUILLOS.doc", "Abrir Documento")</f>
        <v>0</v>
      </c>
      <c r="D6090" t="s">
        <v>23500</v>
      </c>
      <c r="E6090" t="s">
        <v>28773</v>
      </c>
    </row>
    <row r="6091" spans="1:5">
      <c r="A6091" t="s">
        <v>6</v>
      </c>
      <c r="B6091" t="s">
        <v>6096</v>
      </c>
      <c r="C6091">
        <f>HYPERLINK("C:\Users\franc\OneDrive\Documentos\MALENTIN KARIME\MANDATOS JUDICIALES\CLAUDIO ARDILES\MAURO GALLEGUILLOS 14.doc", "Abrir Documento")</f>
        <v>0</v>
      </c>
      <c r="D6091" t="s">
        <v>23500</v>
      </c>
      <c r="E6091" t="s">
        <v>28774</v>
      </c>
    </row>
    <row r="6092" spans="1:5">
      <c r="A6092" t="s">
        <v>6</v>
      </c>
      <c r="B6092" t="s">
        <v>6097</v>
      </c>
      <c r="C6092">
        <f>HYPERLINK("C:\Users\franc\OneDrive\Documentos\MALENTIN KARIME\MANDATOS JUDICIALES\CLAUDIO ARDILES\MARIO CARVAJAL SAAVEDRA.doc", "Abrir Documento")</f>
        <v>0</v>
      </c>
      <c r="D6092" t="s">
        <v>23500</v>
      </c>
      <c r="E6092" t="s">
        <v>28775</v>
      </c>
    </row>
    <row r="6093" spans="1:5">
      <c r="A6093" t="s">
        <v>6</v>
      </c>
      <c r="B6093" t="s">
        <v>6098</v>
      </c>
      <c r="C6093">
        <f>HYPERLINK("C:\Users\franc\OneDrive\Documentos\MALENTIN KARIME\MANDATOS JUDICIALES\CLAUDIO ARDILES\MARIANELA RIVERA.doc", "Abrir Documento")</f>
        <v>0</v>
      </c>
      <c r="D6093" t="s">
        <v>23500</v>
      </c>
      <c r="E6093" t="s">
        <v>28776</v>
      </c>
    </row>
    <row r="6094" spans="1:5">
      <c r="A6094" t="s">
        <v>6</v>
      </c>
      <c r="B6094" t="s">
        <v>6099</v>
      </c>
      <c r="C6094">
        <f>HYPERLINK("C:\Users\franc\OneDrive\Documentos\MALENTIN KARIME\MANDATOS JUDICIALES\CLAUDIO ARDILES\MARIA PINOCHET PALTA.doc", "Abrir Documento")</f>
        <v>0</v>
      </c>
      <c r="D6094" t="s">
        <v>23500</v>
      </c>
      <c r="E6094" t="s">
        <v>28777</v>
      </c>
    </row>
    <row r="6095" spans="1:5">
      <c r="A6095" t="s">
        <v>6</v>
      </c>
      <c r="B6095" t="s">
        <v>6100</v>
      </c>
      <c r="C6095">
        <f>HYPERLINK("C:\Users\franc\OneDrive\Documentos\MALENTIN KARIME\MANDATOS JUDICIALES\CLAUDIO ARDILES\MANUEL TELLO ANDRADE.doc", "Abrir Documento")</f>
        <v>0</v>
      </c>
      <c r="D6095" t="s">
        <v>23500</v>
      </c>
      <c r="E6095" t="s">
        <v>28778</v>
      </c>
    </row>
    <row r="6096" spans="1:5">
      <c r="A6096" t="s">
        <v>6</v>
      </c>
      <c r="B6096" t="s">
        <v>6101</v>
      </c>
      <c r="C6096">
        <f>HYPERLINK("C:\Users\franc\OneDrive\Documentos\MALENTIN KARIME\MANDATOS JUDICIALES\CLAUDIO ARDILES\MARCO ANTONIO ARAYA CASTILLO.doc", "Abrir Documento")</f>
        <v>0</v>
      </c>
      <c r="D6096" t="s">
        <v>23500</v>
      </c>
      <c r="E6096" t="s">
        <v>28778</v>
      </c>
    </row>
    <row r="6097" spans="1:5">
      <c r="A6097" t="s">
        <v>6</v>
      </c>
      <c r="B6097" t="s">
        <v>6102</v>
      </c>
      <c r="C6097">
        <f>HYPERLINK("C:\Users\franc\OneDrive\Documentos\MALENTIN KARIME\MANDATOS JUDICIALES\CLAUDIO ARDILES\LOREN PERZ GUERRA.doc", "Abrir Documento")</f>
        <v>0</v>
      </c>
      <c r="D6097" t="s">
        <v>23500</v>
      </c>
      <c r="E6097" t="s">
        <v>28779</v>
      </c>
    </row>
    <row r="6098" spans="1:5">
      <c r="A6098" t="s">
        <v>6</v>
      </c>
      <c r="B6098" t="s">
        <v>6103</v>
      </c>
      <c r="C6098">
        <f>HYPERLINK("C:\Users\franc\OneDrive\Documentos\MALENTIN KARIME\MANDATOS JUDICIALES\CLAUDIO ARDILES\KURT CONTRERAS.doc", "Abrir Documento")</f>
        <v>0</v>
      </c>
      <c r="D6098" t="s">
        <v>23500</v>
      </c>
      <c r="E6098" t="s">
        <v>28780</v>
      </c>
    </row>
    <row r="6099" spans="1:5">
      <c r="A6099" t="s">
        <v>6</v>
      </c>
      <c r="B6099" t="s">
        <v>6104</v>
      </c>
      <c r="C6099">
        <f>HYPERLINK("C:\Users\franc\OneDrive\Documentos\MALENTIN KARIME\MANDATOS JUDICIALES\CLAUDIO ARDILES\LEONARDO ALLENDE.doc", "Abrir Documento")</f>
        <v>0</v>
      </c>
      <c r="D6099" t="s">
        <v>23500</v>
      </c>
      <c r="E6099" t="s">
        <v>28780</v>
      </c>
    </row>
    <row r="6100" spans="1:5">
      <c r="A6100" t="s">
        <v>6</v>
      </c>
      <c r="B6100" t="s">
        <v>6105</v>
      </c>
      <c r="C6100">
        <f>HYPERLINK("C:\Users\franc\OneDrive\Documentos\MALENTIN KARIME\MANDATOS JUDICIALES\CLAUDIO ARDILES\KURT CONTRERAS CORTES.doc", "Abrir Documento")</f>
        <v>0</v>
      </c>
      <c r="D6100" t="s">
        <v>23500</v>
      </c>
      <c r="E6100" t="s">
        <v>28781</v>
      </c>
    </row>
    <row r="6101" spans="1:5">
      <c r="A6101" t="s">
        <v>6</v>
      </c>
      <c r="B6101" t="s">
        <v>6106</v>
      </c>
      <c r="C6101">
        <f>HYPERLINK("C:\Users\franc\OneDrive\Documentos\MALENTIN KARIME\MANDATOS JUDICIALES\CLAUDIO ARDILES\KURT CONTRERAS CORTES 3.doc", "Abrir Documento")</f>
        <v>0</v>
      </c>
      <c r="D6101" t="s">
        <v>23500</v>
      </c>
      <c r="E6101" t="s">
        <v>28782</v>
      </c>
    </row>
    <row r="6102" spans="1:5">
      <c r="A6102" t="s">
        <v>6</v>
      </c>
      <c r="B6102" t="s">
        <v>6107</v>
      </c>
      <c r="C6102">
        <f>HYPERLINK("C:\Users\franc\OneDrive\Documentos\MALENTIN KARIME\MANDATOS JUDICIALES\CLAUDIO ARDILES\JULIAN DIAZ.doc", "Abrir Documento")</f>
        <v>0</v>
      </c>
      <c r="D6102" t="s">
        <v>23500</v>
      </c>
      <c r="E6102" t="s">
        <v>28783</v>
      </c>
    </row>
    <row r="6103" spans="1:5">
      <c r="A6103" t="s">
        <v>6</v>
      </c>
      <c r="B6103" t="s">
        <v>6108</v>
      </c>
      <c r="C6103">
        <f>HYPERLINK("C:\Users\franc\OneDrive\Documentos\MALENTIN KARIME\MANDATOS JUDICIALES\CLAUDIO ARDILES\JUAN FLORES MEDALLA.doc", "Abrir Documento")</f>
        <v>0</v>
      </c>
      <c r="D6103" t="s">
        <v>23500</v>
      </c>
      <c r="E6103" t="s">
        <v>28784</v>
      </c>
    </row>
    <row r="6104" spans="1:5">
      <c r="A6104" t="s">
        <v>6</v>
      </c>
      <c r="B6104" t="s">
        <v>6109</v>
      </c>
      <c r="C6104">
        <f>HYPERLINK("C:\Users\franc\OneDrive\Documentos\MALENTIN KARIME\MANDATOS JUDICIALES\CLAUDIO ARDILES\jaime tapia lopez.doc", "Abrir Documento")</f>
        <v>0</v>
      </c>
      <c r="D6104" t="s">
        <v>23500</v>
      </c>
      <c r="E6104" t="s">
        <v>28785</v>
      </c>
    </row>
    <row r="6105" spans="1:5">
      <c r="A6105" t="s">
        <v>6</v>
      </c>
      <c r="B6105" t="s">
        <v>6110</v>
      </c>
      <c r="C6105">
        <f>HYPERLINK("C:\Users\franc\OneDrive\Documentos\MALENTIN KARIME\MANDATOS JUDICIALES\CLAUDIO ARDILES\IVAN CARMONA MALUENDA.doc", "Abrir Documento")</f>
        <v>0</v>
      </c>
      <c r="D6105" t="s">
        <v>23500</v>
      </c>
      <c r="E6105" t="s">
        <v>28786</v>
      </c>
    </row>
    <row r="6106" spans="1:5">
      <c r="A6106" t="s">
        <v>6</v>
      </c>
      <c r="B6106" t="s">
        <v>6111</v>
      </c>
      <c r="C6106">
        <f>HYPERLINK("C:\Users\franc\OneDrive\Documentos\MALENTIN KARIME\MANDATOS JUDICIALES\CLAUDIO ARDILES\ISRAEL VALDIVIA.doc", "Abrir Documento")</f>
        <v>0</v>
      </c>
      <c r="D6106" t="s">
        <v>23500</v>
      </c>
      <c r="E6106" t="s">
        <v>28787</v>
      </c>
    </row>
    <row r="6107" spans="1:5">
      <c r="A6107" t="s">
        <v>6</v>
      </c>
      <c r="B6107" t="s">
        <v>6112</v>
      </c>
      <c r="C6107">
        <f>HYPERLINK("C:\Users\franc\OneDrive\Documentos\MALENTIN KARIME\MANDATOS JUDICIALES\CLAUDIO ARDILES\HERNAN PEREIRA ARAYA.doc", "Abrir Documento")</f>
        <v>0</v>
      </c>
      <c r="D6107" t="s">
        <v>23500</v>
      </c>
      <c r="E6107" t="s">
        <v>28788</v>
      </c>
    </row>
    <row r="6108" spans="1:5">
      <c r="A6108" t="s">
        <v>6</v>
      </c>
      <c r="B6108" t="s">
        <v>6113</v>
      </c>
      <c r="C6108">
        <f>HYPERLINK("C:\Users\franc\OneDrive\Documentos\MALENTIN KARIME\MANDATOS JUDICIALES\CLAUDIO ARDILES\HECTOR ROJAS CORTES.doc", "Abrir Documento")</f>
        <v>0</v>
      </c>
      <c r="D6108" t="s">
        <v>23500</v>
      </c>
      <c r="E6108" t="s">
        <v>28789</v>
      </c>
    </row>
    <row r="6109" spans="1:5">
      <c r="A6109" t="s">
        <v>6</v>
      </c>
      <c r="B6109" t="s">
        <v>6114</v>
      </c>
      <c r="C6109">
        <f>HYPERLINK("C:\Users\franc\OneDrive\Documentos\MALENTIN KARIME\MANDATOS JUDICIALES\CLAUDIO ARDILES\GENESIS LATORRE.doc", "Abrir Documento")</f>
        <v>0</v>
      </c>
      <c r="D6109" t="s">
        <v>23500</v>
      </c>
      <c r="E6109" t="s">
        <v>28790</v>
      </c>
    </row>
    <row r="6110" spans="1:5">
      <c r="A6110" t="s">
        <v>6</v>
      </c>
      <c r="B6110" t="s">
        <v>6115</v>
      </c>
      <c r="C6110">
        <f>HYPERLINK("C:\Users\franc\OneDrive\Documentos\MALENTIN KARIME\MANDATOS JUDICIALES\CLAUDIO ARDILES\GARY ARACENA ARAYA.doc", "Abrir Documento")</f>
        <v>0</v>
      </c>
      <c r="D6110" t="s">
        <v>23500</v>
      </c>
      <c r="E6110" t="s">
        <v>28791</v>
      </c>
    </row>
    <row r="6111" spans="1:5">
      <c r="A6111" t="s">
        <v>6</v>
      </c>
      <c r="B6111" t="s">
        <v>6116</v>
      </c>
      <c r="C6111">
        <f>HYPERLINK("C:\Users\franc\OneDrive\Documentos\MALENTIN KARIME\MANDATOS JUDICIALES\CLAUDIO ARDILES\GABRIEL ARDILES TAPIA.doc", "Abrir Documento")</f>
        <v>0</v>
      </c>
      <c r="D6111" t="s">
        <v>23500</v>
      </c>
      <c r="E6111" t="s">
        <v>28792</v>
      </c>
    </row>
    <row r="6112" spans="1:5">
      <c r="A6112" t="s">
        <v>6</v>
      </c>
      <c r="B6112" t="s">
        <v>6117</v>
      </c>
      <c r="C6112">
        <f>HYPERLINK("C:\Users\franc\OneDrive\Documentos\MALENTIN KARIME\MANDATOS JUDICIALES\CLAUDIO ARDILES\FAIRY TELLO COLLAO.doc", "Abrir Documento")</f>
        <v>0</v>
      </c>
      <c r="D6112" t="s">
        <v>23500</v>
      </c>
      <c r="E6112" t="s">
        <v>28793</v>
      </c>
    </row>
    <row r="6113" spans="1:5">
      <c r="A6113" t="s">
        <v>6</v>
      </c>
      <c r="B6113" t="s">
        <v>6118</v>
      </c>
      <c r="C6113">
        <f>HYPERLINK("C:\Users\franc\OneDrive\Documentos\MALENTIN KARIME\MANDATOS JUDICIALES\CLAUDIO ARDILES\FABIOLA TAPIA RAMIREZ.doc", "Abrir Documento")</f>
        <v>0</v>
      </c>
      <c r="D6113" t="s">
        <v>23500</v>
      </c>
      <c r="E6113" t="s">
        <v>28794</v>
      </c>
    </row>
    <row r="6114" spans="1:5">
      <c r="A6114" t="s">
        <v>6</v>
      </c>
      <c r="B6114" t="s">
        <v>6119</v>
      </c>
      <c r="C6114">
        <f>HYPERLINK("C:\Users\franc\OneDrive\Documentos\MALENTIN KARIME\MANDATOS JUDICIALES\CLAUDIO ARDILES\ERIC CONTRERAS FLORES.doc", "Abrir Documento")</f>
        <v>0</v>
      </c>
      <c r="D6114" t="s">
        <v>23500</v>
      </c>
      <c r="E6114" t="s">
        <v>28795</v>
      </c>
    </row>
    <row r="6115" spans="1:5">
      <c r="A6115" t="s">
        <v>6</v>
      </c>
      <c r="B6115" t="s">
        <v>6120</v>
      </c>
      <c r="C6115">
        <f>HYPERLINK("C:\Users\franc\OneDrive\Documentos\MALENTIN KARIME\MANDATOS JUDICIALES\CLAUDIO ARDILES\ERIC ALVAREZ HUERTA.doc", "Abrir Documento")</f>
        <v>0</v>
      </c>
      <c r="D6115" t="s">
        <v>23500</v>
      </c>
      <c r="E6115" t="s">
        <v>28796</v>
      </c>
    </row>
    <row r="6116" spans="1:5">
      <c r="A6116" t="s">
        <v>6</v>
      </c>
      <c r="B6116" t="s">
        <v>6121</v>
      </c>
      <c r="C6116">
        <f>HYPERLINK("C:\Users\franc\OneDrive\Documentos\MALENTIN KARIME\MANDATOS JUDICIALES\CLAUDIO ARDILES\ELSA GALLEGUILLOS.doc", "Abrir Documento")</f>
        <v>0</v>
      </c>
      <c r="D6116" t="s">
        <v>23500</v>
      </c>
      <c r="E6116" t="s">
        <v>28797</v>
      </c>
    </row>
    <row r="6117" spans="1:5">
      <c r="A6117" t="s">
        <v>6</v>
      </c>
      <c r="B6117" t="s">
        <v>6122</v>
      </c>
      <c r="C6117">
        <f>HYPERLINK("C:\Users\franc\OneDrive\Documentos\MALENTIN KARIME\MANDATOS JUDICIALES\CLAUDIO ARDILES\EDUARDO GALLEGUILOS A Peter Tapia.doc", "Abrir Documento")</f>
        <v>0</v>
      </c>
      <c r="D6117" t="s">
        <v>23500</v>
      </c>
      <c r="E6117" t="s">
        <v>28798</v>
      </c>
    </row>
    <row r="6118" spans="1:5">
      <c r="A6118" t="s">
        <v>6</v>
      </c>
      <c r="B6118" t="s">
        <v>6123</v>
      </c>
      <c r="C6118">
        <f>HYPERLINK("C:\Users\franc\OneDrive\Documentos\MALENTIN KARIME\MANDATOS JUDICIALES\CLAUDIO ARDILES\EDITH MUÑOZ 2015.doc", "Abrir Documento")</f>
        <v>0</v>
      </c>
      <c r="D6118" t="s">
        <v>23500</v>
      </c>
      <c r="E6118" t="s">
        <v>28799</v>
      </c>
    </row>
    <row r="6119" spans="1:5">
      <c r="A6119" t="s">
        <v>6</v>
      </c>
      <c r="B6119" t="s">
        <v>6124</v>
      </c>
      <c r="C6119">
        <f>HYPERLINK("C:\Users\franc\OneDrive\Documentos\MALENTIN KARIME\MANDATOS JUDICIALES\CLAUDIO ARDILES\DINA CASTRO CORTES.doc", "Abrir Documento")</f>
        <v>0</v>
      </c>
      <c r="D6119" t="s">
        <v>23500</v>
      </c>
      <c r="E6119" t="s">
        <v>28800</v>
      </c>
    </row>
    <row r="6120" spans="1:5">
      <c r="A6120" t="s">
        <v>6</v>
      </c>
      <c r="B6120" t="s">
        <v>6125</v>
      </c>
      <c r="C6120">
        <f>HYPERLINK("C:\Users\franc\OneDrive\Documentos\MALENTIN KARIME\MANDATOS JUDICIALES\CLAUDIO ARDILES\DIOMEDES ROJAS ARAYA.doc", "Abrir Documento")</f>
        <v>0</v>
      </c>
      <c r="D6120" t="s">
        <v>23500</v>
      </c>
      <c r="E6120" t="s">
        <v>28800</v>
      </c>
    </row>
    <row r="6121" spans="1:5">
      <c r="A6121" t="s">
        <v>6</v>
      </c>
      <c r="B6121" t="s">
        <v>6126</v>
      </c>
      <c r="C6121">
        <f>HYPERLINK("C:\Users\franc\OneDrive\Documentos\MALENTIN KARIME\MANDATOS JUDICIALES\CLAUDIO ARDILES\DELIA TELLO CORTES.doc", "Abrir Documento")</f>
        <v>0</v>
      </c>
      <c r="D6121" t="s">
        <v>23500</v>
      </c>
      <c r="E6121" t="s">
        <v>28801</v>
      </c>
    </row>
    <row r="6122" spans="1:5">
      <c r="A6122" t="s">
        <v>6</v>
      </c>
      <c r="B6122" t="s">
        <v>6127</v>
      </c>
      <c r="C6122">
        <f>HYPERLINK("C:\Users\franc\OneDrive\Documentos\MALENTIN KARIME\MANDATOS JUDICIALES\CLAUDIO ARDILES\CIPRIANO SALAZAR FERNANDEZ.doc", "Abrir Documento")</f>
        <v>0</v>
      </c>
      <c r="D6122" t="s">
        <v>23500</v>
      </c>
      <c r="E6122" t="s">
        <v>28802</v>
      </c>
    </row>
    <row r="6123" spans="1:5">
      <c r="A6123" t="s">
        <v>6</v>
      </c>
      <c r="B6123" t="s">
        <v>6128</v>
      </c>
      <c r="C6123">
        <f>HYPERLINK("C:\Users\franc\OneDrive\Documentos\MALENTIN KARIME\MANDATOS JUDICIALES\CLAUDIO ARDILES\DANIELA HUERTA.doc", "Abrir Documento")</f>
        <v>0</v>
      </c>
      <c r="D6123" t="s">
        <v>23500</v>
      </c>
      <c r="E6123" t="s">
        <v>28802</v>
      </c>
    </row>
    <row r="6124" spans="1:5">
      <c r="A6124" t="s">
        <v>6</v>
      </c>
      <c r="B6124" t="s">
        <v>6129</v>
      </c>
      <c r="C6124">
        <f>HYPERLINK("C:\Users\franc\OneDrive\Documentos\MALENTIN KARIME\MANDATOS JUDICIALES\CLAUDIO ARDILES\CESAR DIAZ CORTES.doc", "Abrir Documento")</f>
        <v>0</v>
      </c>
      <c r="D6124" t="s">
        <v>23500</v>
      </c>
      <c r="E6124" t="s">
        <v>28803</v>
      </c>
    </row>
    <row r="6125" spans="1:5">
      <c r="A6125" t="s">
        <v>6</v>
      </c>
      <c r="B6125" t="s">
        <v>6130</v>
      </c>
      <c r="C6125">
        <f>HYPERLINK("C:\Users\franc\OneDrive\Documentos\MALENTIN KARIME\MANDATOS JUDICIALES\CLAUDIO ARDILES\CARMEN GUERRERO GUERRERO.doc", "Abrir Documento")</f>
        <v>0</v>
      </c>
      <c r="D6125" t="s">
        <v>23500</v>
      </c>
      <c r="E6125" t="s">
        <v>28804</v>
      </c>
    </row>
    <row r="6126" spans="1:5">
      <c r="A6126" t="s">
        <v>6</v>
      </c>
      <c r="B6126" t="s">
        <v>6131</v>
      </c>
      <c r="C6126">
        <f>HYPERLINK("C:\Users\franc\OneDrive\Documentos\MALENTIN KARIME\MANDATOS JUDICIALES\CLAUDIO ARDILES\CAROLINA DIAZ BOLADOS.doc", "Abrir Documento")</f>
        <v>0</v>
      </c>
      <c r="D6126" t="s">
        <v>23500</v>
      </c>
      <c r="E6126" t="s">
        <v>28804</v>
      </c>
    </row>
    <row r="6127" spans="1:5">
      <c r="A6127" t="s">
        <v>6</v>
      </c>
      <c r="B6127" t="s">
        <v>6132</v>
      </c>
      <c r="C6127">
        <f>HYPERLINK("C:\Users\franc\OneDrive\Documentos\MALENTIN KARIME\MANDATOS JUDICIALES\CLAUDIO ARDILES\CARLOS ROJAS SALINAS.doc", "Abrir Documento")</f>
        <v>0</v>
      </c>
      <c r="D6127" t="s">
        <v>23500</v>
      </c>
      <c r="E6127" t="s">
        <v>28805</v>
      </c>
    </row>
    <row r="6128" spans="1:5">
      <c r="A6128" t="s">
        <v>6</v>
      </c>
      <c r="B6128" t="s">
        <v>6133</v>
      </c>
      <c r="C6128">
        <f>HYPERLINK("C:\Users\franc\OneDrive\Documentos\MALENTIN KARIME\MANDATOS JUDICIALES\CLAUDIO ARDILES\CARLOS GAMBOA PASTEN.doc", "Abrir Documento")</f>
        <v>0</v>
      </c>
      <c r="D6128" t="s">
        <v>23500</v>
      </c>
      <c r="E6128" t="s">
        <v>28806</v>
      </c>
    </row>
    <row r="6129" spans="1:5">
      <c r="A6129" t="s">
        <v>6</v>
      </c>
      <c r="B6129" t="s">
        <v>6134</v>
      </c>
      <c r="C6129">
        <f>HYPERLINK("C:\Users\franc\OneDrive\Documentos\MALENTIN KARIME\MANDATOS JUDICIALES\CLAUDIO ARDILES\BRICILA POBLETE.doc", "Abrir Documento")</f>
        <v>0</v>
      </c>
      <c r="D6129" t="s">
        <v>23500</v>
      </c>
      <c r="E6129" t="s">
        <v>28807</v>
      </c>
    </row>
    <row r="6130" spans="1:5">
      <c r="A6130" t="s">
        <v>6</v>
      </c>
      <c r="B6130" t="s">
        <v>6135</v>
      </c>
      <c r="C6130">
        <f>HYPERLINK("C:\Users\franc\OneDrive\Documentos\MALENTIN KARIME\MANDATOS JUDICIALES\CLAUDIO ARDILES\BRANDON MARIN ZEPEDA.doc", "Abrir Documento")</f>
        <v>0</v>
      </c>
      <c r="D6130" t="s">
        <v>23500</v>
      </c>
      <c r="E6130" t="s">
        <v>28808</v>
      </c>
    </row>
    <row r="6131" spans="1:5">
      <c r="A6131" t="s">
        <v>6</v>
      </c>
      <c r="B6131" t="s">
        <v>6136</v>
      </c>
      <c r="C6131">
        <f>HYPERLINK("C:\Users\franc\OneDrive\Documentos\MALENTIN KARIME\MANDATOS JUDICIALES\CLAUDIO ARDILES\ARTURO LARA CASANGA.doc", "Abrir Documento")</f>
        <v>0</v>
      </c>
      <c r="D6131" t="s">
        <v>23500</v>
      </c>
      <c r="E6131" t="s">
        <v>28809</v>
      </c>
    </row>
    <row r="6132" spans="1:5">
      <c r="A6132" t="s">
        <v>6</v>
      </c>
      <c r="B6132" t="s">
        <v>6137</v>
      </c>
      <c r="C6132">
        <f>HYPERLINK("C:\Users\franc\OneDrive\Documentos\MALENTIN KARIME\MANDATOS JUDICIALES\CLAUDIO ARDILES\ANGEL TAPIA MARTURANA.doc", "Abrir Documento")</f>
        <v>0</v>
      </c>
      <c r="D6132" t="s">
        <v>23500</v>
      </c>
      <c r="E6132" t="s">
        <v>28810</v>
      </c>
    </row>
    <row r="6133" spans="1:5">
      <c r="A6133" t="s">
        <v>6</v>
      </c>
      <c r="B6133" t="s">
        <v>6138</v>
      </c>
      <c r="C6133">
        <f>HYPERLINK("C:\Users\franc\OneDrive\Documentos\MALENTIN KARIME\MANDATOS JUDICIALES\CLAUDIO ARDILES\AMANDA ROJAS.doc", "Abrir Documento")</f>
        <v>0</v>
      </c>
      <c r="D6133" t="s">
        <v>23500</v>
      </c>
      <c r="E6133" t="s">
        <v>28811</v>
      </c>
    </row>
    <row r="6134" spans="1:5">
      <c r="A6134" t="s">
        <v>6</v>
      </c>
      <c r="B6134" t="s">
        <v>6139</v>
      </c>
      <c r="C6134">
        <f>HYPERLINK("C:\Users\franc\OneDrive\Documentos\MALENTIN KARIME\MANDATOS JUDICIALES\CLAUDIO ARDILES\ALEJANDRO CAMPOS ALVAREZ.doc", "Abrir Documento")</f>
        <v>0</v>
      </c>
      <c r="D6134" t="s">
        <v>23500</v>
      </c>
      <c r="E6134" t="s">
        <v>28812</v>
      </c>
    </row>
    <row r="6135" spans="1:5">
      <c r="A6135" t="s">
        <v>6</v>
      </c>
      <c r="B6135" t="s">
        <v>6140</v>
      </c>
      <c r="C6135">
        <f>HYPERLINK("C:\Users\franc\OneDrive\Documentos\MALENTIN KARIME\MANDATOS JUDICIALES\CLAUDIO ARDILES\ALDO ALFARO AHUMADA.doc", "Abrir Documento")</f>
        <v>0</v>
      </c>
      <c r="D6135" t="s">
        <v>23500</v>
      </c>
      <c r="E6135" t="s">
        <v>28813</v>
      </c>
    </row>
    <row r="6136" spans="1:5">
      <c r="A6136" t="s">
        <v>6</v>
      </c>
      <c r="B6136" t="s">
        <v>6141</v>
      </c>
      <c r="C6136">
        <f>HYPERLINK("C:\Users\franc\OneDrive\Documentos\MALENTIN KARIME\MANDATOS JUDICIALES\CLAUDIO ARDILES\ALEJANDRINA ANDRADE.doc", "Abrir Documento")</f>
        <v>0</v>
      </c>
      <c r="D6136" t="s">
        <v>23500</v>
      </c>
      <c r="E6136" t="s">
        <v>28813</v>
      </c>
    </row>
    <row r="6137" spans="1:5">
      <c r="A6137" t="s">
        <v>6</v>
      </c>
      <c r="B6137" t="s">
        <v>6142</v>
      </c>
      <c r="C6137">
        <f>HYPERLINK("C:\Users\franc\OneDrive\Documentos\MALENTIN KARIME\MANDATOS JUDICIALES\CLAUDIO ARAYA\VERONICA ARAYA 2017.doc", "Abrir Documento")</f>
        <v>0</v>
      </c>
      <c r="D6137" t="s">
        <v>23500</v>
      </c>
      <c r="E6137" t="s">
        <v>28814</v>
      </c>
    </row>
    <row r="6138" spans="1:5">
      <c r="A6138" t="s">
        <v>6</v>
      </c>
      <c r="B6138" t="s">
        <v>6143</v>
      </c>
      <c r="C6138">
        <f>HYPERLINK("C:\Users\franc\OneDrive\Documentos\MALENTIN KARIME\MANDATOS JUDICIALES\CLAUDIO ARAYA\TOMAS ARAYA 2017.doc", "Abrir Documento")</f>
        <v>0</v>
      </c>
      <c r="D6138" t="s">
        <v>23500</v>
      </c>
      <c r="E6138" t="s">
        <v>28815</v>
      </c>
    </row>
    <row r="6139" spans="1:5">
      <c r="A6139" t="s">
        <v>6</v>
      </c>
      <c r="B6139" t="s">
        <v>6144</v>
      </c>
      <c r="C6139">
        <f>HYPERLINK("C:\Users\franc\OneDrive\Documentos\MALENTIN KARIME\MANDATOS JUDICIALES\CLAUDIO ARAYA\TATIANA CANIHUANTE Dic 2016.doc", "Abrir Documento")</f>
        <v>0</v>
      </c>
      <c r="D6139" t="s">
        <v>23500</v>
      </c>
      <c r="E6139" t="s">
        <v>28816</v>
      </c>
    </row>
    <row r="6140" spans="1:5">
      <c r="A6140" t="s">
        <v>6</v>
      </c>
      <c r="B6140" t="s">
        <v>6145</v>
      </c>
      <c r="C6140">
        <f>HYPERLINK("C:\Users\franc\OneDrive\Documentos\MALENTIN KARIME\MANDATOS JUDICIALES\CLAUDIO ARAYA\SOC AGRIC SANTA ANA.doc", "Abrir Documento")</f>
        <v>0</v>
      </c>
      <c r="D6140" t="s">
        <v>23500</v>
      </c>
      <c r="E6140" t="s">
        <v>28817</v>
      </c>
    </row>
    <row r="6141" spans="1:5">
      <c r="A6141" t="s">
        <v>6</v>
      </c>
      <c r="B6141" t="s">
        <v>6146</v>
      </c>
      <c r="C6141">
        <f>HYPERLINK("C:\Users\franc\OneDrive\Documentos\MALENTIN KARIME\MANDATOS JUDICIALES\CLAUDIO ARAYA\SERGIO ARAYA GARCIA 2017.doc", "Abrir Documento")</f>
        <v>0</v>
      </c>
      <c r="D6141" t="s">
        <v>23500</v>
      </c>
      <c r="E6141" t="s">
        <v>28818</v>
      </c>
    </row>
    <row r="6142" spans="1:5">
      <c r="A6142" t="s">
        <v>6</v>
      </c>
      <c r="B6142" t="s">
        <v>6147</v>
      </c>
      <c r="C6142">
        <f>HYPERLINK("C:\Users\franc\OneDrive\Documentos\MALENTIN KARIME\MANDATOS JUDICIALES\CLAUDIO ARAYA\SANDRA LOPEZ PALLEROS.doc", "Abrir Documento")</f>
        <v>0</v>
      </c>
      <c r="D6142" t="s">
        <v>23500</v>
      </c>
      <c r="E6142" t="s">
        <v>28819</v>
      </c>
    </row>
    <row r="6143" spans="1:5">
      <c r="A6143" t="s">
        <v>6</v>
      </c>
      <c r="B6143" t="s">
        <v>6148</v>
      </c>
      <c r="C6143">
        <f>HYPERLINK("C:\Users\franc\OneDrive\Documentos\MALENTIN KARIME\MANDATOS JUDICIALES\CLAUDIO ARAYA\RODRIGO BARRAZA CORTES 2015.doc", "Abrir Documento")</f>
        <v>0</v>
      </c>
      <c r="D6143" t="s">
        <v>23500</v>
      </c>
      <c r="E6143" t="s">
        <v>28820</v>
      </c>
    </row>
    <row r="6144" spans="1:5">
      <c r="A6144" t="s">
        <v>6</v>
      </c>
      <c r="B6144" t="s">
        <v>6149</v>
      </c>
      <c r="C6144">
        <f>HYPERLINK("C:\Users\franc\OneDrive\Documentos\MALENTIN KARIME\MANDATOS JUDICIALES\CLAUDIO ARAYA\ROSA PEREIRA 2015.doc", "Abrir Documento")</f>
        <v>0</v>
      </c>
      <c r="D6144" t="s">
        <v>23500</v>
      </c>
      <c r="E6144" t="s">
        <v>28820</v>
      </c>
    </row>
    <row r="6145" spans="1:5">
      <c r="A6145" t="s">
        <v>6</v>
      </c>
      <c r="B6145" t="s">
        <v>6150</v>
      </c>
      <c r="C6145">
        <f>HYPERLINK("C:\Users\franc\OneDrive\Documentos\MALENTIN KARIME\MANDATOS JUDICIALES\CLAUDIO ARAYA\ROBERTO ARAYA MONARDES 2017.doc", "Abrir Documento")</f>
        <v>0</v>
      </c>
      <c r="D6145" t="s">
        <v>23500</v>
      </c>
      <c r="E6145" t="s">
        <v>28821</v>
      </c>
    </row>
    <row r="6146" spans="1:5">
      <c r="A6146" t="s">
        <v>6</v>
      </c>
      <c r="B6146" t="s">
        <v>6151</v>
      </c>
      <c r="C6146">
        <f>HYPERLINK("C:\Users\franc\OneDrive\Documentos\MALENTIN KARIME\MANDATOS JUDICIALES\CLAUDIO ARAYA\ROBERTO ZEBALLOS SEGOVIA 2015.doc", "Abrir Documento")</f>
        <v>0</v>
      </c>
      <c r="D6146" t="s">
        <v>23500</v>
      </c>
      <c r="E6146" t="s">
        <v>28821</v>
      </c>
    </row>
    <row r="6147" spans="1:5">
      <c r="A6147" t="s">
        <v>6</v>
      </c>
      <c r="B6147" t="s">
        <v>6152</v>
      </c>
      <c r="C6147">
        <f>HYPERLINK("C:\Users\franc\OneDrive\Documentos\MALENTIN KARIME\MANDATOS JUDICIALES\CLAUDIO ARAYA\RITA ALVANEZ.doc", "Abrir Documento")</f>
        <v>0</v>
      </c>
      <c r="D6147" t="s">
        <v>23500</v>
      </c>
      <c r="E6147" t="s">
        <v>28822</v>
      </c>
    </row>
    <row r="6148" spans="1:5">
      <c r="A6148" t="s">
        <v>6</v>
      </c>
      <c r="B6148" t="s">
        <v>6153</v>
      </c>
      <c r="C6148">
        <f>HYPERLINK("C:\Users\franc\OneDrive\Documentos\MALENTIN KARIME\MANDATOS JUDICIALES\CLAUDIO ARAYA\RAUL DE LA BARRERA.doc", "Abrir Documento")</f>
        <v>0</v>
      </c>
      <c r="D6148" t="s">
        <v>23500</v>
      </c>
      <c r="E6148" t="s">
        <v>28823</v>
      </c>
    </row>
    <row r="6149" spans="1:5">
      <c r="A6149" t="s">
        <v>6</v>
      </c>
      <c r="B6149" t="s">
        <v>6154</v>
      </c>
      <c r="C6149">
        <f>HYPERLINK("C:\Users\franc\OneDrive\Documentos\MALENTIN KARIME\MANDATOS JUDICIALES\CLAUDIO ARAYA\RAMON ESPINOZA 2018.doc", "Abrir Documento")</f>
        <v>0</v>
      </c>
      <c r="D6149" t="s">
        <v>23500</v>
      </c>
      <c r="E6149" t="s">
        <v>28824</v>
      </c>
    </row>
    <row r="6150" spans="1:5">
      <c r="A6150" t="s">
        <v>6</v>
      </c>
      <c r="B6150" t="s">
        <v>6155</v>
      </c>
      <c r="C6150">
        <f>HYPERLINK("C:\Users\franc\OneDrive\Documentos\MALENTIN KARIME\MANDATOS JUDICIALES\CLAUDIO ARAYA\PEDRO BARAHONA  2018.doc", "Abrir Documento")</f>
        <v>0</v>
      </c>
      <c r="D6150" t="s">
        <v>23500</v>
      </c>
      <c r="E6150" t="s">
        <v>28825</v>
      </c>
    </row>
    <row r="6151" spans="1:5">
      <c r="A6151" t="s">
        <v>6</v>
      </c>
      <c r="B6151" t="s">
        <v>6156</v>
      </c>
      <c r="C6151">
        <f>HYPERLINK("C:\Users\franc\OneDrive\Documentos\MALENTIN KARIME\MANDATOS JUDICIALES\CLAUDIO ARAYA\PATRICO ALARCON SALAS.doc", "Abrir Documento")</f>
        <v>0</v>
      </c>
      <c r="D6151" t="s">
        <v>23500</v>
      </c>
      <c r="E6151" t="s">
        <v>28826</v>
      </c>
    </row>
    <row r="6152" spans="1:5">
      <c r="A6152" t="s">
        <v>6</v>
      </c>
      <c r="B6152" t="s">
        <v>6157</v>
      </c>
      <c r="C6152">
        <f>HYPERLINK("C:\Users\franc\OneDrive\Documentos\MALENTIN KARIME\MANDATOS JUDICIALES\CLAUDIO ARAYA\PABLA SEGURA.doc", "Abrir Documento")</f>
        <v>0</v>
      </c>
      <c r="D6152" t="s">
        <v>23500</v>
      </c>
      <c r="E6152" t="s">
        <v>28827</v>
      </c>
    </row>
    <row r="6153" spans="1:5">
      <c r="A6153" t="s">
        <v>6</v>
      </c>
      <c r="B6153" t="s">
        <v>6158</v>
      </c>
      <c r="C6153">
        <f>HYPERLINK("C:\Users\franc\OneDrive\Documentos\MALENTIN KARIME\MANDATOS JUDICIALES\CLAUDIO ARAYA\PABLO MUÑOZ.doc", "Abrir Documento")</f>
        <v>0</v>
      </c>
      <c r="D6153" t="s">
        <v>23500</v>
      </c>
      <c r="E6153" t="s">
        <v>28827</v>
      </c>
    </row>
    <row r="6154" spans="1:5">
      <c r="A6154" t="s">
        <v>6</v>
      </c>
      <c r="B6154" t="s">
        <v>6159</v>
      </c>
      <c r="C6154">
        <f>HYPERLINK("C:\Users\franc\OneDrive\Documentos\MALENTIN KARIME\MANDATOS JUDICIALES\CLAUDIO ARAYA\OSCAR GODOY 2015.doc", "Abrir Documento")</f>
        <v>0</v>
      </c>
      <c r="D6154" t="s">
        <v>23500</v>
      </c>
      <c r="E6154" t="s">
        <v>28828</v>
      </c>
    </row>
    <row r="6155" spans="1:5">
      <c r="A6155" t="s">
        <v>6</v>
      </c>
      <c r="B6155" t="s">
        <v>6160</v>
      </c>
      <c r="C6155">
        <f>HYPERLINK("C:\Users\franc\OneDrive\Documentos\MALENTIN KARIME\MANDATOS JUDICIALES\CLAUDIO ARAYA\OSVALDO MEDINA HARRIS.doc", "Abrir Documento")</f>
        <v>0</v>
      </c>
      <c r="D6155" t="s">
        <v>23500</v>
      </c>
      <c r="E6155" t="s">
        <v>28828</v>
      </c>
    </row>
    <row r="6156" spans="1:5">
      <c r="A6156" t="s">
        <v>6</v>
      </c>
      <c r="B6156" t="s">
        <v>6161</v>
      </c>
      <c r="C6156">
        <f>HYPERLINK("C:\Users\franc\OneDrive\Documentos\MALENTIN KARIME\MANDATOS JUDICIALES\CLAUDIO ARAYA\modelo claudio araya.doc", "Abrir Documento")</f>
        <v>0</v>
      </c>
      <c r="D6156" t="s">
        <v>23500</v>
      </c>
      <c r="E6156" t="s">
        <v>28829</v>
      </c>
    </row>
    <row r="6157" spans="1:5">
      <c r="A6157" t="s">
        <v>6</v>
      </c>
      <c r="B6157" t="s">
        <v>6162</v>
      </c>
      <c r="C6157">
        <f>HYPERLINK("C:\Users\franc\OneDrive\Documentos\MALENTIN KARIME\MANDATOS JUDICIALES\CLAUDIO ARAYA\NIVALDO ALFARO BARRAZA.doc", "Abrir Documento")</f>
        <v>0</v>
      </c>
      <c r="D6157" t="s">
        <v>23500</v>
      </c>
      <c r="E6157" t="s">
        <v>28829</v>
      </c>
    </row>
    <row r="6158" spans="1:5">
      <c r="A6158" t="s">
        <v>6</v>
      </c>
      <c r="B6158" t="s">
        <v>6163</v>
      </c>
      <c r="C6158">
        <f>HYPERLINK("C:\Users\franc\OneDrive\Documentos\MALENTIN KARIME\MANDATOS JUDICIALES\CLAUDIO ARAYA\MIRTHA MANDICH.doc", "Abrir Documento")</f>
        <v>0</v>
      </c>
      <c r="D6158" t="s">
        <v>23500</v>
      </c>
      <c r="E6158" t="s">
        <v>28830</v>
      </c>
    </row>
    <row r="6159" spans="1:5">
      <c r="A6159" t="s">
        <v>6</v>
      </c>
      <c r="B6159" t="s">
        <v>6164</v>
      </c>
      <c r="C6159">
        <f>HYPERLINK("C:\Users\franc\OneDrive\Documentos\MALENTIN KARIME\MANDATOS JUDICIALES\CLAUDIO ARAYA\MARIELA INOSTROZA 2015.doc", "Abrir Documento")</f>
        <v>0</v>
      </c>
      <c r="D6159" t="s">
        <v>23500</v>
      </c>
      <c r="E6159" t="s">
        <v>28831</v>
      </c>
    </row>
    <row r="6160" spans="1:5">
      <c r="A6160" t="s">
        <v>6</v>
      </c>
      <c r="B6160" t="s">
        <v>6165</v>
      </c>
      <c r="C6160">
        <f>HYPERLINK("C:\Users\franc\OneDrive\Documentos\MALENTIN KARIME\MANDATOS JUDICIALES\CLAUDIO ARAYA\MERCEDES PIZARRO PIZARRO.doc", "Abrir Documento")</f>
        <v>0</v>
      </c>
      <c r="D6160" t="s">
        <v>23500</v>
      </c>
      <c r="E6160" t="s">
        <v>28831</v>
      </c>
    </row>
    <row r="6161" spans="1:5">
      <c r="A6161" t="s">
        <v>6</v>
      </c>
      <c r="B6161" t="s">
        <v>6166</v>
      </c>
      <c r="C6161">
        <f>HYPERLINK("C:\Users\franc\OneDrive\Documentos\MALENTIN KARIME\MANDATOS JUDICIALES\CLAUDIO ARAYA\MARIA PINOCHET.doc", "Abrir Documento")</f>
        <v>0</v>
      </c>
      <c r="D6161" t="s">
        <v>23500</v>
      </c>
      <c r="E6161" t="s">
        <v>28832</v>
      </c>
    </row>
    <row r="6162" spans="1:5">
      <c r="A6162" t="s">
        <v>6</v>
      </c>
      <c r="B6162" t="s">
        <v>6167</v>
      </c>
      <c r="C6162">
        <f>HYPERLINK("C:\Users\franc\OneDrive\Documentos\MALENTIN KARIME\MANDATOS JUDICIALES\CLAUDIO ARAYA\MARIA PINOCHET Enero 14.doc", "Abrir Documento")</f>
        <v>0</v>
      </c>
      <c r="D6162" t="s">
        <v>23500</v>
      </c>
      <c r="E6162" t="s">
        <v>28833</v>
      </c>
    </row>
    <row r="6163" spans="1:5">
      <c r="A6163" t="s">
        <v>6</v>
      </c>
      <c r="B6163" t="s">
        <v>6168</v>
      </c>
      <c r="C6163">
        <f>HYPERLINK("C:\Users\franc\OneDrive\Documentos\MALENTIN KARIME\MANDATOS JUDICIALES\CLAUDIO ARAYA\MARIA GODOY VALENZUELA.doc", "Abrir Documento")</f>
        <v>0</v>
      </c>
      <c r="D6163" t="s">
        <v>23500</v>
      </c>
      <c r="E6163" t="s">
        <v>28834</v>
      </c>
    </row>
    <row r="6164" spans="1:5">
      <c r="A6164" t="s">
        <v>6</v>
      </c>
      <c r="B6164" t="s">
        <v>6169</v>
      </c>
      <c r="C6164">
        <f>HYPERLINK("C:\Users\franc\OneDrive\Documentos\MALENTIN KARIME\MANDATOS JUDICIALES\CLAUDIO ARAYA\MARIA CONTRERAS PIZARRO Y OTRAS 2018.doc", "Abrir Documento")</f>
        <v>0</v>
      </c>
      <c r="D6164" t="s">
        <v>23500</v>
      </c>
      <c r="E6164" t="s">
        <v>28835</v>
      </c>
    </row>
    <row r="6165" spans="1:5">
      <c r="A6165" t="s">
        <v>6</v>
      </c>
      <c r="B6165" t="s">
        <v>6170</v>
      </c>
      <c r="C6165">
        <f>HYPERLINK("C:\Users\franc\OneDrive\Documentos\MALENTIN KARIME\MANDATOS JUDICIALES\CLAUDIO ARAYA\MARIA CHACANA 2017.doc", "Abrir Documento")</f>
        <v>0</v>
      </c>
      <c r="D6165" t="s">
        <v>23500</v>
      </c>
      <c r="E6165" t="s">
        <v>28836</v>
      </c>
    </row>
    <row r="6166" spans="1:5">
      <c r="A6166" t="s">
        <v>6</v>
      </c>
      <c r="B6166" t="s">
        <v>6171</v>
      </c>
      <c r="C6166">
        <f>HYPERLINK("C:\Users\franc\OneDrive\Documentos\MALENTIN KARIME\MANDATOS JUDICIALES\CLAUDIO ARAYA\MARCO OLIVARES 2017.doc", "Abrir Documento")</f>
        <v>0</v>
      </c>
      <c r="D6166" t="s">
        <v>23500</v>
      </c>
      <c r="E6166" t="s">
        <v>28837</v>
      </c>
    </row>
    <row r="6167" spans="1:5">
      <c r="A6167" t="s">
        <v>6</v>
      </c>
      <c r="B6167" t="s">
        <v>6172</v>
      </c>
      <c r="C6167">
        <f>HYPERLINK("C:\Users\franc\OneDrive\Documentos\MALENTIN KARIME\MANDATOS JUDICIALES\CLAUDIO ARAYA\MARCIA VEGA VALDIVIA.doc", "Abrir Documento")</f>
        <v>0</v>
      </c>
      <c r="D6167" t="s">
        <v>23500</v>
      </c>
      <c r="E6167" t="s">
        <v>28838</v>
      </c>
    </row>
    <row r="6168" spans="1:5">
      <c r="A6168" t="s">
        <v>6</v>
      </c>
      <c r="B6168" t="s">
        <v>6173</v>
      </c>
      <c r="C6168">
        <f>HYPERLINK("C:\Users\franc\OneDrive\Documentos\MALENTIN KARIME\MANDATOS JUDICIALES\CLAUDIO ARAYA\MANUEL RENE ARAYA.doc", "Abrir Documento")</f>
        <v>0</v>
      </c>
      <c r="D6168" t="s">
        <v>23500</v>
      </c>
      <c r="E6168" t="s">
        <v>28839</v>
      </c>
    </row>
    <row r="6169" spans="1:5">
      <c r="A6169" t="s">
        <v>6</v>
      </c>
      <c r="B6169" t="s">
        <v>6174</v>
      </c>
      <c r="C6169">
        <f>HYPERLINK("C:\Users\franc\OneDrive\Documentos\MALENTIN KARIME\MANDATOS JUDICIALES\CLAUDIO ARAYA\MARCELO VEGA ALVAREZ 2018.doc", "Abrir Documento")</f>
        <v>0</v>
      </c>
      <c r="D6169" t="s">
        <v>23500</v>
      </c>
      <c r="E6169" t="s">
        <v>28839</v>
      </c>
    </row>
    <row r="6170" spans="1:5">
      <c r="A6170" t="s">
        <v>6</v>
      </c>
      <c r="B6170" t="s">
        <v>6175</v>
      </c>
      <c r="C6170">
        <f>HYPERLINK("C:\Users\franc\OneDrive\Documentos\MALENTIN KARIME\MANDATOS JUDICIALES\CLAUDIO ARAYA\LUIS YAÑEZ 2018.doc", "Abrir Documento")</f>
        <v>0</v>
      </c>
      <c r="D6170" t="s">
        <v>23500</v>
      </c>
      <c r="E6170" t="s">
        <v>28840</v>
      </c>
    </row>
    <row r="6171" spans="1:5">
      <c r="A6171" t="s">
        <v>6</v>
      </c>
      <c r="B6171" t="s">
        <v>6176</v>
      </c>
      <c r="C6171">
        <f>HYPERLINK("C:\Users\franc\OneDrive\Documentos\MALENTIN KARIME\MANDATOS JUDICIALES\CLAUDIO ARAYA\LUIS TOLEDO RODRIGUEZ.doc", "Abrir Documento")</f>
        <v>0</v>
      </c>
      <c r="D6171" t="s">
        <v>23500</v>
      </c>
      <c r="E6171" t="s">
        <v>28841</v>
      </c>
    </row>
    <row r="6172" spans="1:5">
      <c r="A6172" t="s">
        <v>6</v>
      </c>
      <c r="B6172" t="s">
        <v>6177</v>
      </c>
      <c r="C6172">
        <f>HYPERLINK("C:\Users\franc\OneDrive\Documentos\MALENTIN KARIME\MANDATOS JUDICIALES\CLAUDIO ARAYA\LUIS VELIZ RIVERA.doc", "Abrir Documento")</f>
        <v>0</v>
      </c>
      <c r="D6172" t="s">
        <v>23500</v>
      </c>
      <c r="E6172" t="s">
        <v>28841</v>
      </c>
    </row>
    <row r="6173" spans="1:5">
      <c r="A6173" t="s">
        <v>6</v>
      </c>
      <c r="B6173" t="s">
        <v>6178</v>
      </c>
      <c r="C6173">
        <f>HYPERLINK("C:\Users\franc\OneDrive\Documentos\MALENTIN KARIME\MANDATOS JUDICIALES\CLAUDIO ARAYA\LUCIA GONZALEZ Y OTRO.doc", "Abrir Documento")</f>
        <v>0</v>
      </c>
      <c r="D6173" t="s">
        <v>23500</v>
      </c>
      <c r="E6173" t="s">
        <v>28842</v>
      </c>
    </row>
    <row r="6174" spans="1:5">
      <c r="A6174" t="s">
        <v>6</v>
      </c>
      <c r="B6174" t="s">
        <v>6179</v>
      </c>
      <c r="C6174">
        <f>HYPERLINK("C:\Users\franc\OneDrive\Documentos\MALENTIN KARIME\MANDATOS JUDICIALES\CLAUDIO ARAYA\LEONTINA ACUÑA MONTERO.doc", "Abrir Documento")</f>
        <v>0</v>
      </c>
      <c r="D6174" t="s">
        <v>23500</v>
      </c>
      <c r="E6174" t="s">
        <v>28843</v>
      </c>
    </row>
    <row r="6175" spans="1:5">
      <c r="A6175" t="s">
        <v>6</v>
      </c>
      <c r="B6175" t="s">
        <v>6180</v>
      </c>
      <c r="C6175">
        <f>HYPERLINK("C:\Users\franc\OneDrive\Documentos\MALENTIN KARIME\MANDATOS JUDICIALES\CLAUDIO ARAYA\LEONTINA ACUÑA.doc", "Abrir Documento")</f>
        <v>0</v>
      </c>
      <c r="D6175" t="s">
        <v>23500</v>
      </c>
      <c r="E6175" t="s">
        <v>28843</v>
      </c>
    </row>
    <row r="6176" spans="1:5">
      <c r="A6176" t="s">
        <v>6</v>
      </c>
      <c r="B6176" t="s">
        <v>6181</v>
      </c>
      <c r="C6176">
        <f>HYPERLINK("C:\Users\franc\OneDrive\Documentos\MALENTIN KARIME\MANDATOS JUDICIALES\CLAUDIO ARAYA\KATHERINE LIZARDI.doc", "Abrir Documento")</f>
        <v>0</v>
      </c>
      <c r="D6176" t="s">
        <v>23500</v>
      </c>
      <c r="E6176" t="s">
        <v>28844</v>
      </c>
    </row>
    <row r="6177" spans="1:5">
      <c r="A6177" t="s">
        <v>6</v>
      </c>
      <c r="B6177" t="s">
        <v>6182</v>
      </c>
      <c r="C6177">
        <f>HYPERLINK("C:\Users\franc\OneDrive\Documentos\MALENTIN KARIME\MANDATOS JUDICIALES\CLAUDIO ARAYA\JUAN MORALES TELLO 2017.doc", "Abrir Documento")</f>
        <v>0</v>
      </c>
      <c r="D6177" t="s">
        <v>23500</v>
      </c>
      <c r="E6177" t="s">
        <v>28845</v>
      </c>
    </row>
    <row r="6178" spans="1:5">
      <c r="A6178" t="s">
        <v>6</v>
      </c>
      <c r="B6178" t="s">
        <v>6183</v>
      </c>
      <c r="C6178">
        <f>HYPERLINK("C:\Users\franc\OneDrive\Documentos\MALENTIN KARIME\MANDATOS JUDICIALES\CLAUDIO ARAYA\JUSTO BARRAZA 2015.doc", "Abrir Documento")</f>
        <v>0</v>
      </c>
      <c r="D6178" t="s">
        <v>23500</v>
      </c>
      <c r="E6178" t="s">
        <v>28845</v>
      </c>
    </row>
    <row r="6179" spans="1:5">
      <c r="A6179" t="s">
        <v>6</v>
      </c>
      <c r="B6179" t="s">
        <v>6184</v>
      </c>
      <c r="C6179">
        <f>HYPERLINK("C:\Users\franc\OneDrive\Documentos\MALENTIN KARIME\MANDATOS JUDICIALES\CLAUDIO ARAYA\JORGE ROMERO.doc", "Abrir Documento")</f>
        <v>0</v>
      </c>
      <c r="D6179" t="s">
        <v>23500</v>
      </c>
      <c r="E6179" t="s">
        <v>28846</v>
      </c>
    </row>
    <row r="6180" spans="1:5">
      <c r="A6180" t="s">
        <v>6</v>
      </c>
      <c r="B6180" t="s">
        <v>6185</v>
      </c>
      <c r="C6180">
        <f>HYPERLINK("C:\Users\franc\OneDrive\Documentos\MALENTIN KARIME\MANDATOS JUDICIALES\CLAUDIO ARAYA\JORGE ROJAS MIRANDA.doc", "Abrir Documento")</f>
        <v>0</v>
      </c>
      <c r="D6180" t="s">
        <v>23500</v>
      </c>
      <c r="E6180" t="s">
        <v>28847</v>
      </c>
    </row>
    <row r="6181" spans="1:5">
      <c r="A6181" t="s">
        <v>6</v>
      </c>
      <c r="B6181" t="s">
        <v>6186</v>
      </c>
      <c r="C6181">
        <f>HYPERLINK("C:\Users\franc\OneDrive\Documentos\MALENTIN KARIME\MANDATOS JUDICIALES\CLAUDIO ARAYA\JESUS AURORA SEGOVIA.doc", "Abrir Documento")</f>
        <v>0</v>
      </c>
      <c r="D6181" t="s">
        <v>23500</v>
      </c>
      <c r="E6181" t="s">
        <v>28848</v>
      </c>
    </row>
    <row r="6182" spans="1:5">
      <c r="A6182" t="s">
        <v>6</v>
      </c>
      <c r="B6182" t="s">
        <v>6187</v>
      </c>
      <c r="C6182">
        <f>HYPERLINK("C:\Users\franc\OneDrive\Documentos\MALENTIN KARIME\MANDATOS JUDICIALES\CLAUDIO ARAYA\JANETT ESPINOSA.doc", "Abrir Documento")</f>
        <v>0</v>
      </c>
      <c r="D6182" t="s">
        <v>23500</v>
      </c>
      <c r="E6182" t="s">
        <v>28849</v>
      </c>
    </row>
    <row r="6183" spans="1:5">
      <c r="A6183" t="s">
        <v>6</v>
      </c>
      <c r="B6183" t="s">
        <v>6188</v>
      </c>
      <c r="C6183">
        <f>HYPERLINK("C:\Users\franc\OneDrive\Documentos\MALENTIN KARIME\MANDATOS JUDICIALES\CLAUDIO ARAYA\ILIA RAMOS 2015.doc", "Abrir Documento")</f>
        <v>0</v>
      </c>
      <c r="D6183" t="s">
        <v>23500</v>
      </c>
      <c r="E6183" t="s">
        <v>28850</v>
      </c>
    </row>
    <row r="6184" spans="1:5">
      <c r="A6184" t="s">
        <v>6</v>
      </c>
      <c r="B6184" t="s">
        <v>6189</v>
      </c>
      <c r="C6184">
        <f>HYPERLINK("C:\Users\franc\OneDrive\Documentos\MALENTIN KARIME\MANDATOS JUDICIALES\CLAUDIO ARAYA\GARY ASTUDILLO SIERRA 20165.doc", "Abrir Documento")</f>
        <v>0</v>
      </c>
      <c r="D6184" t="s">
        <v>23500</v>
      </c>
      <c r="E6184" t="s">
        <v>28851</v>
      </c>
    </row>
    <row r="6185" spans="1:5">
      <c r="A6185" t="s">
        <v>6</v>
      </c>
      <c r="B6185" t="s">
        <v>6190</v>
      </c>
      <c r="C6185">
        <f>HYPERLINK("C:\Users\franc\OneDrive\Documentos\MALENTIN KARIME\MANDATOS JUDICIALES\CLAUDIO ARAYA\HERNAN ARACENA DUBO Y OTROS.doc", "Abrir Documento")</f>
        <v>0</v>
      </c>
      <c r="D6185" t="s">
        <v>23500</v>
      </c>
      <c r="E6185" t="s">
        <v>28851</v>
      </c>
    </row>
    <row r="6186" spans="1:5">
      <c r="A6186" t="s">
        <v>6</v>
      </c>
      <c r="B6186" t="s">
        <v>6191</v>
      </c>
      <c r="C6186">
        <f>HYPERLINK("C:\Users\franc\OneDrive\Documentos\MALENTIN KARIME\MANDATOS JUDICIALES\CLAUDIO ARAYA\GARY ASTUDILLO SIERRA 2015.doc", "Abrir Documento")</f>
        <v>0</v>
      </c>
      <c r="D6186" t="s">
        <v>23500</v>
      </c>
      <c r="E6186" t="s">
        <v>28852</v>
      </c>
    </row>
    <row r="6187" spans="1:5">
      <c r="A6187" t="s">
        <v>6</v>
      </c>
      <c r="B6187" t="s">
        <v>6192</v>
      </c>
      <c r="C6187">
        <f>HYPERLINK("C:\Users\franc\OneDrive\Documentos\MALENTIN KARIME\MANDATOS JUDICIALES\CLAUDIO ARAYA\FERNANDO AGUILERA.doc", "Abrir Documento")</f>
        <v>0</v>
      </c>
      <c r="D6187" t="s">
        <v>23500</v>
      </c>
      <c r="E6187" t="s">
        <v>28853</v>
      </c>
    </row>
    <row r="6188" spans="1:5">
      <c r="A6188" t="s">
        <v>6</v>
      </c>
      <c r="B6188" t="s">
        <v>6193</v>
      </c>
      <c r="C6188">
        <f>HYPERLINK("C:\Users\franc\OneDrive\Documentos\MALENTIN KARIME\MANDATOS JUDICIALES\CLAUDIO ARAYA\GABRIELA DICTER 2017.doc", "Abrir Documento")</f>
        <v>0</v>
      </c>
      <c r="D6188" t="s">
        <v>23500</v>
      </c>
      <c r="E6188" t="s">
        <v>28853</v>
      </c>
    </row>
    <row r="6189" spans="1:5">
      <c r="A6189" t="s">
        <v>6</v>
      </c>
      <c r="B6189" t="s">
        <v>6194</v>
      </c>
      <c r="C6189">
        <f>HYPERLINK("C:\Users\franc\OneDrive\Documentos\MALENTIN KARIME\MANDATOS JUDICIALES\CLAUDIO ARAYA\EUGENIO GONZALEZ.doc", "Abrir Documento")</f>
        <v>0</v>
      </c>
      <c r="D6189" t="s">
        <v>23500</v>
      </c>
      <c r="E6189" t="s">
        <v>28854</v>
      </c>
    </row>
    <row r="6190" spans="1:5">
      <c r="A6190" t="s">
        <v>6</v>
      </c>
      <c r="B6190" t="s">
        <v>6195</v>
      </c>
      <c r="C6190">
        <f>HYPERLINK("C:\Users\franc\OneDrive\Documentos\MALENTIN KARIME\MANDATOS JUDICIALES\CLAUDIO ARAYA\ERIC SEPULVEDA GONZALEZ 2018.doc", "Abrir Documento")</f>
        <v>0</v>
      </c>
      <c r="D6190" t="s">
        <v>23500</v>
      </c>
      <c r="E6190" t="s">
        <v>28855</v>
      </c>
    </row>
    <row r="6191" spans="1:5">
      <c r="A6191" t="s">
        <v>6</v>
      </c>
      <c r="B6191" t="s">
        <v>6196</v>
      </c>
      <c r="C6191">
        <f>HYPERLINK("C:\Users\franc\OneDrive\Documentos\MALENTIN KARIME\MANDATOS JUDICIALES\CLAUDIO ARAYA\ELIETT RAMIREZ 2018.doc", "Abrir Documento")</f>
        <v>0</v>
      </c>
      <c r="D6191" t="s">
        <v>23500</v>
      </c>
      <c r="E6191" t="s">
        <v>28856</v>
      </c>
    </row>
    <row r="6192" spans="1:5">
      <c r="A6192" t="s">
        <v>6</v>
      </c>
      <c r="B6192" t="s">
        <v>6197</v>
      </c>
      <c r="C6192">
        <f>HYPERLINK("C:\Users\franc\OneDrive\Documentos\MALENTIN KARIME\MANDATOS JUDICIALES\CLAUDIO ARAYA\EDUARDO DIAZ ROBLES.doc", "Abrir Documento")</f>
        <v>0</v>
      </c>
      <c r="D6192" t="s">
        <v>23500</v>
      </c>
      <c r="E6192" t="s">
        <v>28857</v>
      </c>
    </row>
    <row r="6193" spans="1:5">
      <c r="A6193" t="s">
        <v>6</v>
      </c>
      <c r="B6193" t="s">
        <v>6198</v>
      </c>
      <c r="C6193">
        <f>HYPERLINK("C:\Users\franc\OneDrive\Documentos\MALENTIN KARIME\MANDATOS JUDICIALES\CLAUDIO ARAYA\DIVORCIO 20018}.doc", "Abrir Documento")</f>
        <v>0</v>
      </c>
      <c r="D6193" t="s">
        <v>23500</v>
      </c>
      <c r="E6193" t="s">
        <v>28858</v>
      </c>
    </row>
    <row r="6194" spans="1:5">
      <c r="A6194" t="s">
        <v>6</v>
      </c>
      <c r="B6194" t="s">
        <v>6199</v>
      </c>
      <c r="C6194">
        <f>HYPERLINK("C:\Users\franc\OneDrive\Documentos\MALENTIN KARIME\MANDATOS JUDICIALES\CLAUDIO ARAYA\CRISTIAN WILCHES 2018.doc", "Abrir Documento")</f>
        <v>0</v>
      </c>
      <c r="D6194" t="s">
        <v>23500</v>
      </c>
      <c r="E6194" t="s">
        <v>28859</v>
      </c>
    </row>
    <row r="6195" spans="1:5">
      <c r="A6195" t="s">
        <v>6</v>
      </c>
      <c r="B6195" t="s">
        <v>6200</v>
      </c>
      <c r="C6195">
        <f>HYPERLINK("C:\Users\franc\OneDrive\Documentos\MALENTIN KARIME\MANDATOS JUDICIALES\CLAUDIO ARAYA\CORALI OLIVARES.doc", "Abrir Documento")</f>
        <v>0</v>
      </c>
      <c r="D6195" t="s">
        <v>23500</v>
      </c>
      <c r="E6195" t="s">
        <v>28860</v>
      </c>
    </row>
    <row r="6196" spans="1:5">
      <c r="A6196" t="s">
        <v>6</v>
      </c>
      <c r="B6196" t="s">
        <v>6201</v>
      </c>
      <c r="C6196">
        <f>HYPERLINK("C:\Users\franc\OneDrive\Documentos\MALENTIN KARIME\MANDATOS JUDICIALES\CLAUDIO ARAYA\CRISTIAN PEREZ SOTO 2017.doc", "Abrir Documento")</f>
        <v>0</v>
      </c>
      <c r="D6196" t="s">
        <v>23500</v>
      </c>
      <c r="E6196" t="s">
        <v>28860</v>
      </c>
    </row>
    <row r="6197" spans="1:5">
      <c r="A6197" t="s">
        <v>6</v>
      </c>
      <c r="B6197" t="s">
        <v>6202</v>
      </c>
      <c r="C6197">
        <f>HYPERLINK("C:\Users\franc\OneDrive\Documentos\MALENTIN KARIME\MANDATOS JUDICIALES\CLAUDIO ARAYA\COMERCIAL ABRAHAM TARE.doc", "Abrir Documento")</f>
        <v>0</v>
      </c>
      <c r="D6197" t="s">
        <v>23500</v>
      </c>
      <c r="E6197" t="s">
        <v>28861</v>
      </c>
    </row>
    <row r="6198" spans="1:5">
      <c r="A6198" t="s">
        <v>6</v>
      </c>
      <c r="B6198" t="s">
        <v>6203</v>
      </c>
      <c r="C6198">
        <f>HYPERLINK("C:\Users\franc\OneDrive\Documentos\MALENTIN KARIME\MANDATOS JUDICIALES\CLAUDIO ARAYA\CLEMENTE FUENTEALBA.doc", "Abrir Documento")</f>
        <v>0</v>
      </c>
      <c r="D6198" t="s">
        <v>23500</v>
      </c>
      <c r="E6198" t="s">
        <v>28862</v>
      </c>
    </row>
    <row r="6199" spans="1:5">
      <c r="A6199" t="s">
        <v>6</v>
      </c>
      <c r="B6199" t="s">
        <v>6204</v>
      </c>
      <c r="C6199">
        <f>HYPERLINK("C:\Users\franc\OneDrive\Documentos\MALENTIN KARIME\MANDATOS JUDICIALES\CLAUDIO ARAYA\CLARA PASTEN ROJAS.doc", "Abrir Documento")</f>
        <v>0</v>
      </c>
      <c r="D6199" t="s">
        <v>23500</v>
      </c>
      <c r="E6199" t="s">
        <v>28863</v>
      </c>
    </row>
    <row r="6200" spans="1:5">
      <c r="A6200" t="s">
        <v>6</v>
      </c>
      <c r="B6200" t="s">
        <v>6205</v>
      </c>
      <c r="C6200">
        <f>HYPERLINK("C:\Users\franc\OneDrive\Documentos\MALENTIN KARIME\MANDATOS JUDICIALES\CLAUDIO ARAYA\BERNARDO ORREGO FLORES.doc", "Abrir Documento")</f>
        <v>0</v>
      </c>
      <c r="D6200" t="s">
        <v>23500</v>
      </c>
      <c r="E6200" t="s">
        <v>28864</v>
      </c>
    </row>
    <row r="6201" spans="1:5">
      <c r="A6201" t="s">
        <v>6</v>
      </c>
      <c r="B6201" t="s">
        <v>6206</v>
      </c>
      <c r="C6201">
        <f>HYPERLINK("C:\Users\franc\OneDrive\Documentos\MALENTIN KARIME\MANDATOS JUDICIALES\CLAUDIO ARAYA\CAROLINA CARVAJAL.doc", "Abrir Documento")</f>
        <v>0</v>
      </c>
      <c r="D6201" t="s">
        <v>23500</v>
      </c>
      <c r="E6201" t="s">
        <v>28864</v>
      </c>
    </row>
    <row r="6202" spans="1:5">
      <c r="A6202" t="s">
        <v>6</v>
      </c>
      <c r="B6202" t="s">
        <v>6207</v>
      </c>
      <c r="C6202">
        <f>HYPERLINK("C:\Users\franc\OneDrive\Documentos\MALENTIN KARIME\MANDATOS JUDICIALES\CLAUDIO ARAYA\BERNARDINO GUERRA.doc", "Abrir Documento")</f>
        <v>0</v>
      </c>
      <c r="D6202" t="s">
        <v>23500</v>
      </c>
      <c r="E6202" t="s">
        <v>28865</v>
      </c>
    </row>
    <row r="6203" spans="1:5">
      <c r="A6203" t="s">
        <v>6</v>
      </c>
      <c r="B6203" t="s">
        <v>6208</v>
      </c>
      <c r="C6203">
        <f>HYPERLINK("C:\Users\franc\OneDrive\Documentos\MALENTIN KARIME\MANDATOS JUDICIALES\CLAUDIO ARAYA\ARMANDO OSSANDON CORTES.doc", "Abrir Documento")</f>
        <v>0</v>
      </c>
      <c r="D6203" t="s">
        <v>23500</v>
      </c>
      <c r="E6203" t="s">
        <v>28866</v>
      </c>
    </row>
    <row r="6204" spans="1:5">
      <c r="A6204" t="s">
        <v>6</v>
      </c>
      <c r="B6204" t="s">
        <v>6209</v>
      </c>
      <c r="C6204">
        <f>HYPERLINK("C:\Users\franc\OneDrive\Documentos\MALENTIN KARIME\MANDATOS JUDICIALES\CLAUDIO ARAYA\ALEJANDROM MANRIQUEZ.doc", "Abrir Documento")</f>
        <v>0</v>
      </c>
      <c r="D6204" t="s">
        <v>23500</v>
      </c>
      <c r="E6204" t="s">
        <v>28867</v>
      </c>
    </row>
    <row r="6205" spans="1:5">
      <c r="A6205" t="s">
        <v>6</v>
      </c>
      <c r="B6205" t="s">
        <v>6210</v>
      </c>
      <c r="C6205">
        <f>HYPERLINK("C:\Users\franc\OneDrive\Documentos\MALENTIN KARIME\MANDATOS JUDICIALES\CLAUDIO ARAYA\AGUSTINA RIVERA 2018.doc", "Abrir Documento")</f>
        <v>0</v>
      </c>
      <c r="D6205" t="s">
        <v>23500</v>
      </c>
      <c r="E6205" t="s">
        <v>28868</v>
      </c>
    </row>
    <row r="6206" spans="1:5">
      <c r="A6206" t="s">
        <v>6</v>
      </c>
      <c r="B6206" t="s">
        <v>6211</v>
      </c>
      <c r="C6206">
        <f>HYPERLINK("C:\Users\franc\OneDrive\Documentos\MALENTIN KARIME\MANDATOS JUDICIALES\CLAUDIO ARAYA\AGRICOLA MARIO ROBLES.doc", "Abrir Documento")</f>
        <v>0</v>
      </c>
      <c r="D6206" t="s">
        <v>23500</v>
      </c>
      <c r="E6206" t="s">
        <v>28869</v>
      </c>
    </row>
    <row r="6207" spans="1:5">
      <c r="A6207" t="s">
        <v>6</v>
      </c>
      <c r="B6207" t="s">
        <v>6212</v>
      </c>
      <c r="C6207">
        <f>HYPERLINK("C:\Users\franc\OneDrive\Documentos\MALENTIN KARIME\MANDATOS JUDICIALES\CLAUDIO ARAYA\AGAPITO CASTILLO PIZARRO.doc", "Abrir Documento")</f>
        <v>0</v>
      </c>
      <c r="D6207" t="s">
        <v>23500</v>
      </c>
      <c r="E6207" t="s">
        <v>28870</v>
      </c>
    </row>
    <row r="6208" spans="1:5">
      <c r="A6208" t="s">
        <v>6</v>
      </c>
      <c r="B6208" t="s">
        <v>6213</v>
      </c>
      <c r="C6208">
        <f>HYPERLINK("C:\Users\franc\OneDrive\Documentos\MALENTIN KARIME\MANDATOS JUDICIALES\CLAUDIO ARAYA\ABEL VALDES ARAYA.doc", "Abrir Documento")</f>
        <v>0</v>
      </c>
      <c r="D6208" t="s">
        <v>23500</v>
      </c>
      <c r="E6208" t="s">
        <v>28871</v>
      </c>
    </row>
    <row r="6209" spans="1:5">
      <c r="A6209" t="s">
        <v>6</v>
      </c>
      <c r="B6209" t="s">
        <v>6214</v>
      </c>
      <c r="C6209">
        <f>HYPERLINK("C:\Users\franc\OneDrive\Documentos\MALENTIN KARIME\MANDATOS JUDICIALES\CHRISTIAN ROJAS CALDERON\NORTEANDINO.doc", "Abrir Documento")</f>
        <v>0</v>
      </c>
      <c r="D6209" t="s">
        <v>23500</v>
      </c>
      <c r="E6209" t="s">
        <v>28872</v>
      </c>
    </row>
    <row r="6210" spans="1:5">
      <c r="A6210" t="s">
        <v>6</v>
      </c>
      <c r="B6210" t="s">
        <v>6215</v>
      </c>
      <c r="C6210">
        <f>HYPERLINK("C:\Users\franc\OneDrive\Documentos\MALENTIN KARIME\MANDATOS JUDICIALES\CAROLINA MORALES VILLALON\SARA HERRERA OLEA.doc", "Abrir Documento")</f>
        <v>0</v>
      </c>
      <c r="D6210" t="s">
        <v>23500</v>
      </c>
      <c r="E6210" t="s">
        <v>28873</v>
      </c>
    </row>
    <row r="6211" spans="1:5">
      <c r="A6211" t="s">
        <v>6</v>
      </c>
      <c r="B6211" t="s">
        <v>6216</v>
      </c>
      <c r="C6211">
        <f>HYPERLINK("C:\Users\franc\OneDrive\Documentos\MALENTIN KARIME\MANDATOS JUDICIALES\CAROLINA ADAROS\WILSON ZEPEDA MICHEA.doc", "Abrir Documento")</f>
        <v>0</v>
      </c>
      <c r="D6211" t="s">
        <v>23500</v>
      </c>
      <c r="E6211" t="s">
        <v>28874</v>
      </c>
    </row>
    <row r="6212" spans="1:5">
      <c r="A6212" t="s">
        <v>6</v>
      </c>
      <c r="B6212" t="s">
        <v>6217</v>
      </c>
      <c r="C6212">
        <f>HYPERLINK("C:\Users\franc\OneDrive\Documentos\MALENTIN KARIME\MANDATOS JUDICIALES\CAROLINA ADAROS\TOMAS CARVAJAL 2017.doc", "Abrir Documento")</f>
        <v>0</v>
      </c>
      <c r="D6212" t="s">
        <v>23500</v>
      </c>
      <c r="E6212" t="s">
        <v>28875</v>
      </c>
    </row>
    <row r="6213" spans="1:5">
      <c r="A6213" t="s">
        <v>6</v>
      </c>
      <c r="B6213" t="s">
        <v>6218</v>
      </c>
      <c r="C6213">
        <f>HYPERLINK("C:\Users\franc\OneDrive\Documentos\MALENTIN KARIME\MANDATOS JUDICIALES\CAROLINA ADAROS\OSCAR ROJAS ARAYA.doc", "Abrir Documento")</f>
        <v>0</v>
      </c>
      <c r="D6213" t="s">
        <v>23500</v>
      </c>
      <c r="E6213" t="s">
        <v>28876</v>
      </c>
    </row>
    <row r="6214" spans="1:5">
      <c r="A6214" t="s">
        <v>6</v>
      </c>
      <c r="B6214" t="s">
        <v>6219</v>
      </c>
      <c r="C6214">
        <f>HYPERLINK("C:\Users\franc\OneDrive\Documentos\MALENTIN KARIME\MANDATOS JUDICIALES\CAROLINA ADAROS\MERCEDES ROBLES RIVERA.doc", "Abrir Documento")</f>
        <v>0</v>
      </c>
      <c r="D6214" t="s">
        <v>23500</v>
      </c>
      <c r="E6214" t="s">
        <v>28877</v>
      </c>
    </row>
    <row r="6215" spans="1:5">
      <c r="A6215" t="s">
        <v>6</v>
      </c>
      <c r="B6215" t="s">
        <v>6220</v>
      </c>
      <c r="C6215">
        <f>HYPERLINK("C:\Users\franc\OneDrive\Documentos\MALENTIN KARIME\MANDATOS JUDICIALES\CAROLINA ADAROS\MAURICIO SAAVEDRA.doc", "Abrir Documento")</f>
        <v>0</v>
      </c>
      <c r="D6215" t="s">
        <v>23500</v>
      </c>
      <c r="E6215" t="s">
        <v>28878</v>
      </c>
    </row>
    <row r="6216" spans="1:5">
      <c r="A6216" t="s">
        <v>6</v>
      </c>
      <c r="B6216" t="s">
        <v>6221</v>
      </c>
      <c r="C6216">
        <f>HYPERLINK("C:\Users\franc\OneDrive\Documentos\MALENTIN KARIME\MANDATOS JUDICIALES\CAROLINA ADAROS\JUAN ROJAS DIAZ.doc", "Abrir Documento")</f>
        <v>0</v>
      </c>
      <c r="D6216" t="s">
        <v>23500</v>
      </c>
      <c r="E6216" t="s">
        <v>28879</v>
      </c>
    </row>
    <row r="6217" spans="1:5">
      <c r="A6217" t="s">
        <v>6</v>
      </c>
      <c r="B6217" t="s">
        <v>6222</v>
      </c>
      <c r="C6217">
        <f>HYPERLINK("C:\Users\franc\OneDrive\Documentos\MALENTIN KARIME\MANDATOS JUDICIALES\CAROLINA ADAROS\JUAN CODOCEO CAMPOS Maria Marin Fernandez.doc", "Abrir Documento")</f>
        <v>0</v>
      </c>
      <c r="D6217" t="s">
        <v>23500</v>
      </c>
      <c r="E6217" t="s">
        <v>28880</v>
      </c>
    </row>
    <row r="6218" spans="1:5">
      <c r="A6218" t="s">
        <v>6</v>
      </c>
      <c r="B6218" t="s">
        <v>6223</v>
      </c>
      <c r="C6218">
        <f>HYPERLINK("C:\Users\franc\OneDrive\Documentos\MALENTIN KARIME\MANDATOS JUDICIALES\CAROLINA ADAROS\JOSE TABILO ARAYA.doc", "Abrir Documento")</f>
        <v>0</v>
      </c>
      <c r="D6218" t="s">
        <v>23500</v>
      </c>
      <c r="E6218" t="s">
        <v>28881</v>
      </c>
    </row>
    <row r="6219" spans="1:5">
      <c r="A6219" t="s">
        <v>6</v>
      </c>
      <c r="B6219" t="s">
        <v>6224</v>
      </c>
      <c r="C6219">
        <f>HYPERLINK("C:\Users\franc\OneDrive\Documentos\MALENTIN KARIME\MANDATOS JUDICIALES\CAROLINA ADAROS\JAVIER BARRAZA TABILO 2018.doc", "Abrir Documento")</f>
        <v>0</v>
      </c>
      <c r="D6219" t="s">
        <v>23500</v>
      </c>
      <c r="E6219" t="s">
        <v>28882</v>
      </c>
    </row>
    <row r="6220" spans="1:5">
      <c r="A6220" t="s">
        <v>6</v>
      </c>
      <c r="B6220" t="s">
        <v>6225</v>
      </c>
      <c r="C6220">
        <f>HYPERLINK("C:\Users\franc\OneDrive\Documentos\MALENTIN KARIME\MANDATOS JUDICIALES\CAROLINA ADAROS\JAQUELINE ALFARO 2016.doc", "Abrir Documento")</f>
        <v>0</v>
      </c>
      <c r="D6220" t="s">
        <v>23500</v>
      </c>
      <c r="E6220" t="s">
        <v>28883</v>
      </c>
    </row>
    <row r="6221" spans="1:5">
      <c r="A6221" t="s">
        <v>6</v>
      </c>
      <c r="B6221" t="s">
        <v>6226</v>
      </c>
      <c r="C6221">
        <f>HYPERLINK("C:\Users\franc\OneDrive\Documentos\MALENTIN KARIME\MANDATOS JUDICIALES\CAROLINA ADAROS\JACINTO ARANCIBIA mdto especial.doc", "Abrir Documento")</f>
        <v>0</v>
      </c>
      <c r="D6221" t="s">
        <v>23500</v>
      </c>
      <c r="E6221" t="s">
        <v>28884</v>
      </c>
    </row>
    <row r="6222" spans="1:5">
      <c r="A6222" t="s">
        <v>6</v>
      </c>
      <c r="B6222" t="s">
        <v>6227</v>
      </c>
      <c r="C6222">
        <f>HYPERLINK("C:\Users\franc\OneDrive\Documentos\MALENTIN KARIME\MANDATOS JUDICIALES\CAROLINA ADAROS\FELIX CORTES ORREGO 2017.doc", "Abrir Documento")</f>
        <v>0</v>
      </c>
      <c r="D6222" t="s">
        <v>23500</v>
      </c>
      <c r="E6222" t="s">
        <v>28885</v>
      </c>
    </row>
    <row r="6223" spans="1:5">
      <c r="A6223" t="s">
        <v>6</v>
      </c>
      <c r="B6223" t="s">
        <v>6228</v>
      </c>
      <c r="C6223">
        <f>HYPERLINK("C:\Users\franc\OneDrive\Documentos\MALENTIN KARIME\MANDATOS JUDICIALES\CAROL VERA HORMAZAVAL\CRISTIAN PARRA ISAMIT.doc", "Abrir Documento")</f>
        <v>0</v>
      </c>
      <c r="D6223" t="s">
        <v>23500</v>
      </c>
      <c r="E6223" t="s">
        <v>28886</v>
      </c>
    </row>
    <row r="6224" spans="1:5">
      <c r="A6224" t="s">
        <v>6</v>
      </c>
      <c r="B6224" t="s">
        <v>6229</v>
      </c>
      <c r="C6224">
        <f>HYPERLINK("C:\Users\franc\OneDrive\Documentos\MALENTIN KARIME\MANDATOS JUDICIALES\CAROLINA ADAROS\ARTURO OGALDE ARAYA 2018.doc", "Abrir Documento")</f>
        <v>0</v>
      </c>
      <c r="D6224" t="s">
        <v>23500</v>
      </c>
      <c r="E6224" t="s">
        <v>28886</v>
      </c>
    </row>
    <row r="6225" spans="1:5">
      <c r="A6225" t="s">
        <v>6</v>
      </c>
      <c r="B6225" t="s">
        <v>6230</v>
      </c>
      <c r="C6225">
        <f>HYPERLINK("C:\Users\franc\OneDrive\Documentos\MALENTIN KARIME\MANDATOS JUDICIALES\CARLOS TAGLE TASSO\JUAN GARCIA COLLAO.doc", "Abrir Documento")</f>
        <v>0</v>
      </c>
      <c r="D6225" t="s">
        <v>23500</v>
      </c>
      <c r="E6225" t="s">
        <v>28887</v>
      </c>
    </row>
    <row r="6226" spans="1:5">
      <c r="A6226" t="s">
        <v>6</v>
      </c>
      <c r="B6226" t="s">
        <v>6231</v>
      </c>
      <c r="C6226">
        <f>HYPERLINK("C:\Users\franc\OneDrive\Documentos\MALENTIN KARIME\MANDATOS JUDICIALES\CARLOS TABILO CONTRERAS\PEDRO CANALES.doc", "Abrir Documento")</f>
        <v>0</v>
      </c>
      <c r="D6226" t="s">
        <v>23500</v>
      </c>
      <c r="E6226" t="s">
        <v>28888</v>
      </c>
    </row>
    <row r="6227" spans="1:5">
      <c r="A6227" t="s">
        <v>6</v>
      </c>
      <c r="B6227" t="s">
        <v>6232</v>
      </c>
      <c r="C6227">
        <f>HYPERLINK("C:\Users\franc\OneDrive\Documentos\MALENTIN KARIME\MANDATOS JUDICIALES\CARLOS TABILO CONTRERAS\CLUB DE RODEO OVALLE.doc", "Abrir Documento")</f>
        <v>0</v>
      </c>
      <c r="D6227" t="s">
        <v>23500</v>
      </c>
      <c r="E6227" t="s">
        <v>28889</v>
      </c>
    </row>
    <row r="6228" spans="1:5">
      <c r="A6228" t="s">
        <v>6</v>
      </c>
      <c r="B6228" t="s">
        <v>6233</v>
      </c>
      <c r="C6228">
        <f>HYPERLINK("C:\Users\franc\OneDrive\Documentos\MALENTIN KARIME\MANDATOS JUDICIALES\CARLOS MIRANDA\SEBASTIAN VILLAGRA.doc", "Abrir Documento")</f>
        <v>0</v>
      </c>
      <c r="D6228" t="s">
        <v>23500</v>
      </c>
      <c r="E6228" t="s">
        <v>28890</v>
      </c>
    </row>
    <row r="6229" spans="1:5">
      <c r="A6229" t="s">
        <v>6</v>
      </c>
      <c r="B6229" t="s">
        <v>6234</v>
      </c>
      <c r="C6229">
        <f>HYPERLINK("C:\Users\franc\OneDrive\Documentos\MALENTIN KARIME\MANDATOS JUDICIALES\CARLOS SAEZ\FERNANDO ARDILES.doc", "Abrir Documento")</f>
        <v>0</v>
      </c>
      <c r="D6229" t="s">
        <v>23500</v>
      </c>
      <c r="E6229" t="s">
        <v>28890</v>
      </c>
    </row>
    <row r="6230" spans="1:5">
      <c r="A6230" t="s">
        <v>6</v>
      </c>
      <c r="B6230" t="s">
        <v>6235</v>
      </c>
      <c r="C6230">
        <f>HYPERLINK("C:\Users\franc\OneDrive\Documentos\MALENTIN KARIME\MANDATOS JUDICIALES\CARLOS MIRANDA\BRAYAN SILVA.doc", "Abrir Documento")</f>
        <v>0</v>
      </c>
      <c r="D6230" t="s">
        <v>23500</v>
      </c>
      <c r="E6230" t="s">
        <v>28891</v>
      </c>
    </row>
    <row r="6231" spans="1:5">
      <c r="A6231" t="s">
        <v>6</v>
      </c>
      <c r="B6231" t="s">
        <v>6236</v>
      </c>
      <c r="C6231">
        <f>HYPERLINK("C:\Users\franc\OneDrive\Documentos\MALENTIN KARIME\MANDATOS JUDICIALES\CARLA MORENO\SOC. COM TREMENDO.doc", "Abrir Documento")</f>
        <v>0</v>
      </c>
      <c r="D6231" t="s">
        <v>23500</v>
      </c>
      <c r="E6231" t="s">
        <v>28892</v>
      </c>
    </row>
    <row r="6232" spans="1:5">
      <c r="A6232" t="s">
        <v>6</v>
      </c>
      <c r="B6232" t="s">
        <v>6237</v>
      </c>
      <c r="C6232">
        <f>HYPERLINK("C:\Users\franc\OneDrive\Documentos\MALENTIN KARIME\MANDATOS JUDICIALES\CARLA MORENO\CESAR CISTERNAS.doc", "Abrir Documento")</f>
        <v>0</v>
      </c>
      <c r="D6232" t="s">
        <v>23500</v>
      </c>
      <c r="E6232" t="s">
        <v>28893</v>
      </c>
    </row>
    <row r="6233" spans="1:5">
      <c r="A6233" t="s">
        <v>6</v>
      </c>
      <c r="B6233" t="s">
        <v>6238</v>
      </c>
      <c r="C6233">
        <f>HYPERLINK("C:\Users\franc\OneDrive\Documentos\MALENTIN KARIME\MANDATOS JUDICIALES\BORIS MONARDES\SOCIEDAD SERVICIOS INFORMATICOS Y COMPUTACIONALES LMARI.doc", "Abrir Documento")</f>
        <v>0</v>
      </c>
      <c r="D6233" t="s">
        <v>23500</v>
      </c>
      <c r="E6233" t="s">
        <v>28894</v>
      </c>
    </row>
    <row r="6234" spans="1:5">
      <c r="A6234" t="s">
        <v>6</v>
      </c>
      <c r="B6234" t="s">
        <v>6239</v>
      </c>
      <c r="C6234">
        <f>HYPERLINK("C:\Users\franc\OneDrive\Documentos\MALENTIN KARIME\MANDATOS JUDICIALES\BORIS MONARDES\PEDRO VERGARA.doc", "Abrir Documento")</f>
        <v>0</v>
      </c>
      <c r="D6234" t="s">
        <v>23500</v>
      </c>
      <c r="E6234" t="s">
        <v>28895</v>
      </c>
    </row>
    <row r="6235" spans="1:5">
      <c r="A6235" t="s">
        <v>6</v>
      </c>
      <c r="B6235" t="s">
        <v>6240</v>
      </c>
      <c r="C6235">
        <f>HYPERLINK("C:\Users\franc\OneDrive\Documentos\MALENTIN KARIME\MANDATOS JUDICIALES\BORIS MONARDES\JOCELYN BARRAZA 2019.doc", "Abrir Documento")</f>
        <v>0</v>
      </c>
      <c r="D6235" t="s">
        <v>23500</v>
      </c>
      <c r="E6235" t="s">
        <v>28896</v>
      </c>
    </row>
    <row r="6236" spans="1:5">
      <c r="A6236" t="s">
        <v>6</v>
      </c>
      <c r="B6236" t="s">
        <v>6241</v>
      </c>
      <c r="C6236">
        <f>HYPERLINK("C:\Users\franc\OneDrive\Documentos\MALENTIN KARIME\MANDATOS JUDICIALES\BORIS MONARDES\JOCELYN BARRAZA 2018.doc", "Abrir Documento")</f>
        <v>0</v>
      </c>
      <c r="D6236" t="s">
        <v>23500</v>
      </c>
      <c r="E6236" t="s">
        <v>28897</v>
      </c>
    </row>
    <row r="6237" spans="1:5">
      <c r="A6237" t="s">
        <v>6</v>
      </c>
      <c r="B6237" t="s">
        <v>6242</v>
      </c>
      <c r="C6237">
        <f>HYPERLINK("C:\Users\franc\OneDrive\Documentos\MALENTIN KARIME\MANDATOS JUDICIALES\BORIS MONARDES\CARLOS BUGUEÑO CISTERNAS.doc", "Abrir Documento")</f>
        <v>0</v>
      </c>
      <c r="D6237" t="s">
        <v>23500</v>
      </c>
      <c r="E6237" t="s">
        <v>28898</v>
      </c>
    </row>
    <row r="6238" spans="1:5">
      <c r="A6238" t="s">
        <v>6</v>
      </c>
      <c r="B6238" t="s">
        <v>6243</v>
      </c>
      <c r="C6238">
        <f>HYPERLINK("C:\Users\franc\OneDrive\Documentos\MALENTIN KARIME\MANDATOS JUDICIALES\BORIS MONARDES\ANA BENAVENTE.doc", "Abrir Documento")</f>
        <v>0</v>
      </c>
      <c r="D6238" t="s">
        <v>23500</v>
      </c>
      <c r="E6238" t="s">
        <v>28899</v>
      </c>
    </row>
    <row r="6239" spans="1:5">
      <c r="A6239" t="s">
        <v>6</v>
      </c>
      <c r="B6239" t="s">
        <v>6244</v>
      </c>
      <c r="C6239">
        <f>HYPERLINK("C:\Users\franc\OneDrive\Documentos\MALENTIN KARIME\MANDATOS JUDICIALES\BERNARDITA ORELLANA\VICTOR GRANDON DIAZ.doc", "Abrir Documento")</f>
        <v>0</v>
      </c>
      <c r="D6239" t="s">
        <v>23500</v>
      </c>
      <c r="E6239" t="s">
        <v>28900</v>
      </c>
    </row>
    <row r="6240" spans="1:5">
      <c r="A6240" t="s">
        <v>6</v>
      </c>
      <c r="B6240" t="s">
        <v>6245</v>
      </c>
      <c r="C6240">
        <f>HYPERLINK("C:\Users\franc\OneDrive\Documentos\MALENTIN KARIME\MANDATOS JUDICIALES\BERNARDITA ORELLANA\PATRICIO AGUILERA DIAZ A bernardita orellana.doc", "Abrir Documento")</f>
        <v>0</v>
      </c>
      <c r="D6240" t="s">
        <v>23500</v>
      </c>
      <c r="E6240" t="s">
        <v>28901</v>
      </c>
    </row>
    <row r="6241" spans="1:5">
      <c r="A6241" t="s">
        <v>6</v>
      </c>
      <c r="B6241" t="s">
        <v>6246</v>
      </c>
      <c r="C6241">
        <f>HYPERLINK("C:\Users\franc\OneDrive\Documentos\MALENTIN KARIME\MANDATOS JUDICIALES\ANDRES AGUILERA YCAROLINA\CARMEN CASTILLO 2017.doc", "Abrir Documento")</f>
        <v>0</v>
      </c>
      <c r="D6241" t="s">
        <v>23500</v>
      </c>
      <c r="E6241" t="s">
        <v>28902</v>
      </c>
    </row>
    <row r="6242" spans="1:5">
      <c r="A6242" t="s">
        <v>6</v>
      </c>
      <c r="B6242" t="s">
        <v>6247</v>
      </c>
      <c r="C6242">
        <f>HYPERLINK("C:\Users\franc\OneDrive\Documentos\MALENTIN KARIME\MANDATOS JUDICIALES\ANDRES AGUILERA YCAROLINA\ADOLFO CORTES JILES.doc", "Abrir Documento")</f>
        <v>0</v>
      </c>
      <c r="D6242" t="s">
        <v>23500</v>
      </c>
      <c r="E6242" t="s">
        <v>28903</v>
      </c>
    </row>
    <row r="6243" spans="1:5">
      <c r="A6243" t="s">
        <v>6</v>
      </c>
      <c r="B6243" t="s">
        <v>6248</v>
      </c>
      <c r="C6243">
        <f>HYPERLINK("C:\Users\franc\OneDrive\Documentos\MALENTIN KARIME\MANDATOS JUDICIALES\ANDRES AGUILERA Y ROBIN\2017\SOCIEDAD EDUCACIONAL PARVUS.doc", "Abrir Documento")</f>
        <v>0</v>
      </c>
      <c r="D6243" t="s">
        <v>23500</v>
      </c>
      <c r="E6243" t="s">
        <v>28904</v>
      </c>
    </row>
    <row r="6244" spans="1:5">
      <c r="A6244" t="s">
        <v>6</v>
      </c>
      <c r="B6244" t="s">
        <v>6249</v>
      </c>
      <c r="C6244">
        <f>HYPERLINK("C:\Users\franc\OneDrive\Documentos\MALENTIN KARIME\MANDATOS JUDICIALES\ANDRES AGUILERA YCAROLINA\ABRAHAM MUNDACA.doc", "Abrir Documento")</f>
        <v>0</v>
      </c>
      <c r="D6244" t="s">
        <v>23500</v>
      </c>
      <c r="E6244" t="s">
        <v>28904</v>
      </c>
    </row>
    <row r="6245" spans="1:5">
      <c r="A6245" t="s">
        <v>6</v>
      </c>
      <c r="B6245" t="s">
        <v>6250</v>
      </c>
      <c r="C6245">
        <f>HYPERLINK("C:\Users\franc\OneDrive\Documentos\MALENTIN KARIME\MANDATOS JUDICIALES\ANDRES AGUILERA Y ROBIN\2017\MARCELO REINOSO.doc", "Abrir Documento")</f>
        <v>0</v>
      </c>
      <c r="D6245" t="s">
        <v>23500</v>
      </c>
      <c r="E6245" t="s">
        <v>28905</v>
      </c>
    </row>
    <row r="6246" spans="1:5">
      <c r="A6246" t="s">
        <v>6</v>
      </c>
      <c r="B6246" t="s">
        <v>6251</v>
      </c>
      <c r="C6246">
        <f>HYPERLINK("C:\Users\franc\OneDrive\Documentos\MALENTIN KARIME\MANDATOS JUDICIALES\ANDRES AGUILERA Y ROBIN\2017\MARCELO REINOSO A ANDRES AGUILERA 2017.doc", "Abrir Documento")</f>
        <v>0</v>
      </c>
      <c r="D6246" t="s">
        <v>23500</v>
      </c>
      <c r="E6246" t="s">
        <v>28906</v>
      </c>
    </row>
    <row r="6247" spans="1:5">
      <c r="A6247" t="s">
        <v>6</v>
      </c>
      <c r="B6247" t="s">
        <v>6252</v>
      </c>
      <c r="C6247">
        <f>HYPERLINK("C:\Users\franc\OneDrive\Documentos\MALENTIN KARIME\MANDATOS JUDICIALES\ANDRES AGUILERA Y ROBIN\2017\JAIME PLAZA TORRES.doc", "Abrir Documento")</f>
        <v>0</v>
      </c>
      <c r="D6247" t="s">
        <v>23500</v>
      </c>
      <c r="E6247" t="s">
        <v>28907</v>
      </c>
    </row>
    <row r="6248" spans="1:5">
      <c r="A6248" t="s">
        <v>6</v>
      </c>
      <c r="B6248" t="s">
        <v>6253</v>
      </c>
      <c r="C6248">
        <f>HYPERLINK("C:\Users\franc\OneDrive\Documentos\MALENTIN KARIME\MANDATOS JUDICIALES\ANDRES AGUILERA Y ROBIN\2017\HECTOR CASTILLO}.doc", "Abrir Documento")</f>
        <v>0</v>
      </c>
      <c r="D6248" t="s">
        <v>23500</v>
      </c>
      <c r="E6248" t="s">
        <v>28908</v>
      </c>
    </row>
    <row r="6249" spans="1:5">
      <c r="A6249" t="s">
        <v>6</v>
      </c>
      <c r="B6249" t="s">
        <v>6254</v>
      </c>
      <c r="C6249">
        <f>HYPERLINK("C:\Users\franc\OneDrive\Documentos\MALENTIN KARIME\MANDATOS JUDICIALES\ANDRES AGUILERA Y ROBIN\2017\ALEX DIAZ CAMPUSANO A ANDRES AGUILERA 2017.doc", "Abrir Documento")</f>
        <v>0</v>
      </c>
      <c r="D6249" t="s">
        <v>23500</v>
      </c>
      <c r="E6249" t="s">
        <v>28909</v>
      </c>
    </row>
    <row r="6250" spans="1:5">
      <c r="A6250" t="s">
        <v>6</v>
      </c>
      <c r="B6250" t="s">
        <v>6255</v>
      </c>
      <c r="C6250">
        <f>HYPERLINK("C:\Users\franc\OneDrive\Documentos\MALENTIN KARIME\MANDATOS JUDICIALES\ANDRES AGUILERA Y ROBIN\2017\ALBERTO MARIN MUÑOZ 2018.doc", "Abrir Documento")</f>
        <v>0</v>
      </c>
      <c r="D6250" t="s">
        <v>23500</v>
      </c>
      <c r="E6250" t="s">
        <v>28910</v>
      </c>
    </row>
    <row r="6251" spans="1:5">
      <c r="A6251" t="s">
        <v>6</v>
      </c>
      <c r="B6251" t="s">
        <v>6256</v>
      </c>
      <c r="C6251">
        <f>HYPERLINK("C:\Users\franc\OneDrive\Documentos\MALENTIN KARIME\MANDATOS JUDICIALES\ANDRES AGUILERA Y ROBIN\2016\MAXIMO MUÑOZ 2016.doc", "Abrir Documento")</f>
        <v>0</v>
      </c>
      <c r="D6251" t="s">
        <v>23500</v>
      </c>
      <c r="E6251" t="s">
        <v>28911</v>
      </c>
    </row>
    <row r="6252" spans="1:5">
      <c r="A6252" t="s">
        <v>6</v>
      </c>
      <c r="B6252" t="s">
        <v>6257</v>
      </c>
      <c r="C6252">
        <f>HYPERLINK("C:\Users\franc\OneDrive\Documentos\MALENTIN KARIME\MANDATOS JUDICIALES\ANDRES AGUILERA Y ROBIN\2016\FABRICIO GONZALEZ A ANDRES AGUILERA SOLO.doc", "Abrir Documento")</f>
        <v>0</v>
      </c>
      <c r="D6252" t="s">
        <v>23500</v>
      </c>
      <c r="E6252" t="s">
        <v>28912</v>
      </c>
    </row>
    <row r="6253" spans="1:5">
      <c r="A6253" t="s">
        <v>6</v>
      </c>
      <c r="B6253" t="s">
        <v>6258</v>
      </c>
      <c r="C6253">
        <f>HYPERLINK("C:\Users\franc\OneDrive\Documentos\MALENTIN KARIME\MANDATOS JUDICIALES\ANDRES AGUILERA Y ROBIN\2016\ANGELICA ESPOZ 2016.doc", "Abrir Documento")</f>
        <v>0</v>
      </c>
      <c r="D6253" t="s">
        <v>23500</v>
      </c>
      <c r="E6253" t="s">
        <v>28913</v>
      </c>
    </row>
    <row r="6254" spans="1:5">
      <c r="A6254" t="s">
        <v>6</v>
      </c>
      <c r="B6254" t="s">
        <v>6259</v>
      </c>
      <c r="C6254">
        <f>HYPERLINK("C:\Users\franc\OneDrive\Documentos\MALENTIN KARIME\MANDATOS JUDICIALES\ANDRES AGUILERA Y ROBIN\2016\ANGELICA ESPOZ  abogado.doc", "Abrir Documento")</f>
        <v>0</v>
      </c>
      <c r="D6254" t="s">
        <v>23500</v>
      </c>
      <c r="E6254" t="s">
        <v>28914</v>
      </c>
    </row>
    <row r="6255" spans="1:5">
      <c r="A6255" t="s">
        <v>6</v>
      </c>
      <c r="B6255" t="s">
        <v>6260</v>
      </c>
      <c r="C6255">
        <f>HYPERLINK("C:\Users\franc\OneDrive\Documentos\MALENTIN KARIME\MANDATOS JUDICIALES\ANDRES AGUILERA Y ROBIN\2016\ALEXIS TRIGO.doc", "Abrir Documento")</f>
        <v>0</v>
      </c>
      <c r="D6255" t="s">
        <v>23500</v>
      </c>
      <c r="E6255" t="s">
        <v>28915</v>
      </c>
    </row>
    <row r="6256" spans="1:5">
      <c r="A6256" t="s">
        <v>6</v>
      </c>
      <c r="B6256" t="s">
        <v>6261</v>
      </c>
      <c r="C6256">
        <f>HYPERLINK("C:\Users\franc\OneDrive\Documentos\MALENTIN KARIME\MANDATOS JUDICIALES\ANDRES AGUILERA Y ROBIN\XIMENA ROJAS MUNIZAGA Y OTRO 2015.doc", "Abrir Documento")</f>
        <v>0</v>
      </c>
      <c r="D6256" t="s">
        <v>23500</v>
      </c>
      <c r="E6256" t="s">
        <v>28916</v>
      </c>
    </row>
    <row r="6257" spans="1:5">
      <c r="A6257" t="s">
        <v>6</v>
      </c>
      <c r="B6257" t="s">
        <v>6262</v>
      </c>
      <c r="C6257">
        <f>HYPERLINK("C:\Users\franc\OneDrive\Documentos\MALENTIN KARIME\MANDATOS JUDICIALES\ANDRES AGUILERA Y ROBIN\WILLIAM CASTRO.doc", "Abrir Documento")</f>
        <v>0</v>
      </c>
      <c r="D6257" t="s">
        <v>23500</v>
      </c>
      <c r="E6257" t="s">
        <v>28917</v>
      </c>
    </row>
    <row r="6258" spans="1:5">
      <c r="A6258" t="s">
        <v>6</v>
      </c>
      <c r="B6258" t="s">
        <v>6263</v>
      </c>
      <c r="C6258">
        <f>HYPERLINK("C:\Users\franc\OneDrive\Documentos\MALENTIN KARIME\MANDATOS JUDICIALES\ANDRES AGUILERA Y ROBIN\SUSANA VALDES OLIVARES.doc", "Abrir Documento")</f>
        <v>0</v>
      </c>
      <c r="D6258" t="s">
        <v>23500</v>
      </c>
      <c r="E6258" t="s">
        <v>28918</v>
      </c>
    </row>
    <row r="6259" spans="1:5">
      <c r="A6259" t="s">
        <v>6</v>
      </c>
      <c r="B6259" t="s">
        <v>6264</v>
      </c>
      <c r="C6259">
        <f>HYPERLINK("C:\Users\franc\OneDrive\Documentos\MALENTIN KARIME\MANDATOS JUDICIALES\ANDRES AGUILERA Y ROBIN\SARASWATI HARRIS.doc", "Abrir Documento")</f>
        <v>0</v>
      </c>
      <c r="D6259" t="s">
        <v>23500</v>
      </c>
      <c r="E6259" t="s">
        <v>28919</v>
      </c>
    </row>
    <row r="6260" spans="1:5">
      <c r="A6260" t="s">
        <v>6</v>
      </c>
      <c r="B6260" t="s">
        <v>6265</v>
      </c>
      <c r="C6260">
        <f>HYPERLINK("C:\Users\franc\OneDrive\Documentos\MALENTIN KARIME\MANDATOS JUDICIALES\ANDRES AGUILERA Y ROBIN\PATRICIO ROJAS.doc", "Abrir Documento")</f>
        <v>0</v>
      </c>
      <c r="D6260" t="s">
        <v>23500</v>
      </c>
      <c r="E6260" t="s">
        <v>28920</v>
      </c>
    </row>
    <row r="6261" spans="1:5">
      <c r="A6261" t="s">
        <v>6</v>
      </c>
      <c r="B6261" t="s">
        <v>6266</v>
      </c>
      <c r="C6261">
        <f>HYPERLINK("C:\Users\franc\OneDrive\Documentos\MALENTIN KARIME\MANDATOS JUDICIALES\ANDRES AGUILERA Y ROBIN\RAFAEL CONTRERAS FLORES 2015.doc", "Abrir Documento")</f>
        <v>0</v>
      </c>
      <c r="D6261" t="s">
        <v>23500</v>
      </c>
      <c r="E6261" t="s">
        <v>28920</v>
      </c>
    </row>
    <row r="6262" spans="1:5">
      <c r="A6262" t="s">
        <v>6</v>
      </c>
      <c r="B6262" t="s">
        <v>6267</v>
      </c>
      <c r="C6262">
        <f>HYPERLINK("C:\Users\franc\OneDrive\Documentos\MALENTIN KARIME\MANDATOS JUDICIALES\ANDRES AGUILERA Y ROBIN\PATRICIO ROJAS ROJAS.doc", "Abrir Documento")</f>
        <v>0</v>
      </c>
      <c r="D6262" t="s">
        <v>23500</v>
      </c>
      <c r="E6262" t="s">
        <v>28921</v>
      </c>
    </row>
    <row r="6263" spans="1:5">
      <c r="A6263" t="s">
        <v>6</v>
      </c>
      <c r="B6263" t="s">
        <v>6268</v>
      </c>
      <c r="C6263">
        <f>HYPERLINK("C:\Users\franc\OneDrive\Documentos\MALENTIN KARIME\MANDATOS JUDICIALES\ANDRES AGUILERA Y ROBIN\modelo 2015.doc", "Abrir Documento")</f>
        <v>0</v>
      </c>
      <c r="D6263" t="s">
        <v>23500</v>
      </c>
      <c r="E6263" t="s">
        <v>28922</v>
      </c>
    </row>
    <row r="6264" spans="1:5">
      <c r="A6264" t="s">
        <v>6</v>
      </c>
      <c r="B6264" t="s">
        <v>6269</v>
      </c>
      <c r="C6264">
        <f>HYPERLINK("C:\Users\franc\OneDrive\Documentos\MALENTIN KARIME\MANDATOS JUDICIALES\ANDRES AGUILERA Y ROBIN\MIRKO MOLINA.doc", "Abrir Documento")</f>
        <v>0</v>
      </c>
      <c r="D6264" t="s">
        <v>23500</v>
      </c>
      <c r="E6264" t="s">
        <v>28923</v>
      </c>
    </row>
    <row r="6265" spans="1:5">
      <c r="A6265" t="s">
        <v>6</v>
      </c>
      <c r="B6265" t="s">
        <v>6270</v>
      </c>
      <c r="C6265">
        <f>HYPERLINK("C:\Users\franc\OneDrive\Documentos\MALENTIN KARIME\MANDATOS JUDICIALES\ANDRES AGUILERA Y ROBIN\Mauricio Maturana 2015.doc", "Abrir Documento")</f>
        <v>0</v>
      </c>
      <c r="D6265" t="s">
        <v>23500</v>
      </c>
      <c r="E6265" t="s">
        <v>28924</v>
      </c>
    </row>
    <row r="6266" spans="1:5">
      <c r="A6266" t="s">
        <v>6</v>
      </c>
      <c r="B6266" t="s">
        <v>6271</v>
      </c>
      <c r="C6266">
        <f>HYPERLINK("C:\Users\franc\OneDrive\Documentos\MALENTIN KARIME\MANDATOS JUDICIALES\ANDRES AGUILERA Y ROBIN\MANUEL ROCO RAMOS.doc", "Abrir Documento")</f>
        <v>0</v>
      </c>
      <c r="D6266" t="s">
        <v>23500</v>
      </c>
      <c r="E6266" t="s">
        <v>28925</v>
      </c>
    </row>
    <row r="6267" spans="1:5">
      <c r="A6267" t="s">
        <v>6</v>
      </c>
      <c r="B6267" t="s">
        <v>6272</v>
      </c>
      <c r="C6267">
        <f>HYPERLINK("C:\Users\franc\OneDrive\Documentos\MALENTIN KARIME\MANDATOS JUDICIALES\ANDRES AGUILERA Y ROBIN\MANUEL CERDA CARRASCO 2015.doc", "Abrir Documento")</f>
        <v>0</v>
      </c>
      <c r="D6267" t="s">
        <v>23500</v>
      </c>
      <c r="E6267" t="s">
        <v>28926</v>
      </c>
    </row>
    <row r="6268" spans="1:5">
      <c r="A6268" t="s">
        <v>6</v>
      </c>
      <c r="B6268" t="s">
        <v>6273</v>
      </c>
      <c r="C6268">
        <f>HYPERLINK("C:\Users\franc\OneDrive\Documentos\MALENTIN KARIME\MANDATOS JUDICIALES\ANDRES AGUILERA Y ROBIN\LUIS OCHOA CORTSE.doc", "Abrir Documento")</f>
        <v>0</v>
      </c>
      <c r="D6268" t="s">
        <v>23500</v>
      </c>
      <c r="E6268" t="s">
        <v>28927</v>
      </c>
    </row>
    <row r="6269" spans="1:5">
      <c r="A6269" t="s">
        <v>6</v>
      </c>
      <c r="B6269" t="s">
        <v>6274</v>
      </c>
      <c r="C6269">
        <f>HYPERLINK("C:\Users\franc\OneDrive\Documentos\MALENTIN KARIME\MANDATOS JUDICIALES\ANDRES AGUILERA Y ROBIN\KATHERINE CASTRO.doc", "Abrir Documento")</f>
        <v>0</v>
      </c>
      <c r="D6269" t="s">
        <v>23500</v>
      </c>
      <c r="E6269" t="s">
        <v>28928</v>
      </c>
    </row>
    <row r="6270" spans="1:5">
      <c r="A6270" t="s">
        <v>6</v>
      </c>
      <c r="B6270" t="s">
        <v>6275</v>
      </c>
      <c r="C6270">
        <f>HYPERLINK("C:\Users\franc\OneDrive\Documentos\MALENTIN KARIME\MANDATOS JUDICIALES\ANDRES AGUILERA Y ROBIN\JUAN CORDERO PEÑA.doc", "Abrir Documento")</f>
        <v>0</v>
      </c>
      <c r="D6270" t="s">
        <v>23500</v>
      </c>
      <c r="E6270" t="s">
        <v>28929</v>
      </c>
    </row>
    <row r="6271" spans="1:5">
      <c r="A6271" t="s">
        <v>6</v>
      </c>
      <c r="B6271" t="s">
        <v>6276</v>
      </c>
      <c r="C6271">
        <f>HYPERLINK("C:\Users\franc\OneDrive\Documentos\MALENTIN KARIME\MANDATOS JUDICIALES\ANDRES AGUILERA Y ROBIN\JOSE ESTAY VILCHES.doc", "Abrir Documento")</f>
        <v>0</v>
      </c>
      <c r="D6271" t="s">
        <v>23500</v>
      </c>
      <c r="E6271" t="s">
        <v>28930</v>
      </c>
    </row>
    <row r="6272" spans="1:5">
      <c r="A6272" t="s">
        <v>6</v>
      </c>
      <c r="B6272" t="s">
        <v>6277</v>
      </c>
      <c r="C6272">
        <f>HYPERLINK("C:\Users\franc\OneDrive\Documentos\MALENTIN KARIME\MANDATOS JUDICIALES\ANDRES AGUILERA Y ROBIN\JESSICA BRUNA CHACANA.doc", "Abrir Documento")</f>
        <v>0</v>
      </c>
      <c r="D6272" t="s">
        <v>23500</v>
      </c>
      <c r="E6272" t="s">
        <v>28931</v>
      </c>
    </row>
    <row r="6273" spans="1:5">
      <c r="A6273" t="s">
        <v>6</v>
      </c>
      <c r="B6273" t="s">
        <v>6278</v>
      </c>
      <c r="C6273">
        <f>HYPERLINK("C:\Users\franc\OneDrive\Documentos\MALENTIN KARIME\MANDATOS JUDICIALES\ANDRES AGUILERA Y ROBIN\JAIME CONTRERAS MORALES 2015.doc", "Abrir Documento")</f>
        <v>0</v>
      </c>
      <c r="D6273" t="s">
        <v>23500</v>
      </c>
      <c r="E6273" t="s">
        <v>28932</v>
      </c>
    </row>
    <row r="6274" spans="1:5">
      <c r="A6274" t="s">
        <v>6</v>
      </c>
      <c r="B6274" t="s">
        <v>6279</v>
      </c>
      <c r="C6274">
        <f>HYPERLINK("C:\Users\franc\OneDrive\Documentos\MALENTIN KARIME\MANDATOS JUDICIALES\ANDRES AGUILERA Y ROBIN\GLORIA CISTERNAS ARIAS.doc", "Abrir Documento")</f>
        <v>0</v>
      </c>
      <c r="D6274" t="s">
        <v>23500</v>
      </c>
      <c r="E6274" t="s">
        <v>28933</v>
      </c>
    </row>
    <row r="6275" spans="1:5">
      <c r="A6275" t="s">
        <v>6</v>
      </c>
      <c r="B6275" t="s">
        <v>6280</v>
      </c>
      <c r="C6275">
        <f>HYPERLINK("C:\Users\franc\OneDrive\Documentos\MALENTIN KARIME\MANDATOS JUDICIALES\ANDRES AGUILERA Y ROBIN\GLADYS ROMERO Menores.doc", "Abrir Documento")</f>
        <v>0</v>
      </c>
      <c r="D6275" t="s">
        <v>23500</v>
      </c>
      <c r="E6275" t="s">
        <v>28934</v>
      </c>
    </row>
    <row r="6276" spans="1:5">
      <c r="A6276" t="s">
        <v>6</v>
      </c>
      <c r="B6276" t="s">
        <v>6281</v>
      </c>
      <c r="C6276">
        <f>HYPERLINK("C:\Users\franc\OneDrive\Documentos\MALENTIN KARIME\MANDATOS JUDICIALES\ANDRES AGUILERA Y ROBIN\EDGARDO GOMEZ ROMERO.doc", "Abrir Documento")</f>
        <v>0</v>
      </c>
      <c r="D6276" t="s">
        <v>23500</v>
      </c>
      <c r="E6276" t="s">
        <v>28935</v>
      </c>
    </row>
    <row r="6277" spans="1:5">
      <c r="A6277" t="s">
        <v>6</v>
      </c>
      <c r="B6277" t="s">
        <v>6282</v>
      </c>
      <c r="C6277">
        <f>HYPERLINK("C:\Users\franc\OneDrive\Documentos\MALENTIN KARIME\MANDATOS JUDICIALES\ANDRES AGUILERA Y ROBIN\FERNADA SALFATE.doc", "Abrir Documento")</f>
        <v>0</v>
      </c>
      <c r="D6277" t="s">
        <v>23500</v>
      </c>
      <c r="E6277" t="s">
        <v>28935</v>
      </c>
    </row>
    <row r="6278" spans="1:5">
      <c r="A6278" t="s">
        <v>6</v>
      </c>
      <c r="B6278" t="s">
        <v>6283</v>
      </c>
      <c r="C6278">
        <f>HYPERLINK("C:\Users\franc\OneDrive\Documentos\MALENTIN KARIME\MANDATOS JUDICIALES\ANDRES AGUILERA Y ROBIN\DARWIN GUERRERO.doc", "Abrir Documento")</f>
        <v>0</v>
      </c>
      <c r="D6278" t="s">
        <v>23500</v>
      </c>
      <c r="E6278" t="s">
        <v>28936</v>
      </c>
    </row>
    <row r="6279" spans="1:5">
      <c r="A6279" t="s">
        <v>6</v>
      </c>
      <c r="B6279" t="s">
        <v>6284</v>
      </c>
      <c r="C6279">
        <f>HYPERLINK("C:\Users\franc\OneDrive\Documentos\MALENTIN KARIME\MANDATOS JUDICIALES\ANDRES AGUILERA Y ROBIN\CRISTIAN MAYO HENRIQUEZ.doc", "Abrir Documento")</f>
        <v>0</v>
      </c>
      <c r="D6279" t="s">
        <v>23500</v>
      </c>
      <c r="E6279" t="s">
        <v>28937</v>
      </c>
    </row>
    <row r="6280" spans="1:5">
      <c r="A6280" t="s">
        <v>6</v>
      </c>
      <c r="B6280" t="s">
        <v>6285</v>
      </c>
      <c r="C6280">
        <f>HYPERLINK("C:\Users\franc\OneDrive\Documentos\MALENTIN KARIME\MANDATOS JUDICIALES\ANDRES AGUILERA Y ROBIN\CLEMENTE FUENTEALBA.doc", "Abrir Documento")</f>
        <v>0</v>
      </c>
      <c r="D6280" t="s">
        <v>23500</v>
      </c>
      <c r="E6280" t="s">
        <v>28938</v>
      </c>
    </row>
    <row r="6281" spans="1:5">
      <c r="A6281" t="s">
        <v>6</v>
      </c>
      <c r="B6281" t="s">
        <v>6286</v>
      </c>
      <c r="C6281">
        <f>HYPERLINK("C:\Users\franc\OneDrive\Documentos\MALENTIN KARIME\MANDATOS JUDICIALES\ANDRES AGUILERA Y ROBIN\CLAUDIO RIOS REYES.doc", "Abrir Documento")</f>
        <v>0</v>
      </c>
      <c r="D6281" t="s">
        <v>23500</v>
      </c>
      <c r="E6281" t="s">
        <v>28939</v>
      </c>
    </row>
    <row r="6282" spans="1:5">
      <c r="A6282" t="s">
        <v>6</v>
      </c>
      <c r="B6282" t="s">
        <v>6287</v>
      </c>
      <c r="C6282">
        <f>HYPERLINK("C:\Users\franc\OneDrive\Documentos\MALENTIN KARIME\MANDATOS JUDICIALES\ANDRES AGUILERA Y ROBIN\ARTURO ZEPEDA ROJAS.doc", "Abrir Documento")</f>
        <v>0</v>
      </c>
      <c r="D6282" t="s">
        <v>23500</v>
      </c>
      <c r="E6282" t="s">
        <v>28940</v>
      </c>
    </row>
    <row r="6283" spans="1:5">
      <c r="A6283" t="s">
        <v>6</v>
      </c>
      <c r="B6283" t="s">
        <v>6288</v>
      </c>
      <c r="C6283">
        <f>HYPERLINK("C:\Users\franc\OneDrive\Documentos\MALENTIN KARIME\MANDATOS JUDICIALES\ANDRES AGUILERA Y ROBIN\ANDRES ALARCON HIDALGO 2015.doc", "Abrir Documento")</f>
        <v>0</v>
      </c>
      <c r="D6283" t="s">
        <v>23500</v>
      </c>
      <c r="E6283" t="s">
        <v>28941</v>
      </c>
    </row>
    <row r="6284" spans="1:5">
      <c r="A6284" t="s">
        <v>6</v>
      </c>
      <c r="B6284" t="s">
        <v>6289</v>
      </c>
      <c r="C6284">
        <f>HYPERLINK("C:\Users\franc\OneDrive\Documentos\MALENTIN KARIME\MANDATOS JUDICIALES\ANA ZEPEDA\JOSE LEIVA ESCOBAR.doc", "Abrir Documento")</f>
        <v>0</v>
      </c>
      <c r="D6284" t="s">
        <v>23500</v>
      </c>
      <c r="E6284" t="s">
        <v>28942</v>
      </c>
    </row>
    <row r="6285" spans="1:5">
      <c r="A6285" t="s">
        <v>6</v>
      </c>
      <c r="B6285" t="s">
        <v>6290</v>
      </c>
      <c r="C6285">
        <f>HYPERLINK("C:\Users\franc\OneDrive\Documentos\MALENTIN KARIME\MANDATOS JUDICIALES\ALFREDO VILLAGRAN\ALEJANDRO RUBIO\MERCEDES GUERRERO HIDALGO.doc", "Abrir Documento")</f>
        <v>0</v>
      </c>
      <c r="D6285" t="s">
        <v>23500</v>
      </c>
      <c r="E6285" t="s">
        <v>28943</v>
      </c>
    </row>
    <row r="6286" spans="1:5">
      <c r="A6286" t="s">
        <v>6</v>
      </c>
      <c r="B6286" t="s">
        <v>6291</v>
      </c>
      <c r="C6286">
        <f>HYPERLINK("C:\Users\franc\OneDrive\Documentos\MALENTIN KARIME\MANDATOS JUDICIALES\ALFREDO VILLAGRAN\2016\VLADIMIR COLLAO A Alonso Oyanadel.doc", "Abrir Documento")</f>
        <v>0</v>
      </c>
      <c r="D6286" t="s">
        <v>23500</v>
      </c>
      <c r="E6286" t="s">
        <v>28944</v>
      </c>
    </row>
    <row r="6287" spans="1:5">
      <c r="A6287" t="s">
        <v>6</v>
      </c>
      <c r="B6287" t="s">
        <v>6292</v>
      </c>
      <c r="C6287">
        <f>HYPERLINK("C:\Users\franc\OneDrive\Documentos\MALENTIN KARIME\MANDATOS JUDICIALES\ALFREDO VILLAGRAN\2016\SANDRA AVALOS.doc", "Abrir Documento")</f>
        <v>0</v>
      </c>
      <c r="D6287" t="s">
        <v>23500</v>
      </c>
      <c r="E6287" t="s">
        <v>28945</v>
      </c>
    </row>
    <row r="6288" spans="1:5">
      <c r="A6288" t="s">
        <v>6</v>
      </c>
      <c r="B6288" t="s">
        <v>6293</v>
      </c>
      <c r="C6288">
        <f>HYPERLINK("C:\Users\franc\OneDrive\Documentos\MALENTIN KARIME\MANDATOS JUDICIALES\ALFREDO VILLAGRAN\2016\ROSA GODOY ALVAREZ 2018.doc", "Abrir Documento")</f>
        <v>0</v>
      </c>
      <c r="D6288" t="s">
        <v>23500</v>
      </c>
      <c r="E6288" t="s">
        <v>28946</v>
      </c>
    </row>
    <row r="6289" spans="1:5">
      <c r="A6289" t="s">
        <v>6</v>
      </c>
      <c r="B6289" t="s">
        <v>6294</v>
      </c>
      <c r="C6289">
        <f>HYPERLINK("C:\Users\franc\OneDrive\Documentos\MALENTIN KARIME\MANDATOS JUDICIALES\ALFREDO VILLAGRAN\2016\PAZ CASTILLO AVALOS.doc", "Abrir Documento")</f>
        <v>0</v>
      </c>
      <c r="D6289" t="s">
        <v>23500</v>
      </c>
      <c r="E6289" t="s">
        <v>28947</v>
      </c>
    </row>
    <row r="6290" spans="1:5">
      <c r="A6290" t="s">
        <v>6</v>
      </c>
      <c r="B6290" t="s">
        <v>6295</v>
      </c>
      <c r="C6290">
        <f>HYPERLINK("C:\Users\franc\OneDrive\Documentos\MALENTIN KARIME\MANDATOS JUDICIALES\ALFREDO VILLAGRAN\2016\NANCY PIZARRO GUARINGA Y OTRO.doc", "Abrir Documento")</f>
        <v>0</v>
      </c>
      <c r="D6290" t="s">
        <v>23500</v>
      </c>
      <c r="E6290" t="s">
        <v>28948</v>
      </c>
    </row>
    <row r="6291" spans="1:5">
      <c r="A6291" t="s">
        <v>6</v>
      </c>
      <c r="B6291" t="s">
        <v>6296</v>
      </c>
      <c r="C6291">
        <f>HYPERLINK("C:\Users\franc\OneDrive\Documentos\MALENTIN KARIME\MANDATOS JUDICIALES\ALFREDO VILLAGRAN\2016\NANCY ARAYA JERALDO.doc", "Abrir Documento")</f>
        <v>0</v>
      </c>
      <c r="D6291" t="s">
        <v>23500</v>
      </c>
      <c r="E6291" t="s">
        <v>28949</v>
      </c>
    </row>
    <row r="6292" spans="1:5">
      <c r="A6292" t="s">
        <v>6</v>
      </c>
      <c r="B6292" t="s">
        <v>6297</v>
      </c>
      <c r="C6292">
        <f>HYPERLINK("C:\Users\franc\OneDrive\Documentos\MALENTIN KARIME\MANDATOS JUDICIALES\ALFREDO VILLAGRAN\2016\MARIA ZEPEDA 2018.doc", "Abrir Documento")</f>
        <v>0</v>
      </c>
      <c r="D6292" t="s">
        <v>23500</v>
      </c>
      <c r="E6292" t="s">
        <v>28950</v>
      </c>
    </row>
    <row r="6293" spans="1:5">
      <c r="A6293" t="s">
        <v>6</v>
      </c>
      <c r="B6293" t="s">
        <v>6298</v>
      </c>
      <c r="C6293">
        <f>HYPERLINK("C:\Users\franc\OneDrive\Documentos\MALENTIN KARIME\MANDATOS JUDICIALES\ALFREDO VILLAGRAN\2016\JORGE RIQUELME ANCATRIO.doc", "Abrir Documento")</f>
        <v>0</v>
      </c>
      <c r="D6293" t="s">
        <v>23500</v>
      </c>
      <c r="E6293" t="s">
        <v>28951</v>
      </c>
    </row>
    <row r="6294" spans="1:5">
      <c r="A6294" t="s">
        <v>6</v>
      </c>
      <c r="B6294" t="s">
        <v>6299</v>
      </c>
      <c r="C6294">
        <f>HYPERLINK("C:\Users\franc\OneDrive\Documentos\MALENTIN KARIME\MANDATOS JUDICIALES\ALFREDO VILLAGRAN\2016\JORGE LEON VILLALOBOS.doc", "Abrir Documento")</f>
        <v>0</v>
      </c>
      <c r="D6294" t="s">
        <v>23500</v>
      </c>
      <c r="E6294" t="s">
        <v>28952</v>
      </c>
    </row>
    <row r="6295" spans="1:5">
      <c r="A6295" t="s">
        <v>6</v>
      </c>
      <c r="B6295" t="s">
        <v>6300</v>
      </c>
      <c r="C6295">
        <f>HYPERLINK("C:\Users\franc\OneDrive\Documentos\MALENTIN KARIME\MANDATOS JUDICIALES\ALFREDO VILLAGRAN\2016\JESSICA MALDONADO 2017.doc", "Abrir Documento")</f>
        <v>0</v>
      </c>
      <c r="D6295" t="s">
        <v>23500</v>
      </c>
      <c r="E6295" t="s">
        <v>28953</v>
      </c>
    </row>
    <row r="6296" spans="1:5">
      <c r="A6296" t="s">
        <v>6</v>
      </c>
      <c r="B6296" t="s">
        <v>6301</v>
      </c>
      <c r="C6296">
        <f>HYPERLINK("C:\Users\franc\OneDrive\Documentos\MALENTIN KARIME\MANDATOS JUDICIALES\ALFREDO VILLAGRAN\2016\HECTOR OLIVARES OLIVA.doc", "Abrir Documento")</f>
        <v>0</v>
      </c>
      <c r="D6296" t="s">
        <v>23500</v>
      </c>
      <c r="E6296" t="s">
        <v>28954</v>
      </c>
    </row>
    <row r="6297" spans="1:5">
      <c r="A6297" t="s">
        <v>6</v>
      </c>
      <c r="B6297" t="s">
        <v>6302</v>
      </c>
      <c r="C6297">
        <f>HYPERLINK("C:\Users\franc\OneDrive\Documentos\MALENTIN KARIME\MANDATOS JUDICIALES\ALFREDO VILLAGRAN\ROSSANA GONZALEZ Y OTROS.doc", "Abrir Documento")</f>
        <v>0</v>
      </c>
      <c r="D6297" t="s">
        <v>23500</v>
      </c>
      <c r="E6297" t="s">
        <v>28955</v>
      </c>
    </row>
    <row r="6298" spans="1:5">
      <c r="A6298" t="s">
        <v>6</v>
      </c>
      <c r="B6298" t="s">
        <v>6303</v>
      </c>
      <c r="C6298">
        <f>HYPERLINK("C:\Users\franc\OneDrive\Documentos\MALENTIN KARIME\MANDATOS JUDICIALES\ALFREDO VILLAGRAN\2016\ANTONIO CASTRO ORDENES 2018.doc", "Abrir Documento")</f>
        <v>0</v>
      </c>
      <c r="D6298" t="s">
        <v>23500</v>
      </c>
      <c r="E6298" t="s">
        <v>28955</v>
      </c>
    </row>
    <row r="6299" spans="1:5">
      <c r="A6299" t="s">
        <v>6</v>
      </c>
      <c r="B6299" t="s">
        <v>6304</v>
      </c>
      <c r="C6299">
        <f>HYPERLINK("C:\Users\franc\OneDrive\Documentos\MALENTIN KARIME\MANDATOS JUDICIALES\ALFREDO VILLAGRAN\RODRIGO JARA OVALLE Uno ltda..doc", "Abrir Documento")</f>
        <v>0</v>
      </c>
      <c r="D6299" t="s">
        <v>23500</v>
      </c>
      <c r="E6299" t="s">
        <v>28956</v>
      </c>
    </row>
    <row r="6300" spans="1:5">
      <c r="A6300" t="s">
        <v>6</v>
      </c>
      <c r="B6300" t="s">
        <v>6305</v>
      </c>
      <c r="C6300">
        <f>HYPERLINK("C:\Users\franc\OneDrive\Documentos\MALENTIN KARIME\MANDATOS JUDICIALES\ALFREDO VILLAGRAN\MARGARITA VEGA MJudicial.doc", "Abrir Documento")</f>
        <v>0</v>
      </c>
      <c r="D6300" t="s">
        <v>23500</v>
      </c>
      <c r="E6300" t="s">
        <v>28957</v>
      </c>
    </row>
    <row r="6301" spans="1:5">
      <c r="A6301" t="s">
        <v>6</v>
      </c>
      <c r="B6301" t="s">
        <v>6306</v>
      </c>
      <c r="C6301">
        <f>HYPERLINK("C:\Users\franc\OneDrive\Documentos\MALENTIN KARIME\MANDATOS JUDICIALES\ALFREDO VILLAGRAN\MANUEL RIVERA ARAYA nuevo 2015}.doc", "Abrir Documento")</f>
        <v>0</v>
      </c>
      <c r="D6301" t="s">
        <v>23500</v>
      </c>
      <c r="E6301" t="s">
        <v>28958</v>
      </c>
    </row>
    <row r="6302" spans="1:5">
      <c r="A6302" t="s">
        <v>6</v>
      </c>
      <c r="B6302" t="s">
        <v>6307</v>
      </c>
      <c r="C6302">
        <f>HYPERLINK("C:\Users\franc\OneDrive\Documentos\MALENTIN KARIME\MANDATOS JUDICIALES\ALFREDO VILLAGRAN\MANUEL RIVERA ARAYA.doc", "Abrir Documento")</f>
        <v>0</v>
      </c>
      <c r="D6302" t="s">
        <v>23500</v>
      </c>
      <c r="E6302" t="s">
        <v>28958</v>
      </c>
    </row>
    <row r="6303" spans="1:5">
      <c r="A6303" t="s">
        <v>6</v>
      </c>
      <c r="B6303" t="s">
        <v>6308</v>
      </c>
      <c r="C6303">
        <f>HYPERLINK("C:\Users\franc\OneDrive\Documentos\MALENTIN KARIME\MANDATOS JUDICIALES\ALFREDO VILLAGRAN\KATHERINE SEPULVEDA.doc", "Abrir Documento")</f>
        <v>0</v>
      </c>
      <c r="D6303" t="s">
        <v>23500</v>
      </c>
      <c r="E6303" t="s">
        <v>28959</v>
      </c>
    </row>
    <row r="6304" spans="1:5">
      <c r="A6304" t="s">
        <v>6</v>
      </c>
      <c r="B6304" t="s">
        <v>6309</v>
      </c>
      <c r="C6304">
        <f>HYPERLINK("C:\Users\franc\OneDrive\Documentos\MALENTIN KARIME\MANDATOS JUDICIALES\ALFREDO VILLAGRAN\JOHAN PIZARRO}.doc", "Abrir Documento")</f>
        <v>0</v>
      </c>
      <c r="D6304" t="s">
        <v>23500</v>
      </c>
      <c r="E6304" t="s">
        <v>28960</v>
      </c>
    </row>
    <row r="6305" spans="1:5">
      <c r="A6305" t="s">
        <v>6</v>
      </c>
      <c r="B6305" t="s">
        <v>6310</v>
      </c>
      <c r="C6305">
        <f>HYPERLINK("C:\Users\franc\OneDrive\Documentos\MALENTIN KARIME\MANDATOS JUDICIALES\ALFREDO VILLAGRAN\JUANA GONZALEZ BERRIOS 2017.doc", "Abrir Documento")</f>
        <v>0</v>
      </c>
      <c r="D6305" t="s">
        <v>23500</v>
      </c>
      <c r="E6305" t="s">
        <v>28960</v>
      </c>
    </row>
    <row r="6306" spans="1:5">
      <c r="A6306" t="s">
        <v>6</v>
      </c>
      <c r="B6306" t="s">
        <v>6311</v>
      </c>
      <c r="C6306">
        <f>HYPERLINK("C:\Users\franc\OneDrive\Documentos\MALENTIN KARIME\MANDATOS JUDICIALES\ALFREDO VILLAGRAN\GUILLERMO RUBINA nuevo 2015.doc", "Abrir Documento")</f>
        <v>0</v>
      </c>
      <c r="D6306" t="s">
        <v>23500</v>
      </c>
      <c r="E6306" t="s">
        <v>28961</v>
      </c>
    </row>
    <row r="6307" spans="1:5">
      <c r="A6307" t="s">
        <v>6</v>
      </c>
      <c r="B6307" t="s">
        <v>6312</v>
      </c>
      <c r="C6307">
        <f>HYPERLINK("C:\Users\franc\OneDrive\Documentos\MALENTIN KARIME\MANDATOS JUDICIALES\ALFREDO VILLAGRAN\AMERITO ARDILES.doc", "Abrir Documento")</f>
        <v>0</v>
      </c>
      <c r="D6307" t="s">
        <v>23500</v>
      </c>
      <c r="E6307" t="s">
        <v>28962</v>
      </c>
    </row>
    <row r="6308" spans="1:5">
      <c r="A6308" t="s">
        <v>6</v>
      </c>
      <c r="B6308" t="s">
        <v>6313</v>
      </c>
      <c r="C6308">
        <f>HYPERLINK("C:\Users\franc\OneDrive\Documentos\MALENTIN KARIME\MANDATOS JUDICIALES\ALFREDO VILLAGRAN\ERIC VENEGAS PEÑA Y OTROS.doc", "Abrir Documento")</f>
        <v>0</v>
      </c>
      <c r="D6308" t="s">
        <v>23500</v>
      </c>
      <c r="E6308" t="s">
        <v>28962</v>
      </c>
    </row>
    <row r="6309" spans="1:5">
      <c r="A6309" t="s">
        <v>6</v>
      </c>
      <c r="B6309" t="s">
        <v>6314</v>
      </c>
      <c r="C6309">
        <f>HYPERLINK("C:\Users\franc\OneDrive\Documentos\MALENTIN KARIME\MANDATOS JUDICIALES\ALEJANDRO AZUA VEGA\CRISTIAN VAN DER A ALEJANDRO AZUA.doc", "Abrir Documento")</f>
        <v>0</v>
      </c>
      <c r="D6309" t="s">
        <v>23500</v>
      </c>
      <c r="E6309" t="s">
        <v>28963</v>
      </c>
    </row>
    <row r="6310" spans="1:5">
      <c r="A6310" t="s">
        <v>6</v>
      </c>
      <c r="B6310" t="s">
        <v>6315</v>
      </c>
      <c r="C6310">
        <f>HYPERLINK("C:\Users\franc\OneDrive\Documentos\MALENTIN KARIME\MANDATOS JUDICIALES\ALEJANDRA PIZARRO DUBO\PAULA RIOS DIAZ.doc", "Abrir Documento")</f>
        <v>0</v>
      </c>
      <c r="D6310" t="s">
        <v>23500</v>
      </c>
      <c r="E6310" t="s">
        <v>28964</v>
      </c>
    </row>
    <row r="6311" spans="1:5">
      <c r="A6311" t="s">
        <v>6</v>
      </c>
      <c r="B6311" t="s">
        <v>6316</v>
      </c>
      <c r="C6311">
        <f>HYPERLINK("C:\Users\franc\OneDrive\Documentos\MALENTIN KARIME\MANDATOS JUDICIALES\ALEJANDRO AZUA VEGA\CRACE SIR A ALEJANDRO AZUA.doc", "Abrir Documento")</f>
        <v>0</v>
      </c>
      <c r="D6311" t="s">
        <v>23500</v>
      </c>
      <c r="E6311" t="s">
        <v>28964</v>
      </c>
    </row>
    <row r="6312" spans="1:5">
      <c r="A6312" t="s">
        <v>6</v>
      </c>
      <c r="B6312" t="s">
        <v>6317</v>
      </c>
      <c r="C6312">
        <f>HYPERLINK("C:\Users\franc\OneDrive\Documentos\MALENTIN KARIME\MANDATOS JUDICIALES\AILEEN KENETT\WILLIAMS RIVERA.doc", "Abrir Documento")</f>
        <v>0</v>
      </c>
      <c r="D6312" t="s">
        <v>23500</v>
      </c>
      <c r="E6312" t="s">
        <v>28965</v>
      </c>
    </row>
    <row r="6313" spans="1:5">
      <c r="A6313" t="s">
        <v>6</v>
      </c>
      <c r="B6313" t="s">
        <v>6318</v>
      </c>
      <c r="C6313">
        <f>HYPERLINK("C:\Users\franc\OneDrive\Documentos\MALENTIN KARIME\MANDATOS JUDICIALES\AILEEN KENETT\RODOLFO SALINAS.doc", "Abrir Documento")</f>
        <v>0</v>
      </c>
      <c r="D6313" t="s">
        <v>23500</v>
      </c>
      <c r="E6313" t="s">
        <v>28966</v>
      </c>
    </row>
    <row r="6314" spans="1:5">
      <c r="A6314" t="s">
        <v>6</v>
      </c>
      <c r="B6314" t="s">
        <v>6319</v>
      </c>
      <c r="C6314">
        <f>HYPERLINK("C:\Users\franc\OneDrive\Documentos\MALENTIN KARIME\MANDATOS JUDICIALES\AILEEN KENETT\MARLIN VIVANCO.doc", "Abrir Documento")</f>
        <v>0</v>
      </c>
      <c r="D6314" t="s">
        <v>23500</v>
      </c>
      <c r="E6314" t="s">
        <v>28967</v>
      </c>
    </row>
    <row r="6315" spans="1:5">
      <c r="A6315" t="s">
        <v>6</v>
      </c>
      <c r="B6315" t="s">
        <v>6320</v>
      </c>
      <c r="C6315">
        <f>HYPERLINK("C:\Users\franc\OneDrive\Documentos\MALENTIN KARIME\MANDATOS JUDICIALES\AILEEN KENETT\IFMAN FOTO Solo Aileen.doc", "Abrir Documento")</f>
        <v>0</v>
      </c>
      <c r="D6315" t="s">
        <v>23500</v>
      </c>
      <c r="E6315" t="s">
        <v>28968</v>
      </c>
    </row>
    <row r="6316" spans="1:5">
      <c r="A6316" t="s">
        <v>6</v>
      </c>
      <c r="B6316" t="s">
        <v>6321</v>
      </c>
      <c r="C6316">
        <f>HYPERLINK("C:\Users\franc\OneDrive\Documentos\MALENTIN KARIME\MANDATOS JUDICIALES\AILEEN KENETT\ETGAR HOEFTER.doc", "Abrir Documento")</f>
        <v>0</v>
      </c>
      <c r="D6316" t="s">
        <v>23500</v>
      </c>
      <c r="E6316" t="s">
        <v>28969</v>
      </c>
    </row>
    <row r="6317" spans="1:5">
      <c r="A6317" t="s">
        <v>6</v>
      </c>
      <c r="B6317" t="s">
        <v>6322</v>
      </c>
      <c r="C6317">
        <f>HYPERLINK("C:\Users\franc\OneDrive\Documentos\MALENTIN KARIME\MANDATOS JUDICIALES\ADOLFO LAY\PERFERCTO TABILO TABILO.doc", "Abrir Documento")</f>
        <v>0</v>
      </c>
      <c r="D6317" t="s">
        <v>23500</v>
      </c>
      <c r="E6317" t="s">
        <v>28970</v>
      </c>
    </row>
    <row r="6318" spans="1:5">
      <c r="A6318" t="s">
        <v>6</v>
      </c>
      <c r="B6318" t="s">
        <v>6323</v>
      </c>
      <c r="C6318">
        <f>HYPERLINK("C:\Users\franc\OneDrive\Documentos\MALENTIN KARIME\MANDATOS JUDICIALES\AILEEN KENETT\CLAUDIA ABRILOT 2017.doc", "Abrir Documento")</f>
        <v>0</v>
      </c>
      <c r="D6318" t="s">
        <v>23500</v>
      </c>
      <c r="E6318" t="s">
        <v>28970</v>
      </c>
    </row>
    <row r="6319" spans="1:5">
      <c r="A6319" t="s">
        <v>6</v>
      </c>
      <c r="B6319" t="s">
        <v>6324</v>
      </c>
      <c r="C6319">
        <f>HYPERLINK("C:\Users\franc\OneDrive\Documentos\MALENTIN KARIME\MANDATOS JUDICIALES\ADOLFO LAY\PERFERCTO TABILO TABILO España.doc", "Abrir Documento")</f>
        <v>0</v>
      </c>
      <c r="D6319" t="s">
        <v>23500</v>
      </c>
      <c r="E6319" t="s">
        <v>28971</v>
      </c>
    </row>
    <row r="6320" spans="1:5">
      <c r="A6320" t="s">
        <v>6</v>
      </c>
      <c r="B6320" t="s">
        <v>6325</v>
      </c>
      <c r="C6320">
        <f>HYPERLINK("C:\Users\franc\OneDrive\Documentos\MALENTIN KARIME\MANDATOS JUDICIALES\ADOLFO LAY\NORMA LOPEZ ALUCEMA.doc", "Abrir Documento")</f>
        <v>0</v>
      </c>
      <c r="D6320" t="s">
        <v>23500</v>
      </c>
      <c r="E6320" t="s">
        <v>28972</v>
      </c>
    </row>
    <row r="6321" spans="1:5">
      <c r="A6321" t="s">
        <v>6</v>
      </c>
      <c r="B6321" t="s">
        <v>6326</v>
      </c>
      <c r="C6321">
        <f>HYPERLINK("C:\Users\franc\OneDrive\Documentos\MALENTIN KARIME\MANDATOS JUDICIALES\ADOLFO LAY\JUAN VALDES TAPIA.doc", "Abrir Documento")</f>
        <v>0</v>
      </c>
      <c r="D6321" t="s">
        <v>23500</v>
      </c>
      <c r="E6321" t="s">
        <v>28973</v>
      </c>
    </row>
    <row r="6322" spans="1:5">
      <c r="A6322" t="s">
        <v>6</v>
      </c>
      <c r="B6322" t="s">
        <v>6327</v>
      </c>
      <c r="C6322">
        <f>HYPERLINK("C:\Users\franc\OneDrive\Documentos\MALENTIN KARIME\MANDATOS JUDICIALES\ADOLFO LAY\MARIA CASTILLO CORTES.doc", "Abrir Documento")</f>
        <v>0</v>
      </c>
      <c r="D6322" t="s">
        <v>23500</v>
      </c>
      <c r="E6322" t="s">
        <v>28973</v>
      </c>
    </row>
    <row r="6323" spans="1:5">
      <c r="A6323" t="s">
        <v>6</v>
      </c>
      <c r="B6323" t="s">
        <v>6328</v>
      </c>
      <c r="C6323">
        <f>HYPERLINK("C:\Users\franc\OneDrive\Documentos\MALENTIN KARIME\MANDATOS JUDICIALES\ADOLFO LAY\DAVID OLIVARES.doc", "Abrir Documento")</f>
        <v>0</v>
      </c>
      <c r="D6323" t="s">
        <v>23500</v>
      </c>
      <c r="E6323" t="s">
        <v>28974</v>
      </c>
    </row>
    <row r="6324" spans="1:5">
      <c r="A6324" t="s">
        <v>6</v>
      </c>
      <c r="B6324" t="s">
        <v>6329</v>
      </c>
      <c r="C6324">
        <f>HYPERLINK("C:\Users\franc\OneDrive\Documentos\MALENTIN KARIME\MANDATOS JUDICIALES\ADOLFO LAY\DAVID ENRIQUE.doc", "Abrir Documento")</f>
        <v>0</v>
      </c>
      <c r="D6324" t="s">
        <v>23500</v>
      </c>
      <c r="E6324" t="s">
        <v>28975</v>
      </c>
    </row>
    <row r="6325" spans="1:5">
      <c r="A6325" t="s">
        <v>6</v>
      </c>
      <c r="B6325" t="s">
        <v>6330</v>
      </c>
      <c r="C6325">
        <f>HYPERLINK("C:\Users\franc\OneDrive\Documentos\MALENTIN KARIME\MANDATOS JUDICIALES\ADOLFO LAY\DAVID ENRIQUE OLIVARES VEGA.doc", "Abrir Documento")</f>
        <v>0</v>
      </c>
      <c r="D6325" t="s">
        <v>23500</v>
      </c>
      <c r="E6325" t="s">
        <v>28976</v>
      </c>
    </row>
    <row r="6326" spans="1:5">
      <c r="A6326" t="s">
        <v>6</v>
      </c>
      <c r="B6326" t="s">
        <v>6331</v>
      </c>
      <c r="C6326">
        <f>HYPERLINK("C:\Users\franc\OneDrive\Documentos\MALENTIN KARIME\MANDATOS JUDICIALES\2021\VERONICA JIMENEZ Mandato.doc", "Abrir Documento")</f>
        <v>0</v>
      </c>
      <c r="D6326" t="s">
        <v>23500</v>
      </c>
      <c r="E6326" t="s">
        <v>28977</v>
      </c>
    </row>
    <row r="6327" spans="1:5">
      <c r="A6327" t="s">
        <v>6</v>
      </c>
      <c r="B6327" t="s">
        <v>6332</v>
      </c>
      <c r="C6327">
        <f>HYPERLINK("C:\Users\franc\OneDrive\Documentos\MALENTIN KARIME\MANDATOS JUDICIALES\2021\TRANSPORTES Y CORRETAJE Carolina minuta.doc", "Abrir Documento")</f>
        <v>0</v>
      </c>
      <c r="D6327" t="s">
        <v>23500</v>
      </c>
      <c r="E6327" t="s">
        <v>28978</v>
      </c>
    </row>
    <row r="6328" spans="1:5">
      <c r="A6328" t="s">
        <v>6</v>
      </c>
      <c r="B6328" t="s">
        <v>6333</v>
      </c>
      <c r="C6328">
        <f>HYPERLINK("C:\Users\franc\OneDrive\Documentos\MALENTIN KARIME\MANDATOS JUDICIALES\2021\RAMON ALFARO GARCIA Minuta.doc", "Abrir Documento")</f>
        <v>0</v>
      </c>
      <c r="D6328" t="s">
        <v>23500</v>
      </c>
      <c r="E6328" t="s">
        <v>28979</v>
      </c>
    </row>
    <row r="6329" spans="1:5">
      <c r="A6329" t="s">
        <v>6</v>
      </c>
      <c r="B6329" t="s">
        <v>6334</v>
      </c>
      <c r="C6329">
        <f>HYPERLINK("C:\Users\franc\OneDrive\Documentos\MALENTIN KARIME\MANDATOS JUDICIALES\2021\MARTA TRIGO GALLARDO minuta.doc", "Abrir Documento")</f>
        <v>0</v>
      </c>
      <c r="D6329" t="s">
        <v>23500</v>
      </c>
      <c r="E6329" t="s">
        <v>28980</v>
      </c>
    </row>
    <row r="6330" spans="1:5">
      <c r="A6330" t="s">
        <v>6</v>
      </c>
      <c r="B6330" t="s">
        <v>6335</v>
      </c>
      <c r="C6330">
        <f>HYPERLINK("C:\Users\franc\OneDrive\Documentos\MALENTIN KARIME\MANDATOS JUDICIALES\2021\MIGUEL ALVARADO RAMIREZ.doc", "Abrir Documento")</f>
        <v>0</v>
      </c>
      <c r="D6330" t="s">
        <v>23500</v>
      </c>
      <c r="E6330" t="s">
        <v>28980</v>
      </c>
    </row>
    <row r="6331" spans="1:5">
      <c r="A6331" t="s">
        <v>6</v>
      </c>
      <c r="B6331" t="s">
        <v>6336</v>
      </c>
      <c r="C6331">
        <f>HYPERLINK("C:\Users\franc\OneDrive\Documentos\MALENTIN KARIME\MANDATOS JUDICIALES\2021\MARIA DIAZ DIAZ.doc", "Abrir Documento")</f>
        <v>0</v>
      </c>
      <c r="D6331" t="s">
        <v>23500</v>
      </c>
      <c r="E6331" t="s">
        <v>28981</v>
      </c>
    </row>
    <row r="6332" spans="1:5">
      <c r="A6332" t="s">
        <v>6</v>
      </c>
      <c r="B6332" t="s">
        <v>6337</v>
      </c>
      <c r="C6332">
        <f>HYPERLINK("C:\Users\franc\OneDrive\Documentos\MALENTIN KARIME\MANDATOS JUDICIALES\2021\MARIA ASCENCIO TRONCOSO Minuta.doc", "Abrir Documento")</f>
        <v>0</v>
      </c>
      <c r="D6332" t="s">
        <v>23500</v>
      </c>
      <c r="E6332" t="s">
        <v>28982</v>
      </c>
    </row>
    <row r="6333" spans="1:5">
      <c r="A6333" t="s">
        <v>6</v>
      </c>
      <c r="B6333" t="s">
        <v>6338</v>
      </c>
      <c r="C6333">
        <f>HYPERLINK("C:\Users\franc\OneDrive\Documentos\MALENTIN KARIME\MANDATOS JUDICIALES\2021\MANUEL RODRIGUEZ RODRIGUEZ.doc", "Abrir Documento")</f>
        <v>0</v>
      </c>
      <c r="D6333" t="s">
        <v>23500</v>
      </c>
      <c r="E6333" t="s">
        <v>28983</v>
      </c>
    </row>
    <row r="6334" spans="1:5">
      <c r="A6334" t="s">
        <v>6</v>
      </c>
      <c r="B6334" t="s">
        <v>6339</v>
      </c>
      <c r="C6334">
        <f>HYPERLINK("C:\Users\franc\OneDrive\Documentos\MALENTIN KARIME\MANDATOS JUDICIALES\2021\MANUEL CERDA CARRASCO.doc", "Abrir Documento")</f>
        <v>0</v>
      </c>
      <c r="D6334" t="s">
        <v>23500</v>
      </c>
      <c r="E6334" t="s">
        <v>28984</v>
      </c>
    </row>
    <row r="6335" spans="1:5">
      <c r="A6335" t="s">
        <v>6</v>
      </c>
      <c r="B6335" t="s">
        <v>6340</v>
      </c>
      <c r="C6335">
        <f>HYPERLINK("C:\Users\franc\OneDrive\Documentos\MALENTIN KARIME\MANDATOS JUDICIALES\2021\JUAN URRUTIA TAPIA.doc", "Abrir Documento")</f>
        <v>0</v>
      </c>
      <c r="D6335" t="s">
        <v>23500</v>
      </c>
      <c r="E6335" t="s">
        <v>28985</v>
      </c>
    </row>
    <row r="6336" spans="1:5">
      <c r="A6336" t="s">
        <v>6</v>
      </c>
      <c r="B6336" t="s">
        <v>6341</v>
      </c>
      <c r="C6336">
        <f>HYPERLINK("C:\Users\franc\OneDrive\Documentos\MALENTIN KARIME\MANDATOS JUDICIALES\2021\JUAN CHARNOCK.docx", "Abrir Documento")</f>
        <v>0</v>
      </c>
      <c r="D6336" t="s">
        <v>23501</v>
      </c>
      <c r="E6336" t="s">
        <v>28986</v>
      </c>
    </row>
    <row r="6337" spans="1:5">
      <c r="A6337" t="s">
        <v>6</v>
      </c>
      <c r="B6337" t="s">
        <v>6342</v>
      </c>
      <c r="C6337">
        <f>HYPERLINK("C:\Users\franc\OneDrive\Documentos\MALENTIN KARIME\MANDATOS JUDICIALES\2021\HUGO NAVARRO CORVALAN.doc", "Abrir Documento")</f>
        <v>0</v>
      </c>
      <c r="D6337" t="s">
        <v>23500</v>
      </c>
      <c r="E6337" t="s">
        <v>28987</v>
      </c>
    </row>
    <row r="6338" spans="1:5">
      <c r="A6338" t="s">
        <v>6</v>
      </c>
      <c r="B6338" t="s">
        <v>6343</v>
      </c>
      <c r="C6338">
        <f>HYPERLINK("C:\Users\franc\OneDrive\Documentos\MALENTIN KARIME\MANDATOS JUDICIALES\2021\GUILERMINA PORTILLA patrocinio.pdf", "Abrir Documento")</f>
        <v>0</v>
      </c>
      <c r="D6338" t="s">
        <v>23501</v>
      </c>
      <c r="E6338" t="s">
        <v>28988</v>
      </c>
    </row>
    <row r="6339" spans="1:5">
      <c r="A6339" t="s">
        <v>6</v>
      </c>
      <c r="B6339" t="s">
        <v>6344</v>
      </c>
      <c r="C6339">
        <f>HYPERLINK("C:\Users\franc\OneDrive\Documentos\MALENTIN KARIME\MANDATOS JUDICIALES\2021\FIDEL FREDES RAMIREZ Minuta.docx", "Abrir Documento")</f>
        <v>0</v>
      </c>
      <c r="D6339" t="s">
        <v>23501</v>
      </c>
      <c r="E6339" t="s">
        <v>28989</v>
      </c>
    </row>
    <row r="6340" spans="1:5">
      <c r="A6340" t="s">
        <v>6</v>
      </c>
      <c r="B6340" t="s">
        <v>6345</v>
      </c>
      <c r="C6340">
        <f>HYPERLINK("C:\Users\franc\OneDrive\Documentos\MALENTIN KARIME\MANDATOS JUDICIALES\2021\FERNANDA ELGUEDA ORREGO Minuta.doc", "Abrir Documento")</f>
        <v>0</v>
      </c>
      <c r="D6340" t="s">
        <v>23500</v>
      </c>
      <c r="E6340" t="s">
        <v>28990</v>
      </c>
    </row>
    <row r="6341" spans="1:5">
      <c r="A6341" t="s">
        <v>6</v>
      </c>
      <c r="B6341" t="s">
        <v>6346</v>
      </c>
      <c r="C6341">
        <f>HYPERLINK("C:\Users\franc\OneDrive\Documentos\MALENTIN KARIME\MANDATOS JUDICIALES\2021\ERNESTO BARRIOS CORTES Minuta.doc", "Abrir Documento")</f>
        <v>0</v>
      </c>
      <c r="D6341" t="s">
        <v>23500</v>
      </c>
      <c r="E6341" t="s">
        <v>28991</v>
      </c>
    </row>
    <row r="6342" spans="1:5">
      <c r="A6342" t="s">
        <v>6</v>
      </c>
      <c r="B6342" t="s">
        <v>6347</v>
      </c>
      <c r="C6342">
        <f>HYPERLINK("C:\Users\franc\OneDrive\Documentos\MALENTIN KARIME\MANDATOS JUDICIALES\2021\COOPERATIVA ELECTRICA LIMARI.doc", "Abrir Documento")</f>
        <v>0</v>
      </c>
      <c r="D6342" t="s">
        <v>23500</v>
      </c>
      <c r="E6342" t="s">
        <v>28992</v>
      </c>
    </row>
    <row r="6343" spans="1:5">
      <c r="A6343" t="s">
        <v>6</v>
      </c>
      <c r="B6343" t="s">
        <v>6348</v>
      </c>
      <c r="C6343">
        <f>HYPERLINK("C:\Users\franc\OneDrive\Documentos\MALENTIN KARIME\MANDATOS JUDICIALES\2021\EDUARDO LAZO PEREZ.doc", "Abrir Documento")</f>
        <v>0</v>
      </c>
      <c r="D6343" t="s">
        <v>23500</v>
      </c>
      <c r="E6343" t="s">
        <v>28992</v>
      </c>
    </row>
    <row r="6344" spans="1:5">
      <c r="A6344" t="s">
        <v>6</v>
      </c>
      <c r="B6344" t="s">
        <v>6349</v>
      </c>
      <c r="C6344">
        <f>HYPERLINK("C:\Users\franc\OneDrive\Documentos\MALENTIN KARIME\MANDATOS JUDICIALES\2021\CLAUDIA FARIAS CARVAJAL.doc", "Abrir Documento")</f>
        <v>0</v>
      </c>
      <c r="D6344" t="s">
        <v>23500</v>
      </c>
      <c r="E6344" t="s">
        <v>28993</v>
      </c>
    </row>
    <row r="6345" spans="1:5">
      <c r="A6345" t="s">
        <v>6</v>
      </c>
      <c r="B6345" t="s">
        <v>6350</v>
      </c>
      <c r="C6345">
        <f>HYPERLINK("C:\Users\franc\OneDrive\Documentos\MALENTIN KARIME\MANDATOS JUDICIALES\2021\BENITO GODOY GALLARDO.doc", "Abrir Documento")</f>
        <v>0</v>
      </c>
      <c r="D6345" t="s">
        <v>23500</v>
      </c>
      <c r="E6345" t="s">
        <v>28994</v>
      </c>
    </row>
    <row r="6346" spans="1:5">
      <c r="A6346" t="s">
        <v>6</v>
      </c>
      <c r="B6346" t="s">
        <v>6351</v>
      </c>
      <c r="C6346">
        <f>HYPERLINK("C:\Users\franc\OneDrive\Documentos\MALENTIN KARIME\MANDATOS JUDICIALES\2019\VICTOR CORTES ALFARO.doc", "Abrir Documento")</f>
        <v>0</v>
      </c>
      <c r="D6346" t="s">
        <v>23500</v>
      </c>
      <c r="E6346" t="s">
        <v>28995</v>
      </c>
    </row>
    <row r="6347" spans="1:5">
      <c r="A6347" t="s">
        <v>6</v>
      </c>
      <c r="B6347" t="s">
        <v>6352</v>
      </c>
      <c r="C6347">
        <f>HYPERLINK("C:\Users\franc\OneDrive\Documentos\MALENTIN KARIME\MANDATOS JUDICIALES\2019\MIRIAM ROJAS BERRIOS Minuta.doc", "Abrir Documento")</f>
        <v>0</v>
      </c>
      <c r="D6347" t="s">
        <v>23500</v>
      </c>
      <c r="E6347" t="s">
        <v>28996</v>
      </c>
    </row>
    <row r="6348" spans="1:5">
      <c r="A6348" t="s">
        <v>6</v>
      </c>
      <c r="B6348" t="s">
        <v>6353</v>
      </c>
      <c r="C6348">
        <f>HYPERLINK("C:\Users\franc\OneDrive\Documentos\MALENTIN KARIME\MANDATOS JUDICIALES\2019\INGENIERIA Y CONSTRUCCION DAYPEL LTDA..doc", "Abrir Documento")</f>
        <v>0</v>
      </c>
      <c r="D6348" t="s">
        <v>23500</v>
      </c>
      <c r="E6348" t="s">
        <v>28997</v>
      </c>
    </row>
    <row r="6349" spans="1:5">
      <c r="A6349" t="s">
        <v>6</v>
      </c>
      <c r="B6349" t="s">
        <v>6354</v>
      </c>
      <c r="C6349">
        <f>HYPERLINK("C:\Users\franc\OneDrive\Documentos\MALENTIN KARIME\MANDATOS JUDICIALES\2019\DIEGO BARRIENTOS.docx", "Abrir Documento")</f>
        <v>0</v>
      </c>
      <c r="D6349" t="s">
        <v>23501</v>
      </c>
      <c r="E6349" t="s">
        <v>28998</v>
      </c>
    </row>
    <row r="6350" spans="1:5">
      <c r="A6350" t="s">
        <v>6</v>
      </c>
      <c r="B6350" t="s">
        <v>6355</v>
      </c>
      <c r="C6350">
        <f>HYPERLINK("C:\Users\franc\OneDrive\Documentos\MALENTIN KARIME\MANDATOS JUDICIALES\2017\YESSICA ARAYA ROJAS Minuta.doc", "Abrir Documento")</f>
        <v>0</v>
      </c>
      <c r="D6350" t="s">
        <v>23500</v>
      </c>
      <c r="E6350" t="s">
        <v>28999</v>
      </c>
    </row>
    <row r="6351" spans="1:5">
      <c r="A6351" t="s">
        <v>6</v>
      </c>
      <c r="B6351" t="s">
        <v>6356</v>
      </c>
      <c r="C6351">
        <f>HYPERLINK("C:\Users\franc\OneDrive\Documentos\MALENTIN KARIME\MANDATOS JUDICIALES\2017\WILSON PORTILLA FLORES A María Marín Modelo notaria.doc", "Abrir Documento")</f>
        <v>0</v>
      </c>
      <c r="D6351" t="s">
        <v>23500</v>
      </c>
      <c r="E6351" t="s">
        <v>29000</v>
      </c>
    </row>
    <row r="6352" spans="1:5">
      <c r="A6352" t="s">
        <v>6</v>
      </c>
      <c r="B6352" t="s">
        <v>6357</v>
      </c>
      <c r="C6352">
        <f>HYPERLINK("C:\Users\franc\OneDrive\Documentos\MALENTIN KARIME\MANDATOS JUDICIALES\2017\VICTORIA PASTEN MOROSO Monte Patria.doc", "Abrir Documento")</f>
        <v>0</v>
      </c>
      <c r="D6352" t="s">
        <v>23500</v>
      </c>
      <c r="E6352" t="s">
        <v>29001</v>
      </c>
    </row>
    <row r="6353" spans="1:5">
      <c r="A6353" t="s">
        <v>6</v>
      </c>
      <c r="B6353" t="s">
        <v>6358</v>
      </c>
      <c r="C6353">
        <f>HYPERLINK("C:\Users\franc\OneDrive\Documentos\MALENTIN KARIME\MANDATOS JUDICIALES\2017\VALENTIN CONTRERAS OLIVARES Y OTRA.doc", "Abrir Documento")</f>
        <v>0</v>
      </c>
      <c r="D6353" t="s">
        <v>23500</v>
      </c>
      <c r="E6353" t="s">
        <v>29002</v>
      </c>
    </row>
    <row r="6354" spans="1:5">
      <c r="A6354" t="s">
        <v>6</v>
      </c>
      <c r="B6354" t="s">
        <v>6359</v>
      </c>
      <c r="C6354">
        <f>HYPERLINK("C:\Users\franc\OneDrive\Documentos\MALENTIN KARIME\MANDATOS JUDICIALES\2017\VICTOR JIMENEZ ARAYA.doc", "Abrir Documento")</f>
        <v>0</v>
      </c>
      <c r="D6354" t="s">
        <v>23500</v>
      </c>
      <c r="E6354" t="s">
        <v>29002</v>
      </c>
    </row>
    <row r="6355" spans="1:5">
      <c r="A6355" t="s">
        <v>6</v>
      </c>
      <c r="B6355" t="s">
        <v>6360</v>
      </c>
      <c r="C6355">
        <f>HYPERLINK("C:\Users\franc\OneDrive\Documentos\MALENTIN KARIME\MANDATOS JUDICIALES\2017\TANIA TAPJIA A VALERIA EGUILUZ Modelo notaria.doc", "Abrir Documento")</f>
        <v>0</v>
      </c>
      <c r="D6355" t="s">
        <v>23500</v>
      </c>
      <c r="E6355" t="s">
        <v>29003</v>
      </c>
    </row>
    <row r="6356" spans="1:5">
      <c r="A6356" t="s">
        <v>6</v>
      </c>
      <c r="B6356" t="s">
        <v>6361</v>
      </c>
      <c r="C6356">
        <f>HYPERLINK("C:\Users\franc\OneDrive\Documentos\MALENTIN KARIME\MANDATOS JUDICIALES\2017\SOC. AGRICOLA SAN CARLOS.doc", "Abrir Documento")</f>
        <v>0</v>
      </c>
      <c r="D6356" t="s">
        <v>23500</v>
      </c>
      <c r="E6356" t="s">
        <v>29004</v>
      </c>
    </row>
    <row r="6357" spans="1:5">
      <c r="A6357" t="s">
        <v>6</v>
      </c>
      <c r="B6357" t="s">
        <v>6362</v>
      </c>
      <c r="C6357">
        <f>HYPERLINK("C:\Users\franc\OneDrive\Documentos\MALENTIN KARIME\MANDATOS JUDICIALES\2017\SOC AGRICOLA CARVAJAL Y SALINAS LTDA. A Jose Contreras Mundaca 2018.doc", "Abrir Documento")</f>
        <v>0</v>
      </c>
      <c r="D6357" t="s">
        <v>23500</v>
      </c>
      <c r="E6357" t="s">
        <v>29005</v>
      </c>
    </row>
    <row r="6358" spans="1:5">
      <c r="A6358" t="s">
        <v>6</v>
      </c>
      <c r="B6358" t="s">
        <v>6363</v>
      </c>
      <c r="C6358">
        <f>HYPERLINK("C:\Users\franc\OneDrive\Documentos\MALENTIN KARIME\MANDATOS JUDICIALES\2017\SILVIA CORTES.doc", "Abrir Documento")</f>
        <v>0</v>
      </c>
      <c r="D6358" t="s">
        <v>23500</v>
      </c>
      <c r="E6358" t="s">
        <v>29006</v>
      </c>
    </row>
    <row r="6359" spans="1:5">
      <c r="A6359" t="s">
        <v>6</v>
      </c>
      <c r="B6359" t="s">
        <v>6364</v>
      </c>
      <c r="C6359">
        <f>HYPERLINK("C:\Users\franc\OneDrive\Documentos\MALENTIN KARIME\MANDATOS JUDICIALES\2017\SILVIA NARBONA CANGANA profe monte patria.doc", "Abrir Documento")</f>
        <v>0</v>
      </c>
      <c r="D6359" t="s">
        <v>23500</v>
      </c>
      <c r="E6359" t="s">
        <v>29006</v>
      </c>
    </row>
    <row r="6360" spans="1:5">
      <c r="A6360" t="s">
        <v>6</v>
      </c>
      <c r="B6360" t="s">
        <v>6365</v>
      </c>
      <c r="C6360">
        <f>HYPERLINK("C:\Users\franc\OneDrive\Documentos\MALENTIN KARIME\MANDATOS JUDICIALES\2017\SHELILA GONZALEZ A Rosa Pizarro Dubo.doc", "Abrir Documento")</f>
        <v>0</v>
      </c>
      <c r="D6360" t="s">
        <v>23500</v>
      </c>
      <c r="E6360" t="s">
        <v>29007</v>
      </c>
    </row>
    <row r="6361" spans="1:5">
      <c r="A6361" t="s">
        <v>6</v>
      </c>
      <c r="B6361" t="s">
        <v>6366</v>
      </c>
      <c r="C6361">
        <f>HYPERLINK("C:\Users\franc\OneDrive\Documentos\MALENTIN KARIME\MANDATOS JUDICIALES\2017\SERGIO CARMONA A Juan Perez Minuta.docx", "Abrir Documento")</f>
        <v>0</v>
      </c>
      <c r="D6361" t="s">
        <v>23501</v>
      </c>
      <c r="E6361" t="s">
        <v>29008</v>
      </c>
    </row>
    <row r="6362" spans="1:5">
      <c r="A6362" t="s">
        <v>6</v>
      </c>
      <c r="B6362" t="s">
        <v>6367</v>
      </c>
      <c r="C6362">
        <f>HYPERLINK("C:\Users\franc\OneDrive\Documentos\MALENTIN KARIME\MANDATOS JUDICIALES\2017\SANDRA MORALES MOROSO.doc", "Abrir Documento")</f>
        <v>0</v>
      </c>
      <c r="D6362" t="s">
        <v>23500</v>
      </c>
      <c r="E6362" t="s">
        <v>29009</v>
      </c>
    </row>
    <row r="6363" spans="1:5">
      <c r="A6363" t="s">
        <v>6</v>
      </c>
      <c r="B6363" t="s">
        <v>6368</v>
      </c>
      <c r="C6363">
        <f>HYPERLINK("C:\Users\franc\OneDrive\Documentos\MALENTIN KARIME\MANDATOS JUDICIALES\2017\RODRIGO VILLARROEL profe monte patria.doc", "Abrir Documento")</f>
        <v>0</v>
      </c>
      <c r="D6363" t="s">
        <v>23500</v>
      </c>
      <c r="E6363" t="s">
        <v>29010</v>
      </c>
    </row>
    <row r="6364" spans="1:5">
      <c r="A6364" t="s">
        <v>6</v>
      </c>
      <c r="B6364" t="s">
        <v>6369</v>
      </c>
      <c r="C6364">
        <f>HYPERLINK("C:\Users\franc\OneDrive\Documentos\MALENTIN KARIME\MANDATOS JUDICIALES\2017\ROCIO ARAYA PERALTA profe monte patria.doc", "Abrir Documento")</f>
        <v>0</v>
      </c>
      <c r="D6364" t="s">
        <v>23500</v>
      </c>
      <c r="E6364" t="s">
        <v>29011</v>
      </c>
    </row>
    <row r="6365" spans="1:5">
      <c r="A6365" t="s">
        <v>6</v>
      </c>
      <c r="B6365" t="s">
        <v>6370</v>
      </c>
      <c r="C6365">
        <f>HYPERLINK("C:\Users\franc\OneDrive\Documentos\MALENTIN KARIME\MANDATOS JUDICIALES\2017\ROCIO RAMIREZ A Raúl Rivera 2017.doc", "Abrir Documento")</f>
        <v>0</v>
      </c>
      <c r="D6365" t="s">
        <v>23500</v>
      </c>
      <c r="E6365" t="s">
        <v>29011</v>
      </c>
    </row>
    <row r="6366" spans="1:5">
      <c r="A6366" t="s">
        <v>6</v>
      </c>
      <c r="B6366" t="s">
        <v>6371</v>
      </c>
      <c r="C6366">
        <f>HYPERLINK("C:\Users\franc\OneDrive\Documentos\MALENTIN KARIME\MANDATOS JUDICIALES\2017\RICARDO PERALTA ARYA A Liliana Castro.doc", "Abrir Documento")</f>
        <v>0</v>
      </c>
      <c r="D6366" t="s">
        <v>23500</v>
      </c>
      <c r="E6366" t="s">
        <v>29012</v>
      </c>
    </row>
    <row r="6367" spans="1:5">
      <c r="A6367" t="s">
        <v>6</v>
      </c>
      <c r="B6367" t="s">
        <v>6372</v>
      </c>
      <c r="C6367">
        <f>HYPERLINK("C:\Users\franc\OneDrive\Documentos\MALENTIN KARIME\MANDATOS JUDICIALES\2017\RICARDO ROJAS OGALDE A Dario Chacon.doc", "Abrir Documento")</f>
        <v>0</v>
      </c>
      <c r="D6367" t="s">
        <v>23500</v>
      </c>
      <c r="E6367" t="s">
        <v>29012</v>
      </c>
    </row>
    <row r="6368" spans="1:5">
      <c r="A6368" t="s">
        <v>6</v>
      </c>
      <c r="B6368" t="s">
        <v>6373</v>
      </c>
      <c r="C6368">
        <f>HYPERLINK("C:\Users\franc\OneDrive\Documentos\MALENTIN KARIME\MANDATOS JUDICIALES\2017\PROFESORES Rio Hurtado.doc", "Abrir Documento")</f>
        <v>0</v>
      </c>
      <c r="D6368" t="s">
        <v>23500</v>
      </c>
      <c r="E6368" t="s">
        <v>29013</v>
      </c>
    </row>
    <row r="6369" spans="1:5">
      <c r="A6369" t="s">
        <v>6</v>
      </c>
      <c r="B6369" t="s">
        <v>6374</v>
      </c>
      <c r="C6369">
        <f>HYPERLINK("C:\Users\franc\OneDrive\Documentos\MALENTIN KARIME\MANDATOS JUDICIALES\2017\RAQUEL CONTRERAS ABDALA Y OTROS A CRISTOPHER NUÑEZ PIZARRO 2018 (x minuta).doc", "Abrir Documento")</f>
        <v>0</v>
      </c>
      <c r="D6369" t="s">
        <v>23500</v>
      </c>
      <c r="E6369" t="s">
        <v>29013</v>
      </c>
    </row>
    <row r="6370" spans="1:5">
      <c r="A6370" t="s">
        <v>6</v>
      </c>
      <c r="B6370" t="s">
        <v>6375</v>
      </c>
      <c r="C6370">
        <f>HYPERLINK("C:\Users\franc\OneDrive\Documentos\MALENTIN KARIME\MANDATOS JUDICIALES\2017\PROFESORES PUNITAQUI A Patricio Bel 2017 VI.doc", "Abrir Documento")</f>
        <v>0</v>
      </c>
      <c r="D6370" t="s">
        <v>23500</v>
      </c>
      <c r="E6370" t="s">
        <v>29014</v>
      </c>
    </row>
    <row r="6371" spans="1:5">
      <c r="A6371" t="s">
        <v>6</v>
      </c>
      <c r="B6371" t="s">
        <v>6376</v>
      </c>
      <c r="C6371">
        <f>HYPERLINK("C:\Users\franc\OneDrive\Documentos\MALENTIN KARIME\MANDATOS JUDICIALES\2017\PROFESORES PUNITAQUI Hugo Aguirre.doc", "Abrir Documento")</f>
        <v>0</v>
      </c>
      <c r="D6371" t="s">
        <v>23500</v>
      </c>
      <c r="E6371" t="s">
        <v>29014</v>
      </c>
    </row>
    <row r="6372" spans="1:5">
      <c r="A6372" t="s">
        <v>6</v>
      </c>
      <c r="B6372" t="s">
        <v>6377</v>
      </c>
      <c r="C6372">
        <f>HYPERLINK("C:\Users\franc\OneDrive\Documentos\MALENTIN KARIME\MANDATOS JUDICIALES\2017\PROFESORES PUNITAQUI A Patricio Bel 2017 V.doc", "Abrir Documento")</f>
        <v>0</v>
      </c>
      <c r="D6372" t="s">
        <v>23500</v>
      </c>
      <c r="E6372" t="s">
        <v>29015</v>
      </c>
    </row>
    <row r="6373" spans="1:5">
      <c r="A6373" t="s">
        <v>6</v>
      </c>
      <c r="B6373" t="s">
        <v>6378</v>
      </c>
      <c r="C6373">
        <f>HYPERLINK("C:\Users\franc\OneDrive\Documentos\MALENTIN KARIME\MANDATOS JUDICIALES\2017\PROFESORES PUNITAQUI A Patricio Bel 2017 IV.doc", "Abrir Documento")</f>
        <v>0</v>
      </c>
      <c r="D6373" t="s">
        <v>23500</v>
      </c>
      <c r="E6373" t="s">
        <v>29016</v>
      </c>
    </row>
    <row r="6374" spans="1:5">
      <c r="A6374" t="s">
        <v>6</v>
      </c>
      <c r="B6374" t="s">
        <v>6379</v>
      </c>
      <c r="C6374">
        <f>HYPERLINK("C:\Users\franc\OneDrive\Documentos\MALENTIN KARIME\MANDATOS JUDICIALES\2017\PROFESORES PUNITAQUI A Patricio Bel 2017 III.doc", "Abrir Documento")</f>
        <v>0</v>
      </c>
      <c r="D6374" t="s">
        <v>23500</v>
      </c>
      <c r="E6374" t="s">
        <v>29017</v>
      </c>
    </row>
    <row r="6375" spans="1:5">
      <c r="A6375" t="s">
        <v>6</v>
      </c>
      <c r="B6375" t="s">
        <v>6380</v>
      </c>
      <c r="C6375">
        <f>HYPERLINK("C:\Users\franc\OneDrive\Documentos\MALENTIN KARIME\MANDATOS JUDICIALES\2017\PROFESORES PUNITAQUI A Patricio Bel 2017 I.doc", "Abrir Documento")</f>
        <v>0</v>
      </c>
      <c r="D6375" t="s">
        <v>23500</v>
      </c>
      <c r="E6375" t="s">
        <v>29018</v>
      </c>
    </row>
    <row r="6376" spans="1:5">
      <c r="A6376" t="s">
        <v>6</v>
      </c>
      <c r="B6376" t="s">
        <v>6381</v>
      </c>
      <c r="C6376">
        <f>HYPERLINK("C:\Users\franc\OneDrive\Documentos\MALENTIN KARIME\MANDATOS JUDICIALES\2017\PROFESORES PUNITAQUI A Patricio Bel 2017 II.doc", "Abrir Documento")</f>
        <v>0</v>
      </c>
      <c r="D6376" t="s">
        <v>23500</v>
      </c>
      <c r="E6376" t="s">
        <v>29018</v>
      </c>
    </row>
    <row r="6377" spans="1:5">
      <c r="A6377" t="s">
        <v>6</v>
      </c>
      <c r="B6377" t="s">
        <v>6382</v>
      </c>
      <c r="C6377">
        <f>HYPERLINK("C:\Users\franc\OneDrive\Documentos\MALENTIN KARIME\MANDATOS JUDICIALES\2017\PROFESORES PUNITAQUI A Marta Castillo VIII.doc", "Abrir Documento")</f>
        <v>0</v>
      </c>
      <c r="D6377" t="s">
        <v>23500</v>
      </c>
      <c r="E6377" t="s">
        <v>29019</v>
      </c>
    </row>
    <row r="6378" spans="1:5">
      <c r="A6378" t="s">
        <v>6</v>
      </c>
      <c r="B6378" t="s">
        <v>6383</v>
      </c>
      <c r="C6378">
        <f>HYPERLINK("C:\Users\franc\OneDrive\Documentos\MALENTIN KARIME\MANDATOS JUDICIALES\2017\PEDRO MUÑOZ DIAZ A Teresita Muñoz.doc", "Abrir Documento")</f>
        <v>0</v>
      </c>
      <c r="D6378" t="s">
        <v>23500</v>
      </c>
      <c r="E6378" t="s">
        <v>29020</v>
      </c>
    </row>
    <row r="6379" spans="1:5">
      <c r="A6379" t="s">
        <v>6</v>
      </c>
      <c r="B6379" t="s">
        <v>6384</v>
      </c>
      <c r="C6379">
        <f>HYPERLINK("C:\Users\franc\OneDrive\Documentos\MALENTIN KARIME\MANDATOS JUDICIALES\2017\PROFESORES PUNITAQUI A Marta Castillo VII.doc", "Abrir Documento")</f>
        <v>0</v>
      </c>
      <c r="D6379" t="s">
        <v>23500</v>
      </c>
      <c r="E6379" t="s">
        <v>29020</v>
      </c>
    </row>
    <row r="6380" spans="1:5">
      <c r="A6380" t="s">
        <v>6</v>
      </c>
      <c r="B6380" t="s">
        <v>6385</v>
      </c>
      <c r="C6380">
        <f>HYPERLINK("C:\Users\franc\OneDrive\Documentos\MALENTIN KARIME\MANDATOS JUDICIALES\2017\PATRICIO NUÑEZ TORREJON.doc", "Abrir Documento")</f>
        <v>0</v>
      </c>
      <c r="D6380" t="s">
        <v>23500</v>
      </c>
      <c r="E6380" t="s">
        <v>29021</v>
      </c>
    </row>
    <row r="6381" spans="1:5">
      <c r="A6381" t="s">
        <v>6</v>
      </c>
      <c r="B6381" t="s">
        <v>6386</v>
      </c>
      <c r="C6381">
        <f>HYPERLINK("C:\Users\franc\OneDrive\Documentos\MALENTIN KARIME\MANDATOS JUDICIALES\2017\PAMELA ROJAS A Ingrid Nayem.doc", "Abrir Documento")</f>
        <v>0</v>
      </c>
      <c r="D6381" t="s">
        <v>23500</v>
      </c>
      <c r="E6381" t="s">
        <v>29022</v>
      </c>
    </row>
    <row r="6382" spans="1:5">
      <c r="A6382" t="s">
        <v>6</v>
      </c>
      <c r="B6382" t="s">
        <v>6387</v>
      </c>
      <c r="C6382">
        <f>HYPERLINK("C:\Users\franc\OneDrive\Documentos\MALENTIN KARIME\MANDATOS JUDICIALES\2017\PABLO ARANCIBIA ZAMBRA A Eduardo Díaz 2018 minuta.doc", "Abrir Documento")</f>
        <v>0</v>
      </c>
      <c r="D6382" t="s">
        <v>23500</v>
      </c>
      <c r="E6382" t="s">
        <v>29023</v>
      </c>
    </row>
    <row r="6383" spans="1:5">
      <c r="A6383" t="s">
        <v>6</v>
      </c>
      <c r="B6383" t="s">
        <v>6388</v>
      </c>
      <c r="C6383">
        <f>HYPERLINK("C:\Users\franc\OneDrive\Documentos\MALENTIN KARIME\MANDATOS JUDICIALES\2017\OSCAR ROJAS HIDALGO A Patricio Diaz 2018.doc", "Abrir Documento")</f>
        <v>0</v>
      </c>
      <c r="D6383" t="s">
        <v>23500</v>
      </c>
      <c r="E6383" t="s">
        <v>29024</v>
      </c>
    </row>
    <row r="6384" spans="1:5">
      <c r="A6384" t="s">
        <v>6</v>
      </c>
      <c r="B6384" t="s">
        <v>6389</v>
      </c>
      <c r="C6384">
        <f>HYPERLINK("C:\Users\franc\OneDrive\Documentos\MALENTIN KARIME\MANDATOS JUDICIALES\2017\NALDA DEL CARMEN SANTANDER ARAYA mandato electronico.docx", "Abrir Documento")</f>
        <v>0</v>
      </c>
      <c r="D6384" t="s">
        <v>23501</v>
      </c>
      <c r="E6384" t="s">
        <v>29025</v>
      </c>
    </row>
    <row r="6385" spans="1:5">
      <c r="A6385" t="s">
        <v>6</v>
      </c>
      <c r="B6385" t="s">
        <v>6390</v>
      </c>
      <c r="C6385">
        <f>HYPERLINK("C:\Users\franc\OneDrive\Documentos\MALENTIN KARIME\MANDATOS JUDICIALES\2017\MIRIAM CONTRERAS profe monte patria.doc", "Abrir Documento")</f>
        <v>0</v>
      </c>
      <c r="D6385" t="s">
        <v>23500</v>
      </c>
      <c r="E6385" t="s">
        <v>29026</v>
      </c>
    </row>
    <row r="6386" spans="1:5">
      <c r="A6386" t="s">
        <v>6</v>
      </c>
      <c r="B6386" t="s">
        <v>6391</v>
      </c>
      <c r="C6386">
        <f>HYPERLINK("C:\Users\franc\OneDrive\Documentos\MALENTIN KARIME\MANDATOS JUDICIALES\2017\Modelo notaria.doc", "Abrir Documento")</f>
        <v>0</v>
      </c>
      <c r="D6386" t="s">
        <v>23500</v>
      </c>
      <c r="E6386" t="s">
        <v>29026</v>
      </c>
    </row>
    <row r="6387" spans="1:5">
      <c r="A6387" t="s">
        <v>6</v>
      </c>
      <c r="B6387" t="s">
        <v>6392</v>
      </c>
      <c r="C6387">
        <f>HYPERLINK("C:\Users\franc\OneDrive\Documentos\MALENTIN KARIME\MANDATOS JUDICIALES\2017\minera punitaqui a jaime alzaman.doc", "Abrir Documento")</f>
        <v>0</v>
      </c>
      <c r="D6387" t="s">
        <v>23500</v>
      </c>
      <c r="E6387" t="s">
        <v>29027</v>
      </c>
    </row>
    <row r="6388" spans="1:5">
      <c r="A6388" t="s">
        <v>6</v>
      </c>
      <c r="B6388" t="s">
        <v>6393</v>
      </c>
      <c r="C6388">
        <f>HYPERLINK("C:\Users\franc\OneDrive\Documentos\MALENTIN KARIME\MANDATOS JUDICIALES\2017\MAURO GUERRA A Gabriela Almarza.doc", "Abrir Documento")</f>
        <v>0</v>
      </c>
      <c r="D6388" t="s">
        <v>23500</v>
      </c>
      <c r="E6388" t="s">
        <v>29028</v>
      </c>
    </row>
    <row r="6389" spans="1:5">
      <c r="A6389" t="s">
        <v>6</v>
      </c>
      <c r="B6389" t="s">
        <v>6394</v>
      </c>
      <c r="C6389">
        <f>HYPERLINK("C:\Users\franc\OneDrive\Documentos\MALENTIN KARIME\MANDATOS JUDICIALES\2017\MARIO CASTILLO TAPIA A luis leal.doc", "Abrir Documento")</f>
        <v>0</v>
      </c>
      <c r="D6389" t="s">
        <v>23500</v>
      </c>
      <c r="E6389" t="s">
        <v>29029</v>
      </c>
    </row>
    <row r="6390" spans="1:5">
      <c r="A6390" t="s">
        <v>6</v>
      </c>
      <c r="B6390" t="s">
        <v>6395</v>
      </c>
      <c r="C6390">
        <f>HYPERLINK("C:\Users\franc\OneDrive\Documentos\MALENTIN KARIME\MANDATOS JUDICIALES\2017\MARIA GALLARDO MUÑOZ A María Marin 2018.doc", "Abrir Documento")</f>
        <v>0</v>
      </c>
      <c r="D6390" t="s">
        <v>23500</v>
      </c>
      <c r="E6390" t="s">
        <v>29030</v>
      </c>
    </row>
    <row r="6391" spans="1:5">
      <c r="A6391" t="s">
        <v>6</v>
      </c>
      <c r="B6391" t="s">
        <v>6396</v>
      </c>
      <c r="C6391">
        <f>HYPERLINK("C:\Users\franc\OneDrive\Documentos\MALENTIN KARIME\MANDATOS JUDICIALES\2017\MARIA PALACIOS 2018 Minuta.doc", "Abrir Documento")</f>
        <v>0</v>
      </c>
      <c r="D6391" t="s">
        <v>23500</v>
      </c>
      <c r="E6391" t="s">
        <v>29030</v>
      </c>
    </row>
    <row r="6392" spans="1:5">
      <c r="A6392" t="s">
        <v>6</v>
      </c>
      <c r="B6392" t="s">
        <v>6397</v>
      </c>
      <c r="C6392">
        <f>HYPERLINK("C:\Users\franc\OneDrive\Documentos\MALENTIN KARIME\MANDATOS JUDICIALES\2017\MARIA ANGEL PIZARRO.doc", "Abrir Documento")</f>
        <v>0</v>
      </c>
      <c r="D6392" t="s">
        <v>23500</v>
      </c>
      <c r="E6392" t="s">
        <v>29031</v>
      </c>
    </row>
    <row r="6393" spans="1:5">
      <c r="A6393" t="s">
        <v>6</v>
      </c>
      <c r="B6393" t="s">
        <v>6398</v>
      </c>
      <c r="C6393">
        <f>HYPERLINK("C:\Users\franc\OneDrive\Documentos\MALENTIN KARIME\MANDATOS JUDICIALES\2017\MARGOT CONTRERAS BARRAZA Y otros Monte Patria.doc", "Abrir Documento")</f>
        <v>0</v>
      </c>
      <c r="D6393" t="s">
        <v>23500</v>
      </c>
      <c r="E6393" t="s">
        <v>29032</v>
      </c>
    </row>
    <row r="6394" spans="1:5">
      <c r="A6394" t="s">
        <v>6</v>
      </c>
      <c r="B6394" t="s">
        <v>6399</v>
      </c>
      <c r="C6394">
        <f>HYPERLINK("C:\Users\franc\OneDrive\Documentos\MALENTIN KARIME\MANDATOS JUDICIALES\2017\MARGOT CONTRERAS BARRAZA profesores monte patria.doc", "Abrir Documento")</f>
        <v>0</v>
      </c>
      <c r="D6394" t="s">
        <v>23500</v>
      </c>
      <c r="E6394" t="s">
        <v>29033</v>
      </c>
    </row>
    <row r="6395" spans="1:5">
      <c r="A6395" t="s">
        <v>6</v>
      </c>
      <c r="B6395" t="s">
        <v>6400</v>
      </c>
      <c r="C6395">
        <f>HYPERLINK("C:\Users\franc\OneDrive\Documentos\MALENTIN KARIME\MANDATOS JUDICIALES\2017\MARCELINO GALLARDO CORTES.doc", "Abrir Documento")</f>
        <v>0</v>
      </c>
      <c r="D6395" t="s">
        <v>23500</v>
      </c>
      <c r="E6395" t="s">
        <v>29034</v>
      </c>
    </row>
    <row r="6396" spans="1:5">
      <c r="A6396" t="s">
        <v>6</v>
      </c>
      <c r="B6396" t="s">
        <v>6401</v>
      </c>
      <c r="C6396">
        <f>HYPERLINK("C:\Users\franc\OneDrive\Documentos\MALENTIN KARIME\MANDATOS JUDICIALES\2017\MAGDA ALVARADO 2018.doc", "Abrir Documento")</f>
        <v>0</v>
      </c>
      <c r="D6396" t="s">
        <v>23500</v>
      </c>
      <c r="E6396" t="s">
        <v>29035</v>
      </c>
    </row>
    <row r="6397" spans="1:5">
      <c r="A6397" t="s">
        <v>6</v>
      </c>
      <c r="B6397" t="s">
        <v>6402</v>
      </c>
      <c r="C6397">
        <f>HYPERLINK("C:\Users\franc\OneDrive\Documentos\MALENTIN KARIME\MANDATOS JUDICIALES\2017\LUISA VILLALOBOS 2017.doc", "Abrir Documento")</f>
        <v>0</v>
      </c>
      <c r="D6397" t="s">
        <v>23500</v>
      </c>
      <c r="E6397" t="s">
        <v>29036</v>
      </c>
    </row>
    <row r="6398" spans="1:5">
      <c r="A6398" t="s">
        <v>6</v>
      </c>
      <c r="B6398" t="s">
        <v>6403</v>
      </c>
      <c r="C6398">
        <f>HYPERLINK("C:\Users\franc\OneDrive\Documentos\MALENTIN KARIME\MANDATOS JUDICIALES\2017\LUIS GUERRA ROJAS A Francisco Pizarro Peña 2017.doc", "Abrir Documento")</f>
        <v>0</v>
      </c>
      <c r="D6398" t="s">
        <v>23500</v>
      </c>
      <c r="E6398" t="s">
        <v>29037</v>
      </c>
    </row>
    <row r="6399" spans="1:5">
      <c r="A6399" t="s">
        <v>6</v>
      </c>
      <c r="B6399" t="s">
        <v>6404</v>
      </c>
      <c r="C6399">
        <f>HYPERLINK("C:\Users\franc\OneDrive\Documentos\MALENTIN KARIME\MANDATOS JUDICIALES\2017\LUICIA VALDIVIA DELGADO Mintua.doc", "Abrir Documento")</f>
        <v>0</v>
      </c>
      <c r="D6399" t="s">
        <v>23500</v>
      </c>
      <c r="E6399" t="s">
        <v>29038</v>
      </c>
    </row>
    <row r="6400" spans="1:5">
      <c r="A6400" t="s">
        <v>6</v>
      </c>
      <c r="B6400" t="s">
        <v>6405</v>
      </c>
      <c r="C6400">
        <f>HYPERLINK("C:\Users\franc\OneDrive\Documentos\MALENTIN KARIME\MANDATOS JUDICIALES\2017\LUCIA CALDERON PLAZA Y OTROS Modelo notaria.doc", "Abrir Documento")</f>
        <v>0</v>
      </c>
      <c r="D6400" t="s">
        <v>23500</v>
      </c>
      <c r="E6400" t="s">
        <v>29039</v>
      </c>
    </row>
    <row r="6401" spans="1:5">
      <c r="A6401" t="s">
        <v>6</v>
      </c>
      <c r="B6401" t="s">
        <v>6406</v>
      </c>
      <c r="C6401">
        <f>HYPERLINK("C:\Users\franc\OneDrive\Documentos\MALENTIN KARIME\MANDATOS JUDICIALES\2017\LAURA MARDONES CORTES A Jacqueline Torres.doc", "Abrir Documento")</f>
        <v>0</v>
      </c>
      <c r="D6401" t="s">
        <v>23500</v>
      </c>
      <c r="E6401" t="s">
        <v>29040</v>
      </c>
    </row>
    <row r="6402" spans="1:5">
      <c r="A6402" t="s">
        <v>6</v>
      </c>
      <c r="B6402" t="s">
        <v>6407</v>
      </c>
      <c r="C6402">
        <f>HYPERLINK("C:\Users\franc\OneDrive\Documentos\MALENTIN KARIME\MANDATOS JUDICIALES\2017\LASTENIA DUBO SEGOVIA A BARBARA ALVAYAY2018.doc", "Abrir Documento")</f>
        <v>0</v>
      </c>
      <c r="D6402" t="s">
        <v>23500</v>
      </c>
      <c r="E6402" t="s">
        <v>29041</v>
      </c>
    </row>
    <row r="6403" spans="1:5">
      <c r="A6403" t="s">
        <v>6</v>
      </c>
      <c r="B6403" t="s">
        <v>6408</v>
      </c>
      <c r="C6403">
        <f>HYPERLINK("C:\Users\franc\OneDrive\Documentos\MALENTIN KARIME\MANDATOS JUDICIALES\2017\KENNY IBACACHE ARANCIBIA 2018.docx", "Abrir Documento")</f>
        <v>0</v>
      </c>
      <c r="D6403" t="s">
        <v>23501</v>
      </c>
      <c r="E6403" t="s">
        <v>29042</v>
      </c>
    </row>
    <row r="6404" spans="1:5">
      <c r="A6404" t="s">
        <v>6</v>
      </c>
      <c r="B6404" t="s">
        <v>6409</v>
      </c>
      <c r="C6404">
        <f>HYPERLINK("C:\Users\franc\OneDrive\Documentos\MALENTIN KARIME\MANDATOS JUDICIALES\2017\JULIO LOPEZ MALDONADO A Guillermo Ortega.docx", "Abrir Documento")</f>
        <v>0</v>
      </c>
      <c r="D6404" t="s">
        <v>23501</v>
      </c>
      <c r="E6404" t="s">
        <v>29043</v>
      </c>
    </row>
    <row r="6405" spans="1:5">
      <c r="A6405" t="s">
        <v>6</v>
      </c>
      <c r="B6405" t="s">
        <v>6410</v>
      </c>
      <c r="C6405">
        <f>HYPERLINK("C:\Users\franc\OneDrive\Documentos\MALENTIN KARIME\MANDATOS JUDICIALES\2017\JUANA RIVERA TAPIA2017.doc", "Abrir Documento")</f>
        <v>0</v>
      </c>
      <c r="D6405" t="s">
        <v>23500</v>
      </c>
      <c r="E6405" t="s">
        <v>29044</v>
      </c>
    </row>
    <row r="6406" spans="1:5">
      <c r="A6406" t="s">
        <v>6</v>
      </c>
      <c r="B6406" t="s">
        <v>6411</v>
      </c>
      <c r="C6406">
        <f>HYPERLINK("C:\Users\franc\OneDrive\Documentos\MALENTIN KARIME\MANDATOS JUDICIALES\2017\JUANA PARRA CARVAJAL.doc", "Abrir Documento")</f>
        <v>0</v>
      </c>
      <c r="D6406" t="s">
        <v>23500</v>
      </c>
      <c r="E6406" t="s">
        <v>29045</v>
      </c>
    </row>
    <row r="6407" spans="1:5">
      <c r="A6407" t="s">
        <v>6</v>
      </c>
      <c r="B6407" t="s">
        <v>6412</v>
      </c>
      <c r="C6407">
        <f>HYPERLINK("C:\Users\franc\OneDrive\Documentos\MALENTIN KARIME\MANDATOS JUDICIALES\2017\JOSE ARDILES Modelo notaria.doc", "Abrir Documento")</f>
        <v>0</v>
      </c>
      <c r="D6407" t="s">
        <v>23500</v>
      </c>
      <c r="E6407" t="s">
        <v>29046</v>
      </c>
    </row>
    <row r="6408" spans="1:5">
      <c r="A6408" t="s">
        <v>6</v>
      </c>
      <c r="B6408" t="s">
        <v>6413</v>
      </c>
      <c r="C6408">
        <f>HYPERLINK("C:\Users\franc\OneDrive\Documentos\MALENTIN KARIME\MANDATOS JUDICIALES\2017\JOSE LUIS BARRIOS A Ariel Gonzalez.doc", "Abrir Documento")</f>
        <v>0</v>
      </c>
      <c r="D6408" t="s">
        <v>23500</v>
      </c>
      <c r="E6408" t="s">
        <v>29046</v>
      </c>
    </row>
    <row r="6409" spans="1:5">
      <c r="A6409" t="s">
        <v>6</v>
      </c>
      <c r="B6409" t="s">
        <v>6414</v>
      </c>
      <c r="C6409">
        <f>HYPERLINK("C:\Users\franc\OneDrive\Documentos\MALENTIN KARIME\MANDATOS JUDICIALES\2017\JORGE ALEJANDRO RIVERA TAPIA mandato minuta.doc", "Abrir Documento")</f>
        <v>0</v>
      </c>
      <c r="D6409" t="s">
        <v>23500</v>
      </c>
      <c r="E6409" t="s">
        <v>29047</v>
      </c>
    </row>
    <row r="6410" spans="1:5">
      <c r="A6410" t="s">
        <v>6</v>
      </c>
      <c r="B6410" t="s">
        <v>6415</v>
      </c>
      <c r="C6410">
        <f>HYPERLINK("C:\Users\franc\OneDrive\Documentos\MALENTIN KARIME\MANDATOS JUDICIALES\2017\JORGE CISTERNAS ORTIZ 2018.doc", "Abrir Documento")</f>
        <v>0</v>
      </c>
      <c r="D6410" t="s">
        <v>23500</v>
      </c>
      <c r="E6410" t="s">
        <v>29047</v>
      </c>
    </row>
    <row r="6411" spans="1:5">
      <c r="A6411" t="s">
        <v>6</v>
      </c>
      <c r="B6411" t="s">
        <v>6416</v>
      </c>
      <c r="C6411">
        <f>HYPERLINK("C:\Users\franc\OneDrive\Documentos\MALENTIN KARIME\MANDATOS JUDICIALES\2017\JOHONY OPAZO ZEBALLOS (mandato judicial).docx", "Abrir Documento")</f>
        <v>0</v>
      </c>
      <c r="D6411" t="s">
        <v>23501</v>
      </c>
      <c r="E6411" t="s">
        <v>29048</v>
      </c>
    </row>
    <row r="6412" spans="1:5">
      <c r="A6412" t="s">
        <v>6</v>
      </c>
      <c r="B6412" t="s">
        <v>6417</v>
      </c>
      <c r="C6412">
        <f>HYPERLINK("C:\Users\franc\OneDrive\Documentos\MALENTIN KARIME\MANDATOS JUDICIALES\2017\JOHONY OPAZO 2017.doc", "Abrir Documento")</f>
        <v>0</v>
      </c>
      <c r="D6412" t="s">
        <v>23500</v>
      </c>
      <c r="E6412" t="s">
        <v>29049</v>
      </c>
    </row>
    <row r="6413" spans="1:5">
      <c r="A6413" t="s">
        <v>6</v>
      </c>
      <c r="B6413" t="s">
        <v>6418</v>
      </c>
      <c r="C6413">
        <f>HYPERLINK("C:\Users\franc\OneDrive\Documentos\MALENTIN KARIME\MANDATOS JUDICIALES\2017\JOHANNA AGUILERA ORELLANA.doc", "Abrir Documento")</f>
        <v>0</v>
      </c>
      <c r="D6413" t="s">
        <v>23500</v>
      </c>
      <c r="E6413" t="s">
        <v>29050</v>
      </c>
    </row>
    <row r="6414" spans="1:5">
      <c r="A6414" t="s">
        <v>6</v>
      </c>
      <c r="B6414" t="s">
        <v>6419</v>
      </c>
      <c r="C6414">
        <f>HYPERLINK("C:\Users\franc\OneDrive\Documentos\MALENTIN KARIME\MANDATOS JUDICIALES\2017\JOHANNA AGUILERA.doc", "Abrir Documento")</f>
        <v>0</v>
      </c>
      <c r="D6414" t="s">
        <v>23500</v>
      </c>
      <c r="E6414" t="s">
        <v>29050</v>
      </c>
    </row>
    <row r="6415" spans="1:5">
      <c r="A6415" t="s">
        <v>6</v>
      </c>
      <c r="B6415" t="s">
        <v>6420</v>
      </c>
      <c r="C6415">
        <f>HYPERLINK("C:\Users\franc\OneDrive\Documentos\MALENTIN KARIME\MANDATOS JUDICIALES\2017\JILBERTO DURAN A FLAVIO GOMEZ 2014.doc", "Abrir Documento")</f>
        <v>0</v>
      </c>
      <c r="D6415" t="s">
        <v>23500</v>
      </c>
      <c r="E6415" t="s">
        <v>29051</v>
      </c>
    </row>
    <row r="6416" spans="1:5">
      <c r="A6416" t="s">
        <v>6</v>
      </c>
      <c r="B6416" t="s">
        <v>6421</v>
      </c>
      <c r="C6416">
        <f>HYPERLINK("C:\Users\franc\OneDrive\Documentos\MALENTIN KARIME\MANDATOS JUDICIALES\2017\JOE BUGUEÑO OLIVARES Y OTROS profe monte patria.doc", "Abrir Documento")</f>
        <v>0</v>
      </c>
      <c r="D6416" t="s">
        <v>23500</v>
      </c>
      <c r="E6416" t="s">
        <v>29051</v>
      </c>
    </row>
    <row r="6417" spans="1:5">
      <c r="A6417" t="s">
        <v>6</v>
      </c>
      <c r="B6417" t="s">
        <v>6422</v>
      </c>
      <c r="C6417">
        <f>HYPERLINK("C:\Users\franc\OneDrive\Documentos\MALENTIN KARIME\MANDATOS JUDICIALES\2017\IRIS GALLEGUILLOS Modelo notaria.doc", "Abrir Documento")</f>
        <v>0</v>
      </c>
      <c r="D6417" t="s">
        <v>23500</v>
      </c>
      <c r="E6417" t="s">
        <v>29052</v>
      </c>
    </row>
    <row r="6418" spans="1:5">
      <c r="A6418" t="s">
        <v>6</v>
      </c>
      <c r="B6418" t="s">
        <v>6423</v>
      </c>
      <c r="C6418">
        <f>HYPERLINK("C:\Users\franc\OneDrive\Documentos\MALENTIN KARIME\MANDATOS JUDICIALES\2017\INELDA BERNAL Y OTRO Modelo notaria.doc", "Abrir Documento")</f>
        <v>0</v>
      </c>
      <c r="D6418" t="s">
        <v>23500</v>
      </c>
      <c r="E6418" t="s">
        <v>29053</v>
      </c>
    </row>
    <row r="6419" spans="1:5">
      <c r="A6419" t="s">
        <v>6</v>
      </c>
      <c r="B6419" t="s">
        <v>6424</v>
      </c>
      <c r="C6419">
        <f>HYPERLINK("C:\Users\franc\OneDrive\Documentos\MALENTIN KARIME\MANDATOS JUDICIALES\2017\HUGO ROJAS A Juan Perez.doc", "Abrir Documento")</f>
        <v>0</v>
      </c>
      <c r="D6419" t="s">
        <v>23500</v>
      </c>
      <c r="E6419" t="s">
        <v>29054</v>
      </c>
    </row>
    <row r="6420" spans="1:5">
      <c r="A6420" t="s">
        <v>6</v>
      </c>
      <c r="B6420" t="s">
        <v>6425</v>
      </c>
      <c r="C6420">
        <f>HYPERLINK("C:\Users\franc\OneDrive\Documentos\MALENTIN KARIME\MANDATOS JUDICIALES\2017\HERNAN PIZARRO A Alfonso Ocampo minuta.docx", "Abrir Documento")</f>
        <v>0</v>
      </c>
      <c r="D6420" t="s">
        <v>23501</v>
      </c>
      <c r="E6420" t="s">
        <v>29055</v>
      </c>
    </row>
    <row r="6421" spans="1:5">
      <c r="A6421" t="s">
        <v>6</v>
      </c>
      <c r="B6421" t="s">
        <v>6426</v>
      </c>
      <c r="C6421">
        <f>HYPERLINK("C:\Users\franc\OneDrive\Documentos\MALENTIN KARIME\MANDATOS JUDICIALES\2017\HUGO OLMEDO A Manuel Fouere.doc", "Abrir Documento")</f>
        <v>0</v>
      </c>
      <c r="D6421" t="s">
        <v>23500</v>
      </c>
      <c r="E6421" t="s">
        <v>29055</v>
      </c>
    </row>
    <row r="6422" spans="1:5">
      <c r="A6422" t="s">
        <v>6</v>
      </c>
      <c r="B6422" t="s">
        <v>6427</v>
      </c>
      <c r="C6422">
        <f>HYPERLINK("C:\Users\franc\OneDrive\Documentos\MALENTIN KARIME\MANDATOS JUDICIALES\2017\HANS HONORES 2018.doc", "Abrir Documento")</f>
        <v>0</v>
      </c>
      <c r="D6422" t="s">
        <v>23500</v>
      </c>
      <c r="E6422" t="s">
        <v>29056</v>
      </c>
    </row>
    <row r="6423" spans="1:5">
      <c r="A6423" t="s">
        <v>6</v>
      </c>
      <c r="B6423" t="s">
        <v>6428</v>
      </c>
      <c r="C6423">
        <f>HYPERLINK("C:\Users\franc\OneDrive\Documentos\MALENTIN KARIME\MANDATOS JUDICIALES\2017\GREGORIO ALQUINTA 2018.doc", "Abrir Documento")</f>
        <v>0</v>
      </c>
      <c r="D6423" t="s">
        <v>23500</v>
      </c>
      <c r="E6423" t="s">
        <v>29057</v>
      </c>
    </row>
    <row r="6424" spans="1:5">
      <c r="A6424" t="s">
        <v>6</v>
      </c>
      <c r="B6424" t="s">
        <v>6429</v>
      </c>
      <c r="C6424">
        <f>HYPERLINK("C:\Users\franc\OneDrive\Documentos\MALENTIN KARIME\MANDATOS JUDICIALES\2017\FELIPE VELASQUEZ MEspecial.doc", "Abrir Documento")</f>
        <v>0</v>
      </c>
      <c r="D6424" t="s">
        <v>23500</v>
      </c>
      <c r="E6424" t="s">
        <v>29058</v>
      </c>
    </row>
    <row r="6425" spans="1:5">
      <c r="A6425" t="s">
        <v>6</v>
      </c>
      <c r="B6425" t="s">
        <v>6430</v>
      </c>
      <c r="C6425">
        <f>HYPERLINK("C:\Users\franc\OneDrive\Documentos\MALENTIN KARIME\MANDATOS JUDICIALES\2017\FANNY ALEJANDRA TORRES ROJO Monte Patria.doc", "Abrir Documento")</f>
        <v>0</v>
      </c>
      <c r="D6425" t="s">
        <v>23500</v>
      </c>
      <c r="E6425" t="s">
        <v>29059</v>
      </c>
    </row>
    <row r="6426" spans="1:5">
      <c r="A6426" t="s">
        <v>6</v>
      </c>
      <c r="B6426" t="s">
        <v>6431</v>
      </c>
      <c r="C6426">
        <f>HYPERLINK("C:\Users\franc\OneDrive\Documentos\MALENTIN KARIME\MANDATOS JUDICIALES\2017\EVA MORGADO A TAPIA  A Sergio Peralta.doc", "Abrir Documento")</f>
        <v>0</v>
      </c>
      <c r="D6426" t="s">
        <v>23500</v>
      </c>
      <c r="E6426" t="s">
        <v>29060</v>
      </c>
    </row>
    <row r="6427" spans="1:5">
      <c r="A6427" t="s">
        <v>6</v>
      </c>
      <c r="B6427" t="s">
        <v>6432</v>
      </c>
      <c r="C6427">
        <f>HYPERLINK("C:\Users\franc\OneDrive\Documentos\MALENTIN KARIME\MANDATOS JUDICIALES\2017\Emanuel Acuña  a Gustavo Gacitua.doc", "Abrir Documento")</f>
        <v>0</v>
      </c>
      <c r="D6427" t="s">
        <v>23500</v>
      </c>
      <c r="E6427" t="s">
        <v>29061</v>
      </c>
    </row>
    <row r="6428" spans="1:5">
      <c r="A6428" t="s">
        <v>6</v>
      </c>
      <c r="B6428" t="s">
        <v>6433</v>
      </c>
      <c r="C6428">
        <f>HYPERLINK("C:\Users\franc\OneDrive\Documentos\MALENTIN KARIME\MANDATOS JUDICIALES\2017\ELENA GALLEGUILLOS.doc", "Abrir Documento")</f>
        <v>0</v>
      </c>
      <c r="D6428" t="s">
        <v>23500</v>
      </c>
      <c r="E6428" t="s">
        <v>29062</v>
      </c>
    </row>
    <row r="6429" spans="1:5">
      <c r="A6429" t="s">
        <v>6</v>
      </c>
      <c r="B6429" t="s">
        <v>6434</v>
      </c>
      <c r="C6429">
        <f>HYPERLINK("C:\Users\franc\OneDrive\Documentos\MALENTIN KARIME\MANDATOS JUDICIALES\2017\EDUARDO ARAYA CASTILLO 2018.doc", "Abrir Documento")</f>
        <v>0</v>
      </c>
      <c r="D6429" t="s">
        <v>23500</v>
      </c>
      <c r="E6429" t="s">
        <v>29063</v>
      </c>
    </row>
    <row r="6430" spans="1:5">
      <c r="A6430" t="s">
        <v>6</v>
      </c>
      <c r="B6430" t="s">
        <v>6435</v>
      </c>
      <c r="C6430">
        <f>HYPERLINK("C:\Users\franc\OneDrive\Documentos\MALENTIN KARIME\MANDATOS JUDICIALES\2017\DIOSELINDA VELIZ PIZARRO Y OTRA A Boris Carvajal Notaria.doc", "Abrir Documento")</f>
        <v>0</v>
      </c>
      <c r="D6430" t="s">
        <v>23500</v>
      </c>
      <c r="E6430" t="s">
        <v>29064</v>
      </c>
    </row>
    <row r="6431" spans="1:5">
      <c r="A6431" t="s">
        <v>6</v>
      </c>
      <c r="B6431" t="s">
        <v>6436</v>
      </c>
      <c r="C6431">
        <f>HYPERLINK("C:\Users\franc\OneDrive\Documentos\MALENTIN KARIME\MANDATOS JUDICIALES\2017\DAVID TRONCOSO SAAVEDRA.doc", "Abrir Documento")</f>
        <v>0</v>
      </c>
      <c r="D6431" t="s">
        <v>23500</v>
      </c>
      <c r="E6431" t="s">
        <v>29065</v>
      </c>
    </row>
    <row r="6432" spans="1:5">
      <c r="A6432" t="s">
        <v>6</v>
      </c>
      <c r="B6432" t="s">
        <v>6437</v>
      </c>
      <c r="C6432">
        <f>HYPERLINK("C:\Users\franc\OneDrive\Documentos\MALENTIN KARIME\MANDATOS JUDICIALES\2017\CRISTIAN JIMENEZ A VALERIA EGUILUZ Modelo notaria.doc", "Abrir Documento")</f>
        <v>0</v>
      </c>
      <c r="D6432" t="s">
        <v>23500</v>
      </c>
      <c r="E6432" t="s">
        <v>29066</v>
      </c>
    </row>
    <row r="6433" spans="1:5">
      <c r="A6433" t="s">
        <v>6</v>
      </c>
      <c r="B6433" t="s">
        <v>6438</v>
      </c>
      <c r="C6433">
        <f>HYPERLINK("C:\Users\franc\OneDrive\Documentos\MALENTIN KARIME\MANDATOS JUDICIALES\2017\CRISTIAN CASTRO GARCIA Modelo notaria.doc", "Abrir Documento")</f>
        <v>0</v>
      </c>
      <c r="D6433" t="s">
        <v>23500</v>
      </c>
      <c r="E6433" t="s">
        <v>29067</v>
      </c>
    </row>
    <row r="6434" spans="1:5">
      <c r="A6434" t="s">
        <v>6</v>
      </c>
      <c r="B6434" t="s">
        <v>6439</v>
      </c>
      <c r="C6434">
        <f>HYPERLINK("C:\Users\franc\OneDrive\Documentos\MALENTIN KARIME\MANDATOS JUDICIALES\2017\CERRILLOS DE TAMAYA S.A. A luis urqueta.doc", "Abrir Documento")</f>
        <v>0</v>
      </c>
      <c r="D6434" t="s">
        <v>23500</v>
      </c>
      <c r="E6434" t="s">
        <v>29068</v>
      </c>
    </row>
    <row r="6435" spans="1:5">
      <c r="A6435" t="s">
        <v>6</v>
      </c>
      <c r="B6435" t="s">
        <v>6440</v>
      </c>
      <c r="C6435">
        <f>HYPERLINK("C:\Users\franc\OneDrive\Documentos\MALENTIN KARIME\MANDATOS JUDICIALES\2017\CECILIA CORTES FLORES Mjudicial.docx", "Abrir Documento")</f>
        <v>0</v>
      </c>
      <c r="D6435" t="s">
        <v>23501</v>
      </c>
      <c r="E6435" t="s">
        <v>29069</v>
      </c>
    </row>
    <row r="6436" spans="1:5">
      <c r="A6436" t="s">
        <v>6</v>
      </c>
      <c r="B6436" t="s">
        <v>6441</v>
      </c>
      <c r="C6436">
        <f>HYPERLINK("C:\Users\franc\OneDrive\Documentos\MALENTIN KARIME\MANDATOS JUDICIALES\2017\CARMEN CASTILLO A David Bugueño.doc", "Abrir Documento")</f>
        <v>0</v>
      </c>
      <c r="D6436" t="s">
        <v>23500</v>
      </c>
      <c r="E6436" t="s">
        <v>29070</v>
      </c>
    </row>
    <row r="6437" spans="1:5">
      <c r="A6437" t="s">
        <v>6</v>
      </c>
      <c r="B6437" t="s">
        <v>6442</v>
      </c>
      <c r="C6437">
        <f>HYPERLINK("C:\Users\franc\OneDrive\Documentos\MALENTIN KARIME\MANDATOS JUDICIALES\2017\BENITO CASTAÑEDA minuta.docx", "Abrir Documento")</f>
        <v>0</v>
      </c>
      <c r="D6437" t="s">
        <v>23501</v>
      </c>
      <c r="E6437" t="s">
        <v>29071</v>
      </c>
    </row>
    <row r="6438" spans="1:5">
      <c r="A6438" t="s">
        <v>6</v>
      </c>
      <c r="B6438" t="s">
        <v>6443</v>
      </c>
      <c r="C6438">
        <f>HYPERLINK("C:\Users\franc\OneDrive\Documentos\MALENTIN KARIME\MANDATOS JUDICIALES\2017\CARLOS CASTILLO minuta.doc", "Abrir Documento")</f>
        <v>0</v>
      </c>
      <c r="D6438" t="s">
        <v>23500</v>
      </c>
      <c r="E6438" t="s">
        <v>29071</v>
      </c>
    </row>
    <row r="6439" spans="1:5">
      <c r="A6439" t="s">
        <v>6</v>
      </c>
      <c r="B6439" t="s">
        <v>6444</v>
      </c>
      <c r="C6439">
        <f>HYPERLINK("C:\Users\franc\OneDrive\Documentos\MALENTIN KARIME\MANDATOS JUDICIALES\2017\BARBARA PIZARRO 2018 por menores Modelo notaria.doc", "Abrir Documento")</f>
        <v>0</v>
      </c>
      <c r="D6439" t="s">
        <v>23500</v>
      </c>
      <c r="E6439" t="s">
        <v>29072</v>
      </c>
    </row>
    <row r="6440" spans="1:5">
      <c r="A6440" t="s">
        <v>6</v>
      </c>
      <c r="B6440" t="s">
        <v>6445</v>
      </c>
      <c r="C6440">
        <f>HYPERLINK("C:\Users\franc\OneDrive\Documentos\MALENTIN KARIME\MANDATOS JUDICIALES\2017\ASOCIACION FENATS HOSPITAL.doc", "Abrir Documento")</f>
        <v>0</v>
      </c>
      <c r="D6440" t="s">
        <v>23500</v>
      </c>
      <c r="E6440" t="s">
        <v>29073</v>
      </c>
    </row>
    <row r="6441" spans="1:5">
      <c r="A6441" t="s">
        <v>6</v>
      </c>
      <c r="B6441" t="s">
        <v>6446</v>
      </c>
      <c r="C6441">
        <f>HYPERLINK("C:\Users\franc\OneDrive\Documentos\MALENTIN KARIME\MANDATOS JUDICIALES\2016\ULISES UBILLO Divorcio minuta.doc", "Abrir Documento")</f>
        <v>0</v>
      </c>
      <c r="D6441" t="s">
        <v>23500</v>
      </c>
      <c r="E6441" t="s">
        <v>29074</v>
      </c>
    </row>
    <row r="6442" spans="1:5">
      <c r="A6442" t="s">
        <v>6</v>
      </c>
      <c r="B6442" t="s">
        <v>6447</v>
      </c>
      <c r="C6442">
        <f>HYPERLINK("C:\Users\franc\OneDrive\Documentos\MALENTIN KARIME\MANDATOS JUDICIALES\2016\SOCIEDAD AGRICOLA MIALQUI.doc", "Abrir Documento")</f>
        <v>0</v>
      </c>
      <c r="D6442" t="s">
        <v>23500</v>
      </c>
      <c r="E6442" t="s">
        <v>29075</v>
      </c>
    </row>
    <row r="6443" spans="1:5">
      <c r="A6443" t="s">
        <v>6</v>
      </c>
      <c r="B6443" t="s">
        <v>6448</v>
      </c>
      <c r="C6443">
        <f>HYPERLINK("C:\Users\franc\OneDrive\Documentos\MALENTIN KARIME\MANDATOS JUDICIALES\2016\ROMMY DIAZ A ANDRES CELEDON.doc", "Abrir Documento")</f>
        <v>0</v>
      </c>
      <c r="D6443" t="s">
        <v>23500</v>
      </c>
      <c r="E6443" t="s">
        <v>29076</v>
      </c>
    </row>
    <row r="6444" spans="1:5">
      <c r="A6444" t="s">
        <v>6</v>
      </c>
      <c r="B6444" t="s">
        <v>6449</v>
      </c>
      <c r="C6444">
        <f>HYPERLINK("C:\Users\franc\OneDrive\Documentos\MALENTIN KARIME\MANDATOS JUDICIALES\2016\ROBERTO TORRES Especial.doc", "Abrir Documento")</f>
        <v>0</v>
      </c>
      <c r="D6444" t="s">
        <v>23500</v>
      </c>
      <c r="E6444" t="s">
        <v>29077</v>
      </c>
    </row>
    <row r="6445" spans="1:5">
      <c r="A6445" t="s">
        <v>6</v>
      </c>
      <c r="B6445" t="s">
        <v>6450</v>
      </c>
      <c r="C6445">
        <f>HYPERLINK("C:\Users\franc\OneDrive\Documentos\MALENTIN KARIME\MANDATOS JUDICIALES\2016\RAUL PINTO CONCHA Minuta.doc", "Abrir Documento")</f>
        <v>0</v>
      </c>
      <c r="D6445" t="s">
        <v>23500</v>
      </c>
      <c r="E6445" t="s">
        <v>29078</v>
      </c>
    </row>
    <row r="6446" spans="1:5">
      <c r="A6446" t="s">
        <v>6</v>
      </c>
      <c r="B6446" t="s">
        <v>6451</v>
      </c>
      <c r="C6446">
        <f>HYPERLINK("C:\Users\franc\OneDrive\Documentos\MALENTIN KARIME\MANDATOS JUDICIALES\2016\OSVALDINA JERALDO Minuta.doc", "Abrir Documento")</f>
        <v>0</v>
      </c>
      <c r="D6446" t="s">
        <v>23500</v>
      </c>
      <c r="E6446" t="s">
        <v>29079</v>
      </c>
    </row>
    <row r="6447" spans="1:5">
      <c r="A6447" t="s">
        <v>6</v>
      </c>
      <c r="B6447" t="s">
        <v>6452</v>
      </c>
      <c r="C6447">
        <f>HYPERLINK("C:\Users\franc\OneDrive\Documentos\MALENTIN KARIME\MANDATOS JUDICIALES\2016\PATRICIO ESCOBAR A Gonzalo Phillips.doc", "Abrir Documento")</f>
        <v>0</v>
      </c>
      <c r="D6447" t="s">
        <v>23500</v>
      </c>
      <c r="E6447" t="s">
        <v>29079</v>
      </c>
    </row>
    <row r="6448" spans="1:5">
      <c r="A6448" t="s">
        <v>6</v>
      </c>
      <c r="B6448" t="s">
        <v>6453</v>
      </c>
      <c r="C6448">
        <f>HYPERLINK("C:\Users\franc\OneDrive\Documentos\MALENTIN KARIME\MANDATOS JUDICIALES\2016\OSMAN CORTES A CARLOS EYZAGUIRRE Minuta.doc", "Abrir Documento")</f>
        <v>0</v>
      </c>
      <c r="D6448" t="s">
        <v>23500</v>
      </c>
      <c r="E6448" t="s">
        <v>29080</v>
      </c>
    </row>
    <row r="6449" spans="1:5">
      <c r="A6449" t="s">
        <v>6</v>
      </c>
      <c r="B6449" t="s">
        <v>6454</v>
      </c>
      <c r="C6449">
        <f>HYPERLINK("C:\Users\franc\OneDrive\Documentos\MALENTIN KARIME\MANDATOS JUDICIALES\2016\oscar rojas hidalgo.doc", "Abrir Documento")</f>
        <v>0</v>
      </c>
      <c r="D6449" t="s">
        <v>23500</v>
      </c>
      <c r="E6449" t="s">
        <v>29081</v>
      </c>
    </row>
    <row r="6450" spans="1:5">
      <c r="A6450" t="s">
        <v>6</v>
      </c>
      <c r="B6450" t="s">
        <v>6455</v>
      </c>
      <c r="C6450">
        <f>HYPERLINK("C:\Users\franc\OneDrive\Documentos\MALENTIN KARIME\MANDATOS JUDICIALES\2016\MARTHA ALICIA CASTILLO ROJAS A Sebastian Huerta.doc", "Abrir Documento")</f>
        <v>0</v>
      </c>
      <c r="D6450" t="s">
        <v>23500</v>
      </c>
      <c r="E6450" t="s">
        <v>29082</v>
      </c>
    </row>
    <row r="6451" spans="1:5">
      <c r="A6451" t="s">
        <v>6</v>
      </c>
      <c r="B6451" t="s">
        <v>6456</v>
      </c>
      <c r="C6451">
        <f>HYPERLINK("C:\Users\franc\OneDrive\Documentos\MALENTIN KARIME\MANDATOS JUDICIALES\2016\MARCO LOPEZ CORTES Minuta.doc", "Abrir Documento")</f>
        <v>0</v>
      </c>
      <c r="D6451" t="s">
        <v>23500</v>
      </c>
      <c r="E6451" t="s">
        <v>29083</v>
      </c>
    </row>
    <row r="6452" spans="1:5">
      <c r="A6452" t="s">
        <v>6</v>
      </c>
      <c r="B6452" t="s">
        <v>6457</v>
      </c>
      <c r="C6452">
        <f>HYPERLINK("C:\Users\franc\OneDrive\Documentos\MALENTIN KARIME\MANDATOS JUDICIALES\2016\JUAN MANCILLA.doc", "Abrir Documento")</f>
        <v>0</v>
      </c>
      <c r="D6452" t="s">
        <v>23500</v>
      </c>
      <c r="E6452" t="s">
        <v>29084</v>
      </c>
    </row>
    <row r="6453" spans="1:5">
      <c r="A6453" t="s">
        <v>6</v>
      </c>
      <c r="B6453" t="s">
        <v>6458</v>
      </c>
      <c r="C6453">
        <f>HYPERLINK("C:\Users\franc\OneDrive\Documentos\MALENTIN KARIME\MANDATOS JUDICIALES\2016\HECTOR RIVERA MEspecial.doc", "Abrir Documento")</f>
        <v>0</v>
      </c>
      <c r="D6453" t="s">
        <v>23500</v>
      </c>
      <c r="E6453" t="s">
        <v>29085</v>
      </c>
    </row>
    <row r="6454" spans="1:5">
      <c r="A6454" t="s">
        <v>6</v>
      </c>
      <c r="B6454" t="s">
        <v>6459</v>
      </c>
      <c r="C6454">
        <f>HYPERLINK("C:\Users\franc\OneDrive\Documentos\MALENTIN KARIME\MANDATOS JUDICIALES\2016\GLORIA HERRERA JARA A William Gallegos.doc", "Abrir Documento")</f>
        <v>0</v>
      </c>
      <c r="D6454" t="s">
        <v>23500</v>
      </c>
      <c r="E6454" t="s">
        <v>29086</v>
      </c>
    </row>
    <row r="6455" spans="1:5">
      <c r="A6455" t="s">
        <v>6</v>
      </c>
      <c r="B6455" t="s">
        <v>6460</v>
      </c>
      <c r="C6455">
        <f>HYPERLINK("C:\Users\franc\OneDrive\Documentos\MALENTIN KARIME\MANDATOS JUDICIALES\2016\ERIC CASTILLO MICHEA.doc", "Abrir Documento")</f>
        <v>0</v>
      </c>
      <c r="D6455" t="s">
        <v>23500</v>
      </c>
      <c r="E6455" t="s">
        <v>29087</v>
      </c>
    </row>
    <row r="6456" spans="1:5">
      <c r="A6456" t="s">
        <v>6</v>
      </c>
      <c r="B6456" t="s">
        <v>6461</v>
      </c>
      <c r="C6456">
        <f>HYPERLINK("C:\Users\franc\OneDrive\Documentos\MALENTIN KARIME\MANDATOS JUDICIALES\2016\FRANCO SOLAR GUERRERO minuta.doc", "Abrir Documento")</f>
        <v>0</v>
      </c>
      <c r="D6456" t="s">
        <v>23500</v>
      </c>
      <c r="E6456" t="s">
        <v>29087</v>
      </c>
    </row>
    <row r="6457" spans="1:5">
      <c r="A6457" t="s">
        <v>6</v>
      </c>
      <c r="B6457" t="s">
        <v>6462</v>
      </c>
      <c r="C6457">
        <f>HYPERLINK("C:\Users\franc\OneDrive\Documentos\MALENTIN KARIME\MANDATOS JUDICIALES\2016\ELIAS RAMIREZ ARAYA Final.doc", "Abrir Documento")</f>
        <v>0</v>
      </c>
      <c r="D6457" t="s">
        <v>23500</v>
      </c>
      <c r="E6457" t="s">
        <v>29088</v>
      </c>
    </row>
    <row r="6458" spans="1:5">
      <c r="A6458" t="s">
        <v>6</v>
      </c>
      <c r="B6458" t="s">
        <v>6463</v>
      </c>
      <c r="C6458">
        <f>HYPERLINK("C:\Users\franc\OneDrive\Documentos\MALENTIN KARIME\MANDATOS JUDICIALES\2016\ELIAS RAMIREZ A JOHN GALLARDO GOMEZ.doc", "Abrir Documento")</f>
        <v>0</v>
      </c>
      <c r="D6458" t="s">
        <v>23500</v>
      </c>
      <c r="E6458" t="s">
        <v>29089</v>
      </c>
    </row>
    <row r="6459" spans="1:5">
      <c r="A6459" t="s">
        <v>6</v>
      </c>
      <c r="B6459" t="s">
        <v>6464</v>
      </c>
      <c r="C6459">
        <f>HYPERLINK("C:\Users\franc\OneDrive\Documentos\MALENTIN KARIME\MANDATOS JUDICIALES\2016\CRISTIAN RAMIREZ RODRIGUEZ A Patricio Moyla.doc", "Abrir Documento")</f>
        <v>0</v>
      </c>
      <c r="D6459" t="s">
        <v>23500</v>
      </c>
      <c r="E6459" t="s">
        <v>29090</v>
      </c>
    </row>
    <row r="6460" spans="1:5">
      <c r="A6460" t="s">
        <v>6</v>
      </c>
      <c r="B6460" t="s">
        <v>6465</v>
      </c>
      <c r="C6460">
        <f>HYPERLINK("C:\Users\franc\OneDrive\Documentos\MALENTIN KARIME\MANDATOS JUDICIALES\2016\DUAMEL YAÑEZ Minuta.doc", "Abrir Documento")</f>
        <v>0</v>
      </c>
      <c r="D6460" t="s">
        <v>23500</v>
      </c>
      <c r="E6460" t="s">
        <v>29090</v>
      </c>
    </row>
    <row r="6461" spans="1:5">
      <c r="A6461" t="s">
        <v>6</v>
      </c>
      <c r="B6461" t="s">
        <v>6466</v>
      </c>
      <c r="C6461">
        <f>HYPERLINK("C:\Users\franc\OneDrive\Documentos\MALENTIN KARIME\MANDATOS JUDICIALES\2016\ANDREA CODOCOEO Y OTROS MANDATO JUDICIAL CORREGIDO..doc", "Abrir Documento")</f>
        <v>0</v>
      </c>
      <c r="D6461" t="s">
        <v>23500</v>
      </c>
      <c r="E6461" t="s">
        <v>29091</v>
      </c>
    </row>
    <row r="6462" spans="1:5">
      <c r="A6462" t="s">
        <v>6</v>
      </c>
      <c r="B6462" t="s">
        <v>6467</v>
      </c>
      <c r="C6462">
        <f>HYPERLINK("C:\Users\franc\OneDrive\Documentos\MALENTIN KARIME\MANDATOS JUDICIALES\2016\ANDREA NAVEA ROBLES A Placido Navea.doc", "Abrir Documento")</f>
        <v>0</v>
      </c>
      <c r="D6462" t="s">
        <v>23500</v>
      </c>
      <c r="E6462" t="s">
        <v>29091</v>
      </c>
    </row>
    <row r="6463" spans="1:5">
      <c r="A6463" t="s">
        <v>6</v>
      </c>
      <c r="B6463" t="s">
        <v>6468</v>
      </c>
      <c r="C6463">
        <f>HYPERLINK("C:\Users\franc\OneDrive\Documentos\MALENTIN KARIME\MANDATOS JUDICIALES\2016\ALEXIS JIMENEZ PEREZ.doc", "Abrir Documento")</f>
        <v>0</v>
      </c>
      <c r="D6463" t="s">
        <v>23500</v>
      </c>
      <c r="E6463" t="s">
        <v>29092</v>
      </c>
    </row>
    <row r="6464" spans="1:5">
      <c r="A6464" t="s">
        <v>6</v>
      </c>
      <c r="B6464" t="s">
        <v>6469</v>
      </c>
      <c r="C6464">
        <f>HYPERLINK("C:\Users\franc\OneDrive\Documentos\MALENTIN KARIME\MANDATOS JUDICIALES\2015\YAMILET ALFARO A Camila Cortes.doc", "Abrir Documento")</f>
        <v>0</v>
      </c>
      <c r="D6464" t="s">
        <v>23500</v>
      </c>
      <c r="E6464" t="s">
        <v>29093</v>
      </c>
    </row>
    <row r="6465" spans="1:5">
      <c r="A6465" t="s">
        <v>6</v>
      </c>
      <c r="B6465" t="s">
        <v>6470</v>
      </c>
      <c r="C6465">
        <f>HYPERLINK("C:\Users\franc\OneDrive\Documentos\MALENTIN KARIME\MANDATOS JUDICIALES\2015\VICTORIA GARATE POBLETE Minuta 2015.doc", "Abrir Documento")</f>
        <v>0</v>
      </c>
      <c r="D6465" t="s">
        <v>23500</v>
      </c>
      <c r="E6465" t="s">
        <v>29094</v>
      </c>
    </row>
    <row r="6466" spans="1:5">
      <c r="A6466" t="s">
        <v>6</v>
      </c>
      <c r="B6466" t="s">
        <v>6471</v>
      </c>
      <c r="C6466">
        <f>HYPERLINK("C:\Users\franc\OneDrive\Documentos\MALENTIN KARIME\MANDATOS JUDICIALES\2015\SILVIA CONTADOR Judicial Especial2015.doc", "Abrir Documento")</f>
        <v>0</v>
      </c>
      <c r="D6466" t="s">
        <v>23500</v>
      </c>
      <c r="E6466" t="s">
        <v>29095</v>
      </c>
    </row>
    <row r="6467" spans="1:5">
      <c r="A6467" t="s">
        <v>6</v>
      </c>
      <c r="B6467" t="s">
        <v>6472</v>
      </c>
      <c r="C6467">
        <f>HYPERLINK("C:\Users\franc\OneDrive\Documentos\MALENTIN KARIME\MANDATOS JUDICIALES\2015\ROSAMEL OPAZO especial.doc", "Abrir Documento")</f>
        <v>0</v>
      </c>
      <c r="D6467" t="s">
        <v>23500</v>
      </c>
      <c r="E6467" t="s">
        <v>29096</v>
      </c>
    </row>
    <row r="6468" spans="1:5">
      <c r="A6468" t="s">
        <v>6</v>
      </c>
      <c r="B6468" t="s">
        <v>6473</v>
      </c>
      <c r="C6468">
        <f>HYPERLINK("C:\Users\franc\OneDrive\Documentos\MALENTIN KARIME\MANDATOS JUDICIALES\2015\SANDRO LOPEZ A ERICA SEPULVEDA Minuta.doc", "Abrir Documento")</f>
        <v>0</v>
      </c>
      <c r="D6468" t="s">
        <v>23500</v>
      </c>
      <c r="E6468" t="s">
        <v>29096</v>
      </c>
    </row>
    <row r="6469" spans="1:5">
      <c r="A6469" t="s">
        <v>6</v>
      </c>
      <c r="B6469" t="s">
        <v>6474</v>
      </c>
      <c r="C6469">
        <f>HYPERLINK("C:\Users\franc\OneDrive\Documentos\MALENTIN KARIME\MANDATOS JUDICIALES\2015\ROSA VEGA MICHEA A Ivan Olavarria Mandato con formato notaria.doc", "Abrir Documento")</f>
        <v>0</v>
      </c>
      <c r="D6469" t="s">
        <v>23500</v>
      </c>
      <c r="E6469" t="s">
        <v>29097</v>
      </c>
    </row>
    <row r="6470" spans="1:5">
      <c r="A6470" t="s">
        <v>6</v>
      </c>
      <c r="B6470" t="s">
        <v>6475</v>
      </c>
      <c r="C6470">
        <f>HYPERLINK("C:\Users\franc\OneDrive\Documentos\MALENTIN KARIME\MANDATOS JUDICIALES\2015\RODOLFO FERNANDEZ MIRANDA Minuta.doc", "Abrir Documento")</f>
        <v>0</v>
      </c>
      <c r="D6470" t="s">
        <v>23500</v>
      </c>
      <c r="E6470" t="s">
        <v>29098</v>
      </c>
    </row>
    <row r="6471" spans="1:5">
      <c r="A6471" t="s">
        <v>6</v>
      </c>
      <c r="B6471" t="s">
        <v>6476</v>
      </c>
      <c r="C6471">
        <f>HYPERLINK("C:\Users\franc\OneDrive\Documentos\MALENTIN KARIME\MANDATOS JUDICIALES\2015\RODRIGO ORTIZ Mandato con formato notaria.doc", "Abrir Documento")</f>
        <v>0</v>
      </c>
      <c r="D6471" t="s">
        <v>23500</v>
      </c>
      <c r="E6471" t="s">
        <v>29098</v>
      </c>
    </row>
    <row r="6472" spans="1:5">
      <c r="A6472" t="s">
        <v>6</v>
      </c>
      <c r="B6472" t="s">
        <v>6477</v>
      </c>
      <c r="C6472">
        <f>HYPERLINK("C:\Users\franc\OneDrive\Documentos\MALENTIN KARIME\MANDATOS JUDICIALES\2015\RIGOBERTO LOBOS MARTINEZ Minutaç.doc", "Abrir Documento")</f>
        <v>0</v>
      </c>
      <c r="D6472" t="s">
        <v>23500</v>
      </c>
      <c r="E6472" t="s">
        <v>29099</v>
      </c>
    </row>
    <row r="6473" spans="1:5">
      <c r="A6473" t="s">
        <v>6</v>
      </c>
      <c r="B6473" t="s">
        <v>6478</v>
      </c>
      <c r="C6473">
        <f>HYPERLINK("C:\Users\franc\OneDrive\Documentos\MALENTIN KARIME\MANDATOS JUDICIALES\2015\RICARDO GOMEZ ANGEL.doc", "Abrir Documento")</f>
        <v>0</v>
      </c>
      <c r="D6473" t="s">
        <v>23500</v>
      </c>
      <c r="E6473" t="s">
        <v>29100</v>
      </c>
    </row>
    <row r="6474" spans="1:5">
      <c r="A6474" t="s">
        <v>6</v>
      </c>
      <c r="B6474" t="s">
        <v>6479</v>
      </c>
      <c r="C6474">
        <f>HYPERLINK("C:\Users\franc\OneDrive\Documentos\MALENTIN KARIME\MANDATOS JUDICIALES\2015\RICARDO ADONES A Mauricio Cortes.doc", "Abrir Documento")</f>
        <v>0</v>
      </c>
      <c r="D6474" t="s">
        <v>23500</v>
      </c>
      <c r="E6474" t="s">
        <v>29101</v>
      </c>
    </row>
    <row r="6475" spans="1:5">
      <c r="A6475" t="s">
        <v>6</v>
      </c>
      <c r="B6475" t="s">
        <v>6480</v>
      </c>
      <c r="C6475">
        <f>HYPERLINK("C:\Users\franc\OneDrive\Documentos\MALENTIN KARIME\MANDATOS JUDICIALES\2015\PAULINA ZAMORA A Werner Dufey Minuta.doc", "Abrir Documento")</f>
        <v>0</v>
      </c>
      <c r="D6475" t="s">
        <v>23500</v>
      </c>
      <c r="E6475" t="s">
        <v>29102</v>
      </c>
    </row>
    <row r="6476" spans="1:5">
      <c r="A6476" t="s">
        <v>6</v>
      </c>
      <c r="B6476" t="s">
        <v>6481</v>
      </c>
      <c r="C6476">
        <f>HYPERLINK("C:\Users\franc\OneDrive\Documentos\MALENTIN KARIME\MANDATOS JUDICIALES\2015\RAMON ARANCIBIA A JOSE SALAZAR.doc", "Abrir Documento")</f>
        <v>0</v>
      </c>
      <c r="D6476" t="s">
        <v>23500</v>
      </c>
      <c r="E6476" t="s">
        <v>29102</v>
      </c>
    </row>
    <row r="6477" spans="1:5">
      <c r="A6477" t="s">
        <v>6</v>
      </c>
      <c r="B6477" t="s">
        <v>6482</v>
      </c>
      <c r="C6477">
        <f>HYPERLINK("C:\Users\franc\OneDrive\Documentos\MALENTIN KARIME\MANDATOS JUDICIALES\2015\PABLO MARIN MADARIAGA A Diego Soto Minuta.doc", "Abrir Documento")</f>
        <v>0</v>
      </c>
      <c r="D6477" t="s">
        <v>23500</v>
      </c>
      <c r="E6477" t="s">
        <v>29103</v>
      </c>
    </row>
    <row r="6478" spans="1:5">
      <c r="A6478" t="s">
        <v>6</v>
      </c>
      <c r="B6478" t="s">
        <v>6483</v>
      </c>
      <c r="C6478">
        <f>HYPERLINK("C:\Users\franc\OneDrive\Documentos\MALENTIN KARIME\MANDATOS JUDICIALES\2015\OSCAR CARDENAS A Nicolas Marquez.doc", "Abrir Documento")</f>
        <v>0</v>
      </c>
      <c r="D6478" t="s">
        <v>23500</v>
      </c>
      <c r="E6478" t="s">
        <v>29104</v>
      </c>
    </row>
    <row r="6479" spans="1:5">
      <c r="A6479" t="s">
        <v>6</v>
      </c>
      <c r="B6479" t="s">
        <v>6484</v>
      </c>
      <c r="C6479">
        <f>HYPERLINK("C:\Users\franc\OneDrive\Documentos\MALENTIN KARIME\MANDATOS JUDICIALES\2015\OSMAN CORTES A DANIELA DIAZ.doc", "Abrir Documento")</f>
        <v>0</v>
      </c>
      <c r="D6479" t="s">
        <v>23500</v>
      </c>
      <c r="E6479" t="s">
        <v>29104</v>
      </c>
    </row>
    <row r="6480" spans="1:5">
      <c r="A6480" t="s">
        <v>6</v>
      </c>
      <c r="B6480" t="s">
        <v>6485</v>
      </c>
      <c r="C6480">
        <f>HYPERLINK("C:\Users\franc\OneDrive\Documentos\MALENTIN KARIME\MANDATOS JUDICIALES\2015\OMAR SEGOVIA TABILO Y OTRO Mandato con formato notaria.doc", "Abrir Documento")</f>
        <v>0</v>
      </c>
      <c r="D6480" t="s">
        <v>23500</v>
      </c>
      <c r="E6480" t="s">
        <v>29105</v>
      </c>
    </row>
    <row r="6481" spans="1:5">
      <c r="A6481" t="s">
        <v>6</v>
      </c>
      <c r="B6481" t="s">
        <v>6486</v>
      </c>
      <c r="C6481">
        <f>HYPERLINK("C:\Users\franc\OneDrive\Documentos\MALENTIN KARIME\MANDATOS JUDICIALES\2015\NESTOR TARBES SOTO Mandato con formato notaria.doc", "Abrir Documento")</f>
        <v>0</v>
      </c>
      <c r="D6481" t="s">
        <v>23500</v>
      </c>
      <c r="E6481" t="s">
        <v>29106</v>
      </c>
    </row>
    <row r="6482" spans="1:5">
      <c r="A6482" t="s">
        <v>6</v>
      </c>
      <c r="B6482" t="s">
        <v>6487</v>
      </c>
      <c r="C6482">
        <f>HYPERLINK("C:\Users\franc\OneDrive\Documentos\MALENTIN KARIME\MANDATOS JUDICIALES\2015\MAURICIO AGUILERA A Efraín Villalobos.doc", "Abrir Documento")</f>
        <v>0</v>
      </c>
      <c r="D6482" t="s">
        <v>23500</v>
      </c>
      <c r="E6482" t="s">
        <v>29107</v>
      </c>
    </row>
    <row r="6483" spans="1:5">
      <c r="A6483" t="s">
        <v>6</v>
      </c>
      <c r="B6483" t="s">
        <v>6488</v>
      </c>
      <c r="C6483">
        <f>HYPERLINK("C:\Users\franc\OneDrive\Documentos\MALENTIN KARIME\MANDATOS JUDICIALES\2015\MARCELO FIGUEROA A Sebastian Covarrubias minuta.doc", "Abrir Documento")</f>
        <v>0</v>
      </c>
      <c r="D6483" t="s">
        <v>23500</v>
      </c>
      <c r="E6483" t="s">
        <v>29108</v>
      </c>
    </row>
    <row r="6484" spans="1:5">
      <c r="A6484" t="s">
        <v>6</v>
      </c>
      <c r="B6484" t="s">
        <v>6489</v>
      </c>
      <c r="C6484">
        <f>HYPERLINK("C:\Users\franc\OneDrive\Documentos\MALENTIN KARIME\MANDATOS JUDICIALES\2015\LUISA GODOY CHARLIN Minuta.doc", "Abrir Documento")</f>
        <v>0</v>
      </c>
      <c r="D6484" t="s">
        <v>23500</v>
      </c>
      <c r="E6484" t="s">
        <v>29109</v>
      </c>
    </row>
    <row r="6485" spans="1:5">
      <c r="A6485" t="s">
        <v>6</v>
      </c>
      <c r="B6485" t="s">
        <v>6490</v>
      </c>
      <c r="C6485">
        <f>HYPERLINK("C:\Users\franc\OneDrive\Documentos\MALENTIN KARIME\MANDATOS JUDICIALES\2015\LEONARDO IRARRAZABAL Minuta.doc", "Abrir Documento")</f>
        <v>0</v>
      </c>
      <c r="D6485" t="s">
        <v>23500</v>
      </c>
      <c r="E6485" t="s">
        <v>29110</v>
      </c>
    </row>
    <row r="6486" spans="1:5">
      <c r="A6486" t="s">
        <v>6</v>
      </c>
      <c r="B6486" t="s">
        <v>6491</v>
      </c>
      <c r="C6486">
        <f>HYPERLINK("C:\Users\franc\OneDrive\Documentos\MALENTIN KARIME\MANDATOS JUDICIALES\2015\JUAN ORDENES SALINAS Minuta.doc", "Abrir Documento")</f>
        <v>0</v>
      </c>
      <c r="D6486" t="s">
        <v>23500</v>
      </c>
      <c r="E6486" t="s">
        <v>29111</v>
      </c>
    </row>
    <row r="6487" spans="1:5">
      <c r="A6487" t="s">
        <v>6</v>
      </c>
      <c r="B6487" t="s">
        <v>6492</v>
      </c>
      <c r="C6487">
        <f>HYPERLINK("C:\Users\franc\OneDrive\Documentos\MALENTIN KARIME\MANDATOS JUDICIALES\2015\JUAN ORDENES SALINAS Minuta visto bueno.doc", "Abrir Documento")</f>
        <v>0</v>
      </c>
      <c r="D6487" t="s">
        <v>23500</v>
      </c>
      <c r="E6487" t="s">
        <v>29112</v>
      </c>
    </row>
    <row r="6488" spans="1:5">
      <c r="A6488" t="s">
        <v>6</v>
      </c>
      <c r="B6488" t="s">
        <v>6493</v>
      </c>
      <c r="C6488">
        <f>HYPERLINK("C:\Users\franc\OneDrive\Documentos\MALENTIN KARIME\MANDATOS JUDICIALES\2015\JUAN MUÑOZ CONTRERAS Minuta.doc", "Abrir Documento")</f>
        <v>0</v>
      </c>
      <c r="D6488" t="s">
        <v>23500</v>
      </c>
      <c r="E6488" t="s">
        <v>29113</v>
      </c>
    </row>
    <row r="6489" spans="1:5">
      <c r="A6489" t="s">
        <v>6</v>
      </c>
      <c r="B6489" t="s">
        <v>6494</v>
      </c>
      <c r="C6489">
        <f>HYPERLINK("C:\Users\franc\OneDrive\Documentos\MALENTIN KARIME\MANDATOS JUDICIALES\2015\JUAN HERNANDEZ A LUIS CHINCON.doc", "Abrir Documento")</f>
        <v>0</v>
      </c>
      <c r="D6489" t="s">
        <v>23500</v>
      </c>
      <c r="E6489" t="s">
        <v>29114</v>
      </c>
    </row>
    <row r="6490" spans="1:5">
      <c r="A6490" t="s">
        <v>6</v>
      </c>
      <c r="B6490" t="s">
        <v>6495</v>
      </c>
      <c r="C6490">
        <f>HYPERLINK("C:\Users\franc\OneDrive\Documentos\MALENTIN KARIME\MANDATOS JUDICIALES\2015\JONATHAN PÓNCE.doc", "Abrir Documento")</f>
        <v>0</v>
      </c>
      <c r="D6490" t="s">
        <v>23500</v>
      </c>
      <c r="E6490" t="s">
        <v>29115</v>
      </c>
    </row>
    <row r="6491" spans="1:5">
      <c r="A6491" t="s">
        <v>6</v>
      </c>
      <c r="B6491" t="s">
        <v>6496</v>
      </c>
      <c r="C6491">
        <f>HYPERLINK("C:\Users\franc\OneDrive\Documentos\MALENTIN KARIME\MANDATOS JUDICIALES\2015\JENNY CASTILLO A JORGE HENRIQUEZ Mandato con formato notaria.doc", "Abrir Documento")</f>
        <v>0</v>
      </c>
      <c r="D6491" t="s">
        <v>23500</v>
      </c>
      <c r="E6491" t="s">
        <v>29116</v>
      </c>
    </row>
    <row r="6492" spans="1:5">
      <c r="A6492" t="s">
        <v>6</v>
      </c>
      <c r="B6492" t="s">
        <v>6497</v>
      </c>
      <c r="C6492">
        <f>HYPERLINK("C:\Users\franc\OneDrive\Documentos\MALENTIN KARIME\MANDATOS JUDICIALES\2015\HUGO ANDRADE A JOSE ILABACA Minuta Agosto 2015.doc", "Abrir Documento")</f>
        <v>0</v>
      </c>
      <c r="D6492" t="s">
        <v>23500</v>
      </c>
      <c r="E6492" t="s">
        <v>29117</v>
      </c>
    </row>
    <row r="6493" spans="1:5">
      <c r="A6493" t="s">
        <v>6</v>
      </c>
      <c r="B6493" t="s">
        <v>6498</v>
      </c>
      <c r="C6493">
        <f>HYPERLINK("C:\Users\franc\OneDrive\Documentos\MALENTIN KARIME\MANDATOS JUDICIALES\2015\JENNY ARGANDOÑA A Ivan Olavarria Mandato con formato notaria.doc", "Abrir Documento")</f>
        <v>0</v>
      </c>
      <c r="D6493" t="s">
        <v>23500</v>
      </c>
      <c r="E6493" t="s">
        <v>29117</v>
      </c>
    </row>
    <row r="6494" spans="1:5">
      <c r="A6494" t="s">
        <v>6</v>
      </c>
      <c r="B6494" t="s">
        <v>6499</v>
      </c>
      <c r="C6494">
        <f>HYPERLINK("C:\Users\franc\OneDrive\Documentos\MALENTIN KARIME\MANDATOS JUDICIALES\2015\GIN ROBLES A LUIS MENARES Mandato con formato notaria.doc", "Abrir Documento")</f>
        <v>0</v>
      </c>
      <c r="D6494" t="s">
        <v>23500</v>
      </c>
      <c r="E6494" t="s">
        <v>29118</v>
      </c>
    </row>
    <row r="6495" spans="1:5">
      <c r="A6495" t="s">
        <v>6</v>
      </c>
      <c r="B6495" t="s">
        <v>6500</v>
      </c>
      <c r="C6495">
        <f>HYPERLINK("C:\Users\franc\OneDrive\Documentos\MALENTIN KARIME\MANDATOS JUDICIALES\2015\GEDEON ARAYA MUÑOZmandato para Antofagasta (actualizado).doc", "Abrir Documento")</f>
        <v>0</v>
      </c>
      <c r="D6495" t="s">
        <v>23500</v>
      </c>
      <c r="E6495" t="s">
        <v>29119</v>
      </c>
    </row>
    <row r="6496" spans="1:5">
      <c r="A6496" t="s">
        <v>6</v>
      </c>
      <c r="B6496" t="s">
        <v>6501</v>
      </c>
      <c r="C6496">
        <f>HYPERLINK("C:\Users\franc\OneDrive\Documentos\MALENTIN KARIME\MANDATOS JUDICIALES\2015\FDO PEÑAFIEL.doc", "Abrir Documento")</f>
        <v>0</v>
      </c>
      <c r="D6496" t="s">
        <v>23500</v>
      </c>
      <c r="E6496" t="s">
        <v>29120</v>
      </c>
    </row>
    <row r="6497" spans="1:5">
      <c r="A6497" t="s">
        <v>6</v>
      </c>
      <c r="B6497" t="s">
        <v>6502</v>
      </c>
      <c r="C6497">
        <f>HYPERLINK("C:\Users\franc\OneDrive\Documentos\MALENTIN KARIME\MANDATOS JUDICIALES\2015\EDITH RIVERA HERRERA A ALDO ROJAS minuta.doc", "Abrir Documento")</f>
        <v>0</v>
      </c>
      <c r="D6497" t="s">
        <v>23500</v>
      </c>
      <c r="E6497" t="s">
        <v>29121</v>
      </c>
    </row>
    <row r="6498" spans="1:5">
      <c r="A6498" t="s">
        <v>6</v>
      </c>
      <c r="B6498" t="s">
        <v>6503</v>
      </c>
      <c r="C6498">
        <f>HYPERLINK("C:\Users\franc\OneDrive\Documentos\MALENTIN KARIME\MANDATOS JUDICIALES\2015\DANIEL LEON ASTORGA Mandato con formato notaria.doc", "Abrir Documento")</f>
        <v>0</v>
      </c>
      <c r="D6498" t="s">
        <v>23500</v>
      </c>
      <c r="E6498" t="s">
        <v>29122</v>
      </c>
    </row>
    <row r="6499" spans="1:5">
      <c r="A6499" t="s">
        <v>6</v>
      </c>
      <c r="B6499" t="s">
        <v>6504</v>
      </c>
      <c r="C6499">
        <f>HYPERLINK("C:\Users\franc\OneDrive\Documentos\MALENTIN KARIME\MANDATOS JUDICIALES\2015\CRISTIAN MOYA-1.docx", "Abrir Documento")</f>
        <v>0</v>
      </c>
      <c r="D6499" t="s">
        <v>23501</v>
      </c>
      <c r="E6499" t="s">
        <v>29123</v>
      </c>
    </row>
    <row r="6500" spans="1:5">
      <c r="A6500" t="s">
        <v>6</v>
      </c>
      <c r="B6500" t="s">
        <v>6505</v>
      </c>
      <c r="C6500">
        <f>HYPERLINK("C:\Users\franc\OneDrive\Documentos\MALENTIN KARIME\MANDATOS JUDICIALES\2015\COMUNIDAD AGRICOLA ORURO A Sebastian Covarrubias.doc", "Abrir Documento")</f>
        <v>0</v>
      </c>
      <c r="D6500" t="s">
        <v>23500</v>
      </c>
      <c r="E6500" t="s">
        <v>29124</v>
      </c>
    </row>
    <row r="6501" spans="1:5">
      <c r="A6501" t="s">
        <v>6</v>
      </c>
      <c r="B6501" t="s">
        <v>6506</v>
      </c>
      <c r="C6501">
        <f>HYPERLINK("C:\Users\franc\OneDrive\Documentos\MALENTIN KARIME\MANDATOS JUDICIALES\2015\CESAR FLORES ROJAS A Jose Troya Mandato particion.doc", "Abrir Documento")</f>
        <v>0</v>
      </c>
      <c r="D6501" t="s">
        <v>23500</v>
      </c>
      <c r="E6501" t="s">
        <v>29125</v>
      </c>
    </row>
    <row r="6502" spans="1:5">
      <c r="A6502" t="s">
        <v>6</v>
      </c>
      <c r="B6502" t="s">
        <v>6507</v>
      </c>
      <c r="C6502">
        <f>HYPERLINK("C:\Users\franc\OneDrive\Documentos\MALENTIN KARIME\MANDATOS JUDICIALES\2015\CARLOS ROJAS NUÑEZ A Gozalo Cangas.doc", "Abrir Documento")</f>
        <v>0</v>
      </c>
      <c r="D6502" t="s">
        <v>23500</v>
      </c>
      <c r="E6502" t="s">
        <v>29126</v>
      </c>
    </row>
    <row r="6503" spans="1:5">
      <c r="A6503" t="s">
        <v>6</v>
      </c>
      <c r="B6503" t="s">
        <v>6508</v>
      </c>
      <c r="C6503">
        <f>HYPERLINK("C:\Users\franc\OneDrive\Documentos\MALENTIN KARIME\MANDATOS JUDICIALES\2015\BRAULIO MUÑOZ VEGA A Ivan Olavarria Mandato con formato notaria.doc", "Abrir Documento")</f>
        <v>0</v>
      </c>
      <c r="D6503" t="s">
        <v>23500</v>
      </c>
      <c r="E6503" t="s">
        <v>29127</v>
      </c>
    </row>
    <row r="6504" spans="1:5">
      <c r="A6504" t="s">
        <v>6</v>
      </c>
      <c r="B6504" t="s">
        <v>6509</v>
      </c>
      <c r="C6504">
        <f>HYPERLINK("C:\Users\franc\OneDrive\Documentos\MALENTIN KARIME\MANDATOS JUDICIALES\2015\ANTONIO ACUÑA ALFAROJudicial Especial.doc", "Abrir Documento")</f>
        <v>0</v>
      </c>
      <c r="D6504" t="s">
        <v>23500</v>
      </c>
      <c r="E6504" t="s">
        <v>29128</v>
      </c>
    </row>
    <row r="6505" spans="1:5">
      <c r="A6505" t="s">
        <v>6</v>
      </c>
      <c r="B6505" t="s">
        <v>6510</v>
      </c>
      <c r="C6505">
        <f>HYPERLINK("C:\Users\franc\OneDrive\Documentos\MALENTIN KARIME\MANDATOS JUDICIALES\2015\ANDRES VILLALOBOS Minuta.doc", "Abrir Documento")</f>
        <v>0</v>
      </c>
      <c r="D6505" t="s">
        <v>23500</v>
      </c>
      <c r="E6505" t="s">
        <v>29129</v>
      </c>
    </row>
    <row r="6506" spans="1:5">
      <c r="A6506" t="s">
        <v>6</v>
      </c>
      <c r="B6506" t="s">
        <v>6511</v>
      </c>
      <c r="C6506">
        <f>HYPERLINK("C:\Users\franc\OneDrive\Documentos\MALENTIN KARIME\MANDATOS JUDICIALES\2015\ALEXIS BRIONES A CHRISITIAN CASTRO Minuta.doc", "Abrir Documento")</f>
        <v>0</v>
      </c>
      <c r="D6506" t="s">
        <v>23500</v>
      </c>
      <c r="E6506" t="s">
        <v>29130</v>
      </c>
    </row>
    <row r="6507" spans="1:5">
      <c r="A6507" t="s">
        <v>6</v>
      </c>
      <c r="B6507" t="s">
        <v>6512</v>
      </c>
      <c r="C6507">
        <f>HYPERLINK("C:\Users\franc\OneDrive\Documentos\MALENTIN KARIME\MANDATOS JUDICIALES\2015\ANA OLIVARES CASTILLO Minuta.doc", "Abrir Documento")</f>
        <v>0</v>
      </c>
      <c r="D6507" t="s">
        <v>23500</v>
      </c>
      <c r="E6507" t="s">
        <v>29130</v>
      </c>
    </row>
    <row r="6508" spans="1:5">
      <c r="A6508" t="s">
        <v>6</v>
      </c>
      <c r="B6508" t="s">
        <v>6513</v>
      </c>
      <c r="C6508">
        <f>HYPERLINK("C:\Users\franc\OneDrive\Documentos\MALENTIN KARIME\MANDATOS JUDICIALES\2015\ALEX FLORES HIDALGO A WERNER DUFEY.doc", "Abrir Documento")</f>
        <v>0</v>
      </c>
      <c r="D6508" t="s">
        <v>23500</v>
      </c>
      <c r="E6508" t="s">
        <v>29131</v>
      </c>
    </row>
    <row r="6509" spans="1:5">
      <c r="A6509" t="s">
        <v>6</v>
      </c>
      <c r="B6509" t="s">
        <v>6514</v>
      </c>
      <c r="C6509">
        <f>HYPERLINK("C:\Users\franc\OneDrive\Documentos\MALENTIN KARIME\MANDATOS JUDICIALES\2015\ALDO CARVAJAL LARA Formato notaria.doc", "Abrir Documento")</f>
        <v>0</v>
      </c>
      <c r="D6509" t="s">
        <v>23500</v>
      </c>
      <c r="E6509" t="s">
        <v>29132</v>
      </c>
    </row>
    <row r="6510" spans="1:5">
      <c r="A6510" t="s">
        <v>6</v>
      </c>
      <c r="B6510" t="s">
        <v>6515</v>
      </c>
      <c r="C6510">
        <f>HYPERLINK("C:\Users\franc\OneDrive\Documentos\MALENTIN KARIME\MANDATOS JUDICIALES\2014\SARA MALUENDA A OSCAR MELLLA externo.doc", "Abrir Documento")</f>
        <v>0</v>
      </c>
      <c r="D6510" t="s">
        <v>23500</v>
      </c>
      <c r="E6510" t="s">
        <v>29133</v>
      </c>
    </row>
    <row r="6511" spans="1:5">
      <c r="A6511" t="s">
        <v>6</v>
      </c>
      <c r="B6511" t="s">
        <v>6516</v>
      </c>
      <c r="C6511">
        <f>HYPERLINK("C:\Users\franc\OneDrive\Documentos\MALENTIN KARIME\MANDATOS JUDICIALES\2014\VICTOR ABALOS MORALES A Sebastian Castro Jun 14.doc", "Abrir Documento")</f>
        <v>0</v>
      </c>
      <c r="D6511" t="s">
        <v>23500</v>
      </c>
      <c r="E6511" t="s">
        <v>29133</v>
      </c>
    </row>
    <row r="6512" spans="1:5">
      <c r="A6512" t="s">
        <v>6</v>
      </c>
      <c r="B6512" t="s">
        <v>6517</v>
      </c>
      <c r="C6512">
        <f>HYPERLINK("C:\Users\franc\OneDrive\Documentos\MALENTIN KARIME\MANDATOS JUDICIALES\2014\RICARDO GALLARDO Minuta.doc", "Abrir Documento")</f>
        <v>0</v>
      </c>
      <c r="D6512" t="s">
        <v>23500</v>
      </c>
      <c r="E6512" t="s">
        <v>29134</v>
      </c>
    </row>
    <row r="6513" spans="1:5">
      <c r="A6513" t="s">
        <v>6</v>
      </c>
      <c r="B6513" t="s">
        <v>6518</v>
      </c>
      <c r="C6513">
        <f>HYPERLINK("C:\Users\franc\OneDrive\Documentos\MALENTIN KARIME\MANDATOS JUDICIALES\2014\NIVALDO CAMPOS minuta.doc", "Abrir Documento")</f>
        <v>0</v>
      </c>
      <c r="D6513" t="s">
        <v>23500</v>
      </c>
      <c r="E6513" t="s">
        <v>29135</v>
      </c>
    </row>
    <row r="6514" spans="1:5">
      <c r="A6514" t="s">
        <v>6</v>
      </c>
      <c r="B6514" t="s">
        <v>6519</v>
      </c>
      <c r="C6514">
        <f>HYPERLINK("C:\Users\franc\OneDrive\Documentos\MALENTIN KARIME\MANDATOS JUDICIALES\2014\MERCEDES PIZARRO A MIGUEL BADILLA.doc", "Abrir Documento")</f>
        <v>0</v>
      </c>
      <c r="D6514" t="s">
        <v>23500</v>
      </c>
      <c r="E6514" t="s">
        <v>29136</v>
      </c>
    </row>
    <row r="6515" spans="1:5">
      <c r="A6515" t="s">
        <v>6</v>
      </c>
      <c r="B6515" t="s">
        <v>6520</v>
      </c>
      <c r="C6515">
        <f>HYPERLINK("C:\Users\franc\OneDrive\Documentos\MALENTIN KARIME\MANDATOS JUDICIALES\2014\NIBALDO ALVAREZ A PETER TAPIA Minuta.doc", "Abrir Documento")</f>
        <v>0</v>
      </c>
      <c r="D6515" t="s">
        <v>23500</v>
      </c>
      <c r="E6515" t="s">
        <v>29136</v>
      </c>
    </row>
    <row r="6516" spans="1:5">
      <c r="A6516" t="s">
        <v>6</v>
      </c>
      <c r="B6516" t="s">
        <v>6521</v>
      </c>
      <c r="C6516">
        <f>HYPERLINK("C:\Users\franc\OneDrive\Documentos\MALENTIN KARIME\MANDATOS JUDICIALES\2014\MARIA ARAYA VEGA A MARIA YAGUNA NUEVA FINAL Minuta.doc", "Abrir Documento")</f>
        <v>0</v>
      </c>
      <c r="D6516" t="s">
        <v>23500</v>
      </c>
      <c r="E6516" t="s">
        <v>29137</v>
      </c>
    </row>
    <row r="6517" spans="1:5">
      <c r="A6517" t="s">
        <v>6</v>
      </c>
      <c r="B6517" t="s">
        <v>6522</v>
      </c>
      <c r="C6517">
        <f>HYPERLINK("C:\Users\franc\OneDrive\Documentos\MALENTIN KARIME\MANDATOS JUDICIALES\2014\MARIA ARAYA VEGA A FERNANDO MANDIOLA Minuta.doc", "Abrir Documento")</f>
        <v>0</v>
      </c>
      <c r="D6517" t="s">
        <v>23500</v>
      </c>
      <c r="E6517" t="s">
        <v>29138</v>
      </c>
    </row>
    <row r="6518" spans="1:5">
      <c r="A6518" t="s">
        <v>6</v>
      </c>
      <c r="B6518" t="s">
        <v>6523</v>
      </c>
      <c r="C6518">
        <f>HYPERLINK("C:\Users\franc\OneDrive\Documentos\MALENTIN KARIME\MANDATOS JUDICIALES\2014\MARCOS VILLARROEL Minuta.docx", "Abrir Documento")</f>
        <v>0</v>
      </c>
      <c r="D6518" t="s">
        <v>23501</v>
      </c>
      <c r="E6518" t="s">
        <v>29139</v>
      </c>
    </row>
    <row r="6519" spans="1:5">
      <c r="A6519" t="s">
        <v>6</v>
      </c>
      <c r="B6519" t="s">
        <v>6524</v>
      </c>
      <c r="C6519">
        <f>HYPERLINK("C:\Users\franc\OneDrive\Documentos\MALENTIN KARIME\MANDATOS JUDICIALES\2014\ESTEBAN GUERRERO A Gina Maray.doc", "Abrir Documento")</f>
        <v>0</v>
      </c>
      <c r="D6519" t="s">
        <v>23500</v>
      </c>
      <c r="E6519" t="s">
        <v>29140</v>
      </c>
    </row>
    <row r="6520" spans="1:5">
      <c r="A6520" t="s">
        <v>6</v>
      </c>
      <c r="B6520" t="s">
        <v>6525</v>
      </c>
      <c r="C6520">
        <f>HYPERLINK("C:\Users\franc\OneDrive\Documentos\MALENTIN KARIME\MANDATOS JUDICIALES\2014\EDGARDO ROJAS A PAULINA CELIS Mandato y  mutuo acuerdo.doc", "Abrir Documento")</f>
        <v>0</v>
      </c>
      <c r="D6520" t="s">
        <v>23500</v>
      </c>
      <c r="E6520" t="s">
        <v>29141</v>
      </c>
    </row>
    <row r="6521" spans="1:5">
      <c r="A6521" t="s">
        <v>6</v>
      </c>
      <c r="B6521" t="s">
        <v>6526</v>
      </c>
      <c r="C6521">
        <f>HYPERLINK("C:\Users\franc\OneDrive\Documentos\MALENTIN KARIME\MANDATOS JUDICIALES\2014\DANIEL RIVERA A Jorge VIllar.doc", "Abrir Documento")</f>
        <v>0</v>
      </c>
      <c r="D6521" t="s">
        <v>23500</v>
      </c>
      <c r="E6521" t="s">
        <v>29142</v>
      </c>
    </row>
    <row r="6522" spans="1:5">
      <c r="A6522" t="s">
        <v>6</v>
      </c>
      <c r="B6522" t="s">
        <v>6527</v>
      </c>
      <c r="C6522">
        <f>HYPERLINK("C:\Users\franc\OneDrive\Documentos\MALENTIN KARIME\MANDATOS JUDICIALES\2014\COMUNIDAD CARRIZO Y MENDOZA A Jorge VIllar Minuta.doc", "Abrir Documento")</f>
        <v>0</v>
      </c>
      <c r="D6522" t="s">
        <v>23500</v>
      </c>
      <c r="E6522" t="s">
        <v>29143</v>
      </c>
    </row>
    <row r="6523" spans="1:5">
      <c r="A6523" t="s">
        <v>6</v>
      </c>
      <c r="B6523" t="s">
        <v>6528</v>
      </c>
      <c r="C6523">
        <f>HYPERLINK("C:\Users\franc\OneDrive\Documentos\MALENTIN KARIME\MANDATOS JUDICIALES\2014\CESAR ALFARO A Rodrigo Antiquera.doc", "Abrir Documento")</f>
        <v>0</v>
      </c>
      <c r="D6523" t="s">
        <v>23500</v>
      </c>
      <c r="E6523" t="s">
        <v>29144</v>
      </c>
    </row>
    <row r="6524" spans="1:5">
      <c r="A6524" t="s">
        <v>6</v>
      </c>
      <c r="B6524" t="s">
        <v>6529</v>
      </c>
      <c r="C6524">
        <f>HYPERLINK("C:\Users\franc\OneDrive\Documentos\MALENTIN KARIME\MANDATOS JUDICIALES\2014\ANTONIO RODRIGUEZ GARCIA A Kenneth Romero minuta.doc", "Abrir Documento")</f>
        <v>0</v>
      </c>
      <c r="D6524" t="s">
        <v>23500</v>
      </c>
      <c r="E6524" t="s">
        <v>29145</v>
      </c>
    </row>
    <row r="6525" spans="1:5">
      <c r="A6525" t="s">
        <v>6</v>
      </c>
      <c r="B6525" t="s">
        <v>6530</v>
      </c>
      <c r="C6525">
        <f>HYPERLINK("C:\Users\franc\OneDrive\Documentos\MALENTIN KARIME\MANDATOS JUDICIALES\2014\ADRIANA CASTILLO ARAYA A Karina Toro Minuta.doc", "Abrir Documento")</f>
        <v>0</v>
      </c>
      <c r="D6525" t="s">
        <v>23500</v>
      </c>
      <c r="E6525" t="s">
        <v>29146</v>
      </c>
    </row>
    <row r="6526" spans="1:5">
      <c r="A6526" t="s">
        <v>6</v>
      </c>
      <c r="B6526" t="s">
        <v>6531</v>
      </c>
      <c r="C6526">
        <f>HYPERLINK("C:\Users\franc\OneDrive\Documentos\MALENTIN KARIME\MANDATOS JUDICIALES\2014\ANTONIA CHIRINO A PATRICIO LOPEZ.doc", "Abrir Documento")</f>
        <v>0</v>
      </c>
      <c r="D6526" t="s">
        <v>23500</v>
      </c>
      <c r="E6526" t="s">
        <v>29146</v>
      </c>
    </row>
    <row r="6527" spans="1:5">
      <c r="A6527" t="s">
        <v>6</v>
      </c>
      <c r="B6527" t="s">
        <v>6532</v>
      </c>
      <c r="C6527">
        <f>HYPERLINK("C:\Users\franc\OneDrive\Documentos\MALENTIN KARIME\MANDATOS JUDICIALES\2014\ADRIANA CASTILLO ARAYA A Karina Toro Minuta NUEVA.doc", "Abrir Documento")</f>
        <v>0</v>
      </c>
      <c r="D6527" t="s">
        <v>23500</v>
      </c>
      <c r="E6527" t="s">
        <v>29147</v>
      </c>
    </row>
    <row r="6528" spans="1:5">
      <c r="A6528" t="s">
        <v>6</v>
      </c>
      <c r="B6528" t="s">
        <v>6533</v>
      </c>
      <c r="C6528">
        <f>HYPERLINK("C:\Users\franc\OneDrive\Documentos\MALENTIN KARIME\MANDATOS JUDICIALES\YASNA CORTES A SHERIEL BUSTOS 2222.doc", "Abrir Documento")</f>
        <v>0</v>
      </c>
      <c r="D6528" t="s">
        <v>23500</v>
      </c>
      <c r="E6528" t="s">
        <v>29148</v>
      </c>
    </row>
    <row r="6529" spans="1:5">
      <c r="A6529" t="s">
        <v>6</v>
      </c>
      <c r="B6529" t="s">
        <v>6534</v>
      </c>
      <c r="C6529">
        <f>HYPERLINK("C:\Users\franc\OneDrive\Documentos\MALENTIN KARIME\MANDATOS JUDICIALES\YASNA CORTES A SHERIEL BUSTOS.doc", "Abrir Documento")</f>
        <v>0</v>
      </c>
      <c r="D6529" t="s">
        <v>23500</v>
      </c>
      <c r="E6529" t="s">
        <v>29148</v>
      </c>
    </row>
    <row r="6530" spans="1:5">
      <c r="A6530" t="s">
        <v>6</v>
      </c>
      <c r="B6530" t="s">
        <v>6535</v>
      </c>
      <c r="C6530">
        <f>HYPERLINK("C:\Users\franc\OneDrive\Documentos\MALENTIN KARIME\MANDATOS JUDICIALES\VICTOR TAPIA ROJAS Minuta.doc", "Abrir Documento")</f>
        <v>0</v>
      </c>
      <c r="D6530" t="s">
        <v>23500</v>
      </c>
      <c r="E6530" t="s">
        <v>29149</v>
      </c>
    </row>
    <row r="6531" spans="1:5">
      <c r="A6531" t="s">
        <v>6</v>
      </c>
      <c r="B6531" t="s">
        <v>6536</v>
      </c>
      <c r="C6531">
        <f>HYPERLINK("C:\Users\franc\OneDrive\Documentos\MALENTIN KARIME\MANDATOS JUDICIALES\TERESA DEL TRANSITO CORTES TELLO.doc", "Abrir Documento")</f>
        <v>0</v>
      </c>
      <c r="D6531" t="s">
        <v>23500</v>
      </c>
      <c r="E6531" t="s">
        <v>29150</v>
      </c>
    </row>
    <row r="6532" spans="1:5">
      <c r="A6532" t="s">
        <v>6</v>
      </c>
      <c r="B6532" t="s">
        <v>6537</v>
      </c>
      <c r="C6532">
        <f>HYPERLINK("C:\Users\franc\OneDrive\Documentos\MALENTIN KARIME\MANDATOS JUDICIALES\SUSANA ROJAS CARVAJAL.doc", "Abrir Documento")</f>
        <v>0</v>
      </c>
      <c r="D6532" t="s">
        <v>23500</v>
      </c>
      <c r="E6532" t="s">
        <v>29151</v>
      </c>
    </row>
    <row r="6533" spans="1:5">
      <c r="A6533" t="s">
        <v>6</v>
      </c>
      <c r="B6533" t="s">
        <v>6538</v>
      </c>
      <c r="C6533">
        <f>HYPERLINK("C:\Users\franc\OneDrive\Documentos\MALENTIN KARIME\MANDATOS JUDICIALES\SUCESION UREN CORTES II Parte.doc", "Abrir Documento")</f>
        <v>0</v>
      </c>
      <c r="D6533" t="s">
        <v>23500</v>
      </c>
      <c r="E6533" t="s">
        <v>29152</v>
      </c>
    </row>
    <row r="6534" spans="1:5">
      <c r="A6534" t="s">
        <v>6</v>
      </c>
      <c r="B6534" t="s">
        <v>6539</v>
      </c>
      <c r="C6534">
        <f>HYPERLINK("C:\Users\franc\OneDrive\Documentos\MALENTIN KARIME\MANDATOS JUDICIALES\SUCESION UREN CORTES.doc", "Abrir Documento")</f>
        <v>0</v>
      </c>
      <c r="D6534" t="s">
        <v>23500</v>
      </c>
      <c r="E6534" t="s">
        <v>29152</v>
      </c>
    </row>
    <row r="6535" spans="1:5">
      <c r="A6535" t="s">
        <v>6</v>
      </c>
      <c r="B6535" t="s">
        <v>6540</v>
      </c>
      <c r="C6535">
        <f>HYPERLINK("C:\Users\franc\OneDrive\Documentos\MALENTIN KARIME\MANDATOS JUDICIALES\SUSANA ROJAS CARVAJAL 2.doc", "Abrir Documento")</f>
        <v>0</v>
      </c>
      <c r="D6535" t="s">
        <v>23500</v>
      </c>
      <c r="E6535" t="s">
        <v>29152</v>
      </c>
    </row>
    <row r="6536" spans="1:5">
      <c r="A6536" t="s">
        <v>6</v>
      </c>
      <c r="B6536" t="s">
        <v>6541</v>
      </c>
      <c r="C6536">
        <f>HYPERLINK("C:\Users\franc\OneDrive\Documentos\MALENTIN KARIME\MANDATOS JUDICIALES\SUCESION CASTILLO IBACACHE judicial especial.doc", "Abrir Documento")</f>
        <v>0</v>
      </c>
      <c r="D6536" t="s">
        <v>23500</v>
      </c>
      <c r="E6536" t="s">
        <v>29153</v>
      </c>
    </row>
    <row r="6537" spans="1:5">
      <c r="A6537" t="s">
        <v>6</v>
      </c>
      <c r="B6537" t="s">
        <v>6542</v>
      </c>
      <c r="C6537">
        <f>HYPERLINK("C:\Users\franc\OneDrive\Documentos\MALENTIN KARIME\MANDATOS JUDICIALES\SERGIO ROMAN.doc", "Abrir Documento")</f>
        <v>0</v>
      </c>
      <c r="D6537" t="s">
        <v>23500</v>
      </c>
      <c r="E6537" t="s">
        <v>29154</v>
      </c>
    </row>
    <row r="6538" spans="1:5">
      <c r="A6538" t="s">
        <v>6</v>
      </c>
      <c r="B6538" t="s">
        <v>6543</v>
      </c>
      <c r="C6538">
        <f>HYPERLINK("C:\Users\franc\OneDrive\Documentos\MALENTIN KARIME\MANDATOS JUDICIALES\PATRICIO CORTES Judicial Especial.doc", "Abrir Documento")</f>
        <v>0</v>
      </c>
      <c r="D6538" t="s">
        <v>23500</v>
      </c>
      <c r="E6538" t="s">
        <v>29155</v>
      </c>
    </row>
    <row r="6539" spans="1:5">
      <c r="A6539" t="s">
        <v>6</v>
      </c>
      <c r="B6539" t="s">
        <v>6544</v>
      </c>
      <c r="C6539">
        <f>HYPERLINK("C:\Users\franc\OneDrive\Documentos\MALENTIN KARIME\MANDATOS JUDICIALES\PABLO SOTO Ratificacion.doc", "Abrir Documento")</f>
        <v>0</v>
      </c>
      <c r="D6539" t="s">
        <v>23500</v>
      </c>
      <c r="E6539" t="s">
        <v>29156</v>
      </c>
    </row>
    <row r="6540" spans="1:5">
      <c r="A6540" t="s">
        <v>6</v>
      </c>
      <c r="B6540" t="s">
        <v>6545</v>
      </c>
      <c r="C6540">
        <f>HYPERLINK("C:\Users\franc\OneDrive\Documentos\MALENTIN KARIME\MANDATOS JUDICIALES\PATRICIA NERIA delegacion.doc", "Abrir Documento")</f>
        <v>0</v>
      </c>
      <c r="D6540" t="s">
        <v>23500</v>
      </c>
      <c r="E6540" t="s">
        <v>29156</v>
      </c>
    </row>
    <row r="6541" spans="1:5">
      <c r="A6541" t="s">
        <v>6</v>
      </c>
      <c r="B6541" t="s">
        <v>6546</v>
      </c>
      <c r="C6541">
        <f>HYPERLINK("C:\Users\franc\OneDrive\Documentos\MALENTIN KARIME\MANDATOS JUDICIALES\OCTAVIO ARAYA ESPECIAL JUDICIAL.doc", "Abrir Documento")</f>
        <v>0</v>
      </c>
      <c r="D6541" t="s">
        <v>23500</v>
      </c>
      <c r="E6541" t="s">
        <v>29157</v>
      </c>
    </row>
    <row r="6542" spans="1:5">
      <c r="A6542" t="s">
        <v>6</v>
      </c>
      <c r="B6542" t="s">
        <v>6547</v>
      </c>
      <c r="C6542">
        <f>HYPERLINK("C:\Users\franc\OneDrive\Documentos\MALENTIN KARIME\MANDATOS JUDICIALES\OCTAVIO ARAYA a Irene Encina ESPECIAL JUDICIAL.doc", "Abrir Documento")</f>
        <v>0</v>
      </c>
      <c r="D6542" t="s">
        <v>23500</v>
      </c>
      <c r="E6542" t="s">
        <v>29158</v>
      </c>
    </row>
    <row r="6543" spans="1:5">
      <c r="A6543" t="s">
        <v>6</v>
      </c>
      <c r="B6543" t="s">
        <v>6548</v>
      </c>
      <c r="C6543">
        <f>HYPERLINK("C:\Users\franc\OneDrive\Documentos\MALENTIN KARIME\MANDATOS JUDICIALES\NORMA ANGELICA GUERRA SAFFA Municipalidad.doc", "Abrir Documento")</f>
        <v>0</v>
      </c>
      <c r="D6543" t="s">
        <v>23500</v>
      </c>
      <c r="E6543" t="s">
        <v>29159</v>
      </c>
    </row>
    <row r="6544" spans="1:5">
      <c r="A6544" t="s">
        <v>6</v>
      </c>
      <c r="B6544" t="s">
        <v>6549</v>
      </c>
      <c r="C6544">
        <f>HYPERLINK("C:\Users\franc\OneDrive\Documentos\MALENTIN KARIME\MANDATOS JUDICIALES\NESTOR CORTES A Mario Carvajallo.doc", "Abrir Documento")</f>
        <v>0</v>
      </c>
      <c r="D6544" t="s">
        <v>23500</v>
      </c>
      <c r="E6544" t="s">
        <v>29160</v>
      </c>
    </row>
    <row r="6545" spans="1:5">
      <c r="A6545" t="s">
        <v>6</v>
      </c>
      <c r="B6545" t="s">
        <v>6550</v>
      </c>
      <c r="C6545">
        <f>HYPERLINK("C:\Users\franc\OneDrive\Documentos\MALENTIN KARIME\MANDATOS JUDICIALES\MAURICIO MAZZARELLI A CAROLA OJEDA.doc", "Abrir Documento")</f>
        <v>0</v>
      </c>
      <c r="D6545" t="s">
        <v>23500</v>
      </c>
      <c r="E6545" t="s">
        <v>29161</v>
      </c>
    </row>
    <row r="6546" spans="1:5">
      <c r="A6546" t="s">
        <v>6</v>
      </c>
      <c r="B6546" t="s">
        <v>6551</v>
      </c>
      <c r="C6546">
        <f>HYPERLINK("C:\Users\franc\OneDrive\Documentos\MALENTIN KARIME\MANDATOS JUDICIALES\MOISES COLOMA A DAGOBERTO RAMOS.doc", "Abrir Documento")</f>
        <v>0</v>
      </c>
      <c r="D6546" t="s">
        <v>23500</v>
      </c>
      <c r="E6546" t="s">
        <v>29161</v>
      </c>
    </row>
    <row r="6547" spans="1:5">
      <c r="A6547" t="s">
        <v>6</v>
      </c>
      <c r="B6547" t="s">
        <v>6552</v>
      </c>
      <c r="C6547">
        <f>HYPERLINK("C:\Users\franc\OneDrive\Documentos\MALENTIN KARIME\MANDATOS JUDICIALES\MARIA QUIZAJADA JARA.doc", "Abrir Documento")</f>
        <v>0</v>
      </c>
      <c r="D6547" t="s">
        <v>23500</v>
      </c>
      <c r="E6547" t="s">
        <v>29162</v>
      </c>
    </row>
    <row r="6548" spans="1:5">
      <c r="A6548" t="s">
        <v>6</v>
      </c>
      <c r="B6548" t="s">
        <v>6553</v>
      </c>
      <c r="C6548">
        <f>HYPERLINK("C:\Users\franc\OneDrive\Documentos\MALENTIN KARIME\MANDATOS JUDICIALES\MARIA MADARIAGA PIZARRO Judicial Especial.doc", "Abrir Documento")</f>
        <v>0</v>
      </c>
      <c r="D6548" t="s">
        <v>23500</v>
      </c>
      <c r="E6548" t="s">
        <v>29163</v>
      </c>
    </row>
    <row r="6549" spans="1:5">
      <c r="A6549" t="s">
        <v>6</v>
      </c>
      <c r="B6549" t="s">
        <v>6554</v>
      </c>
      <c r="C6549">
        <f>HYPERLINK("C:\Users\franc\OneDrive\Documentos\MALENTIN KARIME\MANDATOS JUDICIALES\MARIA BARRIOS CORTES Judicial Especial.doc", "Abrir Documento")</f>
        <v>0</v>
      </c>
      <c r="D6549" t="s">
        <v>23500</v>
      </c>
      <c r="E6549" t="s">
        <v>29164</v>
      </c>
    </row>
    <row r="6550" spans="1:5">
      <c r="A6550" t="s">
        <v>6</v>
      </c>
      <c r="B6550" t="s">
        <v>6555</v>
      </c>
      <c r="C6550">
        <f>HYPERLINK("C:\Users\franc\OneDrive\Documentos\MALENTIN KARIME\MANDATOS JUDICIALES\MARIA MADARIAGA PIZARRO Judicial Especial II.doc", "Abrir Documento")</f>
        <v>0</v>
      </c>
      <c r="D6550" t="s">
        <v>23500</v>
      </c>
      <c r="E6550" t="s">
        <v>29164</v>
      </c>
    </row>
    <row r="6551" spans="1:5">
      <c r="A6551" t="s">
        <v>6</v>
      </c>
      <c r="B6551" t="s">
        <v>6556</v>
      </c>
      <c r="C6551">
        <f>HYPERLINK("C:\Users\franc\OneDrive\Documentos\MALENTIN KARIME\MANDATOS JUDICIALES\MARCOS ROJAS QUIROZ Judicial Especial MINUTA.doc", "Abrir Documento")</f>
        <v>0</v>
      </c>
      <c r="D6551" t="s">
        <v>23500</v>
      </c>
      <c r="E6551" t="s">
        <v>29165</v>
      </c>
    </row>
    <row r="6552" spans="1:5">
      <c r="A6552" t="s">
        <v>6</v>
      </c>
      <c r="B6552" t="s">
        <v>6557</v>
      </c>
      <c r="C6552">
        <f>HYPERLINK("C:\Users\franc\OneDrive\Documentos\MALENTIN KARIME\MANDATOS JUDICIALES\MARCIAL TORRES CONTRERAS Judicial Especial.doc", "Abrir Documento")</f>
        <v>0</v>
      </c>
      <c r="D6552" t="s">
        <v>23500</v>
      </c>
      <c r="E6552" t="s">
        <v>29166</v>
      </c>
    </row>
    <row r="6553" spans="1:5">
      <c r="A6553" t="s">
        <v>6</v>
      </c>
      <c r="B6553" t="s">
        <v>6558</v>
      </c>
      <c r="C6553">
        <f>HYPERLINK("C:\Users\franc\OneDrive\Documentos\MALENTIN KARIME\MANDATOS JUDICIALES\MANUEL ADONIS SANCHEZ a Alejandro Alegria Minuta.doc", "Abrir Documento")</f>
        <v>0</v>
      </c>
      <c r="D6553" t="s">
        <v>23500</v>
      </c>
      <c r="E6553" t="s">
        <v>29167</v>
      </c>
    </row>
    <row r="6554" spans="1:5">
      <c r="A6554" t="s">
        <v>6</v>
      </c>
      <c r="B6554" t="s">
        <v>6559</v>
      </c>
      <c r="C6554">
        <f>HYPERLINK("C:\Users\franc\OneDrive\Documentos\MALENTIN KARIME\MANDATOS JUDICIALES\MARCELO CARVAJAL BUGUEÑO.doc", "Abrir Documento")</f>
        <v>0</v>
      </c>
      <c r="D6554" t="s">
        <v>23500</v>
      </c>
      <c r="E6554" t="s">
        <v>29167</v>
      </c>
    </row>
    <row r="6555" spans="1:5">
      <c r="A6555" t="s">
        <v>6</v>
      </c>
      <c r="B6555" t="s">
        <v>6560</v>
      </c>
      <c r="C6555">
        <f>HYPERLINK("C:\Users\franc\OneDrive\Documentos\MALENTIN KARIME\MANDATOS JUDICIALES\LOS AROMOS  A Barbara Salinas.doc", "Abrir Documento")</f>
        <v>0</v>
      </c>
      <c r="D6555" t="s">
        <v>23500</v>
      </c>
      <c r="E6555" t="s">
        <v>29168</v>
      </c>
    </row>
    <row r="6556" spans="1:5">
      <c r="A6556" t="s">
        <v>6</v>
      </c>
      <c r="B6556" t="s">
        <v>6561</v>
      </c>
      <c r="C6556">
        <f>HYPERLINK("C:\Users\franc\OneDrive\Documentos\MALENTIN KARIME\MANDATOS JUDICIALES\LEONOR ARAYA CISTERNAS Judicial Especial.doc", "Abrir Documento")</f>
        <v>0</v>
      </c>
      <c r="D6556" t="s">
        <v>23500</v>
      </c>
      <c r="E6556" t="s">
        <v>29169</v>
      </c>
    </row>
    <row r="6557" spans="1:5">
      <c r="A6557" t="s">
        <v>6</v>
      </c>
      <c r="B6557" t="s">
        <v>6562</v>
      </c>
      <c r="C6557">
        <f>HYPERLINK("C:\Users\franc\OneDrive\Documentos\MALENTIN KARIME\MANDATOS JUDICIALES\JUNTA VIGILANCIA RIO MOSTAZAL.doc", "Abrir Documento")</f>
        <v>0</v>
      </c>
      <c r="D6557" t="s">
        <v>23500</v>
      </c>
      <c r="E6557" t="s">
        <v>29170</v>
      </c>
    </row>
    <row r="6558" spans="1:5">
      <c r="A6558" t="s">
        <v>6</v>
      </c>
      <c r="B6558" t="s">
        <v>6563</v>
      </c>
      <c r="C6558">
        <f>HYPERLINK("C:\Users\franc\OneDrive\Documentos\MALENTIN KARIME\MANDATOS JUDICIALES\JULIO MONTERO.doc", "Abrir Documento")</f>
        <v>0</v>
      </c>
      <c r="D6558" t="s">
        <v>23500</v>
      </c>
      <c r="E6558" t="s">
        <v>29171</v>
      </c>
    </row>
    <row r="6559" spans="1:5">
      <c r="A6559" t="s">
        <v>6</v>
      </c>
      <c r="B6559" t="s">
        <v>6564</v>
      </c>
      <c r="C6559">
        <f>HYPERLINK("C:\Users\franc\OneDrive\Documentos\MALENTIN KARIME\MANDATOS JUDICIALES\JUDITH BENAVIDES Judicial Especial.doc", "Abrir Documento")</f>
        <v>0</v>
      </c>
      <c r="D6559" t="s">
        <v>23500</v>
      </c>
      <c r="E6559" t="s">
        <v>29172</v>
      </c>
    </row>
    <row r="6560" spans="1:5">
      <c r="A6560" t="s">
        <v>6</v>
      </c>
      <c r="B6560" t="s">
        <v>6565</v>
      </c>
      <c r="C6560">
        <f>HYPERLINK("C:\Users\franc\OneDrive\Documentos\MALENTIN KARIME\MANDATOS JUDICIALES\JUAN MAZU  A ALFREDO ESCOBAR.doc", "Abrir Documento")</f>
        <v>0</v>
      </c>
      <c r="D6560" t="s">
        <v>23500</v>
      </c>
      <c r="E6560" t="s">
        <v>29173</v>
      </c>
    </row>
    <row r="6561" spans="1:5">
      <c r="A6561" t="s">
        <v>6</v>
      </c>
      <c r="B6561" t="s">
        <v>6566</v>
      </c>
      <c r="C6561">
        <f>HYPERLINK("C:\Users\franc\OneDrive\Documentos\MALENTIN KARIME\MANDATOS JUDICIALES\JUAN MARAMBIO ANDUEZA A Roberto Naranjo Coopeval.doc", "Abrir Documento")</f>
        <v>0</v>
      </c>
      <c r="D6561" t="s">
        <v>23500</v>
      </c>
      <c r="E6561" t="s">
        <v>29174</v>
      </c>
    </row>
    <row r="6562" spans="1:5">
      <c r="A6562" t="s">
        <v>6</v>
      </c>
      <c r="B6562" t="s">
        <v>6567</v>
      </c>
      <c r="C6562">
        <f>HYPERLINK("C:\Users\franc\OneDrive\Documentos\MALENTIN KARIME\MANDATOS JUDICIALES\JOSE SANTANDER A JACQUELINE PIZARRO.doc", "Abrir Documento")</f>
        <v>0</v>
      </c>
      <c r="D6562" t="s">
        <v>23500</v>
      </c>
      <c r="E6562" t="s">
        <v>29175</v>
      </c>
    </row>
    <row r="6563" spans="1:5">
      <c r="A6563" t="s">
        <v>6</v>
      </c>
      <c r="B6563" t="s">
        <v>6568</v>
      </c>
      <c r="C6563">
        <f>HYPERLINK("C:\Users\franc\OneDrive\Documentos\MALENTIN KARIME\MANDATOS JUDICIALES\JUAN CARLOS GARCIA COLLAO.doc", "Abrir Documento")</f>
        <v>0</v>
      </c>
      <c r="D6563" t="s">
        <v>23500</v>
      </c>
      <c r="E6563" t="s">
        <v>29175</v>
      </c>
    </row>
    <row r="6564" spans="1:5">
      <c r="A6564" t="s">
        <v>6</v>
      </c>
      <c r="B6564" t="s">
        <v>6569</v>
      </c>
      <c r="C6564">
        <f>HYPERLINK("C:\Users\franc\OneDrive\Documentos\MALENTIN KARIME\MANDATOS JUDICIALES\JOSE LUIS MARTINEZ CORDOVA A MIGUEL CHAPARRO.doc", "Abrir Documento")</f>
        <v>0</v>
      </c>
      <c r="D6564" t="s">
        <v>23500</v>
      </c>
      <c r="E6564" t="s">
        <v>29176</v>
      </c>
    </row>
    <row r="6565" spans="1:5">
      <c r="A6565" t="s">
        <v>6</v>
      </c>
      <c r="B6565" t="s">
        <v>6570</v>
      </c>
      <c r="C6565">
        <f>HYPERLINK("C:\Users\franc\OneDrive\Documentos\MALENTIN KARIME\MANDATOS JUDICIALES\JOSE LUIS MARTINEZ A MIGUEL CHAPARRO.doc", "Abrir Documento")</f>
        <v>0</v>
      </c>
      <c r="D6565" t="s">
        <v>23500</v>
      </c>
      <c r="E6565" t="s">
        <v>29177</v>
      </c>
    </row>
    <row r="6566" spans="1:5">
      <c r="A6566" t="s">
        <v>6</v>
      </c>
      <c r="B6566" t="s">
        <v>6571</v>
      </c>
      <c r="C6566">
        <f>HYPERLINK("C:\Users\franc\OneDrive\Documentos\MALENTIN KARIME\MANDATOS JUDICIALES\JOSE JIMENEZ A EUGENIO RAMIREZ.doc", "Abrir Documento")</f>
        <v>0</v>
      </c>
      <c r="D6566" t="s">
        <v>23500</v>
      </c>
      <c r="E6566" t="s">
        <v>29178</v>
      </c>
    </row>
    <row r="6567" spans="1:5">
      <c r="A6567" t="s">
        <v>6</v>
      </c>
      <c r="B6567" t="s">
        <v>6572</v>
      </c>
      <c r="C6567">
        <f>HYPERLINK("C:\Users\franc\OneDrive\Documentos\MALENTIN KARIME\MANDATOS JUDICIALES\JORGE CORTEZ GONZALEZ A PATRICIA VELASQUEZ.doc", "Abrir Documento")</f>
        <v>0</v>
      </c>
      <c r="D6567" t="s">
        <v>23500</v>
      </c>
      <c r="E6567" t="s">
        <v>29179</v>
      </c>
    </row>
    <row r="6568" spans="1:5">
      <c r="A6568" t="s">
        <v>6</v>
      </c>
      <c r="B6568" t="s">
        <v>6573</v>
      </c>
      <c r="C6568">
        <f>HYPERLINK("C:\Users\franc\OneDrive\Documentos\MALENTIN KARIME\MANDATOS JUDICIALES\JORGE RIVERA CARVAJA A ALEJANDRO VILLEGAS.doc", "Abrir Documento")</f>
        <v>0</v>
      </c>
      <c r="D6568" t="s">
        <v>23500</v>
      </c>
      <c r="E6568" t="s">
        <v>29179</v>
      </c>
    </row>
    <row r="6569" spans="1:5">
      <c r="A6569" t="s">
        <v>6</v>
      </c>
      <c r="B6569" t="s">
        <v>6574</v>
      </c>
      <c r="C6569">
        <f>HYPERLINK("C:\Users\franc\OneDrive\Documentos\MALENTIN KARIME\MANDATOS JUDICIALES\JOSE ANGEL ROJAS.doc", "Abrir Documento")</f>
        <v>0</v>
      </c>
      <c r="D6569" t="s">
        <v>23500</v>
      </c>
      <c r="E6569" t="s">
        <v>29179</v>
      </c>
    </row>
    <row r="6570" spans="1:5">
      <c r="A6570" t="s">
        <v>6</v>
      </c>
      <c r="B6570" t="s">
        <v>6575</v>
      </c>
      <c r="C6570">
        <f>HYPERLINK("C:\Users\franc\OneDrive\Documentos\MALENTIN KARIME\MANDATOS JUDICIALES\JONATHAN PASTEN A FELIPE BARRIOS CALLEJAS.doc", "Abrir Documento")</f>
        <v>0</v>
      </c>
      <c r="D6570" t="s">
        <v>23500</v>
      </c>
      <c r="E6570" t="s">
        <v>29180</v>
      </c>
    </row>
    <row r="6571" spans="1:5">
      <c r="A6571" t="s">
        <v>6</v>
      </c>
      <c r="B6571" t="s">
        <v>6576</v>
      </c>
      <c r="C6571">
        <f>HYPERLINK("C:\Users\franc\OneDrive\Documentos\MALENTIN KARIME\MANDATOS JUDICIALES\JAVIER CONTADOR A Barbara Salinas.doc", "Abrir Documento")</f>
        <v>0</v>
      </c>
      <c r="D6571" t="s">
        <v>23500</v>
      </c>
      <c r="E6571" t="s">
        <v>29181</v>
      </c>
    </row>
    <row r="6572" spans="1:5">
      <c r="A6572" t="s">
        <v>6</v>
      </c>
      <c r="B6572" t="s">
        <v>6577</v>
      </c>
      <c r="C6572">
        <f>HYPERLINK("C:\Users\franc\OneDrive\Documentos\MALENTIN KARIME\MANDATOS JUDICIALES\JAVIER CONTADOR A Barbara Salinas II.doc", "Abrir Documento")</f>
        <v>0</v>
      </c>
      <c r="D6572" t="s">
        <v>23500</v>
      </c>
      <c r="E6572" t="s">
        <v>29182</v>
      </c>
    </row>
    <row r="6573" spans="1:5">
      <c r="A6573" t="s">
        <v>6</v>
      </c>
      <c r="B6573" t="s">
        <v>6578</v>
      </c>
      <c r="C6573">
        <f>HYPERLINK("C:\Users\franc\OneDrive\Documentos\MALENTIN KARIME\MANDATOS JUDICIALES\HONORIA AGUERO Judicial Especial.doc", "Abrir Documento")</f>
        <v>0</v>
      </c>
      <c r="D6573" t="s">
        <v>23500</v>
      </c>
      <c r="E6573" t="s">
        <v>29183</v>
      </c>
    </row>
    <row r="6574" spans="1:5">
      <c r="A6574" t="s">
        <v>6</v>
      </c>
      <c r="B6574" t="s">
        <v>6579</v>
      </c>
      <c r="C6574">
        <f>HYPERLINK("C:\Users\franc\OneDrive\Documentos\MALENTIN KARIME\MANDATOS JUDICIALES\GUILLERMO VIDAURRE Judicial Especial.doc", "Abrir Documento")</f>
        <v>0</v>
      </c>
      <c r="D6574" t="s">
        <v>23500</v>
      </c>
      <c r="E6574" t="s">
        <v>29184</v>
      </c>
    </row>
    <row r="6575" spans="1:5">
      <c r="A6575" t="s">
        <v>6</v>
      </c>
      <c r="B6575" t="s">
        <v>6580</v>
      </c>
      <c r="C6575">
        <f>HYPERLINK("C:\Users\franc\OneDrive\Documentos\MALENTIN KARIME\MANDATOS JUDICIALES\HERMAN ANDRADES MORENO.doc", "Abrir Documento")</f>
        <v>0</v>
      </c>
      <c r="D6575" t="s">
        <v>23500</v>
      </c>
      <c r="E6575" t="s">
        <v>29184</v>
      </c>
    </row>
    <row r="6576" spans="1:5">
      <c r="A6576" t="s">
        <v>6</v>
      </c>
      <c r="B6576" t="s">
        <v>6581</v>
      </c>
      <c r="C6576">
        <f>HYPERLINK("C:\Users\franc\OneDrive\Documentos\MALENTIN KARIME\MANDATOS JUDICIALES\GLADYS AROS A ETNA VARAS.doc", "Abrir Documento")</f>
        <v>0</v>
      </c>
      <c r="D6576" t="s">
        <v>23500</v>
      </c>
      <c r="E6576" t="s">
        <v>29185</v>
      </c>
    </row>
    <row r="6577" spans="1:5">
      <c r="A6577" t="s">
        <v>6</v>
      </c>
      <c r="B6577" t="s">
        <v>6582</v>
      </c>
      <c r="C6577">
        <f>HYPERLINK("C:\Users\franc\OneDrive\Documentos\MALENTIN KARIME\MANDATOS JUDICIALES\FRANCO RIETTA Judicial Especial.doc", "Abrir Documento")</f>
        <v>0</v>
      </c>
      <c r="D6577" t="s">
        <v>23500</v>
      </c>
      <c r="E6577" t="s">
        <v>29186</v>
      </c>
    </row>
    <row r="6578" spans="1:5">
      <c r="A6578" t="s">
        <v>6</v>
      </c>
      <c r="B6578" t="s">
        <v>6583</v>
      </c>
      <c r="C6578">
        <f>HYPERLINK("C:\Users\franc\OneDrive\Documentos\MALENTIN KARIME\MANDATOS JUDICIALES\FRANCISCO JAVIER MORGADO SALFATE A CRISTIAN ZEPEDA Menor edad.doc", "Abrir Documento")</f>
        <v>0</v>
      </c>
      <c r="D6578" t="s">
        <v>23500</v>
      </c>
      <c r="E6578" t="s">
        <v>29187</v>
      </c>
    </row>
    <row r="6579" spans="1:5">
      <c r="A6579" t="s">
        <v>6</v>
      </c>
      <c r="B6579" t="s">
        <v>6584</v>
      </c>
      <c r="C6579">
        <f>HYPERLINK("C:\Users\franc\OneDrive\Documentos\MALENTIN KARIME\MANDATOS JUDICIALES\FARMACEUTICA PRAD.doc", "Abrir Documento")</f>
        <v>0</v>
      </c>
      <c r="D6579" t="s">
        <v>23500</v>
      </c>
      <c r="E6579" t="s">
        <v>29188</v>
      </c>
    </row>
    <row r="6580" spans="1:5">
      <c r="A6580" t="s">
        <v>6</v>
      </c>
      <c r="B6580" t="s">
        <v>6585</v>
      </c>
      <c r="C6580">
        <f>HYPERLINK("C:\Users\franc\OneDrive\Documentos\MALENTIN KARIME\MANDATOS JUDICIALES\ERIC MELLADAO A PATRICIA VIDAL Y OTRA.doc", "Abrir Documento")</f>
        <v>0</v>
      </c>
      <c r="D6580" t="s">
        <v>23500</v>
      </c>
      <c r="E6580" t="s">
        <v>29189</v>
      </c>
    </row>
    <row r="6581" spans="1:5">
      <c r="A6581" t="s">
        <v>6</v>
      </c>
      <c r="B6581" t="s">
        <v>6586</v>
      </c>
      <c r="C6581">
        <f>HYPERLINK("C:\Users\franc\OneDrive\Documentos\MALENTIN KARIME\MANDATOS JUDICIALES\EXPORTADORA VALLE DEL LIMARI SpA.doc", "Abrir Documento")</f>
        <v>0</v>
      </c>
      <c r="D6581" t="s">
        <v>23500</v>
      </c>
      <c r="E6581" t="s">
        <v>29189</v>
      </c>
    </row>
    <row r="6582" spans="1:5">
      <c r="A6582" t="s">
        <v>6</v>
      </c>
      <c r="B6582" t="s">
        <v>6587</v>
      </c>
      <c r="C6582">
        <f>HYPERLINK("C:\Users\franc\OneDrive\Documentos\MALENTIN KARIME\MANDATOS JUDICIALES\EMMA ALCAYAGA LOPEZ A DANIEL SALFATE.doc", "Abrir Documento")</f>
        <v>0</v>
      </c>
      <c r="D6582" t="s">
        <v>23500</v>
      </c>
      <c r="E6582" t="s">
        <v>29190</v>
      </c>
    </row>
    <row r="6583" spans="1:5">
      <c r="A6583" t="s">
        <v>6</v>
      </c>
      <c r="B6583" t="s">
        <v>6588</v>
      </c>
      <c r="C6583">
        <f>HYPERLINK("C:\Users\franc\OneDrive\Documentos\MALENTIN KARIME\MANDATOS JUDICIALES\ERCILIA ORTIZ.doc", "Abrir Documento")</f>
        <v>0</v>
      </c>
      <c r="D6583" t="s">
        <v>23500</v>
      </c>
      <c r="E6583" t="s">
        <v>29190</v>
      </c>
    </row>
    <row r="6584" spans="1:5">
      <c r="A6584" t="s">
        <v>6</v>
      </c>
      <c r="B6584" t="s">
        <v>6589</v>
      </c>
      <c r="C6584">
        <f>HYPERLINK("C:\Users\franc\OneDrive\Documentos\MALENTIN KARIME\MANDATOS JUDICIALES\EDUVIGIS MANZANOJudicial Especial.doc", "Abrir Documento")</f>
        <v>0</v>
      </c>
      <c r="D6584" t="s">
        <v>23500</v>
      </c>
      <c r="E6584" t="s">
        <v>29191</v>
      </c>
    </row>
    <row r="6585" spans="1:5">
      <c r="A6585" t="s">
        <v>6</v>
      </c>
      <c r="B6585" t="s">
        <v>6590</v>
      </c>
      <c r="C6585">
        <f>HYPERLINK("C:\Users\franc\OneDrive\Documentos\MALENTIN KARIME\MANDATOS JUDICIALES\EDUARDO RIVERA A RENE YAÑEZ.docx", "Abrir Documento")</f>
        <v>0</v>
      </c>
      <c r="D6585" t="s">
        <v>23501</v>
      </c>
      <c r="E6585" t="s">
        <v>29192</v>
      </c>
    </row>
    <row r="6586" spans="1:5">
      <c r="A6586" t="s">
        <v>6</v>
      </c>
      <c r="B6586" t="s">
        <v>6591</v>
      </c>
      <c r="C6586">
        <f>HYPERLINK("C:\Users\franc\OneDrive\Documentos\MALENTIN KARIME\MANDATOS JUDICIALES\EDUARDO RIVERA A Rene Yañez minuta.doc", "Abrir Documento")</f>
        <v>0</v>
      </c>
      <c r="D6586" t="s">
        <v>23500</v>
      </c>
      <c r="E6586" t="s">
        <v>29193</v>
      </c>
    </row>
    <row r="6587" spans="1:5">
      <c r="A6587" t="s">
        <v>6</v>
      </c>
      <c r="B6587" t="s">
        <v>6592</v>
      </c>
      <c r="C6587">
        <f>HYPERLINK("C:\Users\franc\OneDrive\Documentos\MALENTIN KARIME\MANDATOS JUDICIALES\DANIEL GUERRA A ROCIO RODRIGUEZ.doc", "Abrir Documento")</f>
        <v>0</v>
      </c>
      <c r="D6587" t="s">
        <v>23500</v>
      </c>
      <c r="E6587" t="s">
        <v>29194</v>
      </c>
    </row>
    <row r="6588" spans="1:5">
      <c r="A6588" t="s">
        <v>6</v>
      </c>
      <c r="B6588" t="s">
        <v>6593</v>
      </c>
      <c r="C6588">
        <f>HYPERLINK("C:\Users\franc\OneDrive\Documentos\MALENTIN KARIME\MANDATOS JUDICIALES\DANIEL ARTURO SALFATE.doc", "Abrir Documento")</f>
        <v>0</v>
      </c>
      <c r="D6588" t="s">
        <v>23500</v>
      </c>
      <c r="E6588" t="s">
        <v>29195</v>
      </c>
    </row>
    <row r="6589" spans="1:5">
      <c r="A6589" t="s">
        <v>6</v>
      </c>
      <c r="B6589" t="s">
        <v>6594</v>
      </c>
      <c r="C6589">
        <f>HYPERLINK("C:\Users\franc\OneDrive\Documentos\MALENTIN KARIME\MANDATOS JUDICIALES\CONTADOR FRUTOS S.A. A Barbara Salinas.doc", "Abrir Documento")</f>
        <v>0</v>
      </c>
      <c r="D6589" t="s">
        <v>23500</v>
      </c>
      <c r="E6589" t="s">
        <v>29196</v>
      </c>
    </row>
    <row r="6590" spans="1:5">
      <c r="A6590" t="s">
        <v>6</v>
      </c>
      <c r="B6590" t="s">
        <v>6595</v>
      </c>
      <c r="C6590">
        <f>HYPERLINK("C:\Users\franc\OneDrive\Documentos\MALENTIN KARIME\MANDATOS JUDICIALES\CLEMENTE FUENTEALBA A Pedro Gutierrez.doc", "Abrir Documento")</f>
        <v>0</v>
      </c>
      <c r="D6590" t="s">
        <v>23500</v>
      </c>
      <c r="E6590" t="s">
        <v>29197</v>
      </c>
    </row>
    <row r="6591" spans="1:5">
      <c r="A6591" t="s">
        <v>6</v>
      </c>
      <c r="B6591" t="s">
        <v>6596</v>
      </c>
      <c r="C6591">
        <f>HYPERLINK("C:\Users\franc\OneDrive\Documentos\MALENTIN KARIME\MANDATOS JUDICIALES\CAROLINA ADAOS.doc", "Abrir Documento")</f>
        <v>0</v>
      </c>
      <c r="D6591" t="s">
        <v>23500</v>
      </c>
      <c r="E6591" t="s">
        <v>29198</v>
      </c>
    </row>
    <row r="6592" spans="1:5">
      <c r="A6592" t="s">
        <v>6</v>
      </c>
      <c r="B6592" t="s">
        <v>6597</v>
      </c>
      <c r="C6592">
        <f>HYPERLINK("C:\Users\franc\OneDrive\Documentos\MALENTIN KARIME\MANDATOS JUDICIALES\carlos pinto a gabriela negrette.doc", "Abrir Documento")</f>
        <v>0</v>
      </c>
      <c r="D6592" t="s">
        <v>23500</v>
      </c>
      <c r="E6592" t="s">
        <v>29199</v>
      </c>
    </row>
    <row r="6593" spans="1:5">
      <c r="A6593" t="s">
        <v>6</v>
      </c>
      <c r="B6593" t="s">
        <v>6598</v>
      </c>
      <c r="C6593">
        <f>HYPERLINK("C:\Users\franc\OneDrive\Documentos\MALENTIN KARIME\MANDATOS JUDICIALES\CARLOS OTAROLA A OROMPELLO PALACIOS.doc", "Abrir Documento")</f>
        <v>0</v>
      </c>
      <c r="D6593" t="s">
        <v>23500</v>
      </c>
      <c r="E6593" t="s">
        <v>29200</v>
      </c>
    </row>
    <row r="6594" spans="1:5">
      <c r="A6594" t="s">
        <v>6</v>
      </c>
      <c r="B6594" t="s">
        <v>6599</v>
      </c>
      <c r="C6594">
        <f>HYPERLINK("C:\Users\franc\OneDrive\Documentos\MALENTIN KARIME\MANDATOS JUDICIALES\CARLOS ALARCON A NURYS ALARCON  Grisell abogada.doc", "Abrir Documento")</f>
        <v>0</v>
      </c>
      <c r="D6594" t="s">
        <v>23500</v>
      </c>
      <c r="E6594" t="s">
        <v>29201</v>
      </c>
    </row>
    <row r="6595" spans="1:5">
      <c r="A6595" t="s">
        <v>6</v>
      </c>
      <c r="B6595" t="s">
        <v>6600</v>
      </c>
      <c r="C6595">
        <f>HYPERLINK("C:\Users\franc\OneDrive\Documentos\MALENTIN KARIME\MANDATOS JUDICIALES\BRIGINA OLMOS A MARIA ORREGO.doc", "Abrir Documento")</f>
        <v>0</v>
      </c>
      <c r="D6595" t="s">
        <v>23500</v>
      </c>
      <c r="E6595" t="s">
        <v>29202</v>
      </c>
    </row>
    <row r="6596" spans="1:5">
      <c r="A6596" t="s">
        <v>6</v>
      </c>
      <c r="B6596" t="s">
        <v>6601</v>
      </c>
      <c r="C6596">
        <f>HYPERLINK("C:\Users\franc\OneDrive\Documentos\MALENTIN KARIME\MANDATOS JUDICIALES\BORIS JIMENEZ BORQUEZ A Israel Gutierrez.doc", "Abrir Documento")</f>
        <v>0</v>
      </c>
      <c r="D6596" t="s">
        <v>23500</v>
      </c>
      <c r="E6596" t="s">
        <v>29203</v>
      </c>
    </row>
    <row r="6597" spans="1:5">
      <c r="A6597" t="s">
        <v>6</v>
      </c>
      <c r="B6597" t="s">
        <v>6602</v>
      </c>
      <c r="C6597">
        <f>HYPERLINK("C:\Users\franc\OneDrive\Documentos\MALENTIN KARIME\MANDATOS JUDICIALES\ARTURO ALBORNOZ A Lissette Araya.docx", "Abrir Documento")</f>
        <v>0</v>
      </c>
      <c r="D6597" t="s">
        <v>23501</v>
      </c>
      <c r="E6597" t="s">
        <v>29204</v>
      </c>
    </row>
    <row r="6598" spans="1:5">
      <c r="A6598" t="s">
        <v>6</v>
      </c>
      <c r="B6598" t="s">
        <v>6603</v>
      </c>
      <c r="C6598">
        <f>HYPERLINK("C:\Users\franc\OneDrive\Documentos\MALENTIN KARIME\MANDATO\VENDER\2021\WALTER ALFARO A Silvio Martinez.doc", "Abrir Documento")</f>
        <v>0</v>
      </c>
      <c r="D6598" t="s">
        <v>23500</v>
      </c>
      <c r="E6598" t="s">
        <v>29205</v>
      </c>
    </row>
    <row r="6599" spans="1:5">
      <c r="A6599" t="s">
        <v>6</v>
      </c>
      <c r="B6599" t="s">
        <v>6604</v>
      </c>
      <c r="C6599">
        <f>HYPERLINK("C:\Users\franc\OneDrive\Documentos\MALENTIN KARIME\MANDATO\VENDER\2021\SEBASTIAN HRDINA Minuta.doc", "Abrir Documento")</f>
        <v>0</v>
      </c>
      <c r="D6599" t="s">
        <v>23500</v>
      </c>
      <c r="E6599" t="s">
        <v>29206</v>
      </c>
    </row>
    <row r="6600" spans="1:5">
      <c r="A6600" t="s">
        <v>6</v>
      </c>
      <c r="B6600" t="s">
        <v>6605</v>
      </c>
      <c r="C6600">
        <f>HYPERLINK("C:\Users\franc\OneDrive\Documentos\MALENTIN KARIME\MANDATO\VENDER\2021\MASCARO ALAIN DOMINIQUE vehiculo.doc", "Abrir Documento")</f>
        <v>0</v>
      </c>
      <c r="D6600" t="s">
        <v>23500</v>
      </c>
      <c r="E6600" t="s">
        <v>29207</v>
      </c>
    </row>
    <row r="6601" spans="1:5">
      <c r="A6601" t="s">
        <v>6</v>
      </c>
      <c r="B6601" t="s">
        <v>6606</v>
      </c>
      <c r="C6601">
        <f>HYPERLINK("C:\Users\franc\OneDrive\Documentos\MALENTIN KARIME\MANDATO\VENDER\2021\MARIA LAGOS OLEA.doc", "Abrir Documento")</f>
        <v>0</v>
      </c>
      <c r="D6601" t="s">
        <v>23500</v>
      </c>
      <c r="E6601" t="s">
        <v>29208</v>
      </c>
    </row>
    <row r="6602" spans="1:5">
      <c r="A6602" t="s">
        <v>6</v>
      </c>
      <c r="B6602" t="s">
        <v>6607</v>
      </c>
      <c r="C6602">
        <f>HYPERLINK("C:\Users\franc\OneDrive\Documentos\MALENTIN KARIME\MANDATO\VENDER\2021\LUIS ALFARO GUERRA ADM. Vender.doc", "Abrir Documento")</f>
        <v>0</v>
      </c>
      <c r="D6602" t="s">
        <v>23500</v>
      </c>
      <c r="E6602" t="s">
        <v>29209</v>
      </c>
    </row>
    <row r="6603" spans="1:5">
      <c r="A6603" t="s">
        <v>6</v>
      </c>
      <c r="B6603" t="s">
        <v>6608</v>
      </c>
      <c r="C6603">
        <f>HYPERLINK("C:\Users\franc\OneDrive\Documentos\MALENTIN KARIME\MANDATO\VENDER\2021\HECTOR RIVAS MONSALVE Minuta.doc", "Abrir Documento")</f>
        <v>0</v>
      </c>
      <c r="D6603" t="s">
        <v>23500</v>
      </c>
      <c r="E6603" t="s">
        <v>29210</v>
      </c>
    </row>
    <row r="6604" spans="1:5">
      <c r="A6604" t="s">
        <v>6</v>
      </c>
      <c r="B6604" t="s">
        <v>6609</v>
      </c>
      <c r="C6604">
        <f>HYPERLINK("C:\Users\franc\OneDrive\Documentos\MALENTIN KARIME\MANDATO\VENDER\2021\BELLA ARAYA ARAYA.doc", "Abrir Documento")</f>
        <v>0</v>
      </c>
      <c r="D6604" t="s">
        <v>23500</v>
      </c>
      <c r="E6604" t="s">
        <v>29211</v>
      </c>
    </row>
    <row r="6605" spans="1:5">
      <c r="A6605" t="s">
        <v>6</v>
      </c>
      <c r="B6605" t="s">
        <v>6610</v>
      </c>
      <c r="C6605">
        <f>HYPERLINK("C:\Users\franc\OneDrive\Documentos\MALENTIN KARIME\MANDATO\VENDER\2021\ARTEMIO FLORES CHACANADerechos.doc", "Abrir Documento")</f>
        <v>0</v>
      </c>
      <c r="D6605" t="s">
        <v>23500</v>
      </c>
      <c r="E6605" t="s">
        <v>29212</v>
      </c>
    </row>
    <row r="6606" spans="1:5">
      <c r="A6606" t="s">
        <v>6</v>
      </c>
      <c r="B6606" t="s">
        <v>6611</v>
      </c>
      <c r="C6606">
        <f>HYPERLINK("C:\Users\franc\OneDrive\Documentos\MALENTIN KARIME\MANDATO\VENDER\2021\ALICIA ABARZUA HORMAZABAL Minuta.doc", "Abrir Documento")</f>
        <v>0</v>
      </c>
      <c r="D6606" t="s">
        <v>23500</v>
      </c>
      <c r="E6606" t="s">
        <v>29213</v>
      </c>
    </row>
    <row r="6607" spans="1:5">
      <c r="A6607" t="s">
        <v>6</v>
      </c>
      <c r="B6607" t="s">
        <v>6612</v>
      </c>
      <c r="C6607">
        <f>HYPERLINK("C:\Users\franc\OneDrive\Documentos\MALENTIN KARIME\MANDATO\VENDER\2016\SUCESION ZEPEDA MICHEA  Derchos 2017.doc", "Abrir Documento")</f>
        <v>0</v>
      </c>
      <c r="D6607" t="s">
        <v>23500</v>
      </c>
      <c r="E6607" t="s">
        <v>29214</v>
      </c>
    </row>
    <row r="6608" spans="1:5">
      <c r="A6608" t="s">
        <v>6</v>
      </c>
      <c r="B6608" t="s">
        <v>6613</v>
      </c>
      <c r="C6608">
        <f>HYPERLINK("C:\Users\franc\OneDrive\Documentos\MALENTIN KARIME\MANDATO\VENDER\2016\SUCESION MONSALVE sitio 30.doc", "Abrir Documento")</f>
        <v>0</v>
      </c>
      <c r="D6608" t="s">
        <v>23500</v>
      </c>
      <c r="E6608" t="s">
        <v>29215</v>
      </c>
    </row>
    <row r="6609" spans="1:5">
      <c r="A6609" t="s">
        <v>6</v>
      </c>
      <c r="B6609" t="s">
        <v>6614</v>
      </c>
      <c r="C6609">
        <f>HYPERLINK("C:\Users\franc\OneDrive\Documentos\MALENTIN KARIME\MANDATO\VENDER\2016\SUCESION MONSALVE hJ 15.doc", "Abrir Documento")</f>
        <v>0</v>
      </c>
      <c r="D6609" t="s">
        <v>23500</v>
      </c>
      <c r="E6609" t="s">
        <v>29216</v>
      </c>
    </row>
    <row r="6610" spans="1:5">
      <c r="A6610" t="s">
        <v>6</v>
      </c>
      <c r="B6610" t="s">
        <v>6615</v>
      </c>
      <c r="C6610">
        <f>HYPERLINK("C:\Users\franc\OneDrive\Documentos\MALENTIN KARIME\MANDATO\VENDER\2016\SUCESION MONSALVE avda. la paz.doc", "Abrir Documento")</f>
        <v>0</v>
      </c>
      <c r="D6610" t="s">
        <v>23500</v>
      </c>
      <c r="E6610" t="s">
        <v>29217</v>
      </c>
    </row>
    <row r="6611" spans="1:5">
      <c r="A6611" t="s">
        <v>6</v>
      </c>
      <c r="B6611" t="s">
        <v>6616</v>
      </c>
      <c r="C6611">
        <f>HYPERLINK("C:\Users\franc\OneDrive\Documentos\MALENTIN KARIME\MANDATO\VENDER\2016\SUCESION JIMENEZ PAZ.doc", "Abrir Documento")</f>
        <v>0</v>
      </c>
      <c r="D6611" t="s">
        <v>23500</v>
      </c>
      <c r="E6611" t="s">
        <v>29218</v>
      </c>
    </row>
    <row r="6612" spans="1:5">
      <c r="A6612" t="s">
        <v>6</v>
      </c>
      <c r="B6612" t="s">
        <v>6617</v>
      </c>
      <c r="C6612">
        <f>HYPERLINK("C:\Users\franc\OneDrive\Documentos\MALENTIN KARIME\MANDATO\VENDER\2016\SUCESION CAMPUSANO 2018.doc", "Abrir Documento")</f>
        <v>0</v>
      </c>
      <c r="D6612" t="s">
        <v>23500</v>
      </c>
      <c r="E6612" t="s">
        <v>29219</v>
      </c>
    </row>
    <row r="6613" spans="1:5">
      <c r="A6613" t="s">
        <v>6</v>
      </c>
      <c r="B6613" t="s">
        <v>6618</v>
      </c>
      <c r="C6613">
        <f>HYPERLINK("C:\Users\franc\OneDrive\Documentos\MALENTIN KARIME\MANDATO\VENDER\2016\SUCESION ALFARO ANGEL 2017.doc", "Abrir Documento")</f>
        <v>0</v>
      </c>
      <c r="D6613" t="s">
        <v>23500</v>
      </c>
      <c r="E6613" t="s">
        <v>29220</v>
      </c>
    </row>
    <row r="6614" spans="1:5">
      <c r="A6614" t="s">
        <v>6</v>
      </c>
      <c r="B6614" t="s">
        <v>6619</v>
      </c>
      <c r="C6614">
        <f>HYPERLINK("C:\Users\franc\OneDrive\Documentos\MALENTIN KARIME\MANDATO\VENDER\2016\SUC CARVAJAL VILLALOBOS 2017.doc", "Abrir Documento")</f>
        <v>0</v>
      </c>
      <c r="D6614" t="s">
        <v>23500</v>
      </c>
      <c r="E6614" t="s">
        <v>29221</v>
      </c>
    </row>
    <row r="6615" spans="1:5">
      <c r="A6615" t="s">
        <v>6</v>
      </c>
      <c r="B6615" t="s">
        <v>6620</v>
      </c>
      <c r="C6615">
        <f>HYPERLINK("C:\Users\franc\OneDrive\Documentos\MALENTIN KARIME\MANDATO\VENDER\2016\SERGIO PASTEN ROBLES  Mandato y auto.doc", "Abrir Documento")</f>
        <v>0</v>
      </c>
      <c r="D6615" t="s">
        <v>23500</v>
      </c>
      <c r="E6615" t="s">
        <v>29222</v>
      </c>
    </row>
    <row r="6616" spans="1:5">
      <c r="A6616" t="s">
        <v>6</v>
      </c>
      <c r="B6616" t="s">
        <v>6621</v>
      </c>
      <c r="C6616">
        <f>HYPERLINK("C:\Users\franc\OneDrive\Documentos\MALENTIN KARIME\MANDATO\VENDER\2016\RUTH AVENDAÑO Casada admn.doc", "Abrir Documento")</f>
        <v>0</v>
      </c>
      <c r="D6616" t="s">
        <v>23500</v>
      </c>
      <c r="E6616" t="s">
        <v>29223</v>
      </c>
    </row>
    <row r="6617" spans="1:5">
      <c r="A6617" t="s">
        <v>6</v>
      </c>
      <c r="B6617" t="s">
        <v>6622</v>
      </c>
      <c r="C6617">
        <f>HYPERLINK("C:\Users\franc\OneDrive\Documentos\MALENTIN KARIME\MANDATO\VENDER\2016\RITA CHICA JIMENEZ Minuta.doc", "Abrir Documento")</f>
        <v>0</v>
      </c>
      <c r="D6617" t="s">
        <v>23500</v>
      </c>
      <c r="E6617" t="s">
        <v>29224</v>
      </c>
    </row>
    <row r="6618" spans="1:5">
      <c r="A6618" t="s">
        <v>6</v>
      </c>
      <c r="B6618" t="s">
        <v>6623</v>
      </c>
      <c r="C6618">
        <f>HYPERLINK("C:\Users\franc\OneDrive\Documentos\MALENTIN KARIME\MANDATO\VENDER\2016\RENE MENDOZA HERRERA A MARIO MENDOZA Minuta.doc", "Abrir Documento")</f>
        <v>0</v>
      </c>
      <c r="D6618" t="s">
        <v>23500</v>
      </c>
      <c r="E6618" t="s">
        <v>29225</v>
      </c>
    </row>
    <row r="6619" spans="1:5">
      <c r="A6619" t="s">
        <v>6</v>
      </c>
      <c r="B6619" t="s">
        <v>6624</v>
      </c>
      <c r="C6619">
        <f>HYPERLINK("C:\Users\franc\OneDrive\Documentos\MALENTIN KARIME\MANDATO\VENDER\2016\Paulina Torrejon a Maria JuarezDerechos.doc", "Abrir Documento")</f>
        <v>0</v>
      </c>
      <c r="D6619" t="s">
        <v>23500</v>
      </c>
      <c r="E6619" t="s">
        <v>29226</v>
      </c>
    </row>
    <row r="6620" spans="1:5">
      <c r="A6620" t="s">
        <v>6</v>
      </c>
      <c r="B6620" t="s">
        <v>6625</v>
      </c>
      <c r="C6620">
        <f>HYPERLINK("C:\Users\franc\OneDrive\Documentos\MALENTIN KARIME\MANDATO\VENDER\2016\PATRICIA AGUILERA AGUILERA derechos sep bienes 2017.doc", "Abrir Documento")</f>
        <v>0</v>
      </c>
      <c r="D6620" t="s">
        <v>23500</v>
      </c>
      <c r="E6620" t="s">
        <v>29227</v>
      </c>
    </row>
    <row r="6621" spans="1:5">
      <c r="A6621" t="s">
        <v>6</v>
      </c>
      <c r="B6621" t="s">
        <v>6626</v>
      </c>
      <c r="C6621">
        <f>HYPERLINK("C:\Users\franc\OneDrive\Documentos\MALENTIN KARIME\MANDATO\VENDER\2016\PATRICIA AGUILERA AGUILERA derechos sep bienes 2.doc", "Abrir Documento")</f>
        <v>0</v>
      </c>
      <c r="D6621" t="s">
        <v>23500</v>
      </c>
      <c r="E6621" t="s">
        <v>29228</v>
      </c>
    </row>
    <row r="6622" spans="1:5">
      <c r="A6622" t="s">
        <v>6</v>
      </c>
      <c r="B6622" t="s">
        <v>6627</v>
      </c>
      <c r="C6622">
        <f>HYPERLINK("C:\Users\franc\OneDrive\Documentos\MALENTIN KARIME\MANDATO\VENDER\2016\MERY TABILO autocontratar.doc", "Abrir Documento")</f>
        <v>0</v>
      </c>
      <c r="D6622" t="s">
        <v>23500</v>
      </c>
      <c r="E6622" t="s">
        <v>29229</v>
      </c>
    </row>
    <row r="6623" spans="1:5">
      <c r="A6623" t="s">
        <v>6</v>
      </c>
      <c r="B6623" t="s">
        <v>6628</v>
      </c>
      <c r="C6623">
        <f>HYPERLINK("C:\Users\franc\OneDrive\Documentos\MALENTIN KARIME\MANDATO\VENDER\2016\MAURICIO GUERRA VELIZ Mandato y auto.doc", "Abrir Documento")</f>
        <v>0</v>
      </c>
      <c r="D6623" t="s">
        <v>23500</v>
      </c>
      <c r="E6623" t="s">
        <v>29230</v>
      </c>
    </row>
    <row r="6624" spans="1:5">
      <c r="A6624" t="s">
        <v>6</v>
      </c>
      <c r="B6624" t="s">
        <v>6629</v>
      </c>
      <c r="C6624">
        <f>HYPERLINK("C:\Users\franc\OneDrive\Documentos\MALENTIN KARIME\MANDATO\VENDER\2016\MARIXA TORREJON JUAREZDerechos.doc", "Abrir Documento")</f>
        <v>0</v>
      </c>
      <c r="D6624" t="s">
        <v>23500</v>
      </c>
      <c r="E6624" t="s">
        <v>29231</v>
      </c>
    </row>
    <row r="6625" spans="1:5">
      <c r="A6625" t="s">
        <v>6</v>
      </c>
      <c r="B6625" t="s">
        <v>6630</v>
      </c>
      <c r="C6625">
        <f>HYPERLINK("C:\Users\franc\OneDrive\Documentos\MALENTIN KARIME\MANDATO\VENDER\2016\MARIO ARAYA ROJAS A JAQUELINE RIVERA REYES Mandato  y auto.doc", "Abrir Documento")</f>
        <v>0</v>
      </c>
      <c r="D6625" t="s">
        <v>23500</v>
      </c>
      <c r="E6625" t="s">
        <v>29232</v>
      </c>
    </row>
    <row r="6626" spans="1:5">
      <c r="A6626" t="s">
        <v>6</v>
      </c>
      <c r="B6626" t="s">
        <v>6631</v>
      </c>
      <c r="C6626">
        <f>HYPERLINK("C:\Users\franc\OneDrive\Documentos\MALENTIN KARIME\MANDATO\VENDER\2016\MARIA MUÑOZ ABARCA Y OTRApara subdivision.doc", "Abrir Documento")</f>
        <v>0</v>
      </c>
      <c r="D6626" t="s">
        <v>23500</v>
      </c>
      <c r="E6626" t="s">
        <v>29233</v>
      </c>
    </row>
    <row r="6627" spans="1:5">
      <c r="A6627" t="s">
        <v>6</v>
      </c>
      <c r="B6627" t="s">
        <v>6632</v>
      </c>
      <c r="C6627">
        <f>HYPERLINK("C:\Users\franc\OneDrive\Documentos\MALENTIN KARIME\MANDATO\VENDER\2016\MARIA LOPEZ ORTIZ Y OTROS A maria ogalde.doc", "Abrir Documento")</f>
        <v>0</v>
      </c>
      <c r="D6627" t="s">
        <v>23500</v>
      </c>
      <c r="E6627" t="s">
        <v>29234</v>
      </c>
    </row>
    <row r="6628" spans="1:5">
      <c r="A6628" t="s">
        <v>6</v>
      </c>
      <c r="B6628" t="s">
        <v>6633</v>
      </c>
      <c r="C6628">
        <f>HYPERLINK("C:\Users\franc\OneDrive\Documentos\MALENTIN KARIME\MANDATO\VENDER\2016\MARCELA MORAGA GONZALEZ Derechos.doc", "Abrir Documento")</f>
        <v>0</v>
      </c>
      <c r="D6628" t="s">
        <v>23500</v>
      </c>
      <c r="E6628" t="s">
        <v>29235</v>
      </c>
    </row>
    <row r="6629" spans="1:5">
      <c r="A6629" t="s">
        <v>6</v>
      </c>
      <c r="B6629" t="s">
        <v>6634</v>
      </c>
      <c r="C6629">
        <f>HYPERLINK("C:\Users\franc\OneDrive\Documentos\MALENTIN KARIME\MANDATO\VENDER\2016\mandato vender.doc", "Abrir Documento")</f>
        <v>0</v>
      </c>
      <c r="D6629" t="s">
        <v>23500</v>
      </c>
      <c r="E6629" t="s">
        <v>29236</v>
      </c>
    </row>
    <row r="6630" spans="1:5">
      <c r="A6630" t="s">
        <v>6</v>
      </c>
      <c r="B6630" t="s">
        <v>6635</v>
      </c>
      <c r="C6630">
        <f>HYPERLINK("C:\Users\franc\OneDrive\Documentos\MALENTIN KARIME\MANDATO\VENDER\2016\LUIS VIDAL CORTES Derchos 2017.doc", "Abrir Documento")</f>
        <v>0</v>
      </c>
      <c r="D6630" t="s">
        <v>23500</v>
      </c>
      <c r="E6630" t="s">
        <v>29237</v>
      </c>
    </row>
    <row r="6631" spans="1:5">
      <c r="A6631" t="s">
        <v>6</v>
      </c>
      <c r="B6631" t="s">
        <v>6636</v>
      </c>
      <c r="C6631">
        <f>HYPERLINK("C:\Users\franc\OneDrive\Documentos\MALENTIN KARIME\MANDATO\VENDER\2016\LEYLA OLIVARES 2017.doc", "Abrir Documento")</f>
        <v>0</v>
      </c>
      <c r="D6631" t="s">
        <v>23500</v>
      </c>
      <c r="E6631" t="s">
        <v>29238</v>
      </c>
    </row>
    <row r="6632" spans="1:5">
      <c r="A6632" t="s">
        <v>6</v>
      </c>
      <c r="B6632" t="s">
        <v>6637</v>
      </c>
      <c r="C6632">
        <f>HYPERLINK("C:\Users\franc\OneDrive\Documentos\MALENTIN KARIME\MANDATO\VENDER\2016\KETTY VEGA JORQUERA Mandato  y auto.doc", "Abrir Documento")</f>
        <v>0</v>
      </c>
      <c r="D6632" t="s">
        <v>23500</v>
      </c>
      <c r="E6632" t="s">
        <v>29239</v>
      </c>
    </row>
    <row r="6633" spans="1:5">
      <c r="A6633" t="s">
        <v>6</v>
      </c>
      <c r="B6633" t="s">
        <v>6638</v>
      </c>
      <c r="C6633">
        <f>HYPERLINK("C:\Users\franc\OneDrive\Documentos\MALENTIN KARIME\MANDATO\VENDER\2016\JUAN CARLOS CARMNA CASTEX 2017 Mandato y auto.doc", "Abrir Documento")</f>
        <v>0</v>
      </c>
      <c r="D6633" t="s">
        <v>23500</v>
      </c>
      <c r="E6633" t="s">
        <v>29240</v>
      </c>
    </row>
    <row r="6634" spans="1:5">
      <c r="A6634" t="s">
        <v>6</v>
      </c>
      <c r="B6634" t="s">
        <v>6639</v>
      </c>
      <c r="C6634">
        <f>HYPERLINK("C:\Users\franc\OneDrive\Documentos\MALENTIN KARIME\MANDATO\VENDER\2016\JAIME VILLAR RODRIGUEZ 2017.doc", "Abrir Documento")</f>
        <v>0</v>
      </c>
      <c r="D6634" t="s">
        <v>23500</v>
      </c>
      <c r="E6634" t="s">
        <v>29241</v>
      </c>
    </row>
    <row r="6635" spans="1:5">
      <c r="A6635" t="s">
        <v>6</v>
      </c>
      <c r="B6635" t="s">
        <v>6640</v>
      </c>
      <c r="C6635">
        <f>HYPERLINK("C:\Users\franc\OneDrive\Documentos\MALENTIN KARIME\MANDATO\VENDER\2016\JAIME GALLADO GALLARDODerechos.doc", "Abrir Documento")</f>
        <v>0</v>
      </c>
      <c r="D6635" t="s">
        <v>23500</v>
      </c>
      <c r="E6635" t="s">
        <v>29242</v>
      </c>
    </row>
    <row r="6636" spans="1:5">
      <c r="A6636" t="s">
        <v>6</v>
      </c>
      <c r="B6636" t="s">
        <v>6641</v>
      </c>
      <c r="C6636">
        <f>HYPERLINK("C:\Users\franc\OneDrive\Documentos\MALENTIN KARIME\MANDATO\VENDER\2016\IVAN LAGUNAS CHELEN vender dga.doc", "Abrir Documento")</f>
        <v>0</v>
      </c>
      <c r="D6636" t="s">
        <v>23500</v>
      </c>
      <c r="E6636" t="s">
        <v>29243</v>
      </c>
    </row>
    <row r="6637" spans="1:5">
      <c r="A6637" t="s">
        <v>6</v>
      </c>
      <c r="B6637" t="s">
        <v>6642</v>
      </c>
      <c r="C6637">
        <f>HYPERLINK("C:\Users\franc\OneDrive\Documentos\MALENTIN KARIME\MANDATO\VENDER\2016\HECTOR MEZA MELLADO Mandato y auto derechos.doc", "Abrir Documento")</f>
        <v>0</v>
      </c>
      <c r="D6637" t="s">
        <v>23500</v>
      </c>
      <c r="E6637" t="s">
        <v>29244</v>
      </c>
    </row>
    <row r="6638" spans="1:5">
      <c r="A6638" t="s">
        <v>6</v>
      </c>
      <c r="B6638" t="s">
        <v>6643</v>
      </c>
      <c r="C6638">
        <f>HYPERLINK("C:\Users\franc\OneDrive\Documentos\MALENTIN KARIME\MANDATO\VENDER\2016\HECTOR GUTIERREZ MUÑOZ A María Taucan Mandato  y auto.doc", "Abrir Documento")</f>
        <v>0</v>
      </c>
      <c r="D6638" t="s">
        <v>23500</v>
      </c>
      <c r="E6638" t="s">
        <v>29245</v>
      </c>
    </row>
    <row r="6639" spans="1:5">
      <c r="A6639" t="s">
        <v>6</v>
      </c>
      <c r="B6639" t="s">
        <v>6644</v>
      </c>
      <c r="C6639">
        <f>HYPERLINK("C:\Users\franc\OneDrive\Documentos\MALENTIN KARIME\MANDATO\VENDER\2016\HAYDEE ALVARADO CORTES.doc", "Abrir Documento")</f>
        <v>0</v>
      </c>
      <c r="D6639" t="s">
        <v>23500</v>
      </c>
      <c r="E6639" t="s">
        <v>29246</v>
      </c>
    </row>
    <row r="6640" spans="1:5">
      <c r="A6640" t="s">
        <v>6</v>
      </c>
      <c r="B6640" t="s">
        <v>6645</v>
      </c>
      <c r="C6640">
        <f>HYPERLINK("C:\Users\franc\OneDrive\Documentos\MALENTIN KARIME\MANDATO\VENDER\2016\FELIPE SUCKEL Minuta.doc", "Abrir Documento")</f>
        <v>0</v>
      </c>
      <c r="D6640" t="s">
        <v>23500</v>
      </c>
      <c r="E6640" t="s">
        <v>29247</v>
      </c>
    </row>
    <row r="6641" spans="1:5">
      <c r="A6641" t="s">
        <v>6</v>
      </c>
      <c r="B6641" t="s">
        <v>6646</v>
      </c>
      <c r="C6641">
        <f>HYPERLINK("C:\Users\franc\OneDrive\Documentos\MALENTIN KARIME\MANDATO\VENDER\2016\FABIAN GAJARDO MARTINEZ.doc", "Abrir Documento")</f>
        <v>0</v>
      </c>
      <c r="D6641" t="s">
        <v>23500</v>
      </c>
      <c r="E6641" t="s">
        <v>29248</v>
      </c>
    </row>
    <row r="6642" spans="1:5">
      <c r="A6642" t="s">
        <v>6</v>
      </c>
      <c r="B6642" t="s">
        <v>6647</v>
      </c>
      <c r="C6642">
        <f>HYPERLINK("C:\Users\franc\OneDrive\Documentos\MALENTIN KARIME\MANDATO\VENDER\2016\ELOISA LOPEZ CORTES 2018Derechos.doc", "Abrir Documento")</f>
        <v>0</v>
      </c>
      <c r="D6642" t="s">
        <v>23500</v>
      </c>
      <c r="E6642" t="s">
        <v>29249</v>
      </c>
    </row>
    <row r="6643" spans="1:5">
      <c r="A6643" t="s">
        <v>6</v>
      </c>
      <c r="B6643" t="s">
        <v>6648</v>
      </c>
      <c r="C6643">
        <f>HYPERLINK("C:\Users\franc\OneDrive\Documentos\MALENTIN KARIME\MANDATO\VENDER\2016\DOMINGA VILLARROEL.doc", "Abrir Documento")</f>
        <v>0</v>
      </c>
      <c r="D6643" t="s">
        <v>23500</v>
      </c>
      <c r="E6643" t="s">
        <v>29250</v>
      </c>
    </row>
    <row r="6644" spans="1:5">
      <c r="A6644" t="s">
        <v>6</v>
      </c>
      <c r="B6644" t="s">
        <v>6649</v>
      </c>
      <c r="C6644">
        <f>HYPERLINK("C:\Users\franc\OneDrive\Documentos\MALENTIN KARIME\MANDATO\VENDER\2016\CLAUDIO CESAR MENDEZ LOPEZ A ella.doc", "Abrir Documento")</f>
        <v>0</v>
      </c>
      <c r="D6644" t="s">
        <v>23500</v>
      </c>
      <c r="E6644" t="s">
        <v>29251</v>
      </c>
    </row>
    <row r="6645" spans="1:5">
      <c r="A6645" t="s">
        <v>6</v>
      </c>
      <c r="B6645" t="s">
        <v>6650</v>
      </c>
      <c r="C6645">
        <f>HYPERLINK("C:\Users\franc\OneDrive\Documentos\MALENTIN KARIME\MANDATO\VENDER\2016\DANIEL CAMPUSANO A Karol Campusano.doc", "Abrir Documento")</f>
        <v>0</v>
      </c>
      <c r="D6645" t="s">
        <v>23500</v>
      </c>
      <c r="E6645" t="s">
        <v>29251</v>
      </c>
    </row>
    <row r="6646" spans="1:5">
      <c r="A6646" t="s">
        <v>6</v>
      </c>
      <c r="B6646" t="s">
        <v>6651</v>
      </c>
      <c r="C6646">
        <f>HYPERLINK("C:\Users\franc\OneDrive\Documentos\MALENTIN KARIME\MANDATO\VENDER\2016\CARLOS BUGUEÑO CORREA 2017 Mandato y auto.doc", "Abrir Documento")</f>
        <v>0</v>
      </c>
      <c r="D6646" t="s">
        <v>23500</v>
      </c>
      <c r="E6646" t="s">
        <v>29252</v>
      </c>
    </row>
    <row r="6647" spans="1:5">
      <c r="A6647" t="s">
        <v>6</v>
      </c>
      <c r="B6647" t="s">
        <v>6652</v>
      </c>
      <c r="C6647">
        <f>HYPERLINK("C:\Users\franc\OneDrive\Documentos\MALENTIN KARIME\MANDATO\VENDER\2016\BERNARDA FUENTEALBA.doc", "Abrir Documento")</f>
        <v>0</v>
      </c>
      <c r="D6647" t="s">
        <v>23500</v>
      </c>
      <c r="E6647" t="s">
        <v>29253</v>
      </c>
    </row>
    <row r="6648" spans="1:5">
      <c r="A6648" t="s">
        <v>6</v>
      </c>
      <c r="B6648" t="s">
        <v>6653</v>
      </c>
      <c r="C6648">
        <f>HYPERLINK("C:\Users\franc\OneDrive\Documentos\MALENTIN KARIME\MANDATO\VENDER\2016\BENITO OSSANDON CORTES A Ramon Ossandon.doc", "Abrir Documento")</f>
        <v>0</v>
      </c>
      <c r="D6648" t="s">
        <v>23500</v>
      </c>
      <c r="E6648" t="s">
        <v>29254</v>
      </c>
    </row>
    <row r="6649" spans="1:5">
      <c r="A6649" t="s">
        <v>6</v>
      </c>
      <c r="B6649" t="s">
        <v>6654</v>
      </c>
      <c r="C6649">
        <f>HYPERLINK("C:\Users\franc\OneDrive\Documentos\MALENTIN KARIME\MANDATO\VENDER\2016\ARTURO MOSCOSO CODOCEO 2018Derechos.doc", "Abrir Documento")</f>
        <v>0</v>
      </c>
      <c r="D6649" t="s">
        <v>23500</v>
      </c>
      <c r="E6649" t="s">
        <v>29255</v>
      </c>
    </row>
    <row r="6650" spans="1:5">
      <c r="A6650" t="s">
        <v>6</v>
      </c>
      <c r="B6650" t="s">
        <v>6655</v>
      </c>
      <c r="C6650">
        <f>HYPERLINK("C:\Users\franc\OneDrive\Documentos\MALENTIN KARIME\MANDATO\VENDER\2016\ANGEL ROJAS PAREDES 2017.doc", "Abrir Documento")</f>
        <v>0</v>
      </c>
      <c r="D6650" t="s">
        <v>23500</v>
      </c>
      <c r="E6650" t="s">
        <v>29256</v>
      </c>
    </row>
    <row r="6651" spans="1:5">
      <c r="A6651" t="s">
        <v>6</v>
      </c>
      <c r="B6651" t="s">
        <v>6656</v>
      </c>
      <c r="C6651">
        <f>HYPERLINK("C:\Users\franc\OneDrive\Documentos\MALENTIN KARIME\MANDATO\VENDER\2016\ALFONSO PASTEN HENRIQUEZ 2018.doc", "Abrir Documento")</f>
        <v>0</v>
      </c>
      <c r="D6651" t="s">
        <v>23500</v>
      </c>
      <c r="E6651" t="s">
        <v>29257</v>
      </c>
    </row>
    <row r="6652" spans="1:5">
      <c r="A6652" t="s">
        <v>6</v>
      </c>
      <c r="B6652" t="s">
        <v>6657</v>
      </c>
      <c r="C6652">
        <f>HYPERLINK("C:\Users\franc\OneDrive\Documentos\MALENTIN KARIME\MANDATO\VENDER\2015\vender Derechos.doc", "Abrir Documento")</f>
        <v>0</v>
      </c>
      <c r="D6652" t="s">
        <v>23500</v>
      </c>
      <c r="E6652" t="s">
        <v>29258</v>
      </c>
    </row>
    <row r="6653" spans="1:5">
      <c r="A6653" t="s">
        <v>6</v>
      </c>
      <c r="B6653" t="s">
        <v>6658</v>
      </c>
      <c r="C6653">
        <f>HYPERLINK("C:\Users\franc\OneDrive\Documentos\MALENTIN KARIME\MANDATO\VENDER\2015\vender Derechos MINUTA LEONILDA.doc", "Abrir Documento")</f>
        <v>0</v>
      </c>
      <c r="D6653" t="s">
        <v>23500</v>
      </c>
      <c r="E6653" t="s">
        <v>29259</v>
      </c>
    </row>
    <row r="6654" spans="1:5">
      <c r="A6654" t="s">
        <v>6</v>
      </c>
      <c r="B6654" t="s">
        <v>6659</v>
      </c>
      <c r="C6654">
        <f>HYPERLINK("C:\Users\franc\OneDrive\Documentos\MALENTIN KARIME\MANDATO\VENDER\2015\SEGISFREDO LEON A Cristian Mendieta minuta.doc", "Abrir Documento")</f>
        <v>0</v>
      </c>
      <c r="D6654" t="s">
        <v>23500</v>
      </c>
      <c r="E6654" t="s">
        <v>29260</v>
      </c>
    </row>
    <row r="6655" spans="1:5">
      <c r="A6655" t="s">
        <v>6</v>
      </c>
      <c r="B6655" t="s">
        <v>6660</v>
      </c>
      <c r="C6655">
        <f>HYPERLINK("C:\Users\franc\OneDrive\Documentos\MALENTIN KARIME\MANDATO\VENDER\2015\ROSA CASTILLO FLORES A Niilson Portilla Derechos.doc", "Abrir Documento")</f>
        <v>0</v>
      </c>
      <c r="D6655" t="s">
        <v>23500</v>
      </c>
      <c r="E6655" t="s">
        <v>29261</v>
      </c>
    </row>
    <row r="6656" spans="1:5">
      <c r="A6656" t="s">
        <v>6</v>
      </c>
      <c r="B6656" t="s">
        <v>6661</v>
      </c>
      <c r="C6656">
        <f>HYPERLINK("C:\Users\franc\OneDrive\Documentos\MALENTIN KARIME\MANDATO\VENDER\2015\RICARDO ACOSTA CISTERNAS Derechos.doc", "Abrir Documento")</f>
        <v>0</v>
      </c>
      <c r="D6656" t="s">
        <v>23500</v>
      </c>
      <c r="E6656" t="s">
        <v>29262</v>
      </c>
    </row>
    <row r="6657" spans="1:5">
      <c r="A6657" t="s">
        <v>6</v>
      </c>
      <c r="B6657" t="s">
        <v>6662</v>
      </c>
      <c r="C6657">
        <f>HYPERLINK("C:\Users\franc\OneDrive\Documentos\MALENTIN KARIME\MANDATO\VENDER\2015\RENE MENDOZA HERRERA A MARIO MENDOZA Minuta.doc", "Abrir Documento")</f>
        <v>0</v>
      </c>
      <c r="D6657" t="s">
        <v>23500</v>
      </c>
      <c r="E6657" t="s">
        <v>29263</v>
      </c>
    </row>
    <row r="6658" spans="1:5">
      <c r="A6658" t="s">
        <v>6</v>
      </c>
      <c r="B6658" t="s">
        <v>6663</v>
      </c>
      <c r="C6658">
        <f>HYPERLINK("C:\Users\franc\OneDrive\Documentos\MALENTIN KARIME\MANDATO\VENDER\2015\PAULINA SANTANDER HIDALGO Minuta.doc", "Abrir Documento")</f>
        <v>0</v>
      </c>
      <c r="D6658" t="s">
        <v>23500</v>
      </c>
      <c r="E6658" t="s">
        <v>29264</v>
      </c>
    </row>
    <row r="6659" spans="1:5">
      <c r="A6659" t="s">
        <v>6</v>
      </c>
      <c r="B6659" t="s">
        <v>6664</v>
      </c>
      <c r="C6659">
        <f>HYPERLINK("C:\Users\franc\OneDrive\Documentos\MALENTIN KARIME\MANDATO\VENDER\2015\ORIEL ALBARRACIN RIVERA Autorizacion.doc", "Abrir Documento")</f>
        <v>0</v>
      </c>
      <c r="D6659" t="s">
        <v>23500</v>
      </c>
      <c r="E6659" t="s">
        <v>29265</v>
      </c>
    </row>
    <row r="6660" spans="1:5">
      <c r="A6660" t="s">
        <v>6</v>
      </c>
      <c r="B6660" t="s">
        <v>6665</v>
      </c>
      <c r="C6660">
        <f>HYPERLINK("C:\Users\franc\OneDrive\Documentos\MALENTIN KARIME\MANDATO\VENDER\2015\LUIS PARRA CISTERNAS Modelo para hacer mandato.doc", "Abrir Documento")</f>
        <v>0</v>
      </c>
      <c r="D6660" t="s">
        <v>23500</v>
      </c>
      <c r="E6660" t="s">
        <v>29266</v>
      </c>
    </row>
    <row r="6661" spans="1:5">
      <c r="A6661" t="s">
        <v>6</v>
      </c>
      <c r="B6661" t="s">
        <v>6666</v>
      </c>
      <c r="C6661">
        <f>HYPERLINK("C:\Users\franc\OneDrive\Documentos\MALENTIN KARIME\MANDATO\VENDER\2015\LUIS ALFONSO MUÑOZ VENEGAS.doc", "Abrir Documento")</f>
        <v>0</v>
      </c>
      <c r="D6661" t="s">
        <v>23500</v>
      </c>
      <c r="E6661" t="s">
        <v>29267</v>
      </c>
    </row>
    <row r="6662" spans="1:5">
      <c r="A6662" t="s">
        <v>6</v>
      </c>
      <c r="B6662" t="s">
        <v>6667</v>
      </c>
      <c r="C6662">
        <f>HYPERLINK("C:\Users\franc\OneDrive\Documentos\MALENTIN KARIME\MANDATO\VENDER\2015\ISIDRO ORTIZ MALUENDA Derechos.doc", "Abrir Documento")</f>
        <v>0</v>
      </c>
      <c r="D6662" t="s">
        <v>23500</v>
      </c>
      <c r="E6662" t="s">
        <v>29268</v>
      </c>
    </row>
    <row r="6663" spans="1:5">
      <c r="A6663" t="s">
        <v>6</v>
      </c>
      <c r="B6663" t="s">
        <v>6668</v>
      </c>
      <c r="C6663">
        <f>HYPERLINK("C:\Users\franc\OneDrive\Documentos\MALENTIN KARIME\MANDATO\VENDER\2015\DIEGO MORGAN A ANGELA AMENGUAL.doc", "Abrir Documento")</f>
        <v>0</v>
      </c>
      <c r="D6663" t="s">
        <v>23500</v>
      </c>
      <c r="E6663" t="s">
        <v>29269</v>
      </c>
    </row>
    <row r="6664" spans="1:5">
      <c r="A6664" t="s">
        <v>6</v>
      </c>
      <c r="B6664" t="s">
        <v>6669</v>
      </c>
      <c r="C6664">
        <f>HYPERLINK("C:\Users\franc\OneDrive\Documentos\MALENTIN KARIME\MANDATO\VENDER\2015\CARLOS ROJSA IBACACHE Derechos.doc", "Abrir Documento")</f>
        <v>0</v>
      </c>
      <c r="D6664" t="s">
        <v>23500</v>
      </c>
      <c r="E6664" t="s">
        <v>29270</v>
      </c>
    </row>
    <row r="6665" spans="1:5">
      <c r="A6665" t="s">
        <v>6</v>
      </c>
      <c r="B6665" t="s">
        <v>6670</v>
      </c>
      <c r="C6665">
        <f>HYPERLINK("C:\Users\franc\OneDrive\Documentos\MALENTIN KARIME\MANDATO\VENDER\2015\BLANCA ROBLES VENEGAS Y Marido.doc", "Abrir Documento")</f>
        <v>0</v>
      </c>
      <c r="D6665" t="s">
        <v>23500</v>
      </c>
      <c r="E6665" t="s">
        <v>29271</v>
      </c>
    </row>
    <row r="6666" spans="1:5">
      <c r="A6666" t="s">
        <v>6</v>
      </c>
      <c r="B6666" t="s">
        <v>6671</v>
      </c>
      <c r="C6666">
        <f>HYPERLINK("C:\Users\franc\OneDrive\Documentos\MALENTIN KARIME\MANDATO\VENDER\2015\Autorizacion Alfonso Castillo.doc", "Abrir Documento")</f>
        <v>0</v>
      </c>
      <c r="D6666" t="s">
        <v>23500</v>
      </c>
      <c r="E6666" t="s">
        <v>29272</v>
      </c>
    </row>
    <row r="6667" spans="1:5">
      <c r="A6667" t="s">
        <v>6</v>
      </c>
      <c r="B6667" t="s">
        <v>6672</v>
      </c>
      <c r="C6667">
        <f>HYPERLINK("C:\Users\franc\OneDrive\Documentos\MALENTIN KARIME\MANDATO\VENDER\2015\AGROCOMERCIAL Y GANADERA LOMA LARGA LTDA..doc", "Abrir Documento")</f>
        <v>0</v>
      </c>
      <c r="D6667" t="s">
        <v>23500</v>
      </c>
      <c r="E6667" t="s">
        <v>29273</v>
      </c>
    </row>
    <row r="6668" spans="1:5">
      <c r="A6668" t="s">
        <v>6</v>
      </c>
      <c r="B6668" t="s">
        <v>6673</v>
      </c>
      <c r="C6668">
        <f>HYPERLINK("C:\Users\franc\OneDrive\Documentos\MALENTIN KARIME\MANDATO\VENDER\2015\ABRAHAM GUERRERO A Marjori Guerrero MINUTA.doc", "Abrir Documento")</f>
        <v>0</v>
      </c>
      <c r="D6668" t="s">
        <v>23500</v>
      </c>
      <c r="E6668" t="s">
        <v>29274</v>
      </c>
    </row>
    <row r="6669" spans="1:5">
      <c r="A6669" t="s">
        <v>6</v>
      </c>
      <c r="B6669" t="s">
        <v>6674</v>
      </c>
      <c r="C6669">
        <f>HYPERLINK("C:\Users\franc\OneDrive\Documentos\MALENTIN KARIME\MANDATO\VENDER\2014\XIMENA SAPIAIN.doc", "Abrir Documento")</f>
        <v>0</v>
      </c>
      <c r="D6669" t="s">
        <v>23500</v>
      </c>
      <c r="E6669" t="s">
        <v>29275</v>
      </c>
    </row>
    <row r="6670" spans="1:5">
      <c r="A6670" t="s">
        <v>6</v>
      </c>
      <c r="B6670" t="s">
        <v>6675</v>
      </c>
      <c r="C6670">
        <f>HYPERLINK("C:\Users\franc\OneDrive\Documentos\MALENTIN KARIME\MANDATO\VENDER\2014\VERONICA RIOS ACUÑA  Mandato y auto.doc", "Abrir Documento")</f>
        <v>0</v>
      </c>
      <c r="D6670" t="s">
        <v>23500</v>
      </c>
      <c r="E6670" t="s">
        <v>29276</v>
      </c>
    </row>
    <row r="6671" spans="1:5">
      <c r="A6671" t="s">
        <v>6</v>
      </c>
      <c r="B6671" t="s">
        <v>6676</v>
      </c>
      <c r="C6671">
        <f>HYPERLINK("C:\Users\franc\OneDrive\Documentos\MALENTIN KARIME\MANDATO\VENDER\2014\SILVIA PIZARRO ALCAYAGA Derechos.doc", "Abrir Documento")</f>
        <v>0</v>
      </c>
      <c r="D6671" t="s">
        <v>23500</v>
      </c>
      <c r="E6671" t="s">
        <v>29277</v>
      </c>
    </row>
    <row r="6672" spans="1:5">
      <c r="A6672" t="s">
        <v>6</v>
      </c>
      <c r="B6672" t="s">
        <v>6677</v>
      </c>
      <c r="C6672">
        <f>HYPERLINK("C:\Users\franc\OneDrive\Documentos\MALENTIN KARIME\MANDATO\VENDER\2014\ROSA MALUENDA CARVAJAL Autorizacion.doc", "Abrir Documento")</f>
        <v>0</v>
      </c>
      <c r="D6672" t="s">
        <v>23500</v>
      </c>
      <c r="E6672" t="s">
        <v>29278</v>
      </c>
    </row>
    <row r="6673" spans="1:5">
      <c r="A6673" t="s">
        <v>6</v>
      </c>
      <c r="B6673" t="s">
        <v>6678</v>
      </c>
      <c r="C6673">
        <f>HYPERLINK("C:\Users\franc\OneDrive\Documentos\MALENTIN KARIME\MANDATO\VENDER\2014\ROSSANA AHUMADA PIZARRO Matrimonio.doc", "Abrir Documento")</f>
        <v>0</v>
      </c>
      <c r="D6673" t="s">
        <v>23500</v>
      </c>
      <c r="E6673" t="s">
        <v>29278</v>
      </c>
    </row>
    <row r="6674" spans="1:5">
      <c r="A6674" t="s">
        <v>6</v>
      </c>
      <c r="B6674" t="s">
        <v>6679</v>
      </c>
      <c r="C6674">
        <f>HYPERLINK("C:\Users\franc\OneDrive\Documentos\MALENTIN KARIME\MANDATO\VENDER\2014\RICARDO CORTES ARAYA.doc", "Abrir Documento")</f>
        <v>0</v>
      </c>
      <c r="D6674" t="s">
        <v>23500</v>
      </c>
      <c r="E6674" t="s">
        <v>29279</v>
      </c>
    </row>
    <row r="6675" spans="1:5">
      <c r="A6675" t="s">
        <v>6</v>
      </c>
      <c r="B6675" t="s">
        <v>6680</v>
      </c>
      <c r="C6675">
        <f>HYPERLINK("C:\Users\franc\OneDrive\Documentos\MALENTIN KARIME\MANDATO\VENDER\2014\RAUL CORTES Matrimonio.doc", "Abrir Documento")</f>
        <v>0</v>
      </c>
      <c r="D6675" t="s">
        <v>23500</v>
      </c>
      <c r="E6675" t="s">
        <v>29280</v>
      </c>
    </row>
    <row r="6676" spans="1:5">
      <c r="A6676" t="s">
        <v>6</v>
      </c>
      <c r="B6676" t="s">
        <v>6681</v>
      </c>
      <c r="C6676">
        <f>HYPERLINK("C:\Users\franc\OneDrive\Documentos\MALENTIN KARIME\MANDATO\VENDER\2014\RAMON ARANEDA MUÑOZ Matrimonio.doc", "Abrir Documento")</f>
        <v>0</v>
      </c>
      <c r="D6676" t="s">
        <v>23500</v>
      </c>
      <c r="E6676" t="s">
        <v>29281</v>
      </c>
    </row>
    <row r="6677" spans="1:5">
      <c r="A6677" t="s">
        <v>6</v>
      </c>
      <c r="B6677" t="s">
        <v>6682</v>
      </c>
      <c r="C6677">
        <f>HYPERLINK("C:\Users\franc\OneDrive\Documentos\MALENTIN KARIME\MANDATO\VENDER\2014\PEDRO OLIVARES GARRIDO Minuta.doc", "Abrir Documento")</f>
        <v>0</v>
      </c>
      <c r="D6677" t="s">
        <v>23500</v>
      </c>
      <c r="E6677" t="s">
        <v>29282</v>
      </c>
    </row>
    <row r="6678" spans="1:5">
      <c r="A6678" t="s">
        <v>6</v>
      </c>
      <c r="B6678" t="s">
        <v>6683</v>
      </c>
      <c r="C6678">
        <f>HYPERLINK("C:\Users\franc\OneDrive\Documentos\MALENTIN KARIME\MANDATO\VENDER\2014\PATRICIO ALFARO Derechos.doc", "Abrir Documento")</f>
        <v>0</v>
      </c>
      <c r="D6678" t="s">
        <v>23500</v>
      </c>
      <c r="E6678" t="s">
        <v>29283</v>
      </c>
    </row>
    <row r="6679" spans="1:5">
      <c r="A6679" t="s">
        <v>6</v>
      </c>
      <c r="B6679" t="s">
        <v>6684</v>
      </c>
      <c r="C6679">
        <f>HYPERLINK("C:\Users\franc\OneDrive\Documentos\MALENTIN KARIME\MANDATO\VENDER\2014\OMAR CABRERA A conyuge Derechos.doc", "Abrir Documento")</f>
        <v>0</v>
      </c>
      <c r="D6679" t="s">
        <v>23500</v>
      </c>
      <c r="E6679" t="s">
        <v>29284</v>
      </c>
    </row>
    <row r="6680" spans="1:5">
      <c r="A6680" t="s">
        <v>6</v>
      </c>
      <c r="B6680" t="s">
        <v>6685</v>
      </c>
      <c r="C6680">
        <f>HYPERLINK("C:\Users\franc\OneDrive\Documentos\MALENTIN KARIME\MANDATO\VENDER\2014\MINUTA NOTARIA Derechos.doc", "Abrir Documento")</f>
        <v>0</v>
      </c>
      <c r="D6680" t="s">
        <v>23500</v>
      </c>
      <c r="E6680" t="s">
        <v>29285</v>
      </c>
    </row>
    <row r="6681" spans="1:5">
      <c r="A6681" t="s">
        <v>6</v>
      </c>
      <c r="B6681" t="s">
        <v>6686</v>
      </c>
      <c r="C6681">
        <f>HYPERLINK("C:\Users\franc\OneDrive\Documentos\MALENTIN KARIME\MANDATO\VENDER\2014\MANUEL ZAMORA ARANCIBIA 2 herencias.doc", "Abrir Documento")</f>
        <v>0</v>
      </c>
      <c r="D6681" t="s">
        <v>23500</v>
      </c>
      <c r="E6681" t="s">
        <v>29286</v>
      </c>
    </row>
    <row r="6682" spans="1:5">
      <c r="A6682" t="s">
        <v>6</v>
      </c>
      <c r="B6682" t="s">
        <v>6687</v>
      </c>
      <c r="C6682">
        <f>HYPERLINK("C:\Users\franc\OneDrive\Documentos\MALENTIN KARIME\MANDATO\VENDER\2014\MANUEL CONDORE CHOQUE Vender y arrendar.doc", "Abrir Documento")</f>
        <v>0</v>
      </c>
      <c r="D6682" t="s">
        <v>23500</v>
      </c>
      <c r="E6682" t="s">
        <v>29287</v>
      </c>
    </row>
    <row r="6683" spans="1:5">
      <c r="A6683" t="s">
        <v>6</v>
      </c>
      <c r="B6683" t="s">
        <v>6688</v>
      </c>
      <c r="C6683">
        <f>HYPERLINK("C:\Users\franc\OneDrive\Documentos\MALENTIN KARIME\MANDATO\VENDER\2014\LEONOR PIZARRO LEON A Patricia Ahumada.doc", "Abrir Documento")</f>
        <v>0</v>
      </c>
      <c r="D6683" t="s">
        <v>23500</v>
      </c>
      <c r="E6683" t="s">
        <v>29288</v>
      </c>
    </row>
    <row r="6684" spans="1:5">
      <c r="A6684" t="s">
        <v>6</v>
      </c>
      <c r="B6684" t="s">
        <v>6689</v>
      </c>
      <c r="C6684">
        <f>HYPERLINK("C:\Users\franc\OneDrive\Documentos\MALENTIN KARIME\MANDATO\VENDER\2014\LAUTARO ROJAS VEGA Mandato y auto.doc", "Abrir Documento")</f>
        <v>0</v>
      </c>
      <c r="D6684" t="s">
        <v>23500</v>
      </c>
      <c r="E6684" t="s">
        <v>29289</v>
      </c>
    </row>
    <row r="6685" spans="1:5">
      <c r="A6685" t="s">
        <v>6</v>
      </c>
      <c r="B6685" t="s">
        <v>6690</v>
      </c>
      <c r="C6685">
        <f>HYPERLINK("C:\Users\franc\OneDrive\Documentos\MALENTIN KARIME\MANDATO\VENDER\2014\JUAN AGUIRRE SANTIBAÑEZ Minuta.doc", "Abrir Documento")</f>
        <v>0</v>
      </c>
      <c r="D6685" t="s">
        <v>23500</v>
      </c>
      <c r="E6685" t="s">
        <v>29290</v>
      </c>
    </row>
    <row r="6686" spans="1:5">
      <c r="A6686" t="s">
        <v>6</v>
      </c>
      <c r="B6686" t="s">
        <v>6691</v>
      </c>
      <c r="C6686">
        <f>HYPERLINK("C:\Users\franc\OneDrive\Documentos\MALENTIN KARIME\MANDATO\VENDER\2014\JUAN  AHUMADA PIZARRO.doc", "Abrir Documento")</f>
        <v>0</v>
      </c>
      <c r="D6686" t="s">
        <v>23500</v>
      </c>
      <c r="E6686" t="s">
        <v>29291</v>
      </c>
    </row>
    <row r="6687" spans="1:5">
      <c r="A6687" t="s">
        <v>6</v>
      </c>
      <c r="B6687" t="s">
        <v>6692</v>
      </c>
      <c r="C6687">
        <f>HYPERLINK("C:\Users\franc\OneDrive\Documentos\MALENTIN KARIME\MANDATO\VENDER\2014\JOSE MONTECINOS INZUNZA  Derechos Admn.doc", "Abrir Documento")</f>
        <v>0</v>
      </c>
      <c r="D6687" t="s">
        <v>23500</v>
      </c>
      <c r="E6687" t="s">
        <v>29292</v>
      </c>
    </row>
    <row r="6688" spans="1:5">
      <c r="A6688" t="s">
        <v>6</v>
      </c>
      <c r="B6688" t="s">
        <v>6693</v>
      </c>
      <c r="C6688">
        <f>HYPERLINK("C:\Users\franc\OneDrive\Documentos\MALENTIN KARIME\MANDATO\VENDER\2014\JOSE LUIS MALUENDA CALDERON.doc", "Abrir Documento")</f>
        <v>0</v>
      </c>
      <c r="D6688" t="s">
        <v>23500</v>
      </c>
      <c r="E6688" t="s">
        <v>29293</v>
      </c>
    </row>
    <row r="6689" spans="1:5">
      <c r="A6689" t="s">
        <v>6</v>
      </c>
      <c r="B6689" t="s">
        <v>6694</v>
      </c>
      <c r="C6689">
        <f>HYPERLINK("C:\Users\franc\OneDrive\Documentos\MALENTIN KARIME\MANDATO\VENDER\2014\HONORINDO OLIVARES SEGOVIA A Arturo Marin.doc", "Abrir Documento")</f>
        <v>0</v>
      </c>
      <c r="D6689" t="s">
        <v>23500</v>
      </c>
      <c r="E6689" t="s">
        <v>29294</v>
      </c>
    </row>
    <row r="6690" spans="1:5">
      <c r="A6690" t="s">
        <v>6</v>
      </c>
      <c r="B6690" t="s">
        <v>6695</v>
      </c>
      <c r="C6690">
        <f>HYPERLINK("C:\Users\franc\OneDrive\Documentos\MALENTIN KARIME\MANDATO\VENDER\2014\GLORIA ANTOGNONI Y OTRA Minuta.doc", "Abrir Documento")</f>
        <v>0</v>
      </c>
      <c r="D6690" t="s">
        <v>23500</v>
      </c>
      <c r="E6690" t="s">
        <v>29295</v>
      </c>
    </row>
    <row r="6691" spans="1:5">
      <c r="A6691" t="s">
        <v>6</v>
      </c>
      <c r="B6691" t="s">
        <v>6696</v>
      </c>
      <c r="C6691">
        <f>HYPERLINK("C:\Users\franc\OneDrive\Documentos\MALENTIN KARIME\MANDATO\VENDER\2014\FLOR CASTILLO VERA Derechos.doc", "Abrir Documento")</f>
        <v>0</v>
      </c>
      <c r="D6691" t="s">
        <v>23500</v>
      </c>
      <c r="E6691" t="s">
        <v>29296</v>
      </c>
    </row>
    <row r="6692" spans="1:5">
      <c r="A6692" t="s">
        <v>6</v>
      </c>
      <c r="B6692" t="s">
        <v>6697</v>
      </c>
      <c r="C6692">
        <f>HYPERLINK("C:\Users\franc\OneDrive\Documentos\MALENTIN KARIME\MANDATO\VENDER\2014\FIDEL SEGOVIA  A GLADYS PIZARRO Derechos.doc", "Abrir Documento")</f>
        <v>0</v>
      </c>
      <c r="D6692" t="s">
        <v>23500</v>
      </c>
      <c r="E6692" t="s">
        <v>29297</v>
      </c>
    </row>
    <row r="6693" spans="1:5">
      <c r="A6693" t="s">
        <v>6</v>
      </c>
      <c r="B6693" t="s">
        <v>6698</v>
      </c>
      <c r="C6693">
        <f>HYPERLINK("C:\Users\franc\OneDrive\Documentos\MALENTIN KARIME\MANDATO\VENDER\2014\EDUARDO ROBLES CABEZAS.doc", "Abrir Documento")</f>
        <v>0</v>
      </c>
      <c r="D6693" t="s">
        <v>23500</v>
      </c>
      <c r="E6693" t="s">
        <v>29298</v>
      </c>
    </row>
    <row r="6694" spans="1:5">
      <c r="A6694" t="s">
        <v>6</v>
      </c>
      <c r="B6694" t="s">
        <v>6699</v>
      </c>
      <c r="C6694">
        <f>HYPERLINK("C:\Users\franc\OneDrive\Documentos\MALENTIN KARIME\MANDATO\VENDER\2014\CLAUDIA GUERRA CUEVAS A Carol Galvez para subdivision.doc", "Abrir Documento")</f>
        <v>0</v>
      </c>
      <c r="D6694" t="s">
        <v>23500</v>
      </c>
      <c r="E6694" t="s">
        <v>29299</v>
      </c>
    </row>
    <row r="6695" spans="1:5">
      <c r="A6695" t="s">
        <v>6</v>
      </c>
      <c r="B6695" t="s">
        <v>6700</v>
      </c>
      <c r="C6695">
        <f>HYPERLINK("C:\Users\franc\OneDrive\Documentos\MALENTIN KARIME\MANDATO\VENDER\2014\CLAUDIA DIAZ AHUMADA A Patricia Ahumada.doc", "Abrir Documento")</f>
        <v>0</v>
      </c>
      <c r="D6695" t="s">
        <v>23500</v>
      </c>
      <c r="E6695" t="s">
        <v>29300</v>
      </c>
    </row>
    <row r="6696" spans="1:5">
      <c r="A6696" t="s">
        <v>6</v>
      </c>
      <c r="B6696" t="s">
        <v>6701</v>
      </c>
      <c r="C6696">
        <f>HYPERLINK("C:\Users\franc\OneDrive\Documentos\MALENTIN KARIME\MANDATO\VENDER\2014\CARLOS SAAVEDRA RAMIREZ Derechos.doc", "Abrir Documento")</f>
        <v>0</v>
      </c>
      <c r="D6696" t="s">
        <v>23500</v>
      </c>
      <c r="E6696" t="s">
        <v>29301</v>
      </c>
    </row>
    <row r="6697" spans="1:5">
      <c r="A6697" t="s">
        <v>6</v>
      </c>
      <c r="B6697" t="s">
        <v>6702</v>
      </c>
      <c r="C6697">
        <f>HYPERLINK("C:\Users\franc\OneDrive\Documentos\MALENTIN KARIME\MANDATO\VENDER\2014\BETTY VALENCIA ALVAREZ  Derechos.doc", "Abrir Documento")</f>
        <v>0</v>
      </c>
      <c r="D6697" t="s">
        <v>23500</v>
      </c>
      <c r="E6697" t="s">
        <v>29302</v>
      </c>
    </row>
    <row r="6698" spans="1:5">
      <c r="A6698" t="s">
        <v>6</v>
      </c>
      <c r="B6698" t="s">
        <v>6703</v>
      </c>
      <c r="C6698">
        <f>HYPERLINK("C:\Users\franc\OneDrive\Documentos\MALENTIN KARIME\MANDATO\VENDER\2014\aut. conyuge.doc", "Abrir Documento")</f>
        <v>0</v>
      </c>
      <c r="D6698" t="s">
        <v>23500</v>
      </c>
      <c r="E6698" t="s">
        <v>29303</v>
      </c>
    </row>
    <row r="6699" spans="1:5">
      <c r="A6699" t="s">
        <v>6</v>
      </c>
      <c r="B6699" t="s">
        <v>6704</v>
      </c>
      <c r="C6699">
        <f>HYPERLINK("C:\Users\franc\OneDrive\Documentos\MALENTIN KARIME\MANDATO\VENDER\2014\ARNOLDO OLIVARES MICHEA Derechos.doc", "Abrir Documento")</f>
        <v>0</v>
      </c>
      <c r="D6699" t="s">
        <v>23500</v>
      </c>
      <c r="E6699" t="s">
        <v>29304</v>
      </c>
    </row>
    <row r="6700" spans="1:5">
      <c r="A6700" t="s">
        <v>6</v>
      </c>
      <c r="B6700" t="s">
        <v>6705</v>
      </c>
      <c r="C6700">
        <f>HYPERLINK("C:\Users\franc\OneDrive\Documentos\MALENTIN KARIME\MANDATO\VENDER\2014\ANGEL SEPULVEDA Derechos.doc", "Abrir Documento")</f>
        <v>0</v>
      </c>
      <c r="D6700" t="s">
        <v>23500</v>
      </c>
      <c r="E6700" t="s">
        <v>29305</v>
      </c>
    </row>
    <row r="6701" spans="1:5">
      <c r="A6701" t="s">
        <v>6</v>
      </c>
      <c r="B6701" t="s">
        <v>6706</v>
      </c>
      <c r="C6701">
        <f>HYPERLINK("C:\Users\franc\OneDrive\Documentos\MALENTIN KARIME\MANDATO\VENDER\2014\ALEJANDRO CASTRO CASTRO Derechos.doc", "Abrir Documento")</f>
        <v>0</v>
      </c>
      <c r="D6701" t="s">
        <v>23500</v>
      </c>
      <c r="E6701" t="s">
        <v>29306</v>
      </c>
    </row>
    <row r="6702" spans="1:5">
      <c r="A6702" t="s">
        <v>6</v>
      </c>
      <c r="B6702" t="s">
        <v>6707</v>
      </c>
      <c r="C6702">
        <f>HYPERLINK("C:\Users\franc\OneDrive\Documentos\MALENTIN KARIME\MANDATO\VENDER\2014\ALEJANDRO CASTRO CASTRO Derechos nuevo.doc", "Abrir Documento")</f>
        <v>0</v>
      </c>
      <c r="D6702" t="s">
        <v>23500</v>
      </c>
      <c r="E6702" t="s">
        <v>29307</v>
      </c>
    </row>
    <row r="6703" spans="1:5">
      <c r="A6703" t="s">
        <v>6</v>
      </c>
      <c r="B6703" t="s">
        <v>6708</v>
      </c>
      <c r="C6703">
        <f>HYPERLINK("C:\Users\franc\OneDrive\Documentos\MALENTIN KARIME\MANDATO\VENDER\2014\AGROCOMERCIAL LOMA LARGA  para subdivision.doc", "Abrir Documento")</f>
        <v>0</v>
      </c>
      <c r="D6703" t="s">
        <v>23500</v>
      </c>
      <c r="E6703" t="s">
        <v>29308</v>
      </c>
    </row>
    <row r="6704" spans="1:5">
      <c r="A6704" t="s">
        <v>6</v>
      </c>
      <c r="B6704" t="s">
        <v>6709</v>
      </c>
      <c r="C6704">
        <f>HYPERLINK("C:\Users\franc\OneDrive\Documentos\MALENTIN KARIME\MANDATO\VENDER\WILFREDO RIVERA A LUIS GAHONA.doc", "Abrir Documento")</f>
        <v>0</v>
      </c>
      <c r="D6704" t="s">
        <v>23500</v>
      </c>
      <c r="E6704" t="s">
        <v>29309</v>
      </c>
    </row>
    <row r="6705" spans="1:5">
      <c r="A6705" t="s">
        <v>6</v>
      </c>
      <c r="B6705" t="s">
        <v>6710</v>
      </c>
      <c r="C6705">
        <f>HYPERLINK("C:\Users\franc\OneDrive\Documentos\MALENTIN KARIME\MANDATO\VENDER\WALDO PACHECO A Calixto Pacheco.doc", "Abrir Documento")</f>
        <v>0</v>
      </c>
      <c r="D6705" t="s">
        <v>23500</v>
      </c>
      <c r="E6705" t="s">
        <v>29310</v>
      </c>
    </row>
    <row r="6706" spans="1:5">
      <c r="A6706" t="s">
        <v>6</v>
      </c>
      <c r="B6706" t="s">
        <v>6711</v>
      </c>
      <c r="C6706">
        <f>HYPERLINK("C:\Users\franc\OneDrive\Documentos\MALENTIN KARIME\MANDATO\VENDER\VINKA GUERRA ROJAS Autorizacion.doc", "Abrir Documento")</f>
        <v>0</v>
      </c>
      <c r="D6706" t="s">
        <v>23500</v>
      </c>
      <c r="E6706" t="s">
        <v>29311</v>
      </c>
    </row>
    <row r="6707" spans="1:5">
      <c r="A6707" t="s">
        <v>6</v>
      </c>
      <c r="B6707" t="s">
        <v>6712</v>
      </c>
      <c r="C6707">
        <f>HYPERLINK("C:\Users\franc\OneDrive\Documentos\MALENTIN KARIME\MANDATO\VENDER\VILMA BARRAZA A JEANETTE BARRAZA.doc", "Abrir Documento")</f>
        <v>0</v>
      </c>
      <c r="D6707" t="s">
        <v>23500</v>
      </c>
      <c r="E6707" t="s">
        <v>29312</v>
      </c>
    </row>
    <row r="6708" spans="1:5">
      <c r="A6708" t="s">
        <v>6</v>
      </c>
      <c r="B6708" t="s">
        <v>6713</v>
      </c>
      <c r="C6708">
        <f>HYPERLINK("C:\Users\franc\OneDrive\Documentos\MALENTIN KARIME\MANDATO\VENDER\tia ROSA.doc", "Abrir Documento")</f>
        <v>0</v>
      </c>
      <c r="D6708" t="s">
        <v>23500</v>
      </c>
      <c r="E6708" t="s">
        <v>29313</v>
      </c>
    </row>
    <row r="6709" spans="1:5">
      <c r="A6709" t="s">
        <v>6</v>
      </c>
      <c r="B6709" t="s">
        <v>6714</v>
      </c>
      <c r="C6709">
        <f>HYPERLINK("C:\Users\franc\OneDrive\Documentos\MALENTIN KARIME\MANDATO\VENDER\Sucesion Vega.doc", "Abrir Documento")</f>
        <v>0</v>
      </c>
      <c r="D6709" t="s">
        <v>23500</v>
      </c>
      <c r="E6709" t="s">
        <v>29314</v>
      </c>
    </row>
    <row r="6710" spans="1:5">
      <c r="A6710" t="s">
        <v>6</v>
      </c>
      <c r="B6710" t="s">
        <v>6715</v>
      </c>
      <c r="C6710">
        <f>HYPERLINK("C:\Users\franc\OneDrive\Documentos\MALENTIN KARIME\MANDATO\VENDER\SUCESION Carvajal Aguilera.doc", "Abrir Documento")</f>
        <v>0</v>
      </c>
      <c r="D6710" t="s">
        <v>23500</v>
      </c>
      <c r="E6710" t="s">
        <v>29315</v>
      </c>
    </row>
    <row r="6711" spans="1:5">
      <c r="A6711" t="s">
        <v>6</v>
      </c>
      <c r="B6711" t="s">
        <v>6716</v>
      </c>
      <c r="C6711">
        <f>HYPERLINK("C:\Users\franc\OneDrive\Documentos\MALENTIN KARIME\MANDATO\VENDER\SALVADOR CODOCEO.doc", "Abrir Documento")</f>
        <v>0</v>
      </c>
      <c r="D6711" t="s">
        <v>23500</v>
      </c>
      <c r="E6711" t="s">
        <v>29316</v>
      </c>
    </row>
    <row r="6712" spans="1:5">
      <c r="A6712" t="s">
        <v>6</v>
      </c>
      <c r="B6712" t="s">
        <v>6717</v>
      </c>
      <c r="C6712">
        <f>HYPERLINK("C:\Users\franc\OneDrive\Documentos\MALENTIN KARIME\MANDATO\VENDER\ROSA CARRIZO SEGOVIA.doc", "Abrir Documento")</f>
        <v>0</v>
      </c>
      <c r="D6712" t="s">
        <v>23500</v>
      </c>
      <c r="E6712" t="s">
        <v>29317</v>
      </c>
    </row>
    <row r="6713" spans="1:5">
      <c r="A6713" t="s">
        <v>6</v>
      </c>
      <c r="B6713" t="s">
        <v>6718</v>
      </c>
      <c r="C6713">
        <f>HYPERLINK("C:\Users\franc\OneDrive\Documentos\MALENTIN KARIME\MANDATO\VENDER\ROMILIO GALDAMEZ TRONCOSO.doc", "Abrir Documento")</f>
        <v>0</v>
      </c>
      <c r="D6713" t="s">
        <v>23500</v>
      </c>
      <c r="E6713" t="s">
        <v>29318</v>
      </c>
    </row>
    <row r="6714" spans="1:5">
      <c r="A6714" t="s">
        <v>6</v>
      </c>
      <c r="B6714" t="s">
        <v>6719</v>
      </c>
      <c r="C6714">
        <f>HYPERLINK("C:\Users\franc\OneDrive\Documentos\MALENTIN KARIME\MANDATO\VENDER\ROBERTO CODOCEO.doc", "Abrir Documento")</f>
        <v>0</v>
      </c>
      <c r="D6714" t="s">
        <v>23500</v>
      </c>
      <c r="E6714" t="s">
        <v>29319</v>
      </c>
    </row>
    <row r="6715" spans="1:5">
      <c r="A6715" t="s">
        <v>6</v>
      </c>
      <c r="B6715" t="s">
        <v>6720</v>
      </c>
      <c r="C6715">
        <f>HYPERLINK("C:\Users\franc\OneDrive\Documentos\MALENTIN KARIME\MANDATO\VENDER\REMIGIO CASTRO CONTRERAS Y CONYUGE.doc", "Abrir Documento")</f>
        <v>0</v>
      </c>
      <c r="D6715" t="s">
        <v>23500</v>
      </c>
      <c r="E6715" t="s">
        <v>29320</v>
      </c>
    </row>
    <row r="6716" spans="1:5">
      <c r="A6716" t="s">
        <v>6</v>
      </c>
      <c r="B6716" t="s">
        <v>6721</v>
      </c>
      <c r="C6716">
        <f>HYPERLINK("C:\Users\franc\OneDrive\Documentos\MALENTIN KARIME\MANDATO\VENDER\RAUL CORTES Y CONYUGE.doc", "Abrir Documento")</f>
        <v>0</v>
      </c>
      <c r="D6716" t="s">
        <v>23500</v>
      </c>
      <c r="E6716" t="s">
        <v>29321</v>
      </c>
    </row>
    <row r="6717" spans="1:5">
      <c r="A6717" t="s">
        <v>6</v>
      </c>
      <c r="B6717" t="s">
        <v>6722</v>
      </c>
      <c r="C6717">
        <f>HYPERLINK("C:\Users\franc\OneDrive\Documentos\MALENTIN KARIME\MANDATO\VENDER\OLIVIA VALENZUELA MUÑOZ (VENTA CONYUGE).doc", "Abrir Documento")</f>
        <v>0</v>
      </c>
      <c r="D6717" t="s">
        <v>23500</v>
      </c>
      <c r="E6717" t="s">
        <v>29322</v>
      </c>
    </row>
    <row r="6718" spans="1:5">
      <c r="A6718" t="s">
        <v>6</v>
      </c>
      <c r="B6718" t="s">
        <v>6723</v>
      </c>
      <c r="C6718">
        <f>HYPERLINK("C:\Users\franc\OneDrive\Documentos\MALENTIN KARIME\MANDATO\VENDER\NIRMA OLIVEROS VALENCIA.doc", "Abrir Documento")</f>
        <v>0</v>
      </c>
      <c r="D6718" t="s">
        <v>23500</v>
      </c>
      <c r="E6718" t="s">
        <v>29323</v>
      </c>
    </row>
    <row r="6719" spans="1:5">
      <c r="A6719" t="s">
        <v>6</v>
      </c>
      <c r="B6719" t="s">
        <v>6724</v>
      </c>
      <c r="C6719">
        <f>HYPERLINK("C:\Users\franc\OneDrive\Documentos\MALENTIN KARIME\MANDATO\VENDER\NINFA ROJAS ZEPEDA.doc", "Abrir Documento")</f>
        <v>0</v>
      </c>
      <c r="D6719" t="s">
        <v>23500</v>
      </c>
      <c r="E6719" t="s">
        <v>29324</v>
      </c>
    </row>
    <row r="6720" spans="1:5">
      <c r="A6720" t="s">
        <v>6</v>
      </c>
      <c r="B6720" t="s">
        <v>6725</v>
      </c>
      <c r="C6720">
        <f>HYPERLINK("C:\Users\franc\OneDrive\Documentos\MALENTIN KARIME\MANDATO\VENDER\NELSON QUINTO QUINTO A emilia villarroel.doc", "Abrir Documento")</f>
        <v>0</v>
      </c>
      <c r="D6720" t="s">
        <v>23500</v>
      </c>
      <c r="E6720" t="s">
        <v>29325</v>
      </c>
    </row>
    <row r="6721" spans="1:5">
      <c r="A6721" t="s">
        <v>6</v>
      </c>
      <c r="B6721" t="s">
        <v>6726</v>
      </c>
      <c r="C6721">
        <f>HYPERLINK("C:\Users\franc\OneDrive\Documentos\MALENTIN KARIME\MANDATO\VENDER\NELLY DEL CARMEN DIAZ viuda derechos.doc", "Abrir Documento")</f>
        <v>0</v>
      </c>
      <c r="D6721" t="s">
        <v>23500</v>
      </c>
      <c r="E6721" t="s">
        <v>29326</v>
      </c>
    </row>
    <row r="6722" spans="1:5">
      <c r="A6722" t="s">
        <v>6</v>
      </c>
      <c r="B6722" t="s">
        <v>6727</v>
      </c>
      <c r="C6722">
        <f>HYPERLINK("C:\Users\franc\OneDrive\Documentos\MALENTIN KARIME\MANDATO\VENDER\MOSIES MIRANDA TELLO A GEORGINA VERGARA.doc", "Abrir Documento")</f>
        <v>0</v>
      </c>
      <c r="D6722" t="s">
        <v>23500</v>
      </c>
      <c r="E6722" t="s">
        <v>29327</v>
      </c>
    </row>
    <row r="6723" spans="1:5">
      <c r="A6723" t="s">
        <v>6</v>
      </c>
      <c r="B6723" t="s">
        <v>6728</v>
      </c>
      <c r="C6723">
        <f>HYPERLINK("C:\Users\franc\OneDrive\Documentos\MALENTIN KARIME\MANDATO\VENDER\MINUTA  Digna Rojas.doc", "Abrir Documento")</f>
        <v>0</v>
      </c>
      <c r="D6723" t="s">
        <v>23500</v>
      </c>
      <c r="E6723" t="s">
        <v>29328</v>
      </c>
    </row>
    <row r="6724" spans="1:5">
      <c r="A6724" t="s">
        <v>6</v>
      </c>
      <c r="B6724" t="s">
        <v>6729</v>
      </c>
      <c r="C6724">
        <f>HYPERLINK("C:\Users\franc\OneDrive\Documentos\MALENTIN KARIME\MANDATO\VENDER\MAURICIO VELIZ ARAYA Mandato y auto.doc", "Abrir Documento")</f>
        <v>0</v>
      </c>
      <c r="D6724" t="s">
        <v>23500</v>
      </c>
      <c r="E6724" t="s">
        <v>29329</v>
      </c>
    </row>
    <row r="6725" spans="1:5">
      <c r="A6725" t="s">
        <v>6</v>
      </c>
      <c r="B6725" t="s">
        <v>6730</v>
      </c>
      <c r="C6725">
        <f>HYPERLINK("C:\Users\franc\OneDrive\Documentos\MALENTIN KARIME\MANDATO\VENDER\MARIA ISOLINA CABEZAS MUÑOZ.doc", "Abrir Documento")</f>
        <v>0</v>
      </c>
      <c r="D6725" t="s">
        <v>23500</v>
      </c>
      <c r="E6725" t="s">
        <v>29330</v>
      </c>
    </row>
    <row r="6726" spans="1:5">
      <c r="A6726" t="s">
        <v>6</v>
      </c>
      <c r="B6726" t="s">
        <v>6731</v>
      </c>
      <c r="C6726">
        <f>HYPERLINK("C:\Users\franc\OneDrive\Documentos\MALENTIN KARIME\MANDATO\VENDER\MANUEL ZAMORA ARANCIBIA.doc", "Abrir Documento")</f>
        <v>0</v>
      </c>
      <c r="D6726" t="s">
        <v>23500</v>
      </c>
      <c r="E6726" t="s">
        <v>29331</v>
      </c>
    </row>
    <row r="6727" spans="1:5">
      <c r="A6727" t="s">
        <v>6</v>
      </c>
      <c r="B6727" t="s">
        <v>6732</v>
      </c>
      <c r="C6727">
        <f>HYPERLINK("C:\Users\franc\OneDrive\Documentos\MALENTIN KARIME\MANDATO\VENDER\MANUEL SEGURA C. Vender.doc", "Abrir Documento")</f>
        <v>0</v>
      </c>
      <c r="D6727" t="s">
        <v>23500</v>
      </c>
      <c r="E6727" t="s">
        <v>29332</v>
      </c>
    </row>
    <row r="6728" spans="1:5">
      <c r="A6728" t="s">
        <v>6</v>
      </c>
      <c r="B6728" t="s">
        <v>6733</v>
      </c>
      <c r="C6728">
        <f>HYPERLINK("C:\Users\franc\OneDrive\Documentos\MALENTIN KARIME\MANDATO\VENDER\LUZ SILVA GALLEGOS Minuta.doc", "Abrir Documento")</f>
        <v>0</v>
      </c>
      <c r="D6728" t="s">
        <v>23500</v>
      </c>
      <c r="E6728" t="s">
        <v>29333</v>
      </c>
    </row>
    <row r="6729" spans="1:5">
      <c r="A6729" t="s">
        <v>6</v>
      </c>
      <c r="B6729" t="s">
        <v>6734</v>
      </c>
      <c r="C6729">
        <f>HYPERLINK("C:\Users\franc\OneDrive\Documentos\MALENTIN KARIME\MANDATO\VENDER\LUIS OCTAVIO JUAREZ PIZARRO Mandatario.doc", "Abrir Documento")</f>
        <v>0</v>
      </c>
      <c r="D6729" t="s">
        <v>23500</v>
      </c>
      <c r="E6729" t="s">
        <v>29334</v>
      </c>
    </row>
    <row r="6730" spans="1:5">
      <c r="A6730" t="s">
        <v>6</v>
      </c>
      <c r="B6730" t="s">
        <v>6735</v>
      </c>
      <c r="C6730">
        <f>HYPERLINK("C:\Users\franc\OneDrive\Documentos\MALENTIN KARIME\MANDATO\VENDER\LUIS NAREA MAYA Mandato y auto.doc", "Abrir Documento")</f>
        <v>0</v>
      </c>
      <c r="D6730" t="s">
        <v>23500</v>
      </c>
      <c r="E6730" t="s">
        <v>29335</v>
      </c>
    </row>
    <row r="6731" spans="1:5">
      <c r="A6731" t="s">
        <v>6</v>
      </c>
      <c r="B6731" t="s">
        <v>6736</v>
      </c>
      <c r="C6731">
        <f>HYPERLINK("C:\Users\franc\OneDrive\Documentos\MALENTIN KARIME\MANDATO\VENDER\LIVIA CAMPAÑA MOLINA.doc", "Abrir Documento")</f>
        <v>0</v>
      </c>
      <c r="D6731" t="s">
        <v>23500</v>
      </c>
      <c r="E6731" t="s">
        <v>29336</v>
      </c>
    </row>
    <row r="6732" spans="1:5">
      <c r="A6732" t="s">
        <v>6</v>
      </c>
      <c r="B6732" t="s">
        <v>6737</v>
      </c>
      <c r="C6732">
        <f>HYPERLINK("C:\Users\franc\OneDrive\Documentos\MALENTIN KARIME\MANDATO\VENDER\LEONOR ZAPATA CONTRERAS Autorizacion.doc", "Abrir Documento")</f>
        <v>0</v>
      </c>
      <c r="D6732" t="s">
        <v>23500</v>
      </c>
      <c r="E6732" t="s">
        <v>29337</v>
      </c>
    </row>
    <row r="6733" spans="1:5">
      <c r="A6733" t="s">
        <v>6</v>
      </c>
      <c r="B6733" t="s">
        <v>6738</v>
      </c>
      <c r="C6733">
        <f>HYPERLINK("C:\Users\franc\OneDrive\Documentos\MALENTIN KARIME\MANDATO\VENDER\LEONEL GALLARDO SEGOVIA.doc", "Abrir Documento")</f>
        <v>0</v>
      </c>
      <c r="D6733" t="s">
        <v>23500</v>
      </c>
      <c r="E6733" t="s">
        <v>29338</v>
      </c>
    </row>
    <row r="6734" spans="1:5">
      <c r="A6734" t="s">
        <v>6</v>
      </c>
      <c r="B6734" t="s">
        <v>6739</v>
      </c>
      <c r="C6734">
        <f>HYPERLINK("C:\Users\franc\OneDrive\Documentos\MALENTIN KARIME\MANDATO\VENDER\JUAN ANDRES CARVAJAL CASTILLO.doc", "Abrir Documento")</f>
        <v>0</v>
      </c>
      <c r="D6734" t="s">
        <v>23500</v>
      </c>
      <c r="E6734" t="s">
        <v>29339</v>
      </c>
    </row>
    <row r="6735" spans="1:5">
      <c r="A6735" t="s">
        <v>6</v>
      </c>
      <c r="B6735" t="s">
        <v>6740</v>
      </c>
      <c r="C6735">
        <f>HYPERLINK("C:\Users\franc\OneDrive\Documentos\MALENTIN KARIME\MANDATO\VENDER\JUANA CORTES IRIARTE (VENTA CONYUGE).doc", "Abrir Documento")</f>
        <v>0</v>
      </c>
      <c r="D6735" t="s">
        <v>23500</v>
      </c>
      <c r="E6735" t="s">
        <v>29339</v>
      </c>
    </row>
    <row r="6736" spans="1:5">
      <c r="A6736" t="s">
        <v>6</v>
      </c>
      <c r="B6736" t="s">
        <v>6741</v>
      </c>
      <c r="C6736">
        <f>HYPERLINK("C:\Users\franc\OneDrive\Documentos\MALENTIN KARIME\MANDATO\VENDER\JORGE ZULANTAY CORTES.doc", "Abrir Documento")</f>
        <v>0</v>
      </c>
      <c r="D6736" t="s">
        <v>23500</v>
      </c>
      <c r="E6736" t="s">
        <v>29340</v>
      </c>
    </row>
    <row r="6737" spans="1:5">
      <c r="A6737" t="s">
        <v>6</v>
      </c>
      <c r="B6737" t="s">
        <v>6742</v>
      </c>
      <c r="C6737">
        <f>HYPERLINK("C:\Users\franc\OneDrive\Documentos\MALENTIN KARIME\MANDATO\VENDER\JHONY VILLARROEL.doc", "Abrir Documento")</f>
        <v>0</v>
      </c>
      <c r="D6737" t="s">
        <v>23500</v>
      </c>
      <c r="E6737" t="s">
        <v>29341</v>
      </c>
    </row>
    <row r="6738" spans="1:5">
      <c r="A6738" t="s">
        <v>6</v>
      </c>
      <c r="B6738" t="s">
        <v>6743</v>
      </c>
      <c r="C6738">
        <f>HYPERLINK("C:\Users\franc\OneDrive\Documentos\MALENTIN KARIME\MANDATO\VENDER\JAIME PROHENS SOMMELLA.doc", "Abrir Documento")</f>
        <v>0</v>
      </c>
      <c r="D6738" t="s">
        <v>23500</v>
      </c>
      <c r="E6738" t="s">
        <v>29342</v>
      </c>
    </row>
    <row r="6739" spans="1:5">
      <c r="A6739" t="s">
        <v>6</v>
      </c>
      <c r="B6739" t="s">
        <v>6744</v>
      </c>
      <c r="C6739">
        <f>HYPERLINK("C:\Users\franc\OneDrive\Documentos\MALENTIN KARIME\MANDATO\VENDER\JAIME CORTES TELLO Minuta.doc", "Abrir Documento")</f>
        <v>0</v>
      </c>
      <c r="D6739" t="s">
        <v>23500</v>
      </c>
      <c r="E6739" t="s">
        <v>29343</v>
      </c>
    </row>
    <row r="6740" spans="1:5">
      <c r="A6740" t="s">
        <v>6</v>
      </c>
      <c r="B6740" t="s">
        <v>6745</v>
      </c>
      <c r="C6740">
        <f>HYPERLINK("C:\Users\franc\OneDrive\Documentos\MALENTIN KARIME\MANDATO\VENDER\IRMA NUÑEZ PEREIRA.doc", "Abrir Documento")</f>
        <v>0</v>
      </c>
      <c r="D6740" t="s">
        <v>23500</v>
      </c>
      <c r="E6740" t="s">
        <v>29344</v>
      </c>
    </row>
    <row r="6741" spans="1:5">
      <c r="A6741" t="s">
        <v>6</v>
      </c>
      <c r="B6741" t="s">
        <v>6746</v>
      </c>
      <c r="C6741">
        <f>HYPERLINK("C:\Users\franc\OneDrive\Documentos\MALENTIN KARIME\MANDATO\VENDER\HERNAN FLORES GONZALEZ Y CONYUGE.doc", "Abrir Documento")</f>
        <v>0</v>
      </c>
      <c r="D6741" t="s">
        <v>23500</v>
      </c>
      <c r="E6741" t="s">
        <v>29345</v>
      </c>
    </row>
    <row r="6742" spans="1:5">
      <c r="A6742" t="s">
        <v>6</v>
      </c>
      <c r="B6742" t="s">
        <v>6747</v>
      </c>
      <c r="C6742">
        <f>HYPERLINK("C:\Users\franc\OneDrive\Documentos\MALENTIN KARIME\MANDATO\VENDER\HECTOR BRUNA MORALES.doc", "Abrir Documento")</f>
        <v>0</v>
      </c>
      <c r="D6742" t="s">
        <v>23500</v>
      </c>
      <c r="E6742" t="s">
        <v>29346</v>
      </c>
    </row>
    <row r="6743" spans="1:5">
      <c r="A6743" t="s">
        <v>6</v>
      </c>
      <c r="B6743" t="s">
        <v>6748</v>
      </c>
      <c r="C6743">
        <f>HYPERLINK("C:\Users\franc\OneDrive\Documentos\MALENTIN KARIME\MANDATO\VENDER\GARCIA PEREZ.doc", "Abrir Documento")</f>
        <v>0</v>
      </c>
      <c r="D6743" t="s">
        <v>23500</v>
      </c>
      <c r="E6743" t="s">
        <v>29347</v>
      </c>
    </row>
    <row r="6744" spans="1:5">
      <c r="A6744" t="s">
        <v>6</v>
      </c>
      <c r="B6744" t="s">
        <v>6749</v>
      </c>
      <c r="C6744">
        <f>HYPERLINK("C:\Users\franc\OneDrive\Documentos\MALENTIN KARIME\MANDATO\VENDER\FABIAN GAJARDO MARTINEZ.doc", "Abrir Documento")</f>
        <v>0</v>
      </c>
      <c r="D6744" t="s">
        <v>23500</v>
      </c>
      <c r="E6744" t="s">
        <v>29348</v>
      </c>
    </row>
    <row r="6745" spans="1:5">
      <c r="A6745" t="s">
        <v>6</v>
      </c>
      <c r="B6745" t="s">
        <v>6750</v>
      </c>
      <c r="C6745">
        <f>HYPERLINK("C:\Users\franc\OneDrive\Documentos\MALENTIN KARIME\MANDATO\VENDER\EUGENIA SEGURA ESPINOSA.doc", "Abrir Documento")</f>
        <v>0</v>
      </c>
      <c r="D6745" t="s">
        <v>23500</v>
      </c>
      <c r="E6745" t="s">
        <v>29349</v>
      </c>
    </row>
    <row r="6746" spans="1:5">
      <c r="A6746" t="s">
        <v>6</v>
      </c>
      <c r="B6746" t="s">
        <v>6751</v>
      </c>
      <c r="C6746">
        <f>HYPERLINK("C:\Users\franc\OneDrive\Documentos\MALENTIN KARIME\MANDATO\VENDER\ERIKA PASTEN ROJAS A MARIA PASTEN ROJAS Derechos.doc", "Abrir Documento")</f>
        <v>0</v>
      </c>
      <c r="D6746" t="s">
        <v>23500</v>
      </c>
      <c r="E6746" t="s">
        <v>29350</v>
      </c>
    </row>
    <row r="6747" spans="1:5">
      <c r="A6747" t="s">
        <v>6</v>
      </c>
      <c r="B6747" t="s">
        <v>6752</v>
      </c>
      <c r="C6747">
        <f>HYPERLINK("C:\Users\franc\OneDrive\Documentos\MALENTIN KARIME\MANDATO\VENDER\CLAUDIA ESPINOSA ROJAS.doc", "Abrir Documento")</f>
        <v>0</v>
      </c>
      <c r="D6747" t="s">
        <v>23500</v>
      </c>
      <c r="E6747" t="s">
        <v>29351</v>
      </c>
    </row>
    <row r="6748" spans="1:5">
      <c r="A6748" t="s">
        <v>6</v>
      </c>
      <c r="B6748" t="s">
        <v>6753</v>
      </c>
      <c r="C6748">
        <f>HYPERLINK("C:\Users\franc\OneDrive\Documentos\MALENTIN KARIME\MANDATO\VENDER\CLAUDIA ESPINOSA ROJAS II.doc", "Abrir Documento")</f>
        <v>0</v>
      </c>
      <c r="D6748" t="s">
        <v>23500</v>
      </c>
      <c r="E6748" t="s">
        <v>29352</v>
      </c>
    </row>
    <row r="6749" spans="1:5">
      <c r="A6749" t="s">
        <v>6</v>
      </c>
      <c r="B6749" t="s">
        <v>6754</v>
      </c>
      <c r="C6749">
        <f>HYPERLINK("C:\Users\franc\OneDrive\Documentos\MALENTIN KARIME\MANDATO\VENDER\CARMEN SALFATE CARVAJAL Autorizacion.doc", "Abrir Documento")</f>
        <v>0</v>
      </c>
      <c r="D6749" t="s">
        <v>23500</v>
      </c>
      <c r="E6749" t="s">
        <v>29353</v>
      </c>
    </row>
    <row r="6750" spans="1:5">
      <c r="A6750" t="s">
        <v>6</v>
      </c>
      <c r="B6750" t="s">
        <v>6755</v>
      </c>
      <c r="C6750">
        <f>HYPERLINK("C:\Users\franc\OneDrive\Documentos\MALENTIN KARIME\MANDATO\VENDER\CARMEN ROJAS LEYTON A ROCIO ROJAS.doc", "Abrir Documento")</f>
        <v>0</v>
      </c>
      <c r="D6750" t="s">
        <v>23500</v>
      </c>
      <c r="E6750" t="s">
        <v>29354</v>
      </c>
    </row>
    <row r="6751" spans="1:5">
      <c r="A6751" t="s">
        <v>6</v>
      </c>
      <c r="B6751" t="s">
        <v>6756</v>
      </c>
      <c r="C6751">
        <f>HYPERLINK("C:\Users\franc\OneDrive\Documentos\MALENTIN KARIME\MANDATO\VENDER\CARMEN GLORIA VIVAR CONCHA.doc", "Abrir Documento")</f>
        <v>0</v>
      </c>
      <c r="D6751" t="s">
        <v>23500</v>
      </c>
      <c r="E6751" t="s">
        <v>29355</v>
      </c>
    </row>
    <row r="6752" spans="1:5">
      <c r="A6752" t="s">
        <v>6</v>
      </c>
      <c r="B6752" t="s">
        <v>6757</v>
      </c>
      <c r="C6752">
        <f>HYPERLINK("C:\Users\franc\OneDrive\Documentos\MALENTIN KARIME\MANDATO\VENDER\CARLOS PONCE GARCIA.doc", "Abrir Documento")</f>
        <v>0</v>
      </c>
      <c r="D6752" t="s">
        <v>23500</v>
      </c>
      <c r="E6752" t="s">
        <v>29356</v>
      </c>
    </row>
    <row r="6753" spans="1:5">
      <c r="A6753" t="s">
        <v>6</v>
      </c>
      <c r="B6753" t="s">
        <v>6758</v>
      </c>
      <c r="C6753">
        <f>HYPERLINK("C:\Users\franc\OneDrive\Documentos\MALENTIN KARIME\MANDATO\VENDER\ANA KARINA RODRIGUEZ  (VENTA CONYUGE)Fuentealba.doc", "Abrir Documento")</f>
        <v>0</v>
      </c>
      <c r="D6753" t="s">
        <v>23500</v>
      </c>
      <c r="E6753" t="s">
        <v>29357</v>
      </c>
    </row>
    <row r="6754" spans="1:5">
      <c r="A6754" t="s">
        <v>6</v>
      </c>
      <c r="B6754" t="s">
        <v>6759</v>
      </c>
      <c r="C6754">
        <f>HYPERLINK("C:\Users\franc\OneDrive\Documentos\MALENTIN KARIME\MANDATO\MINUTAS\S.L.M LA RECOMPENSA.doc", "Abrir Documento")</f>
        <v>0</v>
      </c>
      <c r="D6754" t="s">
        <v>23500</v>
      </c>
      <c r="E6754" t="s">
        <v>29358</v>
      </c>
    </row>
    <row r="6755" spans="1:5">
      <c r="A6755" t="s">
        <v>6</v>
      </c>
      <c r="B6755" t="s">
        <v>6760</v>
      </c>
      <c r="C6755">
        <f>HYPERLINK("C:\Users\franc\OneDrive\Documentos\MALENTIN KARIME\MANDATO\MINUTAS\MANUEL DIAZ RIVERA Serviu relocalizacion notaria}.doc", "Abrir Documento")</f>
        <v>0</v>
      </c>
      <c r="D6755" t="s">
        <v>23500</v>
      </c>
      <c r="E6755" t="s">
        <v>29359</v>
      </c>
    </row>
    <row r="6756" spans="1:5">
      <c r="A6756" t="s">
        <v>6</v>
      </c>
      <c r="B6756" t="s">
        <v>6761</v>
      </c>
      <c r="C6756">
        <f>HYPERLINK("C:\Users\franc\OneDrive\Documentos\MALENTIN KARIME\MANDATO\MINUTAS\JUAN CASTILLO RIVERA A Rosa Maldonado Minuta.doc", "Abrir Documento")</f>
        <v>0</v>
      </c>
      <c r="D6756" t="s">
        <v>23500</v>
      </c>
      <c r="E6756" t="s">
        <v>29360</v>
      </c>
    </row>
    <row r="6757" spans="1:5">
      <c r="A6757" t="s">
        <v>6</v>
      </c>
      <c r="B6757" t="s">
        <v>6762</v>
      </c>
      <c r="C6757">
        <f>HYPERLINK("C:\Users\franc\OneDrive\Documentos\MALENTIN KARIME\MANDATO\GENERAL\2019\ROGELIO GONZALEZ A Luis Gonzalez.doc", "Abrir Documento")</f>
        <v>0</v>
      </c>
      <c r="D6757" t="s">
        <v>23500</v>
      </c>
      <c r="E6757" t="s">
        <v>29361</v>
      </c>
    </row>
    <row r="6758" spans="1:5">
      <c r="A6758" t="s">
        <v>6</v>
      </c>
      <c r="B6758" t="s">
        <v>6763</v>
      </c>
      <c r="C6758">
        <f>HYPERLINK("C:\Users\franc\OneDrive\Documentos\MALENTIN KARIME\MANDATO\GENERAL\2019\RICARDO VALDIVIA VALDIVIA A SYLVIA ROJAS PASTEN .- KARIME.doc", "Abrir Documento")</f>
        <v>0</v>
      </c>
      <c r="D6758" t="s">
        <v>23500</v>
      </c>
      <c r="E6758" t="s">
        <v>29362</v>
      </c>
    </row>
    <row r="6759" spans="1:5">
      <c r="A6759" t="s">
        <v>6</v>
      </c>
      <c r="B6759" t="s">
        <v>6764</v>
      </c>
      <c r="C6759">
        <f>HYPERLINK("C:\Users\franc\OneDrive\Documentos\MALENTIN KARIME\MANDATO\GENERAL\2019\PATRICIO CASTILLO PIZARRO Y conyuge.doc", "Abrir Documento")</f>
        <v>0</v>
      </c>
      <c r="D6759" t="s">
        <v>23500</v>
      </c>
      <c r="E6759" t="s">
        <v>29363</v>
      </c>
    </row>
    <row r="6760" spans="1:5">
      <c r="A6760" t="s">
        <v>6</v>
      </c>
      <c r="B6760" t="s">
        <v>6765</v>
      </c>
      <c r="C6760">
        <f>HYPERLINK("C:\Users\franc\OneDrive\Documentos\MALENTIN KARIME\MANDATO\GENERAL\2019\ORLANDO ANGULO AYOVI.doc", "Abrir Documento")</f>
        <v>0</v>
      </c>
      <c r="D6760" t="s">
        <v>23500</v>
      </c>
      <c r="E6760" t="s">
        <v>29364</v>
      </c>
    </row>
    <row r="6761" spans="1:5">
      <c r="A6761" t="s">
        <v>6</v>
      </c>
      <c r="B6761" t="s">
        <v>6766</v>
      </c>
      <c r="C6761">
        <f>HYPERLINK("C:\Users\franc\OneDrive\Documentos\MALENTIN KARIME\MANDATO\GENERAL\2019\NAIR  STUPP.doc", "Abrir Documento")</f>
        <v>0</v>
      </c>
      <c r="D6761" t="s">
        <v>23500</v>
      </c>
      <c r="E6761" t="s">
        <v>29365</v>
      </c>
    </row>
    <row r="6762" spans="1:5">
      <c r="A6762" t="s">
        <v>6</v>
      </c>
      <c r="B6762" t="s">
        <v>6767</v>
      </c>
      <c r="C6762">
        <f>HYPERLINK("C:\Users\franc\OneDrive\Documentos\MALENTIN KARIME\MANDATO\GENERAL\2019\MASCARO ALAIN DOMINIQUE.doc", "Abrir Documento")</f>
        <v>0</v>
      </c>
      <c r="D6762" t="s">
        <v>23500</v>
      </c>
      <c r="E6762" t="s">
        <v>29366</v>
      </c>
    </row>
    <row r="6763" spans="1:5">
      <c r="A6763" t="s">
        <v>6</v>
      </c>
      <c r="B6763" t="s">
        <v>6768</v>
      </c>
      <c r="C6763">
        <f>HYPERLINK("C:\Users\franc\OneDrive\Documentos\MALENTIN KARIME\MANDATO\GENERAL\2019\MANUEL SEGOVIA A ANGELICA ARAYA  fom nuevo.doc", "Abrir Documento")</f>
        <v>0</v>
      </c>
      <c r="D6763" t="s">
        <v>23500</v>
      </c>
      <c r="E6763" t="s">
        <v>29367</v>
      </c>
    </row>
    <row r="6764" spans="1:5">
      <c r="A6764" t="s">
        <v>6</v>
      </c>
      <c r="B6764" t="s">
        <v>6769</v>
      </c>
      <c r="C6764">
        <f>HYPERLINK("C:\Users\franc\OneDrive\Documentos\MALENTIN KARIME\MANDATO\GENERAL\2019\JOSE VEGA CORTES A TAMAR VEGA Minuta.doc", "Abrir Documento")</f>
        <v>0</v>
      </c>
      <c r="D6764" t="s">
        <v>23500</v>
      </c>
      <c r="E6764" t="s">
        <v>29368</v>
      </c>
    </row>
    <row r="6765" spans="1:5">
      <c r="A6765" t="s">
        <v>6</v>
      </c>
      <c r="B6765" t="s">
        <v>6770</v>
      </c>
      <c r="C6765">
        <f>HYPERLINK("C:\Users\franc\OneDrive\Documentos\MALENTIN KARIME\MANDATO\GENERAL\2019\ISAURA RODRIGUEZ proindiviso.doc", "Abrir Documento")</f>
        <v>0</v>
      </c>
      <c r="D6765" t="s">
        <v>23500</v>
      </c>
      <c r="E6765" t="s">
        <v>29369</v>
      </c>
    </row>
    <row r="6766" spans="1:5">
      <c r="A6766" t="s">
        <v>6</v>
      </c>
      <c r="B6766" t="s">
        <v>6771</v>
      </c>
      <c r="C6766">
        <f>HYPERLINK("C:\Users\franc\OneDrive\Documentos\MALENTIN KARIME\MANDATO\GENERAL\2019\IRENE JIMENEZ ROBLES 2021.doc", "Abrir Documento")</f>
        <v>0</v>
      </c>
      <c r="D6766" t="s">
        <v>23500</v>
      </c>
      <c r="E6766" t="s">
        <v>29370</v>
      </c>
    </row>
    <row r="6767" spans="1:5">
      <c r="A6767" t="s">
        <v>6</v>
      </c>
      <c r="B6767" t="s">
        <v>6772</v>
      </c>
      <c r="C6767">
        <f>HYPERLINK("C:\Users\franc\OneDrive\Documentos\MALENTIN KARIME\MANDATO\GENERAL\2019\ADAN BUGUEÑO CISTERNAS Y conyuge.doc", "Abrir Documento")</f>
        <v>0</v>
      </c>
      <c r="D6767" t="s">
        <v>23500</v>
      </c>
      <c r="E6767" t="s">
        <v>29371</v>
      </c>
    </row>
    <row r="6768" spans="1:5">
      <c r="A6768" t="s">
        <v>6</v>
      </c>
      <c r="B6768" t="s">
        <v>6773</v>
      </c>
      <c r="C6768">
        <f>HYPERLINK("C:\Users\franc\OneDrive\Documentos\MALENTIN KARIME\MANDATO\GENERAL\2017\VICTORIANA CORTES Y OTROS A LIDIA CORTES (KARIME).doc", "Abrir Documento")</f>
        <v>0</v>
      </c>
      <c r="D6768" t="s">
        <v>23500</v>
      </c>
      <c r="E6768" t="s">
        <v>29372</v>
      </c>
    </row>
    <row r="6769" spans="1:5">
      <c r="A6769" t="s">
        <v>6</v>
      </c>
      <c r="B6769" t="s">
        <v>6774</v>
      </c>
      <c r="C6769">
        <f>HYPERLINK("C:\Users\franc\OneDrive\Documentos\MALENTIN KARIME\MANDATO\GENERAL\2017\VICTORIANA CORTES Y OTROS A LIDIA CORTES  1 sola(KARIME).doc", "Abrir Documento")</f>
        <v>0</v>
      </c>
      <c r="D6769" t="s">
        <v>23500</v>
      </c>
      <c r="E6769" t="s">
        <v>29373</v>
      </c>
    </row>
    <row r="6770" spans="1:5">
      <c r="A6770" t="s">
        <v>6</v>
      </c>
      <c r="B6770" t="s">
        <v>6775</v>
      </c>
      <c r="C6770">
        <f>HYPERLINK("C:\Users\franc\OneDrive\Documentos\MALENTIN KARIME\MANDATO\GENERAL\2017\Sucesion SALFATE 2018 proindiviso.doc", "Abrir Documento")</f>
        <v>0</v>
      </c>
      <c r="D6770" t="s">
        <v>23500</v>
      </c>
      <c r="E6770" t="s">
        <v>29374</v>
      </c>
    </row>
    <row r="6771" spans="1:5">
      <c r="A6771" t="s">
        <v>6</v>
      </c>
      <c r="B6771" t="s">
        <v>6776</v>
      </c>
      <c r="C6771">
        <f>HYPERLINK("C:\Users\franc\OneDrive\Documentos\MALENTIN KARIME\MANDATO\GENERAL\2017\SONIA VARAS A SONIA GREGORAT.doc", "Abrir Documento")</f>
        <v>0</v>
      </c>
      <c r="D6771" t="s">
        <v>23500</v>
      </c>
      <c r="E6771" t="s">
        <v>29375</v>
      </c>
    </row>
    <row r="6772" spans="1:5">
      <c r="A6772" t="s">
        <v>6</v>
      </c>
      <c r="B6772" t="s">
        <v>6777</v>
      </c>
      <c r="C6772">
        <f>HYPERLINK("C:\Users\franc\OneDrive\Documentos\MALENTIN KARIME\MANDATO\GENERAL\2017\SEGISFREDO LEON VELIZ.doc", "Abrir Documento")</f>
        <v>0</v>
      </c>
      <c r="D6772" t="s">
        <v>23500</v>
      </c>
      <c r="E6772" t="s">
        <v>29376</v>
      </c>
    </row>
    <row r="6773" spans="1:5">
      <c r="A6773" t="s">
        <v>6</v>
      </c>
      <c r="B6773" t="s">
        <v>6778</v>
      </c>
      <c r="C6773">
        <f>HYPERLINK("C:\Users\franc\OneDrive\Documentos\MALENTIN KARIME\MANDATO\GENERAL\2017\ROSA ELIANA TELLO A Rocío Gonzalez 2017.doc", "Abrir Documento")</f>
        <v>0</v>
      </c>
      <c r="D6773" t="s">
        <v>23500</v>
      </c>
      <c r="E6773" t="s">
        <v>29377</v>
      </c>
    </row>
    <row r="6774" spans="1:5">
      <c r="A6774" t="s">
        <v>6</v>
      </c>
      <c r="B6774" t="s">
        <v>6779</v>
      </c>
      <c r="C6774">
        <f>HYPERLINK("C:\Users\franc\OneDrive\Documentos\MALENTIN KARIME\MANDATO\GENERAL\2017\RODRIGO CORTES OLVIARES 2018.doc", "Abrir Documento")</f>
        <v>0</v>
      </c>
      <c r="D6774" t="s">
        <v>23500</v>
      </c>
      <c r="E6774" t="s">
        <v>29378</v>
      </c>
    </row>
    <row r="6775" spans="1:5">
      <c r="A6775" t="s">
        <v>6</v>
      </c>
      <c r="B6775" t="s">
        <v>6780</v>
      </c>
      <c r="C6775">
        <f>HYPERLINK("C:\Users\franc\OneDrive\Documentos\MALENTIN KARIME\MANDATO\GENERAL\2017\RAUL ROJAS.doc", "Abrir Documento")</f>
        <v>0</v>
      </c>
      <c r="D6775" t="s">
        <v>23500</v>
      </c>
      <c r="E6775" t="s">
        <v>29379</v>
      </c>
    </row>
    <row r="6776" spans="1:5">
      <c r="A6776" t="s">
        <v>6</v>
      </c>
      <c r="B6776" t="s">
        <v>6781</v>
      </c>
      <c r="C6776">
        <f>HYPERLINK("C:\Users\franc\OneDrive\Documentos\MALENTIN KARIME\MANDATO\GENERAL\2017\PAZ BUSTAMANTE VALENZUELA A Barbara Bustamante.doc", "Abrir Documento")</f>
        <v>0</v>
      </c>
      <c r="D6776" t="s">
        <v>23500</v>
      </c>
      <c r="E6776" t="s">
        <v>29380</v>
      </c>
    </row>
    <row r="6777" spans="1:5">
      <c r="A6777" t="s">
        <v>6</v>
      </c>
      <c r="B6777" t="s">
        <v>6782</v>
      </c>
      <c r="C6777">
        <f>HYPERLINK("C:\Users\franc\OneDrive\Documentos\MALENTIN KARIME\MANDATO\GENERAL\2017\OSCAR BARRERA A EDUARDO BARRERA Podado 2017.doc", "Abrir Documento")</f>
        <v>0</v>
      </c>
      <c r="D6777" t="s">
        <v>23500</v>
      </c>
      <c r="E6777" t="s">
        <v>29381</v>
      </c>
    </row>
    <row r="6778" spans="1:5">
      <c r="A6778" t="s">
        <v>6</v>
      </c>
      <c r="B6778" t="s">
        <v>6783</v>
      </c>
      <c r="C6778">
        <f>HYPERLINK("C:\Users\franc\OneDrive\Documentos\MALENTIN KARIME\MANDATO\GENERAL\2017\NICOLAS ARAYA A Maria Vega.doc", "Abrir Documento")</f>
        <v>0</v>
      </c>
      <c r="D6778" t="s">
        <v>23500</v>
      </c>
      <c r="E6778" t="s">
        <v>29382</v>
      </c>
    </row>
    <row r="6779" spans="1:5">
      <c r="A6779" t="s">
        <v>6</v>
      </c>
      <c r="B6779" t="s">
        <v>6784</v>
      </c>
      <c r="C6779">
        <f>HYPERLINK("C:\Users\franc\OneDrive\Documentos\MALENTIN KARIME\MANDATO\GENERAL\2017\MAURICIO TAPIA.doc", "Abrir Documento")</f>
        <v>0</v>
      </c>
      <c r="D6779" t="s">
        <v>23500</v>
      </c>
      <c r="E6779" t="s">
        <v>29383</v>
      </c>
    </row>
    <row r="6780" spans="1:5">
      <c r="A6780" t="s">
        <v>6</v>
      </c>
      <c r="B6780" t="s">
        <v>6785</v>
      </c>
      <c r="C6780">
        <f>HYPERLINK("C:\Users\franc\OneDrive\Documentos\MALENTIN KARIME\MANDATO\GENERAL\2017\MATILDE VALENZUELA.doc", "Abrir Documento")</f>
        <v>0</v>
      </c>
      <c r="D6780" t="s">
        <v>23500</v>
      </c>
      <c r="E6780" t="s">
        <v>29384</v>
      </c>
    </row>
    <row r="6781" spans="1:5">
      <c r="A6781" t="s">
        <v>6</v>
      </c>
      <c r="B6781" t="s">
        <v>6786</v>
      </c>
      <c r="C6781">
        <f>HYPERLINK("C:\Users\franc\OneDrive\Documentos\MALENTIN KARIME\MANDATO\GENERAL\2017\MARIA RIVERA CANIVILO Y OTROS.doc", "Abrir Documento")</f>
        <v>0</v>
      </c>
      <c r="D6781" t="s">
        <v>23500</v>
      </c>
      <c r="E6781" t="s">
        <v>29385</v>
      </c>
    </row>
    <row r="6782" spans="1:5">
      <c r="A6782" t="s">
        <v>6</v>
      </c>
      <c r="B6782" t="s">
        <v>6787</v>
      </c>
      <c r="C6782">
        <f>HYPERLINK("C:\Users\franc\OneDrive\Documentos\MALENTIN KARIME\MANDATO\GENERAL\2017\MARIA RIVERA CANIVILO Y OTROS borrador.doc", "Abrir Documento")</f>
        <v>0</v>
      </c>
      <c r="D6782" t="s">
        <v>23500</v>
      </c>
      <c r="E6782" t="s">
        <v>29386</v>
      </c>
    </row>
    <row r="6783" spans="1:5">
      <c r="A6783" t="s">
        <v>6</v>
      </c>
      <c r="B6783" t="s">
        <v>6788</v>
      </c>
      <c r="C6783">
        <f>HYPERLINK("C:\Users\franc\OneDrive\Documentos\MALENTIN KARIME\MANDATO\GENERAL\2017\MARIA AGUIRRE CORTES.doc", "Abrir Documento")</f>
        <v>0</v>
      </c>
      <c r="D6783" t="s">
        <v>23500</v>
      </c>
      <c r="E6783" t="s">
        <v>29387</v>
      </c>
    </row>
    <row r="6784" spans="1:5">
      <c r="A6784" t="s">
        <v>6</v>
      </c>
      <c r="B6784" t="s">
        <v>6789</v>
      </c>
      <c r="C6784">
        <f>HYPERLINK("C:\Users\franc\OneDrive\Documentos\MALENTIN KARIME\MANDATO\GENERAL\2017\LUZ ARAYA HIDALGO A Viviana Araya Hidalgo 2017.doc", "Abrir Documento")</f>
        <v>0</v>
      </c>
      <c r="D6784" t="s">
        <v>23500</v>
      </c>
      <c r="E6784" t="s">
        <v>29388</v>
      </c>
    </row>
    <row r="6785" spans="1:5">
      <c r="A6785" t="s">
        <v>6</v>
      </c>
      <c r="B6785" t="s">
        <v>6790</v>
      </c>
      <c r="C6785">
        <f>HYPERLINK("C:\Users\franc\OneDrive\Documentos\MALENTIN KARIME\MANDATO\GENERAL\2017\LUZ ALVAREZ PERALTA 2018 Matrimonio.doc", "Abrir Documento")</f>
        <v>0</v>
      </c>
      <c r="D6785" t="s">
        <v>23500</v>
      </c>
      <c r="E6785" t="s">
        <v>29389</v>
      </c>
    </row>
    <row r="6786" spans="1:5">
      <c r="A6786" t="s">
        <v>6</v>
      </c>
      <c r="B6786" t="s">
        <v>6791</v>
      </c>
      <c r="C6786">
        <f>HYPERLINK("C:\Users\franc\OneDrive\Documentos\MALENTIN KARIME\MANDATO\GENERAL\2017\JUAN CAMPUSANO ARAYA A Adara Araya.doc", "Abrir Documento")</f>
        <v>0</v>
      </c>
      <c r="D6786" t="s">
        <v>23500</v>
      </c>
      <c r="E6786" t="s">
        <v>29390</v>
      </c>
    </row>
    <row r="6787" spans="1:5">
      <c r="A6787" t="s">
        <v>6</v>
      </c>
      <c r="B6787" t="s">
        <v>6792</v>
      </c>
      <c r="C6787">
        <f>HYPERLINK("C:\Users\franc\OneDrive\Documentos\MALENTIN KARIME\MANDATO\GENERAL\2017\JOSE SERRANO ESPINOSA Matrimonio 2018.doc", "Abrir Documento")</f>
        <v>0</v>
      </c>
      <c r="D6787" t="s">
        <v>23500</v>
      </c>
      <c r="E6787" t="s">
        <v>29391</v>
      </c>
    </row>
    <row r="6788" spans="1:5">
      <c r="A6788" t="s">
        <v>6</v>
      </c>
      <c r="B6788" t="s">
        <v>6793</v>
      </c>
      <c r="C6788">
        <f>HYPERLINK("C:\Users\franc\OneDrive\Documentos\MALENTIN KARIME\MANDATO\GENERAL\2017\JOAQUIN LATORRE A Hernan Latorre.doc", "Abrir Documento")</f>
        <v>0</v>
      </c>
      <c r="D6788" t="s">
        <v>23500</v>
      </c>
      <c r="E6788" t="s">
        <v>29392</v>
      </c>
    </row>
    <row r="6789" spans="1:5">
      <c r="A6789" t="s">
        <v>6</v>
      </c>
      <c r="B6789" t="s">
        <v>6794</v>
      </c>
      <c r="C6789">
        <f>HYPERLINK("C:\Users\franc\OneDrive\Documentos\MALENTIN KARIME\MANDATO\GENERAL\2017\IRMA HIDALGO VEAS A Viviana Araya Hidalgo 2017.doc", "Abrir Documento")</f>
        <v>0</v>
      </c>
      <c r="D6789" t="s">
        <v>23500</v>
      </c>
      <c r="E6789" t="s">
        <v>29393</v>
      </c>
    </row>
    <row r="6790" spans="1:5">
      <c r="A6790" t="s">
        <v>6</v>
      </c>
      <c r="B6790" t="s">
        <v>6795</v>
      </c>
      <c r="C6790">
        <f>HYPERLINK("C:\Users\franc\OneDrive\Documentos\MALENTIN KARIME\MANDATO\GENERAL\2017\HUGO ROJAS A MARIA DIAZ}.doc", "Abrir Documento")</f>
        <v>0</v>
      </c>
      <c r="D6790" t="s">
        <v>23500</v>
      </c>
      <c r="E6790" t="s">
        <v>29394</v>
      </c>
    </row>
    <row r="6791" spans="1:5">
      <c r="A6791" t="s">
        <v>6</v>
      </c>
      <c r="B6791" t="s">
        <v>6796</v>
      </c>
      <c r="C6791">
        <f>HYPERLINK("C:\Users\franc\OneDrive\Documentos\MALENTIN KARIME\MANDATO\GENERAL\2017\HECTOR MEZA MELLADO 2017.doc", "Abrir Documento")</f>
        <v>0</v>
      </c>
      <c r="D6791" t="s">
        <v>23500</v>
      </c>
      <c r="E6791" t="s">
        <v>29395</v>
      </c>
    </row>
    <row r="6792" spans="1:5">
      <c r="A6792" t="s">
        <v>6</v>
      </c>
      <c r="B6792" t="s">
        <v>6797</v>
      </c>
      <c r="C6792">
        <f>HYPERLINK("C:\Users\franc\OneDrive\Documentos\MALENTIN KARIME\MANDATO\GENERAL\2017\GONZALO CARMONA JOPIA 2017.doc", "Abrir Documento")</f>
        <v>0</v>
      </c>
      <c r="D6792" t="s">
        <v>23500</v>
      </c>
      <c r="E6792" t="s">
        <v>29396</v>
      </c>
    </row>
    <row r="6793" spans="1:5">
      <c r="A6793" t="s">
        <v>6</v>
      </c>
      <c r="B6793" t="s">
        <v>6798</v>
      </c>
      <c r="C6793">
        <f>HYPERLINK("C:\Users\franc\OneDrive\Documentos\MALENTIN KARIME\MANDATO\GENERAL\2017\CAROL BRADAYARES PIÑONES.doc", "Abrir Documento")</f>
        <v>0</v>
      </c>
      <c r="D6793" t="s">
        <v>23500</v>
      </c>
      <c r="E6793" t="s">
        <v>29397</v>
      </c>
    </row>
    <row r="6794" spans="1:5">
      <c r="A6794" t="s">
        <v>6</v>
      </c>
      <c r="B6794" t="s">
        <v>6799</v>
      </c>
      <c r="C6794">
        <f>HYPERLINK("C:\Users\franc\OneDrive\Documentos\MALENTIN KARIME\MANDATO\GENERAL\2016\mandato Suc. Pedro Alejandro Araya.docBORRADOR.doc", "Abrir Documento")</f>
        <v>0</v>
      </c>
      <c r="D6794" t="s">
        <v>23500</v>
      </c>
      <c r="E6794" t="s">
        <v>29398</v>
      </c>
    </row>
    <row r="6795" spans="1:5">
      <c r="A6795" t="s">
        <v>6</v>
      </c>
      <c r="B6795" t="s">
        <v>6800</v>
      </c>
      <c r="C6795">
        <f>HYPERLINK("C:\Users\franc\OneDrive\Documentos\MALENTIN KARIME\MANDATO\GENERAL\2016\mandato Suc. Pedro Alejandro Araya.doc", "Abrir Documento")</f>
        <v>0</v>
      </c>
      <c r="D6795" t="s">
        <v>23500</v>
      </c>
      <c r="E6795" t="s">
        <v>29399</v>
      </c>
    </row>
    <row r="6796" spans="1:5">
      <c r="A6796" t="s">
        <v>6</v>
      </c>
      <c r="B6796" t="s">
        <v>6801</v>
      </c>
      <c r="C6796">
        <f>HYPERLINK("C:\Users\franc\OneDrive\Documentos\MALENTIN KARIME\MANDATO\GENERAL\2015\RAUL MARTINEZ HENRIQUEZ A LUIS ALVEAR Minuta.doc", "Abrir Documento")</f>
        <v>0</v>
      </c>
      <c r="D6796" t="s">
        <v>23500</v>
      </c>
      <c r="E6796" t="s">
        <v>29400</v>
      </c>
    </row>
    <row r="6797" spans="1:5">
      <c r="A6797" t="s">
        <v>6</v>
      </c>
      <c r="B6797" t="s">
        <v>6802</v>
      </c>
      <c r="C6797">
        <f>HYPERLINK("C:\Users\franc\OneDrive\Documentos\MALENTIN KARIME\MANDATO\GENERAL\2016\BERTA MALEBRAN MIRANDA Minuta.doc", "Abrir Documento")</f>
        <v>0</v>
      </c>
      <c r="D6797" t="s">
        <v>23500</v>
      </c>
      <c r="E6797" t="s">
        <v>29400</v>
      </c>
    </row>
    <row r="6798" spans="1:5">
      <c r="A6798" t="s">
        <v>6</v>
      </c>
      <c r="B6798" t="s">
        <v>6803</v>
      </c>
      <c r="C6798">
        <f>HYPERLINK("C:\Users\franc\OneDrive\Documentos\MALENTIN KARIME\MANDATO\GENERAL\2015\MARIA CONTRERAS LOPEZ A MARIA RIVERA.doc", "Abrir Documento")</f>
        <v>0</v>
      </c>
      <c r="D6798" t="s">
        <v>23500</v>
      </c>
      <c r="E6798" t="s">
        <v>29401</v>
      </c>
    </row>
    <row r="6799" spans="1:5">
      <c r="A6799" t="s">
        <v>6</v>
      </c>
      <c r="B6799" t="s">
        <v>6804</v>
      </c>
      <c r="C6799">
        <f>HYPERLINK("C:\Users\franc\OneDrive\Documentos\MALENTIN KARIME\MANDATO\GENERAL\2015\MATIAS JOFRE MORGADO.doc", "Abrir Documento")</f>
        <v>0</v>
      </c>
      <c r="D6799" t="s">
        <v>23500</v>
      </c>
      <c r="E6799" t="s">
        <v>29401</v>
      </c>
    </row>
    <row r="6800" spans="1:5">
      <c r="A6800" t="s">
        <v>6</v>
      </c>
      <c r="B6800" t="s">
        <v>6805</v>
      </c>
      <c r="C6800">
        <f>HYPERLINK("C:\Users\franc\OneDrive\Documentos\MALENTIN KARIME\MANDATO\GENERAL\2015\MANUEL DIAZ RIVERA.doc", "Abrir Documento")</f>
        <v>0</v>
      </c>
      <c r="D6800" t="s">
        <v>23500</v>
      </c>
      <c r="E6800" t="s">
        <v>29402</v>
      </c>
    </row>
    <row r="6801" spans="1:5">
      <c r="A6801" t="s">
        <v>6</v>
      </c>
      <c r="B6801" t="s">
        <v>6806</v>
      </c>
      <c r="C6801">
        <f>HYPERLINK("C:\Users\franc\OneDrive\Documentos\MALENTIN KARIME\MANDATO\GENERAL\2015\MARCELA ROMERO A MARCO ROJAS.doc", "Abrir Documento")</f>
        <v>0</v>
      </c>
      <c r="D6801" t="s">
        <v>23500</v>
      </c>
      <c r="E6801" t="s">
        <v>29402</v>
      </c>
    </row>
    <row r="6802" spans="1:5">
      <c r="A6802" t="s">
        <v>6</v>
      </c>
      <c r="B6802" t="s">
        <v>6807</v>
      </c>
      <c r="C6802">
        <f>HYPERLINK("C:\Users\franc\OneDrive\Documentos\MALENTIN KARIME\MANDATO\GENERAL\2015\JUAN CARLOS MUÑOZ GOMEZ A Katherine Lizardi.doc", "Abrir Documento")</f>
        <v>0</v>
      </c>
      <c r="D6802" t="s">
        <v>23500</v>
      </c>
      <c r="E6802" t="s">
        <v>29403</v>
      </c>
    </row>
    <row r="6803" spans="1:5">
      <c r="A6803" t="s">
        <v>6</v>
      </c>
      <c r="B6803" t="s">
        <v>6808</v>
      </c>
      <c r="C6803">
        <f>HYPERLINK("C:\Users\franc\OneDrive\Documentos\MALENTIN KARIME\MANDATO\GENERAL\2015\JULIO HENRIQUEZ A ANA BENAVENTE.doc", "Abrir Documento")</f>
        <v>0</v>
      </c>
      <c r="D6803" t="s">
        <v>23500</v>
      </c>
      <c r="E6803" t="s">
        <v>29403</v>
      </c>
    </row>
    <row r="6804" spans="1:5">
      <c r="A6804" t="s">
        <v>6</v>
      </c>
      <c r="B6804" t="s">
        <v>6809</v>
      </c>
      <c r="C6804">
        <f>HYPERLINK("C:\Users\franc\OneDrive\Documentos\MALENTIN KARIME\MANDATO\GENERAL\2015\IRIS CASTILLO A Erasmo Castillo.doc", "Abrir Documento")</f>
        <v>0</v>
      </c>
      <c r="D6804" t="s">
        <v>23500</v>
      </c>
      <c r="E6804" t="s">
        <v>29404</v>
      </c>
    </row>
    <row r="6805" spans="1:5">
      <c r="A6805" t="s">
        <v>6</v>
      </c>
      <c r="B6805" t="s">
        <v>6810</v>
      </c>
      <c r="C6805">
        <f>HYPERLINK("C:\Users\franc\OneDrive\Documentos\MALENTIN KARIME\MANDATO\GENERAL\2015\ESMIRTO MONTENEGRO.doc", "Abrir Documento")</f>
        <v>0</v>
      </c>
      <c r="D6805" t="s">
        <v>23500</v>
      </c>
      <c r="E6805" t="s">
        <v>29405</v>
      </c>
    </row>
    <row r="6806" spans="1:5">
      <c r="A6806" t="s">
        <v>6</v>
      </c>
      <c r="B6806" t="s">
        <v>6811</v>
      </c>
      <c r="C6806">
        <f>HYPERLINK("C:\Users\franc\OneDrive\Documentos\MALENTIN KARIME\MANDATO\GENERAL\2015\ERASMO CORTES GUZMAN A Zoila Marquez.doc", "Abrir Documento")</f>
        <v>0</v>
      </c>
      <c r="D6806" t="s">
        <v>23500</v>
      </c>
      <c r="E6806" t="s">
        <v>29406</v>
      </c>
    </row>
    <row r="6807" spans="1:5">
      <c r="A6807" t="s">
        <v>6</v>
      </c>
      <c r="B6807" t="s">
        <v>6812</v>
      </c>
      <c r="C6807">
        <f>HYPERLINK("C:\Users\franc\OneDrive\Documentos\MALENTIN KARIME\MANDATO\GENERAL\2015\BONIFACIO OLIVARES CASTRO Minuta.doc", "Abrir Documento")</f>
        <v>0</v>
      </c>
      <c r="D6807" t="s">
        <v>23500</v>
      </c>
      <c r="E6807" t="s">
        <v>29407</v>
      </c>
    </row>
    <row r="6808" spans="1:5">
      <c r="A6808" t="s">
        <v>6</v>
      </c>
      <c r="B6808" t="s">
        <v>6813</v>
      </c>
      <c r="C6808">
        <f>HYPERLINK("C:\Users\franc\OneDrive\Documentos\MALENTIN KARIME\MANDATO\GENERAL\2015\CAROLINA TORREJON CASTILLO.doc", "Abrir Documento")</f>
        <v>0</v>
      </c>
      <c r="D6808" t="s">
        <v>23500</v>
      </c>
      <c r="E6808" t="s">
        <v>29407</v>
      </c>
    </row>
    <row r="6809" spans="1:5">
      <c r="A6809" t="s">
        <v>6</v>
      </c>
      <c r="B6809" t="s">
        <v>6814</v>
      </c>
      <c r="C6809">
        <f>HYPERLINK("C:\Users\franc\OneDrive\Documentos\MALENTIN KARIME\MANDATO\GENERAL\XIMENA PEREZ CAMPOS.doc", "Abrir Documento")</f>
        <v>0</v>
      </c>
      <c r="D6809" t="s">
        <v>23500</v>
      </c>
      <c r="E6809" t="s">
        <v>29408</v>
      </c>
    </row>
    <row r="6810" spans="1:5">
      <c r="A6810" t="s">
        <v>6</v>
      </c>
      <c r="B6810" t="s">
        <v>6815</v>
      </c>
      <c r="C6810">
        <f>HYPERLINK("C:\Users\franc\OneDrive\Documentos\MALENTIN KARIME\MANDATO\GENERAL\VITAL DEL ROSARIO VALDES.doc", "Abrir Documento")</f>
        <v>0</v>
      </c>
      <c r="D6810" t="s">
        <v>23500</v>
      </c>
      <c r="E6810" t="s">
        <v>29409</v>
      </c>
    </row>
    <row r="6811" spans="1:5">
      <c r="A6811" t="s">
        <v>6</v>
      </c>
      <c r="B6811" t="s">
        <v>6816</v>
      </c>
      <c r="C6811">
        <f>HYPERLINK("C:\Users\franc\OneDrive\Documentos\MALENTIN KARIME\MANDATO\GENERAL\XIMENA ABBOTT LARRAIN.doc", "Abrir Documento")</f>
        <v>0</v>
      </c>
      <c r="D6811" t="s">
        <v>23500</v>
      </c>
      <c r="E6811" t="s">
        <v>29409</v>
      </c>
    </row>
    <row r="6812" spans="1:5">
      <c r="A6812" t="s">
        <v>6</v>
      </c>
      <c r="B6812" t="s">
        <v>6817</v>
      </c>
      <c r="C6812">
        <f>HYPERLINK("C:\Users\franc\OneDrive\Documentos\MALENTIN KARIME\MANDATO\GENERAL\VERONICA MONTT}.doc", "Abrir Documento")</f>
        <v>0</v>
      </c>
      <c r="D6812" t="s">
        <v>23500</v>
      </c>
      <c r="E6812" t="s">
        <v>29410</v>
      </c>
    </row>
    <row r="6813" spans="1:5">
      <c r="A6813" t="s">
        <v>6</v>
      </c>
      <c r="B6813" t="s">
        <v>6818</v>
      </c>
      <c r="C6813">
        <f>HYPERLINK("C:\Users\franc\OneDrive\Documentos\MALENTIN KARIME\MANDATO\GENERAL\SUCESION CASTILLO IBACACHE MAND General.doc", "Abrir Documento")</f>
        <v>0</v>
      </c>
      <c r="D6813" t="s">
        <v>23500</v>
      </c>
      <c r="E6813" t="s">
        <v>29411</v>
      </c>
    </row>
    <row r="6814" spans="1:5">
      <c r="A6814" t="s">
        <v>6</v>
      </c>
      <c r="B6814" t="s">
        <v>6819</v>
      </c>
      <c r="C6814">
        <f>HYPERLINK("C:\Users\franc\OneDrive\Documentos\MALENTIN KARIME\MANDATO\GENERAL\SUCESION CASTILLO IBACACHE Cheq CAPEL-1.doc", "Abrir Documento")</f>
        <v>0</v>
      </c>
      <c r="D6814" t="s">
        <v>23500</v>
      </c>
      <c r="E6814" t="s">
        <v>29412</v>
      </c>
    </row>
    <row r="6815" spans="1:5">
      <c r="A6815" t="s">
        <v>6</v>
      </c>
      <c r="B6815" t="s">
        <v>6820</v>
      </c>
      <c r="C6815">
        <f>HYPERLINK("C:\Users\franc\OneDrive\Documentos\MALENTIN KARIME\MANDATO\GENERAL\RUDELIO VEGA MORALEDA.doc", "Abrir Documento")</f>
        <v>0</v>
      </c>
      <c r="D6815" t="s">
        <v>23500</v>
      </c>
      <c r="E6815" t="s">
        <v>29413</v>
      </c>
    </row>
    <row r="6816" spans="1:5">
      <c r="A6816" t="s">
        <v>6</v>
      </c>
      <c r="B6816" t="s">
        <v>6821</v>
      </c>
      <c r="C6816">
        <f>HYPERLINK("C:\Users\franc\OneDrive\Documentos\MALENTIN KARIME\MANDATO\GENERAL\RODRIGO VARGAS CASTRO}.doc", "Abrir Documento")</f>
        <v>0</v>
      </c>
      <c r="D6816" t="s">
        <v>23500</v>
      </c>
      <c r="E6816" t="s">
        <v>29414</v>
      </c>
    </row>
    <row r="6817" spans="1:5">
      <c r="A6817" t="s">
        <v>6</v>
      </c>
      <c r="B6817" t="s">
        <v>6822</v>
      </c>
      <c r="C6817">
        <f>HYPERLINK("C:\Users\franc\OneDrive\Documentos\MALENTIN KARIME\MANDATO\GENERAL\OSVALDO TELLO.doc", "Abrir Documento")</f>
        <v>0</v>
      </c>
      <c r="D6817" t="s">
        <v>23500</v>
      </c>
      <c r="E6817" t="s">
        <v>29415</v>
      </c>
    </row>
    <row r="6818" spans="1:5">
      <c r="A6818" t="s">
        <v>6</v>
      </c>
      <c r="B6818" t="s">
        <v>6823</v>
      </c>
      <c r="C6818">
        <f>HYPERLINK("C:\Users\franc\OneDrive\Documentos\MALENTIN KARIME\MANDATO\GENERAL\OSCAR CASTRO RAMIREZ.doc", "Abrir Documento")</f>
        <v>0</v>
      </c>
      <c r="D6818" t="s">
        <v>23500</v>
      </c>
      <c r="E6818" t="s">
        <v>29416</v>
      </c>
    </row>
    <row r="6819" spans="1:5">
      <c r="A6819" t="s">
        <v>6</v>
      </c>
      <c r="B6819" t="s">
        <v>6824</v>
      </c>
      <c r="C6819">
        <f>HYPERLINK("C:\Users\franc\OneDrive\Documentos\MALENTIN KARIME\MANDATO\GENERAL\NIDIA RIVERA ROCCO.doc", "Abrir Documento")</f>
        <v>0</v>
      </c>
      <c r="D6819" t="s">
        <v>23500</v>
      </c>
      <c r="E6819" t="s">
        <v>29417</v>
      </c>
    </row>
    <row r="6820" spans="1:5">
      <c r="A6820" t="s">
        <v>6</v>
      </c>
      <c r="B6820" t="s">
        <v>6825</v>
      </c>
      <c r="C6820">
        <f>HYPERLINK("C:\Users\franc\OneDrive\Documentos\MALENTIN KARIME\MANDATO\GENERAL\MOISES MUNDACA CAMPUSANO Y OTROS MEspecial.doc", "Abrir Documento")</f>
        <v>0</v>
      </c>
      <c r="D6820" t="s">
        <v>23500</v>
      </c>
      <c r="E6820" t="s">
        <v>29418</v>
      </c>
    </row>
    <row r="6821" spans="1:5">
      <c r="A6821" t="s">
        <v>6</v>
      </c>
      <c r="B6821" t="s">
        <v>6826</v>
      </c>
      <c r="C6821">
        <f>HYPERLINK("C:\Users\franc\OneDrive\Documentos\MALENTIN KARIME\MANDATO\GENERAL\modelo.doc", "Abrir Documento")</f>
        <v>0</v>
      </c>
      <c r="D6821" t="s">
        <v>23500</v>
      </c>
      <c r="E6821" t="s">
        <v>29419</v>
      </c>
    </row>
    <row r="6822" spans="1:5">
      <c r="A6822" t="s">
        <v>6</v>
      </c>
      <c r="B6822" t="s">
        <v>6827</v>
      </c>
      <c r="C6822">
        <f>HYPERLINK("C:\Users\franc\OneDrive\Documentos\MALENTIN KARIME\MANDATO\GENERAL\MAURICE JEAN BRET Revocacion Minuta.doc", "Abrir Documento")</f>
        <v>0</v>
      </c>
      <c r="D6822" t="s">
        <v>23500</v>
      </c>
      <c r="E6822" t="s">
        <v>29420</v>
      </c>
    </row>
    <row r="6823" spans="1:5">
      <c r="A6823" t="s">
        <v>6</v>
      </c>
      <c r="B6823" t="s">
        <v>6828</v>
      </c>
      <c r="C6823">
        <f>HYPERLINK("C:\Users\franc\OneDrive\Documentos\MALENTIN KARIME\MANDATO\GENERAL\MARIA CARMONA PIZARRO.doc", "Abrir Documento")</f>
        <v>0</v>
      </c>
      <c r="D6823" t="s">
        <v>23500</v>
      </c>
      <c r="E6823" t="s">
        <v>29421</v>
      </c>
    </row>
    <row r="6824" spans="1:5">
      <c r="A6824" t="s">
        <v>6</v>
      </c>
      <c r="B6824" t="s">
        <v>6829</v>
      </c>
      <c r="C6824">
        <f>HYPERLINK("C:\Users\franc\OneDrive\Documentos\MALENTIN KARIME\MANDATO\GENERAL\MARIA ALVAREZ HENRIQUEZ Y OTRA.doc", "Abrir Documento")</f>
        <v>0</v>
      </c>
      <c r="D6824" t="s">
        <v>23500</v>
      </c>
      <c r="E6824" t="s">
        <v>29422</v>
      </c>
    </row>
    <row r="6825" spans="1:5">
      <c r="A6825" t="s">
        <v>6</v>
      </c>
      <c r="B6825" t="s">
        <v>6830</v>
      </c>
      <c r="C6825">
        <f>HYPERLINK("C:\Users\franc\OneDrive\Documentos\MALENTIN KARIME\MANDATO\GENERAL\LEONARDO VELIZ LABARCA}.doc", "Abrir Documento")</f>
        <v>0</v>
      </c>
      <c r="D6825" t="s">
        <v>23500</v>
      </c>
      <c r="E6825" t="s">
        <v>29423</v>
      </c>
    </row>
    <row r="6826" spans="1:5">
      <c r="A6826" t="s">
        <v>6</v>
      </c>
      <c r="B6826" t="s">
        <v>6831</v>
      </c>
      <c r="C6826">
        <f>HYPERLINK("C:\Users\franc\OneDrive\Documentos\MALENTIN KARIME\MANDATO\GENERAL\LEONARDO VELIZ LABARCA COPIA.doc", "Abrir Documento")</f>
        <v>0</v>
      </c>
      <c r="D6826" t="s">
        <v>23500</v>
      </c>
      <c r="E6826" t="s">
        <v>29424</v>
      </c>
    </row>
    <row r="6827" spans="1:5">
      <c r="A6827" t="s">
        <v>6</v>
      </c>
      <c r="B6827" t="s">
        <v>6832</v>
      </c>
      <c r="C6827">
        <f>HYPERLINK("C:\Users\franc\OneDrive\Documentos\MALENTIN KARIME\MANDATO\GENERAL\HUGO CAMPOS ROJAS.doc", "Abrir Documento")</f>
        <v>0</v>
      </c>
      <c r="D6827" t="s">
        <v>23500</v>
      </c>
      <c r="E6827" t="s">
        <v>29425</v>
      </c>
    </row>
    <row r="6828" spans="1:5">
      <c r="A6828" t="s">
        <v>6</v>
      </c>
      <c r="B6828" t="s">
        <v>6833</v>
      </c>
      <c r="C6828">
        <f>HYPERLINK("C:\Users\franc\OneDrive\Documentos\MALENTIN KARIME\MANDATO\GENERAL\JUAN JOSE ALAMO MIRANDA Gral Bancario.doc", "Abrir Documento")</f>
        <v>0</v>
      </c>
      <c r="D6828" t="s">
        <v>23500</v>
      </c>
      <c r="E6828" t="s">
        <v>29425</v>
      </c>
    </row>
    <row r="6829" spans="1:5">
      <c r="A6829" t="s">
        <v>6</v>
      </c>
      <c r="B6829" t="s">
        <v>6834</v>
      </c>
      <c r="C6829">
        <f>HYPERLINK("C:\Users\franc\OneDrive\Documentos\MALENTIN KARIME\MANDATO\GENERAL\HECTOR MEDALLA MEDALLA.doc", "Abrir Documento")</f>
        <v>0</v>
      </c>
      <c r="D6829" t="s">
        <v>23500</v>
      </c>
      <c r="E6829" t="s">
        <v>29426</v>
      </c>
    </row>
    <row r="6830" spans="1:5">
      <c r="A6830" t="s">
        <v>6</v>
      </c>
      <c r="B6830" t="s">
        <v>6835</v>
      </c>
      <c r="C6830">
        <f>HYPERLINK("C:\Users\franc\OneDrive\Documentos\MALENTIN KARIME\MANDATO\GENERAL\HERNAN CASTILLO IBACACHE A Eugenia Castillo.doc", "Abrir Documento")</f>
        <v>0</v>
      </c>
      <c r="D6830" t="s">
        <v>23500</v>
      </c>
      <c r="E6830" t="s">
        <v>29426</v>
      </c>
    </row>
    <row r="6831" spans="1:5">
      <c r="A6831" t="s">
        <v>6</v>
      </c>
      <c r="B6831" t="s">
        <v>6836</v>
      </c>
      <c r="C6831">
        <f>HYPERLINK("C:\Users\franc\OneDrive\Documentos\MALENTIN KARIME\MANDATO\GENERAL\HECTOR GUILLERMO CASTILLO CASTILLO.doc", "Abrir Documento")</f>
        <v>0</v>
      </c>
      <c r="D6831" t="s">
        <v>23500</v>
      </c>
      <c r="E6831" t="s">
        <v>29427</v>
      </c>
    </row>
    <row r="6832" spans="1:5">
      <c r="A6832" t="s">
        <v>6</v>
      </c>
      <c r="B6832" t="s">
        <v>6837</v>
      </c>
      <c r="C6832">
        <f>HYPERLINK("C:\Users\franc\OneDrive\Documentos\MALENTIN KARIME\MANDATO\GENERAL\GLORIA ALFARO SIERRA Minuta.doc", "Abrir Documento")</f>
        <v>0</v>
      </c>
      <c r="D6832" t="s">
        <v>23500</v>
      </c>
      <c r="E6832" t="s">
        <v>29428</v>
      </c>
    </row>
    <row r="6833" spans="1:5">
      <c r="A6833" t="s">
        <v>6</v>
      </c>
      <c r="B6833" t="s">
        <v>6838</v>
      </c>
      <c r="C6833">
        <f>HYPERLINK("C:\Users\franc\OneDrive\Documentos\MALENTIN KARIME\MANDATO\GENERAL\COPEVAL PODER.doc", "Abrir Documento")</f>
        <v>0</v>
      </c>
      <c r="D6833" t="s">
        <v>23500</v>
      </c>
      <c r="E6833" t="s">
        <v>29429</v>
      </c>
    </row>
    <row r="6834" spans="1:5">
      <c r="A6834" t="s">
        <v>6</v>
      </c>
      <c r="B6834" t="s">
        <v>6839</v>
      </c>
      <c r="C6834">
        <f>HYPERLINK("C:\Users\franc\OneDrive\Documentos\MALENTIN KARIME\MANDATO\GENERAL\CIRO BERRIOS.doc", "Abrir Documento")</f>
        <v>0</v>
      </c>
      <c r="D6834" t="s">
        <v>23500</v>
      </c>
      <c r="E6834" t="s">
        <v>29430</v>
      </c>
    </row>
    <row r="6835" spans="1:5">
      <c r="A6835" t="s">
        <v>6</v>
      </c>
      <c r="B6835" t="s">
        <v>6840</v>
      </c>
      <c r="C6835">
        <f>HYPERLINK("C:\Users\franc\OneDrive\Documentos\MALENTIN KARIME\MANDATO\GENERAL\CARMEN CONTRERAS CORTEZ.doc", "Abrir Documento")</f>
        <v>0</v>
      </c>
      <c r="D6835" t="s">
        <v>23500</v>
      </c>
      <c r="E6835" t="s">
        <v>29431</v>
      </c>
    </row>
    <row r="6836" spans="1:5">
      <c r="A6836" t="s">
        <v>6</v>
      </c>
      <c r="B6836" t="s">
        <v>6841</v>
      </c>
      <c r="C6836">
        <f>HYPERLINK("C:\Users\franc\OneDrive\Documentos\MALENTIN KARIME\MANDATO\GENERAL\CESAR RUIZ RODRIGUEZ.doc", "Abrir Documento")</f>
        <v>0</v>
      </c>
      <c r="D6836" t="s">
        <v>23500</v>
      </c>
      <c r="E6836" t="s">
        <v>29431</v>
      </c>
    </row>
    <row r="6837" spans="1:5">
      <c r="A6837" t="s">
        <v>6</v>
      </c>
      <c r="B6837" t="s">
        <v>6842</v>
      </c>
      <c r="C6837">
        <f>HYPERLINK("C:\Users\franc\OneDrive\Documentos\MALENTIN KARIME\MANDATO\GENERAL\CARLOS FAGANI.doc", "Abrir Documento")</f>
        <v>0</v>
      </c>
      <c r="D6837" t="s">
        <v>23500</v>
      </c>
      <c r="E6837" t="s">
        <v>29432</v>
      </c>
    </row>
    <row r="6838" spans="1:5">
      <c r="A6838" t="s">
        <v>6</v>
      </c>
      <c r="B6838" t="s">
        <v>6843</v>
      </c>
      <c r="C6838">
        <f>HYPERLINK("C:\Users\franc\OneDrive\Documentos\MALENTIN KARIME\MANDATO\GENERAL\banco.doc", "Abrir Documento")</f>
        <v>0</v>
      </c>
      <c r="D6838" t="s">
        <v>23500</v>
      </c>
      <c r="E6838" t="s">
        <v>29433</v>
      </c>
    </row>
    <row r="6839" spans="1:5">
      <c r="A6839" t="s">
        <v>6</v>
      </c>
      <c r="B6839" t="s">
        <v>6844</v>
      </c>
      <c r="C6839">
        <f>HYPERLINK("C:\Users\franc\OneDrive\Documentos\MALENTIN KARIME\MANDATO\GENERAL\ANGEL LUNA.doc", "Abrir Documento")</f>
        <v>0</v>
      </c>
      <c r="D6839" t="s">
        <v>23500</v>
      </c>
      <c r="E6839" t="s">
        <v>29434</v>
      </c>
    </row>
    <row r="6840" spans="1:5">
      <c r="A6840" t="s">
        <v>6</v>
      </c>
      <c r="B6840" t="s">
        <v>6845</v>
      </c>
      <c r="C6840">
        <f>HYPERLINK("C:\Users\franc\OneDrive\Documentos\MALENTIN KARIME\MANDATO\GENERAL\AGRICOLA EL CIENAGO.doc", "Abrir Documento")</f>
        <v>0</v>
      </c>
      <c r="D6840" t="s">
        <v>23500</v>
      </c>
      <c r="E6840" t="s">
        <v>29435</v>
      </c>
    </row>
    <row r="6841" spans="1:5">
      <c r="A6841" t="s">
        <v>6</v>
      </c>
      <c r="B6841" t="s">
        <v>6846</v>
      </c>
      <c r="C6841">
        <f>HYPERLINK("C:\Users\franc\OneDrive\Documentos\MALENTIN KARIME\MANDATO\GENERAL\ADRIANA GUZMAN OLSEN.doc", "Abrir Documento")</f>
        <v>0</v>
      </c>
      <c r="D6841" t="s">
        <v>23500</v>
      </c>
      <c r="E6841" t="s">
        <v>29436</v>
      </c>
    </row>
    <row r="6842" spans="1:5">
      <c r="A6842" t="s">
        <v>6</v>
      </c>
      <c r="B6842" t="s">
        <v>6847</v>
      </c>
      <c r="C6842">
        <f>HYPERLINK("C:\Users\franc\OneDrive\Documentos\MALENTIN KARIME\MANDATO\ESPECIAL\MINAS\NORMAS RAMOS PASTEN A Aris Plaza.doc", "Abrir Documento")</f>
        <v>0</v>
      </c>
      <c r="D6842" t="s">
        <v>23500</v>
      </c>
      <c r="E6842" t="s">
        <v>29437</v>
      </c>
    </row>
    <row r="6843" spans="1:5">
      <c r="A6843" t="s">
        <v>6</v>
      </c>
      <c r="B6843" t="s">
        <v>6848</v>
      </c>
      <c r="C6843">
        <f>HYPERLINK("C:\Users\franc\OneDrive\Documentos\MALENTIN KARIME\MANDATO\ESPECIAL\MINAS\SOC. MINERA EL COBRE.doc", "Abrir Documento")</f>
        <v>0</v>
      </c>
      <c r="D6843" t="s">
        <v>23500</v>
      </c>
      <c r="E6843" t="s">
        <v>29437</v>
      </c>
    </row>
    <row r="6844" spans="1:5">
      <c r="A6844" t="s">
        <v>6</v>
      </c>
      <c r="B6844" t="s">
        <v>6849</v>
      </c>
      <c r="C6844">
        <f>HYPERLINK("C:\Users\franc\OneDrive\Documentos\MALENTIN KARIME\MANDATO\ESPECIAL\MINAS\LORENZO ARAYA COFRE venta MINAS 2018.doc", "Abrir Documento")</f>
        <v>0</v>
      </c>
      <c r="D6844" t="s">
        <v>23500</v>
      </c>
      <c r="E6844" t="s">
        <v>29438</v>
      </c>
    </row>
    <row r="6845" spans="1:5">
      <c r="A6845" t="s">
        <v>6</v>
      </c>
      <c r="B6845" t="s">
        <v>6850</v>
      </c>
      <c r="C6845">
        <f>HYPERLINK("C:\Users\franc\OneDrive\Documentos\MALENTIN KARIME\MANDATO\ESPECIAL\MINAS\MARTA ORO CORTES.doc", "Abrir Documento")</f>
        <v>0</v>
      </c>
      <c r="D6845" t="s">
        <v>23500</v>
      </c>
      <c r="E6845" t="s">
        <v>29438</v>
      </c>
    </row>
    <row r="6846" spans="1:5">
      <c r="A6846" t="s">
        <v>6</v>
      </c>
      <c r="B6846" t="s">
        <v>6851</v>
      </c>
      <c r="C6846">
        <f>HYPERLINK("C:\Users\franc\OneDrive\Documentos\MALENTIN KARIME\MANDATO\ESPECIAL\MINAS\LORENZO ARAYA COFRE negociar venta MINAS.doc", "Abrir Documento")</f>
        <v>0</v>
      </c>
      <c r="D6846" t="s">
        <v>23500</v>
      </c>
      <c r="E6846" t="s">
        <v>29439</v>
      </c>
    </row>
    <row r="6847" spans="1:5">
      <c r="A6847" t="s">
        <v>6</v>
      </c>
      <c r="B6847" t="s">
        <v>6852</v>
      </c>
      <c r="C6847">
        <f>HYPERLINK("C:\Users\franc\OneDrive\Documentos\MALENTIN KARIME\MANDATO\ESPECIAL\MINAS\LORENZO ARAYA COFRE Honorarios.doc", "Abrir Documento")</f>
        <v>0</v>
      </c>
      <c r="D6847" t="s">
        <v>23500</v>
      </c>
      <c r="E6847" t="s">
        <v>29440</v>
      </c>
    </row>
    <row r="6848" spans="1:5">
      <c r="A6848" t="s">
        <v>6</v>
      </c>
      <c r="B6848" t="s">
        <v>6853</v>
      </c>
      <c r="C6848">
        <f>HYPERLINK("C:\Users\franc\OneDrive\Documentos\MALENTIN KARIME\MANDATO\ESPECIAL\MINAS\LORENZO ARAYA COFRE A CARLOS MARDONES Acuerdo  2018.doc", "Abrir Documento")</f>
        <v>0</v>
      </c>
      <c r="D6848" t="s">
        <v>23500</v>
      </c>
      <c r="E6848" t="s">
        <v>29441</v>
      </c>
    </row>
    <row r="6849" spans="1:5">
      <c r="A6849" t="s">
        <v>6</v>
      </c>
      <c r="B6849" t="s">
        <v>6854</v>
      </c>
      <c r="C6849">
        <f>HYPERLINK("C:\Users\franc\OneDrive\Documentos\MALENTIN KARIME\MANDATO\ESPECIAL\MINAS\ANTONIO GODOY PEREZ negociar venta MINAS.doc", "Abrir Documento")</f>
        <v>0</v>
      </c>
      <c r="D6849" t="s">
        <v>23500</v>
      </c>
      <c r="E6849" t="s">
        <v>29442</v>
      </c>
    </row>
    <row r="6850" spans="1:5">
      <c r="A6850" t="s">
        <v>6</v>
      </c>
      <c r="B6850" t="s">
        <v>6855</v>
      </c>
      <c r="C6850">
        <f>HYPERLINK("C:\Users\franc\OneDrive\Documentos\MALENTIN KARIME\MANDATO\ESPECIAL\2021\SUCESION JUAN MIRANDA MOLINA Capel.doc", "Abrir Documento")</f>
        <v>0</v>
      </c>
      <c r="D6850" t="s">
        <v>23500</v>
      </c>
      <c r="E6850" t="s">
        <v>29443</v>
      </c>
    </row>
    <row r="6851" spans="1:5">
      <c r="A6851" t="s">
        <v>6</v>
      </c>
      <c r="B6851" t="s">
        <v>6856</v>
      </c>
      <c r="C6851">
        <f>HYPERLINK("C:\Users\franc\OneDrive\Documentos\MALENTIN KARIME\MANDATO\ESPECIAL\2021\MARIA GALLEGUILLOS MIRANDA Y OTROS.doc", "Abrir Documento")</f>
        <v>0</v>
      </c>
      <c r="D6851" t="s">
        <v>23500</v>
      </c>
      <c r="E6851" t="s">
        <v>29444</v>
      </c>
    </row>
    <row r="6852" spans="1:5">
      <c r="A6852" t="s">
        <v>6</v>
      </c>
      <c r="B6852" t="s">
        <v>6857</v>
      </c>
      <c r="C6852">
        <f>HYPERLINK("C:\Users\franc\OneDrive\Documentos\MALENTIN KARIME\MANDATO\ESPECIAL\2021\LILIANA ALFARO A EDUARDO MIRANDA Y OTROS  minuta.docx", "Abrir Documento")</f>
        <v>0</v>
      </c>
      <c r="D6852" t="s">
        <v>23501</v>
      </c>
      <c r="E6852" t="s">
        <v>29445</v>
      </c>
    </row>
    <row r="6853" spans="1:5">
      <c r="A6853" t="s">
        <v>6</v>
      </c>
      <c r="B6853" t="s">
        <v>6858</v>
      </c>
      <c r="C6853">
        <f>HYPERLINK("C:\Users\franc\OneDrive\Documentos\MALENTIN KARIME\MANDATO\ESPECIAL\2021\MANUEL FARIAS VIGUERA.doc", "Abrir Documento")</f>
        <v>0</v>
      </c>
      <c r="D6853" t="s">
        <v>23500</v>
      </c>
      <c r="E6853" t="s">
        <v>29445</v>
      </c>
    </row>
    <row r="6854" spans="1:5">
      <c r="A6854" t="s">
        <v>6</v>
      </c>
      <c r="B6854" t="s">
        <v>6859</v>
      </c>
      <c r="C6854">
        <f>HYPERLINK("C:\Users\franc\OneDrive\Documentos\MALENTIN KARIME\MANDATO\ESPECIAL\2021\LILIANA ALFARO A EDUARDO MIRANDA Y OTRO minuta.docx", "Abrir Documento")</f>
        <v>0</v>
      </c>
      <c r="D6854" t="s">
        <v>23501</v>
      </c>
      <c r="E6854" t="s">
        <v>29446</v>
      </c>
    </row>
    <row r="6855" spans="1:5">
      <c r="A6855" t="s">
        <v>6</v>
      </c>
      <c r="B6855" t="s">
        <v>6860</v>
      </c>
      <c r="C6855">
        <f>HYPERLINK("C:\Users\franc\OneDrive\Documentos\MALENTIN KARIME\MANDATO\ESPECIAL\2018\VICTOR TELLO TELLO Serviu.doc", "Abrir Documento")</f>
        <v>0</v>
      </c>
      <c r="D6855" t="s">
        <v>23500</v>
      </c>
      <c r="E6855" t="s">
        <v>29447</v>
      </c>
    </row>
    <row r="6856" spans="1:5">
      <c r="A6856" t="s">
        <v>6</v>
      </c>
      <c r="B6856" t="s">
        <v>6861</v>
      </c>
      <c r="C6856">
        <f>HYPERLINK("C:\Users\franc\OneDrive\Documentos\MALENTIN KARIME\MANDATO\ESPECIAL\2021\JOEL INOSTROZA SALAZAR Mandato minuta.doc", "Abrir Documento")</f>
        <v>0</v>
      </c>
      <c r="D6856" t="s">
        <v>23500</v>
      </c>
      <c r="E6856" t="s">
        <v>29447</v>
      </c>
    </row>
    <row r="6857" spans="1:5">
      <c r="A6857" t="s">
        <v>6</v>
      </c>
      <c r="B6857" t="s">
        <v>6862</v>
      </c>
      <c r="C6857">
        <f>HYPERLINK("C:\Users\franc\OneDrive\Documentos\MALENTIN KARIME\MANDATO\ESPECIAL\2018\SUCESION MONSALVE Scotiabank.doc", "Abrir Documento")</f>
        <v>0</v>
      </c>
      <c r="D6857" t="s">
        <v>23500</v>
      </c>
      <c r="E6857" t="s">
        <v>29448</v>
      </c>
    </row>
    <row r="6858" spans="1:5">
      <c r="A6858" t="s">
        <v>6</v>
      </c>
      <c r="B6858" t="s">
        <v>6863</v>
      </c>
      <c r="C6858">
        <f>HYPERLINK("C:\Users\franc\OneDrive\Documentos\MALENTIN KARIME\MANDATO\ESPECIAL\2018\SUCESION MONSALVE Capel.doc", "Abrir Documento")</f>
        <v>0</v>
      </c>
      <c r="D6858" t="s">
        <v>23500</v>
      </c>
      <c r="E6858" t="s">
        <v>29449</v>
      </c>
    </row>
    <row r="6859" spans="1:5">
      <c r="A6859" t="s">
        <v>6</v>
      </c>
      <c r="B6859" t="s">
        <v>6864</v>
      </c>
      <c r="C6859">
        <f>HYPERLINK("C:\Users\franc\OneDrive\Documentos\MALENTIN KARIME\MANDATO\ESPECIAL\2018\SUCESION  ANDRADES TABILO 2018.doc", "Abrir Documento")</f>
        <v>0</v>
      </c>
      <c r="D6859" t="s">
        <v>23500</v>
      </c>
      <c r="E6859" t="s">
        <v>29450</v>
      </c>
    </row>
    <row r="6860" spans="1:5">
      <c r="A6860" t="s">
        <v>6</v>
      </c>
      <c r="B6860" t="s">
        <v>6865</v>
      </c>
      <c r="C6860">
        <f>HYPERLINK("C:\Users\franc\OneDrive\Documentos\MALENTIN KARIME\MANDATO\ESPECIAL\2018\SERVICIOS Y MAQUINARIA ISIDORA Y OTRA.doc", "Abrir Documento")</f>
        <v>0</v>
      </c>
      <c r="D6860" t="s">
        <v>23500</v>
      </c>
      <c r="E6860" t="s">
        <v>29451</v>
      </c>
    </row>
    <row r="6861" spans="1:5">
      <c r="A6861" t="s">
        <v>6</v>
      </c>
      <c r="B6861" t="s">
        <v>6866</v>
      </c>
      <c r="C6861">
        <f>HYPERLINK("C:\Users\franc\OneDrive\Documentos\MALENTIN KARIME\MANDATO\ESPECIAL\2018\MANDATO Felipe Barrios.doc", "Abrir Documento")</f>
        <v>0</v>
      </c>
      <c r="D6861" t="s">
        <v>23500</v>
      </c>
      <c r="E6861" t="s">
        <v>29452</v>
      </c>
    </row>
    <row r="6862" spans="1:5">
      <c r="A6862" t="s">
        <v>6</v>
      </c>
      <c r="B6862" t="s">
        <v>6867</v>
      </c>
      <c r="C6862">
        <f>HYPERLINK("C:\Users\franc\OneDrive\Documentos\MALENTIN KARIME\MANDATO\ESPECIAL\2018\JAVIER CONTRERAS CORTES Minuta.doc", "Abrir Documento")</f>
        <v>0</v>
      </c>
      <c r="D6862" t="s">
        <v>23500</v>
      </c>
      <c r="E6862" t="s">
        <v>29453</v>
      </c>
    </row>
    <row r="6863" spans="1:5">
      <c r="A6863" t="s">
        <v>6</v>
      </c>
      <c r="B6863" t="s">
        <v>6868</v>
      </c>
      <c r="C6863">
        <f>HYPERLINK("C:\Users\franc\OneDrive\Documentos\MALENTIN KARIME\MANDATO\ESPECIAL\2018\GLADYS ROJAS GONZALEZ.doc", "Abrir Documento")</f>
        <v>0</v>
      </c>
      <c r="D6863" t="s">
        <v>23500</v>
      </c>
      <c r="E6863" t="s">
        <v>29454</v>
      </c>
    </row>
    <row r="6864" spans="1:5">
      <c r="A6864" t="s">
        <v>6</v>
      </c>
      <c r="B6864" t="s">
        <v>6869</v>
      </c>
      <c r="C6864">
        <f>HYPERLINK("C:\Users\franc\OneDrive\Documentos\MALENTIN KARIME\MANDATO\ESPECIAL\2018\ELBA ALVAREZ Minuta E Rivas.doc", "Abrir Documento")</f>
        <v>0</v>
      </c>
      <c r="D6864" t="s">
        <v>23500</v>
      </c>
      <c r="E6864" t="s">
        <v>29455</v>
      </c>
    </row>
    <row r="6865" spans="1:5">
      <c r="A6865" t="s">
        <v>6</v>
      </c>
      <c r="B6865" t="s">
        <v>6870</v>
      </c>
      <c r="C6865">
        <f>HYPERLINK("C:\Users\franc\OneDrive\Documentos\MALENTIN KARIME\MANDATO\ESPECIAL\2018\ARMANDO MARIN CORTES Cheques.doc", "Abrir Documento")</f>
        <v>0</v>
      </c>
      <c r="D6865" t="s">
        <v>23500</v>
      </c>
      <c r="E6865" t="s">
        <v>29456</v>
      </c>
    </row>
    <row r="6866" spans="1:5">
      <c r="A6866" t="s">
        <v>6</v>
      </c>
      <c r="B6866" t="s">
        <v>6871</v>
      </c>
      <c r="C6866">
        <f>HYPERLINK("C:\Users\franc\OneDrive\Documentos\MALENTIN KARIME\MANDATO\ESPECIAL\2017\SUCESIONA ARAYA VALDIVIA mandato CAPEL.doc", "Abrir Documento")</f>
        <v>0</v>
      </c>
      <c r="D6866" t="s">
        <v>23500</v>
      </c>
      <c r="E6866" t="s">
        <v>29457</v>
      </c>
    </row>
    <row r="6867" spans="1:5">
      <c r="A6867" t="s">
        <v>6</v>
      </c>
      <c r="B6867" t="s">
        <v>6872</v>
      </c>
      <c r="C6867">
        <f>HYPERLINK("C:\Users\franc\OneDrive\Documentos\MALENTIN KARIME\MANDATO\ESPECIAL\2017\SUC EGAÑA VIDELA afp.doc", "Abrir Documento")</f>
        <v>0</v>
      </c>
      <c r="D6867" t="s">
        <v>23500</v>
      </c>
      <c r="E6867" t="s">
        <v>29458</v>
      </c>
    </row>
    <row r="6868" spans="1:5">
      <c r="A6868" t="s">
        <v>6</v>
      </c>
      <c r="B6868" t="s">
        <v>6873</v>
      </c>
      <c r="C6868">
        <f>HYPERLINK("C:\Users\franc\OneDrive\Documentos\MALENTIN KARIME\MANDATO\ESPECIAL\2017\SUC RIVERA CANIVILO texto afp.doc", "Abrir Documento")</f>
        <v>0</v>
      </c>
      <c r="D6868" t="s">
        <v>23500</v>
      </c>
      <c r="E6868" t="s">
        <v>29458</v>
      </c>
    </row>
    <row r="6869" spans="1:5">
      <c r="A6869" t="s">
        <v>6</v>
      </c>
      <c r="B6869" t="s">
        <v>6874</v>
      </c>
      <c r="C6869">
        <f>HYPERLINK("C:\Users\franc\OneDrive\Documentos\MALENTIN KARIME\MANDATO\ESPECIAL\2017\RAMON UBILLO RIVERA afp.doc", "Abrir Documento")</f>
        <v>0</v>
      </c>
      <c r="D6869" t="s">
        <v>23500</v>
      </c>
      <c r="E6869" t="s">
        <v>29459</v>
      </c>
    </row>
    <row r="6870" spans="1:5">
      <c r="A6870" t="s">
        <v>6</v>
      </c>
      <c r="B6870" t="s">
        <v>6875</v>
      </c>
      <c r="C6870">
        <f>HYPERLINK("C:\Users\franc\OneDrive\Documentos\MALENTIN KARIME\MANDATO\ESPECIAL\2017\ORLANDO DALBOSCO mandato Judicial.doc", "Abrir Documento")</f>
        <v>0</v>
      </c>
      <c r="D6870" t="s">
        <v>23500</v>
      </c>
      <c r="E6870" t="s">
        <v>29460</v>
      </c>
    </row>
    <row r="6871" spans="1:5">
      <c r="A6871" t="s">
        <v>6</v>
      </c>
      <c r="B6871" t="s">
        <v>6876</v>
      </c>
      <c r="C6871">
        <f>HYPERLINK("C:\Users\franc\OneDrive\Documentos\MALENTIN KARIME\MANDATO\ESPECIAL\2017\OLINDA ZEPEDA.doc", "Abrir Documento")</f>
        <v>0</v>
      </c>
      <c r="D6871" t="s">
        <v>23500</v>
      </c>
      <c r="E6871" t="s">
        <v>29461</v>
      </c>
    </row>
    <row r="6872" spans="1:5">
      <c r="A6872" t="s">
        <v>6</v>
      </c>
      <c r="B6872" t="s">
        <v>6877</v>
      </c>
      <c r="C6872">
        <f>HYPERLINK("C:\Users\franc\OneDrive\Documentos\MALENTIN KARIME\MANDATO\ESPECIAL\2017\MOISES ALFARO DIAZ afp.doc", "Abrir Documento")</f>
        <v>0</v>
      </c>
      <c r="D6872" t="s">
        <v>23500</v>
      </c>
      <c r="E6872" t="s">
        <v>29462</v>
      </c>
    </row>
    <row r="6873" spans="1:5">
      <c r="A6873" t="s">
        <v>6</v>
      </c>
      <c r="B6873" t="s">
        <v>6878</v>
      </c>
      <c r="C6873">
        <f>HYPERLINK("C:\Users\franc\OneDrive\Documentos\MALENTIN KARIME\MANDATO\ESPECIAL\2017\MARINA SILVA ARANEDA.doc", "Abrir Documento")</f>
        <v>0</v>
      </c>
      <c r="D6873" t="s">
        <v>23500</v>
      </c>
      <c r="E6873" t="s">
        <v>29463</v>
      </c>
    </row>
    <row r="6874" spans="1:5">
      <c r="A6874" t="s">
        <v>6</v>
      </c>
      <c r="B6874" t="s">
        <v>6879</v>
      </c>
      <c r="C6874">
        <f>HYPERLINK("C:\Users\franc\OneDrive\Documentos\MALENTIN KARIME\MANDATO\ESPECIAL\2017\LUIS ACUA.doc", "Abrir Documento")</f>
        <v>0</v>
      </c>
      <c r="D6874" t="s">
        <v>23500</v>
      </c>
      <c r="E6874" t="s">
        <v>29464</v>
      </c>
    </row>
    <row r="6875" spans="1:5">
      <c r="A6875" t="s">
        <v>6</v>
      </c>
      <c r="B6875" t="s">
        <v>6880</v>
      </c>
      <c r="C6875">
        <f>HYPERLINK("C:\Users\franc\OneDrive\Documentos\MALENTIN KARIME\MANDATO\ESPECIAL\2017\INMOBILIARIA Y CONSTRUCTORA MALLEGAS.doc", "Abrir Documento")</f>
        <v>0</v>
      </c>
      <c r="D6875" t="s">
        <v>23500</v>
      </c>
      <c r="E6875" t="s">
        <v>29465</v>
      </c>
    </row>
    <row r="6876" spans="1:5">
      <c r="A6876" t="s">
        <v>6</v>
      </c>
      <c r="B6876" t="s">
        <v>6881</v>
      </c>
      <c r="C6876">
        <f>HYPERLINK("C:\Users\franc\OneDrive\Documentos\MALENTIN KARIME\MANDATO\ESPECIAL\2017\HERNAN  RIVERA CANIVILO texto afp.doc", "Abrir Documento")</f>
        <v>0</v>
      </c>
      <c r="D6876" t="s">
        <v>23500</v>
      </c>
      <c r="E6876" t="s">
        <v>29466</v>
      </c>
    </row>
    <row r="6877" spans="1:5">
      <c r="A6877" t="s">
        <v>6</v>
      </c>
      <c r="B6877" t="s">
        <v>6882</v>
      </c>
      <c r="C6877">
        <f>HYPERLINK("C:\Users\franc\OneDrive\Documentos\MALENTIN KARIME\MANDATO\ESPECIAL\2017\INES ACOSTA GALLARDO  Serviu.doc", "Abrir Documento")</f>
        <v>0</v>
      </c>
      <c r="D6877" t="s">
        <v>23500</v>
      </c>
      <c r="E6877" t="s">
        <v>29466</v>
      </c>
    </row>
    <row r="6878" spans="1:5">
      <c r="A6878" t="s">
        <v>6</v>
      </c>
      <c r="B6878" t="s">
        <v>6883</v>
      </c>
      <c r="C6878">
        <f>HYPERLINK("C:\Users\franc\OneDrive\Documentos\MALENTIN KARIME\MANDATO\ESPECIAL\2017\GUILLERMO CONTRERAS Adm arrendar.doc", "Abrir Documento")</f>
        <v>0</v>
      </c>
      <c r="D6878" t="s">
        <v>23500</v>
      </c>
      <c r="E6878" t="s">
        <v>29467</v>
      </c>
    </row>
    <row r="6879" spans="1:5">
      <c r="A6879" t="s">
        <v>6</v>
      </c>
      <c r="B6879" t="s">
        <v>6884</v>
      </c>
      <c r="C6879">
        <f>HYPERLINK("C:\Users\franc\OneDrive\Documentos\MALENTIN KARIME\MANDATO\ESPECIAL\2017\EL BA ROJAS afp.doc", "Abrir Documento")</f>
        <v>0</v>
      </c>
      <c r="D6879" t="s">
        <v>23500</v>
      </c>
      <c r="E6879" t="s">
        <v>29468</v>
      </c>
    </row>
    <row r="6880" spans="1:5">
      <c r="A6880" t="s">
        <v>6</v>
      </c>
      <c r="B6880" t="s">
        <v>6885</v>
      </c>
      <c r="C6880">
        <f>HYPERLINK("C:\Users\franc\OneDrive\Documentos\MALENTIN KARIME\MANDATO\ESPECIAL\2017\Daniela Salfate y otrosMANDATO SUBDIVISIÓN.doc", "Abrir Documento")</f>
        <v>0</v>
      </c>
      <c r="D6880" t="s">
        <v>23500</v>
      </c>
      <c r="E6880" t="s">
        <v>29469</v>
      </c>
    </row>
    <row r="6881" spans="1:5">
      <c r="A6881" t="s">
        <v>6</v>
      </c>
      <c r="B6881" t="s">
        <v>6886</v>
      </c>
      <c r="C6881">
        <f>HYPERLINK("C:\Users\franc\OneDrive\Documentos\MALENTIN KARIME\MANDATO\ESPECIAL\2017\CELICA RIVERA  afp.doc", "Abrir Documento")</f>
        <v>0</v>
      </c>
      <c r="D6881" t="s">
        <v>23500</v>
      </c>
      <c r="E6881" t="s">
        <v>29470</v>
      </c>
    </row>
    <row r="6882" spans="1:5">
      <c r="A6882" t="s">
        <v>6</v>
      </c>
      <c r="B6882" t="s">
        <v>6887</v>
      </c>
      <c r="C6882">
        <f>HYPERLINK("C:\Users\franc\OneDrive\Documentos\MALENTIN KARIME\MANDATO\ESPECIAL\2017\CAROLINA ROJAS CARVAJAL Minuta.doc", "Abrir Documento")</f>
        <v>0</v>
      </c>
      <c r="D6882" t="s">
        <v>23500</v>
      </c>
      <c r="E6882" t="s">
        <v>29471</v>
      </c>
    </row>
    <row r="6883" spans="1:5">
      <c r="A6883" t="s">
        <v>6</v>
      </c>
      <c r="B6883" t="s">
        <v>6888</v>
      </c>
      <c r="C6883">
        <f>HYPERLINK("C:\Users\franc\OneDrive\Documentos\MALENTIN KARIME\MANDATO\ESPECIAL\2017\ANA RIVERA ARAYA  afp.doc", "Abrir Documento")</f>
        <v>0</v>
      </c>
      <c r="D6883" t="s">
        <v>23500</v>
      </c>
      <c r="E6883" t="s">
        <v>29472</v>
      </c>
    </row>
    <row r="6884" spans="1:5">
      <c r="A6884" t="s">
        <v>6</v>
      </c>
      <c r="B6884" t="s">
        <v>6889</v>
      </c>
      <c r="C6884">
        <f>HYPERLINK("C:\Users\franc\OneDrive\Documentos\MALENTIN KARIME\MANDATO\ESPECIAL\2017\CAROLINA ROJAS CARVAJAL Minuta 02.doc", "Abrir Documento")</f>
        <v>0</v>
      </c>
      <c r="D6884" t="s">
        <v>23500</v>
      </c>
      <c r="E6884" t="s">
        <v>29472</v>
      </c>
    </row>
    <row r="6885" spans="1:5">
      <c r="A6885" t="s">
        <v>6</v>
      </c>
      <c r="B6885" t="s">
        <v>6890</v>
      </c>
      <c r="C6885">
        <f>HYPERLINK("C:\Users\franc\OneDrive\Documentos\MALENTIN KARIME\MANDATO\ESPECIAL\2017\ANA CORTES LUNA Mandato para percibir.doc", "Abrir Documento")</f>
        <v>0</v>
      </c>
      <c r="D6885" t="s">
        <v>23500</v>
      </c>
      <c r="E6885" t="s">
        <v>29473</v>
      </c>
    </row>
    <row r="6886" spans="1:5">
      <c r="A6886" t="s">
        <v>6</v>
      </c>
      <c r="B6886" t="s">
        <v>6891</v>
      </c>
      <c r="C6886">
        <f>HYPERLINK("C:\Users\franc\OneDrive\Documentos\MALENTIN KARIME\MANDATO\ESPECIAL\2017\Alejandro Venega minuta.doc", "Abrir Documento")</f>
        <v>0</v>
      </c>
      <c r="D6886" t="s">
        <v>23500</v>
      </c>
      <c r="E6886" t="s">
        <v>29474</v>
      </c>
    </row>
    <row r="6887" spans="1:5">
      <c r="A6887" t="s">
        <v>6</v>
      </c>
      <c r="B6887" t="s">
        <v>6892</v>
      </c>
      <c r="C6887">
        <f>HYPERLINK("C:\Users\franc\OneDrive\Documentos\MALENTIN KARIME\MANDATO\ESPECIAL\2016\SUCESION BOLVARAN MOROSO.doc", "Abrir Documento")</f>
        <v>0</v>
      </c>
      <c r="D6887" t="s">
        <v>23500</v>
      </c>
      <c r="E6887" t="s">
        <v>29475</v>
      </c>
    </row>
    <row r="6888" spans="1:5">
      <c r="A6888" t="s">
        <v>6</v>
      </c>
      <c r="B6888" t="s">
        <v>6893</v>
      </c>
      <c r="C6888">
        <f>HYPERLINK("C:\Users\franc\OneDrive\Documentos\MALENTIN KARIME\MANDATO\ESPECIAL\2016\SUCESION RIVERA ANDRADE capel.doc", "Abrir Documento")</f>
        <v>0</v>
      </c>
      <c r="D6888" t="s">
        <v>23500</v>
      </c>
      <c r="E6888" t="s">
        <v>29475</v>
      </c>
    </row>
    <row r="6889" spans="1:5">
      <c r="A6889" t="s">
        <v>6</v>
      </c>
      <c r="B6889" t="s">
        <v>6894</v>
      </c>
      <c r="C6889">
        <f>HYPERLINK("C:\Users\franc\OneDrive\Documentos\MALENTIN KARIME\MANDATO\ESPECIAL\2016\SUCESION BOLVARAN MOROSO II.doc", "Abrir Documento")</f>
        <v>0</v>
      </c>
      <c r="D6889" t="s">
        <v>23500</v>
      </c>
      <c r="E6889" t="s">
        <v>29476</v>
      </c>
    </row>
    <row r="6890" spans="1:5">
      <c r="A6890" t="s">
        <v>6</v>
      </c>
      <c r="B6890" t="s">
        <v>6895</v>
      </c>
      <c r="C6890">
        <f>HYPERLINK("C:\Users\franc\OneDrive\Documentos\MALENTIN KARIME\MANDATO\ESPECIAL\2016\SOCIEDAD SANTA BLANCA S.A. A Sergio Salinas.doc", "Abrir Documento")</f>
        <v>0</v>
      </c>
      <c r="D6890" t="s">
        <v>23500</v>
      </c>
      <c r="E6890" t="s">
        <v>29477</v>
      </c>
    </row>
    <row r="6891" spans="1:5">
      <c r="A6891" t="s">
        <v>6</v>
      </c>
      <c r="B6891" t="s">
        <v>6896</v>
      </c>
      <c r="C6891">
        <f>HYPERLINK("C:\Users\franc\OneDrive\Documentos\MALENTIN KARIME\MANDATO\ESPECIAL\2016\ROSANA MANZANO Adms.doc", "Abrir Documento")</f>
        <v>0</v>
      </c>
      <c r="D6891" t="s">
        <v>23500</v>
      </c>
      <c r="E6891" t="s">
        <v>29478</v>
      </c>
    </row>
    <row r="6892" spans="1:5">
      <c r="A6892" t="s">
        <v>6</v>
      </c>
      <c r="B6892" t="s">
        <v>6897</v>
      </c>
      <c r="C6892">
        <f>HYPERLINK("C:\Users\franc\OneDrive\Documentos\MALENTIN KARIME\MANDATO\ESPECIAL\2016\MARIO PINTO serviu.doc", "Abrir Documento")</f>
        <v>0</v>
      </c>
      <c r="D6892" t="s">
        <v>23500</v>
      </c>
      <c r="E6892" t="s">
        <v>29479</v>
      </c>
    </row>
    <row r="6893" spans="1:5">
      <c r="A6893" t="s">
        <v>6</v>
      </c>
      <c r="B6893" t="s">
        <v>6898</v>
      </c>
      <c r="C6893">
        <f>HYPERLINK("C:\Users\franc\OneDrive\Documentos\MALENTIN KARIME\MANDATO\ESPECIAL\2016\MARIA LUISA CASANOVA AGUIRRE capel.doc", "Abrir Documento")</f>
        <v>0</v>
      </c>
      <c r="D6893" t="s">
        <v>23500</v>
      </c>
      <c r="E6893" t="s">
        <v>29480</v>
      </c>
    </row>
    <row r="6894" spans="1:5">
      <c r="A6894" t="s">
        <v>6</v>
      </c>
      <c r="B6894" t="s">
        <v>6899</v>
      </c>
      <c r="C6894">
        <f>HYPERLINK("C:\Users\franc\OneDrive\Documentos\MALENTIN KARIME\MANDATO\ESPECIAL\2016\JORGE BASOALTO Mandato Promesa.doc", "Abrir Documento")</f>
        <v>0</v>
      </c>
      <c r="D6894" t="s">
        <v>23500</v>
      </c>
      <c r="E6894" t="s">
        <v>29481</v>
      </c>
    </row>
    <row r="6895" spans="1:5">
      <c r="A6895" t="s">
        <v>6</v>
      </c>
      <c r="B6895" t="s">
        <v>6900</v>
      </c>
      <c r="C6895">
        <f>HYPERLINK("C:\Users\franc\OneDrive\Documentos\MALENTIN KARIME\MANDATO\ESPECIAL\2016\INMOBILIARIA TRES COLUMNAS.doc", "Abrir Documento")</f>
        <v>0</v>
      </c>
      <c r="D6895" t="s">
        <v>23500</v>
      </c>
      <c r="E6895" t="s">
        <v>29482</v>
      </c>
    </row>
    <row r="6896" spans="1:5">
      <c r="A6896" t="s">
        <v>6</v>
      </c>
      <c r="B6896" t="s">
        <v>6901</v>
      </c>
      <c r="C6896">
        <f>HYPERLINK("C:\Users\franc\OneDrive\Documentos\MALENTIN KARIME\MANDATO\ESPECIAL\2016\GRACIELA CASTILLO ROJAS afp.doc", "Abrir Documento")</f>
        <v>0</v>
      </c>
      <c r="D6896" t="s">
        <v>23500</v>
      </c>
      <c r="E6896" t="s">
        <v>29483</v>
      </c>
    </row>
    <row r="6897" spans="1:5">
      <c r="A6897" t="s">
        <v>6</v>
      </c>
      <c r="B6897" t="s">
        <v>6902</v>
      </c>
      <c r="C6897">
        <f>HYPERLINK("C:\Users\franc\OneDrive\Documentos\MALENTIN KARIME\MANDATO\ESPECIAL\2016\EDUVINA CARVAJALMandato Promesa.doc", "Abrir Documento")</f>
        <v>0</v>
      </c>
      <c r="D6897" t="s">
        <v>23500</v>
      </c>
      <c r="E6897" t="s">
        <v>29484</v>
      </c>
    </row>
    <row r="6898" spans="1:5">
      <c r="A6898" t="s">
        <v>6</v>
      </c>
      <c r="B6898" t="s">
        <v>6903</v>
      </c>
      <c r="C6898">
        <f>HYPERLINK("C:\Users\franc\OneDrive\Documentos\MALENTIN KARIME\MANDATO\ESPECIAL\2016\ARMANDO MARIN CORTES, Adms.doc", "Abrir Documento")</f>
        <v>0</v>
      </c>
      <c r="D6898" t="s">
        <v>23500</v>
      </c>
      <c r="E6898" t="s">
        <v>29485</v>
      </c>
    </row>
    <row r="6899" spans="1:5">
      <c r="A6899" t="s">
        <v>6</v>
      </c>
      <c r="B6899" t="s">
        <v>6904</v>
      </c>
      <c r="C6899">
        <f>HYPERLINK("C:\Users\franc\OneDrive\Documentos\MALENTIN KARIME\MANDATO\ESPECIAL\2015\SUCESION COFRE TAPIA.doc", "Abrir Documento")</f>
        <v>0</v>
      </c>
      <c r="D6899" t="s">
        <v>23500</v>
      </c>
      <c r="E6899" t="s">
        <v>29486</v>
      </c>
    </row>
    <row r="6900" spans="1:5">
      <c r="A6900" t="s">
        <v>6</v>
      </c>
      <c r="B6900" t="s">
        <v>6905</v>
      </c>
      <c r="C6900">
        <f>HYPERLINK("C:\Users\franc\OneDrive\Documentos\MALENTIN KARIME\MANDATO\ESPECIAL\2015\NIBALDO DEL CARMEN ADONIS ADONIS a ELENA LOPEZnegociar minas.doc", "Abrir Documento")</f>
        <v>0</v>
      </c>
      <c r="D6900" t="s">
        <v>23500</v>
      </c>
      <c r="E6900" t="s">
        <v>29487</v>
      </c>
    </row>
    <row r="6901" spans="1:5">
      <c r="A6901" t="s">
        <v>6</v>
      </c>
      <c r="B6901" t="s">
        <v>6906</v>
      </c>
      <c r="C6901">
        <f>HYPERLINK("C:\Users\franc\OneDrive\Documentos\MALENTIN KARIME\MANDATO\ESPECIAL\2015\MAYA MIRANDA SEPULVEDA.doc", "Abrir Documento")</f>
        <v>0</v>
      </c>
      <c r="D6901" t="s">
        <v>23500</v>
      </c>
      <c r="E6901" t="s">
        <v>29488</v>
      </c>
    </row>
    <row r="6902" spans="1:5">
      <c r="A6902" t="s">
        <v>6</v>
      </c>
      <c r="B6902" t="s">
        <v>6907</v>
      </c>
      <c r="C6902">
        <f>HYPERLINK("C:\Users\franc\OneDrive\Documentos\MALENTIN KARIME\MANDATO\ESPECIAL\2015\MIGUEL AROS AROS ADM. Vender.doc", "Abrir Documento")</f>
        <v>0</v>
      </c>
      <c r="D6902" t="s">
        <v>23500</v>
      </c>
      <c r="E6902" t="s">
        <v>29488</v>
      </c>
    </row>
    <row r="6903" spans="1:5">
      <c r="A6903" t="s">
        <v>6</v>
      </c>
      <c r="B6903" t="s">
        <v>6908</v>
      </c>
      <c r="C6903">
        <f>HYPERLINK("C:\Users\franc\OneDrive\Documentos\MALENTIN KARIME\MANDATO\ESPECIAL\2015\MAYA MIRANDA SEPULVEDA borrador.doc", "Abrir Documento")</f>
        <v>0</v>
      </c>
      <c r="D6903" t="s">
        <v>23500</v>
      </c>
      <c r="E6903" t="s">
        <v>29489</v>
      </c>
    </row>
    <row r="6904" spans="1:5">
      <c r="A6904" t="s">
        <v>6</v>
      </c>
      <c r="B6904" t="s">
        <v>6909</v>
      </c>
      <c r="C6904">
        <f>HYPERLINK("C:\Users\franc\OneDrive\Documentos\MALENTIN KARIME\MANDATO\ESPECIAL\2015\MARIO PIZARRO AHUMADA varios.doc", "Abrir Documento")</f>
        <v>0</v>
      </c>
      <c r="D6904" t="s">
        <v>23500</v>
      </c>
      <c r="E6904" t="s">
        <v>29490</v>
      </c>
    </row>
    <row r="6905" spans="1:5">
      <c r="A6905" t="s">
        <v>6</v>
      </c>
      <c r="B6905" t="s">
        <v>6910</v>
      </c>
      <c r="C6905">
        <f>HYPERLINK("C:\Users\franc\OneDrive\Documentos\MALENTIN KARIME\MANDATO\ESPECIAL\2015\MARIO PIZARRO AHUMADA  y Armando Pizarro.doc", "Abrir Documento")</f>
        <v>0</v>
      </c>
      <c r="D6905" t="s">
        <v>23500</v>
      </c>
      <c r="E6905" t="s">
        <v>29491</v>
      </c>
    </row>
    <row r="6906" spans="1:5">
      <c r="A6906" t="s">
        <v>6</v>
      </c>
      <c r="B6906" t="s">
        <v>6911</v>
      </c>
      <c r="C6906">
        <f>HYPERLINK("C:\Users\franc\OneDrive\Documentos\MALENTIN KARIME\MANDATO\ESPECIAL\2015\MARIA ISOLINA  A BRENDA ALFARO.doc", "Abrir Documento")</f>
        <v>0</v>
      </c>
      <c r="D6906" t="s">
        <v>23500</v>
      </c>
      <c r="E6906" t="s">
        <v>29492</v>
      </c>
    </row>
    <row r="6907" spans="1:5">
      <c r="A6907" t="s">
        <v>6</v>
      </c>
      <c r="B6907" t="s">
        <v>6912</v>
      </c>
      <c r="C6907">
        <f>HYPERLINK("C:\Users\franc\OneDrive\Documentos\MALENTIN KARIME\MANDATO\ESPECIAL\2015\MARIELA LOPEZ capel.doc", "Abrir Documento")</f>
        <v>0</v>
      </c>
      <c r="D6907" t="s">
        <v>23500</v>
      </c>
      <c r="E6907" t="s">
        <v>29492</v>
      </c>
    </row>
    <row r="6908" spans="1:5">
      <c r="A6908" t="s">
        <v>6</v>
      </c>
      <c r="B6908" t="s">
        <v>6913</v>
      </c>
      <c r="C6908">
        <f>HYPERLINK("C:\Users\franc\OneDrive\Documentos\MALENTIN KARIME\MANDATO\ESPECIAL\2015\MANUEL DIAZ RIVERA.doc", "Abrir Documento")</f>
        <v>0</v>
      </c>
      <c r="D6908" t="s">
        <v>23500</v>
      </c>
      <c r="E6908" t="s">
        <v>29493</v>
      </c>
    </row>
    <row r="6909" spans="1:5">
      <c r="A6909" t="s">
        <v>6</v>
      </c>
      <c r="B6909" t="s">
        <v>6914</v>
      </c>
      <c r="C6909">
        <f>HYPERLINK("C:\Users\franc\OneDrive\Documentos\MALENTIN KARIME\MANDATO\ESPECIAL\2015\MANUEL ALEJANDRO ADONIS MORA a ELENA LOPEZnegociar minas.doc", "Abrir Documento")</f>
        <v>0</v>
      </c>
      <c r="D6909" t="s">
        <v>23500</v>
      </c>
      <c r="E6909" t="s">
        <v>29494</v>
      </c>
    </row>
    <row r="6910" spans="1:5">
      <c r="A6910" t="s">
        <v>6</v>
      </c>
      <c r="B6910" t="s">
        <v>6915</v>
      </c>
      <c r="C6910">
        <f>HYPERLINK("C:\Users\franc\OneDrive\Documentos\MALENTIN KARIME\MANDATO\ESPECIAL\2015\MANUEL DIAZ RIVERA formatodoc.doc", "Abrir Documento")</f>
        <v>0</v>
      </c>
      <c r="D6910" t="s">
        <v>23500</v>
      </c>
      <c r="E6910" t="s">
        <v>29494</v>
      </c>
    </row>
    <row r="6911" spans="1:5">
      <c r="A6911" t="s">
        <v>6</v>
      </c>
      <c r="B6911" t="s">
        <v>6916</v>
      </c>
      <c r="C6911">
        <f>HYPERLINK("C:\Users\franc\OneDrive\Documentos\MALENTIN KARIME\MANDATO\ESPECIAL\2015\JVISA ANDRADE ROJAS ADM. Postulacion.doc", "Abrir Documento")</f>
        <v>0</v>
      </c>
      <c r="D6911" t="s">
        <v>23500</v>
      </c>
      <c r="E6911" t="s">
        <v>29495</v>
      </c>
    </row>
    <row r="6912" spans="1:5">
      <c r="A6912" t="s">
        <v>6</v>
      </c>
      <c r="B6912" t="s">
        <v>6917</v>
      </c>
      <c r="C6912">
        <f>HYPERLINK("C:\Users\franc\OneDrive\Documentos\MALENTIN KARIME\MANDATO\ESPECIAL\2015\JUANA VILLA NUEVA CAMUS Minuta.doc", "Abrir Documento")</f>
        <v>0</v>
      </c>
      <c r="D6912" t="s">
        <v>23500</v>
      </c>
      <c r="E6912" t="s">
        <v>29496</v>
      </c>
    </row>
    <row r="6913" spans="1:5">
      <c r="A6913" t="s">
        <v>6</v>
      </c>
      <c r="B6913" t="s">
        <v>6918</v>
      </c>
      <c r="C6913">
        <f>HYPERLINK("C:\Users\franc\OneDrive\Documentos\MALENTIN KARIME\MANDATO\ESPECIAL\2015\INMOBILIARIA TRES COLUMNAS.doc", "Abrir Documento")</f>
        <v>0</v>
      </c>
      <c r="D6913" t="s">
        <v>23500</v>
      </c>
      <c r="E6913" t="s">
        <v>29497</v>
      </c>
    </row>
    <row r="6914" spans="1:5">
      <c r="A6914" t="s">
        <v>6</v>
      </c>
      <c r="B6914" t="s">
        <v>6919</v>
      </c>
      <c r="C6914">
        <f>HYPERLINK("C:\Users\franc\OneDrive\Documentos\MALENTIN KARIME\MANDATO\ESPECIAL\2015\GUILE CODOCEO G. negociar venta.doc", "Abrir Documento")</f>
        <v>0</v>
      </c>
      <c r="D6914" t="s">
        <v>23500</v>
      </c>
      <c r="E6914" t="s">
        <v>29498</v>
      </c>
    </row>
    <row r="6915" spans="1:5">
      <c r="A6915" t="s">
        <v>6</v>
      </c>
      <c r="B6915" t="s">
        <v>6920</v>
      </c>
      <c r="C6915">
        <f>HYPERLINK("C:\Users\franc\OneDrive\Documentos\MALENTIN KARIME\MANDATO\ESPECIAL\2015\ERMO CORTES A Benito Cortes serviu y otros.doc", "Abrir Documento")</f>
        <v>0</v>
      </c>
      <c r="D6915" t="s">
        <v>23500</v>
      </c>
      <c r="E6915" t="s">
        <v>29499</v>
      </c>
    </row>
    <row r="6916" spans="1:5">
      <c r="A6916" t="s">
        <v>6</v>
      </c>
      <c r="B6916" t="s">
        <v>6921</v>
      </c>
      <c r="C6916">
        <f>HYPERLINK("C:\Users\franc\OneDrive\Documentos\MALENTIN KARIME\MANDATO\ESPECIAL\2015\ERIKA CAMPUSANO A Roberto Vega MINUTA.doc", "Abrir Documento")</f>
        <v>0</v>
      </c>
      <c r="D6916" t="s">
        <v>23500</v>
      </c>
      <c r="E6916" t="s">
        <v>29500</v>
      </c>
    </row>
    <row r="6917" spans="1:5">
      <c r="A6917" t="s">
        <v>6</v>
      </c>
      <c r="B6917" t="s">
        <v>6922</v>
      </c>
      <c r="C6917">
        <f>HYPERLINK("C:\Users\franc\OneDrive\Documentos\MALENTIN KARIME\MANDATO\ESPECIAL\2015\EGLANTINA OLIVARES DIAZ ADM. Vender.doc", "Abrir Documento")</f>
        <v>0</v>
      </c>
      <c r="D6917" t="s">
        <v>23500</v>
      </c>
      <c r="E6917" t="s">
        <v>29501</v>
      </c>
    </row>
    <row r="6918" spans="1:5">
      <c r="A6918" t="s">
        <v>6</v>
      </c>
      <c r="B6918" t="s">
        <v>6923</v>
      </c>
      <c r="C6918">
        <f>HYPERLINK("C:\Users\franc\OneDrive\Documentos\MALENTIN KARIME\MANDATO\ESPECIAL\2015\DELIA DIAZ GARATE Especial 2015.doc", "Abrir Documento")</f>
        <v>0</v>
      </c>
      <c r="D6918" t="s">
        <v>23500</v>
      </c>
      <c r="E6918" t="s">
        <v>29502</v>
      </c>
    </row>
    <row r="6919" spans="1:5">
      <c r="A6919" t="s">
        <v>6</v>
      </c>
      <c r="B6919" t="s">
        <v>6924</v>
      </c>
      <c r="C6919">
        <f>HYPERLINK("C:\Users\franc\OneDrive\Documentos\MALENTIN KARIME\MANDATO\ESPECIAL\2015\AURA NEIRA A  Graciela Quiroz.doc", "Abrir Documento")</f>
        <v>0</v>
      </c>
      <c r="D6919" t="s">
        <v>23500</v>
      </c>
      <c r="E6919" t="s">
        <v>29503</v>
      </c>
    </row>
    <row r="6920" spans="1:5">
      <c r="A6920" t="s">
        <v>6</v>
      </c>
      <c r="B6920" t="s">
        <v>6925</v>
      </c>
      <c r="C6920">
        <f>HYPERLINK("C:\Users\franc\OneDrive\Documentos\MALENTIN KARIME\MANDATO\ESPECIAL\2015\CENTRO CEGEPAC A Carola Barraza.doc", "Abrir Documento")</f>
        <v>0</v>
      </c>
      <c r="D6920" t="s">
        <v>23500</v>
      </c>
      <c r="E6920" t="s">
        <v>29503</v>
      </c>
    </row>
    <row r="6921" spans="1:5">
      <c r="A6921" t="s">
        <v>6</v>
      </c>
      <c r="B6921" t="s">
        <v>6926</v>
      </c>
      <c r="C6921">
        <f>HYPERLINK("C:\Users\franc\OneDrive\Documentos\MALENTIN KARIME\MANDATO\ESPECIAL\2015\ANTONIO GODOY PEREZ negociar venta MINAS.doc", "Abrir Documento")</f>
        <v>0</v>
      </c>
      <c r="D6921" t="s">
        <v>23500</v>
      </c>
      <c r="E6921" t="s">
        <v>29504</v>
      </c>
    </row>
    <row r="6922" spans="1:5">
      <c r="A6922" t="s">
        <v>6</v>
      </c>
      <c r="B6922" t="s">
        <v>6927</v>
      </c>
      <c r="C6922">
        <f>HYPERLINK("C:\Users\franc\OneDrive\Documentos\MALENTIN KARIME\MANDATO\ESPECIAL\2015\ANTONIO GODOY PEREZ a ELENA LOPEZnegociar minas.doc", "Abrir Documento")</f>
        <v>0</v>
      </c>
      <c r="D6922" t="s">
        <v>23500</v>
      </c>
      <c r="E6922" t="s">
        <v>29505</v>
      </c>
    </row>
    <row r="6923" spans="1:5">
      <c r="A6923" t="s">
        <v>6</v>
      </c>
      <c r="B6923" t="s">
        <v>6928</v>
      </c>
      <c r="C6923">
        <f>HYPERLINK("C:\Users\franc\OneDrive\Documentos\MALENTIN KARIME\MANDATO\ESPECIAL\2015\AMADIEL PIZARRO AHUMADA A MARIO PIZARRO AHUMADA (interchile y SAG).doc", "Abrir Documento")</f>
        <v>0</v>
      </c>
      <c r="D6923" t="s">
        <v>23500</v>
      </c>
      <c r="E6923" t="s">
        <v>29506</v>
      </c>
    </row>
    <row r="6924" spans="1:5">
      <c r="A6924" t="s">
        <v>6</v>
      </c>
      <c r="B6924" t="s">
        <v>6929</v>
      </c>
      <c r="C6924">
        <f>HYPERLINK("C:\Users\franc\OneDrive\Documentos\MALENTIN KARIME\MANDATO\ESPECIAL\2015\AMANDA FIGUEROA CORTES adms.doc", "Abrir Documento")</f>
        <v>0</v>
      </c>
      <c r="D6924" t="s">
        <v>23500</v>
      </c>
      <c r="E6924" t="s">
        <v>29506</v>
      </c>
    </row>
    <row r="6925" spans="1:5">
      <c r="A6925" t="s">
        <v>6</v>
      </c>
      <c r="B6925" t="s">
        <v>6930</v>
      </c>
      <c r="C6925">
        <f>HYPERLINK("C:\Users\franc\OneDrive\Documentos\MALENTIN KARIME\MANDATO\ESPECIAL\WILSON ZEPEDA MICHEA.doc", "Abrir Documento")</f>
        <v>0</v>
      </c>
      <c r="D6925" t="s">
        <v>23500</v>
      </c>
      <c r="E6925" t="s">
        <v>29507</v>
      </c>
    </row>
    <row r="6926" spans="1:5">
      <c r="A6926" t="s">
        <v>6</v>
      </c>
      <c r="B6926" t="s">
        <v>6931</v>
      </c>
      <c r="C6926">
        <f>HYPERLINK("C:\Users\franc\OneDrive\Documentos\MALENTIN KARIME\MANDATO\ESPECIAL\VICTOR TAPIA ROJAS Minuta.doc", "Abrir Documento")</f>
        <v>0</v>
      </c>
      <c r="D6926" t="s">
        <v>23500</v>
      </c>
      <c r="E6926" t="s">
        <v>29508</v>
      </c>
    </row>
    <row r="6927" spans="1:5">
      <c r="A6927" t="s">
        <v>6</v>
      </c>
      <c r="B6927" t="s">
        <v>6932</v>
      </c>
      <c r="C6927">
        <f>HYPERLINK("C:\Users\franc\OneDrive\Documentos\MALENTIN KARIME\MANDATO\ESPECIAL\SUCESION JUAN TAPIA MIRANDA.doc", "Abrir Documento")</f>
        <v>0</v>
      </c>
      <c r="D6927" t="s">
        <v>23500</v>
      </c>
      <c r="E6927" t="s">
        <v>29509</v>
      </c>
    </row>
    <row r="6928" spans="1:5">
      <c r="A6928" t="s">
        <v>6</v>
      </c>
      <c r="B6928" t="s">
        <v>6933</v>
      </c>
      <c r="C6928">
        <f>HYPERLINK("C:\Users\franc\OneDrive\Documentos\MALENTIN KARIME\MANDATO\ESPECIAL\SUCESION CASTILLO IBACACHE Cheq CAPEL-1.doc", "Abrir Documento")</f>
        <v>0</v>
      </c>
      <c r="D6928" t="s">
        <v>23500</v>
      </c>
      <c r="E6928" t="s">
        <v>29510</v>
      </c>
    </row>
    <row r="6929" spans="1:5">
      <c r="A6929" t="s">
        <v>6</v>
      </c>
      <c r="B6929" t="s">
        <v>6934</v>
      </c>
      <c r="C6929">
        <f>HYPERLINK("C:\Users\franc\OneDrive\Documentos\MALENTIN KARIME\MANDATO\ESPECIAL\SUCESION CASTILLO IBACACHE ratificacion.doc", "Abrir Documento")</f>
        <v>0</v>
      </c>
      <c r="D6929" t="s">
        <v>23500</v>
      </c>
      <c r="E6929" t="s">
        <v>29510</v>
      </c>
    </row>
    <row r="6930" spans="1:5">
      <c r="A6930" t="s">
        <v>6</v>
      </c>
      <c r="B6930" t="s">
        <v>6935</v>
      </c>
      <c r="C6930">
        <f>HYPERLINK("C:\Users\franc\OneDrive\Documentos\MALENTIN KARIME\MANDATO\ESPECIAL\SUCESION ARAYA VALDIVIA Capel.doc", "Abrir Documento")</f>
        <v>0</v>
      </c>
      <c r="D6930" t="s">
        <v>23500</v>
      </c>
      <c r="E6930" t="s">
        <v>29511</v>
      </c>
    </row>
    <row r="6931" spans="1:5">
      <c r="A6931" t="s">
        <v>6</v>
      </c>
      <c r="B6931" t="s">
        <v>6936</v>
      </c>
      <c r="C6931">
        <f>HYPERLINK("C:\Users\franc\OneDrive\Documentos\MALENTIN KARIME\MANDATO\ESPECIAL\SUCESION CASTILLO IBACACHE Cheq CAPEL- con maridos y judicial.doc", "Abrir Documento")</f>
        <v>0</v>
      </c>
      <c r="D6931" t="s">
        <v>23500</v>
      </c>
      <c r="E6931" t="s">
        <v>29511</v>
      </c>
    </row>
    <row r="6932" spans="1:5">
      <c r="A6932" t="s">
        <v>6</v>
      </c>
      <c r="B6932" t="s">
        <v>6937</v>
      </c>
      <c r="C6932">
        <f>HYPERLINK("C:\Users\franc\OneDrive\Documentos\MALENTIN KARIME\MANDATO\ESPECIAL\SUCESION ARAYA VALDIVIA Capel ratificacion.doc", "Abrir Documento")</f>
        <v>0</v>
      </c>
      <c r="D6932" t="s">
        <v>23500</v>
      </c>
      <c r="E6932" t="s">
        <v>29512</v>
      </c>
    </row>
    <row r="6933" spans="1:5">
      <c r="A6933" t="s">
        <v>6</v>
      </c>
      <c r="B6933" t="s">
        <v>6938</v>
      </c>
      <c r="C6933">
        <f>HYPERLINK("C:\Users\franc\OneDrive\Documentos\MALENTIN KARIME\MANDATO\ESPECIAL\SILVIA PIZARRO CISTERNAS posesion efectiva.doc", "Abrir Documento")</f>
        <v>0</v>
      </c>
      <c r="D6933" t="s">
        <v>23500</v>
      </c>
      <c r="E6933" t="s">
        <v>29513</v>
      </c>
    </row>
    <row r="6934" spans="1:5">
      <c r="A6934" t="s">
        <v>6</v>
      </c>
      <c r="B6934" t="s">
        <v>6939</v>
      </c>
      <c r="C6934">
        <f>HYPERLINK("C:\Users\franc\OneDrive\Documentos\MALENTIN KARIME\MANDATO\ESPECIAL\SUCESION Abel Campos.doc", "Abrir Documento")</f>
        <v>0</v>
      </c>
      <c r="D6934" t="s">
        <v>23500</v>
      </c>
      <c r="E6934" t="s">
        <v>29513</v>
      </c>
    </row>
    <row r="6935" spans="1:5">
      <c r="A6935" t="s">
        <v>6</v>
      </c>
      <c r="B6935" t="s">
        <v>6940</v>
      </c>
      <c r="C6935">
        <f>HYPERLINK("C:\Users\franc\OneDrive\Documentos\MALENTIN KARIME\MANDATO\ESPECIAL\SILVIA FRANCO LOPEZ A ROLANDO FRANCO.doc", "Abrir Documento")</f>
        <v>0</v>
      </c>
      <c r="D6935" t="s">
        <v>23500</v>
      </c>
      <c r="E6935" t="s">
        <v>29514</v>
      </c>
    </row>
    <row r="6936" spans="1:5">
      <c r="A6936" t="s">
        <v>6</v>
      </c>
      <c r="B6936" t="s">
        <v>6941</v>
      </c>
      <c r="C6936">
        <f>HYPERLINK("C:\Users\franc\OneDrive\Documentos\MALENTIN KARIME\MANDATO\ESPECIAL\SILVIA CASTILLO SERRANO Modelo Arriendo Aguas.doc", "Abrir Documento")</f>
        <v>0</v>
      </c>
      <c r="D6936" t="s">
        <v>23500</v>
      </c>
      <c r="E6936" t="s">
        <v>29515</v>
      </c>
    </row>
    <row r="6937" spans="1:5">
      <c r="A6937" t="s">
        <v>6</v>
      </c>
      <c r="B6937" t="s">
        <v>6942</v>
      </c>
      <c r="C6937">
        <f>HYPERLINK("C:\Users\franc\OneDrive\Documentos\MALENTIN KARIME\MANDATO\ESPECIAL\ROSA TABILO A LUIS TABILO.doc", "Abrir Documento")</f>
        <v>0</v>
      </c>
      <c r="D6937" t="s">
        <v>23500</v>
      </c>
      <c r="E6937" t="s">
        <v>29516</v>
      </c>
    </row>
    <row r="6938" spans="1:5">
      <c r="A6938" t="s">
        <v>6</v>
      </c>
      <c r="B6938" t="s">
        <v>6943</v>
      </c>
      <c r="C6938">
        <f>HYPERLINK("C:\Users\franc\OneDrive\Documentos\MALENTIN KARIME\MANDATO\ESPECIAL\ROLANDO HERRERA adms.doc", "Abrir Documento")</f>
        <v>0</v>
      </c>
      <c r="D6938" t="s">
        <v>23500</v>
      </c>
      <c r="E6938" t="s">
        <v>29517</v>
      </c>
    </row>
    <row r="6939" spans="1:5">
      <c r="A6939" t="s">
        <v>6</v>
      </c>
      <c r="B6939" t="s">
        <v>6944</v>
      </c>
      <c r="C6939">
        <f>HYPERLINK("C:\Users\franc\OneDrive\Documentos\MALENTIN KARIME\MANDATO\ESPECIAL\RAQUEL ROJAS MILLA Cheq CAPEL-1.doc", "Abrir Documento")</f>
        <v>0</v>
      </c>
      <c r="D6939" t="s">
        <v>23500</v>
      </c>
      <c r="E6939" t="s">
        <v>29518</v>
      </c>
    </row>
    <row r="6940" spans="1:5">
      <c r="A6940" t="s">
        <v>6</v>
      </c>
      <c r="B6940" t="s">
        <v>6945</v>
      </c>
      <c r="C6940">
        <f>HYPERLINK("C:\Users\franc\OneDrive\Documentos\MALENTIN KARIME\MANDATO\ESPECIAL\PEDRO OLIVARES PEREZ adms.doc", "Abrir Documento")</f>
        <v>0</v>
      </c>
      <c r="D6940" t="s">
        <v>23500</v>
      </c>
      <c r="E6940" t="s">
        <v>29519</v>
      </c>
    </row>
    <row r="6941" spans="1:5">
      <c r="A6941" t="s">
        <v>6</v>
      </c>
      <c r="B6941" t="s">
        <v>6946</v>
      </c>
      <c r="C6941">
        <f>HYPERLINK("C:\Users\franc\OneDrive\Documentos\MALENTIN KARIME\MANDATO\ESPECIAL\PETRONILA COLLAO A NORA ROJAS.doc", "Abrir Documento")</f>
        <v>0</v>
      </c>
      <c r="D6941" t="s">
        <v>23500</v>
      </c>
      <c r="E6941" t="s">
        <v>29519</v>
      </c>
    </row>
    <row r="6942" spans="1:5">
      <c r="A6942" t="s">
        <v>6</v>
      </c>
      <c r="B6942" t="s">
        <v>6947</v>
      </c>
      <c r="C6942">
        <f>HYPERLINK("C:\Users\franc\OneDrive\Documentos\MALENTIN KARIME\MANDATO\ESPECIAL\PABLA FARIAS C. Y OTS. Cheq CAPEL-1.doc", "Abrir Documento")</f>
        <v>0</v>
      </c>
      <c r="D6942" t="s">
        <v>23500</v>
      </c>
      <c r="E6942" t="s">
        <v>29520</v>
      </c>
    </row>
    <row r="6943" spans="1:5">
      <c r="A6943" t="s">
        <v>6</v>
      </c>
      <c r="B6943" t="s">
        <v>6948</v>
      </c>
      <c r="C6943">
        <f>HYPERLINK("C:\Users\franc\OneDrive\Documentos\MALENTIN KARIME\MANDATO\ESPECIAL\OSVALDO PASTEN ROJAS capel.doc", "Abrir Documento")</f>
        <v>0</v>
      </c>
      <c r="D6943" t="s">
        <v>23500</v>
      </c>
      <c r="E6943" t="s">
        <v>29521</v>
      </c>
    </row>
    <row r="6944" spans="1:5">
      <c r="A6944" t="s">
        <v>6</v>
      </c>
      <c r="B6944" t="s">
        <v>6949</v>
      </c>
      <c r="C6944">
        <f>HYPERLINK("C:\Users\franc\OneDrive\Documentos\MALENTIN KARIME\MANDATO\ESPECIAL\OLGA PIZARRO TORO A Dabed.doc", "Abrir Documento")</f>
        <v>0</v>
      </c>
      <c r="D6944" t="s">
        <v>23500</v>
      </c>
      <c r="E6944" t="s">
        <v>29522</v>
      </c>
    </row>
    <row r="6945" spans="1:5">
      <c r="A6945" t="s">
        <v>6</v>
      </c>
      <c r="B6945" t="s">
        <v>6950</v>
      </c>
      <c r="C6945">
        <f>HYPERLINK("C:\Users\franc\OneDrive\Documentos\MALENTIN KARIME\MANDATO\ESPECIAL\NOLVIA ELENA JERALDO Mandato Especial Capel.doc", "Abrir Documento")</f>
        <v>0</v>
      </c>
      <c r="D6945" t="s">
        <v>23500</v>
      </c>
      <c r="E6945" t="s">
        <v>29523</v>
      </c>
    </row>
    <row r="6946" spans="1:5">
      <c r="A6946" t="s">
        <v>6</v>
      </c>
      <c r="B6946" t="s">
        <v>6951</v>
      </c>
      <c r="C6946">
        <f>HYPERLINK("C:\Users\franc\OneDrive\Documentos\MALENTIN KARIME\MANDATO\ESPECIAL\MODELO MANDATO ESPECIAL capel.doc", "Abrir Documento")</f>
        <v>0</v>
      </c>
      <c r="D6946" t="s">
        <v>23500</v>
      </c>
      <c r="E6946" t="s">
        <v>29524</v>
      </c>
    </row>
    <row r="6947" spans="1:5">
      <c r="A6947" t="s">
        <v>6</v>
      </c>
      <c r="B6947" t="s">
        <v>6952</v>
      </c>
      <c r="C6947">
        <f>HYPERLINK("C:\Users\franc\OneDrive\Documentos\MALENTIN KARIME\MANDATO\ESPECIAL\NELSON MORGADO  LEVIPAN.doc", "Abrir Documento")</f>
        <v>0</v>
      </c>
      <c r="D6947" t="s">
        <v>23500</v>
      </c>
      <c r="E6947" t="s">
        <v>29524</v>
      </c>
    </row>
    <row r="6948" spans="1:5">
      <c r="A6948" t="s">
        <v>6</v>
      </c>
      <c r="B6948" t="s">
        <v>6953</v>
      </c>
      <c r="C6948">
        <f>HYPERLINK("C:\Users\franc\OneDrive\Documentos\MALENTIN KARIME\MANDATO\ESPECIAL\MODELO E.I.R.L.doc", "Abrir Documento")</f>
        <v>0</v>
      </c>
      <c r="D6948" t="s">
        <v>23500</v>
      </c>
      <c r="E6948" t="s">
        <v>29525</v>
      </c>
    </row>
    <row r="6949" spans="1:5">
      <c r="A6949" t="s">
        <v>6</v>
      </c>
      <c r="B6949" t="s">
        <v>6954</v>
      </c>
      <c r="C6949">
        <f>HYPERLINK("C:\Users\franc\OneDrive\Documentos\MALENTIN KARIME\MANDATO\ESPECIAL\MIRNA URQUETA PIZARRO Posesion efectiva.doc", "Abrir Documento")</f>
        <v>0</v>
      </c>
      <c r="D6949" t="s">
        <v>23500</v>
      </c>
      <c r="E6949" t="s">
        <v>29526</v>
      </c>
    </row>
    <row r="6950" spans="1:5">
      <c r="A6950" t="s">
        <v>6</v>
      </c>
      <c r="B6950" t="s">
        <v>6955</v>
      </c>
      <c r="C6950">
        <f>HYPERLINK("C:\Users\franc\OneDrive\Documentos\MALENTIN KARIME\MANDATO\ESPECIAL\MIRIAM CAMPOS ALFARO y otros.doc", "Abrir Documento")</f>
        <v>0</v>
      </c>
      <c r="D6950" t="s">
        <v>23500</v>
      </c>
      <c r="E6950" t="s">
        <v>29527</v>
      </c>
    </row>
    <row r="6951" spans="1:5">
      <c r="A6951" t="s">
        <v>6</v>
      </c>
      <c r="B6951" t="s">
        <v>6956</v>
      </c>
      <c r="C6951">
        <f>HYPERLINK("C:\Users\franc\OneDrive\Documentos\MALENTIN KARIME\MANDATO\ESPECIAL\MIRIAM CAMPOS ALFARO y otros notaria.doc", "Abrir Documento")</f>
        <v>0</v>
      </c>
      <c r="D6951" t="s">
        <v>23500</v>
      </c>
      <c r="E6951" t="s">
        <v>29528</v>
      </c>
    </row>
    <row r="6952" spans="1:5">
      <c r="A6952" t="s">
        <v>6</v>
      </c>
      <c r="B6952" t="s">
        <v>6957</v>
      </c>
      <c r="C6952">
        <f>HYPERLINK("C:\Users\franc\OneDrive\Documentos\MALENTIN KARIME\MANDATO\ESPECIAL\MIRIAM CAMPOS ALFARO modelo cliente.doc", "Abrir Documento")</f>
        <v>0</v>
      </c>
      <c r="D6952" t="s">
        <v>23500</v>
      </c>
      <c r="E6952" t="s">
        <v>29529</v>
      </c>
    </row>
    <row r="6953" spans="1:5">
      <c r="A6953" t="s">
        <v>6</v>
      </c>
      <c r="B6953" t="s">
        <v>6958</v>
      </c>
      <c r="C6953">
        <f>HYPERLINK("C:\Users\franc\OneDrive\Documentos\MALENTIN KARIME\MANDATO\ESPECIAL\MAURICE JEAN BREAT Minuta.doc", "Abrir Documento")</f>
        <v>0</v>
      </c>
      <c r="D6953" t="s">
        <v>23500</v>
      </c>
      <c r="E6953" t="s">
        <v>29530</v>
      </c>
    </row>
    <row r="6954" spans="1:5">
      <c r="A6954" t="s">
        <v>6</v>
      </c>
      <c r="B6954" t="s">
        <v>6959</v>
      </c>
      <c r="C6954">
        <f>HYPERLINK("C:\Users\franc\OneDrive\Documentos\MALENTIN KARIME\MANDATO\ESPECIAL\MAURICIO JIMENEZ RIVERA A Ximena Olatate Agosto 13.doc", "Abrir Documento")</f>
        <v>0</v>
      </c>
      <c r="D6954" t="s">
        <v>23500</v>
      </c>
      <c r="E6954" t="s">
        <v>29530</v>
      </c>
    </row>
    <row r="6955" spans="1:5">
      <c r="A6955" t="s">
        <v>6</v>
      </c>
      <c r="B6955" t="s">
        <v>6960</v>
      </c>
      <c r="C6955">
        <f>HYPERLINK("C:\Users\franc\OneDrive\Documentos\MALENTIN KARIME\MANDATO\ESPECIAL\MAURICE JEAN A LUZ OLIVARES.doc", "Abrir Documento")</f>
        <v>0</v>
      </c>
      <c r="D6955" t="s">
        <v>23500</v>
      </c>
      <c r="E6955" t="s">
        <v>29531</v>
      </c>
    </row>
    <row r="6956" spans="1:5">
      <c r="A6956" t="s">
        <v>6</v>
      </c>
      <c r="B6956" t="s">
        <v>6961</v>
      </c>
      <c r="C6956">
        <f>HYPERLINK("C:\Users\franc\OneDrive\Documentos\MALENTIN KARIME\MANDATO\ESPECIAL\MARIA ANTONIETA ELORZA VRGARA A Ramón Elorza+ capel.doc", "Abrir Documento")</f>
        <v>0</v>
      </c>
      <c r="D6956" t="s">
        <v>23500</v>
      </c>
      <c r="E6956" t="s">
        <v>29532</v>
      </c>
    </row>
    <row r="6957" spans="1:5">
      <c r="A6957" t="s">
        <v>6</v>
      </c>
      <c r="B6957" t="s">
        <v>6962</v>
      </c>
      <c r="C6957">
        <f>HYPERLINK("C:\Users\franc\OneDrive\Documentos\MALENTIN KARIME\MANDATO\ESPECIAL\MANUEL RODRIGUEZ TORREJON pension.doc", "Abrir Documento")</f>
        <v>0</v>
      </c>
      <c r="D6957" t="s">
        <v>23500</v>
      </c>
      <c r="E6957" t="s">
        <v>29533</v>
      </c>
    </row>
    <row r="6958" spans="1:5">
      <c r="A6958" t="s">
        <v>6</v>
      </c>
      <c r="B6958" t="s">
        <v>6963</v>
      </c>
      <c r="C6958">
        <f>HYPERLINK("C:\Users\franc\OneDrive\Documentos\MALENTIN KARIME\MANDATO\ESPECIAL\MARCELA ALVAREZ HENRIQUEZ Minuta.doc", "Abrir Documento")</f>
        <v>0</v>
      </c>
      <c r="D6958" t="s">
        <v>23500</v>
      </c>
      <c r="E6958" t="s">
        <v>29533</v>
      </c>
    </row>
    <row r="6959" spans="1:5">
      <c r="A6959" t="s">
        <v>6</v>
      </c>
      <c r="B6959" t="s">
        <v>6964</v>
      </c>
      <c r="C6959">
        <f>HYPERLINK("C:\Users\franc\OneDrive\Documentos\MALENTIN KARIME\MANDATO\ESPECIAL\MANUEL ROCO Adm.doc", "Abrir Documento")</f>
        <v>0</v>
      </c>
      <c r="D6959" t="s">
        <v>23500</v>
      </c>
      <c r="E6959" t="s">
        <v>29534</v>
      </c>
    </row>
    <row r="6960" spans="1:5">
      <c r="A6960" t="s">
        <v>6</v>
      </c>
      <c r="B6960" t="s">
        <v>6965</v>
      </c>
      <c r="C6960">
        <f>HYPERLINK("C:\Users\franc\OneDrive\Documentos\MALENTIN KARIME\MANDATO\ESPECIAL\LUIS DIAZ A RAMON DIAZ (MAS COMPLETO).doc", "Abrir Documento")</f>
        <v>0</v>
      </c>
      <c r="D6960" t="s">
        <v>23500</v>
      </c>
      <c r="E6960" t="s">
        <v>29535</v>
      </c>
    </row>
    <row r="6961" spans="1:5">
      <c r="A6961" t="s">
        <v>6</v>
      </c>
      <c r="B6961" t="s">
        <v>6966</v>
      </c>
      <c r="C6961">
        <f>HYPERLINK("C:\Users\franc\OneDrive\Documentos\MALENTIN KARIME\MANDATO\ESPECIAL\LUIS DARIO GONZALEZ adms.doc", "Abrir Documento")</f>
        <v>0</v>
      </c>
      <c r="D6961" t="s">
        <v>23500</v>
      </c>
      <c r="E6961" t="s">
        <v>29536</v>
      </c>
    </row>
    <row r="6962" spans="1:5">
      <c r="A6962" t="s">
        <v>6</v>
      </c>
      <c r="B6962" t="s">
        <v>6967</v>
      </c>
      <c r="C6962">
        <f>HYPERLINK("C:\Users\franc\OneDrive\Documentos\MALENTIN KARIME\MANDATO\ESPECIAL\LEONIDES CORTES A WALDO MICHEA adms.doc", "Abrir Documento")</f>
        <v>0</v>
      </c>
      <c r="D6962" t="s">
        <v>23500</v>
      </c>
      <c r="E6962" t="s">
        <v>29537</v>
      </c>
    </row>
    <row r="6963" spans="1:5">
      <c r="A6963" t="s">
        <v>6</v>
      </c>
      <c r="B6963" t="s">
        <v>6968</v>
      </c>
      <c r="C6963">
        <f>HYPERLINK("C:\Users\franc\OneDrive\Documentos\MALENTIN KARIME\MANDATO\ESPECIAL\LEONIDES CORTES A WALDO MICHEA adms FINAL.doc", "Abrir Documento")</f>
        <v>0</v>
      </c>
      <c r="D6963" t="s">
        <v>23500</v>
      </c>
      <c r="E6963" t="s">
        <v>29538</v>
      </c>
    </row>
    <row r="6964" spans="1:5">
      <c r="A6964" t="s">
        <v>6</v>
      </c>
      <c r="B6964" t="s">
        <v>6969</v>
      </c>
      <c r="C6964">
        <f>HYPERLINK("C:\Users\franc\OneDrive\Documentos\MALENTIN KARIME\MANDATO\ESPECIAL\LAZO PEREZ  Cobrar.doc", "Abrir Documento")</f>
        <v>0</v>
      </c>
      <c r="D6964" t="s">
        <v>23500</v>
      </c>
      <c r="E6964" t="s">
        <v>29539</v>
      </c>
    </row>
    <row r="6965" spans="1:5">
      <c r="A6965" t="s">
        <v>6</v>
      </c>
      <c r="B6965" t="s">
        <v>6970</v>
      </c>
      <c r="C6965">
        <f>HYPERLINK("C:\Users\franc\OneDrive\Documentos\MALENTIN KARIME\MANDATO\ESPECIAL\JUAN GUILLERMO MILLA Judic.adm.doc", "Abrir Documento")</f>
        <v>0</v>
      </c>
      <c r="D6965" t="s">
        <v>23500</v>
      </c>
      <c r="E6965" t="s">
        <v>29540</v>
      </c>
    </row>
    <row r="6966" spans="1:5">
      <c r="A6966" t="s">
        <v>6</v>
      </c>
      <c r="B6966" t="s">
        <v>6971</v>
      </c>
      <c r="C6966">
        <f>HYPERLINK("C:\Users\franc\OneDrive\Documentos\MALENTIN KARIME\MANDATO\ESPECIAL\JUAN BENAVENTE MILLAN minuta.doc", "Abrir Documento")</f>
        <v>0</v>
      </c>
      <c r="D6966" t="s">
        <v>23500</v>
      </c>
      <c r="E6966" t="s">
        <v>29541</v>
      </c>
    </row>
    <row r="6967" spans="1:5">
      <c r="A6967" t="s">
        <v>6</v>
      </c>
      <c r="B6967" t="s">
        <v>6972</v>
      </c>
      <c r="C6967">
        <f>HYPERLINK("C:\Users\franc\OneDrive\Documentos\MALENTIN KARIME\MANDATO\ESPECIAL\JUAN ARAYA PEARSON.doc", "Abrir Documento")</f>
        <v>0</v>
      </c>
      <c r="D6967" t="s">
        <v>23500</v>
      </c>
      <c r="E6967" t="s">
        <v>29542</v>
      </c>
    </row>
    <row r="6968" spans="1:5">
      <c r="A6968" t="s">
        <v>6</v>
      </c>
      <c r="B6968" t="s">
        <v>6973</v>
      </c>
      <c r="C6968">
        <f>HYPERLINK("C:\Users\franc\OneDrive\Documentos\MALENTIN KARIME\MANDATO\ESPECIAL\JUAN ARAYA PEARSON Amd.doc", "Abrir Documento")</f>
        <v>0</v>
      </c>
      <c r="D6968" t="s">
        <v>23500</v>
      </c>
      <c r="E6968" t="s">
        <v>29543</v>
      </c>
    </row>
    <row r="6969" spans="1:5">
      <c r="A6969" t="s">
        <v>6</v>
      </c>
      <c r="B6969" t="s">
        <v>6974</v>
      </c>
      <c r="C6969">
        <f>HYPERLINK("C:\Users\franc\OneDrive\Documentos\MALENTIN KARIME\MANDATO\ESPECIAL\JORGE GARATE ARAYA mandato para liquidar y adjudicar.doc", "Abrir Documento")</f>
        <v>0</v>
      </c>
      <c r="D6969" t="s">
        <v>23500</v>
      </c>
      <c r="E6969" t="s">
        <v>29544</v>
      </c>
    </row>
    <row r="6970" spans="1:5">
      <c r="A6970" t="s">
        <v>6</v>
      </c>
      <c r="B6970" t="s">
        <v>6975</v>
      </c>
      <c r="C6970">
        <f>HYPERLINK("C:\Users\franc\OneDrive\Documentos\MALENTIN KARIME\MANDATO\ESPECIAL\JAIME PROHENS VILLALON Y CIA LTDA. Minuta.doc", "Abrir Documento")</f>
        <v>0</v>
      </c>
      <c r="D6970" t="s">
        <v>23500</v>
      </c>
      <c r="E6970" t="s">
        <v>29545</v>
      </c>
    </row>
    <row r="6971" spans="1:5">
      <c r="A6971" t="s">
        <v>6</v>
      </c>
      <c r="B6971" t="s">
        <v>6976</v>
      </c>
      <c r="C6971">
        <f>HYPERLINK("C:\Users\franc\OneDrive\Documentos\MALENTIN KARIME\MANDATO\ESPECIAL\INVERSIONES VERDE MAR sociedad.doc", "Abrir Documento")</f>
        <v>0</v>
      </c>
      <c r="D6971" t="s">
        <v>23500</v>
      </c>
      <c r="E6971" t="s">
        <v>29546</v>
      </c>
    </row>
    <row r="6972" spans="1:5">
      <c r="A6972" t="s">
        <v>6</v>
      </c>
      <c r="B6972" t="s">
        <v>6977</v>
      </c>
      <c r="C6972">
        <f>HYPERLINK("C:\Users\franc\OneDrive\Documentos\MALENTIN KARIME\MANDATO\ESPECIAL\INGENIERIA Y CONSTRUCCIONES LTA A Dabed.doc", "Abrir Documento")</f>
        <v>0</v>
      </c>
      <c r="D6972" t="s">
        <v>23500</v>
      </c>
      <c r="E6972" t="s">
        <v>29547</v>
      </c>
    </row>
    <row r="6973" spans="1:5">
      <c r="A6973" t="s">
        <v>6</v>
      </c>
      <c r="B6973" t="s">
        <v>6978</v>
      </c>
      <c r="C6973">
        <f>HYPERLINK("C:\Users\franc\OneDrive\Documentos\MALENTIN KARIME\MANDATO\ESPECIAL\HERMAN VALLEJOS A Ruth Vallejos.doc", "Abrir Documento")</f>
        <v>0</v>
      </c>
      <c r="D6973" t="s">
        <v>23500</v>
      </c>
      <c r="E6973" t="s">
        <v>29548</v>
      </c>
    </row>
    <row r="6974" spans="1:5">
      <c r="A6974" t="s">
        <v>6</v>
      </c>
      <c r="B6974" t="s">
        <v>6979</v>
      </c>
      <c r="C6974">
        <f>HYPERLINK("C:\Users\franc\OneDrive\Documentos\MALENTIN KARIME\MANDATO\ESPECIAL\HERMAN ARAYA LASTARRIA A conyuge AFP.doc", "Abrir Documento")</f>
        <v>0</v>
      </c>
      <c r="D6974" t="s">
        <v>23500</v>
      </c>
      <c r="E6974" t="s">
        <v>29549</v>
      </c>
    </row>
    <row r="6975" spans="1:5">
      <c r="A6975" t="s">
        <v>6</v>
      </c>
      <c r="B6975" t="s">
        <v>6980</v>
      </c>
      <c r="C6975">
        <f>HYPERLINK("C:\Users\franc\OneDrive\Documentos\MALENTIN KARIME\MANDATO\ESPECIAL\GERMAN HERRERA REYES Minuta cobrar.doc", "Abrir Documento")</f>
        <v>0</v>
      </c>
      <c r="D6975" t="s">
        <v>23500</v>
      </c>
      <c r="E6975" t="s">
        <v>29550</v>
      </c>
    </row>
    <row r="6976" spans="1:5">
      <c r="A6976" t="s">
        <v>6</v>
      </c>
      <c r="B6976" t="s">
        <v>6981</v>
      </c>
      <c r="C6976">
        <f>HYPERLINK("C:\Users\franc\OneDrive\Documentos\MALENTIN KARIME\MANDATO\ESPECIAL\HECTOR MEDALLA A GILIAN VILLAR Adms.doc", "Abrir Documento")</f>
        <v>0</v>
      </c>
      <c r="D6976" t="s">
        <v>23500</v>
      </c>
      <c r="E6976" t="s">
        <v>29550</v>
      </c>
    </row>
    <row r="6977" spans="1:5">
      <c r="A6977" t="s">
        <v>6</v>
      </c>
      <c r="B6977" t="s">
        <v>6982</v>
      </c>
      <c r="C6977">
        <f>HYPERLINK("C:\Users\franc\OneDrive\Documentos\MALENTIN KARIME\MANDATO\ESPECIAL\EUGENIA BARRAZAAdm.doc", "Abrir Documento")</f>
        <v>0</v>
      </c>
      <c r="D6977" t="s">
        <v>23500</v>
      </c>
      <c r="E6977" t="s">
        <v>29551</v>
      </c>
    </row>
    <row r="6978" spans="1:5">
      <c r="A6978" t="s">
        <v>6</v>
      </c>
      <c r="B6978" t="s">
        <v>6983</v>
      </c>
      <c r="C6978">
        <f>HYPERLINK("C:\Users\franc\OneDrive\Documentos\MALENTIN KARIME\MANDATO\ESPECIAL\GEMITA CARRASCO MARIN Minuta.doc", "Abrir Documento")</f>
        <v>0</v>
      </c>
      <c r="D6978" t="s">
        <v>23500</v>
      </c>
      <c r="E6978" t="s">
        <v>29551</v>
      </c>
    </row>
    <row r="6979" spans="1:5">
      <c r="A6979" t="s">
        <v>6</v>
      </c>
      <c r="B6979" t="s">
        <v>6984</v>
      </c>
      <c r="C6979">
        <f>HYPERLINK("C:\Users\franc\OneDrive\Documentos\MALENTIN KARIME\MANDATO\ESPECIAL\ESMELINDA CONTRERAS adms.doc", "Abrir Documento")</f>
        <v>0</v>
      </c>
      <c r="D6979" t="s">
        <v>23500</v>
      </c>
      <c r="E6979" t="s">
        <v>29552</v>
      </c>
    </row>
    <row r="6980" spans="1:5">
      <c r="A6980" t="s">
        <v>6</v>
      </c>
      <c r="B6980" t="s">
        <v>6985</v>
      </c>
      <c r="C6980">
        <f>HYPERLINK("C:\Users\franc\OneDrive\Documentos\MALENTIN KARIME\MANDATO\ESPECIAL\ELBA ALVAREZ Minuta E Rivas.doc", "Abrir Documento")</f>
        <v>0</v>
      </c>
      <c r="D6980" t="s">
        <v>23500</v>
      </c>
      <c r="E6980" t="s">
        <v>29553</v>
      </c>
    </row>
    <row r="6981" spans="1:5">
      <c r="A6981" t="s">
        <v>6</v>
      </c>
      <c r="B6981" t="s">
        <v>6986</v>
      </c>
      <c r="C6981">
        <f>HYPERLINK("C:\Users\franc\OneDrive\Documentos\MALENTIN KARIME\MANDATO\ESPECIAL\EDUARDO VALLEJOS A Ruth Vallejos.doc", "Abrir Documento")</f>
        <v>0</v>
      </c>
      <c r="D6981" t="s">
        <v>23500</v>
      </c>
      <c r="E6981" t="s">
        <v>29554</v>
      </c>
    </row>
    <row r="6982" spans="1:5">
      <c r="A6982" t="s">
        <v>6</v>
      </c>
      <c r="B6982" t="s">
        <v>6987</v>
      </c>
      <c r="C6982">
        <f>HYPERLINK("C:\Users\franc\OneDrive\Documentos\MALENTIN KARIME\MANDATO\ESPECIAL\EDITH PLAZA Minuta.doc", "Abrir Documento")</f>
        <v>0</v>
      </c>
      <c r="D6982" t="s">
        <v>23500</v>
      </c>
      <c r="E6982" t="s">
        <v>29555</v>
      </c>
    </row>
    <row r="6983" spans="1:5">
      <c r="A6983" t="s">
        <v>6</v>
      </c>
      <c r="B6983" t="s">
        <v>6988</v>
      </c>
      <c r="C6983">
        <f>HYPERLINK("C:\Users\franc\OneDrive\Documentos\MALENTIN KARIME\MANDATO\ESPECIAL\DELIA DIAZ GARATE Especial.doc", "Abrir Documento")</f>
        <v>0</v>
      </c>
      <c r="D6983" t="s">
        <v>23500</v>
      </c>
      <c r="E6983" t="s">
        <v>29556</v>
      </c>
    </row>
    <row r="6984" spans="1:5">
      <c r="A6984" t="s">
        <v>6</v>
      </c>
      <c r="B6984" t="s">
        <v>6989</v>
      </c>
      <c r="C6984">
        <f>HYPERLINK("C:\Users\franc\OneDrive\Documentos\MALENTIN KARIME\MANDATO\ESPECIAL\DANIEL VERCHATSE Administr.doc", "Abrir Documento")</f>
        <v>0</v>
      </c>
      <c r="D6984" t="s">
        <v>23500</v>
      </c>
      <c r="E6984" t="s">
        <v>29557</v>
      </c>
    </row>
    <row r="6985" spans="1:5">
      <c r="A6985" t="s">
        <v>6</v>
      </c>
      <c r="B6985" t="s">
        <v>6990</v>
      </c>
      <c r="C6985">
        <f>HYPERLINK("C:\Users\franc\OneDrive\Documentos\MALENTIN KARIME\MANDATO\ESPECIAL\DARIO ROJAS CARVAJAL Proindiviso.doc", "Abrir Documento")</f>
        <v>0</v>
      </c>
      <c r="D6985" t="s">
        <v>23500</v>
      </c>
      <c r="E6985" t="s">
        <v>29557</v>
      </c>
    </row>
    <row r="6986" spans="1:5">
      <c r="A6986" t="s">
        <v>6</v>
      </c>
      <c r="B6986" t="s">
        <v>6991</v>
      </c>
      <c r="C6986">
        <f>HYPERLINK("C:\Users\franc\OneDrive\Documentos\MALENTIN KARIME\MANDATO\ESPECIAL\COOPERATIVA PESQUERA  EL SALADO.doc", "Abrir Documento")</f>
        <v>0</v>
      </c>
      <c r="D6986" t="s">
        <v>23500</v>
      </c>
      <c r="E6986" t="s">
        <v>29558</v>
      </c>
    </row>
    <row r="6987" spans="1:5">
      <c r="A6987" t="s">
        <v>6</v>
      </c>
      <c r="B6987" t="s">
        <v>6992</v>
      </c>
      <c r="C6987">
        <f>HYPERLINK("C:\Users\franc\OneDrive\Documentos\MALENTIN KARIME\MANDATO\ESPECIAL\DANIEL CONTRERAS Minuta junta.doc", "Abrir Documento")</f>
        <v>0</v>
      </c>
      <c r="D6987" t="s">
        <v>23500</v>
      </c>
      <c r="E6987" t="s">
        <v>29558</v>
      </c>
    </row>
    <row r="6988" spans="1:5">
      <c r="A6988" t="s">
        <v>6</v>
      </c>
      <c r="B6988" t="s">
        <v>6993</v>
      </c>
      <c r="C6988">
        <f>HYPERLINK("C:\Users\franc\OneDrive\Documentos\MALENTIN KARIME\MANDATO\ESPECIAL\CLAUDIO MENARES ZUÑIGA Minuta rescil.doc", "Abrir Documento")</f>
        <v>0</v>
      </c>
      <c r="D6988" t="s">
        <v>23500</v>
      </c>
      <c r="E6988" t="s">
        <v>29559</v>
      </c>
    </row>
    <row r="6989" spans="1:5">
      <c r="A6989" t="s">
        <v>6</v>
      </c>
      <c r="B6989" t="s">
        <v>6994</v>
      </c>
      <c r="C6989">
        <f>HYPERLINK("C:\Users\franc\OneDrive\Documentos\MALENTIN KARIME\MANDATO\ESPECIAL\CLEMENTE FUENTEALBA 2014.doc", "Abrir Documento")</f>
        <v>0</v>
      </c>
      <c r="D6989" t="s">
        <v>23500</v>
      </c>
      <c r="E6989" t="s">
        <v>29559</v>
      </c>
    </row>
    <row r="6990" spans="1:5">
      <c r="A6990" t="s">
        <v>6</v>
      </c>
      <c r="B6990" t="s">
        <v>6995</v>
      </c>
      <c r="C6990">
        <f>HYPERLINK("C:\Users\franc\OneDrive\Documentos\MALENTIN KARIME\MANDATO\ESPECIAL\BLANCA SEGOVIA CORTS adms.doc", "Abrir Documento")</f>
        <v>0</v>
      </c>
      <c r="D6990" t="s">
        <v>23500</v>
      </c>
      <c r="E6990" t="s">
        <v>29560</v>
      </c>
    </row>
    <row r="6991" spans="1:5">
      <c r="A6991" t="s">
        <v>6</v>
      </c>
      <c r="B6991" t="s">
        <v>6996</v>
      </c>
      <c r="C6991">
        <f>HYPERLINK("C:\Users\franc\OneDrive\Documentos\MALENTIN KARIME\MANDATO\ESPECIAL\CARLOS TREVERTON Y OT. a FIDEL TREVERTON Minuta.doc", "Abrir Documento")</f>
        <v>0</v>
      </c>
      <c r="D6991" t="s">
        <v>23500</v>
      </c>
      <c r="E6991" t="s">
        <v>29560</v>
      </c>
    </row>
    <row r="6992" spans="1:5">
      <c r="A6992" t="s">
        <v>6</v>
      </c>
      <c r="B6992" t="s">
        <v>6997</v>
      </c>
      <c r="C6992">
        <f>HYPERLINK("C:\Users\franc\OneDrive\Documentos\MALENTIN KARIME\MANDATO\ESPECIAL\BERNARDITA CARVAJAL URQUIETA AFP.doc", "Abrir Documento")</f>
        <v>0</v>
      </c>
      <c r="D6992" t="s">
        <v>23500</v>
      </c>
      <c r="E6992" t="s">
        <v>29561</v>
      </c>
    </row>
    <row r="6993" spans="1:5">
      <c r="A6993" t="s">
        <v>6</v>
      </c>
      <c r="B6993" t="s">
        <v>6998</v>
      </c>
      <c r="C6993">
        <f>HYPERLINK("C:\Users\franc\OneDrive\Documentos\MALENTIN KARIME\MANDATO\ESPECIAL\ARIEL JOFRE GONZALEZ A Walter Jofré.doc", "Abrir Documento")</f>
        <v>0</v>
      </c>
      <c r="D6993" t="s">
        <v>23500</v>
      </c>
      <c r="E6993" t="s">
        <v>29562</v>
      </c>
    </row>
    <row r="6994" spans="1:5">
      <c r="A6994" t="s">
        <v>6</v>
      </c>
      <c r="B6994" t="s">
        <v>6999</v>
      </c>
      <c r="C6994">
        <f>HYPERLINK("C:\Users\franc\OneDrive\Documentos\MALENTIN KARIME\MANDATO\ESPECIAL\ARNALDO GUERRA AGUILERA Adm.doc", "Abrir Documento")</f>
        <v>0</v>
      </c>
      <c r="D6994" t="s">
        <v>23500</v>
      </c>
      <c r="E6994" t="s">
        <v>29562</v>
      </c>
    </row>
    <row r="6995" spans="1:5">
      <c r="A6995" t="s">
        <v>6</v>
      </c>
      <c r="B6995" t="s">
        <v>7000</v>
      </c>
      <c r="C6995">
        <f>HYPERLINK("C:\Users\franc\OneDrive\Documentos\MALENTIN KARIME\MANDATO\ESPECIAL\ANIBAL ASTORGA Y OTROS A MAURICIO ASTORGA (29-07-2013).doc", "Abrir Documento")</f>
        <v>0</v>
      </c>
      <c r="D6995" t="s">
        <v>23500</v>
      </c>
      <c r="E6995" t="s">
        <v>29563</v>
      </c>
    </row>
    <row r="6996" spans="1:5">
      <c r="A6996" t="s">
        <v>6</v>
      </c>
      <c r="B6996" t="s">
        <v>7001</v>
      </c>
      <c r="C6996">
        <f>HYPERLINK("C:\Users\franc\OneDrive\Documentos\MALENTIN KARIME\MANDATO\ESPECIAL\ALICIA ALFARO LOPEZ Adjudicacion.doc", "Abrir Documento")</f>
        <v>0</v>
      </c>
      <c r="D6996" t="s">
        <v>23500</v>
      </c>
      <c r="E6996" t="s">
        <v>29564</v>
      </c>
    </row>
    <row r="6997" spans="1:5">
      <c r="A6997" t="s">
        <v>6</v>
      </c>
      <c r="B6997" t="s">
        <v>7002</v>
      </c>
      <c r="C6997">
        <f>HYPERLINK("C:\Users\franc\OneDrive\Documentos\MALENTIN KARIME\MANDATO\ESPECIAL\AGROPALQUI retiro documento.doc", "Abrir Documento")</f>
        <v>0</v>
      </c>
      <c r="D6997" t="s">
        <v>23500</v>
      </c>
      <c r="E6997" t="s">
        <v>29565</v>
      </c>
    </row>
    <row r="6998" spans="1:5">
      <c r="A6998" t="s">
        <v>6</v>
      </c>
      <c r="B6998" t="s">
        <v>7003</v>
      </c>
      <c r="C6998">
        <f>HYPERLINK("C:\Users\franc\OneDrive\Documentos\MALENTIN KARIME\MANDATO\ESPECIAL\AGROPALQUI A ELIANA LOPEZ.doc", "Abrir Documento")</f>
        <v>0</v>
      </c>
      <c r="D6998" t="s">
        <v>23500</v>
      </c>
      <c r="E6998" t="s">
        <v>29566</v>
      </c>
    </row>
    <row r="6999" spans="1:5">
      <c r="A6999" t="s">
        <v>6</v>
      </c>
      <c r="B6999" t="s">
        <v>7004</v>
      </c>
      <c r="C6999">
        <f>HYPERLINK("C:\Users\franc\OneDrive\Documentos\MALENTIN KARIME\MANDATO\ESPECIAL\ADM, VENDER ARREND JUDICIAL.doc", "Abrir Documento")</f>
        <v>0</v>
      </c>
      <c r="D6999" t="s">
        <v>23500</v>
      </c>
      <c r="E6999" t="s">
        <v>29567</v>
      </c>
    </row>
    <row r="7000" spans="1:5">
      <c r="A7000" t="s">
        <v>6</v>
      </c>
      <c r="B7000" t="s">
        <v>7005</v>
      </c>
      <c r="C7000">
        <f>HYPERLINK("C:\Users\franc\OneDrive\Documentos\MALENTIN KARIME\MANDATO\COMPRAR\PAULINA GALVEZ.doc", "Abrir Documento")</f>
        <v>0</v>
      </c>
      <c r="D7000" t="s">
        <v>23500</v>
      </c>
      <c r="E7000" t="s">
        <v>29568</v>
      </c>
    </row>
    <row r="7001" spans="1:5">
      <c r="A7001" t="s">
        <v>6</v>
      </c>
      <c r="B7001" t="s">
        <v>7006</v>
      </c>
      <c r="C7001">
        <f>HYPERLINK("C:\Users\franc\OneDrive\Documentos\MALENTIN KARIME\MANDATO\COMPRAR\YAEL CARDENAS Comprar.doc", "Abrir Documento")</f>
        <v>0</v>
      </c>
      <c r="D7001" t="s">
        <v>23500</v>
      </c>
      <c r="E7001" t="s">
        <v>29568</v>
      </c>
    </row>
    <row r="7002" spans="1:5">
      <c r="A7002" t="s">
        <v>6</v>
      </c>
      <c r="B7002" t="s">
        <v>7007</v>
      </c>
      <c r="C7002">
        <f>HYPERLINK("C:\Users\franc\OneDrive\Documentos\MALENTIN KARIME\MANDATO\COMPRAR\PAULINA GALVEZ Y CIA. LTDA. Banco.doc", "Abrir Documento")</f>
        <v>0</v>
      </c>
      <c r="D7002" t="s">
        <v>23500</v>
      </c>
      <c r="E7002" t="s">
        <v>29569</v>
      </c>
    </row>
    <row r="7003" spans="1:5">
      <c r="A7003" t="s">
        <v>6</v>
      </c>
      <c r="B7003" t="s">
        <v>7008</v>
      </c>
      <c r="C7003">
        <f>HYPERLINK("C:\Users\franc\OneDrive\Documentos\MALENTIN KARIME\MANDATO\COMPRAR\PAULINA GALVEZ II.doc", "Abrir Documento")</f>
        <v>0</v>
      </c>
      <c r="D7003" t="s">
        <v>23500</v>
      </c>
      <c r="E7003" t="s">
        <v>29570</v>
      </c>
    </row>
    <row r="7004" spans="1:5">
      <c r="A7004" t="s">
        <v>6</v>
      </c>
      <c r="B7004" t="s">
        <v>7009</v>
      </c>
      <c r="C7004">
        <f>HYPERLINK("C:\Users\franc\OneDrive\Documentos\MALENTIN KARIME\MANDATO\COMPRAR\MARTA BARRAZA MARIN Comprar.doc", "Abrir Documento")</f>
        <v>0</v>
      </c>
      <c r="D7004" t="s">
        <v>23500</v>
      </c>
      <c r="E7004" t="s">
        <v>29571</v>
      </c>
    </row>
    <row r="7005" spans="1:5">
      <c r="A7005" t="s">
        <v>6</v>
      </c>
      <c r="B7005" t="s">
        <v>7010</v>
      </c>
      <c r="C7005">
        <f>HYPERLINK("C:\Users\franc\OneDrive\Documentos\MALENTIN KARIME\MANDATO\COMPRAR\MARISOL MEDINA ZAPATA A Cristian Gallardo FUENTEALBA.doc", "Abrir Documento")</f>
        <v>0</v>
      </c>
      <c r="D7005" t="s">
        <v>23500</v>
      </c>
      <c r="E7005" t="s">
        <v>29572</v>
      </c>
    </row>
    <row r="7006" spans="1:5">
      <c r="A7006" t="s">
        <v>6</v>
      </c>
      <c r="B7006" t="s">
        <v>7011</v>
      </c>
      <c r="C7006">
        <f>HYPERLINK("C:\Users\franc\OneDrive\Documentos\MALENTIN KARIME\MANDATO\COMPRAR\mario zuñiga cmontecino comprar vehiculo nuevo.doc", "Abrir Documento")</f>
        <v>0</v>
      </c>
      <c r="D7006" t="s">
        <v>23500</v>
      </c>
      <c r="E7006" t="s">
        <v>29573</v>
      </c>
    </row>
    <row r="7007" spans="1:5">
      <c r="A7007" t="s">
        <v>6</v>
      </c>
      <c r="B7007" t="s">
        <v>7012</v>
      </c>
      <c r="C7007">
        <f>HYPERLINK("C:\Users\franc\OneDrive\Documentos\MALENTIN KARIME\MANDATO\COMPRAR\mario zuñiga cmontecino comprar vehiculo.doc", "Abrir Documento")</f>
        <v>0</v>
      </c>
      <c r="D7007" t="s">
        <v>23500</v>
      </c>
      <c r="E7007" t="s">
        <v>29573</v>
      </c>
    </row>
    <row r="7008" spans="1:5">
      <c r="A7008" t="s">
        <v>6</v>
      </c>
      <c r="B7008" t="s">
        <v>7013</v>
      </c>
      <c r="C7008">
        <f>HYPERLINK("C:\Users\franc\OneDrive\Documentos\MALENTIN KARIME\MANDATO\COMPRAR\MARIANELA MUNDACA Comprar.doc", "Abrir Documento")</f>
        <v>0</v>
      </c>
      <c r="D7008" t="s">
        <v>23500</v>
      </c>
      <c r="E7008" t="s">
        <v>29574</v>
      </c>
    </row>
    <row r="7009" spans="1:5">
      <c r="A7009" t="s">
        <v>6</v>
      </c>
      <c r="B7009" t="s">
        <v>7014</v>
      </c>
      <c r="C7009">
        <f>HYPERLINK("C:\Users\franc\OneDrive\Documentos\MALENTIN KARIME\MANDATO\COMPRAR\MANUEL ROJAS BUGUEÑO Comprar vehiculo.doc", "Abrir Documento")</f>
        <v>0</v>
      </c>
      <c r="D7009" t="s">
        <v>23500</v>
      </c>
      <c r="E7009" t="s">
        <v>29575</v>
      </c>
    </row>
    <row r="7010" spans="1:5">
      <c r="A7010" t="s">
        <v>6</v>
      </c>
      <c r="B7010" t="s">
        <v>7015</v>
      </c>
      <c r="C7010">
        <f>HYPERLINK("C:\Users\franc\OneDrive\Documentos\MALENTIN KARIME\MANDATO\COMPRAR\MARIA DE LOS A ALVAREZ CORDERO vehiculo.doc", "Abrir Documento")</f>
        <v>0</v>
      </c>
      <c r="D7010" t="s">
        <v>23500</v>
      </c>
      <c r="E7010" t="s">
        <v>29575</v>
      </c>
    </row>
    <row r="7011" spans="1:5">
      <c r="A7011" t="s">
        <v>6</v>
      </c>
      <c r="B7011" t="s">
        <v>7016</v>
      </c>
      <c r="C7011">
        <f>HYPERLINK("C:\Users\franc\OneDrive\Documentos\MALENTIN KARIME\MANDATO\COMPRAR\MANDATO PARA COMPRAR.doc", "Abrir Documento")</f>
        <v>0</v>
      </c>
      <c r="D7011" t="s">
        <v>23500</v>
      </c>
      <c r="E7011" t="s">
        <v>29576</v>
      </c>
    </row>
    <row r="7012" spans="1:5">
      <c r="A7012" t="s">
        <v>6</v>
      </c>
      <c r="B7012" t="s">
        <v>7017</v>
      </c>
      <c r="C7012">
        <f>HYPERLINK("C:\Users\franc\OneDrive\Documentos\MALENTIN KARIME\MANDATO\COMPRAR\MANDATO PARA COMPRAR POR BANCO.doc", "Abrir Documento")</f>
        <v>0</v>
      </c>
      <c r="D7012" t="s">
        <v>23500</v>
      </c>
      <c r="E7012" t="s">
        <v>29577</v>
      </c>
    </row>
    <row r="7013" spans="1:5">
      <c r="A7013" t="s">
        <v>6</v>
      </c>
      <c r="B7013" t="s">
        <v>7018</v>
      </c>
      <c r="C7013">
        <f>HYPERLINK("C:\Users\franc\OneDrive\Documentos\MALENTIN KARIME\MANDATO\COMPRAR\MANDATO HECTOR ROBLES para mutuo bancario minuta.doc", "Abrir Documento")</f>
        <v>0</v>
      </c>
      <c r="D7013" t="s">
        <v>23500</v>
      </c>
      <c r="E7013" t="s">
        <v>29578</v>
      </c>
    </row>
    <row r="7014" spans="1:5">
      <c r="A7014" t="s">
        <v>6</v>
      </c>
      <c r="B7014" t="s">
        <v>7019</v>
      </c>
      <c r="C7014">
        <f>HYPERLINK("C:\Users\franc\OneDrive\Documentos\MALENTIN KARIME\MANDATO\COMPRAR\GAMAL ROJAS.doc", "Abrir Documento")</f>
        <v>0</v>
      </c>
      <c r="D7014" t="s">
        <v>23500</v>
      </c>
      <c r="E7014" t="s">
        <v>29579</v>
      </c>
    </row>
    <row r="7015" spans="1:5">
      <c r="A7015" t="s">
        <v>6</v>
      </c>
      <c r="B7015" t="s">
        <v>7020</v>
      </c>
      <c r="C7015">
        <f>HYPERLINK("C:\Users\franc\OneDrive\Documentos\MALENTIN KARIME\MANDATO\COMPRAR\ESTELA TOLMO GALVEZ comprar vehiculo2017.doc", "Abrir Documento")</f>
        <v>0</v>
      </c>
      <c r="D7015" t="s">
        <v>23500</v>
      </c>
      <c r="E7015" t="s">
        <v>29580</v>
      </c>
    </row>
    <row r="7016" spans="1:5">
      <c r="A7016" t="s">
        <v>6</v>
      </c>
      <c r="B7016" t="s">
        <v>7021</v>
      </c>
      <c r="C7016">
        <f>HYPERLINK("C:\Users\franc\OneDrive\Documentos\MALENTIN KARIME\MANDATO\COMPRAR\FRANCO CARRASCO AHUMADA.doc", "Abrir Documento")</f>
        <v>0</v>
      </c>
      <c r="D7016" t="s">
        <v>23500</v>
      </c>
      <c r="E7016" t="s">
        <v>29580</v>
      </c>
    </row>
    <row r="7017" spans="1:5">
      <c r="A7017" t="s">
        <v>6</v>
      </c>
      <c r="B7017" t="s">
        <v>7022</v>
      </c>
      <c r="C7017">
        <f>HYPERLINK("C:\Users\franc\OneDrive\Documentos\MALENTIN KARIME\MANDATO\COMPRAR\ERNESTO CORTES CAMPUSANO comprar vehiculo.doc", "Abrir Documento")</f>
        <v>0</v>
      </c>
      <c r="D7017" t="s">
        <v>23500</v>
      </c>
      <c r="E7017" t="s">
        <v>29581</v>
      </c>
    </row>
    <row r="7018" spans="1:5">
      <c r="A7018" t="s">
        <v>6</v>
      </c>
      <c r="B7018" t="s">
        <v>7023</v>
      </c>
      <c r="C7018">
        <f>HYPERLINK("C:\Users\franc\OneDrive\Documentos\MALENTIN KARIME\MANDATO\COMPRAR\CHRISTOPHER ROJAS OLIVARES comprar.doc", "Abrir Documento")</f>
        <v>0</v>
      </c>
      <c r="D7018" t="s">
        <v>23500</v>
      </c>
      <c r="E7018" t="s">
        <v>29582</v>
      </c>
    </row>
    <row r="7019" spans="1:5">
      <c r="A7019" t="s">
        <v>6</v>
      </c>
      <c r="B7019" t="s">
        <v>7024</v>
      </c>
      <c r="C7019">
        <f>HYPERLINK("C:\Users\franc\OneDrive\Documentos\MALENTIN KARIME\MANDATO\COMPRAR\clausulas banco.doc", "Abrir Documento")</f>
        <v>0</v>
      </c>
      <c r="D7019" t="s">
        <v>23500</v>
      </c>
      <c r="E7019" t="s">
        <v>29582</v>
      </c>
    </row>
    <row r="7020" spans="1:5">
      <c r="A7020" t="s">
        <v>6</v>
      </c>
      <c r="B7020" t="s">
        <v>7025</v>
      </c>
      <c r="C7020">
        <f>HYPERLINK("C:\Users\franc\OneDrive\Documentos\MALENTIN KARIME\MANDATO\COMPRAR\CECILIA ARAYA SANDOVAL Junio 2017.doc", "Abrir Documento")</f>
        <v>0</v>
      </c>
      <c r="D7020" t="s">
        <v>23500</v>
      </c>
      <c r="E7020" t="s">
        <v>29583</v>
      </c>
    </row>
    <row r="7021" spans="1:5">
      <c r="A7021" t="s">
        <v>6</v>
      </c>
      <c r="B7021" t="s">
        <v>7026</v>
      </c>
      <c r="C7021">
        <f>HYPERLINK("C:\Users\franc\OneDrive\Documentos\MALENTIN KARIME\MANDATO\COMPRAR\BERTA VALDIVIA VALDIVA 2021.doc", "Abrir Documento")</f>
        <v>0</v>
      </c>
      <c r="D7021" t="s">
        <v>23500</v>
      </c>
      <c r="E7021" t="s">
        <v>29584</v>
      </c>
    </row>
    <row r="7022" spans="1:5">
      <c r="A7022" t="s">
        <v>6</v>
      </c>
      <c r="B7022" t="s">
        <v>7027</v>
      </c>
      <c r="C7022">
        <f>HYPERLINK("C:\Users\franc\OneDrive\Documentos\MALENTIN KARIME\MANDATO\COMPRAR\ARMANDO ARAYA ARACENA Comprar.doc", "Abrir Documento")</f>
        <v>0</v>
      </c>
      <c r="D7022" t="s">
        <v>23500</v>
      </c>
      <c r="E7022" t="s">
        <v>29585</v>
      </c>
    </row>
    <row r="7023" spans="1:5">
      <c r="A7023" t="s">
        <v>6</v>
      </c>
      <c r="B7023" t="s">
        <v>7028</v>
      </c>
      <c r="C7023">
        <f>HYPERLINK("C:\Users\franc\OneDrive\Documentos\MALENTIN KARIME\MANDATO\COMPRAR\ARMANDO ARAYA ARACENA Comprar modelo.doc", "Abrir Documento")</f>
        <v>0</v>
      </c>
      <c r="D7023" t="s">
        <v>23500</v>
      </c>
      <c r="E7023" t="s">
        <v>29586</v>
      </c>
    </row>
    <row r="7024" spans="1:5">
      <c r="A7024" t="s">
        <v>6</v>
      </c>
      <c r="B7024" t="s">
        <v>7029</v>
      </c>
      <c r="C7024">
        <f>HYPERLINK("C:\Users\franc\OneDrive\Documentos\MALENTIN KARIME\MANDATO\COMPRAR\ALBINA ORELLANA MOLINA.doc", "Abrir Documento")</f>
        <v>0</v>
      </c>
      <c r="D7024" t="s">
        <v>23500</v>
      </c>
      <c r="E7024" t="s">
        <v>29587</v>
      </c>
    </row>
    <row r="7025" spans="1:5">
      <c r="A7025" t="s">
        <v>6</v>
      </c>
      <c r="B7025" t="s">
        <v>7030</v>
      </c>
      <c r="C7025">
        <f>HYPERLINK("C:\Users\franc\OneDrive\Documentos\MALENTIN KARIME\MANDATO\BANCARIOS\2021\HAYDEE ACOSTA VERA  vista y ahorro.doc", "Abrir Documento")</f>
        <v>0</v>
      </c>
      <c r="D7025" t="s">
        <v>23500</v>
      </c>
      <c r="E7025" t="s">
        <v>29588</v>
      </c>
    </row>
    <row r="7026" spans="1:5">
      <c r="A7026" t="s">
        <v>6</v>
      </c>
      <c r="B7026" t="s">
        <v>7031</v>
      </c>
      <c r="C7026">
        <f>HYPERLINK("C:\Users\franc\OneDrive\Documentos\MALENTIN KARIME\MANDATO\BANCARIOS\2021\CARLOS VILLAGRAN A ALFREDO VILLAGRAN.doc", "Abrir Documento")</f>
        <v>0</v>
      </c>
      <c r="D7026" t="s">
        <v>23500</v>
      </c>
      <c r="E7026" t="s">
        <v>29589</v>
      </c>
    </row>
    <row r="7027" spans="1:5">
      <c r="A7027" t="s">
        <v>6</v>
      </c>
      <c r="B7027" t="s">
        <v>7032</v>
      </c>
      <c r="C7027">
        <f>HYPERLINK("C:\Users\franc\OneDrive\Documentos\MALENTIN KARIME\MANDATO\BANCARIOS\2017\SILVIA PIZARRO VERGARA.doc", "Abrir Documento")</f>
        <v>0</v>
      </c>
      <c r="D7027" t="s">
        <v>23500</v>
      </c>
      <c r="E7027" t="s">
        <v>29590</v>
      </c>
    </row>
    <row r="7028" spans="1:5">
      <c r="A7028" t="s">
        <v>6</v>
      </c>
      <c r="B7028" t="s">
        <v>7033</v>
      </c>
      <c r="C7028">
        <f>HYPERLINK("C:\Users\franc\OneDrive\Documentos\MALENTIN KARIME\MANDATO\BANCARIOS\2017\SALVADOR RIQUELME GONZALEZ.doc", "Abrir Documento")</f>
        <v>0</v>
      </c>
      <c r="D7028" t="s">
        <v>23500</v>
      </c>
      <c r="E7028" t="s">
        <v>29591</v>
      </c>
    </row>
    <row r="7029" spans="1:5">
      <c r="A7029" t="s">
        <v>6</v>
      </c>
      <c r="B7029" t="s">
        <v>7034</v>
      </c>
      <c r="C7029">
        <f>HYPERLINK("C:\Users\franc\OneDrive\Documentos\MALENTIN KARIME\MANDATO\BANCARIOS\2017\pension.doc", "Abrir Documento")</f>
        <v>0</v>
      </c>
      <c r="D7029" t="s">
        <v>23500</v>
      </c>
      <c r="E7029" t="s">
        <v>29592</v>
      </c>
    </row>
    <row r="7030" spans="1:5">
      <c r="A7030" t="s">
        <v>6</v>
      </c>
      <c r="B7030" t="s">
        <v>7035</v>
      </c>
      <c r="C7030">
        <f>HYPERLINK("C:\Users\franc\OneDrive\Documentos\MALENTIN KARIME\MANDATO\BANCARIOS\2017\PEDRO MUÑOZ( CTA.CTE).doc", "Abrir Documento")</f>
        <v>0</v>
      </c>
      <c r="D7030" t="s">
        <v>23500</v>
      </c>
      <c r="E7030" t="s">
        <v>29593</v>
      </c>
    </row>
    <row r="7031" spans="1:5">
      <c r="A7031" t="s">
        <v>6</v>
      </c>
      <c r="B7031" t="s">
        <v>7036</v>
      </c>
      <c r="C7031">
        <f>HYPERLINK("C:\Users\franc\OneDrive\Documentos\MALENTIN KARIME\MANDATO\BANCARIOS\2017\PAOLO GECELE( CTA.CTE).doc", "Abrir Documento")</f>
        <v>0</v>
      </c>
      <c r="D7031" t="s">
        <v>23500</v>
      </c>
      <c r="E7031" t="s">
        <v>29594</v>
      </c>
    </row>
    <row r="7032" spans="1:5">
      <c r="A7032" t="s">
        <v>6</v>
      </c>
      <c r="B7032" t="s">
        <v>7037</v>
      </c>
      <c r="C7032">
        <f>HYPERLINK("C:\Users\franc\OneDrive\Documentos\MALENTIN KARIME\MANDATO\BANCARIOS\2017\PABLO PEÑAFIEL Arriendo Maquinaria.doc", "Abrir Documento")</f>
        <v>0</v>
      </c>
      <c r="D7032" t="s">
        <v>23500</v>
      </c>
      <c r="E7032" t="s">
        <v>29595</v>
      </c>
    </row>
    <row r="7033" spans="1:5">
      <c r="A7033" t="s">
        <v>6</v>
      </c>
      <c r="B7033" t="s">
        <v>7038</v>
      </c>
      <c r="C7033">
        <f>HYPERLINK("C:\Users\franc\OneDrive\Documentos\MALENTIN KARIME\MANDATO\BANCARIOS\2017\OSCAR HUGUETT OLIVARES MARIN Bchile.doc", "Abrir Documento")</f>
        <v>0</v>
      </c>
      <c r="D7033" t="s">
        <v>23500</v>
      </c>
      <c r="E7033" t="s">
        <v>29596</v>
      </c>
    </row>
    <row r="7034" spans="1:5">
      <c r="A7034" t="s">
        <v>6</v>
      </c>
      <c r="B7034" t="s">
        <v>7039</v>
      </c>
      <c r="C7034">
        <f>HYPERLINK("C:\Users\franc\OneDrive\Documentos\MALENTIN KARIME\MANDATO\BANCARIOS\2017\NICOLAS ARAYA VEGA.doc", "Abrir Documento")</f>
        <v>0</v>
      </c>
      <c r="D7034" t="s">
        <v>23500</v>
      </c>
      <c r="E7034" t="s">
        <v>29597</v>
      </c>
    </row>
    <row r="7035" spans="1:5">
      <c r="A7035" t="s">
        <v>6</v>
      </c>
      <c r="B7035" t="s">
        <v>7040</v>
      </c>
      <c r="C7035">
        <f>HYPERLINK("C:\Users\franc\OneDrive\Documentos\MALENTIN KARIME\MANDATO\BANCARIOS\2017\NATALIA TELCHI  Bchile.doc", "Abrir Documento")</f>
        <v>0</v>
      </c>
      <c r="D7035" t="s">
        <v>23500</v>
      </c>
      <c r="E7035" t="s">
        <v>29598</v>
      </c>
    </row>
    <row r="7036" spans="1:5">
      <c r="A7036" t="s">
        <v>6</v>
      </c>
      <c r="B7036" t="s">
        <v>7041</v>
      </c>
      <c r="C7036">
        <f>HYPERLINK("C:\Users\franc\OneDrive\Documentos\MALENTIN KARIME\MANDATO\BANCARIOS\2017\INES DONOSO MALEBRAN.doc", "Abrir Documento")</f>
        <v>0</v>
      </c>
      <c r="D7036" t="s">
        <v>23500</v>
      </c>
      <c r="E7036" t="s">
        <v>29599</v>
      </c>
    </row>
    <row r="7037" spans="1:5">
      <c r="A7037" t="s">
        <v>6</v>
      </c>
      <c r="B7037" t="s">
        <v>7042</v>
      </c>
      <c r="C7037">
        <f>HYPERLINK("C:\Users\franc\OneDrive\Documentos\MALENTIN KARIME\MANDATO\BANCARIOS\2017\GUSTAVO OOSANDON Bchile.doc", "Abrir Documento")</f>
        <v>0</v>
      </c>
      <c r="D7037" t="s">
        <v>23500</v>
      </c>
      <c r="E7037" t="s">
        <v>29600</v>
      </c>
    </row>
    <row r="7038" spans="1:5">
      <c r="A7038" t="s">
        <v>6</v>
      </c>
      <c r="B7038" t="s">
        <v>7043</v>
      </c>
      <c r="C7038">
        <f>HYPERLINK("C:\Users\franc\OneDrive\Documentos\MALENTIN KARIME\MANDATO\BANCARIOS\2017\DANIEL BARRAZA GONZALEZ Bestado.doc", "Abrir Documento")</f>
        <v>0</v>
      </c>
      <c r="D7038" t="s">
        <v>23500</v>
      </c>
      <c r="E7038" t="s">
        <v>29601</v>
      </c>
    </row>
    <row r="7039" spans="1:5">
      <c r="A7039" t="s">
        <v>6</v>
      </c>
      <c r="B7039" t="s">
        <v>7044</v>
      </c>
      <c r="C7039">
        <f>HYPERLINK("C:\Users\franc\OneDrive\Documentos\MALENTIN KARIME\MANDATO\BANCARIOS\2017\ARMANDO MARIN CORTES pension.doc", "Abrir Documento")</f>
        <v>0</v>
      </c>
      <c r="D7039" t="s">
        <v>23500</v>
      </c>
      <c r="E7039" t="s">
        <v>29602</v>
      </c>
    </row>
    <row r="7040" spans="1:5">
      <c r="A7040" t="s">
        <v>6</v>
      </c>
      <c r="B7040" t="s">
        <v>7045</v>
      </c>
      <c r="C7040">
        <f>HYPERLINK("C:\Users\franc\OneDrive\Documentos\MALENTIN KARIME\MANDATO\BANCARIOS\2017\ALICIA ARAYA FLORES Bestado.doc", "Abrir Documento")</f>
        <v>0</v>
      </c>
      <c r="D7040" t="s">
        <v>23500</v>
      </c>
      <c r="E7040" t="s">
        <v>29603</v>
      </c>
    </row>
    <row r="7041" spans="1:5">
      <c r="A7041" t="s">
        <v>6</v>
      </c>
      <c r="B7041" t="s">
        <v>7046</v>
      </c>
      <c r="C7041">
        <f>HYPERLINK("C:\Users\franc\OneDrive\Documentos\MALENTIN KARIME\MANDATO\BANCARIOS\2017\ALICIA ARAYA FLORES  Bchile.doc", "Abrir Documento")</f>
        <v>0</v>
      </c>
      <c r="D7041" t="s">
        <v>23500</v>
      </c>
      <c r="E7041" t="s">
        <v>29604</v>
      </c>
    </row>
    <row r="7042" spans="1:5">
      <c r="A7042" t="s">
        <v>6</v>
      </c>
      <c r="B7042" t="s">
        <v>7047</v>
      </c>
      <c r="C7042">
        <f>HYPERLINK("C:\Users\franc\OneDrive\Documentos\MALENTIN KARIME\MANDATO\BANCARIOS\2017\AGRICOLA SANTA ELIANA DE RAPEL.doc", "Abrir Documento")</f>
        <v>0</v>
      </c>
      <c r="D7042" t="s">
        <v>23500</v>
      </c>
      <c r="E7042" t="s">
        <v>29605</v>
      </c>
    </row>
    <row r="7043" spans="1:5">
      <c r="A7043" t="s">
        <v>6</v>
      </c>
      <c r="B7043" t="s">
        <v>7048</v>
      </c>
      <c r="C7043">
        <f>HYPERLINK("C:\Users\franc\OneDrive\Documentos\MALENTIN KARIME\MANDATO\BANCARIOS\2017\AGRICOLA EDUARDO GALLEGUILLOS ( CTA.CTE).doc", "Abrir Documento")</f>
        <v>0</v>
      </c>
      <c r="D7043" t="s">
        <v>23500</v>
      </c>
      <c r="E7043" t="s">
        <v>29606</v>
      </c>
    </row>
    <row r="7044" spans="1:5">
      <c r="A7044" t="s">
        <v>6</v>
      </c>
      <c r="B7044" t="s">
        <v>7049</v>
      </c>
      <c r="C7044">
        <f>HYPERLINK("C:\Users\franc\OneDrive\Documentos\MALENTIN KARIME\MANDATO\BANCARIOS\2017\AGRICOLA BOU DE RAPEL  LTDA. 2018.doc", "Abrir Documento")</f>
        <v>0</v>
      </c>
      <c r="D7044" t="s">
        <v>23500</v>
      </c>
      <c r="E7044" t="s">
        <v>29607</v>
      </c>
    </row>
    <row r="7045" spans="1:5">
      <c r="A7045" t="s">
        <v>6</v>
      </c>
      <c r="B7045" t="s">
        <v>7050</v>
      </c>
      <c r="C7045">
        <f>HYPERLINK("C:\Users\franc\OneDrive\Documentos\MALENTIN KARIME\MANDATO\BANCARIOS\2016\MARTA LIRA CALLEJAS.doc", "Abrir Documento")</f>
        <v>0</v>
      </c>
      <c r="D7045" t="s">
        <v>23500</v>
      </c>
      <c r="E7045" t="s">
        <v>29608</v>
      </c>
    </row>
    <row r="7046" spans="1:5">
      <c r="A7046" t="s">
        <v>6</v>
      </c>
      <c r="B7046" t="s">
        <v>7051</v>
      </c>
      <c r="C7046">
        <f>HYPERLINK("C:\Users\franc\OneDrive\Documentos\MALENTIN KARIME\MANDATO\BANCARIOS\2016\EDUARDO GALLARDO SCOTIABANK ( CTA.CTE).doc", "Abrir Documento")</f>
        <v>0</v>
      </c>
      <c r="D7046" t="s">
        <v>23500</v>
      </c>
      <c r="E7046" t="s">
        <v>29609</v>
      </c>
    </row>
    <row r="7047" spans="1:5">
      <c r="A7047" t="s">
        <v>6</v>
      </c>
      <c r="B7047" t="s">
        <v>7052</v>
      </c>
      <c r="C7047">
        <f>HYPERLINK("C:\Users\franc\OneDrive\Documentos\MALENTIN KARIME\MANDATO\BANCARIOS\2015\SOCIEDAD SANTA AMALIA LTDA..doc", "Abrir Documento")</f>
        <v>0</v>
      </c>
      <c r="D7047" t="s">
        <v>23500</v>
      </c>
      <c r="E7047" t="s">
        <v>29610</v>
      </c>
    </row>
    <row r="7048" spans="1:5">
      <c r="A7048" t="s">
        <v>6</v>
      </c>
      <c r="B7048" t="s">
        <v>7053</v>
      </c>
      <c r="C7048">
        <f>HYPERLINK("C:\Users\franc\OneDrive\Documentos\MALENTIN KARIME\MANDATO\BANCARIOS\2016\CARLOS VELIZ MUÑOZ Bestado.doc", "Abrir Documento")</f>
        <v>0</v>
      </c>
      <c r="D7048" t="s">
        <v>23500</v>
      </c>
      <c r="E7048" t="s">
        <v>29610</v>
      </c>
    </row>
    <row r="7049" spans="1:5">
      <c r="A7049" t="s">
        <v>6</v>
      </c>
      <c r="B7049" t="s">
        <v>7054</v>
      </c>
      <c r="C7049">
        <f>HYPERLINK("C:\Users\franc\OneDrive\Documentos\MALENTIN KARIME\MANDATO\BANCARIOS\2015\REINALDO GOINICHIA OLIVARESBanco Estado ( CTA.CTE).doc", "Abrir Documento")</f>
        <v>0</v>
      </c>
      <c r="D7049" t="s">
        <v>23500</v>
      </c>
      <c r="E7049" t="s">
        <v>29611</v>
      </c>
    </row>
    <row r="7050" spans="1:5">
      <c r="A7050" t="s">
        <v>6</v>
      </c>
      <c r="B7050" t="s">
        <v>7055</v>
      </c>
      <c r="C7050">
        <f>HYPERLINK("C:\Users\franc\OneDrive\Documentos\MALENTIN KARIME\MANDATO\BANCARIOS\2015\MARIA ZAPATA ZAPATA.doc", "Abrir Documento")</f>
        <v>0</v>
      </c>
      <c r="D7050" t="s">
        <v>23500</v>
      </c>
      <c r="E7050" t="s">
        <v>29612</v>
      </c>
    </row>
    <row r="7051" spans="1:5">
      <c r="A7051" t="s">
        <v>6</v>
      </c>
      <c r="B7051" t="s">
        <v>7056</v>
      </c>
      <c r="C7051">
        <f>HYPERLINK("C:\Users\franc\OneDrive\Documentos\MALENTIN KARIME\MANDATO\BANCARIOS\2015\MIRAM PIZARRO PALLERO Minuta.doc", "Abrir Documento")</f>
        <v>0</v>
      </c>
      <c r="D7051" t="s">
        <v>23500</v>
      </c>
      <c r="E7051" t="s">
        <v>29612</v>
      </c>
    </row>
    <row r="7052" spans="1:5">
      <c r="A7052" t="s">
        <v>6</v>
      </c>
      <c r="B7052" t="s">
        <v>7057</v>
      </c>
      <c r="C7052">
        <f>HYPERLINK("C:\Users\franc\OneDrive\Documentos\MALENTIN KARIME\MANDATO\BANCARIOS\2015\MARIA GALLARDO ALFARO Banco Estado ( CTA.CTE).doc", "Abrir Documento")</f>
        <v>0</v>
      </c>
      <c r="D7052" t="s">
        <v>23500</v>
      </c>
      <c r="E7052" t="s">
        <v>29613</v>
      </c>
    </row>
    <row r="7053" spans="1:5">
      <c r="A7053" t="s">
        <v>6</v>
      </c>
      <c r="B7053" t="s">
        <v>7058</v>
      </c>
      <c r="C7053">
        <f>HYPERLINK("C:\Users\franc\OneDrive\Documentos\MALENTIN KARIME\MANDATO\BANCARIOS\2015\JULIA GONZALEZ GOMEZ Banco SCOTIABANK ( CTA.CTE).doc", "Abrir Documento")</f>
        <v>0</v>
      </c>
      <c r="D7053" t="s">
        <v>23500</v>
      </c>
      <c r="E7053" t="s">
        <v>29614</v>
      </c>
    </row>
    <row r="7054" spans="1:5">
      <c r="A7054" t="s">
        <v>6</v>
      </c>
      <c r="B7054" t="s">
        <v>7059</v>
      </c>
      <c r="C7054">
        <f>HYPERLINK("C:\Users\franc\OneDrive\Documentos\MALENTIN KARIME\MANDATO\BANCARIOS\2015\MAGALY COFRE varios bancos.doc", "Abrir Documento")</f>
        <v>0</v>
      </c>
      <c r="D7054" t="s">
        <v>23500</v>
      </c>
      <c r="E7054" t="s">
        <v>29614</v>
      </c>
    </row>
    <row r="7055" spans="1:5">
      <c r="A7055" t="s">
        <v>6</v>
      </c>
      <c r="B7055" t="s">
        <v>7060</v>
      </c>
      <c r="C7055">
        <f>HYPERLINK("C:\Users\franc\OneDrive\Documentos\MALENTIN KARIME\MANDATO\BANCARIOS\2015\JULIA GONZALEZ GOMEZ Banco Santander ( CTA.CTE).doc", "Abrir Documento")</f>
        <v>0</v>
      </c>
      <c r="D7055" t="s">
        <v>23500</v>
      </c>
      <c r="E7055" t="s">
        <v>29615</v>
      </c>
    </row>
    <row r="7056" spans="1:5">
      <c r="A7056" t="s">
        <v>6</v>
      </c>
      <c r="B7056" t="s">
        <v>7061</v>
      </c>
      <c r="C7056">
        <f>HYPERLINK("C:\Users\franc\OneDrive\Documentos\MALENTIN KARIME\MANDATO\BANCARIOS\2015\JULIA GONZALEZ GOMEZ Banco Santander MODELO ( CTA.CTE).doc", "Abrir Documento")</f>
        <v>0</v>
      </c>
      <c r="D7056" t="s">
        <v>23500</v>
      </c>
      <c r="E7056" t="s">
        <v>29615</v>
      </c>
    </row>
    <row r="7057" spans="1:5">
      <c r="A7057" t="s">
        <v>6</v>
      </c>
      <c r="B7057" t="s">
        <v>7062</v>
      </c>
      <c r="C7057">
        <f>HYPERLINK("C:\Users\franc\OneDrive\Documentos\MALENTIN KARIME\MANDATO\BANCARIOS\2015\JULIA GONZALEZ GOMEZ Banco DE CHILE ( CTA.CTE).doc", "Abrir Documento")</f>
        <v>0</v>
      </c>
      <c r="D7057" t="s">
        <v>23500</v>
      </c>
      <c r="E7057" t="s">
        <v>29616</v>
      </c>
    </row>
    <row r="7058" spans="1:5">
      <c r="A7058" t="s">
        <v>6</v>
      </c>
      <c r="B7058" t="s">
        <v>7063</v>
      </c>
      <c r="C7058">
        <f>HYPERLINK("C:\Users\franc\OneDrive\Documentos\MALENTIN KARIME\MANDATO\BANCARIOS\2015\JULIA GONZALEZ GOMEZ Banco Estado ( CTA.CTE).doc", "Abrir Documento")</f>
        <v>0</v>
      </c>
      <c r="D7058" t="s">
        <v>23500</v>
      </c>
      <c r="E7058" t="s">
        <v>29616</v>
      </c>
    </row>
    <row r="7059" spans="1:5">
      <c r="A7059" t="s">
        <v>6</v>
      </c>
      <c r="B7059" t="s">
        <v>7064</v>
      </c>
      <c r="C7059">
        <f>HYPERLINK("C:\Users\franc\OneDrive\Documentos\MALENTIN KARIME\MANDATO\BANCARIOS\2015\EDUARDO GALLEGUILLOS CONTRERAS ( CTA.CTE).doc", "Abrir Documento")</f>
        <v>0</v>
      </c>
      <c r="D7059" t="s">
        <v>23500</v>
      </c>
      <c r="E7059" t="s">
        <v>29617</v>
      </c>
    </row>
    <row r="7060" spans="1:5">
      <c r="A7060" t="s">
        <v>6</v>
      </c>
      <c r="B7060" t="s">
        <v>7065</v>
      </c>
      <c r="C7060">
        <f>HYPERLINK("C:\Users\franc\OneDrive\Documentos\MALENTIN KARIME\MANDATO\BANCARIOS\2015\JULIA GONZALEZ GOMEZ Banco BCI ( CTA.CTE).doc", "Abrir Documento")</f>
        <v>0</v>
      </c>
      <c r="D7060" t="s">
        <v>23500</v>
      </c>
      <c r="E7060" t="s">
        <v>29617</v>
      </c>
    </row>
    <row r="7061" spans="1:5">
      <c r="A7061" t="s">
        <v>6</v>
      </c>
      <c r="B7061" t="s">
        <v>7066</v>
      </c>
      <c r="C7061">
        <f>HYPERLINK("C:\Users\franc\OneDrive\Documentos\MALENTIN KARIME\MANDATO\BANCARIOS\2015\BELLA SIERRALTA BCHLE.doc", "Abrir Documento")</f>
        <v>0</v>
      </c>
      <c r="D7061" t="s">
        <v>23500</v>
      </c>
      <c r="E7061" t="s">
        <v>29618</v>
      </c>
    </row>
    <row r="7062" spans="1:5">
      <c r="A7062" t="s">
        <v>6</v>
      </c>
      <c r="B7062" t="s">
        <v>7067</v>
      </c>
      <c r="C7062">
        <f>HYPERLINK("C:\Users\franc\OneDrive\Documentos\MALENTIN KARIME\MANDATO\BANCARIOS\2015\CARLOS GALLARDO Banco Santander MODELO ( CTA.CTE).doc", "Abrir Documento")</f>
        <v>0</v>
      </c>
      <c r="D7062" t="s">
        <v>23500</v>
      </c>
      <c r="E7062" t="s">
        <v>29618</v>
      </c>
    </row>
    <row r="7063" spans="1:5">
      <c r="A7063" t="s">
        <v>6</v>
      </c>
      <c r="B7063" t="s">
        <v>7068</v>
      </c>
      <c r="C7063">
        <f>HYPERLINK("C:\Users\franc\OneDrive\Documentos\MALENTIN KARIME\MANDATO\BANCARIOS\ZENON ROJO ALVAREZ A HECTOR CASANOVA  Minas.doc", "Abrir Documento")</f>
        <v>0</v>
      </c>
      <c r="D7063" t="s">
        <v>23500</v>
      </c>
      <c r="E7063" t="s">
        <v>29619</v>
      </c>
    </row>
    <row r="7064" spans="1:5">
      <c r="A7064" t="s">
        <v>6</v>
      </c>
      <c r="B7064" t="s">
        <v>7069</v>
      </c>
      <c r="C7064">
        <f>HYPERLINK("C:\Users\franc\OneDrive\Documentos\MALENTIN KARIME\MANDATO\BANCARIOS\WILLIAM TABILO ROBLES.doc", "Abrir Documento")</f>
        <v>0</v>
      </c>
      <c r="D7064" t="s">
        <v>23500</v>
      </c>
      <c r="E7064" t="s">
        <v>29620</v>
      </c>
    </row>
    <row r="7065" spans="1:5">
      <c r="A7065" t="s">
        <v>6</v>
      </c>
      <c r="B7065" t="s">
        <v>7070</v>
      </c>
      <c r="C7065">
        <f>HYPERLINK("C:\Users\franc\OneDrive\Documentos\MALENTIN KARIME\MANDATO\BANCARIOS\SORAYA ANICH ALLEL ( CTA.CTE).doc", "Abrir Documento")</f>
        <v>0</v>
      </c>
      <c r="D7065" t="s">
        <v>23500</v>
      </c>
      <c r="E7065" t="s">
        <v>29621</v>
      </c>
    </row>
    <row r="7066" spans="1:5">
      <c r="A7066" t="s">
        <v>6</v>
      </c>
      <c r="B7066" t="s">
        <v>7071</v>
      </c>
      <c r="C7066">
        <f>HYPERLINK("C:\Users\franc\OneDrive\Documentos\MALENTIN KARIME\MANDATO\BANCARIOS\VICTOR ALFREDO CORTES ALFARO A Mabel Ramirez (VALE VISTA).doc", "Abrir Documento")</f>
        <v>0</v>
      </c>
      <c r="D7066" t="s">
        <v>23500</v>
      </c>
      <c r="E7066" t="s">
        <v>29621</v>
      </c>
    </row>
    <row r="7067" spans="1:5">
      <c r="A7067" t="s">
        <v>6</v>
      </c>
      <c r="B7067" t="s">
        <v>7072</v>
      </c>
      <c r="C7067">
        <f>HYPERLINK("C:\Users\franc\OneDrive\Documentos\MALENTIN KARIME\MANDATO\BANCARIOS\SERVICIOS HERMOGENES.doc", "Abrir Documento")</f>
        <v>0</v>
      </c>
      <c r="D7067" t="s">
        <v>23500</v>
      </c>
      <c r="E7067" t="s">
        <v>29622</v>
      </c>
    </row>
    <row r="7068" spans="1:5">
      <c r="A7068" t="s">
        <v>6</v>
      </c>
      <c r="B7068" t="s">
        <v>7073</v>
      </c>
      <c r="C7068">
        <f>HYPERLINK("C:\Users\franc\OneDrive\Documentos\MALENTIN KARIME\MANDATO\BANCARIOS\SLM ISRAEL ANTONIO I PUNITAQUI (cheques minas).doc", "Abrir Documento")</f>
        <v>0</v>
      </c>
      <c r="D7068" t="s">
        <v>23500</v>
      </c>
      <c r="E7068" t="s">
        <v>29622</v>
      </c>
    </row>
    <row r="7069" spans="1:5">
      <c r="A7069" t="s">
        <v>6</v>
      </c>
      <c r="B7069" t="s">
        <v>7074</v>
      </c>
      <c r="C7069">
        <f>HYPERLINK("C:\Users\franc\OneDrive\Documentos\MALENTIN KARIME\MANDATO\BANCARIOS\SANTIAGO VARGAS GALLEGUILLOS 2013.doc", "Abrir Documento")</f>
        <v>0</v>
      </c>
      <c r="D7069" t="s">
        <v>23500</v>
      </c>
      <c r="E7069" t="s">
        <v>29623</v>
      </c>
    </row>
    <row r="7070" spans="1:5">
      <c r="A7070" t="s">
        <v>6</v>
      </c>
      <c r="B7070" t="s">
        <v>7075</v>
      </c>
      <c r="C7070">
        <f>HYPERLINK("C:\Users\franc\OneDrive\Documentos\MALENTIN KARIME\MANDATO\BANCARIOS\SANTIAGO VARGAS GALLEGUILLOS 2014.doc", "Abrir Documento")</f>
        <v>0</v>
      </c>
      <c r="D7070" t="s">
        <v>23500</v>
      </c>
      <c r="E7070" t="s">
        <v>29623</v>
      </c>
    </row>
    <row r="7071" spans="1:5">
      <c r="A7071" t="s">
        <v>6</v>
      </c>
      <c r="B7071" t="s">
        <v>7076</v>
      </c>
      <c r="C7071">
        <f>HYPERLINK("C:\Users\franc\OneDrive\Documentos\MALENTIN KARIME\MANDATO\BANCARIOS\ROBERTO ROJAS CORTES CTA. CTE..doc", "Abrir Documento")</f>
        <v>0</v>
      </c>
      <c r="D7071" t="s">
        <v>23500</v>
      </c>
      <c r="E7071" t="s">
        <v>29624</v>
      </c>
    </row>
    <row r="7072" spans="1:5">
      <c r="A7072" t="s">
        <v>6</v>
      </c>
      <c r="B7072" t="s">
        <v>7077</v>
      </c>
      <c r="C7072">
        <f>HYPERLINK("C:\Users\franc\OneDrive\Documentos\MALENTIN KARIME\MANDATO\BANCARIOS\SANTIAGO VARGAS GALLEGUILLOS 2012.doc", "Abrir Documento")</f>
        <v>0</v>
      </c>
      <c r="D7072" t="s">
        <v>23500</v>
      </c>
      <c r="E7072" t="s">
        <v>29624</v>
      </c>
    </row>
    <row r="7073" spans="1:5">
      <c r="A7073" t="s">
        <v>6</v>
      </c>
      <c r="B7073" t="s">
        <v>7078</v>
      </c>
      <c r="C7073">
        <f>HYPERLINK("C:\Users\franc\OneDrive\Documentos\MALENTIN KARIME\MANDATO\BANCARIOS\PEDROMUÑOZ OLIVARES.doc", "Abrir Documento")</f>
        <v>0</v>
      </c>
      <c r="D7073" t="s">
        <v>23500</v>
      </c>
      <c r="E7073" t="s">
        <v>29625</v>
      </c>
    </row>
    <row r="7074" spans="1:5">
      <c r="A7074" t="s">
        <v>6</v>
      </c>
      <c r="B7074" t="s">
        <v>7079</v>
      </c>
      <c r="C7074">
        <f>HYPERLINK("C:\Users\franc\OneDrive\Documentos\MALENTIN KARIME\MANDATO\BANCARIOS\RAQUEL CISTERNAS CORTES.doc", "Abrir Documento")</f>
        <v>0</v>
      </c>
      <c r="D7074" t="s">
        <v>23500</v>
      </c>
      <c r="E7074" t="s">
        <v>29625</v>
      </c>
    </row>
    <row r="7075" spans="1:5">
      <c r="A7075" t="s">
        <v>6</v>
      </c>
      <c r="B7075" t="s">
        <v>7080</v>
      </c>
      <c r="C7075">
        <f>HYPERLINK("C:\Users\franc\OneDrive\Documentos\MALENTIN KARIME\MANDATO\BANCARIOS\PEDRO ROJAS RAMIREZ.doc", "Abrir Documento")</f>
        <v>0</v>
      </c>
      <c r="D7075" t="s">
        <v>23500</v>
      </c>
      <c r="E7075" t="s">
        <v>29626</v>
      </c>
    </row>
    <row r="7076" spans="1:5">
      <c r="A7076" t="s">
        <v>6</v>
      </c>
      <c r="B7076" t="s">
        <v>7081</v>
      </c>
      <c r="C7076">
        <f>HYPERLINK("C:\Users\franc\OneDrive\Documentos\MALENTIN KARIME\MANDATO\BANCARIOS\PAOLA ALVAREZ CABEZAS CTA. CTE..doc", "Abrir Documento")</f>
        <v>0</v>
      </c>
      <c r="D7076" t="s">
        <v>23500</v>
      </c>
      <c r="E7076" t="s">
        <v>29627</v>
      </c>
    </row>
    <row r="7077" spans="1:5">
      <c r="A7077" t="s">
        <v>6</v>
      </c>
      <c r="B7077" t="s">
        <v>7082</v>
      </c>
      <c r="C7077">
        <f>HYPERLINK("C:\Users\franc\OneDrive\Documentos\MALENTIN KARIME\MANDATO\BANCARIOS\PEDRO CASTRO VILLA NUEVEA.doc", "Abrir Documento")</f>
        <v>0</v>
      </c>
      <c r="D7077" t="s">
        <v>23500</v>
      </c>
      <c r="E7077" t="s">
        <v>29627</v>
      </c>
    </row>
    <row r="7078" spans="1:5">
      <c r="A7078" t="s">
        <v>6</v>
      </c>
      <c r="B7078" t="s">
        <v>7083</v>
      </c>
      <c r="C7078">
        <f>HYPERLINK("C:\Users\franc\OneDrive\Documentos\MALENTIN KARIME\MANDATO\BANCARIOS\MODELO II.doc", "Abrir Documento")</f>
        <v>0</v>
      </c>
      <c r="D7078" t="s">
        <v>23500</v>
      </c>
      <c r="E7078" t="s">
        <v>29628</v>
      </c>
    </row>
    <row r="7079" spans="1:5">
      <c r="A7079" t="s">
        <v>6</v>
      </c>
      <c r="B7079" t="s">
        <v>7084</v>
      </c>
      <c r="C7079">
        <f>HYPERLINK("C:\Users\franc\OneDrive\Documentos\MALENTIN KARIME\MANDATO\BANCARIOS\NICOLAS TERUEL Bestado.doc", "Abrir Documento")</f>
        <v>0</v>
      </c>
      <c r="D7079" t="s">
        <v>23500</v>
      </c>
      <c r="E7079" t="s">
        <v>29628</v>
      </c>
    </row>
    <row r="7080" spans="1:5">
      <c r="A7080" t="s">
        <v>6</v>
      </c>
      <c r="B7080" t="s">
        <v>7085</v>
      </c>
      <c r="C7080">
        <f>HYPERLINK("C:\Users\franc\OneDrive\Documentos\MALENTIN KARIME\MANDATO\BANCARIOS\MARIO CASTILLO.doc", "Abrir Documento")</f>
        <v>0</v>
      </c>
      <c r="D7080" t="s">
        <v>23500</v>
      </c>
      <c r="E7080" t="s">
        <v>29629</v>
      </c>
    </row>
    <row r="7081" spans="1:5">
      <c r="A7081" t="s">
        <v>6</v>
      </c>
      <c r="B7081" t="s">
        <v>7086</v>
      </c>
      <c r="C7081">
        <f>HYPERLINK("C:\Users\franc\OneDrive\Documentos\MALENTIN KARIME\MANDATO\BANCARIOS\modelo CHEQUES.doc", "Abrir Documento")</f>
        <v>0</v>
      </c>
      <c r="D7081" t="s">
        <v>23500</v>
      </c>
      <c r="E7081" t="s">
        <v>29629</v>
      </c>
    </row>
    <row r="7082" spans="1:5">
      <c r="A7082" t="s">
        <v>6</v>
      </c>
      <c r="B7082" t="s">
        <v>7087</v>
      </c>
      <c r="C7082">
        <f>HYPERLINK("C:\Users\franc\OneDrive\Documentos\MALENTIN KARIME\MANDATO\BANCARIOS\MARIA ARAGON ( CTA.CTE).doc", "Abrir Documento")</f>
        <v>0</v>
      </c>
      <c r="D7082" t="s">
        <v>23500</v>
      </c>
      <c r="E7082" t="s">
        <v>29630</v>
      </c>
    </row>
    <row r="7083" spans="1:5">
      <c r="A7083" t="s">
        <v>6</v>
      </c>
      <c r="B7083" t="s">
        <v>7088</v>
      </c>
      <c r="C7083">
        <f>HYPERLINK("C:\Users\franc\OneDrive\Documentos\MALENTIN KARIME\MANDATO\BANCARIOS\MARIA ELENA FARIAS PLAZA ( CTA.CTE).doc", "Abrir Documento")</f>
        <v>0</v>
      </c>
      <c r="D7083" t="s">
        <v>23500</v>
      </c>
      <c r="E7083" t="s">
        <v>29630</v>
      </c>
    </row>
    <row r="7084" spans="1:5">
      <c r="A7084" t="s">
        <v>6</v>
      </c>
      <c r="B7084" t="s">
        <v>7089</v>
      </c>
      <c r="C7084">
        <f>HYPERLINK("C:\Users\franc\OneDrive\Documentos\MALENTIN KARIME\MANDATO\BANCARIOS\MANUEL RODRIGUEZ TORREJON Bestado.doc", "Abrir Documento")</f>
        <v>0</v>
      </c>
      <c r="D7084" t="s">
        <v>23500</v>
      </c>
      <c r="E7084" t="s">
        <v>29631</v>
      </c>
    </row>
    <row r="7085" spans="1:5">
      <c r="A7085" t="s">
        <v>6</v>
      </c>
      <c r="B7085" t="s">
        <v>7090</v>
      </c>
      <c r="C7085">
        <f>HYPERLINK("C:\Users\franc\OneDrive\Documentos\MALENTIN KARIME\MANDATO\BANCARIOS\MANUEL MAURIN PIZARRO  A VICTOR ARGANDOÑA ( CTA.CTE).doc", "Abrir Documento")</f>
        <v>0</v>
      </c>
      <c r="D7085" t="s">
        <v>23500</v>
      </c>
      <c r="E7085" t="s">
        <v>29632</v>
      </c>
    </row>
    <row r="7086" spans="1:5">
      <c r="A7086" t="s">
        <v>6</v>
      </c>
      <c r="B7086" t="s">
        <v>7091</v>
      </c>
      <c r="C7086">
        <f>HYPERLINK("C:\Users\franc\OneDrive\Documentos\MALENTIN KARIME\MANDATO\BANCARIOS\LOS MAITENES RIO HURTADO.doc", "Abrir Documento")</f>
        <v>0</v>
      </c>
      <c r="D7086" t="s">
        <v>23500</v>
      </c>
      <c r="E7086" t="s">
        <v>29633</v>
      </c>
    </row>
    <row r="7087" spans="1:5">
      <c r="A7087" t="s">
        <v>6</v>
      </c>
      <c r="B7087" t="s">
        <v>7092</v>
      </c>
      <c r="C7087">
        <f>HYPERLINK("C:\Users\franc\OneDrive\Documentos\MALENTIN KARIME\MANDATO\BANCARIOS\JUANA CAMPUSANO MIRANDA A CARLOS SEGOVIA.doc", "Abrir Documento")</f>
        <v>0</v>
      </c>
      <c r="D7087" t="s">
        <v>23500</v>
      </c>
      <c r="E7087" t="s">
        <v>29634</v>
      </c>
    </row>
    <row r="7088" spans="1:5">
      <c r="A7088" t="s">
        <v>6</v>
      </c>
      <c r="B7088" t="s">
        <v>7093</v>
      </c>
      <c r="C7088">
        <f>HYPERLINK("C:\Users\franc\OneDrive\Documentos\MALENTIN KARIME\MANDATO\BANCARIOS\KARIM ALAMO ( CTA.CTE).doc", "Abrir Documento")</f>
        <v>0</v>
      </c>
      <c r="D7088" t="s">
        <v>23500</v>
      </c>
      <c r="E7088" t="s">
        <v>29634</v>
      </c>
    </row>
    <row r="7089" spans="1:5">
      <c r="A7089" t="s">
        <v>6</v>
      </c>
      <c r="B7089" t="s">
        <v>7094</v>
      </c>
      <c r="C7089">
        <f>HYPERLINK("C:\Users\franc\OneDrive\Documentos\MALENTIN KARIME\MANDATO\BANCARIOS\JORGE MERY GONZALEZ.doc", "Abrir Documento")</f>
        <v>0</v>
      </c>
      <c r="D7089" t="s">
        <v>23500</v>
      </c>
      <c r="E7089" t="s">
        <v>29635</v>
      </c>
    </row>
    <row r="7090" spans="1:5">
      <c r="A7090" t="s">
        <v>6</v>
      </c>
      <c r="B7090" t="s">
        <v>7095</v>
      </c>
      <c r="C7090">
        <f>HYPERLINK("C:\Users\franc\OneDrive\Documentos\MALENTIN KARIME\MANDATO\BANCARIOS\JUANA ANGOTZI ARGANDOÑA Bco.Chile.doc", "Abrir Documento")</f>
        <v>0</v>
      </c>
      <c r="D7090" t="s">
        <v>23500</v>
      </c>
      <c r="E7090" t="s">
        <v>29635</v>
      </c>
    </row>
    <row r="7091" spans="1:5">
      <c r="A7091" t="s">
        <v>6</v>
      </c>
      <c r="B7091" t="s">
        <v>7096</v>
      </c>
      <c r="C7091">
        <f>HYPERLINK("C:\Users\franc\OneDrive\Documentos\MALENTIN KARIME\MANDATO\BANCARIOS\JINCONG DENG ( CTA.CTE).doc", "Abrir Documento")</f>
        <v>0</v>
      </c>
      <c r="D7091" t="s">
        <v>23500</v>
      </c>
      <c r="E7091" t="s">
        <v>29636</v>
      </c>
    </row>
    <row r="7092" spans="1:5">
      <c r="A7092" t="s">
        <v>6</v>
      </c>
      <c r="B7092" t="s">
        <v>7097</v>
      </c>
      <c r="C7092">
        <f>HYPERLINK("C:\Users\franc\OneDrive\Documentos\MALENTIN KARIME\MANDATO\BANCARIOS\JORGE MALUENDA.doc", "Abrir Documento")</f>
        <v>0</v>
      </c>
      <c r="D7092" t="s">
        <v>23500</v>
      </c>
      <c r="E7092" t="s">
        <v>29636</v>
      </c>
    </row>
    <row r="7093" spans="1:5">
      <c r="A7093" t="s">
        <v>6</v>
      </c>
      <c r="B7093" t="s">
        <v>7098</v>
      </c>
      <c r="C7093">
        <f>HYPERLINK("C:\Users\franc\OneDrive\Documentos\MALENTIN KARIME\MANDATO\BANCARIOS\JAVIER TABILO Bco.Santander.doc", "Abrir Documento")</f>
        <v>0</v>
      </c>
      <c r="D7093" t="s">
        <v>23500</v>
      </c>
      <c r="E7093" t="s">
        <v>29637</v>
      </c>
    </row>
    <row r="7094" spans="1:5">
      <c r="A7094" t="s">
        <v>6</v>
      </c>
      <c r="B7094" t="s">
        <v>7099</v>
      </c>
      <c r="C7094">
        <f>HYPERLINK("C:\Users\franc\OneDrive\Documentos\MALENTIN KARIME\MANDATO\BANCARIOS\JAVIER TABILO Bco. Corpbanca.doc", "Abrir Documento")</f>
        <v>0</v>
      </c>
      <c r="D7094" t="s">
        <v>23500</v>
      </c>
      <c r="E7094" t="s">
        <v>29638</v>
      </c>
    </row>
    <row r="7095" spans="1:5">
      <c r="A7095" t="s">
        <v>6</v>
      </c>
      <c r="B7095" t="s">
        <v>7100</v>
      </c>
      <c r="C7095">
        <f>HYPERLINK("C:\Users\franc\OneDrive\Documentos\MALENTIN KARIME\MANDATO\BANCARIOS\HERNAN IBACACHE RIVERA Mariana.doc", "Abrir Documento")</f>
        <v>0</v>
      </c>
      <c r="D7095" t="s">
        <v>23500</v>
      </c>
      <c r="E7095" t="s">
        <v>29639</v>
      </c>
    </row>
    <row r="7096" spans="1:5">
      <c r="A7096" t="s">
        <v>6</v>
      </c>
      <c r="B7096" t="s">
        <v>7101</v>
      </c>
      <c r="C7096">
        <f>HYPERLINK("C:\Users\franc\OneDrive\Documentos\MALENTIN KARIME\MANDATO\BANCARIOS\HILDA ANJEL CASTILLO.doc", "Abrir Documento")</f>
        <v>0</v>
      </c>
      <c r="D7096" t="s">
        <v>23500</v>
      </c>
      <c r="E7096" t="s">
        <v>29639</v>
      </c>
    </row>
    <row r="7097" spans="1:5">
      <c r="A7097" t="s">
        <v>6</v>
      </c>
      <c r="B7097" t="s">
        <v>7102</v>
      </c>
      <c r="C7097">
        <f>HYPERLINK("C:\Users\franc\OneDrive\Documentos\MALENTIN KARIME\MANDATO\BANCARIOS\HERMOGENES RUBIO - MILENA ZEGARRA.doc", "Abrir Documento")</f>
        <v>0</v>
      </c>
      <c r="D7097" t="s">
        <v>23500</v>
      </c>
      <c r="E7097" t="s">
        <v>29640</v>
      </c>
    </row>
    <row r="7098" spans="1:5">
      <c r="A7098" t="s">
        <v>6</v>
      </c>
      <c r="B7098" t="s">
        <v>7103</v>
      </c>
      <c r="C7098">
        <f>HYPERLINK("C:\Users\franc\OneDrive\Documentos\MALENTIN KARIME\MANDATO\BANCARIOS\HERMOGENES RUBIO - MILENA ZEGARRA Julio 14.doc", "Abrir Documento")</f>
        <v>0</v>
      </c>
      <c r="D7098" t="s">
        <v>23500</v>
      </c>
      <c r="E7098" t="s">
        <v>29641</v>
      </c>
    </row>
    <row r="7099" spans="1:5">
      <c r="A7099" t="s">
        <v>6</v>
      </c>
      <c r="B7099" t="s">
        <v>7104</v>
      </c>
      <c r="C7099">
        <f>HYPERLINK("C:\Users\franc\OneDrive\Documentos\MALENTIN KARIME\MANDATO\BANCARIOS\HECTOR ADAOS  ( CTA.CTE).doc", "Abrir Documento")</f>
        <v>0</v>
      </c>
      <c r="D7099" t="s">
        <v>23500</v>
      </c>
      <c r="E7099" t="s">
        <v>29642</v>
      </c>
    </row>
    <row r="7100" spans="1:5">
      <c r="A7100" t="s">
        <v>6</v>
      </c>
      <c r="B7100" t="s">
        <v>7105</v>
      </c>
      <c r="C7100">
        <f>HYPERLINK("C:\Users\franc\OneDrive\Documentos\MALENTIN KARIME\MANDATO\BANCARIOS\ESMERALDO VALDIVIA.doc", "Abrir Documento")</f>
        <v>0</v>
      </c>
      <c r="D7100" t="s">
        <v>23500</v>
      </c>
      <c r="E7100" t="s">
        <v>29643</v>
      </c>
    </row>
    <row r="7101" spans="1:5">
      <c r="A7101" t="s">
        <v>6</v>
      </c>
      <c r="B7101" t="s">
        <v>7106</v>
      </c>
      <c r="C7101">
        <f>HYPERLINK("C:\Users\franc\OneDrive\Documentos\MALENTIN KARIME\MANDATO\BANCARIOS\FRANCISCO CORTES BONILLA.doc", "Abrir Documento")</f>
        <v>0</v>
      </c>
      <c r="D7101" t="s">
        <v>23500</v>
      </c>
      <c r="E7101" t="s">
        <v>29643</v>
      </c>
    </row>
    <row r="7102" spans="1:5">
      <c r="A7102" t="s">
        <v>6</v>
      </c>
      <c r="B7102" t="s">
        <v>7107</v>
      </c>
      <c r="C7102">
        <f>HYPERLINK("C:\Users\franc\OneDrive\Documentos\MALENTIN KARIME\MANDATO\BANCARIOS\DOMINGO TERUEL Corpbanca.doc", "Abrir Documento")</f>
        <v>0</v>
      </c>
      <c r="D7102" t="s">
        <v>23500</v>
      </c>
      <c r="E7102" t="s">
        <v>29644</v>
      </c>
    </row>
    <row r="7103" spans="1:5">
      <c r="A7103" t="s">
        <v>6</v>
      </c>
      <c r="B7103" t="s">
        <v>7108</v>
      </c>
      <c r="C7103">
        <f>HYPERLINK("C:\Users\franc\OneDrive\Documentos\MALENTIN KARIME\MANDATO\BANCARIOS\CRISTIAN ROJAS ( CTA.CTE).doc", "Abrir Documento")</f>
        <v>0</v>
      </c>
      <c r="D7103" t="s">
        <v>23500</v>
      </c>
      <c r="E7103" t="s">
        <v>29645</v>
      </c>
    </row>
    <row r="7104" spans="1:5">
      <c r="A7104" t="s">
        <v>6</v>
      </c>
      <c r="B7104" t="s">
        <v>7109</v>
      </c>
      <c r="C7104">
        <f>HYPERLINK("C:\Users\franc\OneDrive\Documentos\MALENTIN KARIME\MANDATO\BANCARIOS\DAVID OLIVARES VEGA Cta cte cheques.doc", "Abrir Documento")</f>
        <v>0</v>
      </c>
      <c r="D7104" t="s">
        <v>23500</v>
      </c>
      <c r="E7104" t="s">
        <v>29645</v>
      </c>
    </row>
    <row r="7105" spans="1:5">
      <c r="A7105" t="s">
        <v>6</v>
      </c>
      <c r="B7105" t="s">
        <v>7110</v>
      </c>
      <c r="C7105">
        <f>HYPERLINK("C:\Users\franc\OneDrive\Documentos\MALENTIN KARIME\MANDATO\BANCARIOS\CANAL DERIVADO PUNITAQUI ( CTA.CTE).doc", "Abrir Documento")</f>
        <v>0</v>
      </c>
      <c r="D7105" t="s">
        <v>23500</v>
      </c>
      <c r="E7105" t="s">
        <v>29646</v>
      </c>
    </row>
    <row r="7106" spans="1:5">
      <c r="A7106" t="s">
        <v>6</v>
      </c>
      <c r="B7106" t="s">
        <v>7111</v>
      </c>
      <c r="C7106">
        <f>HYPERLINK("C:\Users\franc\OneDrive\Documentos\MALENTIN KARIME\MANDATO\BANCARIOS\CIRO BERRIOS ROMERO ( CTA.CTE).doc", "Abrir Documento")</f>
        <v>0</v>
      </c>
      <c r="D7106" t="s">
        <v>23500</v>
      </c>
      <c r="E7106" t="s">
        <v>29646</v>
      </c>
    </row>
    <row r="7107" spans="1:5">
      <c r="A7107" t="s">
        <v>6</v>
      </c>
      <c r="B7107" t="s">
        <v>7112</v>
      </c>
      <c r="C7107">
        <f>HYPERLINK("C:\Users\franc\OneDrive\Documentos\MALENTIN KARIME\MANDATO\BANCARIOS\BENEDICTO MUNDACA AGUILERA.doc", "Abrir Documento")</f>
        <v>0</v>
      </c>
      <c r="D7107" t="s">
        <v>23500</v>
      </c>
      <c r="E7107" t="s">
        <v>29647</v>
      </c>
    </row>
    <row r="7108" spans="1:5">
      <c r="A7108" t="s">
        <v>6</v>
      </c>
      <c r="B7108" t="s">
        <v>7113</v>
      </c>
      <c r="C7108">
        <f>HYPERLINK("C:\Users\franc\OneDrive\Documentos\MALENTIN KARIME\MANDATO\BANCARIOS\ARNALDO GUERRA AGUILERA.doc", "Abrir Documento")</f>
        <v>0</v>
      </c>
      <c r="D7108" t="s">
        <v>23500</v>
      </c>
      <c r="E7108" t="s">
        <v>29648</v>
      </c>
    </row>
    <row r="7109" spans="1:5">
      <c r="A7109" t="s">
        <v>6</v>
      </c>
      <c r="B7109" t="s">
        <v>7114</v>
      </c>
      <c r="C7109">
        <f>HYPERLINK("C:\Users\franc\OneDrive\Documentos\MALENTIN KARIME\MANDATO\BANCARIOS\ALBERTO NUÑEZ CASTILLO.doc", "Abrir Documento")</f>
        <v>0</v>
      </c>
      <c r="D7109" t="s">
        <v>23500</v>
      </c>
      <c r="E7109" t="s">
        <v>29649</v>
      </c>
    </row>
    <row r="7110" spans="1:5">
      <c r="A7110" t="s">
        <v>6</v>
      </c>
      <c r="B7110" t="s">
        <v>7115</v>
      </c>
      <c r="C7110">
        <f>HYPERLINK("C:\Users\franc\OneDrive\Documentos\MALENTIN KARIME\MANDATO\BANCARIOS\AGUILERA BUSTAMANTE Y CIA.( CTA.CTE).doc", "Abrir Documento")</f>
        <v>0</v>
      </c>
      <c r="D7110" t="s">
        <v>23500</v>
      </c>
      <c r="E7110" t="s">
        <v>29650</v>
      </c>
    </row>
    <row r="7111" spans="1:5">
      <c r="A7111" t="s">
        <v>6</v>
      </c>
      <c r="B7111" t="s">
        <v>7116</v>
      </c>
      <c r="C7111">
        <f>HYPERLINK("C:\Users\franc\OneDrive\Documentos\MALENTIN KARIME\MANDATO\BANCARIOS\ADOLFO VARVAS VARGAS.doc", "Abrir Documento")</f>
        <v>0</v>
      </c>
      <c r="D7111" t="s">
        <v>23500</v>
      </c>
      <c r="E7111" t="s">
        <v>29651</v>
      </c>
    </row>
    <row r="7112" spans="1:5">
      <c r="A7112" t="s">
        <v>6</v>
      </c>
      <c r="B7112" t="s">
        <v>7117</v>
      </c>
      <c r="C7112">
        <f>HYPERLINK("C:\Users\franc\OneDrive\Documentos\MALENTIN KARIME\MANDATO\ARTURO CONTADOR\AGRICOLA SAN ERASMO.doc", "Abrir Documento")</f>
        <v>0</v>
      </c>
      <c r="D7112" t="s">
        <v>23500</v>
      </c>
      <c r="E7112" t="s">
        <v>29652</v>
      </c>
    </row>
    <row r="7113" spans="1:5">
      <c r="A7113" t="s">
        <v>6</v>
      </c>
      <c r="B7113" t="s">
        <v>7118</v>
      </c>
      <c r="C7113">
        <f>HYPERLINK("C:\Users\franc\OneDrive\Documentos\MALENTIN KARIME\MANDATO\ARTURO CONTADOR\AGRICOLA RECOLETA DOS.doc", "Abrir Documento")</f>
        <v>0</v>
      </c>
      <c r="D7113" t="s">
        <v>23500</v>
      </c>
      <c r="E7113" t="s">
        <v>29653</v>
      </c>
    </row>
    <row r="7114" spans="1:5">
      <c r="A7114" t="s">
        <v>6</v>
      </c>
      <c r="B7114" t="s">
        <v>7119</v>
      </c>
      <c r="C7114">
        <f>HYPERLINK("C:\Users\franc\OneDrive\Documentos\MALENTIN KARIME\MANDATO\ARTURO CONTADOR\AGRICOLA LAS TOTORAS UNO S.A..doc", "Abrir Documento")</f>
        <v>0</v>
      </c>
      <c r="D7114" t="s">
        <v>23500</v>
      </c>
      <c r="E7114" t="s">
        <v>29654</v>
      </c>
    </row>
    <row r="7115" spans="1:5">
      <c r="A7115" t="s">
        <v>6</v>
      </c>
      <c r="B7115" t="s">
        <v>7120</v>
      </c>
      <c r="C7115">
        <f>HYPERLINK("C:\Users\franc\OneDrive\Documentos\MALENTIN KARIME\MANDATO\NORTES PEÑALOZA.doc", "Abrir Documento")</f>
        <v>0</v>
      </c>
      <c r="D7115" t="s">
        <v>23500</v>
      </c>
      <c r="E7115" t="s">
        <v>29655</v>
      </c>
    </row>
    <row r="7116" spans="1:5">
      <c r="A7116" t="s">
        <v>6</v>
      </c>
      <c r="B7116" t="s">
        <v>7121</v>
      </c>
      <c r="C7116">
        <f>HYPERLINK("C:\Users\franc\OneDrive\Documentos\MALENTIN KARIME\MANDATO\VICENTE ALONSO BEJARANO Delegacion.doc", "Abrir Documento")</f>
        <v>0</v>
      </c>
      <c r="D7116" t="s">
        <v>23500</v>
      </c>
      <c r="E7116" t="s">
        <v>29655</v>
      </c>
    </row>
    <row r="7117" spans="1:5">
      <c r="A7117" t="s">
        <v>6</v>
      </c>
      <c r="B7117" t="s">
        <v>7122</v>
      </c>
      <c r="C7117">
        <f>HYPERLINK("C:\Users\franc\OneDrive\Documentos\MALENTIN KARIME\MANDATO\DALIBOR YURIN Donacion.doc", "Abrir Documento")</f>
        <v>0</v>
      </c>
      <c r="D7117" t="s">
        <v>23500</v>
      </c>
      <c r="E7117" t="s">
        <v>29656</v>
      </c>
    </row>
    <row r="7118" spans="1:5">
      <c r="A7118" t="s">
        <v>6</v>
      </c>
      <c r="B7118" t="s">
        <v>7123</v>
      </c>
      <c r="C7118">
        <f>HYPERLINK("C:\Users\franc\OneDrive\Documentos\MALENTIN KARIME\LUIS URQUETA\AGRICOLA LA RECOLETA A RAUL ALVAREZ.doc", "Abrir Documento")</f>
        <v>0</v>
      </c>
      <c r="D7118" t="s">
        <v>23500</v>
      </c>
      <c r="E7118" t="s">
        <v>29657</v>
      </c>
    </row>
    <row r="7119" spans="1:5">
      <c r="A7119" t="s">
        <v>6</v>
      </c>
      <c r="B7119" t="s">
        <v>7124</v>
      </c>
      <c r="C7119">
        <f>HYPERLINK("C:\Users\franc\OneDrive\Documentos\MALENTIN KARIME\LUIS GALLARDO\2018\Luis Gallardo Aclaración  CAMPOS PASTEN.doc", "Abrir Documento")</f>
        <v>0</v>
      </c>
      <c r="D7119" t="s">
        <v>23500</v>
      </c>
      <c r="E7119" t="s">
        <v>29658</v>
      </c>
    </row>
    <row r="7120" spans="1:5">
      <c r="A7120" t="s">
        <v>6</v>
      </c>
      <c r="B7120" t="s">
        <v>7125</v>
      </c>
      <c r="C7120">
        <f>HYPERLINK("C:\Users\franc\OneDrive\Documentos\MALENTIN KARIME\LUIS GALLARDO\2016\SOC. AGROINDUSTRIAL AGRICOR Mandato.doc", "Abrir Documento")</f>
        <v>0</v>
      </c>
      <c r="D7120" t="s">
        <v>23500</v>
      </c>
      <c r="E7120" t="s">
        <v>29659</v>
      </c>
    </row>
    <row r="7121" spans="1:5">
      <c r="A7121" t="s">
        <v>6</v>
      </c>
      <c r="B7121" t="s">
        <v>7126</v>
      </c>
      <c r="C7121">
        <f>HYPERLINK("C:\Users\franc\OneDrive\Documentos\MALENTIN KARIME\LUIS GALLARDO\2016\Benedicto Campos y otros Mandato Especial.doc", "Abrir Documento")</f>
        <v>0</v>
      </c>
      <c r="D7121" t="s">
        <v>23500</v>
      </c>
      <c r="E7121" t="s">
        <v>29660</v>
      </c>
    </row>
    <row r="7122" spans="1:5">
      <c r="A7122" t="s">
        <v>6</v>
      </c>
      <c r="B7122" t="s">
        <v>7127</v>
      </c>
      <c r="C7122">
        <f>HYPERLINK("C:\Users\franc\OneDrive\Documentos\MALENTIN KARIME\LUIS GALLARDO\2015\SAMUEL GONZALEZ complementacion.doc", "Abrir Documento")</f>
        <v>0</v>
      </c>
      <c r="D7122" t="s">
        <v>23500</v>
      </c>
      <c r="E7122" t="s">
        <v>29661</v>
      </c>
    </row>
    <row r="7123" spans="1:5">
      <c r="A7123" t="s">
        <v>6</v>
      </c>
      <c r="B7123" t="s">
        <v>7128</v>
      </c>
      <c r="C7123">
        <f>HYPERLINK("C:\Users\franc\OneDrive\Documentos\MALENTIN KARIME\LUIS GALLARDO\2015\SAMUEL GONZALEZ complementacion II parte.doc", "Abrir Documento")</f>
        <v>0</v>
      </c>
      <c r="D7123" t="s">
        <v>23500</v>
      </c>
      <c r="E7123" t="s">
        <v>29662</v>
      </c>
    </row>
    <row r="7124" spans="1:5">
      <c r="A7124" t="s">
        <v>6</v>
      </c>
      <c r="B7124" t="s">
        <v>7129</v>
      </c>
      <c r="C7124">
        <f>HYPERLINK("C:\Users\franc\OneDrive\Documentos\MALENTIN KARIME\LUIS GALLARDO\2015\ROSA CASTILLO A Miguel Godoy RESCILIACION 2015.doc", "Abrir Documento")</f>
        <v>0</v>
      </c>
      <c r="D7124" t="s">
        <v>23500</v>
      </c>
      <c r="E7124" t="s">
        <v>29663</v>
      </c>
    </row>
    <row r="7125" spans="1:5">
      <c r="A7125" t="s">
        <v>6</v>
      </c>
      <c r="B7125" t="s">
        <v>7130</v>
      </c>
      <c r="C7125">
        <f>HYPERLINK("C:\Users\franc\OneDrive\Documentos\MALENTIN KARIME\LUIS GALLARDO\2015\PROMESA DE COMPRAVENTA, ARRENDAMIENTO CRISTIAN ARAYA CASTILLO.doc", "Abrir Documento")</f>
        <v>0</v>
      </c>
      <c r="D7125" t="s">
        <v>23500</v>
      </c>
      <c r="E7125" t="s">
        <v>29664</v>
      </c>
    </row>
    <row r="7126" spans="1:5">
      <c r="A7126" t="s">
        <v>6</v>
      </c>
      <c r="B7126" t="s">
        <v>7131</v>
      </c>
      <c r="C7126">
        <f>HYPERLINK("C:\Users\franc\OneDrive\Documentos\MALENTIN KARIME\LUIS GALLARDO\2015\ROSA CASTILLO A Cristian Araya PROMESA y ARRENDAMIENTO 2015.doc", "Abrir Documento")</f>
        <v>0</v>
      </c>
      <c r="D7126" t="s">
        <v>23500</v>
      </c>
      <c r="E7126" t="s">
        <v>29664</v>
      </c>
    </row>
    <row r="7127" spans="1:5">
      <c r="A7127" t="s">
        <v>6</v>
      </c>
      <c r="B7127" t="s">
        <v>7132</v>
      </c>
      <c r="C7127">
        <f>HYPERLINK("C:\Users\franc\OneDrive\Documentos\MALENTIN KARIME\LUIS GALLARDO\2015\LUIS GALLARDO Aclaracion Julio 2015.doc", "Abrir Documento")</f>
        <v>0</v>
      </c>
      <c r="D7127" t="s">
        <v>23500</v>
      </c>
      <c r="E7127" t="s">
        <v>29665</v>
      </c>
    </row>
    <row r="7128" spans="1:5">
      <c r="A7128" t="s">
        <v>6</v>
      </c>
      <c r="B7128" t="s">
        <v>7133</v>
      </c>
      <c r="C7128">
        <f>HYPERLINK("C:\Users\franc\OneDrive\Documentos\MALENTIN KARIME\LUIS GALLARDO\2015\LUIS GALLARDO Aclaracion Julio 2015 con SUPLENCIA.doc", "Abrir Documento")</f>
        <v>0</v>
      </c>
      <c r="D7128" t="s">
        <v>23500</v>
      </c>
      <c r="E7128" t="s">
        <v>29666</v>
      </c>
    </row>
    <row r="7129" spans="1:5">
      <c r="A7129" t="s">
        <v>6</v>
      </c>
      <c r="B7129" t="s">
        <v>7134</v>
      </c>
      <c r="C7129">
        <f>HYPERLINK("C:\Users\franc\OneDrive\Documentos\MALENTIN KARIME\LUIS GALLARDO\2015\LUCILA CAMPUSANO A Guillermo Marin Godoy oct 2015.doc", "Abrir Documento")</f>
        <v>0</v>
      </c>
      <c r="D7129" t="s">
        <v>23500</v>
      </c>
      <c r="E7129" t="s">
        <v>29667</v>
      </c>
    </row>
    <row r="7130" spans="1:5">
      <c r="A7130" t="s">
        <v>6</v>
      </c>
      <c r="B7130" t="s">
        <v>7135</v>
      </c>
      <c r="C7130">
        <f>HYPERLINK("C:\Users\franc\OneDrive\Documentos\MALENTIN KARIME\LUIS GALLARDO\2015\JUAN MUNDACA RODRIGUEZ A Silvia Veliz.doc", "Abrir Documento")</f>
        <v>0</v>
      </c>
      <c r="D7130" t="s">
        <v>23500</v>
      </c>
      <c r="E7130" t="s">
        <v>29668</v>
      </c>
    </row>
    <row r="7131" spans="1:5">
      <c r="A7131" t="s">
        <v>6</v>
      </c>
      <c r="B7131" t="s">
        <v>7136</v>
      </c>
      <c r="C7131">
        <f>HYPERLINK("C:\Users\franc\OneDrive\Documentos\MALENTIN KARIME\LUIS GALLARDO\2015\HERMAN CORTES A HELIO CORTES con cambios.doc", "Abrir Documento")</f>
        <v>0</v>
      </c>
      <c r="D7131" t="s">
        <v>23500</v>
      </c>
      <c r="E7131" t="s">
        <v>29669</v>
      </c>
    </row>
    <row r="7132" spans="1:5">
      <c r="A7132" t="s">
        <v>6</v>
      </c>
      <c r="B7132" t="s">
        <v>7137</v>
      </c>
      <c r="C7132">
        <f>HYPERLINK("C:\Users\franc\OneDrive\Documentos\MALENTIN KARIME\LUIS GALLARDO\2015\AGRICOLA PISCIS A Nelson Canibilo.doc", "Abrir Documento")</f>
        <v>0</v>
      </c>
      <c r="D7132" t="s">
        <v>23500</v>
      </c>
      <c r="E7132" t="s">
        <v>29670</v>
      </c>
    </row>
    <row r="7133" spans="1:5">
      <c r="A7133" t="s">
        <v>6</v>
      </c>
      <c r="B7133" t="s">
        <v>7138</v>
      </c>
      <c r="C7133">
        <f>HYPERLINK("C:\Users\franc\OneDrive\Documentos\MALENTIN KARIME\LUIS GALLARDO\2014\STELLA PERRY A  RICARDO OCARANZA ROBLES cvta.doc", "Abrir Documento")</f>
        <v>0</v>
      </c>
      <c r="D7133" t="s">
        <v>23500</v>
      </c>
      <c r="E7133" t="s">
        <v>29671</v>
      </c>
    </row>
    <row r="7134" spans="1:5">
      <c r="A7134" t="s">
        <v>6</v>
      </c>
      <c r="B7134" t="s">
        <v>7139</v>
      </c>
      <c r="C7134">
        <f>HYPERLINK("C:\Users\franc\OneDrive\Documentos\MALENTIN KARIME\LUIS GALLARDO\2014\PEDRO CORTES A Iribando Cortes y otros Junio 14.doc", "Abrir Documento")</f>
        <v>0</v>
      </c>
      <c r="D7134" t="s">
        <v>23500</v>
      </c>
      <c r="E7134" t="s">
        <v>29672</v>
      </c>
    </row>
    <row r="7135" spans="1:5">
      <c r="A7135" t="s">
        <v>6</v>
      </c>
      <c r="B7135" t="s">
        <v>7140</v>
      </c>
      <c r="C7135">
        <f>HYPERLINK("C:\Users\franc\OneDrive\Documentos\MALENTIN KARIME\LUIS GALLARDO\2014\PEDRO CORTES a HELIO CORTES Compraventa.doc", "Abrir Documento")</f>
        <v>0</v>
      </c>
      <c r="D7135" t="s">
        <v>23500</v>
      </c>
      <c r="E7135" t="s">
        <v>29673</v>
      </c>
    </row>
    <row r="7136" spans="1:5">
      <c r="A7136" t="s">
        <v>6</v>
      </c>
      <c r="B7136" t="s">
        <v>7141</v>
      </c>
      <c r="C7136">
        <f>HYPERLINK("C:\Users\franc\OneDrive\Documentos\MALENTIN KARIME\LUIS GALLARDO\2014\MONICA FIGUEROA DIAZ A PEDRO FIGUEROA Cesion D.doc", "Abrir Documento")</f>
        <v>0</v>
      </c>
      <c r="D7136" t="s">
        <v>23500</v>
      </c>
      <c r="E7136" t="s">
        <v>29674</v>
      </c>
    </row>
    <row r="7137" spans="1:5">
      <c r="A7137" t="s">
        <v>6</v>
      </c>
      <c r="B7137" t="s">
        <v>7142</v>
      </c>
      <c r="C7137">
        <f>HYPERLINK("C:\Users\franc\OneDrive\Documentos\MALENTIN KARIME\LUIS GALLARDO\2014\MARGARITA LOPEZ PASTEN Servidumbre.doc", "Abrir Documento")</f>
        <v>0</v>
      </c>
      <c r="D7137" t="s">
        <v>23500</v>
      </c>
      <c r="E7137" t="s">
        <v>29675</v>
      </c>
    </row>
    <row r="7138" spans="1:5">
      <c r="A7138" t="s">
        <v>6</v>
      </c>
      <c r="B7138" t="s">
        <v>7143</v>
      </c>
      <c r="C7138">
        <f>HYPERLINK("C:\Users\franc\OneDrive\Documentos\MALENTIN KARIME\LUIS GALLARDO\2014\AGRICOLA PUNITAQUI NORTE LTDA. m judicial.doc", "Abrir Documento")</f>
        <v>0</v>
      </c>
      <c r="D7138" t="s">
        <v>23500</v>
      </c>
      <c r="E7138" t="s">
        <v>29676</v>
      </c>
    </row>
    <row r="7139" spans="1:5">
      <c r="A7139" t="s">
        <v>6</v>
      </c>
      <c r="B7139" t="s">
        <v>7144</v>
      </c>
      <c r="C7139">
        <f>HYPERLINK("C:\Users\franc\OneDrive\Documentos\MALENTIN KARIME\LUIS GALLARDO\2013\VERONICA CERDA MONTENEGRO Aclaracion.doc", "Abrir Documento")</f>
        <v>0</v>
      </c>
      <c r="D7139" t="s">
        <v>23500</v>
      </c>
      <c r="E7139" t="s">
        <v>29677</v>
      </c>
    </row>
    <row r="7140" spans="1:5">
      <c r="A7140" t="s">
        <v>6</v>
      </c>
      <c r="B7140" t="s">
        <v>7145</v>
      </c>
      <c r="C7140">
        <f>HYPERLINK("C:\Users\franc\OneDrive\Documentos\MALENTIN KARIME\LUIS GALLARDO\2013\MARIA EUGENIA GONZALEZ A MARCELA GONZALEZ Personal.doc", "Abrir Documento")</f>
        <v>0</v>
      </c>
      <c r="D7140" t="s">
        <v>23500</v>
      </c>
      <c r="E7140" t="s">
        <v>29678</v>
      </c>
    </row>
    <row r="7141" spans="1:5">
      <c r="A7141" t="s">
        <v>6</v>
      </c>
      <c r="B7141" t="s">
        <v>7146</v>
      </c>
      <c r="C7141">
        <f>HYPERLINK("C:\Users\franc\OneDrive\Documentos\MALENTIN KARIME\LUIS GALLARDO\2013\LUIS GALLARDO Compl.doc", "Abrir Documento")</f>
        <v>0</v>
      </c>
      <c r="D7141" t="s">
        <v>23500</v>
      </c>
      <c r="E7141" t="s">
        <v>29679</v>
      </c>
    </row>
    <row r="7142" spans="1:5">
      <c r="A7142" t="s">
        <v>6</v>
      </c>
      <c r="B7142" t="s">
        <v>7147</v>
      </c>
      <c r="C7142">
        <f>HYPERLINK("C:\Users\franc\OneDrive\Documentos\MALENTIN KARIME\LUIS GALLARDO\2012\VALENTIN CONTRERAS A GABRIEL VELIZ.doc", "Abrir Documento")</f>
        <v>0</v>
      </c>
      <c r="D7142" t="s">
        <v>23500</v>
      </c>
      <c r="E7142" t="s">
        <v>29680</v>
      </c>
    </row>
    <row r="7143" spans="1:5">
      <c r="A7143" t="s">
        <v>6</v>
      </c>
      <c r="B7143" t="s">
        <v>7148</v>
      </c>
      <c r="C7143">
        <f>HYPERLINK("C:\Users\franc\OneDrive\Documentos\MALENTIN KARIME\LUIS GALLARDO\2012\SUCESION LOPEZ PASTEN Particion.doc", "Abrir Documento")</f>
        <v>0</v>
      </c>
      <c r="D7143" t="s">
        <v>23500</v>
      </c>
      <c r="E7143" t="s">
        <v>29681</v>
      </c>
    </row>
    <row r="7144" spans="1:5">
      <c r="A7144" t="s">
        <v>6</v>
      </c>
      <c r="B7144" t="s">
        <v>7149</v>
      </c>
      <c r="C7144">
        <f>HYPERLINK("C:\Users\franc\OneDrive\Documentos\MALENTIN KARIME\LUIS GALLARDO\2012\LUIS GALLARDO Compl.doc", "Abrir Documento")</f>
        <v>0</v>
      </c>
      <c r="D7144" t="s">
        <v>23500</v>
      </c>
      <c r="E7144" t="s">
        <v>29682</v>
      </c>
    </row>
    <row r="7145" spans="1:5">
      <c r="A7145" t="s">
        <v>6</v>
      </c>
      <c r="B7145" t="s">
        <v>7150</v>
      </c>
      <c r="C7145">
        <f>HYPERLINK("C:\Users\franc\OneDrive\Documentos\MALENTIN KARIME\LUIS GALLARDO\2012\JOSE JIMENEZ A ROBERTO ZULETA Y OTROS Dic 2012.doc", "Abrir Documento")</f>
        <v>0</v>
      </c>
      <c r="D7145" t="s">
        <v>23500</v>
      </c>
      <c r="E7145" t="s">
        <v>29683</v>
      </c>
    </row>
    <row r="7146" spans="1:5">
      <c r="A7146" t="s">
        <v>6</v>
      </c>
      <c r="B7146" t="s">
        <v>7151</v>
      </c>
      <c r="C7146">
        <f>HYPERLINK("C:\Users\franc\OneDrive\Documentos\MALENTIN KARIME\LUIS GALLARDO\2012\LUIS GALLARDO Aclaracion Permuta.doc", "Abrir Documento")</f>
        <v>0</v>
      </c>
      <c r="D7146" t="s">
        <v>23500</v>
      </c>
      <c r="E7146" t="s">
        <v>29683</v>
      </c>
    </row>
    <row r="7147" spans="1:5">
      <c r="A7147" t="s">
        <v>6</v>
      </c>
      <c r="B7147" t="s">
        <v>7152</v>
      </c>
      <c r="C7147">
        <f>HYPERLINK("C:\Users\franc\OneDrive\Documentos\MALENTIN KARIME\LUIS GALLARDO\2012\JORGE CONTADOR Y OTROS.doc", "Abrir Documento")</f>
        <v>0</v>
      </c>
      <c r="D7147" t="s">
        <v>23500</v>
      </c>
      <c r="E7147" t="s">
        <v>29684</v>
      </c>
    </row>
    <row r="7148" spans="1:5">
      <c r="A7148" t="s">
        <v>6</v>
      </c>
      <c r="B7148" t="s">
        <v>7153</v>
      </c>
      <c r="C7148">
        <f>HYPERLINK("C:\Users\franc\OneDrive\Documentos\MALENTIN KARIME\LUIS GALLARDO\2012\GUILLERMO PINTO SEGOVIA Acuerdo.doc", "Abrir Documento")</f>
        <v>0</v>
      </c>
      <c r="D7148" t="s">
        <v>23500</v>
      </c>
      <c r="E7148" t="s">
        <v>29685</v>
      </c>
    </row>
    <row r="7149" spans="1:5">
      <c r="A7149" t="s">
        <v>6</v>
      </c>
      <c r="B7149" t="s">
        <v>7154</v>
      </c>
      <c r="C7149">
        <f>HYPERLINK("C:\Users\franc\OneDrive\Documentos\MALENTIN KARIME\LUIS GALLARDO\2012\FRESIA LOPEZ A otros CESION DERECHOS PRO INDIVISO.doc", "Abrir Documento")</f>
        <v>0</v>
      </c>
      <c r="D7149" t="s">
        <v>23500</v>
      </c>
      <c r="E7149" t="s">
        <v>29686</v>
      </c>
    </row>
    <row r="7150" spans="1:5">
      <c r="A7150" t="s">
        <v>6</v>
      </c>
      <c r="B7150" t="s">
        <v>7155</v>
      </c>
      <c r="C7150">
        <f>HYPERLINK("C:\Users\franc\OneDrive\Documentos\MALENTIN KARIME\LUIS GALLARDO\2012\FRESIA LOPEZ A Clara Lopez CESION Y USUFRUCTO.doc", "Abrir Documento")</f>
        <v>0</v>
      </c>
      <c r="D7150" t="s">
        <v>23500</v>
      </c>
      <c r="E7150" t="s">
        <v>29687</v>
      </c>
    </row>
    <row r="7151" spans="1:5">
      <c r="A7151" t="s">
        <v>6</v>
      </c>
      <c r="B7151" t="s">
        <v>7156</v>
      </c>
      <c r="C7151">
        <f>HYPERLINK("C:\Users\franc\OneDrive\Documentos\MALENTIN KARIME\LUIS GALLARDO\2012\DIAZ BRUNA permuta.doc", "Abrir Documento")</f>
        <v>0</v>
      </c>
      <c r="D7151" t="s">
        <v>23500</v>
      </c>
      <c r="E7151" t="s">
        <v>29688</v>
      </c>
    </row>
    <row r="7152" spans="1:5">
      <c r="A7152" t="s">
        <v>6</v>
      </c>
      <c r="B7152" t="s">
        <v>7157</v>
      </c>
      <c r="C7152">
        <f>HYPERLINK("C:\Users\franc\OneDrive\Documentos\MALENTIN KARIME\LUIS GALLARDO\2012\FLORIDOR CORTES A TRANSPORTES FULLBUS.doc", "Abrir Documento")</f>
        <v>0</v>
      </c>
      <c r="D7152" t="s">
        <v>23500</v>
      </c>
      <c r="E7152" t="s">
        <v>29688</v>
      </c>
    </row>
    <row r="7153" spans="1:5">
      <c r="A7153" t="s">
        <v>6</v>
      </c>
      <c r="B7153" t="s">
        <v>7158</v>
      </c>
      <c r="C7153">
        <f>HYPERLINK("C:\Users\franc\OneDrive\Documentos\MALENTIN KARIME\LUIS GALLARDO\2012\COMUNIDAD AGRICOLA HUAMPULLA.doc", "Abrir Documento")</f>
        <v>0</v>
      </c>
      <c r="D7153" t="s">
        <v>23500</v>
      </c>
      <c r="E7153" t="s">
        <v>29689</v>
      </c>
    </row>
    <row r="7154" spans="1:5">
      <c r="A7154" t="s">
        <v>6</v>
      </c>
      <c r="B7154" t="s">
        <v>7159</v>
      </c>
      <c r="C7154">
        <f>HYPERLINK("C:\Users\franc\OneDrive\Documentos\MALENTIN KARIME\LUIS GALLARDO\2012\CARMEN GONZALEZ VILLARROEL A OSVALDO SAAVEDRA Cvta..doc", "Abrir Documento")</f>
        <v>0</v>
      </c>
      <c r="D7154" t="s">
        <v>23500</v>
      </c>
      <c r="E7154" t="s">
        <v>29690</v>
      </c>
    </row>
    <row r="7155" spans="1:5">
      <c r="A7155" t="s">
        <v>6</v>
      </c>
      <c r="B7155" t="s">
        <v>7160</v>
      </c>
      <c r="C7155">
        <f>HYPERLINK("C:\Users\franc\OneDrive\Documentos\MALENTIN KARIME\LUIS GALLARDO\2012\BERNABE HENRIQUEZ A JAIME ZEPEDA.doc", "Abrir Documento")</f>
        <v>0</v>
      </c>
      <c r="D7155" t="s">
        <v>23500</v>
      </c>
      <c r="E7155" t="s">
        <v>29691</v>
      </c>
    </row>
    <row r="7156" spans="1:5">
      <c r="A7156" t="s">
        <v>6</v>
      </c>
      <c r="B7156" t="s">
        <v>7161</v>
      </c>
      <c r="C7156">
        <f>HYPERLINK("C:\Users\franc\OneDrive\Documentos\MALENTIN KARIME\LUIS GALLARDO\2012\BENEDICTO CAMPOS PASTEN Mandato vender.doc", "Abrir Documento")</f>
        <v>0</v>
      </c>
      <c r="D7156" t="s">
        <v>23500</v>
      </c>
      <c r="E7156" t="s">
        <v>29692</v>
      </c>
    </row>
    <row r="7157" spans="1:5">
      <c r="A7157" t="s">
        <v>6</v>
      </c>
      <c r="B7157" t="s">
        <v>7162</v>
      </c>
      <c r="C7157">
        <f>HYPERLINK("C:\Users\franc\OneDrive\Documentos\MALENTIN KARIME\LUIS GALLARDO\2011\Victoria Salazar Aravena.doc", "Abrir Documento")</f>
        <v>0</v>
      </c>
      <c r="D7157" t="s">
        <v>23500</v>
      </c>
      <c r="E7157" t="s">
        <v>29693</v>
      </c>
    </row>
    <row r="7158" spans="1:5">
      <c r="A7158" t="s">
        <v>6</v>
      </c>
      <c r="B7158" t="s">
        <v>7163</v>
      </c>
      <c r="C7158">
        <f>HYPERLINK("C:\Users\franc\OneDrive\Documentos\MALENTIN KARIME\LUIS GALLARDO\2011\Samuel Gonzalez a Cecilia Gonzalez JUNIO 2011.doc", "Abrir Documento")</f>
        <v>0</v>
      </c>
      <c r="D7158" t="s">
        <v>23500</v>
      </c>
      <c r="E7158" t="s">
        <v>29694</v>
      </c>
    </row>
    <row r="7159" spans="1:5">
      <c r="A7159" t="s">
        <v>6</v>
      </c>
      <c r="B7159" t="s">
        <v>7164</v>
      </c>
      <c r="C7159">
        <f>HYPERLINK("C:\Users\franc\OneDrive\Documentos\MALENTIN KARIME\LUIS GALLARDO\2011\REBECA ROSADO TIRADO A Marta Tapia Cortes Junio 2011.doc", "Abrir Documento")</f>
        <v>0</v>
      </c>
      <c r="D7159" t="s">
        <v>23500</v>
      </c>
      <c r="E7159" t="s">
        <v>29695</v>
      </c>
    </row>
    <row r="7160" spans="1:5">
      <c r="A7160" t="s">
        <v>6</v>
      </c>
      <c r="B7160" t="s">
        <v>7165</v>
      </c>
      <c r="C7160">
        <f>HYPERLINK("C:\Users\franc\OneDrive\Documentos\MALENTIN KARIME\LUIS GALLARDO\2011\RAMON FUENTE GOMEZ A Yaritza Fuentes Geraldo.doc", "Abrir Documento")</f>
        <v>0</v>
      </c>
      <c r="D7160" t="s">
        <v>23500</v>
      </c>
      <c r="E7160" t="s">
        <v>29696</v>
      </c>
    </row>
    <row r="7161" spans="1:5">
      <c r="A7161" t="s">
        <v>6</v>
      </c>
      <c r="B7161" t="s">
        <v>7166</v>
      </c>
      <c r="C7161">
        <f>HYPERLINK("C:\Users\franc\OneDrive\Documentos\MALENTIN KARIME\LUIS GALLARDO\2011\NELSON ADAOS JERALDO Declaracion.doc", "Abrir Documento")</f>
        <v>0</v>
      </c>
      <c r="D7161" t="s">
        <v>23500</v>
      </c>
      <c r="E7161" t="s">
        <v>29697</v>
      </c>
    </row>
    <row r="7162" spans="1:5">
      <c r="A7162" t="s">
        <v>6</v>
      </c>
      <c r="B7162" t="s">
        <v>7167</v>
      </c>
      <c r="C7162">
        <f>HYPERLINK("C:\Users\franc\OneDrive\Documentos\MALENTIN KARIME\LUIS GALLARDO\2011\MARIA HERNRIQUEZ CARVAJAL Y OTROS Transaccion y Servidumbre.doc", "Abrir Documento")</f>
        <v>0</v>
      </c>
      <c r="D7162" t="s">
        <v>23500</v>
      </c>
      <c r="E7162" t="s">
        <v>29698</v>
      </c>
    </row>
    <row r="7163" spans="1:5">
      <c r="A7163" t="s">
        <v>6</v>
      </c>
      <c r="B7163" t="s">
        <v>7168</v>
      </c>
      <c r="C7163">
        <f>HYPERLINK("C:\Users\franc\OneDrive\Documentos\MALENTIN KARIME\LUIS GALLARDO\2011\MARY TEMPLEMAN Mandato.doc", "Abrir Documento")</f>
        <v>0</v>
      </c>
      <c r="D7163" t="s">
        <v>23500</v>
      </c>
      <c r="E7163" t="s">
        <v>29698</v>
      </c>
    </row>
    <row r="7164" spans="1:5">
      <c r="A7164" t="s">
        <v>6</v>
      </c>
      <c r="B7164" t="s">
        <v>7169</v>
      </c>
      <c r="C7164">
        <f>HYPERLINK("C:\Users\franc\OneDrive\Documentos\MALENTIN KARIME\LUIS GALLARDO\2011\JUAN ASCENCIO CASTILLO Mandato.doc", "Abrir Documento")</f>
        <v>0</v>
      </c>
      <c r="D7164" t="s">
        <v>23500</v>
      </c>
      <c r="E7164" t="s">
        <v>29699</v>
      </c>
    </row>
    <row r="7165" spans="1:5">
      <c r="A7165" t="s">
        <v>6</v>
      </c>
      <c r="B7165" t="s">
        <v>7170</v>
      </c>
      <c r="C7165">
        <f>HYPERLINK("C:\Users\franc\OneDrive\Documentos\MALENTIN KARIME\LUIS GALLARDO\2011\LUIS GALLARDO Complementaria Nov.doc", "Abrir Documento")</f>
        <v>0</v>
      </c>
      <c r="D7165" t="s">
        <v>23500</v>
      </c>
      <c r="E7165" t="s">
        <v>29699</v>
      </c>
    </row>
    <row r="7166" spans="1:5">
      <c r="A7166" t="s">
        <v>6</v>
      </c>
      <c r="B7166" t="s">
        <v>7171</v>
      </c>
      <c r="C7166">
        <f>HYPERLINK("C:\Users\franc\OneDrive\Documentos\MALENTIN KARIME\LUIS GALLARDO\2011\HILDA OVALLE HIDALGO Rectificatoria.doc", "Abrir Documento")</f>
        <v>0</v>
      </c>
      <c r="D7166" t="s">
        <v>23500</v>
      </c>
      <c r="E7166" t="s">
        <v>29700</v>
      </c>
    </row>
    <row r="7167" spans="1:5">
      <c r="A7167" t="s">
        <v>6</v>
      </c>
      <c r="B7167" t="s">
        <v>7172</v>
      </c>
      <c r="C7167">
        <f>HYPERLINK("C:\Users\franc\OneDrive\Documentos\MALENTIN KARIME\LUIS GALLARDO\2011\HILDA OVALLE HIDALGO Rectificatoria por Luis Gallardo.doc", "Abrir Documento")</f>
        <v>0</v>
      </c>
      <c r="D7167" t="s">
        <v>23500</v>
      </c>
      <c r="E7167" t="s">
        <v>29701</v>
      </c>
    </row>
    <row r="7168" spans="1:5">
      <c r="A7168" t="s">
        <v>6</v>
      </c>
      <c r="B7168" t="s">
        <v>7173</v>
      </c>
      <c r="C7168">
        <f>HYPERLINK("C:\Users\franc\OneDrive\Documentos\MALENTIN KARIME\LUIS GALLARDO\2011\COMPRAVENTA_REBECA_ROSADO_PIZARRO[1].doc", "Abrir Documento")</f>
        <v>0</v>
      </c>
      <c r="D7168" t="s">
        <v>23500</v>
      </c>
      <c r="E7168" t="s">
        <v>29702</v>
      </c>
    </row>
    <row r="7169" spans="1:5">
      <c r="A7169" t="s">
        <v>6</v>
      </c>
      <c r="B7169" t="s">
        <v>7174</v>
      </c>
      <c r="C7169">
        <f>HYPERLINK("C:\Users\franc\OneDrive\Documentos\MALENTIN KARIME\LUIS GALLARDO\2011\ABRAHAM GALLARDO RIVERA A Luis Gallardo.doc", "Abrir Documento")</f>
        <v>0</v>
      </c>
      <c r="D7169" t="s">
        <v>23500</v>
      </c>
      <c r="E7169" t="s">
        <v>29703</v>
      </c>
    </row>
    <row r="7170" spans="1:5">
      <c r="A7170" t="s">
        <v>6</v>
      </c>
      <c r="B7170" t="s">
        <v>7175</v>
      </c>
      <c r="C7170">
        <f>HYPERLINK("C:\Users\franc\OneDrive\Documentos\MALENTIN KARIME\LUIS GALLARDO\2011\ABRAHAM GALLARDO RIVERA A Luis Gallardo corregida.doc", "Abrir Documento")</f>
        <v>0</v>
      </c>
      <c r="D7170" t="s">
        <v>23500</v>
      </c>
      <c r="E7170" t="s">
        <v>29704</v>
      </c>
    </row>
    <row r="7171" spans="1:5">
      <c r="A7171" t="s">
        <v>6</v>
      </c>
      <c r="B7171" t="s">
        <v>7176</v>
      </c>
      <c r="C7171">
        <f>HYPERLINK("C:\Users\franc\OneDrive\Documentos\MALENTIN KARIME\LUIS GALLARDO\TURISMO LAGUNAS.doc", "Abrir Documento")</f>
        <v>0</v>
      </c>
      <c r="D7171" t="s">
        <v>23500</v>
      </c>
      <c r="E7171" t="s">
        <v>29705</v>
      </c>
    </row>
    <row r="7172" spans="1:5">
      <c r="A7172" t="s">
        <v>6</v>
      </c>
      <c r="B7172" t="s">
        <v>7177</v>
      </c>
      <c r="C7172">
        <f>HYPERLINK("C:\Users\franc\OneDrive\Documentos\MALENTIN KARIME\LUIS GALLARDO\STELLA PERRY A LORENZO VERGARA.doc", "Abrir Documento")</f>
        <v>0</v>
      </c>
      <c r="D7172" t="s">
        <v>23500</v>
      </c>
      <c r="E7172" t="s">
        <v>29706</v>
      </c>
    </row>
    <row r="7173" spans="1:5">
      <c r="A7173" t="s">
        <v>6</v>
      </c>
      <c r="B7173" t="s">
        <v>7178</v>
      </c>
      <c r="C7173">
        <f>HYPERLINK("C:\Users\franc\OneDrive\Documentos\MALENTIN KARIME\LUIS GALLARDO\STELLA PERRY A CARMEN URQUETA.doc", "Abrir Documento")</f>
        <v>0</v>
      </c>
      <c r="D7173" t="s">
        <v>23500</v>
      </c>
      <c r="E7173" t="s">
        <v>29707</v>
      </c>
    </row>
    <row r="7174" spans="1:5">
      <c r="A7174" t="s">
        <v>6</v>
      </c>
      <c r="B7174" t="s">
        <v>7179</v>
      </c>
      <c r="C7174">
        <f>HYPERLINK("C:\Users\franc\OneDrive\Documentos\MALENTIN KARIME\LUIS GALLARDO\STELLA PERRY A JUANA RODRIGUEZ.doc", "Abrir Documento")</f>
        <v>0</v>
      </c>
      <c r="D7174" t="s">
        <v>23500</v>
      </c>
      <c r="E7174" t="s">
        <v>29707</v>
      </c>
    </row>
    <row r="7175" spans="1:5">
      <c r="A7175" t="s">
        <v>6</v>
      </c>
      <c r="B7175" t="s">
        <v>7180</v>
      </c>
      <c r="C7175">
        <f>HYPERLINK("C:\Users\franc\OneDrive\Documentos\MALENTIN KARIME\LUIS GALLARDO\SOCIEDAD AGRICOLA LOS NISÑILES Mandato.doc", "Abrir Documento")</f>
        <v>0</v>
      </c>
      <c r="D7175" t="s">
        <v>23500</v>
      </c>
      <c r="E7175" t="s">
        <v>29708</v>
      </c>
    </row>
    <row r="7176" spans="1:5">
      <c r="A7176" t="s">
        <v>6</v>
      </c>
      <c r="B7176" t="s">
        <v>7181</v>
      </c>
      <c r="C7176">
        <f>HYPERLINK("C:\Users\franc\OneDrive\Documentos\MALENTIN KARIME\LUIS GALLARDO\SILVIA DIAZ DIAZ Renuncia gananciales.doc", "Abrir Documento")</f>
        <v>0</v>
      </c>
      <c r="D7176" t="s">
        <v>23500</v>
      </c>
      <c r="E7176" t="s">
        <v>29709</v>
      </c>
    </row>
    <row r="7177" spans="1:5">
      <c r="A7177" t="s">
        <v>6</v>
      </c>
      <c r="B7177" t="s">
        <v>7182</v>
      </c>
      <c r="C7177">
        <f>HYPERLINK("C:\Users\franc\OneDrive\Documentos\MALENTIN KARIME\LUIS GALLARDO\RAMON PEREZ BARRAZA Adjudicacion remate.doc", "Abrir Documento")</f>
        <v>0</v>
      </c>
      <c r="D7177" t="s">
        <v>23500</v>
      </c>
      <c r="E7177" t="s">
        <v>29710</v>
      </c>
    </row>
    <row r="7178" spans="1:5">
      <c r="A7178" t="s">
        <v>6</v>
      </c>
      <c r="B7178" t="s">
        <v>7183</v>
      </c>
      <c r="C7178">
        <f>HYPERLINK("C:\Users\franc\OneDrive\Documentos\MALENTIN KARIME\LUIS GALLARDO\RADIO SERGIO CANIHUANTE E.I.R.L.doc", "Abrir Documento")</f>
        <v>0</v>
      </c>
      <c r="D7178" t="s">
        <v>23500</v>
      </c>
      <c r="E7178" t="s">
        <v>29711</v>
      </c>
    </row>
    <row r="7179" spans="1:5">
      <c r="A7179" t="s">
        <v>6</v>
      </c>
      <c r="B7179" t="s">
        <v>7184</v>
      </c>
      <c r="C7179">
        <f>HYPERLINK("C:\Users\franc\OneDrive\Documentos\MALENTIN KARIME\LUIS GALLARDO\RAMON PEREZ BARRAZA Adjudicacion remate CORREJIDA.doc", "Abrir Documento")</f>
        <v>0</v>
      </c>
      <c r="D7179" t="s">
        <v>23500</v>
      </c>
      <c r="E7179" t="s">
        <v>29711</v>
      </c>
    </row>
    <row r="7180" spans="1:5">
      <c r="A7180" t="s">
        <v>6</v>
      </c>
      <c r="B7180" t="s">
        <v>7185</v>
      </c>
      <c r="C7180">
        <f>HYPERLINK("C:\Users\franc\OneDrive\Documentos\MALENTIN KARIME\LUIS GALLARDO\MANUEL RIVERA CASTILLO Declaracion.doc", "Abrir Documento")</f>
        <v>0</v>
      </c>
      <c r="D7180" t="s">
        <v>23500</v>
      </c>
      <c r="E7180" t="s">
        <v>29712</v>
      </c>
    </row>
    <row r="7181" spans="1:5">
      <c r="A7181" t="s">
        <v>6</v>
      </c>
      <c r="B7181" t="s">
        <v>7186</v>
      </c>
      <c r="C7181">
        <f>HYPERLINK("C:\Users\franc\OneDrive\Documentos\MALENTIN KARIME\LUIS GALLARDO\Nuda propiedad.doc", "Abrir Documento")</f>
        <v>0</v>
      </c>
      <c r="D7181" t="s">
        <v>23500</v>
      </c>
      <c r="E7181" t="s">
        <v>29712</v>
      </c>
    </row>
    <row r="7182" spans="1:5">
      <c r="A7182" t="s">
        <v>6</v>
      </c>
      <c r="B7182" t="s">
        <v>7187</v>
      </c>
      <c r="C7182">
        <f>HYPERLINK("C:\Users\franc\OneDrive\Documentos\MALENTIN KARIME\LUIS GALLARDO\Luis Gallardo M Judicial.doc", "Abrir Documento")</f>
        <v>0</v>
      </c>
      <c r="D7182" t="s">
        <v>23500</v>
      </c>
      <c r="E7182" t="s">
        <v>29713</v>
      </c>
    </row>
    <row r="7183" spans="1:5">
      <c r="A7183" t="s">
        <v>6</v>
      </c>
      <c r="B7183" t="s">
        <v>7188</v>
      </c>
      <c r="C7183">
        <f>HYPERLINK("C:\Users\franc\OneDrive\Documentos\MALENTIN KARIME\LUIS GALLARDO\LUISA JOSEFINA LETELIER Compraventa.doc", "Abrir Documento")</f>
        <v>0</v>
      </c>
      <c r="D7183" t="s">
        <v>23500</v>
      </c>
      <c r="E7183" t="s">
        <v>29713</v>
      </c>
    </row>
    <row r="7184" spans="1:5">
      <c r="A7184" t="s">
        <v>6</v>
      </c>
      <c r="B7184" t="s">
        <v>7189</v>
      </c>
      <c r="C7184">
        <f>HYPERLINK("C:\Users\franc\OneDrive\Documentos\MALENTIN KARIME\LUIS GALLARDO\LOS NISÑILES Y CAMPOS CAMPOS.doc", "Abrir Documento")</f>
        <v>0</v>
      </c>
      <c r="D7184" t="s">
        <v>23500</v>
      </c>
      <c r="E7184" t="s">
        <v>29714</v>
      </c>
    </row>
    <row r="7185" spans="1:5">
      <c r="A7185" t="s">
        <v>6</v>
      </c>
      <c r="B7185" t="s">
        <v>7190</v>
      </c>
      <c r="C7185">
        <f>HYPERLINK("C:\Users\franc\OneDrive\Documentos\MALENTIN KARIME\LUIS GALLARDO\LOS ÑISNILES modificacion.doc", "Abrir Documento")</f>
        <v>0</v>
      </c>
      <c r="D7185" t="s">
        <v>23500</v>
      </c>
      <c r="E7185" t="s">
        <v>29714</v>
      </c>
    </row>
    <row r="7186" spans="1:5">
      <c r="A7186" t="s">
        <v>6</v>
      </c>
      <c r="B7186" t="s">
        <v>7191</v>
      </c>
      <c r="C7186">
        <f>HYPERLINK("C:\Users\franc\OneDrive\Documentos\MALENTIN KARIME\LUIS GALLARDO\LOS NISÑILES Y CAMPOS CAMPOS version final.doc", "Abrir Documento")</f>
        <v>0</v>
      </c>
      <c r="D7186" t="s">
        <v>23500</v>
      </c>
      <c r="E7186" t="s">
        <v>29715</v>
      </c>
    </row>
    <row r="7187" spans="1:5">
      <c r="A7187" t="s">
        <v>6</v>
      </c>
      <c r="B7187" t="s">
        <v>7192</v>
      </c>
      <c r="C7187">
        <f>HYPERLINK("C:\Users\franc\OneDrive\Documentos\MALENTIN KARIME\LUIS GALLARDO\LEONARDO PLAZA A OTILIA GONZALEZ compraventa.doc", "Abrir Documento")</f>
        <v>0</v>
      </c>
      <c r="D7187" t="s">
        <v>23500</v>
      </c>
      <c r="E7187" t="s">
        <v>29716</v>
      </c>
    </row>
    <row r="7188" spans="1:5">
      <c r="A7188" t="s">
        <v>6</v>
      </c>
      <c r="B7188" t="s">
        <v>7193</v>
      </c>
      <c r="C7188">
        <f>HYPERLINK("C:\Users\franc\OneDrive\Documentos\MALENTIN KARIME\LUIS GALLARDO\LOS NISÑILES Rectificatoria.doc", "Abrir Documento")</f>
        <v>0</v>
      </c>
      <c r="D7188" t="s">
        <v>23500</v>
      </c>
      <c r="E7188" t="s">
        <v>29716</v>
      </c>
    </row>
    <row r="7189" spans="1:5">
      <c r="A7189" t="s">
        <v>6</v>
      </c>
      <c r="B7189" t="s">
        <v>7194</v>
      </c>
      <c r="C7189">
        <f>HYPERLINK("C:\Users\franc\OneDrive\Documentos\MALENTIN KARIME\LUIS GALLARDO\JUAN LUIS JARA con DRAGO FRANETOVIC complementación Luis Gallardo.doc", "Abrir Documento")</f>
        <v>0</v>
      </c>
      <c r="D7189" t="s">
        <v>23500</v>
      </c>
      <c r="E7189" t="s">
        <v>29717</v>
      </c>
    </row>
    <row r="7190" spans="1:5">
      <c r="A7190" t="s">
        <v>6</v>
      </c>
      <c r="B7190" t="s">
        <v>7195</v>
      </c>
      <c r="C7190">
        <f>HYPERLINK("C:\Users\franc\OneDrive\Documentos\MALENTIN KARIME\LUIS GALLARDO\JOSE MIGUEL ZEPEDA CARMONA reconocimiento.doc", "Abrir Documento")</f>
        <v>0</v>
      </c>
      <c r="D7190" t="s">
        <v>23500</v>
      </c>
      <c r="E7190" t="s">
        <v>29718</v>
      </c>
    </row>
    <row r="7191" spans="1:5">
      <c r="A7191" t="s">
        <v>6</v>
      </c>
      <c r="B7191" t="s">
        <v>7196</v>
      </c>
      <c r="C7191">
        <f>HYPERLINK("C:\Users\franc\OneDrive\Documentos\MALENTIN KARIME\LUIS GALLARDO\JOSE MIGUEL ZEPEDA CARMONA reconocimiento versión II.doc", "Abrir Documento")</f>
        <v>0</v>
      </c>
      <c r="D7191" t="s">
        <v>23500</v>
      </c>
      <c r="E7191" t="s">
        <v>29719</v>
      </c>
    </row>
    <row r="7192" spans="1:5">
      <c r="A7192" t="s">
        <v>6</v>
      </c>
      <c r="B7192" t="s">
        <v>7197</v>
      </c>
      <c r="C7192">
        <f>HYPERLINK("C:\Users\franc\OneDrive\Documentos\MALENTIN KARIME\LUIS GALLARDO\HILDA DEL CARMEN TELLO HONORES MJudicial Abril 13.doc", "Abrir Documento")</f>
        <v>0</v>
      </c>
      <c r="D7192" t="s">
        <v>23500</v>
      </c>
      <c r="E7192" t="s">
        <v>29720</v>
      </c>
    </row>
    <row r="7193" spans="1:5">
      <c r="A7193" t="s">
        <v>6</v>
      </c>
      <c r="B7193" t="s">
        <v>7198</v>
      </c>
      <c r="C7193">
        <f>HYPERLINK("C:\Users\franc\OneDrive\Documentos\MALENTIN KARIME\LUIS GALLARDO\INMOBILIARIA SPANO.doc", "Abrir Documento")</f>
        <v>0</v>
      </c>
      <c r="D7193" t="s">
        <v>23500</v>
      </c>
      <c r="E7193" t="s">
        <v>29720</v>
      </c>
    </row>
    <row r="7194" spans="1:5">
      <c r="A7194" t="s">
        <v>6</v>
      </c>
      <c r="B7194" t="s">
        <v>7199</v>
      </c>
      <c r="C7194">
        <f>HYPERLINK("C:\Users\franc\OneDrive\Documentos\MALENTIN KARIME\LUIS GALLARDO\GUILLERMO FLORESA MIGUEL GODOY Compraventa lunes 22.doc", "Abrir Documento")</f>
        <v>0</v>
      </c>
      <c r="D7194" t="s">
        <v>23500</v>
      </c>
      <c r="E7194" t="s">
        <v>29721</v>
      </c>
    </row>
    <row r="7195" spans="1:5">
      <c r="A7195" t="s">
        <v>6</v>
      </c>
      <c r="B7195" t="s">
        <v>7200</v>
      </c>
      <c r="C7195">
        <f>HYPERLINK("C:\Users\franc\OneDrive\Documentos\MALENTIN KARIME\LUIS GALLARDO\GUILLERMO FLORESA MIGUEL GODOY Escritura.doc", "Abrir Documento")</f>
        <v>0</v>
      </c>
      <c r="D7195" t="s">
        <v>23500</v>
      </c>
      <c r="E7195" t="s">
        <v>29721</v>
      </c>
    </row>
    <row r="7196" spans="1:5">
      <c r="A7196" t="s">
        <v>6</v>
      </c>
      <c r="B7196" t="s">
        <v>7201</v>
      </c>
      <c r="C7196">
        <f>HYPERLINK("C:\Users\franc\OneDrive\Documentos\MALENTIN KARIME\LUIS GALLARDO\FLORIDOR CORTES Mandato.doc", "Abrir Documento")</f>
        <v>0</v>
      </c>
      <c r="D7196" t="s">
        <v>23500</v>
      </c>
      <c r="E7196" t="s">
        <v>29722</v>
      </c>
    </row>
    <row r="7197" spans="1:5">
      <c r="A7197" t="s">
        <v>6</v>
      </c>
      <c r="B7197" t="s">
        <v>7202</v>
      </c>
      <c r="C7197">
        <f>HYPERLINK("C:\Users\franc\OneDrive\Documentos\MALENTIN KARIME\LUIS GALLARDO\FLORIDOR CORTES.doc", "Abrir Documento")</f>
        <v>0</v>
      </c>
      <c r="D7197" t="s">
        <v>23500</v>
      </c>
      <c r="E7197" t="s">
        <v>29722</v>
      </c>
    </row>
    <row r="7198" spans="1:5">
      <c r="A7198" t="s">
        <v>6</v>
      </c>
      <c r="B7198" t="s">
        <v>7203</v>
      </c>
      <c r="C7198">
        <f>HYPERLINK("C:\Users\franc\OneDrive\Documentos\MALENTIN KARIME\LUIS GALLARDO\ELIANA CORTES Y OTROS A Luis Gallardo.doc", "Abrir Documento")</f>
        <v>0</v>
      </c>
      <c r="D7198" t="s">
        <v>23500</v>
      </c>
      <c r="E7198" t="s">
        <v>29723</v>
      </c>
    </row>
    <row r="7199" spans="1:5">
      <c r="A7199" t="s">
        <v>6</v>
      </c>
      <c r="B7199" t="s">
        <v>7204</v>
      </c>
      <c r="C7199">
        <f>HYPERLINK("C:\Users\franc\OneDrive\Documentos\MALENTIN KARIME\LUIS GALLARDO\EUGENIO ARACENA ARAYA Mandato General.doc", "Abrir Documento")</f>
        <v>0</v>
      </c>
      <c r="D7199" t="s">
        <v>23500</v>
      </c>
      <c r="E7199" t="s">
        <v>29723</v>
      </c>
    </row>
    <row r="7200" spans="1:5">
      <c r="A7200" t="s">
        <v>6</v>
      </c>
      <c r="B7200" t="s">
        <v>7205</v>
      </c>
      <c r="C7200">
        <f>HYPERLINK("C:\Users\franc\OneDrive\Documentos\MALENTIN KARIME\LUIS GALLARDO\DOCUMENTOS CEMENTERIO PUNITAQUI protocolizcion.doc", "Abrir Documento")</f>
        <v>0</v>
      </c>
      <c r="D7200" t="s">
        <v>23500</v>
      </c>
      <c r="E7200" t="s">
        <v>29724</v>
      </c>
    </row>
    <row r="7201" spans="1:5">
      <c r="A7201" t="s">
        <v>6</v>
      </c>
      <c r="B7201" t="s">
        <v>7206</v>
      </c>
      <c r="C7201">
        <f>HYPERLINK("C:\Users\franc\OneDrive\Documentos\MALENTIN KARIME\LUIS GALLARDO\ELIANA CORTES Partición.doc", "Abrir Documento")</f>
        <v>0</v>
      </c>
      <c r="D7201" t="s">
        <v>23500</v>
      </c>
      <c r="E7201" t="s">
        <v>29724</v>
      </c>
    </row>
    <row r="7202" spans="1:5">
      <c r="A7202" t="s">
        <v>6</v>
      </c>
      <c r="B7202" t="s">
        <v>7207</v>
      </c>
      <c r="C7202">
        <f>HYPERLINK("C:\Users\franc\OneDrive\Documentos\MALENTIN KARIME\LUIS GALLARDO\CORINA MARIN A RAUL POSTIGO Cvta..doc", "Abrir Documento")</f>
        <v>0</v>
      </c>
      <c r="D7202" t="s">
        <v>23500</v>
      </c>
      <c r="E7202" t="s">
        <v>29725</v>
      </c>
    </row>
    <row r="7203" spans="1:5">
      <c r="A7203" t="s">
        <v>6</v>
      </c>
      <c r="B7203" t="s">
        <v>7208</v>
      </c>
      <c r="C7203">
        <f>HYPERLINK("C:\Users\franc\OneDrive\Documentos\MALENTIN KARIME\LUIS GALLARDO\COMUNIDAD AGRICOLA EL POTRERRO DE HUATULAME.doc", "Abrir Documento")</f>
        <v>0</v>
      </c>
      <c r="D7203" t="s">
        <v>23500</v>
      </c>
      <c r="E7203" t="s">
        <v>29726</v>
      </c>
    </row>
    <row r="7204" spans="1:5">
      <c r="A7204" t="s">
        <v>6</v>
      </c>
      <c r="B7204" t="s">
        <v>7209</v>
      </c>
      <c r="C7204">
        <f>HYPERLINK("C:\Users\franc\OneDrive\Documentos\MALENTIN KARIME\LUIS GALLARDO\Complementación SERGIO GALLEGUILLOS.doc", "Abrir Documento")</f>
        <v>0</v>
      </c>
      <c r="D7204" t="s">
        <v>23500</v>
      </c>
      <c r="E7204" t="s">
        <v>29727</v>
      </c>
    </row>
    <row r="7205" spans="1:5">
      <c r="A7205" t="s">
        <v>6</v>
      </c>
      <c r="B7205" t="s">
        <v>7210</v>
      </c>
      <c r="C7205">
        <f>HYPERLINK("C:\Users\franc\OneDrive\Documentos\MALENTIN KARIME\LUIS GALLARDO\CARTA INSTRUCCIONES AL NOTARIO PUBLICO SEÑOR RODRIGO CABRERA ALBARRAN.doc", "Abrir Documento")</f>
        <v>0</v>
      </c>
      <c r="D7205" t="s">
        <v>23500</v>
      </c>
      <c r="E7205" t="s">
        <v>29728</v>
      </c>
    </row>
    <row r="7206" spans="1:5">
      <c r="A7206" t="s">
        <v>6</v>
      </c>
      <c r="B7206" t="s">
        <v>7211</v>
      </c>
      <c r="C7206">
        <f>HYPERLINK("C:\Users\franc\OneDrive\Documentos\MALENTIN KARIME\LUIS GALLARDO\Autorizo la firma.doc", "Abrir Documento")</f>
        <v>0</v>
      </c>
      <c r="D7206" t="s">
        <v>23500</v>
      </c>
      <c r="E7206" t="s">
        <v>29729</v>
      </c>
    </row>
    <row r="7207" spans="1:5">
      <c r="A7207" t="s">
        <v>6</v>
      </c>
      <c r="B7207" t="s">
        <v>7212</v>
      </c>
      <c r="C7207">
        <f>HYPERLINK("C:\Users\franc\OneDrive\Documentos\MALENTIN KARIME\LUIS GALLARDO\CARLOS GONZALEZ CANTUARIAS Nuda propiedad.doc", "Abrir Documento")</f>
        <v>0</v>
      </c>
      <c r="D7207" t="s">
        <v>23500</v>
      </c>
      <c r="E7207" t="s">
        <v>29729</v>
      </c>
    </row>
    <row r="7208" spans="1:5">
      <c r="A7208" t="s">
        <v>6</v>
      </c>
      <c r="B7208" t="s">
        <v>7213</v>
      </c>
      <c r="C7208">
        <f>HYPERLINK("C:\Users\franc\OneDrive\Documentos\MALENTIN KARIME\LUIS GALLARDO\AUTORIZACION HERRERO GARRIDO 2.doc", "Abrir Documento")</f>
        <v>0</v>
      </c>
      <c r="D7208" t="s">
        <v>23500</v>
      </c>
      <c r="E7208" t="s">
        <v>29730</v>
      </c>
    </row>
    <row r="7209" spans="1:5">
      <c r="A7209" t="s">
        <v>6</v>
      </c>
      <c r="B7209" t="s">
        <v>7214</v>
      </c>
      <c r="C7209">
        <f>HYPERLINK("C:\Users\franc\OneDrive\Documentos\MALENTIN KARIME\LUIS GALLARDO\AUTORIZACION HERRERO GARRIDO.doc", "Abrir Documento")</f>
        <v>0</v>
      </c>
      <c r="D7209" t="s">
        <v>23500</v>
      </c>
      <c r="E7209" t="s">
        <v>29730</v>
      </c>
    </row>
    <row r="7210" spans="1:5">
      <c r="A7210" t="s">
        <v>6</v>
      </c>
      <c r="B7210" t="s">
        <v>7215</v>
      </c>
      <c r="C7210">
        <f>HYPERLINK("C:\Users\franc\OneDrive\Documentos\MALENTIN KARIME\LOGROS\VRIL E.IR.L..doc", "Abrir Documento")</f>
        <v>0</v>
      </c>
      <c r="D7210" t="s">
        <v>23500</v>
      </c>
      <c r="E7210" t="s">
        <v>29731</v>
      </c>
    </row>
    <row r="7211" spans="1:5">
      <c r="A7211" t="s">
        <v>6</v>
      </c>
      <c r="B7211" t="s">
        <v>7216</v>
      </c>
      <c r="C7211">
        <f>HYPERLINK("C:\Users\franc\OneDrive\Documentos\MALENTIN KARIME\LOGROS\2017\CONSTRUCCION Y SERVICIOS JRD.doc", "Abrir Documento")</f>
        <v>0</v>
      </c>
      <c r="D7211" t="s">
        <v>23500</v>
      </c>
      <c r="E7211" t="s">
        <v>29731</v>
      </c>
    </row>
    <row r="7212" spans="1:5">
      <c r="A7212" t="s">
        <v>6</v>
      </c>
      <c r="B7212" t="s">
        <v>7217</v>
      </c>
      <c r="C7212">
        <f>HYPERLINK("C:\Users\franc\OneDrive\Documentos\MALENTIN KARIME\LOGROS\RAUL JOFRE CANIVILO.doc", "Abrir Documento")</f>
        <v>0</v>
      </c>
      <c r="D7212" t="s">
        <v>23500</v>
      </c>
      <c r="E7212" t="s">
        <v>29732</v>
      </c>
    </row>
    <row r="7213" spans="1:5">
      <c r="A7213" t="s">
        <v>6</v>
      </c>
      <c r="B7213" t="s">
        <v>7218</v>
      </c>
      <c r="C7213">
        <f>HYPERLINK("C:\Users\franc\OneDrive\Documentos\MALENTIN KARIME\LOGROS\RAMON PARDO VASQUEZ.doc", "Abrir Documento")</f>
        <v>0</v>
      </c>
      <c r="D7213" t="s">
        <v>23500</v>
      </c>
      <c r="E7213" t="s">
        <v>29733</v>
      </c>
    </row>
    <row r="7214" spans="1:5">
      <c r="A7214" t="s">
        <v>6</v>
      </c>
      <c r="B7214" t="s">
        <v>7219</v>
      </c>
      <c r="C7214">
        <f>HYPERLINK("C:\Users\franc\OneDrive\Documentos\MALENTIN KARIME\LOGROS\MODELO FACTORING.doc", "Abrir Documento")</f>
        <v>0</v>
      </c>
      <c r="D7214" t="s">
        <v>23500</v>
      </c>
      <c r="E7214" t="s">
        <v>29734</v>
      </c>
    </row>
    <row r="7215" spans="1:5">
      <c r="A7215" t="s">
        <v>6</v>
      </c>
      <c r="B7215" t="s">
        <v>7220</v>
      </c>
      <c r="C7215">
        <f>HYPERLINK("C:\Users\franc\OneDrive\Documentos\MALENTIN KARIME\LOGROS\JIMENA CERDA ZENTENO.doc", "Abrir Documento")</f>
        <v>0</v>
      </c>
      <c r="D7215" t="s">
        <v>23500</v>
      </c>
      <c r="E7215" t="s">
        <v>29735</v>
      </c>
    </row>
    <row r="7216" spans="1:5">
      <c r="A7216" t="s">
        <v>6</v>
      </c>
      <c r="B7216" t="s">
        <v>7221</v>
      </c>
      <c r="C7216">
        <f>HYPERLINK("C:\Users\franc\OneDrive\Documentos\MALENTIN KARIME\LOGROS\JOSE OSSA HUENOLAF Agosto.doc", "Abrir Documento")</f>
        <v>0</v>
      </c>
      <c r="D7216" t="s">
        <v>23500</v>
      </c>
      <c r="E7216" t="s">
        <v>29735</v>
      </c>
    </row>
    <row r="7217" spans="1:5">
      <c r="A7217" t="s">
        <v>6</v>
      </c>
      <c r="B7217" t="s">
        <v>7222</v>
      </c>
      <c r="C7217">
        <f>HYPERLINK("C:\Users\franc\OneDrive\Documentos\MALENTIN KARIME\LOGROS\JUAN CARLOS DIAZ MERELLO.doc", "Abrir Documento")</f>
        <v>0</v>
      </c>
      <c r="D7217" t="s">
        <v>23500</v>
      </c>
      <c r="E7217" t="s">
        <v>29735</v>
      </c>
    </row>
    <row r="7218" spans="1:5">
      <c r="A7218" t="s">
        <v>6</v>
      </c>
      <c r="B7218" t="s">
        <v>7223</v>
      </c>
      <c r="C7218">
        <f>HYPERLINK("C:\Users\franc\OneDrive\Documentos\MALENTIN KARIME\LOGROS\HECTOR ELGUEDA VILLEGAS.doc", "Abrir Documento")</f>
        <v>0</v>
      </c>
      <c r="D7218" t="s">
        <v>23500</v>
      </c>
      <c r="E7218" t="s">
        <v>29736</v>
      </c>
    </row>
    <row r="7219" spans="1:5">
      <c r="A7219" t="s">
        <v>6</v>
      </c>
      <c r="B7219" t="s">
        <v>7224</v>
      </c>
      <c r="C7219">
        <f>HYPERLINK("C:\Users\franc\OneDrive\Documentos\MALENTIN KARIME\LOGROS\CRISTIAN GALVEZ DARRIGRANDE.doc", "Abrir Documento")</f>
        <v>0</v>
      </c>
      <c r="D7219" t="s">
        <v>23500</v>
      </c>
      <c r="E7219" t="s">
        <v>29737</v>
      </c>
    </row>
    <row r="7220" spans="1:5">
      <c r="A7220" t="s">
        <v>6</v>
      </c>
      <c r="B7220" t="s">
        <v>7225</v>
      </c>
      <c r="C7220">
        <f>HYPERLINK("C:\Users\franc\OneDrive\Documentos\MALENTIN KARIME\LOGROS\ELDA OLIVARES MARIN.doc", "Abrir Documento")</f>
        <v>0</v>
      </c>
      <c r="D7220" t="s">
        <v>23500</v>
      </c>
      <c r="E7220" t="s">
        <v>29737</v>
      </c>
    </row>
    <row r="7221" spans="1:5">
      <c r="A7221" t="s">
        <v>6</v>
      </c>
      <c r="B7221" t="s">
        <v>7226</v>
      </c>
      <c r="C7221">
        <f>HYPERLINK("C:\Users\franc\OneDrive\Documentos\MALENTIN KARIME\LOGROS\CRISTIAN CACERES CARO Agosto.doc", "Abrir Documento")</f>
        <v>0</v>
      </c>
      <c r="D7221" t="s">
        <v>23500</v>
      </c>
      <c r="E7221" t="s">
        <v>29738</v>
      </c>
    </row>
    <row r="7222" spans="1:5">
      <c r="A7222" t="s">
        <v>6</v>
      </c>
      <c r="B7222" t="s">
        <v>7227</v>
      </c>
      <c r="C7222">
        <f>HYPERLINK("C:\Users\franc\OneDrive\Documentos\MALENTIN KARIME\LOGROS\CARLOS TELLO CARVAJAL.doc", "Abrir Documento")</f>
        <v>0</v>
      </c>
      <c r="D7222" t="s">
        <v>23500</v>
      </c>
      <c r="E7222" t="s">
        <v>29739</v>
      </c>
    </row>
    <row r="7223" spans="1:5">
      <c r="A7223" t="s">
        <v>6</v>
      </c>
      <c r="B7223" t="s">
        <v>7228</v>
      </c>
      <c r="C7223">
        <f>HYPERLINK("C:\Users\franc\OneDrive\Documentos\MALENTIN KARIME\LOGROS\BRUNILDA TAPIA GAMBOA Enero 20014.doc", "Abrir Documento")</f>
        <v>0</v>
      </c>
      <c r="D7223" t="s">
        <v>23500</v>
      </c>
      <c r="E7223" t="s">
        <v>29740</v>
      </c>
    </row>
    <row r="7224" spans="1:5">
      <c r="A7224" t="s">
        <v>6</v>
      </c>
      <c r="B7224" t="s">
        <v>7229</v>
      </c>
      <c r="C7224">
        <f>HYPERLINK("C:\Users\franc\OneDrive\Documentos\MALENTIN KARIME\LOGROS\BRUNILDA TAPIA GAMBOA Ago 20013 correjido.doc", "Abrir Documento")</f>
        <v>0</v>
      </c>
      <c r="D7224" t="s">
        <v>23500</v>
      </c>
      <c r="E7224" t="s">
        <v>29741</v>
      </c>
    </row>
    <row r="7225" spans="1:5">
      <c r="A7225" t="s">
        <v>6</v>
      </c>
      <c r="B7225" t="s">
        <v>7230</v>
      </c>
      <c r="C7225">
        <f>HYPERLINK("C:\Users\franc\OneDrive\Documentos\MALENTIN KARIME\LOGROS\BRUNILDA TAPIA GAMBOA Ago 20013.doc", "Abrir Documento")</f>
        <v>0</v>
      </c>
      <c r="D7225" t="s">
        <v>23500</v>
      </c>
      <c r="E7225" t="s">
        <v>29741</v>
      </c>
    </row>
    <row r="7226" spans="1:5">
      <c r="A7226" t="s">
        <v>6</v>
      </c>
      <c r="B7226" t="s">
        <v>7231</v>
      </c>
      <c r="C7226">
        <f>HYPERLINK("C:\Users\franc\OneDrive\Documentos\MALENTIN KARIME\LOGROS\ANTONIO BOU SAPIAIN.doc", "Abrir Documento")</f>
        <v>0</v>
      </c>
      <c r="D7226" t="s">
        <v>23500</v>
      </c>
      <c r="E7226" t="s">
        <v>29742</v>
      </c>
    </row>
    <row r="7227" spans="1:5">
      <c r="A7227" t="s">
        <v>6</v>
      </c>
      <c r="B7227" t="s">
        <v>7232</v>
      </c>
      <c r="C7227">
        <f>HYPERLINK("C:\Users\franc\OneDrive\Documentos\MALENTIN KARIME\KARY\LUZ.pdf", "Abrir Documento")</f>
        <v>0</v>
      </c>
      <c r="D7227" t="s">
        <v>23501</v>
      </c>
      <c r="E7227" t="s">
        <v>29743</v>
      </c>
    </row>
    <row r="7228" spans="1:5">
      <c r="A7228" t="s">
        <v>6</v>
      </c>
      <c r="B7228" t="s">
        <v>7233</v>
      </c>
      <c r="C7228">
        <f>HYPERLINK("C:\Users\franc\OneDrive\Documentos\MALENTIN KARIME\KARY\DEMOLICION DECRETO.pdf", "Abrir Documento")</f>
        <v>0</v>
      </c>
      <c r="D7228" t="s">
        <v>23501</v>
      </c>
      <c r="E7228" t="s">
        <v>29744</v>
      </c>
    </row>
    <row r="7229" spans="1:5">
      <c r="A7229" t="s">
        <v>6</v>
      </c>
      <c r="B7229" t="s">
        <v>7234</v>
      </c>
      <c r="C7229">
        <f>HYPERLINK("C:\Users\franc\OneDrive\Documentos\MALENTIN KARIME\KARY\DECLARACION karime2.doc", "Abrir Documento")</f>
        <v>0</v>
      </c>
      <c r="D7229" t="s">
        <v>23500</v>
      </c>
      <c r="E7229" t="s">
        <v>29745</v>
      </c>
    </row>
    <row r="7230" spans="1:5">
      <c r="A7230" t="s">
        <v>6</v>
      </c>
      <c r="B7230" t="s">
        <v>7235</v>
      </c>
      <c r="C7230">
        <f>HYPERLINK("C:\Users\franc\OneDrive\Documentos\MALENTIN KARIME\KARY\DECLARA CAMBIOS.doc", "Abrir Documento")</f>
        <v>0</v>
      </c>
      <c r="D7230" t="s">
        <v>23500</v>
      </c>
      <c r="E7230" t="s">
        <v>29746</v>
      </c>
    </row>
    <row r="7231" spans="1:5">
      <c r="A7231" t="s">
        <v>6</v>
      </c>
      <c r="B7231" t="s">
        <v>7236</v>
      </c>
      <c r="C7231">
        <f>HYPERLINK("C:\Users\franc\OneDrive\Documentos\MALENTIN KARIME\KARY\DECLARACION karime.doc", "Abrir Documento")</f>
        <v>0</v>
      </c>
      <c r="D7231" t="s">
        <v>23500</v>
      </c>
      <c r="E7231" t="s">
        <v>29746</v>
      </c>
    </row>
    <row r="7232" spans="1:5">
      <c r="A7232" t="s">
        <v>6</v>
      </c>
      <c r="B7232" t="s">
        <v>7237</v>
      </c>
      <c r="C7232">
        <f>HYPERLINK("C:\Users\franc\OneDrive\Documentos\MALENTIN KARIME\KARY\AGUA.pdf", "Abrir Documento")</f>
        <v>0</v>
      </c>
      <c r="D7232" t="s">
        <v>23501</v>
      </c>
      <c r="E7232" t="s">
        <v>29747</v>
      </c>
    </row>
    <row r="7233" spans="1:5">
      <c r="A7233" t="s">
        <v>6</v>
      </c>
      <c r="B7233" t="s">
        <v>7238</v>
      </c>
      <c r="C7233">
        <f>HYPERLINK("C:\Users\franc\OneDrive\Documentos\MALENTIN KARIME\karime tapia\TESTAMENTO\INFORME Testamentos\Formulario para Testamentos[2].doc", "Abrir Documento")</f>
        <v>0</v>
      </c>
      <c r="D7233" t="s">
        <v>23500</v>
      </c>
      <c r="E7233" t="s">
        <v>29748</v>
      </c>
    </row>
    <row r="7234" spans="1:5">
      <c r="A7234" t="s">
        <v>6</v>
      </c>
      <c r="B7234" t="s">
        <v>7239</v>
      </c>
      <c r="C7234">
        <f>HYPERLINK("C:\Users\franc\OneDrive\Documentos\MALENTIN KARIME\karime tapia\TESTAMENTO\INFORME Testamentos\Formulario para Testamentos con testadores.doc", "Abrir Documento")</f>
        <v>0</v>
      </c>
      <c r="D7234" t="s">
        <v>23500</v>
      </c>
      <c r="E7234" t="s">
        <v>29749</v>
      </c>
    </row>
    <row r="7235" spans="1:5">
      <c r="A7235" t="s">
        <v>6</v>
      </c>
      <c r="B7235" t="s">
        <v>7240</v>
      </c>
      <c r="C7235">
        <f>HYPERLINK("C:\Users\franc\OneDrive\Documentos\MALENTIN KARIME\karime tapia\TESTAMENTO\INFORME Testamentos\Formulario para Testamentos[1].doc", "Abrir Documento")</f>
        <v>0</v>
      </c>
      <c r="D7235" t="s">
        <v>23500</v>
      </c>
      <c r="E7235" t="s">
        <v>29749</v>
      </c>
    </row>
    <row r="7236" spans="1:5">
      <c r="A7236" t="s">
        <v>6</v>
      </c>
      <c r="B7236" t="s">
        <v>7241</v>
      </c>
      <c r="C7236">
        <f>HYPERLINK("C:\Users\franc\OneDrive\Documentos\MALENTIN KARIME\karime tapia\TESTAMENTO\INFORME Testamentos\Formulario para Testamentos con testadores mayo14.doc", "Abrir Documento")</f>
        <v>0</v>
      </c>
      <c r="D7236" t="s">
        <v>23500</v>
      </c>
      <c r="E7236" t="s">
        <v>29750</v>
      </c>
    </row>
    <row r="7237" spans="1:5">
      <c r="A7237" t="s">
        <v>6</v>
      </c>
      <c r="B7237" t="s">
        <v>7242</v>
      </c>
      <c r="C7237">
        <f>HYPERLINK("C:\Users\franc\OneDrive\Documentos\MALENTIN KARIME\karime tapia\TESTAMENTO\INFORME Testamentos\Formulario para Testamentos con testadores MARZO15.doc", "Abrir Documento")</f>
        <v>0</v>
      </c>
      <c r="D7237" t="s">
        <v>23500</v>
      </c>
      <c r="E7237" t="s">
        <v>29751</v>
      </c>
    </row>
    <row r="7238" spans="1:5">
      <c r="A7238" t="s">
        <v>6</v>
      </c>
      <c r="B7238" t="s">
        <v>7243</v>
      </c>
      <c r="C7238">
        <f>HYPERLINK("C:\Users\franc\OneDrive\Documentos\MALENTIN KARIME\karime tapia\TESTAMENTO\INFORME Testamentos\Formulario para Testamentos con testadores MAYO.doc", "Abrir Documento")</f>
        <v>0</v>
      </c>
      <c r="D7238" t="s">
        <v>23500</v>
      </c>
      <c r="E7238" t="s">
        <v>29751</v>
      </c>
    </row>
    <row r="7239" spans="1:5">
      <c r="A7239" t="s">
        <v>6</v>
      </c>
      <c r="B7239" t="s">
        <v>7244</v>
      </c>
      <c r="C7239">
        <f>HYPERLINK("C:\Users\franc\OneDrive\Documentos\MALENTIN KARIME\karime tapia\TESTAMENTO\INFORME Testamentos\Formulario para Testamentos con testadores JUNIO15.doc", "Abrir Documento")</f>
        <v>0</v>
      </c>
      <c r="D7239" t="s">
        <v>23500</v>
      </c>
      <c r="E7239" t="s">
        <v>29752</v>
      </c>
    </row>
    <row r="7240" spans="1:5">
      <c r="A7240" t="s">
        <v>6</v>
      </c>
      <c r="B7240" t="s">
        <v>7245</v>
      </c>
      <c r="C7240">
        <f>HYPERLINK("C:\Users\franc\OneDrive\Documentos\MALENTIN KARIME\karime tapia\TESTAMENTO\INFORME Testamentos\Formulario para Testamentos con testadores JULIO15.doc", "Abrir Documento")</f>
        <v>0</v>
      </c>
      <c r="D7240" t="s">
        <v>23500</v>
      </c>
      <c r="E7240" t="s">
        <v>29753</v>
      </c>
    </row>
    <row r="7241" spans="1:5">
      <c r="A7241" t="s">
        <v>6</v>
      </c>
      <c r="B7241" t="s">
        <v>7246</v>
      </c>
      <c r="C7241">
        <f>HYPERLINK("C:\Users\franc\OneDrive\Documentos\MALENTIN KARIME\karime tapia\TESTAMENTO\INFORME Testamentos\Formulario para Testamentos con testadores Junio14.doc", "Abrir Documento")</f>
        <v>0</v>
      </c>
      <c r="D7241" t="s">
        <v>23500</v>
      </c>
      <c r="E7241" t="s">
        <v>29753</v>
      </c>
    </row>
    <row r="7242" spans="1:5">
      <c r="A7242" t="s">
        <v>6</v>
      </c>
      <c r="B7242" t="s">
        <v>7247</v>
      </c>
      <c r="C7242">
        <f>HYPERLINK("C:\Users\franc\OneDrive\Documentos\MALENTIN KARIME\karime tapia\TESTAMENTO\INFORME Testamentos\Formulario para Testamentos con testadores FEBRERO.doc", "Abrir Documento")</f>
        <v>0</v>
      </c>
      <c r="D7242" t="s">
        <v>23500</v>
      </c>
      <c r="E7242" t="s">
        <v>29754</v>
      </c>
    </row>
    <row r="7243" spans="1:5">
      <c r="A7243" t="s">
        <v>6</v>
      </c>
      <c r="B7243" t="s">
        <v>7248</v>
      </c>
      <c r="C7243">
        <f>HYPERLINK("C:\Users\franc\OneDrive\Documentos\MALENTIN KARIME\karime tapia\TESTAMENTO\TESTAMENTO  armando alvarado.doc", "Abrir Documento")</f>
        <v>0</v>
      </c>
      <c r="D7243" t="s">
        <v>23500</v>
      </c>
      <c r="E7243" t="s">
        <v>29755</v>
      </c>
    </row>
    <row r="7244" spans="1:5">
      <c r="A7244" t="s">
        <v>6</v>
      </c>
      <c r="B7244" t="s">
        <v>7249</v>
      </c>
      <c r="C7244">
        <f>HYPERLINK("C:\Users\franc\OneDrive\Documentos\MALENTIN KARIME\karime tapia\TESTAMENTO\INFORME Testamentos\Formulario para Testamentos con testadores AGOSTO15.doc", "Abrir Documento")</f>
        <v>0</v>
      </c>
      <c r="D7244" t="s">
        <v>23500</v>
      </c>
      <c r="E7244" t="s">
        <v>29755</v>
      </c>
    </row>
    <row r="7245" spans="1:5">
      <c r="A7245" t="s">
        <v>6</v>
      </c>
      <c r="B7245" t="s">
        <v>7250</v>
      </c>
      <c r="C7245">
        <f>HYPERLINK("C:\Users\franc\OneDrive\Documentos\MALENTIN KARIME\karime tapia\TESTAMENTO\INFORME Testamentos\Formulario para Testamentos con testadores FEBRERO 15.doc", "Abrir Documento")</f>
        <v>0</v>
      </c>
      <c r="D7245" t="s">
        <v>23500</v>
      </c>
      <c r="E7245" t="s">
        <v>29755</v>
      </c>
    </row>
    <row r="7246" spans="1:5">
      <c r="A7246" t="s">
        <v>6</v>
      </c>
      <c r="B7246" t="s">
        <v>7251</v>
      </c>
      <c r="C7246">
        <f>HYPERLINK("C:\Users\franc\OneDrive\Documentos\MALENTIN KARIME\karime tapia\TESTAMENTO\SERGIO CARVAJAL GUERRA.doc", "Abrir Documento")</f>
        <v>0</v>
      </c>
      <c r="D7246" t="s">
        <v>23500</v>
      </c>
      <c r="E7246" t="s">
        <v>29756</v>
      </c>
    </row>
    <row r="7247" spans="1:5">
      <c r="A7247" t="s">
        <v>6</v>
      </c>
      <c r="B7247" t="s">
        <v>7252</v>
      </c>
      <c r="C7247">
        <f>HYPERLINK("C:\Users\franc\OneDrive\Documentos\MALENTIN KARIME\karime tapia\TESTAMENTO\SALVADOR ALUCEMA.doc", "Abrir Documento")</f>
        <v>0</v>
      </c>
      <c r="D7247" t="s">
        <v>23500</v>
      </c>
      <c r="E7247" t="s">
        <v>29757</v>
      </c>
    </row>
    <row r="7248" spans="1:5">
      <c r="A7248" t="s">
        <v>6</v>
      </c>
      <c r="B7248" t="s">
        <v>7253</v>
      </c>
      <c r="C7248">
        <f>HYPERLINK("C:\Users\franc\OneDrive\Documentos\MALENTIN KARIME\karime tapia\TESTAMENTO\ROSARIO ARAYA ARAYA.doc", "Abrir Documento")</f>
        <v>0</v>
      </c>
      <c r="D7248" t="s">
        <v>23500</v>
      </c>
      <c r="E7248" t="s">
        <v>29758</v>
      </c>
    </row>
    <row r="7249" spans="1:5">
      <c r="A7249" t="s">
        <v>6</v>
      </c>
      <c r="B7249" t="s">
        <v>7254</v>
      </c>
      <c r="C7249">
        <f>HYPERLINK("C:\Users\franc\OneDrive\Documentos\MALENTIN KARIME\karime tapia\TESTAMENTO\MARTHA OLIVIA CASTILLO ROJAS.doc", "Abrir Documento")</f>
        <v>0</v>
      </c>
      <c r="D7249" t="s">
        <v>23500</v>
      </c>
      <c r="E7249" t="s">
        <v>29759</v>
      </c>
    </row>
    <row r="7250" spans="1:5">
      <c r="A7250" t="s">
        <v>6</v>
      </c>
      <c r="B7250" t="s">
        <v>7255</v>
      </c>
      <c r="C7250">
        <f>HYPERLINK("C:\Users\franc\OneDrive\Documentos\MALENTIN KARIME\karime tapia\TESTAMENTO\ROJELIO DELGADO DELGADO.doc", "Abrir Documento")</f>
        <v>0</v>
      </c>
      <c r="D7250" t="s">
        <v>23500</v>
      </c>
      <c r="E7250" t="s">
        <v>29759</v>
      </c>
    </row>
    <row r="7251" spans="1:5">
      <c r="A7251" t="s">
        <v>6</v>
      </c>
      <c r="B7251" t="s">
        <v>7256</v>
      </c>
      <c r="C7251">
        <f>HYPERLINK("C:\Users\franc\OneDrive\Documentos\MALENTIN KARIME\karime tapia\TESTAMENTO\MARTHA OLIVIA CASTILLO ROJAS 2016.doc", "Abrir Documento")</f>
        <v>0</v>
      </c>
      <c r="D7251" t="s">
        <v>23500</v>
      </c>
      <c r="E7251" t="s">
        <v>29760</v>
      </c>
    </row>
    <row r="7252" spans="1:5">
      <c r="A7252" t="s">
        <v>6</v>
      </c>
      <c r="B7252" t="s">
        <v>7257</v>
      </c>
      <c r="C7252">
        <f>HYPERLINK("C:\Users\franc\OneDrive\Documentos\MALENTIN KARIME\karime tapia\TESTAMENTO\MARIA RAMIREZ RAMIREZ Minuta.doc", "Abrir Documento")</f>
        <v>0</v>
      </c>
      <c r="D7252" t="s">
        <v>23500</v>
      </c>
      <c r="E7252" t="s">
        <v>29761</v>
      </c>
    </row>
    <row r="7253" spans="1:5">
      <c r="A7253" t="s">
        <v>6</v>
      </c>
      <c r="B7253" t="s">
        <v>7258</v>
      </c>
      <c r="C7253">
        <f>HYPERLINK("C:\Users\franc\OneDrive\Documentos\MALENTIN KARIME\karime tapia\TESTAMENTO\MARTHA ALICIA CASTILLO ROJAS.doc", "Abrir Documento")</f>
        <v>0</v>
      </c>
      <c r="D7253" t="s">
        <v>23500</v>
      </c>
      <c r="E7253" t="s">
        <v>29761</v>
      </c>
    </row>
    <row r="7254" spans="1:5">
      <c r="A7254" t="s">
        <v>6</v>
      </c>
      <c r="B7254" t="s">
        <v>7259</v>
      </c>
      <c r="C7254">
        <f>HYPERLINK("C:\Users\franc\OneDrive\Documentos\MALENTIN KARIME\karime tapia\TESTAMENTO\MARIA ALVARADO CARVAJAL.doc", "Abrir Documento")</f>
        <v>0</v>
      </c>
      <c r="D7254" t="s">
        <v>23500</v>
      </c>
      <c r="E7254" t="s">
        <v>29762</v>
      </c>
    </row>
    <row r="7255" spans="1:5">
      <c r="A7255" t="s">
        <v>6</v>
      </c>
      <c r="B7255" t="s">
        <v>7260</v>
      </c>
      <c r="C7255">
        <f>HYPERLINK("C:\Users\franc\OneDrive\Documentos\MALENTIN KARIME\karime tapia\TESTAMENTO\HECTOR GARCIA Minuta.doc", "Abrir Documento")</f>
        <v>0</v>
      </c>
      <c r="D7255" t="s">
        <v>23500</v>
      </c>
      <c r="E7255" t="s">
        <v>29763</v>
      </c>
    </row>
    <row r="7256" spans="1:5">
      <c r="A7256" t="s">
        <v>6</v>
      </c>
      <c r="B7256" t="s">
        <v>7261</v>
      </c>
      <c r="C7256">
        <f>HYPERLINK("C:\Users\franc\OneDrive\Documentos\MALENTIN KARIME\karime tapia\TESTAMENTO\FREDDY PINTO RAMOS.doc", "Abrir Documento")</f>
        <v>0</v>
      </c>
      <c r="D7256" t="s">
        <v>23500</v>
      </c>
      <c r="E7256" t="s">
        <v>29764</v>
      </c>
    </row>
    <row r="7257" spans="1:5">
      <c r="A7257" t="s">
        <v>6</v>
      </c>
      <c r="B7257" t="s">
        <v>7262</v>
      </c>
      <c r="C7257">
        <f>HYPERLINK("C:\Users\franc\OneDrive\Documentos\MALENTIN KARIME\karime tapia\TESTAMENTO\FELIPE CORTES TESTAMENTO ABIERTO.doc", "Abrir Documento")</f>
        <v>0</v>
      </c>
      <c r="D7257" t="s">
        <v>23500</v>
      </c>
      <c r="E7257" t="s">
        <v>29765</v>
      </c>
    </row>
    <row r="7258" spans="1:5">
      <c r="A7258" t="s">
        <v>6</v>
      </c>
      <c r="B7258" t="s">
        <v>7263</v>
      </c>
      <c r="C7258">
        <f>HYPERLINK("C:\Users\franc\OneDrive\Documentos\MALENTIN KARIME\karime tapia\TESTAMENTO\ELSA BUGUEÑO EGAÑA Ratifica.doc", "Abrir Documento")</f>
        <v>0</v>
      </c>
      <c r="D7258" t="s">
        <v>23500</v>
      </c>
      <c r="E7258" t="s">
        <v>29766</v>
      </c>
    </row>
    <row r="7259" spans="1:5">
      <c r="A7259" t="s">
        <v>6</v>
      </c>
      <c r="B7259" t="s">
        <v>7264</v>
      </c>
      <c r="C7259">
        <f>HYPERLINK("C:\Users\franc\OneDrive\Documentos\MALENTIN KARIME\karime tapia\TESTAMENTO\CARMEN VILLALON CASTEX Testamento abierto.doc", "Abrir Documento")</f>
        <v>0</v>
      </c>
      <c r="D7259" t="s">
        <v>23500</v>
      </c>
      <c r="E7259" t="s">
        <v>29767</v>
      </c>
    </row>
    <row r="7260" spans="1:5">
      <c r="A7260" t="s">
        <v>6</v>
      </c>
      <c r="B7260" t="s">
        <v>7265</v>
      </c>
      <c r="C7260">
        <f>HYPERLINK("C:\Users\franc\OneDrive\Documentos\MALENTIN KARIME\karime tapia\RECTIFICA\PATRICIA ALFARO rect manda.doc", "Abrir Documento")</f>
        <v>0</v>
      </c>
      <c r="D7260" t="s">
        <v>23500</v>
      </c>
      <c r="E7260" t="s">
        <v>29768</v>
      </c>
    </row>
    <row r="7261" spans="1:5">
      <c r="A7261" t="s">
        <v>6</v>
      </c>
      <c r="B7261" t="s">
        <v>7266</v>
      </c>
      <c r="C7261">
        <f>HYPERLINK("C:\Users\franc\OneDrive\Documentos\MALENTIN KARIME\karime tapia\PROTOCOLIZACION\SOCIEDAD MINERA MONTE ALTO contrato.doc", "Abrir Documento")</f>
        <v>0</v>
      </c>
      <c r="D7261" t="s">
        <v>23500</v>
      </c>
      <c r="E7261" t="s">
        <v>29769</v>
      </c>
    </row>
    <row r="7262" spans="1:5">
      <c r="A7262" t="s">
        <v>6</v>
      </c>
      <c r="B7262" t="s">
        <v>7267</v>
      </c>
      <c r="C7262">
        <f>HYPERLINK("C:\Users\franc\OneDrive\Documentos\MALENTIN KARIME\karime tapia\PROTOCOLIZACION\ROCIO GALLEGUILLOS inventario.doc", "Abrir Documento")</f>
        <v>0</v>
      </c>
      <c r="D7262" t="s">
        <v>23500</v>
      </c>
      <c r="E7262" t="s">
        <v>29770</v>
      </c>
    </row>
    <row r="7263" spans="1:5">
      <c r="A7263" t="s">
        <v>6</v>
      </c>
      <c r="B7263" t="s">
        <v>7268</v>
      </c>
      <c r="C7263">
        <f>HYPERLINK("C:\Users\franc\OneDrive\Documentos\MALENTIN KARIME\karime tapia\PROTOCOLIZACION\PABLO CARVAJAL ALFARO.doc", "Abrir Documento")</f>
        <v>0</v>
      </c>
      <c r="D7263" t="s">
        <v>23500</v>
      </c>
      <c r="E7263" t="s">
        <v>29771</v>
      </c>
    </row>
    <row r="7264" spans="1:5">
      <c r="A7264" t="s">
        <v>6</v>
      </c>
      <c r="B7264" t="s">
        <v>7269</v>
      </c>
      <c r="C7264">
        <f>HYPERLINK("C:\Users\franc\OneDrive\Documentos\MALENTIN KARIME\karime tapia\PROTOCOLIZACION\COMUNIDAD PUNITAQUI Acta.doc", "Abrir Documento")</f>
        <v>0</v>
      </c>
      <c r="D7264" t="s">
        <v>23500</v>
      </c>
      <c r="E7264" t="s">
        <v>29772</v>
      </c>
    </row>
    <row r="7265" spans="1:5">
      <c r="A7265" t="s">
        <v>6</v>
      </c>
      <c r="B7265" t="s">
        <v>7270</v>
      </c>
      <c r="C7265">
        <f>HYPERLINK("C:\Users\franc\OneDrive\Documentos\MALENTIN KARIME\karime tapia\PROTOCOLIZACION\COMUNIDAD LA ORTIGA.doc", "Abrir Documento")</f>
        <v>0</v>
      </c>
      <c r="D7265" t="s">
        <v>23500</v>
      </c>
      <c r="E7265" t="s">
        <v>29773</v>
      </c>
    </row>
    <row r="7266" spans="1:5">
      <c r="A7266" t="s">
        <v>6</v>
      </c>
      <c r="B7266" t="s">
        <v>7271</v>
      </c>
      <c r="C7266">
        <f>HYPERLINK("C:\Users\franc\OneDrive\Documentos\MALENTIN KARIME\karime tapia\PROTOCOLIZACION\COMUNIDAD AGRICOLA LAGUNA VERDE protocolizacion.doc", "Abrir Documento")</f>
        <v>0</v>
      </c>
      <c r="D7266" t="s">
        <v>23500</v>
      </c>
      <c r="E7266" t="s">
        <v>29774</v>
      </c>
    </row>
    <row r="7267" spans="1:5">
      <c r="A7267" t="s">
        <v>6</v>
      </c>
      <c r="B7267" t="s">
        <v>7272</v>
      </c>
      <c r="C7267">
        <f>HYPERLINK("C:\Users\franc\OneDrive\Documentos\MALENTIN KARIME\karime tapia\PROTOCOLIZACION\COMUNIDAD AGRICOLA LAGUNA VERDE 95 protocolizacion.doc", "Abrir Documento")</f>
        <v>0</v>
      </c>
      <c r="D7267" t="s">
        <v>23500</v>
      </c>
      <c r="E7267" t="s">
        <v>29775</v>
      </c>
    </row>
    <row r="7268" spans="1:5">
      <c r="A7268" t="s">
        <v>6</v>
      </c>
      <c r="B7268" t="s">
        <v>7273</v>
      </c>
      <c r="C7268">
        <f>HYPERLINK("C:\Users\franc\OneDrive\Documentos\MALENTIN KARIME\karime tapia\PROTOCOLIZACION\COMUNIDAD AGRICOLA LAGUNA VERDE protocolizacion fs02.doc", "Abrir Documento")</f>
        <v>0</v>
      </c>
      <c r="D7268" t="s">
        <v>23500</v>
      </c>
      <c r="E7268" t="s">
        <v>29775</v>
      </c>
    </row>
    <row r="7269" spans="1:5">
      <c r="A7269" t="s">
        <v>6</v>
      </c>
      <c r="B7269" t="s">
        <v>7274</v>
      </c>
      <c r="C7269">
        <f>HYPERLINK("C:\Users\franc\OneDrive\Documentos\MALENTIN KARIME\karime tapia\PROTOCOLIZACION\AUTORIZACION DE ACTA.doc", "Abrir Documento")</f>
        <v>0</v>
      </c>
      <c r="D7269" t="s">
        <v>23500</v>
      </c>
      <c r="E7269" t="s">
        <v>29776</v>
      </c>
    </row>
    <row r="7270" spans="1:5">
      <c r="A7270" t="s">
        <v>6</v>
      </c>
      <c r="B7270" t="s">
        <v>7275</v>
      </c>
      <c r="C7270">
        <f>HYPERLINK("C:\Users\franc\OneDrive\Documentos\MALENTIN KARIME\karime tapia\PROHIBICIONES\RAUL SCHIESSLER Prohibicion.doc", "Abrir Documento")</f>
        <v>0</v>
      </c>
      <c r="D7270" t="s">
        <v>23500</v>
      </c>
      <c r="E7270" t="s">
        <v>29777</v>
      </c>
    </row>
    <row r="7271" spans="1:5">
      <c r="A7271" t="s">
        <v>6</v>
      </c>
      <c r="B7271" t="s">
        <v>7276</v>
      </c>
      <c r="C7271">
        <f>HYPERLINK("C:\Users\franc\OneDrive\Documentos\MALENTIN KARIME\karime tapia\PROHIBICIONES\MARIELA BARRAZA mandato.doc", "Abrir Documento")</f>
        <v>0</v>
      </c>
      <c r="D7271" t="s">
        <v>23500</v>
      </c>
      <c r="E7271" t="s">
        <v>29778</v>
      </c>
    </row>
    <row r="7272" spans="1:5">
      <c r="A7272" t="s">
        <v>6</v>
      </c>
      <c r="B7272" t="s">
        <v>7277</v>
      </c>
      <c r="C7272">
        <f>HYPERLINK("C:\Users\franc\OneDrive\Documentos\MALENTIN KARIME\karime tapia\PROHIBICIONES\MARIELA BARRAZA  decl.doc", "Abrir Documento")</f>
        <v>0</v>
      </c>
      <c r="D7272" t="s">
        <v>23500</v>
      </c>
      <c r="E7272" t="s">
        <v>29779</v>
      </c>
    </row>
    <row r="7273" spans="1:5">
      <c r="A7273" t="s">
        <v>6</v>
      </c>
      <c r="B7273" t="s">
        <v>7278</v>
      </c>
      <c r="C7273">
        <f>HYPERLINK("C:\Users\franc\OneDrive\Documentos\MALENTIN KARIME\karime tapia\MANDATOS\SCARLETT FIERRO FIERRO mandato vehiculo.doc", "Abrir Documento")</f>
        <v>0</v>
      </c>
      <c r="D7273" t="s">
        <v>23500</v>
      </c>
      <c r="E7273" t="s">
        <v>29780</v>
      </c>
    </row>
    <row r="7274" spans="1:5">
      <c r="A7274" t="s">
        <v>6</v>
      </c>
      <c r="B7274" t="s">
        <v>7279</v>
      </c>
      <c r="C7274">
        <f>HYPERLINK("C:\Users\franc\OneDrive\Documentos\MALENTIN KARIME\karime tapia\MANDATOS\NANCY CISTERNAS MUÑOZ A JUAN ADONES CISTERNAS (BANCO CORPBANCA).doc", "Abrir Documento")</f>
        <v>0</v>
      </c>
      <c r="D7274" t="s">
        <v>23500</v>
      </c>
      <c r="E7274" t="s">
        <v>29781</v>
      </c>
    </row>
    <row r="7275" spans="1:5">
      <c r="A7275" t="s">
        <v>6</v>
      </c>
      <c r="B7275" t="s">
        <v>7280</v>
      </c>
      <c r="C7275">
        <f>HYPERLINK("C:\Users\franc\OneDrive\Documentos\MALENTIN KARIME\karime tapia\MANDATOS\NANCY CISTERNAS MUÑOZ A JUAN ADONES CISTERNAS (SCOTIABANK).doc", "Abrir Documento")</f>
        <v>0</v>
      </c>
      <c r="D7275" t="s">
        <v>23500</v>
      </c>
      <c r="E7275" t="s">
        <v>29781</v>
      </c>
    </row>
    <row r="7276" spans="1:5">
      <c r="A7276" t="s">
        <v>6</v>
      </c>
      <c r="B7276" t="s">
        <v>7281</v>
      </c>
      <c r="C7276">
        <f>HYPERLINK("C:\Users\franc\OneDrive\Documentos\MALENTIN KARIME\karime tapia\M JUDICIAL\MARIA DIAZ A Boris Monardez.doc", "Abrir Documento")</f>
        <v>0</v>
      </c>
      <c r="D7276" t="s">
        <v>23500</v>
      </c>
      <c r="E7276" t="s">
        <v>29782</v>
      </c>
    </row>
    <row r="7277" spans="1:5">
      <c r="A7277" t="s">
        <v>6</v>
      </c>
      <c r="B7277" t="s">
        <v>7282</v>
      </c>
      <c r="C7277">
        <f>HYPERLINK("C:\Users\franc\OneDrive\Documentos\MALENTIN KARIME\karime tapia\M JUDICIAL\Mandato judicial.Birknerdoc.doc", "Abrir Documento")</f>
        <v>0</v>
      </c>
      <c r="D7277" t="s">
        <v>23500</v>
      </c>
      <c r="E7277" t="s">
        <v>29783</v>
      </c>
    </row>
    <row r="7278" spans="1:5">
      <c r="A7278" t="s">
        <v>6</v>
      </c>
      <c r="B7278" t="s">
        <v>7283</v>
      </c>
      <c r="C7278">
        <f>HYPERLINK("C:\Users\franc\OneDrive\Documentos\MALENTIN KARIME\karime tapia\M JUDICIAL\KARLA MUNDACA A Ingrid Nayem Elorza.doc", "Abrir Documento")</f>
        <v>0</v>
      </c>
      <c r="D7278" t="s">
        <v>23500</v>
      </c>
      <c r="E7278" t="s">
        <v>29784</v>
      </c>
    </row>
    <row r="7279" spans="1:5">
      <c r="A7279" t="s">
        <v>6</v>
      </c>
      <c r="B7279" t="s">
        <v>7284</v>
      </c>
      <c r="C7279">
        <f>HYPERLINK("C:\Users\franc\OneDrive\Documentos\MALENTIN KARIME\karime tapia\M JUDICIAL\ILUSTRE MUNICIPALIDAD DE OVALLE A MARIA JOSE CERDA Mjudicial.doc", "Abrir Documento")</f>
        <v>0</v>
      </c>
      <c r="D7279" t="s">
        <v>23500</v>
      </c>
      <c r="E7279" t="s">
        <v>29785</v>
      </c>
    </row>
    <row r="7280" spans="1:5">
      <c r="A7280" t="s">
        <v>6</v>
      </c>
      <c r="B7280" t="s">
        <v>7285</v>
      </c>
      <c r="C7280">
        <f>HYPERLINK("C:\Users\franc\OneDrive\Documentos\MALENTIN KARIME\karime tapia\M JUDICIAL\FRANCISCO ZAPATA BUGUEÑO A Jorge Alvarado.doc", "Abrir Documento")</f>
        <v>0</v>
      </c>
      <c r="D7280" t="s">
        <v>23500</v>
      </c>
      <c r="E7280" t="s">
        <v>29786</v>
      </c>
    </row>
    <row r="7281" spans="1:5">
      <c r="A7281" t="s">
        <v>6</v>
      </c>
      <c r="B7281" t="s">
        <v>7286</v>
      </c>
      <c r="C7281">
        <f>HYPERLINK("C:\Users\franc\OneDrive\Documentos\MALENTIN KARIME\karime tapia\FACTORONE\CESAR OSSIO GARCIA Contrato Factoring.doc", "Abrir Documento")</f>
        <v>0</v>
      </c>
      <c r="D7281" t="s">
        <v>23500</v>
      </c>
      <c r="E7281" t="s">
        <v>29787</v>
      </c>
    </row>
    <row r="7282" spans="1:5">
      <c r="A7282" t="s">
        <v>6</v>
      </c>
      <c r="B7282" t="s">
        <v>7287</v>
      </c>
      <c r="C7282">
        <f>HYPERLINK("C:\Users\franc\OneDrive\Documentos\MALENTIN KARIME\karime tapia\M JUDICIAL\BERTA RODRIGUEZ MIRANDA A Ingrid Nayem Elorza.doc", "Abrir Documento")</f>
        <v>0</v>
      </c>
      <c r="D7282" t="s">
        <v>23500</v>
      </c>
      <c r="E7282" t="s">
        <v>29787</v>
      </c>
    </row>
    <row r="7283" spans="1:5">
      <c r="A7283" t="s">
        <v>6</v>
      </c>
      <c r="B7283" t="s">
        <v>7288</v>
      </c>
      <c r="C7283">
        <f>HYPERLINK("C:\Users\franc\OneDrive\Documentos\MALENTIN KARIME\karime tapia\COMPRAVENTAS\NORMA RIVERA A BERLINDA OLIVARES Solteras.doc", "Abrir Documento")</f>
        <v>0</v>
      </c>
      <c r="D7283" t="s">
        <v>23500</v>
      </c>
      <c r="E7283" t="s">
        <v>29788</v>
      </c>
    </row>
    <row r="7284" spans="1:5">
      <c r="A7284" t="s">
        <v>6</v>
      </c>
      <c r="B7284" t="s">
        <v>7289</v>
      </c>
      <c r="C7284">
        <f>HYPERLINK("C:\Users\franc\OneDrive\Documentos\MALENTIN KARIME\karime tapia\COMPRAVENTAS\ROSA PEREZ TORRES a Karen Pizarro cvta..doc", "Abrir Documento")</f>
        <v>0</v>
      </c>
      <c r="D7284" t="s">
        <v>23500</v>
      </c>
      <c r="E7284" t="s">
        <v>29788</v>
      </c>
    </row>
    <row r="7285" spans="1:5">
      <c r="A7285" t="s">
        <v>6</v>
      </c>
      <c r="B7285" t="s">
        <v>7290</v>
      </c>
      <c r="C7285">
        <f>HYPERLINK("C:\Users\franc\OneDrive\Documentos\MALENTIN KARIME\karime tapia\COMPRAVENTAS\COMPRAVENTA PEDRO CORTES A LEONARDO CORTES.doc", "Abrir Documento")</f>
        <v>0</v>
      </c>
      <c r="D7285" t="s">
        <v>23500</v>
      </c>
      <c r="E7285" t="s">
        <v>29789</v>
      </c>
    </row>
    <row r="7286" spans="1:5">
      <c r="A7286" t="s">
        <v>6</v>
      </c>
      <c r="B7286" t="s">
        <v>7291</v>
      </c>
      <c r="C7286">
        <f>HYPERLINK("C:\Users\franc\OneDrive\Documentos\MALENTIN KARIME\karime tapia\CANCELACION\ZOILA ESTAY A Silvia Fuentes cancelacion.doc", "Abrir Documento")</f>
        <v>0</v>
      </c>
      <c r="D7286" t="s">
        <v>23500</v>
      </c>
      <c r="E7286" t="s">
        <v>29790</v>
      </c>
    </row>
    <row r="7287" spans="1:5">
      <c r="A7287" t="s">
        <v>6</v>
      </c>
      <c r="B7287" t="s">
        <v>7292</v>
      </c>
      <c r="C7287">
        <f>HYPERLINK("C:\Users\franc\OneDrive\Documentos\MALENTIN KARIME\karime tapia\CANCELACION\cancelacion.doc", "Abrir Documento")</f>
        <v>0</v>
      </c>
      <c r="D7287" t="s">
        <v>23500</v>
      </c>
      <c r="E7287" t="s">
        <v>29791</v>
      </c>
    </row>
    <row r="7288" spans="1:5">
      <c r="A7288" t="s">
        <v>6</v>
      </c>
      <c r="B7288" t="s">
        <v>7293</v>
      </c>
      <c r="C7288">
        <f>HYPERLINK("C:\Users\franc\OneDrive\Documentos\MALENTIN KARIME\karime tapia\CANCELACION\NOLFA AROS  A Mauricio Alfarocancelacion.doc", "Abrir Documento")</f>
        <v>0</v>
      </c>
      <c r="D7288" t="s">
        <v>23500</v>
      </c>
      <c r="E7288" t="s">
        <v>29791</v>
      </c>
    </row>
    <row r="7289" spans="1:5">
      <c r="A7289" t="s">
        <v>6</v>
      </c>
      <c r="B7289" t="s">
        <v>7294</v>
      </c>
      <c r="C7289">
        <f>HYPERLINK("C:\Users\franc\OneDrive\Documentos\MALENTIN KARIME\karime tapia\CANCELACION\ARTURO NARANJO, VERONICA BARRAZAcancelacion.doc", "Abrir Documento")</f>
        <v>0</v>
      </c>
      <c r="D7289" t="s">
        <v>23500</v>
      </c>
      <c r="E7289" t="s">
        <v>29792</v>
      </c>
    </row>
    <row r="7290" spans="1:5">
      <c r="A7290" t="s">
        <v>6</v>
      </c>
      <c r="B7290" t="s">
        <v>7295</v>
      </c>
      <c r="C7290">
        <f>HYPERLINK("C:\Users\franc\OneDrive\Documentos\MALENTIN KARIME\karime tapia\AGUAS\2015\MANUEL ANTONIO LEON\MANUEL LEONA AMERICA LEON nueva 2016.doc", "Abrir Documento")</f>
        <v>0</v>
      </c>
      <c r="D7290" t="s">
        <v>23500</v>
      </c>
      <c r="E7290" t="s">
        <v>29793</v>
      </c>
    </row>
    <row r="7291" spans="1:5">
      <c r="A7291" t="s">
        <v>6</v>
      </c>
      <c r="B7291" t="s">
        <v>7296</v>
      </c>
      <c r="C7291">
        <f>HYPERLINK("C:\Users\franc\OneDrive\Documentos\MALENTIN KARIME\karime tapia\AGUAS\2015\MANUEL ANTONIO LEON\JOHN LEON.doc", "Abrir Documento")</f>
        <v>0</v>
      </c>
      <c r="D7291" t="s">
        <v>23500</v>
      </c>
      <c r="E7291" t="s">
        <v>29794</v>
      </c>
    </row>
    <row r="7292" spans="1:5">
      <c r="A7292" t="s">
        <v>6</v>
      </c>
      <c r="B7292" t="s">
        <v>7297</v>
      </c>
      <c r="C7292">
        <f>HYPERLINK("C:\Users\franc\OneDrive\Documentos\MALENTIN KARIME\karime tapia\AGUAS\2015\MANUEL ANTONIO LEON\LARRINSON LEON.doc", "Abrir Documento")</f>
        <v>0</v>
      </c>
      <c r="D7292" t="s">
        <v>23500</v>
      </c>
      <c r="E7292" t="s">
        <v>29794</v>
      </c>
    </row>
    <row r="7293" spans="1:5">
      <c r="A7293" t="s">
        <v>6</v>
      </c>
      <c r="B7293" t="s">
        <v>7298</v>
      </c>
      <c r="C7293">
        <f>HYPERLINK("C:\Users\franc\OneDrive\Documentos\MALENTIN KARIME\karime tapia\AGUAS\2015\MANUEL ANTONIO LEON\AMERICA LEON.doc", "Abrir Documento")</f>
        <v>0</v>
      </c>
      <c r="D7293" t="s">
        <v>23500</v>
      </c>
      <c r="E7293" t="s">
        <v>29795</v>
      </c>
    </row>
    <row r="7294" spans="1:5">
      <c r="A7294" t="s">
        <v>6</v>
      </c>
      <c r="B7294" t="s">
        <v>7299</v>
      </c>
      <c r="C7294">
        <f>HYPERLINK("C:\Users\franc\OneDrive\Documentos\MALENTIN KARIME\karime tapia\AGUAS\2015\MANUEL ANTONIO LEON\ERIKA LEON.doc", "Abrir Documento")</f>
        <v>0</v>
      </c>
      <c r="D7294" t="s">
        <v>23500</v>
      </c>
      <c r="E7294" t="s">
        <v>29795</v>
      </c>
    </row>
    <row r="7295" spans="1:5">
      <c r="A7295" t="s">
        <v>6</v>
      </c>
      <c r="B7295" t="s">
        <v>7300</v>
      </c>
      <c r="C7295">
        <f>HYPERLINK("C:\Users\franc\OneDrive\Documentos\MALENTIN KARIME\karime tapia\AGUAS\2015\MANUEL ANTONIO LEON\ADRIANA LEON CAMPOS.doc", "Abrir Documento")</f>
        <v>0</v>
      </c>
      <c r="D7295" t="s">
        <v>23500</v>
      </c>
      <c r="E7295" t="s">
        <v>29796</v>
      </c>
    </row>
    <row r="7296" spans="1:5">
      <c r="A7296" t="s">
        <v>6</v>
      </c>
      <c r="B7296" t="s">
        <v>7301</v>
      </c>
      <c r="C7296">
        <f>HYPERLINK("C:\Users\franc\OneDrive\Documentos\MALENTIN KARIME\karime tapia\AGUAS\2015\AMANDA CASTELLANOS\AMANDA CASTELLANOS a Yoanna Zambra.doc", "Abrir Documento")</f>
        <v>0</v>
      </c>
      <c r="D7296" t="s">
        <v>23500</v>
      </c>
      <c r="E7296" t="s">
        <v>29797</v>
      </c>
    </row>
    <row r="7297" spans="1:5">
      <c r="A7297" t="s">
        <v>6</v>
      </c>
      <c r="B7297" t="s">
        <v>7302</v>
      </c>
      <c r="C7297">
        <f>HYPERLINK("C:\Users\franc\OneDrive\Documentos\MALENTIN KARIME\karime tapia\AGUAS\2015\AMANDA CASTELLANOS\AMANDA CASTELLANOS a Roberto.doc", "Abrir Documento")</f>
        <v>0</v>
      </c>
      <c r="D7297" t="s">
        <v>23500</v>
      </c>
      <c r="E7297" t="s">
        <v>29798</v>
      </c>
    </row>
    <row r="7298" spans="1:5">
      <c r="A7298" t="s">
        <v>6</v>
      </c>
      <c r="B7298" t="s">
        <v>7303</v>
      </c>
      <c r="C7298">
        <f>HYPERLINK("C:\Users\franc\OneDrive\Documentos\MALENTIN KARIME\karime tapia\AGUAS\2015\AMANDA CASTELLANOS\AMANDA CASTELLANOS a Román.doc", "Abrir Documento")</f>
        <v>0</v>
      </c>
      <c r="D7298" t="s">
        <v>23500</v>
      </c>
      <c r="E7298" t="s">
        <v>29798</v>
      </c>
    </row>
    <row r="7299" spans="1:5">
      <c r="A7299" t="s">
        <v>6</v>
      </c>
      <c r="B7299" t="s">
        <v>7304</v>
      </c>
      <c r="C7299">
        <f>HYPERLINK("C:\Users\franc\OneDrive\Documentos\MALENTIN KARIME\karime tapia\AGUAS\2015\AMANDA CASTELLANOS\AMANDA CASTELLANOS a Patricio.doc", "Abrir Documento")</f>
        <v>0</v>
      </c>
      <c r="D7299" t="s">
        <v>23500</v>
      </c>
      <c r="E7299" t="s">
        <v>29799</v>
      </c>
    </row>
    <row r="7300" spans="1:5">
      <c r="A7300" t="s">
        <v>6</v>
      </c>
      <c r="B7300" t="s">
        <v>7305</v>
      </c>
      <c r="C7300">
        <f>HYPERLINK("C:\Users\franc\OneDrive\Documentos\MALENTIN KARIME\karime tapia\AGUAS\2015\AMANDA CASTELLANOS\AMANDA CASTELLANOS a Luis.doc", "Abrir Documento")</f>
        <v>0</v>
      </c>
      <c r="D7300" t="s">
        <v>23500</v>
      </c>
      <c r="E7300" t="s">
        <v>29800</v>
      </c>
    </row>
    <row r="7301" spans="1:5">
      <c r="A7301" t="s">
        <v>6</v>
      </c>
      <c r="B7301" t="s">
        <v>7306</v>
      </c>
      <c r="C7301">
        <f>HYPERLINK("C:\Users\franc\OneDrive\Documentos\MALENTIN KARIME\karime tapia\AGUAS\2015\RICARDO ALLENDE SENTIS A Comercializadora de Frutas Arrenda.doc", "Abrir Documento")</f>
        <v>0</v>
      </c>
      <c r="D7301" t="s">
        <v>23500</v>
      </c>
      <c r="E7301" t="s">
        <v>29801</v>
      </c>
    </row>
    <row r="7302" spans="1:5">
      <c r="A7302" t="s">
        <v>6</v>
      </c>
      <c r="B7302" t="s">
        <v>7307</v>
      </c>
      <c r="C7302">
        <f>HYPERLINK("C:\Users\franc\OneDrive\Documentos\MALENTIN KARIME\karime tapia\AGUAS\2015\MALVINA CORTES CASTILLO A Ema Torodoc.doc", "Abrir Documento")</f>
        <v>0</v>
      </c>
      <c r="D7302" t="s">
        <v>23500</v>
      </c>
      <c r="E7302" t="s">
        <v>29802</v>
      </c>
    </row>
    <row r="7303" spans="1:5">
      <c r="A7303" t="s">
        <v>6</v>
      </c>
      <c r="B7303" t="s">
        <v>7308</v>
      </c>
      <c r="C7303">
        <f>HYPERLINK("C:\Users\franc\OneDrive\Documentos\MALENTIN KARIME\karime tapia\AGUAS\2015\JOSE CASTILLO PASTNE A AGRICOLA MILLAHUE.doc", "Abrir Documento")</f>
        <v>0</v>
      </c>
      <c r="D7303" t="s">
        <v>23500</v>
      </c>
      <c r="E7303" t="s">
        <v>29803</v>
      </c>
    </row>
    <row r="7304" spans="1:5">
      <c r="A7304" t="s">
        <v>6</v>
      </c>
      <c r="B7304" t="s">
        <v>7309</v>
      </c>
      <c r="C7304">
        <f>HYPERLINK("C:\Users\franc\OneDrive\Documentos\MALENTIN KARIME\karime tapia\AGUAS\2015\JAVIER ZAMBRA A ELBA MADARIAGA.doc", "Abrir Documento")</f>
        <v>0</v>
      </c>
      <c r="D7304" t="s">
        <v>23500</v>
      </c>
      <c r="E7304" t="s">
        <v>29804</v>
      </c>
    </row>
    <row r="7305" spans="1:5">
      <c r="A7305" t="s">
        <v>6</v>
      </c>
      <c r="B7305" t="s">
        <v>7310</v>
      </c>
      <c r="C7305">
        <f>HYPERLINK("C:\Users\franc\OneDrive\Documentos\MALENTIN KARIME\karime tapia\AGUAS\2015\ISMAEL LAYANA  A Melinda Carvajal.doc", "Abrir Documento")</f>
        <v>0</v>
      </c>
      <c r="D7305" t="s">
        <v>23500</v>
      </c>
      <c r="E7305" t="s">
        <v>29805</v>
      </c>
    </row>
    <row r="7306" spans="1:5">
      <c r="A7306" t="s">
        <v>6</v>
      </c>
      <c r="B7306" t="s">
        <v>7311</v>
      </c>
      <c r="C7306">
        <f>HYPERLINK("C:\Users\franc\OneDrive\Documentos\MALENTIN KARIME\karime tapia\AGUAS\2015\GLADYS ORREGO PIZARRO Sucesion.doc", "Abrir Documento")</f>
        <v>0</v>
      </c>
      <c r="D7306" t="s">
        <v>23500</v>
      </c>
      <c r="E7306" t="s">
        <v>29806</v>
      </c>
    </row>
    <row r="7307" spans="1:5">
      <c r="A7307" t="s">
        <v>6</v>
      </c>
      <c r="B7307" t="s">
        <v>7312</v>
      </c>
      <c r="C7307">
        <f>HYPERLINK("C:\Users\franc\OneDrive\Documentos\MALENTIN KARIME\karime tapia\AGUAS\2015\FRANCISCO MATURANA VELOZO A Carlos Mendez SUbt.doc", "Abrir Documento")</f>
        <v>0</v>
      </c>
      <c r="D7307" t="s">
        <v>23500</v>
      </c>
      <c r="E7307" t="s">
        <v>29807</v>
      </c>
    </row>
    <row r="7308" spans="1:5">
      <c r="A7308" t="s">
        <v>6</v>
      </c>
      <c r="B7308" t="s">
        <v>7313</v>
      </c>
      <c r="C7308">
        <f>HYPERLINK("C:\Users\franc\OneDrive\Documentos\MALENTIN KARIME\karime tapia\AGUAS\2015\FRANCISCO MATURANA VELOZO A Carlos Mendez BORRADOR MINUTA.doc", "Abrir Documento")</f>
        <v>0</v>
      </c>
      <c r="D7308" t="s">
        <v>23500</v>
      </c>
      <c r="E7308" t="s">
        <v>29808</v>
      </c>
    </row>
    <row r="7309" spans="1:5">
      <c r="A7309" t="s">
        <v>6</v>
      </c>
      <c r="B7309" t="s">
        <v>7314</v>
      </c>
      <c r="C7309">
        <f>HYPERLINK("C:\Users\franc\OneDrive\Documentos\MALENTIN KARIME\karime tapia\AGUAS\2015\FRANCISCO MATURANA VELOZO A Carlos Mendez SUbt.DEFINITIVAdoc.doc", "Abrir Documento")</f>
        <v>0</v>
      </c>
      <c r="D7309" t="s">
        <v>23500</v>
      </c>
      <c r="E7309" t="s">
        <v>29808</v>
      </c>
    </row>
    <row r="7310" spans="1:5">
      <c r="A7310" t="s">
        <v>6</v>
      </c>
      <c r="B7310" t="s">
        <v>7315</v>
      </c>
      <c r="C7310">
        <f>HYPERLINK("C:\Users\franc\OneDrive\Documentos\MALENTIN KARIME\karime tapia\AGUAS\2015\DOMINGA HENRIQUEZ ESTAY y OTROS.doc", "Abrir Documento")</f>
        <v>0</v>
      </c>
      <c r="D7310" t="s">
        <v>23500</v>
      </c>
      <c r="E7310" t="s">
        <v>29809</v>
      </c>
    </row>
    <row r="7311" spans="1:5">
      <c r="A7311" t="s">
        <v>6</v>
      </c>
      <c r="B7311" t="s">
        <v>7316</v>
      </c>
      <c r="C7311">
        <f>HYPERLINK("C:\Users\franc\OneDrive\Documentos\MALENTIN KARIME\karime tapia\AGUAS\2015\ARTURO ARAYA BORQUEZ A AGRICOLA MILLAHUE.doc", "Abrir Documento")</f>
        <v>0</v>
      </c>
      <c r="D7311" t="s">
        <v>23500</v>
      </c>
      <c r="E7311" t="s">
        <v>29810</v>
      </c>
    </row>
    <row r="7312" spans="1:5">
      <c r="A7312" t="s">
        <v>6</v>
      </c>
      <c r="B7312" t="s">
        <v>7317</v>
      </c>
      <c r="C7312">
        <f>HYPERLINK("C:\Users\franc\OneDrive\Documentos\MALENTIN KARIME\karime tapia\AGUAS\2014\TOP WINE A WILLIAM ABUSLEME.doc", "Abrir Documento")</f>
        <v>0</v>
      </c>
      <c r="D7312" t="s">
        <v>23500</v>
      </c>
      <c r="E7312" t="s">
        <v>29811</v>
      </c>
    </row>
    <row r="7313" spans="1:5">
      <c r="A7313" t="s">
        <v>6</v>
      </c>
      <c r="B7313" t="s">
        <v>7318</v>
      </c>
      <c r="C7313">
        <f>HYPERLINK("C:\Users\franc\OneDrive\Documentos\MALENTIN KARIME\karime tapia\AGUAS\2014\TOP WINE  Arriendo Aguas.doc", "Abrir Documento")</f>
        <v>0</v>
      </c>
      <c r="D7313" t="s">
        <v>23500</v>
      </c>
      <c r="E7313" t="s">
        <v>29812</v>
      </c>
    </row>
    <row r="7314" spans="1:5">
      <c r="A7314" t="s">
        <v>6</v>
      </c>
      <c r="B7314" t="s">
        <v>7319</v>
      </c>
      <c r="C7314">
        <f>HYPERLINK("C:\Users\franc\OneDrive\Documentos\MALENTIN KARIME\karime tapia\AGUAS\2014\TOP WINE  A SUCESION GARRIDO.doc", "Abrir Documento")</f>
        <v>0</v>
      </c>
      <c r="D7314" t="s">
        <v>23500</v>
      </c>
      <c r="E7314" t="s">
        <v>29813</v>
      </c>
    </row>
    <row r="7315" spans="1:5">
      <c r="A7315" t="s">
        <v>6</v>
      </c>
      <c r="B7315" t="s">
        <v>7320</v>
      </c>
      <c r="C7315">
        <f>HYPERLINK("C:\Users\franc\OneDrive\Documentos\MALENTIN KARIME\karime tapia\AGUAS\2014\TOP WINE  A Nibaldo Flores Arriendo Aguas.doc", "Abrir Documento")</f>
        <v>0</v>
      </c>
      <c r="D7315" t="s">
        <v>23500</v>
      </c>
      <c r="E7315" t="s">
        <v>29814</v>
      </c>
    </row>
    <row r="7316" spans="1:5">
      <c r="A7316" t="s">
        <v>6</v>
      </c>
      <c r="B7316" t="s">
        <v>7321</v>
      </c>
      <c r="C7316">
        <f>HYPERLINK("C:\Users\franc\OneDrive\Documentos\MALENTIN KARIME\karime tapia\AGUAS\2014\TOP WINE  A DORIS LARENAS.doc", "Abrir Documento")</f>
        <v>0</v>
      </c>
      <c r="D7316" t="s">
        <v>23500</v>
      </c>
      <c r="E7316" t="s">
        <v>29815</v>
      </c>
    </row>
    <row r="7317" spans="1:5">
      <c r="A7317" t="s">
        <v>6</v>
      </c>
      <c r="B7317" t="s">
        <v>7322</v>
      </c>
      <c r="C7317">
        <f>HYPERLINK("C:\Users\franc\OneDrive\Documentos\MALENTIN KARIME\karime tapia\AGUAS\2014\TOP WINE  A Agrícola Corral.doc", "Abrir Documento")</f>
        <v>0</v>
      </c>
      <c r="D7317" t="s">
        <v>23500</v>
      </c>
      <c r="E7317" t="s">
        <v>29816</v>
      </c>
    </row>
    <row r="7318" spans="1:5">
      <c r="A7318" t="s">
        <v>6</v>
      </c>
      <c r="B7318" t="s">
        <v>7323</v>
      </c>
      <c r="C7318">
        <f>HYPERLINK("C:\Users\franc\OneDrive\Documentos\MALENTIN KARIME\karime tapia\AGUAS\2014\TECNOCITRUS A Cerro Campanario Minuta.doc", "Abrir Documento")</f>
        <v>0</v>
      </c>
      <c r="D7318" t="s">
        <v>23500</v>
      </c>
      <c r="E7318" t="s">
        <v>29817</v>
      </c>
    </row>
    <row r="7319" spans="1:5">
      <c r="A7319" t="s">
        <v>6</v>
      </c>
      <c r="B7319" t="s">
        <v>7324</v>
      </c>
      <c r="C7319">
        <f>HYPERLINK("C:\Users\franc\OneDrive\Documentos\MALENTIN KARIME\karime tapia\AGUAS\2014\SOCIEDAD SANTA CATALINA A Agrícola Vespucio.doc", "Abrir Documento")</f>
        <v>0</v>
      </c>
      <c r="D7319" t="s">
        <v>23500</v>
      </c>
      <c r="E7319" t="s">
        <v>29818</v>
      </c>
    </row>
    <row r="7320" spans="1:5">
      <c r="A7320" t="s">
        <v>6</v>
      </c>
      <c r="B7320" t="s">
        <v>7325</v>
      </c>
      <c r="C7320">
        <f>HYPERLINK("C:\Users\franc\OneDrive\Documentos\MALENTIN KARIME\karime tapia\AGUAS\2014\RENE MIRANDA A AGRICOLA POLPAICO Con usufructo.doc", "Abrir Documento")</f>
        <v>0</v>
      </c>
      <c r="D7320" t="s">
        <v>23500</v>
      </c>
      <c r="E7320" t="s">
        <v>29819</v>
      </c>
    </row>
    <row r="7321" spans="1:5">
      <c r="A7321" t="s">
        <v>6</v>
      </c>
      <c r="B7321" t="s">
        <v>7326</v>
      </c>
      <c r="C7321">
        <f>HYPERLINK("C:\Users\franc\OneDrive\Documentos\MALENTIN KARIME\karime tapia\AGUAS\2014\RICARDO ALLENDE Y Polpaico.doc", "Abrir Documento")</f>
        <v>0</v>
      </c>
      <c r="D7321" t="s">
        <v>23500</v>
      </c>
      <c r="E7321" t="s">
        <v>29819</v>
      </c>
    </row>
    <row r="7322" spans="1:5">
      <c r="A7322" t="s">
        <v>6</v>
      </c>
      <c r="B7322" t="s">
        <v>7327</v>
      </c>
      <c r="C7322">
        <f>HYPERLINK("C:\Users\franc\OneDrive\Documentos\MALENTIN KARIME\karime tapia\AGUAS\2014\OLIVIA MICHEA VEAS A Marianela Jofre Rojas.doc", "Abrir Documento")</f>
        <v>0</v>
      </c>
      <c r="D7322" t="s">
        <v>23500</v>
      </c>
      <c r="E7322" t="s">
        <v>29820</v>
      </c>
    </row>
    <row r="7323" spans="1:5">
      <c r="A7323" t="s">
        <v>6</v>
      </c>
      <c r="B7323" t="s">
        <v>7328</v>
      </c>
      <c r="C7323">
        <f>HYPERLINK("C:\Users\franc\OneDrive\Documentos\MALENTIN KARIME\karime tapia\AGUAS\2014\OLIVIA MICHEA VEAS A Claudio Moroso.doc", "Abrir Documento")</f>
        <v>0</v>
      </c>
      <c r="D7323" t="s">
        <v>23500</v>
      </c>
      <c r="E7323" t="s">
        <v>29821</v>
      </c>
    </row>
    <row r="7324" spans="1:5">
      <c r="A7324" t="s">
        <v>6</v>
      </c>
      <c r="B7324" t="s">
        <v>7329</v>
      </c>
      <c r="C7324">
        <f>HYPERLINK("C:\Users\franc\OneDrive\Documentos\MALENTIN KARIME\karime tapia\AGUAS\2014\MAURICIO ASTORGA Y TOP WINE Aguas minuta.doc", "Abrir Documento")</f>
        <v>0</v>
      </c>
      <c r="D7324" t="s">
        <v>23500</v>
      </c>
      <c r="E7324" t="s">
        <v>29822</v>
      </c>
    </row>
    <row r="7325" spans="1:5">
      <c r="A7325" t="s">
        <v>6</v>
      </c>
      <c r="B7325" t="s">
        <v>7330</v>
      </c>
      <c r="C7325">
        <f>HYPERLINK("C:\Users\franc\OneDrive\Documentos\MALENTIN KARIME\karime tapia\AGUAS\2014\MANUEL MUÑOZ PEREZ A Top Wine  Aguas.doc", "Abrir Documento")</f>
        <v>0</v>
      </c>
      <c r="D7325" t="s">
        <v>23500</v>
      </c>
      <c r="E7325" t="s">
        <v>29823</v>
      </c>
    </row>
    <row r="7326" spans="1:5">
      <c r="A7326" t="s">
        <v>6</v>
      </c>
      <c r="B7326" t="s">
        <v>7331</v>
      </c>
      <c r="C7326">
        <f>HYPERLINK("C:\Users\franc\OneDrive\Documentos\MALENTIN KARIME\karime tapia\AGUAS\2014\LUIS FLORES ARAYA A Jose Chacon.doc", "Abrir Documento")</f>
        <v>0</v>
      </c>
      <c r="D7326" t="s">
        <v>23500</v>
      </c>
      <c r="E7326" t="s">
        <v>29824</v>
      </c>
    </row>
    <row r="7327" spans="1:5">
      <c r="A7327" t="s">
        <v>6</v>
      </c>
      <c r="B7327" t="s">
        <v>7332</v>
      </c>
      <c r="C7327">
        <f>HYPERLINK("C:\Users\franc\OneDrive\Documentos\MALENTIN KARIME\karime tapia\AGUAS\2014\LOPEZ LOPEZ GUARDA.doc", "Abrir Documento")</f>
        <v>0</v>
      </c>
      <c r="D7327" t="s">
        <v>23500</v>
      </c>
      <c r="E7327" t="s">
        <v>29825</v>
      </c>
    </row>
    <row r="7328" spans="1:5">
      <c r="A7328" t="s">
        <v>6</v>
      </c>
      <c r="B7328" t="s">
        <v>7333</v>
      </c>
      <c r="C7328">
        <f>HYPERLINK("C:\Users\franc\OneDrive\Documentos\MALENTIN KARIME\karime tapia\AGUAS\2014\JUANA ARAYA CASTILLO A Top Wine Aguas.doc", "Abrir Documento")</f>
        <v>0</v>
      </c>
      <c r="D7328" t="s">
        <v>23500</v>
      </c>
      <c r="E7328" t="s">
        <v>29826</v>
      </c>
    </row>
    <row r="7329" spans="1:5">
      <c r="A7329" t="s">
        <v>6</v>
      </c>
      <c r="B7329" t="s">
        <v>7334</v>
      </c>
      <c r="C7329">
        <f>HYPERLINK("C:\Users\franc\OneDrive\Documentos\MALENTIN KARIME\karime tapia\AGUAS\2014\JOSE MIGUEL MUNIZAGA TORO a Alfonso Montenegro.doc", "Abrir Documento")</f>
        <v>0</v>
      </c>
      <c r="D7329" t="s">
        <v>23500</v>
      </c>
      <c r="E7329" t="s">
        <v>29827</v>
      </c>
    </row>
    <row r="7330" spans="1:5">
      <c r="A7330" t="s">
        <v>6</v>
      </c>
      <c r="B7330" t="s">
        <v>7335</v>
      </c>
      <c r="C7330">
        <f>HYPERLINK("C:\Users\franc\OneDrive\Documentos\MALENTIN KARIME\karime tapia\AGUAS\2014\IRENE ALVAREZ VIDELA A Carlos Moreno.doc", "Abrir Documento")</f>
        <v>0</v>
      </c>
      <c r="D7330" t="s">
        <v>23500</v>
      </c>
      <c r="E7330" t="s">
        <v>29828</v>
      </c>
    </row>
    <row r="7331" spans="1:5">
      <c r="A7331" t="s">
        <v>6</v>
      </c>
      <c r="B7331" t="s">
        <v>7336</v>
      </c>
      <c r="C7331">
        <f>HYPERLINK("C:\Users\franc\OneDrive\Documentos\MALENTIN KARIME\karime tapia\AGUAS\2014\INSTRUCCIONESS  Munizaga 2.doc", "Abrir Documento")</f>
        <v>0</v>
      </c>
      <c r="D7331" t="s">
        <v>23500</v>
      </c>
      <c r="E7331" t="s">
        <v>29829</v>
      </c>
    </row>
    <row r="7332" spans="1:5">
      <c r="A7332" t="s">
        <v>6</v>
      </c>
      <c r="B7332" t="s">
        <v>7337</v>
      </c>
      <c r="C7332">
        <f>HYPERLINK("C:\Users\franc\OneDrive\Documentos\MALENTIN KARIME\karime tapia\AGUAS\2014\HILDA CARVAJAL VILLALOBOS Y OTROS El Palqui.doc", "Abrir Documento")</f>
        <v>0</v>
      </c>
      <c r="D7332" t="s">
        <v>23500</v>
      </c>
      <c r="E7332" t="s">
        <v>29830</v>
      </c>
    </row>
    <row r="7333" spans="1:5">
      <c r="A7333" t="s">
        <v>6</v>
      </c>
      <c r="B7333" t="s">
        <v>7338</v>
      </c>
      <c r="C7333">
        <f>HYPERLINK("C:\Users\franc\OneDrive\Documentos\MALENTIN KARIME\karime tapia\AGUAS\2014\GLORIA DEL CARMEN  LOPEZ GUARDA.doc", "Abrir Documento")</f>
        <v>0</v>
      </c>
      <c r="D7333" t="s">
        <v>23500</v>
      </c>
      <c r="E7333" t="s">
        <v>29831</v>
      </c>
    </row>
    <row r="7334" spans="1:5">
      <c r="A7334" t="s">
        <v>6</v>
      </c>
      <c r="B7334" t="s">
        <v>7339</v>
      </c>
      <c r="C7334">
        <f>HYPERLINK("C:\Users\franc\OneDrive\Documentos\MALENTIN KARIME\karime tapia\AGUAS\2014\GLADYS ORREGO PIZARRO Sucesion.doc", "Abrir Documento")</f>
        <v>0</v>
      </c>
      <c r="D7334" t="s">
        <v>23500</v>
      </c>
      <c r="E7334" t="s">
        <v>29832</v>
      </c>
    </row>
    <row r="7335" spans="1:5">
      <c r="A7335" t="s">
        <v>6</v>
      </c>
      <c r="B7335" t="s">
        <v>7340</v>
      </c>
      <c r="C7335">
        <f>HYPERLINK("C:\Users\franc\OneDrive\Documentos\MALENTIN KARIME\karime tapia\AGUAS\2014\GABY MORENO VEGA Aguas.doc", "Abrir Documento")</f>
        <v>0</v>
      </c>
      <c r="D7335" t="s">
        <v>23500</v>
      </c>
      <c r="E7335" t="s">
        <v>29833</v>
      </c>
    </row>
    <row r="7336" spans="1:5">
      <c r="A7336" t="s">
        <v>6</v>
      </c>
      <c r="B7336" t="s">
        <v>7341</v>
      </c>
      <c r="C7336">
        <f>HYPERLINK("C:\Users\franc\OneDrive\Documentos\MALENTIN KARIME\karime tapia\AGUAS\2014\FUTICOLA ZEBRA A AGRICOLA SAN CLEMENTE Dotacion minuta 2.doc", "Abrir Documento")</f>
        <v>0</v>
      </c>
      <c r="D7336" t="s">
        <v>23500</v>
      </c>
      <c r="E7336" t="s">
        <v>29834</v>
      </c>
    </row>
    <row r="7337" spans="1:5">
      <c r="A7337" t="s">
        <v>6</v>
      </c>
      <c r="B7337" t="s">
        <v>7342</v>
      </c>
      <c r="C7337">
        <f>HYPERLINK("C:\Users\franc\OneDrive\Documentos\MALENTIN KARIME\karime tapia\AGUAS\2014\FUTICOLA ZEBRA A AGRICOLA SAN CLEMENTE Dotacion minuta.doc", "Abrir Documento")</f>
        <v>0</v>
      </c>
      <c r="D7337" t="s">
        <v>23500</v>
      </c>
      <c r="E7337" t="s">
        <v>29834</v>
      </c>
    </row>
    <row r="7338" spans="1:5">
      <c r="A7338" t="s">
        <v>6</v>
      </c>
      <c r="B7338" t="s">
        <v>7343</v>
      </c>
      <c r="C7338">
        <f>HYPERLINK("C:\Users\franc\OneDrive\Documentos\MALENTIN KARIME\karime tapia\AGUAS\2014\FRUTICOLA RIO COPIAPO A Saraswati Harris.doc", "Abrir Documento")</f>
        <v>0</v>
      </c>
      <c r="D7338" t="s">
        <v>23500</v>
      </c>
      <c r="E7338" t="s">
        <v>29835</v>
      </c>
    </row>
    <row r="7339" spans="1:5">
      <c r="A7339" t="s">
        <v>6</v>
      </c>
      <c r="B7339" t="s">
        <v>7344</v>
      </c>
      <c r="C7339">
        <f>HYPERLINK("C:\Users\franc\OneDrive\Documentos\MALENTIN KARIME\karime tapia\AGUAS\2014\FRUTICOLA RIO COPIAPO A Inversiones Juan Pablo.doc", "Abrir Documento")</f>
        <v>0</v>
      </c>
      <c r="D7339" t="s">
        <v>23500</v>
      </c>
      <c r="E7339" t="s">
        <v>29836</v>
      </c>
    </row>
    <row r="7340" spans="1:5">
      <c r="A7340" t="s">
        <v>6</v>
      </c>
      <c r="B7340" t="s">
        <v>7345</v>
      </c>
      <c r="C7340">
        <f>HYPERLINK("C:\Users\franc\OneDrive\Documentos\MALENTIN KARIME\karime tapia\AGUAS\2014\FRUTICOLA RIO COPIAPO A Inversiones Juan Pablo formato.doc", "Abrir Documento")</f>
        <v>0</v>
      </c>
      <c r="D7340" t="s">
        <v>23500</v>
      </c>
      <c r="E7340" t="s">
        <v>29837</v>
      </c>
    </row>
    <row r="7341" spans="1:5">
      <c r="A7341" t="s">
        <v>6</v>
      </c>
      <c r="B7341" t="s">
        <v>7346</v>
      </c>
      <c r="C7341">
        <f>HYPERLINK("C:\Users\franc\OneDrive\Documentos\MALENTIN KARIME\karime tapia\AGUAS\2014\FRUTICOLA RIO COPIAPO A Angostura.doc", "Abrir Documento")</f>
        <v>0</v>
      </c>
      <c r="D7341" t="s">
        <v>23500</v>
      </c>
      <c r="E7341" t="s">
        <v>29838</v>
      </c>
    </row>
    <row r="7342" spans="1:5">
      <c r="A7342" t="s">
        <v>6</v>
      </c>
      <c r="B7342" t="s">
        <v>7347</v>
      </c>
      <c r="C7342">
        <f>HYPERLINK("C:\Users\franc\OneDrive\Documentos\MALENTIN KARIME\karime tapia\AGUAS\2014\FRUTICOLA RIO COPIAPO A Angostura formato.doc", "Abrir Documento")</f>
        <v>0</v>
      </c>
      <c r="D7342" t="s">
        <v>23500</v>
      </c>
      <c r="E7342" t="s">
        <v>29839</v>
      </c>
    </row>
    <row r="7343" spans="1:5">
      <c r="A7343" t="s">
        <v>6</v>
      </c>
      <c r="B7343" t="s">
        <v>7348</v>
      </c>
      <c r="C7343">
        <f>HYPERLINK("C:\Users\franc\OneDrive\Documentos\MALENTIN KARIME\karime tapia\AGUAS\2014\FRUTICOLA RIO COPIAPO A  Juan Carlos Julia.doc", "Abrir Documento")</f>
        <v>0</v>
      </c>
      <c r="D7343" t="s">
        <v>23500</v>
      </c>
      <c r="E7343" t="s">
        <v>29840</v>
      </c>
    </row>
    <row r="7344" spans="1:5">
      <c r="A7344" t="s">
        <v>6</v>
      </c>
      <c r="B7344" t="s">
        <v>7349</v>
      </c>
      <c r="C7344">
        <f>HYPERLINK("C:\Users\franc\OneDrive\Documentos\MALENTIN KARIME\karime tapia\AGUAS\2014\FRUTICOLA RIO COPIAPO A  Mario Alfaro.doc", "Abrir Documento")</f>
        <v>0</v>
      </c>
      <c r="D7344" t="s">
        <v>23500</v>
      </c>
      <c r="E7344" t="s">
        <v>29840</v>
      </c>
    </row>
    <row r="7345" spans="1:5">
      <c r="A7345" t="s">
        <v>6</v>
      </c>
      <c r="B7345" t="s">
        <v>7350</v>
      </c>
      <c r="C7345">
        <f>HYPERLINK("C:\Users\franc\OneDrive\Documentos\MALENTIN KARIME\karime tapia\AGUAS\2014\FRUTICOLA RIO COPIAPO A  Agricola Valle del Limar Spa.doc", "Abrir Documento")</f>
        <v>0</v>
      </c>
      <c r="D7345" t="s">
        <v>23500</v>
      </c>
      <c r="E7345" t="s">
        <v>29841</v>
      </c>
    </row>
    <row r="7346" spans="1:5">
      <c r="A7346" t="s">
        <v>6</v>
      </c>
      <c r="B7346" t="s">
        <v>7351</v>
      </c>
      <c r="C7346">
        <f>HYPERLINK("C:\Users\franc\OneDrive\Documentos\MALENTIN KARIME\karime tapia\AGUAS\2014\FLAVIO FERNANDEZ A Juan Araya minuta P ULLOA.doc", "Abrir Documento")</f>
        <v>0</v>
      </c>
      <c r="D7346" t="s">
        <v>23500</v>
      </c>
      <c r="E7346" t="s">
        <v>29842</v>
      </c>
    </row>
    <row r="7347" spans="1:5">
      <c r="A7347" t="s">
        <v>6</v>
      </c>
      <c r="B7347" t="s">
        <v>7352</v>
      </c>
      <c r="C7347">
        <f>HYPERLINK("C:\Users\franc\OneDrive\Documentos\MALENTIN KARIME\karime tapia\AGUAS\2014\clausual aguas.doc", "Abrir Documento")</f>
        <v>0</v>
      </c>
      <c r="D7347" t="s">
        <v>23500</v>
      </c>
      <c r="E7347" t="s">
        <v>29843</v>
      </c>
    </row>
    <row r="7348" spans="1:5">
      <c r="A7348" t="s">
        <v>6</v>
      </c>
      <c r="B7348" t="s">
        <v>7353</v>
      </c>
      <c r="C7348">
        <f>HYPERLINK("C:\Users\franc\OneDrive\Documentos\MALENTIN KARIME\karime tapia\AGUAS\2014\ERMELINDA ASTUDILLO A Top Wine Aguas.doc", "Abrir Documento")</f>
        <v>0</v>
      </c>
      <c r="D7348" t="s">
        <v>23500</v>
      </c>
      <c r="E7348" t="s">
        <v>29843</v>
      </c>
    </row>
    <row r="7349" spans="1:5">
      <c r="A7349" t="s">
        <v>6</v>
      </c>
      <c r="B7349" t="s">
        <v>7354</v>
      </c>
      <c r="C7349">
        <f>HYPERLINK("C:\Users\franc\OneDrive\Documentos\MALENTIN KARIME\karime tapia\AGUAS\2014\CERRO CAMPANARIO A Tecnocitrus Ltda. Minuta.doc", "Abrir Documento")</f>
        <v>0</v>
      </c>
      <c r="D7349" t="s">
        <v>23500</v>
      </c>
      <c r="E7349" t="s">
        <v>29844</v>
      </c>
    </row>
    <row r="7350" spans="1:5">
      <c r="A7350" t="s">
        <v>6</v>
      </c>
      <c r="B7350" t="s">
        <v>7355</v>
      </c>
      <c r="C7350">
        <f>HYPERLINK("C:\Users\franc\OneDrive\Documentos\MALENTIN KARIME\karime tapia\AGUAS\2014\ANIBAL ASTORGA MORENO VEGA Aguas.doc", "Abrir Documento")</f>
        <v>0</v>
      </c>
      <c r="D7350" t="s">
        <v>23500</v>
      </c>
      <c r="E7350" t="s">
        <v>29845</v>
      </c>
    </row>
    <row r="7351" spans="1:5">
      <c r="A7351" t="s">
        <v>6</v>
      </c>
      <c r="B7351" t="s">
        <v>7356</v>
      </c>
      <c r="C7351">
        <f>HYPERLINK("C:\Users\franc\OneDrive\Documentos\MALENTIN KARIME\karime tapia\AGUAS\2014\AGUAS SUBTERRANEASCESAR ALVAREZ EIRL A Oloferne Carvajal.doc", "Abrir Documento")</f>
        <v>0</v>
      </c>
      <c r="D7351" t="s">
        <v>23500</v>
      </c>
      <c r="E7351" t="s">
        <v>29846</v>
      </c>
    </row>
    <row r="7352" spans="1:5">
      <c r="A7352" t="s">
        <v>6</v>
      </c>
      <c r="B7352" t="s">
        <v>7357</v>
      </c>
      <c r="C7352">
        <f>HYPERLINK("C:\Users\franc\OneDrive\Documentos\MALENTIN KARIME\karime tapia\AGUAS\2014\AGRICOLA Sicor a San Clemente.doc", "Abrir Documento")</f>
        <v>0</v>
      </c>
      <c r="D7352" t="s">
        <v>23500</v>
      </c>
      <c r="E7352" t="s">
        <v>29847</v>
      </c>
    </row>
    <row r="7353" spans="1:5">
      <c r="A7353" t="s">
        <v>6</v>
      </c>
      <c r="B7353" t="s">
        <v>7358</v>
      </c>
      <c r="C7353">
        <f>HYPERLINK("C:\Users\franc\OneDrive\Documentos\MALENTIN KARIME\karime tapia\AGUAS\2014\AGRICOLA Sicor a San Clemente privado.doc", "Abrir Documento")</f>
        <v>0</v>
      </c>
      <c r="D7353" t="s">
        <v>23500</v>
      </c>
      <c r="E7353" t="s">
        <v>29848</v>
      </c>
    </row>
    <row r="7354" spans="1:5">
      <c r="A7354" t="s">
        <v>6</v>
      </c>
      <c r="B7354" t="s">
        <v>7359</v>
      </c>
      <c r="C7354">
        <f>HYPERLINK("C:\Users\franc\OneDrive\Documentos\MALENTIN KARIME\karime tapia\AGUAS\2014\AGRICOLA E INV JUAN PABLO A Agricola Cerrillos Minuta.doc", "Abrir Documento")</f>
        <v>0</v>
      </c>
      <c r="D7354" t="s">
        <v>23500</v>
      </c>
      <c r="E7354" t="s">
        <v>29849</v>
      </c>
    </row>
    <row r="7355" spans="1:5">
      <c r="A7355" t="s">
        <v>6</v>
      </c>
      <c r="B7355" t="s">
        <v>7360</v>
      </c>
      <c r="C7355">
        <f>HYPERLINK("C:\Users\franc\OneDrive\Documentos\MALENTIN KARIME\karime tapia\AGUAS\2014\AGRICOLA ANGOSTURA  A Agricola Cerrillos  Minuta.doc", "Abrir Documento")</f>
        <v>0</v>
      </c>
      <c r="D7355" t="s">
        <v>23500</v>
      </c>
      <c r="E7355" t="s">
        <v>29850</v>
      </c>
    </row>
    <row r="7356" spans="1:5">
      <c r="A7356" t="s">
        <v>6</v>
      </c>
      <c r="B7356" t="s">
        <v>7361</v>
      </c>
      <c r="C7356">
        <f>HYPERLINK("C:\Users\franc\OneDrive\Documentos\MALENTIN KARIME\karime tapia\AGUAS\VIÑA SUTIL Arriendo Aguas.doc", "Abrir Documento")</f>
        <v>0</v>
      </c>
      <c r="D7356" t="s">
        <v>23500</v>
      </c>
      <c r="E7356" t="s">
        <v>29851</v>
      </c>
    </row>
    <row r="7357" spans="1:5">
      <c r="A7357" t="s">
        <v>6</v>
      </c>
      <c r="B7357" t="s">
        <v>7362</v>
      </c>
      <c r="C7357">
        <f>HYPERLINK("C:\Users\franc\OneDrive\Documentos\MALENTIN KARIME\karime tapia\AGUAS\WALTER JOFRE MONTERO Arriendo Aguas.doc", "Abrir Documento")</f>
        <v>0</v>
      </c>
      <c r="D7357" t="s">
        <v>23500</v>
      </c>
      <c r="E7357" t="s">
        <v>29851</v>
      </c>
    </row>
    <row r="7358" spans="1:5">
      <c r="A7358" t="s">
        <v>6</v>
      </c>
      <c r="B7358" t="s">
        <v>7363</v>
      </c>
      <c r="C7358">
        <f>HYPERLINK("C:\Users\franc\OneDrive\Documentos\MALENTIN KARIME\karime tapia\AGUAS\VIÑA SUTIL  A Nibaldo Flores Arriendo Aguas.doc", "Abrir Documento")</f>
        <v>0</v>
      </c>
      <c r="D7358" t="s">
        <v>23500</v>
      </c>
      <c r="E7358" t="s">
        <v>29852</v>
      </c>
    </row>
    <row r="7359" spans="1:5">
      <c r="A7359" t="s">
        <v>6</v>
      </c>
      <c r="B7359" t="s">
        <v>7364</v>
      </c>
      <c r="C7359">
        <f>HYPERLINK("C:\Users\franc\OneDrive\Documentos\MALENTIN KARIME\karime tapia\AGUAS\VIÑA SUTIL  A LUCIA CORRAL Aguas.doc", "Abrir Documento")</f>
        <v>0</v>
      </c>
      <c r="D7359" t="s">
        <v>23500</v>
      </c>
      <c r="E7359" t="s">
        <v>29853</v>
      </c>
    </row>
    <row r="7360" spans="1:5">
      <c r="A7360" t="s">
        <v>6</v>
      </c>
      <c r="B7360" t="s">
        <v>7365</v>
      </c>
      <c r="C7360">
        <f>HYPERLINK("C:\Users\franc\OneDrive\Documentos\MALENTIN KARIME\karime tapia\AGUAS\VIÑA SUTIL  A GABY MORENO VEGA Aguas.doc", "Abrir Documento")</f>
        <v>0</v>
      </c>
      <c r="D7360" t="s">
        <v>23500</v>
      </c>
      <c r="E7360" t="s">
        <v>29854</v>
      </c>
    </row>
    <row r="7361" spans="1:5">
      <c r="A7361" t="s">
        <v>6</v>
      </c>
      <c r="B7361" t="s">
        <v>7366</v>
      </c>
      <c r="C7361">
        <f>HYPERLINK("C:\Users\franc\OneDrive\Documentos\MALENTIN KARIME\karime tapia\AGUAS\VIÑA SUTIL  A CLAUDIA BOLADOS Aguas.doc", "Abrir Documento")</f>
        <v>0</v>
      </c>
      <c r="D7361" t="s">
        <v>23500</v>
      </c>
      <c r="E7361" t="s">
        <v>29855</v>
      </c>
    </row>
    <row r="7362" spans="1:5">
      <c r="A7362" t="s">
        <v>6</v>
      </c>
      <c r="B7362" t="s">
        <v>7367</v>
      </c>
      <c r="C7362">
        <f>HYPERLINK("C:\Users\franc\OneDrive\Documentos\MALENTIN KARIME\karime tapia\AGUAS\VIÑA SUTIL  A ANIBAL ASTORGA Rectifica.doc", "Abrir Documento")</f>
        <v>0</v>
      </c>
      <c r="D7362" t="s">
        <v>23500</v>
      </c>
      <c r="E7362" t="s">
        <v>29856</v>
      </c>
    </row>
    <row r="7363" spans="1:5">
      <c r="A7363" t="s">
        <v>6</v>
      </c>
      <c r="B7363" t="s">
        <v>7368</v>
      </c>
      <c r="C7363">
        <f>HYPERLINK("C:\Users\franc\OneDrive\Documentos\MALENTIN KARIME\karime tapia\AGUAS\VIÑA SUTIL  A ANIBAL ASTORGA Aguas.doc", "Abrir Documento")</f>
        <v>0</v>
      </c>
      <c r="D7363" t="s">
        <v>23500</v>
      </c>
      <c r="E7363" t="s">
        <v>29857</v>
      </c>
    </row>
    <row r="7364" spans="1:5">
      <c r="A7364" t="s">
        <v>6</v>
      </c>
      <c r="B7364" t="s">
        <v>7369</v>
      </c>
      <c r="C7364">
        <f>HYPERLINK("C:\Users\franc\OneDrive\Documentos\MALENTIN KARIME\karime tapia\AGUAS\SYLVIA ELENA ALVAREZ A RODRIGO ALCAYAGA.doc", "Abrir Documento")</f>
        <v>0</v>
      </c>
      <c r="D7364" t="s">
        <v>23500</v>
      </c>
      <c r="E7364" t="s">
        <v>29858</v>
      </c>
    </row>
    <row r="7365" spans="1:5">
      <c r="A7365" t="s">
        <v>6</v>
      </c>
      <c r="B7365" t="s">
        <v>7370</v>
      </c>
      <c r="C7365">
        <f>HYPERLINK("C:\Users\franc\OneDrive\Documentos\MALENTIN KARIME\karime tapia\AGUAS\SUCESION Carvajal Aguilera.doc", "Abrir Documento")</f>
        <v>0</v>
      </c>
      <c r="D7365" t="s">
        <v>23500</v>
      </c>
      <c r="E7365" t="s">
        <v>29859</v>
      </c>
    </row>
    <row r="7366" spans="1:5">
      <c r="A7366" t="s">
        <v>6</v>
      </c>
      <c r="B7366" t="s">
        <v>7371</v>
      </c>
      <c r="C7366">
        <f>HYPERLINK("C:\Users\franc\OneDrive\Documentos\MALENTIN KARIME\karime tapia\AGUAS\SOBRE DIRECTOR  GENERAL    DE AGUAS.doc", "Abrir Documento")</f>
        <v>0</v>
      </c>
      <c r="D7366" t="s">
        <v>23500</v>
      </c>
      <c r="E7366" t="s">
        <v>29860</v>
      </c>
    </row>
    <row r="7367" spans="1:5">
      <c r="A7367" t="s">
        <v>6</v>
      </c>
      <c r="B7367" t="s">
        <v>7372</v>
      </c>
      <c r="C7367">
        <f>HYPERLINK("C:\Users\franc\OneDrive\Documentos\MALENTIN KARIME\karime tapia\AGUAS\PLANILLA DIRECCION GENERAL DE AGUAS.doc", "Abrir Documento")</f>
        <v>0</v>
      </c>
      <c r="D7367" t="s">
        <v>23500</v>
      </c>
      <c r="E7367" t="s">
        <v>29861</v>
      </c>
    </row>
    <row r="7368" spans="1:5">
      <c r="A7368" t="s">
        <v>6</v>
      </c>
      <c r="B7368" t="s">
        <v>7373</v>
      </c>
      <c r="C7368">
        <f>HYPERLINK("C:\Users\franc\OneDrive\Documentos\MALENTIN KARIME\karime tapia\AGUAS\PATRICIO PINTO A Fruticola Copiapo.doc", "Abrir Documento")</f>
        <v>0</v>
      </c>
      <c r="D7368" t="s">
        <v>23500</v>
      </c>
      <c r="E7368" t="s">
        <v>29862</v>
      </c>
    </row>
    <row r="7369" spans="1:5">
      <c r="A7369" t="s">
        <v>6</v>
      </c>
      <c r="B7369" t="s">
        <v>7374</v>
      </c>
      <c r="C7369">
        <f>HYPERLINK("C:\Users\franc\OneDrive\Documentos\MALENTIN KARIME\karime tapia\AGUAS\PATRICIO PINTO A Fruticola Copiapo INSTRUCCIONES.doc", "Abrir Documento")</f>
        <v>0</v>
      </c>
      <c r="D7369" t="s">
        <v>23500</v>
      </c>
      <c r="E7369" t="s">
        <v>29863</v>
      </c>
    </row>
    <row r="7370" spans="1:5">
      <c r="A7370" t="s">
        <v>6</v>
      </c>
      <c r="B7370" t="s">
        <v>7375</v>
      </c>
      <c r="C7370">
        <f>HYPERLINK("C:\Users\franc\OneDrive\Documentos\MALENTIN KARIME\karime tapia\AGUAS\PAGARÉ Alegría-1.doc", "Abrir Documento")</f>
        <v>0</v>
      </c>
      <c r="D7370" t="s">
        <v>23500</v>
      </c>
      <c r="E7370" t="s">
        <v>29864</v>
      </c>
    </row>
    <row r="7371" spans="1:5">
      <c r="A7371" t="s">
        <v>6</v>
      </c>
      <c r="B7371" t="s">
        <v>7376</v>
      </c>
      <c r="C7371">
        <f>HYPERLINK("C:\Users\franc\OneDrive\Documentos\MALENTIN KARIME\karime tapia\AGUAS\OFICIO AGUAS.doc", "Abrir Documento")</f>
        <v>0</v>
      </c>
      <c r="D7371" t="s">
        <v>23500</v>
      </c>
      <c r="E7371" t="s">
        <v>29865</v>
      </c>
    </row>
    <row r="7372" spans="1:5">
      <c r="A7372" t="s">
        <v>6</v>
      </c>
      <c r="B7372" t="s">
        <v>7377</v>
      </c>
      <c r="C7372">
        <f>HYPERLINK("C:\Users\franc\OneDrive\Documentos\MALENTIN KARIME\karime tapia\AGUAS\MODELO ARRIENDO AGUAS.doc", "Abrir Documento")</f>
        <v>0</v>
      </c>
      <c r="D7372" t="s">
        <v>23500</v>
      </c>
      <c r="E7372" t="s">
        <v>29866</v>
      </c>
    </row>
    <row r="7373" spans="1:5">
      <c r="A7373" t="s">
        <v>6</v>
      </c>
      <c r="B7373" t="s">
        <v>7378</v>
      </c>
      <c r="C7373">
        <f>HYPERLINK("C:\Users\franc\OneDrive\Documentos\MALENTIN KARIME\karime tapia\AGUAS\MARIA CLAUSSEN A Cerro Campanario.doc", "Abrir Documento")</f>
        <v>0</v>
      </c>
      <c r="D7373" t="s">
        <v>23500</v>
      </c>
      <c r="E7373" t="s">
        <v>29867</v>
      </c>
    </row>
    <row r="7374" spans="1:5">
      <c r="A7374" t="s">
        <v>6</v>
      </c>
      <c r="B7374" t="s">
        <v>7379</v>
      </c>
      <c r="C7374">
        <f>HYPERLINK("C:\Users\franc\OneDrive\Documentos\MALENTIN KARIME\karime tapia\AGUAS\MARIA AGUIRRE A PETRONILA VELASQUEZ.doc", "Abrir Documento")</f>
        <v>0</v>
      </c>
      <c r="D7374" t="s">
        <v>23500</v>
      </c>
      <c r="E7374" t="s">
        <v>29868</v>
      </c>
    </row>
    <row r="7375" spans="1:5">
      <c r="A7375" t="s">
        <v>6</v>
      </c>
      <c r="B7375" t="s">
        <v>7380</v>
      </c>
      <c r="C7375">
        <f>HYPERLINK("C:\Users\franc\OneDrive\Documentos\MALENTIN KARIME\karime tapia\AGUAS\MANUEL ANTONIO LEON  A larrinson leon.doc", "Abrir Documento")</f>
        <v>0</v>
      </c>
      <c r="D7375" t="s">
        <v>23500</v>
      </c>
      <c r="E7375" t="s">
        <v>29869</v>
      </c>
    </row>
    <row r="7376" spans="1:5">
      <c r="A7376" t="s">
        <v>6</v>
      </c>
      <c r="B7376" t="s">
        <v>7381</v>
      </c>
      <c r="C7376">
        <f>HYPERLINK("C:\Users\franc\OneDrive\Documentos\MALENTIN KARIME\karime tapia\AGUAS\MANUEL ANTONIO LEON  A CRISTINA S.doc", "Abrir Documento")</f>
        <v>0</v>
      </c>
      <c r="D7376" t="s">
        <v>23500</v>
      </c>
      <c r="E7376" t="s">
        <v>29870</v>
      </c>
    </row>
    <row r="7377" spans="1:5">
      <c r="A7377" t="s">
        <v>6</v>
      </c>
      <c r="B7377" t="s">
        <v>7382</v>
      </c>
      <c r="C7377">
        <f>HYPERLINK("C:\Users\franc\OneDrive\Documentos\MALENTIN KARIME\karime tapia\AGUAS\La personería de don Juan Patricio Gracia Burucker.doc", "Abrir Documento")</f>
        <v>0</v>
      </c>
      <c r="D7377" t="s">
        <v>23500</v>
      </c>
      <c r="E7377" t="s">
        <v>29871</v>
      </c>
    </row>
    <row r="7378" spans="1:5">
      <c r="A7378" t="s">
        <v>6</v>
      </c>
      <c r="B7378" t="s">
        <v>7383</v>
      </c>
      <c r="C7378">
        <f>HYPERLINK("C:\Users\franc\OneDrive\Documentos\MALENTIN KARIME\karime tapia\AGUAS\JULIO LUTTGUES A VIVIANA ARAYA HIDALGO.doc", "Abrir Documento")</f>
        <v>0</v>
      </c>
      <c r="D7378" t="s">
        <v>23500</v>
      </c>
      <c r="E7378" t="s">
        <v>29872</v>
      </c>
    </row>
    <row r="7379" spans="1:5">
      <c r="A7379" t="s">
        <v>6</v>
      </c>
      <c r="B7379" t="s">
        <v>7384</v>
      </c>
      <c r="C7379">
        <f>HYPERLINK("C:\Users\franc\OneDrive\Documentos\MALENTIN KARIME\karime tapia\AGUAS\JULIO LUTTGUES A JUAN ARAYA.doc", "Abrir Documento")</f>
        <v>0</v>
      </c>
      <c r="D7379" t="s">
        <v>23500</v>
      </c>
      <c r="E7379" t="s">
        <v>29873</v>
      </c>
    </row>
    <row r="7380" spans="1:5">
      <c r="A7380" t="s">
        <v>6</v>
      </c>
      <c r="B7380" t="s">
        <v>7385</v>
      </c>
      <c r="C7380">
        <f>HYPERLINK("C:\Users\franc\OneDrive\Documentos\MALENTIN KARIME\karime tapia\AGUAS\JUAN BOLADOS PIZARRO A ESTER SEGOVIA.doc", "Abrir Documento")</f>
        <v>0</v>
      </c>
      <c r="D7380" t="s">
        <v>23500</v>
      </c>
      <c r="E7380" t="s">
        <v>29874</v>
      </c>
    </row>
    <row r="7381" spans="1:5">
      <c r="A7381" t="s">
        <v>6</v>
      </c>
      <c r="B7381" t="s">
        <v>7386</v>
      </c>
      <c r="C7381">
        <f>HYPERLINK("C:\Users\franc\OneDrive\Documentos\MALENTIN KARIME\karime tapia\AGUAS\JUAN CARLOS JULIA CV AGUAS Tranque El Uno (3000 m3).doc", "Abrir Documento")</f>
        <v>0</v>
      </c>
      <c r="D7381" t="s">
        <v>23500</v>
      </c>
      <c r="E7381" t="s">
        <v>29874</v>
      </c>
    </row>
    <row r="7382" spans="1:5">
      <c r="A7382" t="s">
        <v>6</v>
      </c>
      <c r="B7382" t="s">
        <v>7387</v>
      </c>
      <c r="C7382">
        <f>HYPERLINK("C:\Users\franc\OneDrive\Documentos\MALENTIN KARIME\karime tapia\AGUAS\JOSE MIGUEL MUNIZAGA TORO.doc", "Abrir Documento")</f>
        <v>0</v>
      </c>
      <c r="D7382" t="s">
        <v>23500</v>
      </c>
      <c r="E7382" t="s">
        <v>29875</v>
      </c>
    </row>
    <row r="7383" spans="1:5">
      <c r="A7383" t="s">
        <v>6</v>
      </c>
      <c r="B7383" t="s">
        <v>7388</v>
      </c>
      <c r="C7383">
        <f>HYPERLINK("C:\Users\franc\OneDrive\Documentos\MALENTIN KARIME\karime tapia\AGUAS\JOSE MIGUEL MUNIZAGA TORO a BALDEMAR DEL CARMEN.doc", "Abrir Documento")</f>
        <v>0</v>
      </c>
      <c r="D7383" t="s">
        <v>23500</v>
      </c>
      <c r="E7383" t="s">
        <v>29876</v>
      </c>
    </row>
    <row r="7384" spans="1:5">
      <c r="A7384" t="s">
        <v>6</v>
      </c>
      <c r="B7384" t="s">
        <v>7389</v>
      </c>
      <c r="C7384">
        <f>HYPERLINK("C:\Users\franc\OneDrive\Documentos\MALENTIN KARIME\karime tapia\AGUAS\JOSE MIGUEL MUNIZAGA TORO a ABRAHAM GALLARDO.doc", "Abrir Documento")</f>
        <v>0</v>
      </c>
      <c r="D7384" t="s">
        <v>23500</v>
      </c>
      <c r="E7384" t="s">
        <v>29877</v>
      </c>
    </row>
    <row r="7385" spans="1:5">
      <c r="A7385" t="s">
        <v>6</v>
      </c>
      <c r="B7385" t="s">
        <v>7390</v>
      </c>
      <c r="C7385">
        <f>HYPERLINK("C:\Users\franc\OneDrive\Documentos\MALENTIN KARIME\karime tapia\AGUAS\JOSE MAXIMO CHACON VALLEJOS.doc", "Abrir Documento")</f>
        <v>0</v>
      </c>
      <c r="D7385" t="s">
        <v>23500</v>
      </c>
      <c r="E7385" t="s">
        <v>29878</v>
      </c>
    </row>
    <row r="7386" spans="1:5">
      <c r="A7386" t="s">
        <v>6</v>
      </c>
      <c r="B7386" t="s">
        <v>7391</v>
      </c>
      <c r="C7386">
        <f>HYPERLINK("C:\Users\franc\OneDrive\Documentos\MALENTIN KARIME\karime tapia\AGUAS\JOSE CAIMANQUE CASTILLO.doc", "Abrir Documento")</f>
        <v>0</v>
      </c>
      <c r="D7386" t="s">
        <v>23500</v>
      </c>
      <c r="E7386" t="s">
        <v>29879</v>
      </c>
    </row>
    <row r="7387" spans="1:5">
      <c r="A7387" t="s">
        <v>6</v>
      </c>
      <c r="B7387" t="s">
        <v>7392</v>
      </c>
      <c r="C7387">
        <f>HYPERLINK("C:\Users\franc\OneDrive\Documentos\MALENTIN KARIME\karime tapia\AGUAS\INSTRUCCIONESS  Munizaga.doc", "Abrir Documento")</f>
        <v>0</v>
      </c>
      <c r="D7387" t="s">
        <v>23500</v>
      </c>
      <c r="E7387" t="s">
        <v>29880</v>
      </c>
    </row>
    <row r="7388" spans="1:5">
      <c r="A7388" t="s">
        <v>6</v>
      </c>
      <c r="B7388" t="s">
        <v>7393</v>
      </c>
      <c r="C7388">
        <f>HYPERLINK("C:\Users\franc\OneDrive\Documentos\MALENTIN KARIME\karime tapia\AGUAS\INSTRUCCIONES.doc", "Abrir Documento")</f>
        <v>0</v>
      </c>
      <c r="D7388" t="s">
        <v>23500</v>
      </c>
      <c r="E7388" t="s">
        <v>29881</v>
      </c>
    </row>
    <row r="7389" spans="1:5">
      <c r="A7389" t="s">
        <v>6</v>
      </c>
      <c r="B7389" t="s">
        <v>7394</v>
      </c>
      <c r="C7389">
        <f>HYPERLINK("C:\Users\franc\OneDrive\Documentos\MALENTIN KARIME\karime tapia\AGUAS\instrucciones arbolito.doc", "Abrir Documento")</f>
        <v>0</v>
      </c>
      <c r="D7389" t="s">
        <v>23500</v>
      </c>
      <c r="E7389" t="s">
        <v>29882</v>
      </c>
    </row>
    <row r="7390" spans="1:5">
      <c r="A7390" t="s">
        <v>6</v>
      </c>
      <c r="B7390" t="s">
        <v>7395</v>
      </c>
      <c r="C7390">
        <f>HYPERLINK("C:\Users\franc\OneDrive\Documentos\MALENTIN KARIME\karime tapia\AGUAS\INMOBILIARIA LOS ALERCES A Luis Tapia Rojas.doc", "Abrir Documento")</f>
        <v>0</v>
      </c>
      <c r="D7390" t="s">
        <v>23500</v>
      </c>
      <c r="E7390" t="s">
        <v>29883</v>
      </c>
    </row>
    <row r="7391" spans="1:5">
      <c r="A7391" t="s">
        <v>6</v>
      </c>
      <c r="B7391" t="s">
        <v>7396</v>
      </c>
      <c r="C7391">
        <f>HYPERLINK("C:\Users\franc\OneDrive\Documentos\MALENTIN KARIME\karime tapia\AGUAS\INMOBILIARIA LOS ALERCES A Luis Tapia Rojas para abogado.doc", "Abrir Documento")</f>
        <v>0</v>
      </c>
      <c r="D7391" t="s">
        <v>23500</v>
      </c>
      <c r="E7391" t="s">
        <v>29884</v>
      </c>
    </row>
    <row r="7392" spans="1:5">
      <c r="A7392" t="s">
        <v>6</v>
      </c>
      <c r="B7392" t="s">
        <v>7397</v>
      </c>
      <c r="C7392">
        <f>HYPERLINK("C:\Users\franc\OneDrive\Documentos\MALENTIN KARIME\karime tapia\AGUAS\INMOBILIARIA LOS ALERCES A Luis Tapia Rojas final.doc", "Abrir Documento")</f>
        <v>0</v>
      </c>
      <c r="D7392" t="s">
        <v>23500</v>
      </c>
      <c r="E7392" t="s">
        <v>29885</v>
      </c>
    </row>
    <row r="7393" spans="1:5">
      <c r="A7393" t="s">
        <v>6</v>
      </c>
      <c r="B7393" t="s">
        <v>7398</v>
      </c>
      <c r="C7393">
        <f>HYPERLINK("C:\Users\franc\OneDrive\Documentos\MALENTIN KARIME\karime tapia\AGUAS\FRUTÍCOLA COPIAPO A Oscar Vicuña Urqueta.doc", "Abrir Documento")</f>
        <v>0</v>
      </c>
      <c r="D7393" t="s">
        <v>23500</v>
      </c>
      <c r="E7393" t="s">
        <v>29886</v>
      </c>
    </row>
    <row r="7394" spans="1:5">
      <c r="A7394" t="s">
        <v>6</v>
      </c>
      <c r="B7394" t="s">
        <v>7399</v>
      </c>
      <c r="C7394">
        <f>HYPERLINK("C:\Users\franc\OneDrive\Documentos\MALENTIN KARIME\karime tapia\AGUAS\HUGO BUGUEÑO CORTES A Victoria Bugueño.doc", "Abrir Documento")</f>
        <v>0</v>
      </c>
      <c r="D7394" t="s">
        <v>23500</v>
      </c>
      <c r="E7394" t="s">
        <v>29886</v>
      </c>
    </row>
    <row r="7395" spans="1:5">
      <c r="A7395" t="s">
        <v>6</v>
      </c>
      <c r="B7395" t="s">
        <v>7400</v>
      </c>
      <c r="C7395">
        <f>HYPERLINK("C:\Users\franc\OneDrive\Documentos\MALENTIN KARIME\karime tapia\AGUAS\FRUTÍCOLA COPIAPO A María Vega Barraza Agosto 13.doc", "Abrir Documento")</f>
        <v>0</v>
      </c>
      <c r="D7395" t="s">
        <v>23500</v>
      </c>
      <c r="E7395" t="s">
        <v>29887</v>
      </c>
    </row>
    <row r="7396" spans="1:5">
      <c r="A7396" t="s">
        <v>6</v>
      </c>
      <c r="B7396" t="s">
        <v>7401</v>
      </c>
      <c r="C7396">
        <f>HYPERLINK("C:\Users\franc\OneDrive\Documentos\MALENTIN KARIME\karime tapia\AGUAS\FRUTÍCOLA COPIAPO A EDUARDO MORGADO.doc", "Abrir Documento")</f>
        <v>0</v>
      </c>
      <c r="D7396" t="s">
        <v>23500</v>
      </c>
      <c r="E7396" t="s">
        <v>29888</v>
      </c>
    </row>
    <row r="7397" spans="1:5">
      <c r="A7397" t="s">
        <v>6</v>
      </c>
      <c r="B7397" t="s">
        <v>7402</v>
      </c>
      <c r="C7397">
        <f>HYPERLINK("C:\Users\franc\OneDrive\Documentos\MALENTIN KARIME\karime tapia\AGUAS\FRUTÍCOLA COPIAPO A Angostura.doc", "Abrir Documento")</f>
        <v>0</v>
      </c>
      <c r="D7397" t="s">
        <v>23500</v>
      </c>
      <c r="E7397" t="s">
        <v>29889</v>
      </c>
    </row>
    <row r="7398" spans="1:5">
      <c r="A7398" t="s">
        <v>6</v>
      </c>
      <c r="B7398" t="s">
        <v>7403</v>
      </c>
      <c r="C7398">
        <f>HYPERLINK("C:\Users\franc\OneDrive\Documentos\MALENTIN KARIME\karime tapia\AGUAS\FRUTÍCOLA COPIAPO A ALBERTO ALEGRIA ADONES Y OTROS.doc", "Abrir Documento")</f>
        <v>0</v>
      </c>
      <c r="D7398" t="s">
        <v>23500</v>
      </c>
      <c r="E7398" t="s">
        <v>29890</v>
      </c>
    </row>
    <row r="7399" spans="1:5">
      <c r="A7399" t="s">
        <v>6</v>
      </c>
      <c r="B7399" t="s">
        <v>7404</v>
      </c>
      <c r="C7399">
        <f>HYPERLINK("C:\Users\franc\OneDrive\Documentos\MALENTIN KARIME\karime tapia\AGUAS\FRUTÍCOLA COPIAPO A ALBERTO ALEGRIA ADONES Y OTROS Complementa.doc", "Abrir Documento")</f>
        <v>0</v>
      </c>
      <c r="D7399" t="s">
        <v>23500</v>
      </c>
      <c r="E7399" t="s">
        <v>29891</v>
      </c>
    </row>
    <row r="7400" spans="1:5">
      <c r="A7400" t="s">
        <v>6</v>
      </c>
      <c r="B7400" t="s">
        <v>7405</v>
      </c>
      <c r="C7400">
        <f>HYPERLINK("C:\Users\franc\OneDrive\Documentos\MALENTIN KARIME\karime tapia\AGUAS\FRUTICOLA RIO COPIAPO A Martin Petrinovic.doc", "Abrir Documento")</f>
        <v>0</v>
      </c>
      <c r="D7400" t="s">
        <v>23500</v>
      </c>
      <c r="E7400" t="s">
        <v>29892</v>
      </c>
    </row>
    <row r="7401" spans="1:5">
      <c r="A7401" t="s">
        <v>6</v>
      </c>
      <c r="B7401" t="s">
        <v>7406</v>
      </c>
      <c r="C7401">
        <f>HYPERLINK("C:\Users\franc\OneDrive\Documentos\MALENTIN KARIME\karime tapia\AGUAS\FRUTICOLA RIO COPIAPO A Mario Alfaro.doc", "Abrir Documento")</f>
        <v>0</v>
      </c>
      <c r="D7401" t="s">
        <v>23500</v>
      </c>
      <c r="E7401" t="s">
        <v>29893</v>
      </c>
    </row>
    <row r="7402" spans="1:5">
      <c r="A7402" t="s">
        <v>6</v>
      </c>
      <c r="B7402" t="s">
        <v>7407</v>
      </c>
      <c r="C7402">
        <f>HYPERLINK("C:\Users\franc\OneDrive\Documentos\MALENTIN KARIME\karime tapia\AGUAS\FRUTICOLA RIO COPIAPO A Jacinto Labarca.doc", "Abrir Documento")</f>
        <v>0</v>
      </c>
      <c r="D7402" t="s">
        <v>23500</v>
      </c>
      <c r="E7402" t="s">
        <v>29894</v>
      </c>
    </row>
    <row r="7403" spans="1:5">
      <c r="A7403" t="s">
        <v>6</v>
      </c>
      <c r="B7403" t="s">
        <v>7408</v>
      </c>
      <c r="C7403">
        <f>HYPERLINK("C:\Users\franc\OneDrive\Documentos\MALENTIN KARIME\karime tapia\AGUAS\FRUTICOLA RIO COPIAPO A Eduardo Morgado.doc", "Abrir Documento")</f>
        <v>0</v>
      </c>
      <c r="D7403" t="s">
        <v>23500</v>
      </c>
      <c r="E7403" t="s">
        <v>29895</v>
      </c>
    </row>
    <row r="7404" spans="1:5">
      <c r="A7404" t="s">
        <v>6</v>
      </c>
      <c r="B7404" t="s">
        <v>7409</v>
      </c>
      <c r="C7404">
        <f>HYPERLINK("C:\Users\franc\OneDrive\Documentos\MALENTIN KARIME\karime tapia\AGUAS\FRUTICOLA COPIAPO Instrucciones Maria Vega.doc", "Abrir Documento")</f>
        <v>0</v>
      </c>
      <c r="D7404" t="s">
        <v>23500</v>
      </c>
      <c r="E7404" t="s">
        <v>29896</v>
      </c>
    </row>
    <row r="7405" spans="1:5">
      <c r="A7405" t="s">
        <v>6</v>
      </c>
      <c r="B7405" t="s">
        <v>7410</v>
      </c>
      <c r="C7405">
        <f>HYPERLINK("C:\Users\franc\OneDrive\Documentos\MALENTIN KARIME\karime tapia\AGUAS\FRUTICOLA COPIAPO A RAMADILLA.doc", "Abrir Documento")</f>
        <v>0</v>
      </c>
      <c r="D7405" t="s">
        <v>23500</v>
      </c>
      <c r="E7405" t="s">
        <v>29897</v>
      </c>
    </row>
    <row r="7406" spans="1:5">
      <c r="A7406" t="s">
        <v>6</v>
      </c>
      <c r="B7406" t="s">
        <v>7411</v>
      </c>
      <c r="C7406">
        <f>HYPERLINK("C:\Users\franc\OneDrive\Documentos\MALENTIN KARIME\karime tapia\AGUAS\FRUTICOLA COPIAPO A Juan Carlos Julia.doc", "Abrir Documento")</f>
        <v>0</v>
      </c>
      <c r="D7406" t="s">
        <v>23500</v>
      </c>
      <c r="E7406" t="s">
        <v>29898</v>
      </c>
    </row>
    <row r="7407" spans="1:5">
      <c r="A7407" t="s">
        <v>6</v>
      </c>
      <c r="B7407" t="s">
        <v>7412</v>
      </c>
      <c r="C7407">
        <f>HYPERLINK("C:\Users\franc\OneDrive\Documentos\MALENTIN KARIME\karime tapia\AGUAS\FRUTICOLA COPIAPO A MARIO ALFARO GUTIERREZ.doc", "Abrir Documento")</f>
        <v>0</v>
      </c>
      <c r="D7407" t="s">
        <v>23500</v>
      </c>
      <c r="E7407" t="s">
        <v>29898</v>
      </c>
    </row>
    <row r="7408" spans="1:5">
      <c r="A7408" t="s">
        <v>6</v>
      </c>
      <c r="B7408" t="s">
        <v>7413</v>
      </c>
      <c r="C7408">
        <f>HYPERLINK("C:\Users\franc\OneDrive\Documentos\MALENTIN KARIME\karime tapia\AGUAS\FRUTICOLA COPIAPO A ISAAC ALAMO.doc", "Abrir Documento")</f>
        <v>0</v>
      </c>
      <c r="D7408" t="s">
        <v>23500</v>
      </c>
      <c r="E7408" t="s">
        <v>29899</v>
      </c>
    </row>
    <row r="7409" spans="1:5">
      <c r="A7409" t="s">
        <v>6</v>
      </c>
      <c r="B7409" t="s">
        <v>7414</v>
      </c>
      <c r="C7409">
        <f>HYPERLINK("C:\Users\franc\OneDrive\Documentos\MALENTIN KARIME\karime tapia\AGUAS\FRUTICOLA COPIAPO A Agrícola Valle del Limari II Spa ESCRITURA.doc", "Abrir Documento")</f>
        <v>0</v>
      </c>
      <c r="D7409" t="s">
        <v>23500</v>
      </c>
      <c r="E7409" t="s">
        <v>29900</v>
      </c>
    </row>
    <row r="7410" spans="1:5">
      <c r="A7410" t="s">
        <v>6</v>
      </c>
      <c r="B7410" t="s">
        <v>7415</v>
      </c>
      <c r="C7410">
        <f>HYPERLINK("C:\Users\franc\OneDrive\Documentos\MALENTIN KARIME\karime tapia\AGUAS\FRUTICOLA COPIAPO A Agrícola Valle del Limari II Spa.doc", "Abrir Documento")</f>
        <v>0</v>
      </c>
      <c r="D7410" t="s">
        <v>23500</v>
      </c>
      <c r="E7410" t="s">
        <v>29900</v>
      </c>
    </row>
    <row r="7411" spans="1:5">
      <c r="A7411" t="s">
        <v>6</v>
      </c>
      <c r="B7411" t="s">
        <v>7416</v>
      </c>
      <c r="C7411">
        <f>HYPERLINK("C:\Users\franc\OneDrive\Documentos\MALENTIN KARIME\karime tapia\AGUAS\FRUTICOLA COPIAPO A AGRICOLA VALLE DEL LIMARI.doc", "Abrir Documento")</f>
        <v>0</v>
      </c>
      <c r="D7411" t="s">
        <v>23500</v>
      </c>
      <c r="E7411" t="s">
        <v>29901</v>
      </c>
    </row>
    <row r="7412" spans="1:5">
      <c r="A7412" t="s">
        <v>6</v>
      </c>
      <c r="B7412" t="s">
        <v>7417</v>
      </c>
      <c r="C7412">
        <f>HYPERLINK("C:\Users\franc\OneDrive\Documentos\MALENTIN KARIME\karime tapia\AGUAS\FRANCISCO ARAYA MOYA Pozo.doc", "Abrir Documento")</f>
        <v>0</v>
      </c>
      <c r="D7412" t="s">
        <v>23500</v>
      </c>
      <c r="E7412" t="s">
        <v>29902</v>
      </c>
    </row>
    <row r="7413" spans="1:5">
      <c r="A7413" t="s">
        <v>6</v>
      </c>
      <c r="B7413" t="s">
        <v>7418</v>
      </c>
      <c r="C7413">
        <f>HYPERLINK("C:\Users\franc\OneDrive\Documentos\MALENTIN KARIME\karime tapia\AGUAS\ELIANA PERINES PALTA.doc", "Abrir Documento")</f>
        <v>0</v>
      </c>
      <c r="D7413" t="s">
        <v>23500</v>
      </c>
      <c r="E7413" t="s">
        <v>29903</v>
      </c>
    </row>
    <row r="7414" spans="1:5">
      <c r="A7414" t="s">
        <v>6</v>
      </c>
      <c r="B7414" t="s">
        <v>7419</v>
      </c>
      <c r="C7414">
        <f>HYPERLINK("C:\Users\franc\OneDrive\Documentos\MALENTIN KARIME\karime tapia\AGUAS\EDGARDO RODRIGUEZ A MANUEL RODRIGUEZ.doc", "Abrir Documento")</f>
        <v>0</v>
      </c>
      <c r="D7414" t="s">
        <v>23500</v>
      </c>
      <c r="E7414" t="s">
        <v>29904</v>
      </c>
    </row>
    <row r="7415" spans="1:5">
      <c r="A7415" t="s">
        <v>6</v>
      </c>
      <c r="B7415" t="s">
        <v>7420</v>
      </c>
      <c r="C7415">
        <f>HYPERLINK("C:\Users\franc\OneDrive\Documentos\MALENTIN KARIME\karime tapia\AGUAS\contrato arrendamiento DOTACION.doc", "Abrir Documento")</f>
        <v>0</v>
      </c>
      <c r="D7415" t="s">
        <v>23500</v>
      </c>
      <c r="E7415" t="s">
        <v>29905</v>
      </c>
    </row>
    <row r="7416" spans="1:5">
      <c r="A7416" t="s">
        <v>6</v>
      </c>
      <c r="B7416" t="s">
        <v>7421</v>
      </c>
      <c r="C7416">
        <f>HYPERLINK("C:\Users\franc\OneDrive\Documentos\MALENTIN KARIME\karime tapia\AGUAS\CHRISTIAN BARRIOS A SOC. AVICOLA SANTA CARMEN.doc", "Abrir Documento")</f>
        <v>0</v>
      </c>
      <c r="D7416" t="s">
        <v>23500</v>
      </c>
      <c r="E7416" t="s">
        <v>29906</v>
      </c>
    </row>
    <row r="7417" spans="1:5">
      <c r="A7417" t="s">
        <v>6</v>
      </c>
      <c r="B7417" t="s">
        <v>7422</v>
      </c>
      <c r="C7417">
        <f>HYPERLINK("C:\Users\franc\OneDrive\Documentos\MALENTIN KARIME\karime tapia\AGUAS\Autorizo la firma de don MANUEL ARTURO CONTADOR CORTES.doc", "Abrir Documento")</f>
        <v>0</v>
      </c>
      <c r="D7417" t="s">
        <v>23500</v>
      </c>
      <c r="E7417" t="s">
        <v>29907</v>
      </c>
    </row>
    <row r="7418" spans="1:5">
      <c r="A7418" t="s">
        <v>6</v>
      </c>
      <c r="B7418" t="s">
        <v>7423</v>
      </c>
      <c r="C7418">
        <f>HYPERLINK("C:\Users\franc\OneDrive\Documentos\MALENTIN KARIME\karime tapia\AGUAS\ARNOLDO ARAYA PIÑONES.doc", "Abrir Documento")</f>
        <v>0</v>
      </c>
      <c r="D7418" t="s">
        <v>23500</v>
      </c>
      <c r="E7418" t="s">
        <v>29908</v>
      </c>
    </row>
    <row r="7419" spans="1:5">
      <c r="A7419" t="s">
        <v>6</v>
      </c>
      <c r="B7419" t="s">
        <v>7424</v>
      </c>
      <c r="C7419">
        <f>HYPERLINK("C:\Users\franc\OneDrive\Documentos\MALENTIN KARIME\karime tapia\AGUAS\arbolito.doc", "Abrir Documento")</f>
        <v>0</v>
      </c>
      <c r="D7419" t="s">
        <v>23500</v>
      </c>
      <c r="E7419" t="s">
        <v>29909</v>
      </c>
    </row>
    <row r="7420" spans="1:5">
      <c r="A7420" t="s">
        <v>6</v>
      </c>
      <c r="B7420" t="s">
        <v>7425</v>
      </c>
      <c r="C7420">
        <f>HYPERLINK("C:\Users\franc\OneDrive\Documentos\MALENTIN KARIME\karime tapia\AGUAS\ALFONSO RODRIGUEZ A SANDRA CANIVILO.doc", "Abrir Documento")</f>
        <v>0</v>
      </c>
      <c r="D7420" t="s">
        <v>23500</v>
      </c>
      <c r="E7420" t="s">
        <v>29910</v>
      </c>
    </row>
    <row r="7421" spans="1:5">
      <c r="A7421" t="s">
        <v>6</v>
      </c>
      <c r="B7421" t="s">
        <v>7426</v>
      </c>
      <c r="C7421">
        <f>HYPERLINK("C:\Users\franc\OneDrive\Documentos\MALENTIN KARIME\karime tapia\AGUAS\AGRICOLA SICOR S.A. y Jose Aldo ALfaro Alfaro.doc", "Abrir Documento")</f>
        <v>0</v>
      </c>
      <c r="D7421" t="s">
        <v>23500</v>
      </c>
      <c r="E7421" t="s">
        <v>29911</v>
      </c>
    </row>
    <row r="7422" spans="1:5">
      <c r="A7422" t="s">
        <v>6</v>
      </c>
      <c r="B7422" t="s">
        <v>7427</v>
      </c>
      <c r="C7422">
        <f>HYPERLINK("C:\Users\franc\OneDrive\Documentos\MALENTIN KARIME\karime tapia\AGUAS\AGRICOLA SICOR S.A. y Jose Aldo ALfaro Alfaro Dic 13.doc", "Abrir Documento")</f>
        <v>0</v>
      </c>
      <c r="D7422" t="s">
        <v>23500</v>
      </c>
      <c r="E7422" t="s">
        <v>29912</v>
      </c>
    </row>
    <row r="7423" spans="1:5">
      <c r="A7423" t="s">
        <v>6</v>
      </c>
      <c r="B7423" t="s">
        <v>7428</v>
      </c>
      <c r="C7423">
        <f>HYPERLINK("C:\Users\franc\OneDrive\Documentos\MALENTIN KARIME\karime tapia\AGUAS\AGRICOLA POLPAICO S.A..doc", "Abrir Documento")</f>
        <v>0</v>
      </c>
      <c r="D7423" t="s">
        <v>23500</v>
      </c>
      <c r="E7423" t="s">
        <v>29913</v>
      </c>
    </row>
    <row r="7424" spans="1:5">
      <c r="A7424" t="s">
        <v>6</v>
      </c>
      <c r="B7424" t="s">
        <v>7429</v>
      </c>
      <c r="C7424">
        <f>HYPERLINK("C:\Users\franc\OneDrive\Documentos\MALENTIN KARIME\karime tapia\AGUAS\AGRICOLA POLPAICO S.A. Y PRODUCTOS FINANCIEROS ANDINO.doc", "Abrir Documento")</f>
        <v>0</v>
      </c>
      <c r="D7424" t="s">
        <v>23500</v>
      </c>
      <c r="E7424" t="s">
        <v>29914</v>
      </c>
    </row>
    <row r="7425" spans="1:5">
      <c r="A7425" t="s">
        <v>6</v>
      </c>
      <c r="B7425" t="s">
        <v>7430</v>
      </c>
      <c r="C7425">
        <f>HYPERLINK("C:\Users\franc\OneDrive\Documentos\MALENTIN KARIME\karime tapia\AGUAS\AGRICOLA POLPAICO S.A. Y PRODUCTOS FINANCIEROS ANDINO Final.doc", "Abrir Documento")</f>
        <v>0</v>
      </c>
      <c r="D7425" t="s">
        <v>23500</v>
      </c>
      <c r="E7425" t="s">
        <v>29915</v>
      </c>
    </row>
    <row r="7426" spans="1:5">
      <c r="A7426" t="s">
        <v>6</v>
      </c>
      <c r="B7426" t="s">
        <v>7431</v>
      </c>
      <c r="C7426">
        <f>HYPERLINK("C:\Users\franc\OneDrive\Documentos\MALENTIN KARIME\karime tapia\AGUAS\AGRICOLA POLPAICO S.A. con RESCILIACION.doc", "Abrir Documento")</f>
        <v>0</v>
      </c>
      <c r="D7426" t="s">
        <v>23500</v>
      </c>
      <c r="E7426" t="s">
        <v>29916</v>
      </c>
    </row>
    <row r="7427" spans="1:5">
      <c r="A7427" t="s">
        <v>6</v>
      </c>
      <c r="B7427" t="s">
        <v>7432</v>
      </c>
      <c r="C7427">
        <f>HYPERLINK("C:\Users\franc\OneDrive\Documentos\MALENTIN KARIME\karime tapia\AGUAS\AGRICOLA LOS ALAMOS A JUAN OPAZO OLIVARESaguas.doc", "Abrir Documento")</f>
        <v>0</v>
      </c>
      <c r="D7427" t="s">
        <v>23500</v>
      </c>
      <c r="E7427" t="s">
        <v>29917</v>
      </c>
    </row>
    <row r="7428" spans="1:5">
      <c r="A7428" t="s">
        <v>6</v>
      </c>
      <c r="B7428" t="s">
        <v>7433</v>
      </c>
      <c r="C7428">
        <f>HYPERLINK("C:\Users\franc\OneDrive\Documentos\MALENTIN KARIME\karime tapia\AGUAS\AGRICOLA LOS ALAMOS A Elva Olivares aguas.doc", "Abrir Documento")</f>
        <v>0</v>
      </c>
      <c r="D7428" t="s">
        <v>23500</v>
      </c>
      <c r="E7428" t="s">
        <v>29918</v>
      </c>
    </row>
    <row r="7429" spans="1:5">
      <c r="A7429" t="s">
        <v>6</v>
      </c>
      <c r="B7429" t="s">
        <v>7434</v>
      </c>
      <c r="C7429">
        <f>HYPERLINK("C:\Users\franc\OneDrive\Documentos\MALENTIN KARIME\karime tapia\AGUAS\AGRICOLA LOS ALAMOS A Elva Olivares aguas sin conyuge.doc", "Abrir Documento")</f>
        <v>0</v>
      </c>
      <c r="D7429" t="s">
        <v>23500</v>
      </c>
      <c r="E7429" t="s">
        <v>29919</v>
      </c>
    </row>
    <row r="7430" spans="1:5">
      <c r="A7430" t="s">
        <v>6</v>
      </c>
      <c r="B7430" t="s">
        <v>7435</v>
      </c>
      <c r="C7430">
        <f>HYPERLINK("C:\Users\franc\OneDrive\Documentos\MALENTIN KARIME\karime tapia\AGUAS\AGRICOLA ARBOLITO LTDA y Luis A Artigues Galmes.doc", "Abrir Documento")</f>
        <v>0</v>
      </c>
      <c r="D7430" t="s">
        <v>23500</v>
      </c>
      <c r="E7430" t="s">
        <v>29920</v>
      </c>
    </row>
    <row r="7431" spans="1:5">
      <c r="A7431" t="s">
        <v>6</v>
      </c>
      <c r="B7431" t="s">
        <v>7436</v>
      </c>
      <c r="C7431">
        <f>HYPERLINK("C:\Users\franc\OneDrive\Documentos\MALENTIN KARIME\karime tapia\AGUAS\AGRICOLA ARBOLITO LTDA revision.doc", "Abrir Documento")</f>
        <v>0</v>
      </c>
      <c r="D7431" t="s">
        <v>23500</v>
      </c>
      <c r="E7431" t="s">
        <v>29921</v>
      </c>
    </row>
    <row r="7432" spans="1:5">
      <c r="A7432" t="s">
        <v>6</v>
      </c>
      <c r="B7432" t="s">
        <v>7437</v>
      </c>
      <c r="C7432">
        <f>HYPERLINK("C:\Users\franc\OneDrive\Documentos\MALENTIN KARIME\karime tapia\2016\SUCESION ERMO CORTES DS 1.doc", "Abrir Documento")</f>
        <v>0</v>
      </c>
      <c r="D7432" t="s">
        <v>23500</v>
      </c>
      <c r="E7432" t="s">
        <v>29922</v>
      </c>
    </row>
    <row r="7433" spans="1:5">
      <c r="A7433" t="s">
        <v>6</v>
      </c>
      <c r="B7433" t="s">
        <v>7438</v>
      </c>
      <c r="C7433">
        <f>HYPERLINK("C:\Users\franc\OneDrive\Documentos\MALENTIN KARIME\karime tapia\2016\PAMENIA ARGANDOÑA DS 1.doc", "Abrir Documento")</f>
        <v>0</v>
      </c>
      <c r="D7433" t="s">
        <v>23500</v>
      </c>
      <c r="E7433" t="s">
        <v>29923</v>
      </c>
    </row>
    <row r="7434" spans="1:5">
      <c r="A7434" t="s">
        <v>6</v>
      </c>
      <c r="B7434" t="s">
        <v>7439</v>
      </c>
      <c r="C7434">
        <f>HYPERLINK("C:\Users\franc\OneDrive\Documentos\MALENTIN KARIME\karime tapia\2016\SUCESION CUEVAS PASTEN DS 1.doc", "Abrir Documento")</f>
        <v>0</v>
      </c>
      <c r="D7434" t="s">
        <v>23500</v>
      </c>
      <c r="E7434" t="s">
        <v>29923</v>
      </c>
    </row>
    <row r="7435" spans="1:5">
      <c r="A7435" t="s">
        <v>6</v>
      </c>
      <c r="B7435" t="s">
        <v>7440</v>
      </c>
      <c r="C7435">
        <f>HYPERLINK("C:\Users\franc\OneDrive\Documentos\MALENTIN KARIME\karime tapia\2016\MAURICIO PIÑONES GARCIA BNac.doc", "Abrir Documento")</f>
        <v>0</v>
      </c>
      <c r="D7435" t="s">
        <v>23500</v>
      </c>
      <c r="E7435" t="s">
        <v>29924</v>
      </c>
    </row>
    <row r="7436" spans="1:5">
      <c r="A7436" t="s">
        <v>6</v>
      </c>
      <c r="B7436" t="s">
        <v>7441</v>
      </c>
      <c r="C7436">
        <f>HYPERLINK("C:\Users\franc\OneDrive\Documentos\MALENTIN KARIME\karime tapia\2016\MARITZA RIVERA GARCIA.doc", "Abrir Documento")</f>
        <v>0</v>
      </c>
      <c r="D7436" t="s">
        <v>23500</v>
      </c>
      <c r="E7436" t="s">
        <v>29925</v>
      </c>
    </row>
    <row r="7437" spans="1:5">
      <c r="A7437" t="s">
        <v>6</v>
      </c>
      <c r="B7437" t="s">
        <v>7442</v>
      </c>
      <c r="C7437">
        <f>HYPERLINK("C:\Users\franc\OneDrive\Documentos\MALENTIN KARIME\karime tapia\2016\MARIA VALDES MUÑOZ  andrea.doc", "Abrir Documento")</f>
        <v>0</v>
      </c>
      <c r="D7437" t="s">
        <v>23500</v>
      </c>
      <c r="E7437" t="s">
        <v>29926</v>
      </c>
    </row>
    <row r="7438" spans="1:5">
      <c r="A7438" t="s">
        <v>6</v>
      </c>
      <c r="B7438" t="s">
        <v>7443</v>
      </c>
      <c r="C7438">
        <f>HYPERLINK("C:\Users\franc\OneDrive\Documentos\MALENTIN KARIME\karime tapia\2016\MARCELA LOPEZ  BORQUEZ nuevo form.doc", "Abrir Documento")</f>
        <v>0</v>
      </c>
      <c r="D7438" t="s">
        <v>23500</v>
      </c>
      <c r="E7438" t="s">
        <v>29927</v>
      </c>
    </row>
    <row r="7439" spans="1:5">
      <c r="A7439" t="s">
        <v>6</v>
      </c>
      <c r="B7439" t="s">
        <v>7444</v>
      </c>
      <c r="C7439">
        <f>HYPERLINK("C:\Users\franc\OneDrive\Documentos\MALENTIN KARIME\karime tapia\2016\LUPERFINA MILLA DS 1.doc", "Abrir Documento")</f>
        <v>0</v>
      </c>
      <c r="D7439" t="s">
        <v>23500</v>
      </c>
      <c r="E7439" t="s">
        <v>29928</v>
      </c>
    </row>
    <row r="7440" spans="1:5">
      <c r="A7440" t="s">
        <v>6</v>
      </c>
      <c r="B7440" t="s">
        <v>7445</v>
      </c>
      <c r="C7440">
        <f>HYPERLINK("C:\Users\franc\OneDrive\Documentos\MALENTIN KARIME\karime tapia\2016\JOSE LUIS VEGA LOPEZ.doc", "Abrir Documento")</f>
        <v>0</v>
      </c>
      <c r="D7440" t="s">
        <v>23500</v>
      </c>
      <c r="E7440" t="s">
        <v>29929</v>
      </c>
    </row>
    <row r="7441" spans="1:5">
      <c r="A7441" t="s">
        <v>6</v>
      </c>
      <c r="B7441" t="s">
        <v>7446</v>
      </c>
      <c r="C7441">
        <f>HYPERLINK("C:\Users\franc\OneDrive\Documentos\MALENTIN KARIME\karime tapia\2016\FANNY CARMONA FLORES DS 1.doc", "Abrir Documento")</f>
        <v>0</v>
      </c>
      <c r="D7441" t="s">
        <v>23500</v>
      </c>
      <c r="E7441" t="s">
        <v>29930</v>
      </c>
    </row>
    <row r="7442" spans="1:5">
      <c r="A7442" t="s">
        <v>6</v>
      </c>
      <c r="B7442" t="s">
        <v>7447</v>
      </c>
      <c r="C7442">
        <f>HYPERLINK("C:\Users\franc\OneDrive\Documentos\MALENTIN KARIME\karime tapia\2016\CARMEN LOYOLA PALACIOS DS 1.doc", "Abrir Documento")</f>
        <v>0</v>
      </c>
      <c r="D7442" t="s">
        <v>23500</v>
      </c>
      <c r="E7442" t="s">
        <v>29931</v>
      </c>
    </row>
    <row r="7443" spans="1:5">
      <c r="A7443" t="s">
        <v>6</v>
      </c>
      <c r="B7443" t="s">
        <v>7448</v>
      </c>
      <c r="C7443">
        <f>HYPERLINK("C:\Users\franc\OneDrive\Documentos\MALENTIN KARIME\karime tapia\TESTAMENTO informe sin t.doc", "Abrir Documento")</f>
        <v>0</v>
      </c>
      <c r="D7443" t="s">
        <v>23500</v>
      </c>
      <c r="E7443" t="s">
        <v>29932</v>
      </c>
    </row>
    <row r="7444" spans="1:5">
      <c r="A7444" t="s">
        <v>6</v>
      </c>
      <c r="B7444" t="s">
        <v>7449</v>
      </c>
      <c r="C7444">
        <f>HYPERLINK("C:\Users\franc\OneDrive\Documentos\MALENTIN KARIME\karime tapia\sobre.doc", "Abrir Documento")</f>
        <v>0</v>
      </c>
      <c r="D7444" t="s">
        <v>23500</v>
      </c>
      <c r="E7444" t="s">
        <v>29933</v>
      </c>
    </row>
    <row r="7445" spans="1:5">
      <c r="A7445" t="s">
        <v>6</v>
      </c>
      <c r="B7445" t="s">
        <v>7450</v>
      </c>
      <c r="C7445">
        <f>HYPERLINK("C:\Users\franc\OneDrive\Documentos\MALENTIN KARIME\karime tapia\notas al margen ruego margen.doc", "Abrir Documento")</f>
        <v>0</v>
      </c>
      <c r="D7445" t="s">
        <v>23500</v>
      </c>
      <c r="E7445" t="s">
        <v>29934</v>
      </c>
    </row>
    <row r="7446" spans="1:5">
      <c r="A7446" t="s">
        <v>6</v>
      </c>
      <c r="B7446" t="s">
        <v>7451</v>
      </c>
      <c r="C7446">
        <f>HYPERLINK("C:\Users\franc\OneDrive\Documentos\MALENTIN KARIME\karime tapia\notas al margen ruego margen 2.doc", "Abrir Documento")</f>
        <v>0</v>
      </c>
      <c r="D7446" t="s">
        <v>23500</v>
      </c>
      <c r="E7446" t="s">
        <v>29935</v>
      </c>
    </row>
    <row r="7447" spans="1:5">
      <c r="A7447" t="s">
        <v>6</v>
      </c>
      <c r="B7447" t="s">
        <v>7452</v>
      </c>
      <c r="C7447">
        <f>HYPERLINK("C:\Users\franc\OneDrive\Documentos\MALENTIN KARIME\karime tapia\notas al margen QUE POR.doc", "Abrir Documento")</f>
        <v>0</v>
      </c>
      <c r="D7447" t="s">
        <v>23500</v>
      </c>
      <c r="E7447" t="s">
        <v>29936</v>
      </c>
    </row>
    <row r="7448" spans="1:5">
      <c r="A7448" t="s">
        <v>6</v>
      </c>
      <c r="B7448" t="s">
        <v>7453</v>
      </c>
      <c r="C7448">
        <f>HYPERLINK("C:\Users\franc\OneDrive\Documentos\MALENTIN KARIME\karime tapia\notas al margen DE LA.doc", "Abrir Documento")</f>
        <v>0</v>
      </c>
      <c r="D7448" t="s">
        <v>23500</v>
      </c>
      <c r="E7448" t="s">
        <v>29937</v>
      </c>
    </row>
    <row r="7449" spans="1:5">
      <c r="A7449" t="s">
        <v>6</v>
      </c>
      <c r="B7449" t="s">
        <v>7454</v>
      </c>
      <c r="C7449">
        <f>HYPERLINK("C:\Users\franc\OneDrive\Documentos\MALENTIN KARIME\karime tapia\notas al margen DE LA ESCRITURA.doc", "Abrir Documento")</f>
        <v>0</v>
      </c>
      <c r="D7449" t="s">
        <v>23500</v>
      </c>
      <c r="E7449" t="s">
        <v>29938</v>
      </c>
    </row>
    <row r="7450" spans="1:5">
      <c r="A7450" t="s">
        <v>6</v>
      </c>
      <c r="B7450" t="s">
        <v>7455</v>
      </c>
      <c r="C7450">
        <f>HYPERLINK("C:\Users\franc\OneDrive\Documentos\MALENTIN KARIME\karime tapia\MODELO NOTARIO TITULAR .doc", "Abrir Documento")</f>
        <v>0</v>
      </c>
      <c r="D7450" t="s">
        <v>23500</v>
      </c>
      <c r="E7450" t="s">
        <v>29939</v>
      </c>
    </row>
    <row r="7451" spans="1:5">
      <c r="A7451" t="s">
        <v>6</v>
      </c>
      <c r="B7451" t="s">
        <v>7456</v>
      </c>
      <c r="C7451">
        <f>HYPERLINK("C:\Users\franc\OneDrive\Documentos\MALENTIN KARIME\karime tapia\MODELO NOTARIO HPD.doc", "Abrir Documento")</f>
        <v>0</v>
      </c>
      <c r="D7451" t="s">
        <v>23500</v>
      </c>
      <c r="E7451" t="s">
        <v>29940</v>
      </c>
    </row>
    <row r="7452" spans="1:5">
      <c r="A7452" t="s">
        <v>6</v>
      </c>
      <c r="B7452" t="s">
        <v>7457</v>
      </c>
      <c r="C7452">
        <f>HYPERLINK("C:\Users\franc\OneDrive\Documentos\MALENTIN KARIME\karime tapia\MANDATO JUDICIAL VALERIO LIZARDI.doc", "Abrir Documento")</f>
        <v>0</v>
      </c>
      <c r="D7452" t="s">
        <v>23500</v>
      </c>
      <c r="E7452" t="s">
        <v>29941</v>
      </c>
    </row>
    <row r="7453" spans="1:5">
      <c r="A7453" t="s">
        <v>6</v>
      </c>
      <c r="B7453" t="s">
        <v>7458</v>
      </c>
      <c r="C7453">
        <f>HYPERLINK("C:\Users\franc\OneDrive\Documentos\MALENTIN KARIME\karime tapia\LUISA ARAYA MOLINA Rect CAJ.doc", "Abrir Documento")</f>
        <v>0</v>
      </c>
      <c r="D7453" t="s">
        <v>23500</v>
      </c>
      <c r="E7453" t="s">
        <v>29942</v>
      </c>
    </row>
    <row r="7454" spans="1:5">
      <c r="A7454" t="s">
        <v>6</v>
      </c>
      <c r="B7454" t="s">
        <v>7459</v>
      </c>
      <c r="C7454">
        <f>HYPERLINK("C:\Users\franc\OneDrive\Documentos\MALENTIN KARIME\karime tapia\GEORGINA GALLEGUILLOS Y PATRICIO MAURIN acuerdo divorc.doc", "Abrir Documento")</f>
        <v>0</v>
      </c>
      <c r="D7454" t="s">
        <v>23500</v>
      </c>
      <c r="E7454" t="s">
        <v>29943</v>
      </c>
    </row>
    <row r="7455" spans="1:5">
      <c r="A7455" t="s">
        <v>6</v>
      </c>
      <c r="B7455" t="s">
        <v>7460</v>
      </c>
      <c r="C7455">
        <f>HYPERLINK("C:\Users\franc\OneDrive\Documentos\MALENTIN KARIME\karime tapia\fojas.docx", "Abrir Documento")</f>
        <v>0</v>
      </c>
      <c r="D7455" t="s">
        <v>23500</v>
      </c>
      <c r="E7455" t="s">
        <v>29944</v>
      </c>
    </row>
    <row r="7456" spans="1:5">
      <c r="A7456" t="s">
        <v>6</v>
      </c>
      <c r="B7456" t="s">
        <v>7461</v>
      </c>
      <c r="C7456">
        <f>HYPERLINK("C:\Users\franc\OneDrive\Documentos\MALENTIN KARIME\karime tapia\error.doc", "Abrir Documento")</f>
        <v>0</v>
      </c>
      <c r="D7456" t="s">
        <v>23500</v>
      </c>
      <c r="E7456" t="s">
        <v>29945</v>
      </c>
    </row>
    <row r="7457" spans="1:5">
      <c r="A7457" t="s">
        <v>6</v>
      </c>
      <c r="B7457" t="s">
        <v>7462</v>
      </c>
      <c r="C7457">
        <f>HYPERLINK("C:\Users\franc\OneDrive\Documentos\MALENTIN KARIME\karime tapia\a ruego.doc", "Abrir Documento")</f>
        <v>0</v>
      </c>
      <c r="D7457" t="s">
        <v>23500</v>
      </c>
      <c r="E7457" t="s">
        <v>29946</v>
      </c>
    </row>
    <row r="7458" spans="1:5">
      <c r="A7458" t="s">
        <v>6</v>
      </c>
      <c r="B7458" t="s">
        <v>7463</v>
      </c>
      <c r="C7458">
        <f>HYPERLINK("C:\Users\franc\OneDrive\Documentos\MALENTIN KARIME\JULIO POLOkarime\JULIO POLO ANA LUISA\LUIS BRAVO.doc", "Abrir Documento")</f>
        <v>0</v>
      </c>
      <c r="D7458" t="s">
        <v>23500</v>
      </c>
      <c r="E7458" t="s">
        <v>29947</v>
      </c>
    </row>
    <row r="7459" spans="1:5">
      <c r="A7459" t="s">
        <v>6</v>
      </c>
      <c r="B7459" t="s">
        <v>7464</v>
      </c>
      <c r="C7459">
        <f>HYPERLINK("C:\Users\franc\OneDrive\Documentos\MALENTIN KARIME\JULIO POLOkarime\JULIO POLO ANA LUISA\LUIS TORREJON OVALLE.doc", "Abrir Documento")</f>
        <v>0</v>
      </c>
      <c r="D7459" t="s">
        <v>23500</v>
      </c>
      <c r="E7459" t="s">
        <v>29947</v>
      </c>
    </row>
    <row r="7460" spans="1:5">
      <c r="A7460" t="s">
        <v>6</v>
      </c>
      <c r="B7460" t="s">
        <v>7465</v>
      </c>
      <c r="C7460">
        <f>HYPERLINK("C:\Users\franc\OneDrive\Documentos\MALENTIN KARIME\JULIO POLOkarime\JULIO POLO ANA LUISA\COM. EL POTRERO A SOLEDAD ZEPEDA - LOTE 2 B.doc", "Abrir Documento")</f>
        <v>0</v>
      </c>
      <c r="D7460" t="s">
        <v>23500</v>
      </c>
      <c r="E7460" t="s">
        <v>29948</v>
      </c>
    </row>
    <row r="7461" spans="1:5">
      <c r="A7461" t="s">
        <v>6</v>
      </c>
      <c r="B7461" t="s">
        <v>7466</v>
      </c>
      <c r="C7461">
        <f>HYPERLINK("C:\Users\franc\OneDrive\Documentos\MALENTIN KARIME\JULIO POLOkarime\JULIO POLO ANA LUISA\COM. EL POTRERO A MARIA CARMONA - LOTE 1 A.doc", "Abrir Documento")</f>
        <v>0</v>
      </c>
      <c r="D7461" t="s">
        <v>23500</v>
      </c>
      <c r="E7461" t="s">
        <v>29949</v>
      </c>
    </row>
    <row r="7462" spans="1:5">
      <c r="A7462" t="s">
        <v>6</v>
      </c>
      <c r="B7462" t="s">
        <v>7467</v>
      </c>
      <c r="C7462">
        <f>HYPERLINK("C:\Users\franc\OneDrive\Documentos\MALENTIN KARIME\JULIO POLOkarime\JULIO POLO ANA LUISA\COM. EL POTRERO A MARIA CARMONA - LOTE 3.doc", "Abrir Documento")</f>
        <v>0</v>
      </c>
      <c r="D7462" t="s">
        <v>23500</v>
      </c>
      <c r="E7462" t="s">
        <v>29949</v>
      </c>
    </row>
    <row r="7463" spans="1:5">
      <c r="A7463" t="s">
        <v>6</v>
      </c>
      <c r="B7463" t="s">
        <v>7468</v>
      </c>
      <c r="C7463">
        <f>HYPERLINK("C:\Users\franc\OneDrive\Documentos\MALENTIN KARIME\JULIO POLOkarime\JULIO POLO ANA LUISA\COM. EL POTRERO A MA. GABRIELA ZEPEDA - LOTE 2 C.doc", "Abrir Documento")</f>
        <v>0</v>
      </c>
      <c r="D7463" t="s">
        <v>23500</v>
      </c>
      <c r="E7463" t="s">
        <v>29950</v>
      </c>
    </row>
    <row r="7464" spans="1:5">
      <c r="A7464" t="s">
        <v>6</v>
      </c>
      <c r="B7464" t="s">
        <v>7469</v>
      </c>
      <c r="C7464">
        <f>HYPERLINK("C:\Users\franc\OneDrive\Documentos\MALENTIN KARIME\JULIO POLOkarime\JULIO POLO ANA LUISA\COM. EL POTRERO A JOSE MIGUEL ZEPEDA - LOTE 1 B.doc", "Abrir Documento")</f>
        <v>0</v>
      </c>
      <c r="D7464" t="s">
        <v>23500</v>
      </c>
      <c r="E7464" t="s">
        <v>29951</v>
      </c>
    </row>
    <row r="7465" spans="1:5">
      <c r="A7465" t="s">
        <v>6</v>
      </c>
      <c r="B7465" t="s">
        <v>7470</v>
      </c>
      <c r="C7465">
        <f>HYPERLINK("C:\Users\franc\OneDrive\Documentos\MALENTIN KARIME\JULIO POLOkarime\JULIO POLO ANA LUISA\COM. EL POTRERO A JOSE MIGUEL ZEPEDA - LOTE 1 C.doc", "Abrir Documento")</f>
        <v>0</v>
      </c>
      <c r="D7465" t="s">
        <v>23500</v>
      </c>
      <c r="E7465" t="s">
        <v>29951</v>
      </c>
    </row>
    <row r="7466" spans="1:5">
      <c r="A7466" t="s">
        <v>6</v>
      </c>
      <c r="B7466" t="s">
        <v>7471</v>
      </c>
      <c r="C7466">
        <f>HYPERLINK("C:\Users\franc\OneDrive\Documentos\MALENTIN KARIME\JULIO POLOkarime\JULIO POLO ANA LUISA\clausula para SEGREGACIONES.docx", "Abrir Documento")</f>
        <v>0</v>
      </c>
      <c r="D7466" t="s">
        <v>23501</v>
      </c>
      <c r="E7466" t="s">
        <v>29952</v>
      </c>
    </row>
    <row r="7467" spans="1:5">
      <c r="A7467" t="s">
        <v>6</v>
      </c>
      <c r="B7467" t="s">
        <v>7472</v>
      </c>
      <c r="C7467">
        <f>HYPERLINK("C:\Users\franc\OneDrive\Documentos\MALENTIN KARIME\JULIO POLOkarime\JULIO POLO ANA LUISA\COM. EL POTRERO A GONZALO ZEPEDA - LOTE 2 A.doc", "Abrir Documento")</f>
        <v>0</v>
      </c>
      <c r="D7467" t="s">
        <v>23500</v>
      </c>
      <c r="E7467" t="s">
        <v>29952</v>
      </c>
    </row>
    <row r="7468" spans="1:5">
      <c r="A7468" t="s">
        <v>6</v>
      </c>
      <c r="B7468" t="s">
        <v>7473</v>
      </c>
      <c r="C7468">
        <f>HYPERLINK("C:\Users\franc\OneDrive\Documentos\MALENTIN KARIME\JULIO POLOkarime\LUIS BRAVO.doc", "Abrir Documento")</f>
        <v>0</v>
      </c>
      <c r="D7468" t="s">
        <v>23500</v>
      </c>
      <c r="E7468" t="s">
        <v>29953</v>
      </c>
    </row>
    <row r="7469" spans="1:5">
      <c r="A7469" t="s">
        <v>6</v>
      </c>
      <c r="B7469" t="s">
        <v>7474</v>
      </c>
      <c r="C7469">
        <f>HYPERLINK("C:\Users\franc\OneDrive\Documentos\MALENTIN KARIME\JULIO POLOkarime\LUIS TORREJON OVALLE.doc", "Abrir Documento")</f>
        <v>0</v>
      </c>
      <c r="D7469" t="s">
        <v>23500</v>
      </c>
      <c r="E7469" t="s">
        <v>29953</v>
      </c>
    </row>
    <row r="7470" spans="1:5">
      <c r="A7470" t="s">
        <v>6</v>
      </c>
      <c r="B7470" t="s">
        <v>7475</v>
      </c>
      <c r="C7470">
        <f>HYPERLINK("C:\Users\franc\OneDrive\Documentos\MALENTIN KARIME\JULIO POLOkarime\COM. EL POTRERO A SOLEDAD ZEPEDA - LOTE 2 B.doc", "Abrir Documento")</f>
        <v>0</v>
      </c>
      <c r="D7470" t="s">
        <v>23500</v>
      </c>
      <c r="E7470" t="s">
        <v>29954</v>
      </c>
    </row>
    <row r="7471" spans="1:5">
      <c r="A7471" t="s">
        <v>6</v>
      </c>
      <c r="B7471" t="s">
        <v>7476</v>
      </c>
      <c r="C7471">
        <f>HYPERLINK("C:\Users\franc\OneDrive\Documentos\MALENTIN KARIME\JULIO POLOkarime\LOTE 1B CORREGIDO.doc", "Abrir Documento")</f>
        <v>0</v>
      </c>
      <c r="D7471" t="s">
        <v>23500</v>
      </c>
      <c r="E7471" t="s">
        <v>29954</v>
      </c>
    </row>
    <row r="7472" spans="1:5">
      <c r="A7472" t="s">
        <v>6</v>
      </c>
      <c r="B7472" t="s">
        <v>7477</v>
      </c>
      <c r="C7472">
        <f>HYPERLINK("C:\Users\franc\OneDrive\Documentos\MALENTIN KARIME\JULIO POLOkarime\COM. EL POTRERO A MARIA CARMONA - LOTE 1 A.doc", "Abrir Documento")</f>
        <v>0</v>
      </c>
      <c r="D7472" t="s">
        <v>23500</v>
      </c>
      <c r="E7472" t="s">
        <v>29955</v>
      </c>
    </row>
    <row r="7473" spans="1:5">
      <c r="A7473" t="s">
        <v>6</v>
      </c>
      <c r="B7473" t="s">
        <v>7478</v>
      </c>
      <c r="C7473">
        <f>HYPERLINK("C:\Users\franc\OneDrive\Documentos\MALENTIN KARIME\JULIO POLOkarime\COM. EL POTRERO A MARIA CARMONA - LOTE 3.doc", "Abrir Documento")</f>
        <v>0</v>
      </c>
      <c r="D7473" t="s">
        <v>23500</v>
      </c>
      <c r="E7473" t="s">
        <v>29955</v>
      </c>
    </row>
    <row r="7474" spans="1:5">
      <c r="A7474" t="s">
        <v>6</v>
      </c>
      <c r="B7474" t="s">
        <v>7479</v>
      </c>
      <c r="C7474">
        <f>HYPERLINK("C:\Users\franc\OneDrive\Documentos\MALENTIN KARIME\JULIO POLOkarime\COM. EL POTRERO A MA. GABRIELA ZEPEDA - LOTE 2 C.doc", "Abrir Documento")</f>
        <v>0</v>
      </c>
      <c r="D7474" t="s">
        <v>23500</v>
      </c>
      <c r="E7474" t="s">
        <v>29956</v>
      </c>
    </row>
    <row r="7475" spans="1:5">
      <c r="A7475" t="s">
        <v>6</v>
      </c>
      <c r="B7475" t="s">
        <v>7480</v>
      </c>
      <c r="C7475">
        <f>HYPERLINK("C:\Users\franc\OneDrive\Documentos\MALENTIN KARIME\JULIO POLOkarime\COM. EL POTRERO A JOSE MIGUEL ZEPEDA - LOTE 1 C.doc", "Abrir Documento")</f>
        <v>0</v>
      </c>
      <c r="D7475" t="s">
        <v>23500</v>
      </c>
      <c r="E7475" t="s">
        <v>29957</v>
      </c>
    </row>
    <row r="7476" spans="1:5">
      <c r="A7476" t="s">
        <v>6</v>
      </c>
      <c r="B7476" t="s">
        <v>7481</v>
      </c>
      <c r="C7476">
        <f>HYPERLINK("C:\Users\franc\OneDrive\Documentos\MALENTIN KARIME\JULIO POLOkarime\COM. EL POTRERO A JOSE MIGUEL ZEPEDA - LOTE 1 B.doc", "Abrir Documento")</f>
        <v>0</v>
      </c>
      <c r="D7476" t="s">
        <v>23500</v>
      </c>
      <c r="E7476" t="s">
        <v>29958</v>
      </c>
    </row>
    <row r="7477" spans="1:5">
      <c r="A7477" t="s">
        <v>6</v>
      </c>
      <c r="B7477" t="s">
        <v>7482</v>
      </c>
      <c r="C7477">
        <f>HYPERLINK("C:\Users\franc\OneDrive\Documentos\MALENTIN KARIME\JULIO POLOkarime\COM. EL POTRERO A GONZALO ZEPEDA - LOTE 2 A.doc", "Abrir Documento")</f>
        <v>0</v>
      </c>
      <c r="D7477" t="s">
        <v>23500</v>
      </c>
      <c r="E7477" t="s">
        <v>29959</v>
      </c>
    </row>
    <row r="7478" spans="1:5">
      <c r="A7478" t="s">
        <v>6</v>
      </c>
      <c r="B7478" t="s">
        <v>7483</v>
      </c>
      <c r="C7478">
        <f>HYPERLINK("C:\Users\franc\OneDrive\Documentos\MALENTIN KARIME\JULIO POLOkarime\clausula para SEGREGACIONES.docx", "Abrir Documento")</f>
        <v>0</v>
      </c>
      <c r="D7478" t="s">
        <v>23501</v>
      </c>
      <c r="E7478" t="s">
        <v>29960</v>
      </c>
    </row>
    <row r="7479" spans="1:5">
      <c r="A7479" t="s">
        <v>6</v>
      </c>
      <c r="B7479" t="s">
        <v>7484</v>
      </c>
      <c r="C7479">
        <f>HYPERLINK("C:\Users\franc\OneDrive\Documentos\MALENTIN KARIME\JULIO POLOkarime\1900.doc", "Abrir Documento")</f>
        <v>0</v>
      </c>
      <c r="D7479" t="s">
        <v>23500</v>
      </c>
      <c r="E7479" t="s">
        <v>29961</v>
      </c>
    </row>
    <row r="7480" spans="1:5">
      <c r="A7480" t="s">
        <v>6</v>
      </c>
      <c r="B7480" t="s">
        <v>7485</v>
      </c>
      <c r="C7480">
        <f>HYPERLINK("C:\Users\franc\OneDrive\Documentos\MALENTIN KARIME\JULIO POLOkarime\1899.doc", "Abrir Documento")</f>
        <v>0</v>
      </c>
      <c r="D7480" t="s">
        <v>23500</v>
      </c>
      <c r="E7480" t="s">
        <v>29962</v>
      </c>
    </row>
    <row r="7481" spans="1:5">
      <c r="A7481" t="s">
        <v>6</v>
      </c>
      <c r="B7481" t="s">
        <v>7486</v>
      </c>
      <c r="C7481">
        <f>HYPERLINK("C:\Users\franc\OneDrive\Documentos\MALENTIN KARIME\JULIO POLOkarime\1898.doc", "Abrir Documento")</f>
        <v>0</v>
      </c>
      <c r="D7481" t="s">
        <v>23500</v>
      </c>
      <c r="E7481" t="s">
        <v>29963</v>
      </c>
    </row>
    <row r="7482" spans="1:5">
      <c r="A7482" t="s">
        <v>6</v>
      </c>
      <c r="B7482" t="s">
        <v>7487</v>
      </c>
      <c r="C7482">
        <f>HYPERLINK("C:\Users\franc\OneDrive\Documentos\MALENTIN KARIME\JULIO POLOkarime\1897.doc", "Abrir Documento")</f>
        <v>0</v>
      </c>
      <c r="D7482" t="s">
        <v>23500</v>
      </c>
      <c r="E7482" t="s">
        <v>29964</v>
      </c>
    </row>
    <row r="7483" spans="1:5">
      <c r="A7483" t="s">
        <v>6</v>
      </c>
      <c r="B7483" t="s">
        <v>7488</v>
      </c>
      <c r="C7483">
        <f>HYPERLINK("C:\Users\franc\OneDrive\Documentos\MALENTIN KARIME\JULIO POLOkarime\1896.doc", "Abrir Documento")</f>
        <v>0</v>
      </c>
      <c r="D7483" t="s">
        <v>23500</v>
      </c>
      <c r="E7483" t="s">
        <v>29965</v>
      </c>
    </row>
    <row r="7484" spans="1:5">
      <c r="A7484" t="s">
        <v>6</v>
      </c>
      <c r="B7484" t="s">
        <v>7489</v>
      </c>
      <c r="C7484">
        <f>HYPERLINK("C:\Users\franc\OneDrive\Documentos\MALENTIN KARIME\JULIO POLOkarime\1895.doc", "Abrir Documento")</f>
        <v>0</v>
      </c>
      <c r="D7484" t="s">
        <v>23500</v>
      </c>
      <c r="E7484" t="s">
        <v>29966</v>
      </c>
    </row>
    <row r="7485" spans="1:5">
      <c r="A7485" t="s">
        <v>6</v>
      </c>
      <c r="B7485" t="s">
        <v>7490</v>
      </c>
      <c r="C7485">
        <f>HYPERLINK("C:\Users\franc\OneDrive\Documentos\MALENTIN KARIME\JOSE TABILO GOMILA\Cristian Zepeda Rodriguez Comple.doc", "Abrir Documento")</f>
        <v>0</v>
      </c>
      <c r="D7485" t="s">
        <v>23500</v>
      </c>
      <c r="E7485" t="s">
        <v>29967</v>
      </c>
    </row>
    <row r="7486" spans="1:5">
      <c r="A7486" t="s">
        <v>6</v>
      </c>
      <c r="B7486" t="s">
        <v>7491</v>
      </c>
      <c r="C7486">
        <f>HYPERLINK("C:\Users\franc\OneDrive\Documentos\MALENTIN KARIME\JULIO POLOkarime\1894.doc", "Abrir Documento")</f>
        <v>0</v>
      </c>
      <c r="D7486" t="s">
        <v>23500</v>
      </c>
      <c r="E7486" t="s">
        <v>29967</v>
      </c>
    </row>
    <row r="7487" spans="1:5">
      <c r="A7487" t="s">
        <v>6</v>
      </c>
      <c r="B7487" t="s">
        <v>7492</v>
      </c>
      <c r="C7487">
        <f>HYPERLINK("C:\Users\franc\OneDrive\Documentos\MALENTIN KARIME\ITAU\HUGO DEL CAMPO\MELLADO A NORTEANDINO CESION DERECHOS.doc", "Abrir Documento")</f>
        <v>0</v>
      </c>
      <c r="D7487" t="s">
        <v>23500</v>
      </c>
      <c r="E7487" t="s">
        <v>29968</v>
      </c>
    </row>
    <row r="7488" spans="1:5">
      <c r="A7488" t="s">
        <v>6</v>
      </c>
      <c r="B7488" t="s">
        <v>7493</v>
      </c>
      <c r="C7488">
        <f>HYPERLINK("C:\Users\franc\OneDrive\Documentos\MALENTIN KARIME\ITAU\HUGO DEL CAMPO\MELLADO A NORTEANDINO CESION DERECHOS  Junio 14.doc", "Abrir Documento")</f>
        <v>0</v>
      </c>
      <c r="D7488" t="s">
        <v>23500</v>
      </c>
      <c r="E7488" t="s">
        <v>29969</v>
      </c>
    </row>
    <row r="7489" spans="1:5">
      <c r="A7489" t="s">
        <v>6</v>
      </c>
      <c r="B7489" t="s">
        <v>7494</v>
      </c>
      <c r="C7489">
        <f>HYPERLINK("C:\Users\franc\OneDrive\Documentos\MALENTIN KARIME\ITAU\HUGO DEL CAMPO\MARCIAL MELLADO PROMESA E HIPOTECA Jun 14.doc", "Abrir Documento")</f>
        <v>0</v>
      </c>
      <c r="D7489" t="s">
        <v>23500</v>
      </c>
      <c r="E7489" t="s">
        <v>29970</v>
      </c>
    </row>
    <row r="7490" spans="1:5">
      <c r="A7490" t="s">
        <v>6</v>
      </c>
      <c r="B7490" t="s">
        <v>7495</v>
      </c>
      <c r="C7490">
        <f>HYPERLINK("C:\Users\franc\OneDrive\Documentos\MALENTIN KARIME\ITAU\HUGO DEL CAMPO\MARCIAL MELLADO Mandato.doc", "Abrir Documento")</f>
        <v>0</v>
      </c>
      <c r="D7490" t="s">
        <v>23500</v>
      </c>
      <c r="E7490" t="s">
        <v>29971</v>
      </c>
    </row>
    <row r="7491" spans="1:5">
      <c r="A7491" t="s">
        <v>6</v>
      </c>
      <c r="B7491" t="s">
        <v>7496</v>
      </c>
      <c r="C7491">
        <f>HYPERLINK("C:\Users\franc\OneDrive\Documentos\MALENTIN KARIME\ITAU\HUGO DEL CAMPO\MARCIAL MELLADO a Los Aromos CESION.doc", "Abrir Documento")</f>
        <v>0</v>
      </c>
      <c r="D7491" t="s">
        <v>23500</v>
      </c>
      <c r="E7491" t="s">
        <v>29972</v>
      </c>
    </row>
    <row r="7492" spans="1:5">
      <c r="A7492" t="s">
        <v>6</v>
      </c>
      <c r="B7492" t="s">
        <v>7497</v>
      </c>
      <c r="C7492">
        <f>HYPERLINK("C:\Users\franc\OneDrive\Documentos\MALENTIN KARIME\ITAU\HUGO DEL CAMPO\LOS AROMOS A Terra Nut Mayo 2015.doc", "Abrir Documento")</f>
        <v>0</v>
      </c>
      <c r="D7492" t="s">
        <v>23500</v>
      </c>
      <c r="E7492" t="s">
        <v>29973</v>
      </c>
    </row>
    <row r="7493" spans="1:5">
      <c r="A7493" t="s">
        <v>6</v>
      </c>
      <c r="B7493" t="s">
        <v>7498</v>
      </c>
      <c r="C7493">
        <f>HYPERLINK("C:\Users\franc\OneDrive\Documentos\MALENTIN KARIME\ITAU\HUGO DEL CAMPO\JAVIER CONTADOR A AGRICOLA LAS TOTORAS DOS .S.A..doc", "Abrir Documento")</f>
        <v>0</v>
      </c>
      <c r="D7493" t="s">
        <v>23500</v>
      </c>
      <c r="E7493" t="s">
        <v>29974</v>
      </c>
    </row>
    <row r="7494" spans="1:5">
      <c r="A7494" t="s">
        <v>6</v>
      </c>
      <c r="B7494" t="s">
        <v>7499</v>
      </c>
      <c r="C7494">
        <f>HYPERLINK("C:\Users\franc\OneDrive\Documentos\MALENTIN KARIME\INMOBILIARIA LA RECOLETA\Teresa Cortes Campusano 42 VISTO BUENO.doc", "Abrir Documento")</f>
        <v>0</v>
      </c>
      <c r="D7494" t="s">
        <v>23500</v>
      </c>
      <c r="E7494" t="s">
        <v>29975</v>
      </c>
    </row>
    <row r="7495" spans="1:5">
      <c r="A7495" t="s">
        <v>6</v>
      </c>
      <c r="B7495" t="s">
        <v>7500</v>
      </c>
      <c r="C7495">
        <f>HYPERLINK("C:\Users\franc\OneDrive\Documentos\MALENTIN KARIME\INMOBILIARIA LA RECOLETA\Teresa Cortes Campusano 42 CONTADO.doc", "Abrir Documento")</f>
        <v>0</v>
      </c>
      <c r="D7495" t="s">
        <v>23500</v>
      </c>
      <c r="E7495" t="s">
        <v>29976</v>
      </c>
    </row>
    <row r="7496" spans="1:5">
      <c r="A7496" t="s">
        <v>6</v>
      </c>
      <c r="B7496" t="s">
        <v>7501</v>
      </c>
      <c r="C7496">
        <f>HYPERLINK("C:\Users\franc\OneDrive\Documentos\MALENTIN KARIME\INMOBILIARIA LA RECOLETA\MD1-1 casa 32  Com. Best Energy.doc", "Abrir Documento")</f>
        <v>0</v>
      </c>
      <c r="D7496" t="s">
        <v>23500</v>
      </c>
      <c r="E7496" t="s">
        <v>29977</v>
      </c>
    </row>
    <row r="7497" spans="1:5">
      <c r="A7497" t="s">
        <v>6</v>
      </c>
      <c r="B7497" t="s">
        <v>7502</v>
      </c>
      <c r="C7497">
        <f>HYPERLINK("C:\Users\franc\OneDrive\Documentos\MALENTIN KARIME\INMOBILIARIA LA RECOLETA\MD1-1 casa 31 Com. Best Energy.doc", "Abrir Documento")</f>
        <v>0</v>
      </c>
      <c r="D7497" t="s">
        <v>23500</v>
      </c>
      <c r="E7497" t="s">
        <v>29978</v>
      </c>
    </row>
    <row r="7498" spans="1:5">
      <c r="A7498" t="s">
        <v>6</v>
      </c>
      <c r="B7498" t="s">
        <v>7503</v>
      </c>
      <c r="C7498">
        <f>HYPERLINK("C:\Users\franc\OneDrive\Documentos\MALENTIN KARIME\INMOBILIARIA LA RECOLETA\MD1-1 casa 30 Com. Best Energy.doc", "Abrir Documento")</f>
        <v>0</v>
      </c>
      <c r="D7498" t="s">
        <v>23500</v>
      </c>
      <c r="E7498" t="s">
        <v>29979</v>
      </c>
    </row>
    <row r="7499" spans="1:5">
      <c r="A7499" t="s">
        <v>6</v>
      </c>
      <c r="B7499" t="s">
        <v>7504</v>
      </c>
      <c r="C7499">
        <f>HYPERLINK("C:\Users\franc\OneDrive\Documentos\MALENTIN KARIME\INMOBILIARIA LA RECOLETA\MD Comercial Ltda. RESCILIACION.doc", "Abrir Documento")</f>
        <v>0</v>
      </c>
      <c r="D7499" t="s">
        <v>23500</v>
      </c>
      <c r="E7499" t="s">
        <v>29980</v>
      </c>
    </row>
    <row r="7500" spans="1:5">
      <c r="A7500" t="s">
        <v>6</v>
      </c>
      <c r="B7500" t="s">
        <v>7505</v>
      </c>
      <c r="C7500">
        <f>HYPERLINK("C:\Users\franc\OneDrive\Documentos\MALENTIN KARIME\INMOBILIARIA LA RECOLETA\CLAUSULA CONTADO.doc", "Abrir Documento")</f>
        <v>0</v>
      </c>
      <c r="D7500" t="s">
        <v>23500</v>
      </c>
      <c r="E7500" t="s">
        <v>29981</v>
      </c>
    </row>
    <row r="7501" spans="1:5">
      <c r="A7501" t="s">
        <v>6</v>
      </c>
      <c r="B7501" t="s">
        <v>7506</v>
      </c>
      <c r="C7501">
        <f>HYPERLINK("C:\Users\franc\OneDrive\Documentos\MALENTIN KARIME\INMOBILIARIA LA RECOLETA\Carlos Gerardo Michea VISTO BUENO.doc", "Abrir Documento")</f>
        <v>0</v>
      </c>
      <c r="D7501" t="s">
        <v>23500</v>
      </c>
      <c r="E7501" t="s">
        <v>29982</v>
      </c>
    </row>
    <row r="7502" spans="1:5">
      <c r="A7502" t="s">
        <v>6</v>
      </c>
      <c r="B7502" t="s">
        <v>7507</v>
      </c>
      <c r="C7502">
        <f>HYPERLINK("C:\Users\franc\OneDrive\Documentos\MALENTIN KARIME\INMOBILIARIA LA RECOLETA\Carlos Gerardo Michea CONTADO.doc", "Abrir Documento")</f>
        <v>0</v>
      </c>
      <c r="D7502" t="s">
        <v>23500</v>
      </c>
      <c r="E7502" t="s">
        <v>29983</v>
      </c>
    </row>
    <row r="7503" spans="1:5">
      <c r="A7503" t="s">
        <v>6</v>
      </c>
      <c r="B7503" t="s">
        <v>7508</v>
      </c>
      <c r="C7503">
        <f>HYPERLINK("C:\Users\franc\OneDrive\Documentos\MALENTIN KARIME\INMOBILIARIA LA RECOLETA\Carlos Gerardo Michea CONTADO II.doc", "Abrir Documento")</f>
        <v>0</v>
      </c>
      <c r="D7503" t="s">
        <v>23500</v>
      </c>
      <c r="E7503" t="s">
        <v>29984</v>
      </c>
    </row>
    <row r="7504" spans="1:5">
      <c r="A7504" t="s">
        <v>6</v>
      </c>
      <c r="B7504" t="s">
        <v>7509</v>
      </c>
      <c r="C7504">
        <f>HYPERLINK("C:\Users\franc\OneDrive\Documentos\MALENTIN KARIME\INMOBILIARIA LA RECOLETA\BEST ENERGY Asturias 32.doc", "Abrir Documento")</f>
        <v>0</v>
      </c>
      <c r="D7504" t="s">
        <v>23500</v>
      </c>
      <c r="E7504" t="s">
        <v>29985</v>
      </c>
    </row>
    <row r="7505" spans="1:5">
      <c r="A7505" t="s">
        <v>6</v>
      </c>
      <c r="B7505" t="s">
        <v>7510</v>
      </c>
      <c r="C7505">
        <f>HYPERLINK("C:\Users\franc\OneDrive\Documentos\MALENTIN KARIME\INMOBILIARIA LA RECOLETA\BEST ENERGY Asturias 32 VISTO BUENO.doc", "Abrir Documento")</f>
        <v>0</v>
      </c>
      <c r="D7505" t="s">
        <v>23500</v>
      </c>
      <c r="E7505" t="s">
        <v>29986</v>
      </c>
    </row>
    <row r="7506" spans="1:5">
      <c r="A7506" t="s">
        <v>6</v>
      </c>
      <c r="B7506" t="s">
        <v>7511</v>
      </c>
      <c r="C7506">
        <f>HYPERLINK("C:\Users\franc\OneDrive\Documentos\MALENTIN KARIME\INMOBILIARIA LA RECOLETA\BEST ENERGY Asturias 31.doc", "Abrir Documento")</f>
        <v>0</v>
      </c>
      <c r="D7506" t="s">
        <v>23500</v>
      </c>
      <c r="E7506" t="s">
        <v>29987</v>
      </c>
    </row>
    <row r="7507" spans="1:5">
      <c r="A7507" t="s">
        <v>6</v>
      </c>
      <c r="B7507" t="s">
        <v>7512</v>
      </c>
      <c r="C7507">
        <f>HYPERLINK("C:\Users\franc\OneDrive\Documentos\MALENTIN KARIME\INMOBILIARIA LA RECOLETA\BEST ENERGY Asturias 31 VISTO BUENO.doc", "Abrir Documento")</f>
        <v>0</v>
      </c>
      <c r="D7507" t="s">
        <v>23500</v>
      </c>
      <c r="E7507" t="s">
        <v>29988</v>
      </c>
    </row>
    <row r="7508" spans="1:5">
      <c r="A7508" t="s">
        <v>6</v>
      </c>
      <c r="B7508" t="s">
        <v>7513</v>
      </c>
      <c r="C7508">
        <f>HYPERLINK("C:\Users\franc\OneDrive\Documentos\MALENTIN KARIME\INMOBILIARIA LA RECOLETA\BEST ENERGY Asturias 31 final.doc", "Abrir Documento")</f>
        <v>0</v>
      </c>
      <c r="D7508" t="s">
        <v>23500</v>
      </c>
      <c r="E7508" t="s">
        <v>29989</v>
      </c>
    </row>
    <row r="7509" spans="1:5">
      <c r="A7509" t="s">
        <v>6</v>
      </c>
      <c r="B7509" t="s">
        <v>7514</v>
      </c>
      <c r="C7509">
        <f>HYPERLINK("C:\Users\franc\OneDrive\Documentos\MALENTIN KARIME\INMOBILIARIA LA RECOLETA\BEST ENERGY Asturias 30.doc", "Abrir Documento")</f>
        <v>0</v>
      </c>
      <c r="D7509" t="s">
        <v>23500</v>
      </c>
      <c r="E7509" t="s">
        <v>29990</v>
      </c>
    </row>
    <row r="7510" spans="1:5">
      <c r="A7510" t="s">
        <v>6</v>
      </c>
      <c r="B7510" t="s">
        <v>7515</v>
      </c>
      <c r="C7510">
        <f>HYPERLINK("C:\Users\franc\OneDrive\Documentos\MALENTIN KARIME\INMOBILIARIA LA RECOLETA\BEST ENERGY Asturias 30 VISTO BUENO.doc", "Abrir Documento")</f>
        <v>0</v>
      </c>
      <c r="D7510" t="s">
        <v>23500</v>
      </c>
      <c r="E7510" t="s">
        <v>29991</v>
      </c>
    </row>
    <row r="7511" spans="1:5">
      <c r="A7511" t="s">
        <v>6</v>
      </c>
      <c r="B7511" t="s">
        <v>7516</v>
      </c>
      <c r="C7511">
        <f>HYPERLINK("C:\Users\franc\OneDrive\Documentos\MALENTIN KARIME\INMOB SANTA EMMA\CONFERR.doc", "Abrir Documento")</f>
        <v>0</v>
      </c>
      <c r="D7511" t="s">
        <v>23500</v>
      </c>
      <c r="E7511" t="s">
        <v>29992</v>
      </c>
    </row>
    <row r="7512" spans="1:5">
      <c r="A7512" t="s">
        <v>6</v>
      </c>
      <c r="B7512" t="s">
        <v>7517</v>
      </c>
      <c r="C7512">
        <f>HYPERLINK("C:\Users\franc\OneDrive\Documentos\MALENTIN KARIME\INMOB SANTA EMMA\INSTRUCCIONES   NOTARIALES.doc", "Abrir Documento")</f>
        <v>0</v>
      </c>
      <c r="D7512" t="s">
        <v>23500</v>
      </c>
      <c r="E7512" t="s">
        <v>29992</v>
      </c>
    </row>
    <row r="7513" spans="1:5">
      <c r="A7513" t="s">
        <v>6</v>
      </c>
      <c r="B7513" t="s">
        <v>7518</v>
      </c>
      <c r="C7513">
        <f>HYPERLINK("C:\Users\franc\OneDrive\Documentos\MALENTIN KARIME\INDICE TEST Y AGUA\PLANILLA Octubre DIRECCION GENERAL DE AGUAS.doc", "Abrir Documento")</f>
        <v>0</v>
      </c>
      <c r="D7513" t="s">
        <v>23500</v>
      </c>
      <c r="E7513" t="s">
        <v>29993</v>
      </c>
    </row>
    <row r="7514" spans="1:5">
      <c r="A7514" t="s">
        <v>6</v>
      </c>
      <c r="B7514" t="s">
        <v>7519</v>
      </c>
      <c r="C7514">
        <f>HYPERLINK("C:\Users\franc\OneDrive\Documentos\MALENTIN KARIME\INDICE TEST Y AGUA\PLANILLA Noviembre DIRECCION GENERAL DE AGUAS.doc", "Abrir Documento")</f>
        <v>0</v>
      </c>
      <c r="D7514" t="s">
        <v>23500</v>
      </c>
      <c r="E7514" t="s">
        <v>29994</v>
      </c>
    </row>
    <row r="7515" spans="1:5">
      <c r="A7515" t="s">
        <v>6</v>
      </c>
      <c r="B7515" t="s">
        <v>7520</v>
      </c>
      <c r="C7515">
        <f>HYPERLINK("C:\Users\franc\OneDrive\Documentos\MALENTIN KARIME\INDICE TEST Y AGUA\PLANILLA Mayo  DIRECCION GENERAL DE AGUAS.doc", "Abrir Documento")</f>
        <v>0</v>
      </c>
      <c r="D7515" t="s">
        <v>23500</v>
      </c>
      <c r="E7515" t="s">
        <v>29995</v>
      </c>
    </row>
    <row r="7516" spans="1:5">
      <c r="A7516" t="s">
        <v>6</v>
      </c>
      <c r="B7516" t="s">
        <v>7521</v>
      </c>
      <c r="C7516">
        <f>HYPERLINK("C:\Users\franc\OneDrive\Documentos\MALENTIN KARIME\INDICE TEST Y AGUA\PLANILLA MarzoDIRECCION GENERAL DE AGUAS.doc", "Abrir Documento")</f>
        <v>0</v>
      </c>
      <c r="D7516" t="s">
        <v>23500</v>
      </c>
      <c r="E7516" t="s">
        <v>29996</v>
      </c>
    </row>
    <row r="7517" spans="1:5">
      <c r="A7517" t="s">
        <v>6</v>
      </c>
      <c r="B7517" t="s">
        <v>7522</v>
      </c>
      <c r="C7517">
        <f>HYPERLINK("C:\Users\franc\OneDrive\Documentos\MALENTIN KARIME\INDICE TEST Y AGUA\PLANILLA Junio  DIRECCION GENERAL DE AGUAS.doc", "Abrir Documento")</f>
        <v>0</v>
      </c>
      <c r="D7517" t="s">
        <v>23500</v>
      </c>
      <c r="E7517" t="s">
        <v>29997</v>
      </c>
    </row>
    <row r="7518" spans="1:5">
      <c r="A7518" t="s">
        <v>6</v>
      </c>
      <c r="B7518" t="s">
        <v>7523</v>
      </c>
      <c r="C7518">
        <f>HYPERLINK("C:\Users\franc\OneDrive\Documentos\MALENTIN KARIME\INDICE TEST Y AGUA\PLANILLA Julio  DIRECCION GENERAL DE AGUAS.doc", "Abrir Documento")</f>
        <v>0</v>
      </c>
      <c r="D7518" t="s">
        <v>23500</v>
      </c>
      <c r="E7518" t="s">
        <v>29998</v>
      </c>
    </row>
    <row r="7519" spans="1:5">
      <c r="A7519" t="s">
        <v>6</v>
      </c>
      <c r="B7519" t="s">
        <v>7524</v>
      </c>
      <c r="C7519">
        <f>HYPERLINK("C:\Users\franc\OneDrive\Documentos\MALENTIN KARIME\INDICE TEST Y AGUA\PLANILLA FebreroDIRECCION GENERAL DE AGUAS.doc", "Abrir Documento")</f>
        <v>0</v>
      </c>
      <c r="D7519" t="s">
        <v>23500</v>
      </c>
      <c r="E7519" t="s">
        <v>29999</v>
      </c>
    </row>
    <row r="7520" spans="1:5">
      <c r="A7520" t="s">
        <v>6</v>
      </c>
      <c r="B7520" t="s">
        <v>7525</v>
      </c>
      <c r="C7520">
        <f>HYPERLINK("C:\Users\franc\OneDrive\Documentos\MALENTIN KARIME\INDICE TEST Y AGUA\PLANILLA Febrero HOJA 2DIRECCION GENERAL DE AGUAS.doc", "Abrir Documento")</f>
        <v>0</v>
      </c>
      <c r="D7520" t="s">
        <v>23500</v>
      </c>
      <c r="E7520" t="s">
        <v>30000</v>
      </c>
    </row>
    <row r="7521" spans="1:5">
      <c r="A7521" t="s">
        <v>6</v>
      </c>
      <c r="B7521" t="s">
        <v>7526</v>
      </c>
      <c r="C7521">
        <f>HYPERLINK("C:\Users\franc\OneDrive\Documentos\MALENTIN KARIME\INDICE TEST Y AGUA\PLANILLA Diciembre DIRECCION GENERAL DE AGUAS.doc", "Abrir Documento")</f>
        <v>0</v>
      </c>
      <c r="D7521" t="s">
        <v>23500</v>
      </c>
      <c r="E7521" t="s">
        <v>30001</v>
      </c>
    </row>
    <row r="7522" spans="1:5">
      <c r="A7522" t="s">
        <v>6</v>
      </c>
      <c r="B7522" t="s">
        <v>7527</v>
      </c>
      <c r="C7522">
        <f>HYPERLINK("C:\Users\franc\OneDrive\Documentos\MALENTIN KARIME\INDICE TEST Y AGUA\PLANILLA Enero DIRECCION GENERAL DE AGUAS.doc", "Abrir Documento")</f>
        <v>0</v>
      </c>
      <c r="D7522" t="s">
        <v>23500</v>
      </c>
      <c r="E7522" t="s">
        <v>30001</v>
      </c>
    </row>
    <row r="7523" spans="1:5">
      <c r="A7523" t="s">
        <v>6</v>
      </c>
      <c r="B7523" t="s">
        <v>7528</v>
      </c>
      <c r="C7523">
        <f>HYPERLINK("C:\Users\franc\OneDrive\Documentos\MALENTIN KARIME\INDICE TEST Y AGUA\PLANILLA Agosto  DIRECCION GENERAL DE AGUAS.doc", "Abrir Documento")</f>
        <v>0</v>
      </c>
      <c r="D7523" t="s">
        <v>23500</v>
      </c>
      <c r="E7523" t="s">
        <v>30002</v>
      </c>
    </row>
    <row r="7524" spans="1:5">
      <c r="A7524" t="s">
        <v>6</v>
      </c>
      <c r="B7524" t="s">
        <v>7529</v>
      </c>
      <c r="C7524">
        <f>HYPERLINK("C:\Users\franc\OneDrive\Documentos\MALENTIN KARIME\INDICE TEST Y AGUA\PLANILLA Abril DIRECCION GENERAL DE AGUAS.doc", "Abrir Documento")</f>
        <v>0</v>
      </c>
      <c r="D7524" t="s">
        <v>23500</v>
      </c>
      <c r="E7524" t="s">
        <v>30003</v>
      </c>
    </row>
    <row r="7525" spans="1:5">
      <c r="A7525" t="s">
        <v>6</v>
      </c>
      <c r="B7525" t="s">
        <v>7530</v>
      </c>
      <c r="C7525">
        <f>HYPERLINK("C:\Users\franc\OneDrive\Documentos\MALENTIN KARIME\INDICE TEST Y AGUA\PLANILLA 12-2017  DIRECCION GENERAL DE AGUAS.doc", "Abrir Documento")</f>
        <v>0</v>
      </c>
      <c r="D7525" t="s">
        <v>23500</v>
      </c>
      <c r="E7525" t="s">
        <v>30004</v>
      </c>
    </row>
    <row r="7526" spans="1:5">
      <c r="A7526" t="s">
        <v>6</v>
      </c>
      <c r="B7526" t="s">
        <v>7531</v>
      </c>
      <c r="C7526">
        <f>HYPERLINK("C:\Users\franc\OneDrive\Documentos\MALENTIN KARIME\INDICE TEST Y AGUA\PLANILLA 11-2017  DIRECCION GENERAL DE AGUAS.doc", "Abrir Documento")</f>
        <v>0</v>
      </c>
      <c r="D7526" t="s">
        <v>23500</v>
      </c>
      <c r="E7526" t="s">
        <v>30005</v>
      </c>
    </row>
    <row r="7527" spans="1:5">
      <c r="A7527" t="s">
        <v>6</v>
      </c>
      <c r="B7527" t="s">
        <v>7532</v>
      </c>
      <c r="C7527">
        <f>HYPERLINK("C:\Users\franc\OneDrive\Documentos\MALENTIN KARIME\INDICE TEST Y AGUA\PLANILLA 10-2017  DIRECCION GENERAL DE AGUAS.doc", "Abrir Documento")</f>
        <v>0</v>
      </c>
      <c r="D7527" t="s">
        <v>23500</v>
      </c>
      <c r="E7527" t="s">
        <v>30006</v>
      </c>
    </row>
    <row r="7528" spans="1:5">
      <c r="A7528" t="s">
        <v>6</v>
      </c>
      <c r="B7528" t="s">
        <v>7533</v>
      </c>
      <c r="C7528">
        <f>HYPERLINK("C:\Users\franc\OneDrive\Documentos\MALENTIN KARIME\INDICE TEST Y AGUA\PLANILLA 08-2018  DIRECCION GENERAL DE AGUAS.doc", "Abrir Documento")</f>
        <v>0</v>
      </c>
      <c r="D7528" t="s">
        <v>23500</v>
      </c>
      <c r="E7528" t="s">
        <v>30007</v>
      </c>
    </row>
    <row r="7529" spans="1:5">
      <c r="A7529" t="s">
        <v>6</v>
      </c>
      <c r="B7529" t="s">
        <v>7534</v>
      </c>
      <c r="C7529">
        <f>HYPERLINK("C:\Users\franc\OneDrive\Documentos\MALENTIN KARIME\INDICE TEST Y AGUA\PLANILLA 09-2017  DIRECCION GENERAL DE AGUAS.doc", "Abrir Documento")</f>
        <v>0</v>
      </c>
      <c r="D7529" t="s">
        <v>23500</v>
      </c>
      <c r="E7529" t="s">
        <v>30007</v>
      </c>
    </row>
    <row r="7530" spans="1:5">
      <c r="A7530" t="s">
        <v>6</v>
      </c>
      <c r="B7530" t="s">
        <v>7535</v>
      </c>
      <c r="C7530">
        <f>HYPERLINK("C:\Users\franc\OneDrive\Documentos\MALENTIN KARIME\INDICE TEST Y AGUA\PLANILLA 06-2018  DIRECCION GENERAL DE AGUAS.doc", "Abrir Documento")</f>
        <v>0</v>
      </c>
      <c r="D7530" t="s">
        <v>23500</v>
      </c>
      <c r="E7530" t="s">
        <v>30008</v>
      </c>
    </row>
    <row r="7531" spans="1:5">
      <c r="A7531" t="s">
        <v>6</v>
      </c>
      <c r="B7531" t="s">
        <v>7536</v>
      </c>
      <c r="C7531">
        <f>HYPERLINK("C:\Users\franc\OneDrive\Documentos\MALENTIN KARIME\INDICE TEST Y AGUA\PLANILLA 05-2018  DIRECCION GENERAL DE AGUAS.doc", "Abrir Documento")</f>
        <v>0</v>
      </c>
      <c r="D7531" t="s">
        <v>23500</v>
      </c>
      <c r="E7531" t="s">
        <v>30009</v>
      </c>
    </row>
    <row r="7532" spans="1:5">
      <c r="A7532" t="s">
        <v>6</v>
      </c>
      <c r="B7532" t="s">
        <v>7537</v>
      </c>
      <c r="C7532">
        <f>HYPERLINK("C:\Users\franc\OneDrive\Documentos\MALENTIN KARIME\INDICE TEST Y AGUA\PLANILLA 03-2018  DIRECCION GENERAL DE AGUAS.doc", "Abrir Documento")</f>
        <v>0</v>
      </c>
      <c r="D7532" t="s">
        <v>23500</v>
      </c>
      <c r="E7532" t="s">
        <v>30010</v>
      </c>
    </row>
    <row r="7533" spans="1:5">
      <c r="A7533" t="s">
        <v>6</v>
      </c>
      <c r="B7533" t="s">
        <v>7538</v>
      </c>
      <c r="C7533">
        <f>HYPERLINK("C:\Users\franc\OneDrive\Documentos\MALENTIN KARIME\INDICE TEST Y AGUA\PLANILLA 02-2018  DIRECCION GENERAL DE AGUAS.doc", "Abrir Documento")</f>
        <v>0</v>
      </c>
      <c r="D7533" t="s">
        <v>23500</v>
      </c>
      <c r="E7533" t="s">
        <v>30011</v>
      </c>
    </row>
    <row r="7534" spans="1:5">
      <c r="A7534" t="s">
        <v>6</v>
      </c>
      <c r="B7534" t="s">
        <v>7539</v>
      </c>
      <c r="C7534">
        <f>HYPERLINK("C:\Users\franc\OneDrive\Documentos\MALENTIN KARIME\INDICE TEST Y AGUA\NOMINA MENSUALAguas.doc", "Abrir Documento")</f>
        <v>0</v>
      </c>
      <c r="D7534" t="s">
        <v>23500</v>
      </c>
      <c r="E7534" t="s">
        <v>30012</v>
      </c>
    </row>
    <row r="7535" spans="1:5">
      <c r="A7535" t="s">
        <v>6</v>
      </c>
      <c r="B7535" t="s">
        <v>7540</v>
      </c>
      <c r="C7535">
        <f>HYPERLINK("C:\Users\franc\OneDrive\Documentos\MALENTIN KARIME\INDICE TEST Y AGUA\PLANILLA 01-2018  DIRECCION GENERAL DE AGUAS.doc", "Abrir Documento")</f>
        <v>0</v>
      </c>
      <c r="D7535" t="s">
        <v>23500</v>
      </c>
      <c r="E7535" t="s">
        <v>30012</v>
      </c>
    </row>
    <row r="7536" spans="1:5">
      <c r="A7536" t="s">
        <v>6</v>
      </c>
      <c r="B7536" t="s">
        <v>7541</v>
      </c>
      <c r="C7536">
        <f>HYPERLINK("C:\Users\franc\OneDrive\Documentos\MALENTIN KARIME\INDICE TEST Y AGUA\NOMINA MENSUAL Testamentos.doc", "Abrir Documento")</f>
        <v>0</v>
      </c>
      <c r="D7536" t="s">
        <v>23500</v>
      </c>
      <c r="E7536" t="s">
        <v>30013</v>
      </c>
    </row>
    <row r="7537" spans="1:5">
      <c r="A7537" t="s">
        <v>6</v>
      </c>
      <c r="B7537" t="s">
        <v>7542</v>
      </c>
      <c r="C7537">
        <f>HYPERLINK("C:\Users\franc\OneDrive\Documentos\MALENTIN KARIME\INDICE TEST Y AGUA\Formulario para Testamentos NUEVO.doc", "Abrir Documento")</f>
        <v>0</v>
      </c>
      <c r="D7537" t="s">
        <v>23500</v>
      </c>
      <c r="E7537" t="s">
        <v>30014</v>
      </c>
    </row>
    <row r="7538" spans="1:5">
      <c r="A7538" t="s">
        <v>6</v>
      </c>
      <c r="B7538" t="s">
        <v>7543</v>
      </c>
      <c r="C7538">
        <f>HYPERLINK("C:\Users\franc\OneDrive\Documentos\MALENTIN KARIME\INDICE TEST Y AGUA\Formulario para Testamentos NUEVO DIARIO 2017.doc", "Abrir Documento")</f>
        <v>0</v>
      </c>
      <c r="D7538" t="s">
        <v>23500</v>
      </c>
      <c r="E7538" t="s">
        <v>30015</v>
      </c>
    </row>
    <row r="7539" spans="1:5">
      <c r="A7539" t="s">
        <v>6</v>
      </c>
      <c r="B7539" t="s">
        <v>7544</v>
      </c>
      <c r="C7539">
        <f>HYPERLINK("C:\Users\franc\OneDrive\Documentos\MALENTIN KARIME\INDICE TEST Y AGUA\Formulario para Testamentos NUEVO 2 con celda.doc", "Abrir Documento")</f>
        <v>0</v>
      </c>
      <c r="D7539" t="s">
        <v>23500</v>
      </c>
      <c r="E7539" t="s">
        <v>30016</v>
      </c>
    </row>
    <row r="7540" spans="1:5">
      <c r="A7540" t="s">
        <v>6</v>
      </c>
      <c r="B7540" t="s">
        <v>7545</v>
      </c>
      <c r="C7540">
        <f>HYPERLINK("C:\Users\franc\OneDrive\Documentos\MALENTIN KARIME\HIPOTECA\SERGIO TORO VARGAS A FRUTEXPORT Prenda.doc", "Abrir Documento")</f>
        <v>0</v>
      </c>
      <c r="D7540" t="s">
        <v>23500</v>
      </c>
      <c r="E7540" t="s">
        <v>30017</v>
      </c>
    </row>
    <row r="7541" spans="1:5">
      <c r="A7541" t="s">
        <v>6</v>
      </c>
      <c r="B7541" t="s">
        <v>7546</v>
      </c>
      <c r="C7541">
        <f>HYPERLINK("C:\Users\franc\OneDrive\Documentos\MALENTIN KARIME\HIPOTECA\SERGIO TORO VARGAS A FRUTEXPORT Hipoteca.doc", "Abrir Documento")</f>
        <v>0</v>
      </c>
      <c r="D7541" t="s">
        <v>23500</v>
      </c>
      <c r="E7541" t="s">
        <v>30018</v>
      </c>
    </row>
    <row r="7542" spans="1:5">
      <c r="A7542" t="s">
        <v>6</v>
      </c>
      <c r="B7542" t="s">
        <v>7547</v>
      </c>
      <c r="C7542">
        <f>HYPERLINK("C:\Users\franc\OneDrive\Documentos\MALENTIN KARIME\HIPOTECA\PAGARÉ  SERGIO TORO VARGAS.doc", "Abrir Documento")</f>
        <v>0</v>
      </c>
      <c r="D7542" t="s">
        <v>23500</v>
      </c>
      <c r="E7542" t="s">
        <v>30019</v>
      </c>
    </row>
    <row r="7543" spans="1:5">
      <c r="A7543" t="s">
        <v>6</v>
      </c>
      <c r="B7543" t="s">
        <v>7548</v>
      </c>
      <c r="C7543">
        <f>HYPERLINK("C:\Users\franc\OneDrive\Documentos\MALENTIN KARIME\HIPOTECA\PAGARÉ  A LA ORDEN.doc", "Abrir Documento")</f>
        <v>0</v>
      </c>
      <c r="D7543" t="s">
        <v>23500</v>
      </c>
      <c r="E7543" t="s">
        <v>30020</v>
      </c>
    </row>
    <row r="7544" spans="1:5">
      <c r="A7544" t="s">
        <v>6</v>
      </c>
      <c r="B7544" t="s">
        <v>7549</v>
      </c>
      <c r="C7544">
        <f>HYPERLINK("C:\Users\franc\OneDrive\Documentos\MALENTIN KARIME\HIPOTECA\PAGARÉ  A LA ORDEN -NOVACIÓN.doc", "Abrir Documento")</f>
        <v>0</v>
      </c>
      <c r="D7544" t="s">
        <v>23500</v>
      </c>
      <c r="E7544" t="s">
        <v>30021</v>
      </c>
    </row>
    <row r="7545" spans="1:5">
      <c r="A7545" t="s">
        <v>6</v>
      </c>
      <c r="B7545" t="s">
        <v>7550</v>
      </c>
      <c r="C7545">
        <f>HYPERLINK("C:\Users\franc\OneDrive\Documentos\MALENTIN KARIME\HIPOTECA\modelo hipoteca.doc", "Abrir Documento")</f>
        <v>0</v>
      </c>
      <c r="D7545" t="s">
        <v>23500</v>
      </c>
      <c r="E7545" t="s">
        <v>30022</v>
      </c>
    </row>
    <row r="7546" spans="1:5">
      <c r="A7546" t="s">
        <v>6</v>
      </c>
      <c r="B7546" t="s">
        <v>7551</v>
      </c>
      <c r="C7546">
        <f>HYPERLINK("C:\Users\franc\OneDrive\Documentos\MALENTIN KARIME\HIPOTECA\JUAN LAGUNAS FLORES Hipoteca.doc", "Abrir Documento")</f>
        <v>0</v>
      </c>
      <c r="D7546" t="s">
        <v>23500</v>
      </c>
      <c r="E7546" t="s">
        <v>30023</v>
      </c>
    </row>
    <row r="7547" spans="1:5">
      <c r="A7547" t="s">
        <v>6</v>
      </c>
      <c r="B7547" t="s">
        <v>7552</v>
      </c>
      <c r="C7547">
        <f>HYPERLINK("C:\Users\franc\OneDrive\Documentos\MALENTIN KARIME\HIPOTECA\JUAN LAGUNAS FLORES Hipoteca Final.doc", "Abrir Documento")</f>
        <v>0</v>
      </c>
      <c r="D7547" t="s">
        <v>23500</v>
      </c>
      <c r="E7547" t="s">
        <v>30024</v>
      </c>
    </row>
    <row r="7548" spans="1:5">
      <c r="A7548" t="s">
        <v>6</v>
      </c>
      <c r="B7548" t="s">
        <v>7553</v>
      </c>
      <c r="C7548">
        <f>HYPERLINK("C:\Users\franc\OneDrive\Documentos\MALENTIN KARIME\HIPOTECA\JUAN LAGUNAS FLORES A EXPORTADORA FRUTEXPORT.doc", "Abrir Documento")</f>
        <v>0</v>
      </c>
      <c r="D7548" t="s">
        <v>23500</v>
      </c>
      <c r="E7548" t="s">
        <v>30025</v>
      </c>
    </row>
    <row r="7549" spans="1:5">
      <c r="A7549" t="s">
        <v>6</v>
      </c>
      <c r="B7549" t="s">
        <v>7554</v>
      </c>
      <c r="C7549">
        <f>HYPERLINK("C:\Users\franc\OneDrive\Documentos\MALENTIN KARIME\HIPOTECA\JUAN BARRAZA JOFRE A FRUTEXPORT.doc", "Abrir Documento")</f>
        <v>0</v>
      </c>
      <c r="D7549" t="s">
        <v>23500</v>
      </c>
      <c r="E7549" t="s">
        <v>30026</v>
      </c>
    </row>
    <row r="7550" spans="1:5">
      <c r="A7550" t="s">
        <v>6</v>
      </c>
      <c r="B7550" t="s">
        <v>7555</v>
      </c>
      <c r="C7550">
        <f>HYPERLINK("C:\Users\franc\OneDrive\Documentos\MALENTIN KARIME\HIPOTECA\INVERSIONES TALQUILLA A Del Monte FreshHIPOTECA 2015.doc", "Abrir Documento")</f>
        <v>0</v>
      </c>
      <c r="D7550" t="s">
        <v>23500</v>
      </c>
      <c r="E7550" t="s">
        <v>30027</v>
      </c>
    </row>
    <row r="7551" spans="1:5">
      <c r="A7551" t="s">
        <v>6</v>
      </c>
      <c r="B7551" t="s">
        <v>7556</v>
      </c>
      <c r="C7551">
        <f>HYPERLINK("C:\Users\franc\OneDrive\Documentos\MALENTIN KARIME\HIPOTECA\FRUTEXPORT Novacion.doc", "Abrir Documento")</f>
        <v>0</v>
      </c>
      <c r="D7551" t="s">
        <v>23500</v>
      </c>
      <c r="E7551" t="s">
        <v>30028</v>
      </c>
    </row>
    <row r="7552" spans="1:5">
      <c r="A7552" t="s">
        <v>6</v>
      </c>
      <c r="B7552" t="s">
        <v>7557</v>
      </c>
      <c r="C7552">
        <f>HYPERLINK("C:\Users\franc\OneDrive\Documentos\MALENTIN KARIME\HIPOTECA\F 24 5.doc", "Abrir Documento")</f>
        <v>0</v>
      </c>
      <c r="D7552" t="s">
        <v>23500</v>
      </c>
      <c r="E7552" t="s">
        <v>30029</v>
      </c>
    </row>
    <row r="7553" spans="1:5">
      <c r="A7553" t="s">
        <v>6</v>
      </c>
      <c r="B7553" t="s">
        <v>7558</v>
      </c>
      <c r="C7553">
        <f>HYPERLINK("C:\Users\franc\OneDrive\Documentos\MALENTIN KARIME\HIPOTECA\F 24 2.doc", "Abrir Documento")</f>
        <v>0</v>
      </c>
      <c r="D7553" t="s">
        <v>23500</v>
      </c>
      <c r="E7553" t="s">
        <v>30030</v>
      </c>
    </row>
    <row r="7554" spans="1:5">
      <c r="A7554" t="s">
        <v>6</v>
      </c>
      <c r="B7554" t="s">
        <v>7559</v>
      </c>
      <c r="C7554">
        <f>HYPERLINK("C:\Users\franc\OneDrive\Documentos\MALENTIN KARIME\HIPOTECA\DIOMEDES CRUZ SOLORZANO A MASAVAL SAGR.doc", "Abrir Documento")</f>
        <v>0</v>
      </c>
      <c r="D7554" t="s">
        <v>23500</v>
      </c>
      <c r="E7554" t="s">
        <v>30031</v>
      </c>
    </row>
    <row r="7555" spans="1:5">
      <c r="A7555" t="s">
        <v>6</v>
      </c>
      <c r="B7555" t="s">
        <v>7560</v>
      </c>
      <c r="C7555">
        <f>HYPERLINK("C:\Users\franc\OneDrive\Documentos\MALENTIN KARIME\HIPOTECA\DEL MONTE FRES E INVERSIONES TALQUILLA Febr 2015.doc", "Abrir Documento")</f>
        <v>0</v>
      </c>
      <c r="D7555" t="s">
        <v>23500</v>
      </c>
      <c r="E7555" t="s">
        <v>30032</v>
      </c>
    </row>
    <row r="7556" spans="1:5">
      <c r="A7556" t="s">
        <v>6</v>
      </c>
      <c r="B7556" t="s">
        <v>7561</v>
      </c>
      <c r="C7556">
        <f>HYPERLINK("C:\Users\franc\OneDrive\Documentos\MALENTIN KARIME\HIPOTECA\CONTRATO DE HIPOTECA.doc", "Abrir Documento")</f>
        <v>0</v>
      </c>
      <c r="D7556" t="s">
        <v>23500</v>
      </c>
      <c r="E7556" t="s">
        <v>30033</v>
      </c>
    </row>
    <row r="7557" spans="1:5">
      <c r="A7557" t="s">
        <v>6</v>
      </c>
      <c r="B7557" t="s">
        <v>7562</v>
      </c>
      <c r="C7557">
        <f>HYPERLINK("C:\Users\franc\OneDrive\Documentos\MALENTIN KARIME\HABITA\VENTA E HIPOTECA visto bueno.doc", "Abrir Documento")</f>
        <v>0</v>
      </c>
      <c r="D7557" t="s">
        <v>23500</v>
      </c>
      <c r="E7557" t="s">
        <v>30034</v>
      </c>
    </row>
    <row r="7558" spans="1:5">
      <c r="A7558" t="s">
        <v>6</v>
      </c>
      <c r="B7558" t="s">
        <v>7563</v>
      </c>
      <c r="C7558">
        <f>HYPERLINK("C:\Users\franc\OneDrive\Documentos\MALENTIN KARIME\HABITA\SOC AGRICOLA CORTES CORRAL CON INMOBILIARIA OVALLE I.doc", "Abrir Documento")</f>
        <v>0</v>
      </c>
      <c r="D7558" t="s">
        <v>23500</v>
      </c>
      <c r="E7558" t="s">
        <v>30035</v>
      </c>
    </row>
    <row r="7559" spans="1:5">
      <c r="A7559" t="s">
        <v>6</v>
      </c>
      <c r="B7559" t="s">
        <v>7564</v>
      </c>
      <c r="C7559">
        <f>HYPERLINK("C:\Users\franc\OneDrive\Documentos\MALENTIN KARIME\HABITA\SOC AGRICOLA CORTES CORRAL CON INMOBILIARIA OVALLE I hipoteca.doc", "Abrir Documento")</f>
        <v>0</v>
      </c>
      <c r="D7559" t="s">
        <v>23500</v>
      </c>
      <c r="E7559" t="s">
        <v>30036</v>
      </c>
    </row>
    <row r="7560" spans="1:5">
      <c r="A7560" t="s">
        <v>6</v>
      </c>
      <c r="B7560" t="s">
        <v>7565</v>
      </c>
      <c r="C7560">
        <f>HYPERLINK("C:\Users\franc\OneDrive\Documentos\MALENTIN KARIME\HABITA\REP. 653-2015 HABITA ASOCIACIONES INMOBILIARIAS 02-2021.pdf", "Abrir Documento")</f>
        <v>0</v>
      </c>
      <c r="D7560" t="s">
        <v>23500</v>
      </c>
      <c r="E7560" t="s">
        <v>30037</v>
      </c>
    </row>
    <row r="7561" spans="1:5">
      <c r="A7561" t="s">
        <v>6</v>
      </c>
      <c r="B7561" t="s">
        <v>7566</v>
      </c>
      <c r="C7561">
        <f>HYPERLINK("C:\Users\franc\OneDrive\Documentos\MALENTIN KARIME\HABITA\REP. 1024-2014 HABITA ASOCIACIONES INMOBILIARIAS  02-2021.pdf", "Abrir Documento")</f>
        <v>0</v>
      </c>
      <c r="D7561" t="s">
        <v>23500</v>
      </c>
      <c r="E7561" t="s">
        <v>30038</v>
      </c>
    </row>
    <row r="7562" spans="1:5">
      <c r="A7562" t="s">
        <v>6</v>
      </c>
      <c r="B7562" t="s">
        <v>7567</v>
      </c>
      <c r="C7562">
        <f>HYPERLINK("C:\Users\franc\OneDrive\Documentos\MALENTIN KARIME\HABITA\reconocimiento de deuda.pdf", "Abrir Documento")</f>
        <v>0</v>
      </c>
      <c r="D7562" t="s">
        <v>23501</v>
      </c>
      <c r="E7562" t="s">
        <v>30039</v>
      </c>
    </row>
    <row r="7563" spans="1:5">
      <c r="A7563" t="s">
        <v>6</v>
      </c>
      <c r="B7563" t="s">
        <v>7568</v>
      </c>
      <c r="C7563">
        <f>HYPERLINK("C:\Users\franc\OneDrive\Documentos\MALENTIN KARIME\HABITA\RECONOCIMIENTO DE DEUDA OVALLE I 03.05.2021.doc", "Abrir Documento")</f>
        <v>0</v>
      </c>
      <c r="D7563" t="s">
        <v>23500</v>
      </c>
      <c r="E7563" t="s">
        <v>30040</v>
      </c>
    </row>
    <row r="7564" spans="1:5">
      <c r="A7564" t="s">
        <v>6</v>
      </c>
      <c r="B7564" t="s">
        <v>7569</v>
      </c>
      <c r="C7564">
        <f>HYPERLINK("C:\Users\franc\OneDrive\Documentos\MALENTIN KARIME\HABITA\PROMESA DE COMPRAVENTA LOTE 1A-J  (30-04-21).doc", "Abrir Documento")</f>
        <v>0</v>
      </c>
      <c r="D7564" t="s">
        <v>23500</v>
      </c>
      <c r="E7564" t="s">
        <v>30041</v>
      </c>
    </row>
    <row r="7565" spans="1:5">
      <c r="A7565" t="s">
        <v>6</v>
      </c>
      <c r="B7565" t="s">
        <v>7570</v>
      </c>
      <c r="C7565">
        <f>HYPERLINK("C:\Users\franc\OneDrive\Documentos\MALENTIN KARIME\HABITA\PROMESA DE COMPRAVENTA LOTE 1A-I (30-04-21).doc", "Abrir Documento")</f>
        <v>0</v>
      </c>
      <c r="D7565" t="s">
        <v>23500</v>
      </c>
      <c r="E7565" t="s">
        <v>30042</v>
      </c>
    </row>
    <row r="7566" spans="1:5">
      <c r="A7566" t="s">
        <v>6</v>
      </c>
      <c r="B7566" t="s">
        <v>7571</v>
      </c>
      <c r="C7566">
        <f>HYPERLINK("C:\Users\franc\OneDrive\Documentos\MALENTIN KARIME\HABITA\promesa 2.doc", "Abrir Documento")</f>
        <v>0</v>
      </c>
      <c r="D7566" t="s">
        <v>23500</v>
      </c>
      <c r="E7566" t="s">
        <v>30043</v>
      </c>
    </row>
    <row r="7567" spans="1:5">
      <c r="A7567" t="s">
        <v>6</v>
      </c>
      <c r="B7567" t="s">
        <v>7572</v>
      </c>
      <c r="C7567">
        <f>HYPERLINK("C:\Users\franc\OneDrive\Documentos\MALENTIN KARIME\HABITA\PROMESA 1.doc", "Abrir Documento")</f>
        <v>0</v>
      </c>
      <c r="D7567" t="s">
        <v>23500</v>
      </c>
      <c r="E7567" t="s">
        <v>30044</v>
      </c>
    </row>
    <row r="7568" spans="1:5">
      <c r="A7568" t="s">
        <v>6</v>
      </c>
      <c r="B7568" t="s">
        <v>7573</v>
      </c>
      <c r="C7568">
        <f>HYPERLINK("C:\Users\franc\OneDrive\Documentos\MALENTIN KARIME\HABITA\personeria OVALLE I SPA.pdf", "Abrir Documento")</f>
        <v>0</v>
      </c>
      <c r="D7568" t="s">
        <v>23500</v>
      </c>
      <c r="E7568" t="s">
        <v>30045</v>
      </c>
    </row>
    <row r="7569" spans="1:5">
      <c r="A7569" t="s">
        <v>6</v>
      </c>
      <c r="B7569" t="s">
        <v>7574</v>
      </c>
      <c r="C7569">
        <f>HYPERLINK("C:\Users\franc\OneDrive\Documentos\MALENTIN KARIME\HABITA\INMOBILIARIA OVALLE I SpA, SGL 2027979 (CV).doc", "Abrir Documento")</f>
        <v>0</v>
      </c>
      <c r="D7569" t="s">
        <v>23500</v>
      </c>
      <c r="E7569" t="s">
        <v>30046</v>
      </c>
    </row>
    <row r="7570" spans="1:5">
      <c r="A7570" t="s">
        <v>6</v>
      </c>
      <c r="B7570" t="s">
        <v>7575</v>
      </c>
      <c r="C7570">
        <f>HYPERLINK("C:\Users\franc\OneDrive\Documentos\MALENTIN KARIME\HABITA\INMOBILIARIA OVALLE I SpA, Rut 77.150.991-6, SGL 2027979, borrador (SOLO UN LOTE).doc", "Abrir Documento")</f>
        <v>0</v>
      </c>
      <c r="D7570" t="s">
        <v>23500</v>
      </c>
      <c r="E7570" t="s">
        <v>30047</v>
      </c>
    </row>
    <row r="7571" spans="1:5">
      <c r="A7571" t="s">
        <v>6</v>
      </c>
      <c r="B7571" t="s">
        <v>7576</v>
      </c>
      <c r="C7571">
        <f>HYPERLINK("C:\Users\franc\OneDrive\Documentos\MALENTIN KARIME\HABITA\CUENTA MERCANTIL CONTRATO.pdf", "Abrir Documento")</f>
        <v>0</v>
      </c>
      <c r="D7571" t="s">
        <v>23501</v>
      </c>
      <c r="E7571" t="s">
        <v>30048</v>
      </c>
    </row>
    <row r="7572" spans="1:5">
      <c r="A7572" t="s">
        <v>6</v>
      </c>
      <c r="B7572" t="s">
        <v>7577</v>
      </c>
      <c r="C7572">
        <f>HYPERLINK("C:\Users\franc\OneDrive\Documentos\MALENTIN KARIME\HABITA\HIPOTECA visto bueno.doc", "Abrir Documento")</f>
        <v>0</v>
      </c>
      <c r="D7572" t="s">
        <v>23500</v>
      </c>
      <c r="E7572" t="s">
        <v>30048</v>
      </c>
    </row>
    <row r="7573" spans="1:5">
      <c r="A7573" t="s">
        <v>6</v>
      </c>
      <c r="B7573" t="s">
        <v>7578</v>
      </c>
      <c r="C7573">
        <f>HYPERLINK("C:\Users\franc\OneDrive\Documentos\MALENTIN KARIME\HABITA\CONTRATO MERCANTIL.pdf", "Abrir Documento")</f>
        <v>0</v>
      </c>
      <c r="D7573" t="s">
        <v>23501</v>
      </c>
      <c r="E7573" t="s">
        <v>30049</v>
      </c>
    </row>
    <row r="7574" spans="1:5">
      <c r="A7574" t="s">
        <v>6</v>
      </c>
      <c r="B7574" t="s">
        <v>7579</v>
      </c>
      <c r="C7574">
        <f>HYPERLINK("C:\Users\franc\OneDrive\Documentos\MALENTIN KARIME\HABITA\AGREGA PLANO.docx", "Abrir Documento")</f>
        <v>0</v>
      </c>
      <c r="D7574" t="s">
        <v>23501</v>
      </c>
      <c r="E7574" t="s">
        <v>30050</v>
      </c>
    </row>
    <row r="7575" spans="1:5">
      <c r="A7575" t="s">
        <v>6</v>
      </c>
      <c r="B7575" t="s">
        <v>7580</v>
      </c>
      <c r="C7575">
        <f>HYPERLINK("C:\Users\franc\OneDrive\Documentos\MALENTIN KARIME\GABRIEL RODRIGUEZ\PATRICIA ALVAREZ  A TEDY RAVANAL acuerdo divorciog.doc", "Abrir Documento")</f>
        <v>0</v>
      </c>
      <c r="D7575" t="s">
        <v>23500</v>
      </c>
      <c r="E7575" t="s">
        <v>30051</v>
      </c>
    </row>
    <row r="7576" spans="1:5">
      <c r="A7576" t="s">
        <v>6</v>
      </c>
      <c r="B7576" t="s">
        <v>7581</v>
      </c>
      <c r="C7576">
        <f>HYPERLINK("C:\Users\franc\OneDrive\Documentos\MALENTIN KARIME\GABRIEL RODRIGUEZ\NICOLAS HERMOSILLA Y OTROS A NINFA OGALDE Cvta.doc", "Abrir Documento")</f>
        <v>0</v>
      </c>
      <c r="D7576" t="s">
        <v>23500</v>
      </c>
      <c r="E7576" t="s">
        <v>30052</v>
      </c>
    </row>
    <row r="7577" spans="1:5">
      <c r="A7577" t="s">
        <v>6</v>
      </c>
      <c r="B7577" t="s">
        <v>7582</v>
      </c>
      <c r="C7577">
        <f>HYPERLINK("C:\Users\franc\OneDrive\Documentos\MALENTIN KARIME\GABRIEL RODRIGUEZ\MARINA OVIEDO TOLEDO Y OTROS Minuta Partición sucesión.doc", "Abrir Documento")</f>
        <v>0</v>
      </c>
      <c r="D7577" t="s">
        <v>23500</v>
      </c>
      <c r="E7577" t="s">
        <v>30053</v>
      </c>
    </row>
    <row r="7578" spans="1:5">
      <c r="A7578" t="s">
        <v>6</v>
      </c>
      <c r="B7578" t="s">
        <v>7583</v>
      </c>
      <c r="C7578">
        <f>HYPERLINK("C:\Users\franc\OneDrive\Documentos\MALENTIN KARIME\FALABELLA\FRANCISCO FLORES MONDACA_000140.pdf", "Abrir Documento")</f>
        <v>0</v>
      </c>
      <c r="D7578" t="s">
        <v>23500</v>
      </c>
      <c r="E7578" t="s">
        <v>30054</v>
      </c>
    </row>
    <row r="7579" spans="1:5">
      <c r="A7579" t="s">
        <v>6</v>
      </c>
      <c r="B7579" t="s">
        <v>7584</v>
      </c>
      <c r="C7579">
        <f>HYPERLINK("C:\Users\franc\OneDrive\Documentos\MALENTIN KARIME\FALABELLA\Francisco Flores M..pdf", "Abrir Documento")</f>
        <v>0</v>
      </c>
      <c r="D7579" t="s">
        <v>23500</v>
      </c>
      <c r="E7579" t="s">
        <v>30055</v>
      </c>
    </row>
    <row r="7580" spans="1:5">
      <c r="A7580" t="s">
        <v>6</v>
      </c>
      <c r="B7580" t="s">
        <v>7585</v>
      </c>
      <c r="C7580">
        <f>HYPERLINK("C:\Users\franc\OneDrive\Documentos\MALENTIN KARIME\FALABELLA\20171201103202534.pdf", "Abrir Documento")</f>
        <v>0</v>
      </c>
      <c r="D7580" t="s">
        <v>23500</v>
      </c>
      <c r="E7580" t="s">
        <v>30056</v>
      </c>
    </row>
    <row r="7581" spans="1:5">
      <c r="A7581" t="s">
        <v>6</v>
      </c>
      <c r="B7581" t="s">
        <v>7586</v>
      </c>
      <c r="C7581">
        <f>HYPERLINK("C:\Users\franc\OneDrive\Documentos\MALENTIN KARIME\FACTORONE\2018\YANINA BORQUEZ 2018.doc", "Abrir Documento")</f>
        <v>0</v>
      </c>
      <c r="D7581" t="s">
        <v>23500</v>
      </c>
      <c r="E7581" t="s">
        <v>30057</v>
      </c>
    </row>
    <row r="7582" spans="1:5">
      <c r="A7582" t="s">
        <v>6</v>
      </c>
      <c r="B7582" t="s">
        <v>7587</v>
      </c>
      <c r="C7582">
        <f>HYPERLINK("C:\Users\franc\OneDrive\Documentos\MALENTIN KARIME\FACTORONE\2018\RAMON LUNA CORTES agos 18.doc", "Abrir Documento")</f>
        <v>0</v>
      </c>
      <c r="D7582" t="s">
        <v>23500</v>
      </c>
      <c r="E7582" t="s">
        <v>30058</v>
      </c>
    </row>
    <row r="7583" spans="1:5">
      <c r="A7583" t="s">
        <v>6</v>
      </c>
      <c r="B7583" t="s">
        <v>7588</v>
      </c>
      <c r="C7583">
        <f>HYPERLINK("C:\Users\franc\OneDrive\Documentos\MALENTIN KARIME\FACTORONE\2018\PUBLISHEP SPA 2018.doc", "Abrir Documento")</f>
        <v>0</v>
      </c>
      <c r="D7583" t="s">
        <v>23500</v>
      </c>
      <c r="E7583" t="s">
        <v>30059</v>
      </c>
    </row>
    <row r="7584" spans="1:5">
      <c r="A7584" t="s">
        <v>6</v>
      </c>
      <c r="B7584" t="s">
        <v>7589</v>
      </c>
      <c r="C7584">
        <f>HYPERLINK("C:\Users\franc\OneDrive\Documentos\MALENTIN KARIME\FACTORONE\2018\Marcelo Bollman Bello y otra.doc", "Abrir Documento")</f>
        <v>0</v>
      </c>
      <c r="D7584" t="s">
        <v>23500</v>
      </c>
      <c r="E7584" t="s">
        <v>30060</v>
      </c>
    </row>
    <row r="7585" spans="1:5">
      <c r="A7585" t="s">
        <v>6</v>
      </c>
      <c r="B7585" t="s">
        <v>7590</v>
      </c>
      <c r="C7585">
        <f>HYPERLINK("C:\Users\franc\OneDrive\Documentos\MALENTIN KARIME\FACTORONE\2018\LORENZO ZARATE.doc", "Abrir Documento")</f>
        <v>0</v>
      </c>
      <c r="D7585" t="s">
        <v>23500</v>
      </c>
      <c r="E7585" t="s">
        <v>30061</v>
      </c>
    </row>
    <row r="7586" spans="1:5">
      <c r="A7586" t="s">
        <v>6</v>
      </c>
      <c r="B7586" t="s">
        <v>7591</v>
      </c>
      <c r="C7586">
        <f>HYPERLINK("C:\Users\franc\OneDrive\Documentos\MALENTIN KARIME\FACTORONE\2018\ELIZABETH GONZALEZ CARREÑO NUEVO 2018.doc", "Abrir Documento")</f>
        <v>0</v>
      </c>
      <c r="D7586" t="s">
        <v>23500</v>
      </c>
      <c r="E7586" t="s">
        <v>30062</v>
      </c>
    </row>
    <row r="7587" spans="1:5">
      <c r="A7587" t="s">
        <v>6</v>
      </c>
      <c r="B7587" t="s">
        <v>7592</v>
      </c>
      <c r="C7587">
        <f>HYPERLINK("C:\Users\franc\OneDrive\Documentos\MALENTIN KARIME\FACTORONE\2018\ELIZABETH GONZALEZ CARREÑO 2018.doc", "Abrir Documento")</f>
        <v>0</v>
      </c>
      <c r="D7587" t="s">
        <v>23500</v>
      </c>
      <c r="E7587" t="s">
        <v>30063</v>
      </c>
    </row>
    <row r="7588" spans="1:5">
      <c r="A7588" t="s">
        <v>6</v>
      </c>
      <c r="B7588" t="s">
        <v>7593</v>
      </c>
      <c r="C7588">
        <f>HYPERLINK("C:\Users\franc\OneDrive\Documentos\MALENTIN KARIME\FACTORONE\2018\AQUILES PALACIOS Marzo.doc", "Abrir Documento")</f>
        <v>0</v>
      </c>
      <c r="D7588" t="s">
        <v>23500</v>
      </c>
      <c r="E7588" t="s">
        <v>30064</v>
      </c>
    </row>
    <row r="7589" spans="1:5">
      <c r="A7589" t="s">
        <v>6</v>
      </c>
      <c r="B7589" t="s">
        <v>7594</v>
      </c>
      <c r="C7589">
        <f>HYPERLINK("C:\Users\franc\OneDrive\Documentos\MALENTIN KARIME\FACTORONE\2018\ALEJANDRO ROJAS ZAPATA mayo 2018.doc", "Abrir Documento")</f>
        <v>0</v>
      </c>
      <c r="D7589" t="s">
        <v>23500</v>
      </c>
      <c r="E7589" t="s">
        <v>30065</v>
      </c>
    </row>
    <row r="7590" spans="1:5">
      <c r="A7590" t="s">
        <v>6</v>
      </c>
      <c r="B7590" t="s">
        <v>7595</v>
      </c>
      <c r="C7590">
        <f>HYPERLINK("C:\Users\franc\OneDrive\Documentos\MALENTIN KARIME\FACTORONE\2018\ALEJANDRO PINILLA alzamiento.doc", "Abrir Documento")</f>
        <v>0</v>
      </c>
      <c r="D7590" t="s">
        <v>23500</v>
      </c>
      <c r="E7590" t="s">
        <v>30066</v>
      </c>
    </row>
    <row r="7591" spans="1:5">
      <c r="A7591" t="s">
        <v>6</v>
      </c>
      <c r="B7591" t="s">
        <v>7596</v>
      </c>
      <c r="C7591">
        <f>HYPERLINK("C:\Users\franc\OneDrive\Documentos\MALENTIN KARIME\FACTORONE\2017\YARELA CHACOF julio 2017.doc", "Abrir Documento")</f>
        <v>0</v>
      </c>
      <c r="D7591" t="s">
        <v>23500</v>
      </c>
      <c r="E7591" t="s">
        <v>30067</v>
      </c>
    </row>
    <row r="7592" spans="1:5">
      <c r="A7592" t="s">
        <v>6</v>
      </c>
      <c r="B7592" t="s">
        <v>7597</v>
      </c>
      <c r="C7592">
        <f>HYPERLINK("C:\Users\franc\OneDrive\Documentos\MALENTIN KARIME\FACTORONE\2017\WILSON YAÑEZ AGUILERA Junio 2017.doc", "Abrir Documento")</f>
        <v>0</v>
      </c>
      <c r="D7592" t="s">
        <v>23500</v>
      </c>
      <c r="E7592" t="s">
        <v>30068</v>
      </c>
    </row>
    <row r="7593" spans="1:5">
      <c r="A7593" t="s">
        <v>6</v>
      </c>
      <c r="B7593" t="s">
        <v>7598</v>
      </c>
      <c r="C7593">
        <f>HYPERLINK("C:\Users\franc\OneDrive\Documentos\MALENTIN KARIME\FACTORONE\2017\SERGIO ANDRADE ARAYA Junio 2017.doc", "Abrir Documento")</f>
        <v>0</v>
      </c>
      <c r="D7593" t="s">
        <v>23500</v>
      </c>
      <c r="E7593" t="s">
        <v>30069</v>
      </c>
    </row>
    <row r="7594" spans="1:5">
      <c r="A7594" t="s">
        <v>6</v>
      </c>
      <c r="B7594" t="s">
        <v>7599</v>
      </c>
      <c r="C7594">
        <f>HYPERLINK("C:\Users\franc\OneDrive\Documentos\MALENTIN KARIME\FACTORONE\2017\SAMUEL CORTES OSSANDON 2017.doc", "Abrir Documento")</f>
        <v>0</v>
      </c>
      <c r="D7594" t="s">
        <v>23500</v>
      </c>
      <c r="E7594" t="s">
        <v>30070</v>
      </c>
    </row>
    <row r="7595" spans="1:5">
      <c r="A7595" t="s">
        <v>6</v>
      </c>
      <c r="B7595" t="s">
        <v>7600</v>
      </c>
      <c r="C7595">
        <f>HYPERLINK("C:\Users\franc\OneDrive\Documentos\MALENTIN KARIME\FACTORONE\2017\RICARDO MONTERO ROJAS oct 2017.doc", "Abrir Documento")</f>
        <v>0</v>
      </c>
      <c r="D7595" t="s">
        <v>23500</v>
      </c>
      <c r="E7595" t="s">
        <v>30071</v>
      </c>
    </row>
    <row r="7596" spans="1:5">
      <c r="A7596" t="s">
        <v>6</v>
      </c>
      <c r="B7596" t="s">
        <v>7601</v>
      </c>
      <c r="C7596">
        <f>HYPERLINK("C:\Users\franc\OneDrive\Documentos\MALENTIN KARIME\FACTORONE\2017\MARIA VALENZUELA ROJAS.doc", "Abrir Documento")</f>
        <v>0</v>
      </c>
      <c r="D7596" t="s">
        <v>23500</v>
      </c>
      <c r="E7596" t="s">
        <v>30072</v>
      </c>
    </row>
    <row r="7597" spans="1:5">
      <c r="A7597" t="s">
        <v>6</v>
      </c>
      <c r="B7597" t="s">
        <v>7602</v>
      </c>
      <c r="C7597">
        <f>HYPERLINK("C:\Users\franc\OneDrive\Documentos\MALENTIN KARIME\FACTORONE\2017\MARCELO ROJO Junio 2017.doc", "Abrir Documento")</f>
        <v>0</v>
      </c>
      <c r="D7597" t="s">
        <v>23500</v>
      </c>
      <c r="E7597" t="s">
        <v>30073</v>
      </c>
    </row>
    <row r="7598" spans="1:5">
      <c r="A7598" t="s">
        <v>6</v>
      </c>
      <c r="B7598" t="s">
        <v>7603</v>
      </c>
      <c r="C7598">
        <f>HYPERLINK("C:\Users\franc\OneDrive\Documentos\MALENTIN KARIME\FACTORONE\2017\MABEL CHIANG.doc", "Abrir Documento")</f>
        <v>0</v>
      </c>
      <c r="D7598" t="s">
        <v>23500</v>
      </c>
      <c r="E7598" t="s">
        <v>30074</v>
      </c>
    </row>
    <row r="7599" spans="1:5">
      <c r="A7599" t="s">
        <v>6</v>
      </c>
      <c r="B7599" t="s">
        <v>7604</v>
      </c>
      <c r="C7599">
        <f>HYPERLINK("C:\Users\franc\OneDrive\Documentos\MALENTIN KARIME\FACTORONE\2017\JULIO BARRERA OLIVARES nueva Factorone.doc", "Abrir Documento")</f>
        <v>0</v>
      </c>
      <c r="D7599" t="s">
        <v>23500</v>
      </c>
      <c r="E7599" t="s">
        <v>30075</v>
      </c>
    </row>
    <row r="7600" spans="1:5">
      <c r="A7600" t="s">
        <v>6</v>
      </c>
      <c r="B7600" t="s">
        <v>7605</v>
      </c>
      <c r="C7600">
        <f>HYPERLINK("C:\Users\franc\OneDrive\Documentos\MALENTIN KARIME\FACTORONE\2017\JULIO BARRERA OLIVARES Factorone.doc", "Abrir Documento")</f>
        <v>0</v>
      </c>
      <c r="D7600" t="s">
        <v>23500</v>
      </c>
      <c r="E7600" t="s">
        <v>30076</v>
      </c>
    </row>
    <row r="7601" spans="1:5">
      <c r="A7601" t="s">
        <v>6</v>
      </c>
      <c r="B7601" t="s">
        <v>7606</v>
      </c>
      <c r="C7601">
        <f>HYPERLINK("C:\Users\franc\OneDrive\Documentos\MALENTIN KARIME\FACTORONE\2017\HECTOR CASTILLO MARIN Agosto 2017.doc", "Abrir Documento")</f>
        <v>0</v>
      </c>
      <c r="D7601" t="s">
        <v>23500</v>
      </c>
      <c r="E7601" t="s">
        <v>30077</v>
      </c>
    </row>
    <row r="7602" spans="1:5">
      <c r="A7602" t="s">
        <v>6</v>
      </c>
      <c r="B7602" t="s">
        <v>7607</v>
      </c>
      <c r="C7602">
        <f>HYPERLINK("C:\Users\franc\OneDrive\Documentos\MALENTIN KARIME\FACTORONE\2017\FRANCISCO VEGA 2017.doc", "Abrir Documento")</f>
        <v>0</v>
      </c>
      <c r="D7602" t="s">
        <v>23500</v>
      </c>
      <c r="E7602" t="s">
        <v>30078</v>
      </c>
    </row>
    <row r="7603" spans="1:5">
      <c r="A7603" t="s">
        <v>6</v>
      </c>
      <c r="B7603" t="s">
        <v>7608</v>
      </c>
      <c r="C7603">
        <f>HYPERLINK("C:\Users\franc\OneDrive\Documentos\MALENTIN KARIME\FACTORONE\2017\FERNANDO PEÑAFIEL SALAS 2017.doc", "Abrir Documento")</f>
        <v>0</v>
      </c>
      <c r="D7603" t="s">
        <v>23500</v>
      </c>
      <c r="E7603" t="s">
        <v>30079</v>
      </c>
    </row>
    <row r="7604" spans="1:5">
      <c r="A7604" t="s">
        <v>6</v>
      </c>
      <c r="B7604" t="s">
        <v>7609</v>
      </c>
      <c r="C7604">
        <f>HYPERLINK("C:\Users\franc\OneDrive\Documentos\MALENTIN KARIME\FACTORONE\2017\ELIANA CORTES PIZARRO Junio 2017.doc", "Abrir Documento")</f>
        <v>0</v>
      </c>
      <c r="D7604" t="s">
        <v>23500</v>
      </c>
      <c r="E7604" t="s">
        <v>30080</v>
      </c>
    </row>
    <row r="7605" spans="1:5">
      <c r="A7605" t="s">
        <v>6</v>
      </c>
      <c r="B7605" t="s">
        <v>7610</v>
      </c>
      <c r="C7605">
        <f>HYPERLINK("C:\Users\franc\OneDrive\Documentos\MALENTIN KARIME\FACTORONE\2017\Contrato Factoring P  natural sin aval- LUIS LARRONDO.doc", "Abrir Documento")</f>
        <v>0</v>
      </c>
      <c r="D7605" t="s">
        <v>23500</v>
      </c>
      <c r="E7605" t="s">
        <v>30081</v>
      </c>
    </row>
    <row r="7606" spans="1:5">
      <c r="A7606" t="s">
        <v>6</v>
      </c>
      <c r="B7606" t="s">
        <v>7611</v>
      </c>
      <c r="C7606">
        <f>HYPERLINK("C:\Users\franc\OneDrive\Documentos\MALENTIN KARIME\FACTORONE\2017\claudio araya castillo.doc", "Abrir Documento")</f>
        <v>0</v>
      </c>
      <c r="D7606" t="s">
        <v>23500</v>
      </c>
      <c r="E7606" t="s">
        <v>30082</v>
      </c>
    </row>
    <row r="7607" spans="1:5">
      <c r="A7607" t="s">
        <v>6</v>
      </c>
      <c r="B7607" t="s">
        <v>7612</v>
      </c>
      <c r="C7607">
        <f>HYPERLINK("C:\Users\franc\OneDrive\Documentos\MALENTIN KARIME\FACTORONE\2017\CESAR OSSIO.doc", "Abrir Documento")</f>
        <v>0</v>
      </c>
      <c r="D7607" t="s">
        <v>23500</v>
      </c>
      <c r="E7607" t="s">
        <v>30083</v>
      </c>
    </row>
    <row r="7608" spans="1:5">
      <c r="A7608" t="s">
        <v>6</v>
      </c>
      <c r="B7608" t="s">
        <v>7613</v>
      </c>
      <c r="C7608">
        <f>HYPERLINK("C:\Users\franc\OneDrive\Documentos\MALENTIN KARIME\FACTORONE\2017\BRUNO ECCHER TORRES Junio 2017.doc", "Abrir Documento")</f>
        <v>0</v>
      </c>
      <c r="D7608" t="s">
        <v>23500</v>
      </c>
      <c r="E7608" t="s">
        <v>30084</v>
      </c>
    </row>
    <row r="7609" spans="1:5">
      <c r="A7609" t="s">
        <v>6</v>
      </c>
      <c r="B7609" t="s">
        <v>7614</v>
      </c>
      <c r="C7609">
        <f>HYPERLINK("C:\Users\franc\OneDrive\Documentos\MALENTIN KARIME\FACTORONE\2017\ANA ROSA ARAYA HIDALO Factorone.doc", "Abrir Documento")</f>
        <v>0</v>
      </c>
      <c r="D7609" t="s">
        <v>23500</v>
      </c>
      <c r="E7609" t="s">
        <v>30085</v>
      </c>
    </row>
    <row r="7610" spans="1:5">
      <c r="A7610" t="s">
        <v>6</v>
      </c>
      <c r="B7610" t="s">
        <v>7615</v>
      </c>
      <c r="C7610">
        <f>HYPERLINK("C:\Users\franc\OneDrive\Documentos\MALENTIN KARIME\FACTORONE\2017\ANA ROSA ARAYA HIDALGO A Factorone.doc", "Abrir Documento")</f>
        <v>0</v>
      </c>
      <c r="D7610" t="s">
        <v>23500</v>
      </c>
      <c r="E7610" t="s">
        <v>30086</v>
      </c>
    </row>
    <row r="7611" spans="1:5">
      <c r="A7611" t="s">
        <v>6</v>
      </c>
      <c r="B7611" t="s">
        <v>7616</v>
      </c>
      <c r="C7611">
        <f>HYPERLINK("C:\Users\franc\OneDrive\Documentos\MALENTIN KARIME\FACTORONE\2015\YARELA CHACOFF CASTILLO.doc", "Abrir Documento")</f>
        <v>0</v>
      </c>
      <c r="D7611" t="s">
        <v>23500</v>
      </c>
      <c r="E7611" t="s">
        <v>30087</v>
      </c>
    </row>
    <row r="7612" spans="1:5">
      <c r="A7612" t="s">
        <v>6</v>
      </c>
      <c r="B7612" t="s">
        <v>7617</v>
      </c>
      <c r="C7612">
        <f>HYPERLINK("C:\Users\franc\OneDrive\Documentos\MALENTIN KARIME\FACTORONE\2015\MARIA VARELA PINTO.doc", "Abrir Documento")</f>
        <v>0</v>
      </c>
      <c r="D7612" t="s">
        <v>23500</v>
      </c>
      <c r="E7612" t="s">
        <v>30088</v>
      </c>
    </row>
    <row r="7613" spans="1:5">
      <c r="A7613" t="s">
        <v>6</v>
      </c>
      <c r="B7613" t="s">
        <v>7618</v>
      </c>
      <c r="C7613">
        <f>HYPERLINK("C:\Users\franc\OneDrive\Documentos\MALENTIN KARIME\FACTORONE\2015\EDITH RAMOS ARANCIBIA.doc", "Abrir Documento")</f>
        <v>0</v>
      </c>
      <c r="D7613" t="s">
        <v>23500</v>
      </c>
      <c r="E7613" t="s">
        <v>30089</v>
      </c>
    </row>
    <row r="7614" spans="1:5">
      <c r="A7614" t="s">
        <v>6</v>
      </c>
      <c r="B7614" t="s">
        <v>7619</v>
      </c>
      <c r="C7614">
        <f>HYPERLINK("C:\Users\franc\OneDrive\Documentos\MALENTIN KARIME\FACTORONE\2014\JULIO BARRERA E.I.R.L2015.doc", "Abrir Documento")</f>
        <v>0</v>
      </c>
      <c r="D7614" t="s">
        <v>23500</v>
      </c>
      <c r="E7614" t="s">
        <v>30090</v>
      </c>
    </row>
    <row r="7615" spans="1:5">
      <c r="A7615" t="s">
        <v>6</v>
      </c>
      <c r="B7615" t="s">
        <v>7620</v>
      </c>
      <c r="C7615">
        <f>HYPERLINK("C:\Users\franc\OneDrive\Documentos\MALENTIN KARIME\FACTORONE\2014\FRANCISCO CORTES PIZARRO.doc", "Abrir Documento")</f>
        <v>0</v>
      </c>
      <c r="D7615" t="s">
        <v>23500</v>
      </c>
      <c r="E7615" t="s">
        <v>30091</v>
      </c>
    </row>
    <row r="7616" spans="1:5">
      <c r="A7616" t="s">
        <v>6</v>
      </c>
      <c r="B7616" t="s">
        <v>7621</v>
      </c>
      <c r="C7616">
        <f>HYPERLINK("C:\Users\franc\OneDrive\Documentos\MALENTIN KARIME\FACTORONE\2014\CRISTIAN CORDOVA.doc", "Abrir Documento")</f>
        <v>0</v>
      </c>
      <c r="D7616" t="s">
        <v>23500</v>
      </c>
      <c r="E7616" t="s">
        <v>30092</v>
      </c>
    </row>
    <row r="7617" spans="1:5">
      <c r="A7617" t="s">
        <v>6</v>
      </c>
      <c r="B7617" t="s">
        <v>7622</v>
      </c>
      <c r="C7617">
        <f>HYPERLINK("C:\Users\franc\OneDrive\Documentos\MALENTIN KARIME\FACTORONE\2014\CAROLINA MONTECINOS GUZMAN.doc", "Abrir Documento")</f>
        <v>0</v>
      </c>
      <c r="D7617" t="s">
        <v>23500</v>
      </c>
      <c r="E7617" t="s">
        <v>30093</v>
      </c>
    </row>
    <row r="7618" spans="1:5">
      <c r="A7618" t="s">
        <v>6</v>
      </c>
      <c r="B7618" t="s">
        <v>7623</v>
      </c>
      <c r="C7618">
        <f>HYPERLINK("C:\Users\franc\OneDrive\Documentos\MALENTIN KARIME\FACTORONE\YERKO TABILO ROBLES.doc", "Abrir Documento")</f>
        <v>0</v>
      </c>
      <c r="D7618" t="s">
        <v>23500</v>
      </c>
      <c r="E7618" t="s">
        <v>30094</v>
      </c>
    </row>
    <row r="7619" spans="1:5">
      <c r="A7619" t="s">
        <v>6</v>
      </c>
      <c r="B7619" t="s">
        <v>7624</v>
      </c>
      <c r="C7619">
        <f>HYPERLINK("C:\Users\franc\OneDrive\Documentos\MALENTIN KARIME\FACTORONE\VITAL GONZALEZ.doc", "Abrir Documento")</f>
        <v>0</v>
      </c>
      <c r="D7619" t="s">
        <v>23500</v>
      </c>
      <c r="E7619" t="s">
        <v>30095</v>
      </c>
    </row>
    <row r="7620" spans="1:5">
      <c r="A7620" t="s">
        <v>6</v>
      </c>
      <c r="B7620" t="s">
        <v>7625</v>
      </c>
      <c r="C7620">
        <f>HYPERLINK("C:\Users\franc\OneDrive\Documentos\MALENTIN KARIME\FACTORONE\VIDAL VERGARA LIMITADA.doc", "Abrir Documento")</f>
        <v>0</v>
      </c>
      <c r="D7620" t="s">
        <v>23500</v>
      </c>
      <c r="E7620" t="s">
        <v>30096</v>
      </c>
    </row>
    <row r="7621" spans="1:5">
      <c r="A7621" t="s">
        <v>6</v>
      </c>
      <c r="B7621" t="s">
        <v>7626</v>
      </c>
      <c r="C7621">
        <f>HYPERLINK("C:\Users\franc\OneDrive\Documentos\MALENTIN KARIME\FACTORONE\STEVE LEDEZMA.doc", "Abrir Documento")</f>
        <v>0</v>
      </c>
      <c r="D7621" t="s">
        <v>23500</v>
      </c>
      <c r="E7621" t="s">
        <v>30097</v>
      </c>
    </row>
    <row r="7622" spans="1:5">
      <c r="A7622" t="s">
        <v>6</v>
      </c>
      <c r="B7622" t="s">
        <v>7627</v>
      </c>
      <c r="C7622">
        <f>HYPERLINK("C:\Users\franc\OneDrive\Documentos\MALENTIN KARIME\FACTORONE\SOBRE.doc", "Abrir Documento")</f>
        <v>0</v>
      </c>
      <c r="D7622" t="s">
        <v>23500</v>
      </c>
      <c r="E7622" t="s">
        <v>30098</v>
      </c>
    </row>
    <row r="7623" spans="1:5">
      <c r="A7623" t="s">
        <v>6</v>
      </c>
      <c r="B7623" t="s">
        <v>7628</v>
      </c>
      <c r="C7623">
        <f>HYPERLINK("C:\Users\franc\OneDrive\Documentos\MALENTIN KARIME\FACTORONE\SOBRE medio.doc", "Abrir Documento")</f>
        <v>0</v>
      </c>
      <c r="D7623" t="s">
        <v>23500</v>
      </c>
      <c r="E7623" t="s">
        <v>30099</v>
      </c>
    </row>
    <row r="7624" spans="1:5">
      <c r="A7624" t="s">
        <v>6</v>
      </c>
      <c r="B7624" t="s">
        <v>7629</v>
      </c>
      <c r="C7624">
        <f>HYPERLINK("C:\Users\franc\OneDrive\Documentos\MALENTIN KARIME\FACTORONE\SERGIO ANDRADE ARAYA Abril.doc", "Abrir Documento")</f>
        <v>0</v>
      </c>
      <c r="D7624" t="s">
        <v>23500</v>
      </c>
      <c r="E7624" t="s">
        <v>30100</v>
      </c>
    </row>
    <row r="7625" spans="1:5">
      <c r="A7625" t="s">
        <v>6</v>
      </c>
      <c r="B7625" t="s">
        <v>7630</v>
      </c>
      <c r="C7625">
        <f>HYPERLINK("C:\Users\franc\OneDrive\Documentos\MALENTIN KARIME\FACTORONE\RODRIGO CORTES OLIVARES.doc", "Abrir Documento")</f>
        <v>0</v>
      </c>
      <c r="D7625" t="s">
        <v>23500</v>
      </c>
      <c r="E7625" t="s">
        <v>30101</v>
      </c>
    </row>
    <row r="7626" spans="1:5">
      <c r="A7626" t="s">
        <v>6</v>
      </c>
      <c r="B7626" t="s">
        <v>7631</v>
      </c>
      <c r="C7626">
        <f>HYPERLINK("C:\Users\franc\OneDrive\Documentos\MALENTIN KARIME\FACTORONE\RICARDO ROJAS ARAYA Hipoteca.doc", "Abrir Documento")</f>
        <v>0</v>
      </c>
      <c r="D7626" t="s">
        <v>23500</v>
      </c>
      <c r="E7626" t="s">
        <v>30102</v>
      </c>
    </row>
    <row r="7627" spans="1:5">
      <c r="A7627" t="s">
        <v>6</v>
      </c>
      <c r="B7627" t="s">
        <v>7632</v>
      </c>
      <c r="C7627">
        <f>HYPERLINK("C:\Users\franc\OneDrive\Documentos\MALENTIN KARIME\FACTORONE\RAUL VIVANCO TOLEDO.doc", "Abrir Documento")</f>
        <v>0</v>
      </c>
      <c r="D7627" t="s">
        <v>23500</v>
      </c>
      <c r="E7627" t="s">
        <v>30103</v>
      </c>
    </row>
    <row r="7628" spans="1:5">
      <c r="A7628" t="s">
        <v>6</v>
      </c>
      <c r="B7628" t="s">
        <v>7633</v>
      </c>
      <c r="C7628">
        <f>HYPERLINK("C:\Users\franc\OneDrive\Documentos\MALENTIN KARIME\FACTORONE\RAUL VIVANCO Marzo 2013.doc", "Abrir Documento")</f>
        <v>0</v>
      </c>
      <c r="D7628" t="s">
        <v>23500</v>
      </c>
      <c r="E7628" t="s">
        <v>30104</v>
      </c>
    </row>
    <row r="7629" spans="1:5">
      <c r="A7629" t="s">
        <v>6</v>
      </c>
      <c r="B7629" t="s">
        <v>7634</v>
      </c>
      <c r="C7629">
        <f>HYPERLINK("C:\Users\franc\OneDrive\Documentos\MALENTIN KARIME\FACTORONE\notificacion.doc", "Abrir Documento")</f>
        <v>0</v>
      </c>
      <c r="D7629" t="s">
        <v>23500</v>
      </c>
      <c r="E7629" t="s">
        <v>30105</v>
      </c>
    </row>
    <row r="7630" spans="1:5">
      <c r="A7630" t="s">
        <v>6</v>
      </c>
      <c r="B7630" t="s">
        <v>7635</v>
      </c>
      <c r="C7630">
        <f>HYPERLINK("C:\Users\franc\OneDrive\Documentos\MALENTIN KARIME\FACTORONE\MARIA PAZ MEDINA HARRIS.doc", "Abrir Documento")</f>
        <v>0</v>
      </c>
      <c r="D7630" t="s">
        <v>23500</v>
      </c>
      <c r="E7630" t="s">
        <v>30106</v>
      </c>
    </row>
    <row r="7631" spans="1:5">
      <c r="A7631" t="s">
        <v>6</v>
      </c>
      <c r="B7631" t="s">
        <v>7636</v>
      </c>
      <c r="C7631">
        <f>HYPERLINK("C:\Users\franc\OneDrive\Documentos\MALENTIN KARIME\FACTORONE\LUIS CARVAJAL CORTES Factoring.doc", "Abrir Documento")</f>
        <v>0</v>
      </c>
      <c r="D7631" t="s">
        <v>23500</v>
      </c>
      <c r="E7631" t="s">
        <v>30107</v>
      </c>
    </row>
    <row r="7632" spans="1:5">
      <c r="A7632" t="s">
        <v>6</v>
      </c>
      <c r="B7632" t="s">
        <v>7637</v>
      </c>
      <c r="C7632">
        <f>HYPERLINK("C:\Users\franc\OneDrive\Documentos\MALENTIN KARIME\FACTORONE\JULIO BARRERA OLIVARES.doc", "Abrir Documento")</f>
        <v>0</v>
      </c>
      <c r="D7632" t="s">
        <v>23500</v>
      </c>
      <c r="E7632" t="s">
        <v>30108</v>
      </c>
    </row>
    <row r="7633" spans="1:5">
      <c r="A7633" t="s">
        <v>6</v>
      </c>
      <c r="B7633" t="s">
        <v>7638</v>
      </c>
      <c r="C7633">
        <f>HYPERLINK("C:\Users\franc\OneDrive\Documentos\MALENTIN KARIME\FACTORONE\JULIO BARRERA OLIVARES MODELO Fact.doc", "Abrir Documento")</f>
        <v>0</v>
      </c>
      <c r="D7633" t="s">
        <v>23500</v>
      </c>
      <c r="E7633" t="s">
        <v>30109</v>
      </c>
    </row>
    <row r="7634" spans="1:5">
      <c r="A7634" t="s">
        <v>6</v>
      </c>
      <c r="B7634" t="s">
        <v>7639</v>
      </c>
      <c r="C7634">
        <f>HYPERLINK("C:\Users\franc\OneDrive\Documentos\MALENTIN KARIME\FACTORONE\JUAN CARLOS ALUCEMA GODOY.doc", "Abrir Documento")</f>
        <v>0</v>
      </c>
      <c r="D7634" t="s">
        <v>23500</v>
      </c>
      <c r="E7634" t="s">
        <v>30110</v>
      </c>
    </row>
    <row r="7635" spans="1:5">
      <c r="A7635" t="s">
        <v>6</v>
      </c>
      <c r="B7635" t="s">
        <v>7640</v>
      </c>
      <c r="C7635">
        <f>HYPERLINK("C:\Users\franc\OneDrive\Documentos\MALENTIN KARIME\FACTORONE\JUAN ANDRADE TELLO Y Factorone.doc", "Abrir Documento")</f>
        <v>0</v>
      </c>
      <c r="D7635" t="s">
        <v>23500</v>
      </c>
      <c r="E7635" t="s">
        <v>30111</v>
      </c>
    </row>
    <row r="7636" spans="1:5">
      <c r="A7636" t="s">
        <v>6</v>
      </c>
      <c r="B7636" t="s">
        <v>7641</v>
      </c>
      <c r="C7636">
        <f>HYPERLINK("C:\Users\franc\OneDrive\Documentos\MALENTIN KARIME\FACTORONE\JORGE CARVAJAL CORTES.doc", "Abrir Documento")</f>
        <v>0</v>
      </c>
      <c r="D7636" t="s">
        <v>23500</v>
      </c>
      <c r="E7636" t="s">
        <v>30112</v>
      </c>
    </row>
    <row r="7637" spans="1:5">
      <c r="A7637" t="s">
        <v>6</v>
      </c>
      <c r="B7637" t="s">
        <v>7642</v>
      </c>
      <c r="C7637">
        <f>HYPERLINK("C:\Users\franc\OneDrive\Documentos\MALENTIN KARIME\FACTORONE\JAVIER TABILO RIVERA.doc", "Abrir Documento")</f>
        <v>0</v>
      </c>
      <c r="D7637" t="s">
        <v>23500</v>
      </c>
      <c r="E7637" t="s">
        <v>30113</v>
      </c>
    </row>
    <row r="7638" spans="1:5">
      <c r="A7638" t="s">
        <v>6</v>
      </c>
      <c r="B7638" t="s">
        <v>7643</v>
      </c>
      <c r="C7638">
        <f>HYPERLINK("C:\Users\franc\OneDrive\Documentos\MALENTIN KARIME\FACTORONE\GASTON ALFARO ALFARO 2013.doc", "Abrir Documento")</f>
        <v>0</v>
      </c>
      <c r="D7638" t="s">
        <v>23500</v>
      </c>
      <c r="E7638" t="s">
        <v>30114</v>
      </c>
    </row>
    <row r="7639" spans="1:5">
      <c r="A7639" t="s">
        <v>6</v>
      </c>
      <c r="B7639" t="s">
        <v>7644</v>
      </c>
      <c r="C7639">
        <f>HYPERLINK("C:\Users\franc\OneDrive\Documentos\MALENTIN KARIME\FACTORONE\FRANCISCO CORTES PIZARRO.doc", "Abrir Documento")</f>
        <v>0</v>
      </c>
      <c r="D7639" t="s">
        <v>23500</v>
      </c>
      <c r="E7639" t="s">
        <v>30115</v>
      </c>
    </row>
    <row r="7640" spans="1:5">
      <c r="A7640" t="s">
        <v>6</v>
      </c>
      <c r="B7640" t="s">
        <v>7645</v>
      </c>
      <c r="C7640">
        <f>HYPERLINK("C:\Users\franc\OneDrive\Documentos\MALENTIN KARIME\FACTORONE\Ctt. Benjamin Cortés Cortés.doc", "Abrir Documento")</f>
        <v>0</v>
      </c>
      <c r="D7640" t="s">
        <v>23500</v>
      </c>
      <c r="E7640" t="s">
        <v>30116</v>
      </c>
    </row>
    <row r="7641" spans="1:5">
      <c r="A7641" t="s">
        <v>6</v>
      </c>
      <c r="B7641" t="s">
        <v>7646</v>
      </c>
      <c r="C7641">
        <f>HYPERLINK("C:\Users\franc\OneDrive\Documentos\MALENTIN KARIME\FACTORONE\Ctt. Benjamin Cortés Cortés-1.doc", "Abrir Documento")</f>
        <v>0</v>
      </c>
      <c r="D7641" t="s">
        <v>23500</v>
      </c>
      <c r="E7641" t="s">
        <v>30117</v>
      </c>
    </row>
    <row r="7642" spans="1:5">
      <c r="A7642" t="s">
        <v>6</v>
      </c>
      <c r="B7642" t="s">
        <v>7647</v>
      </c>
      <c r="C7642">
        <f>HYPERLINK("C:\Users\franc\OneDrive\Documentos\MALENTIN KARIME\FACTORONE\CONSTRUCTORA M &amp; Y.doc", "Abrir Documento")</f>
        <v>0</v>
      </c>
      <c r="D7642" t="s">
        <v>23500</v>
      </c>
      <c r="E7642" t="s">
        <v>30118</v>
      </c>
    </row>
    <row r="7643" spans="1:5">
      <c r="A7643" t="s">
        <v>6</v>
      </c>
      <c r="B7643" t="s">
        <v>7648</v>
      </c>
      <c r="C7643">
        <f>HYPERLINK("C:\Users\franc\OneDrive\Documentos\MALENTIN KARIME\FACTORONE\COMERCIAL PRAD.doc", "Abrir Documento")</f>
        <v>0</v>
      </c>
      <c r="D7643" t="s">
        <v>23500</v>
      </c>
      <c r="E7643" t="s">
        <v>30119</v>
      </c>
    </row>
    <row r="7644" spans="1:5">
      <c r="A7644" t="s">
        <v>6</v>
      </c>
      <c r="B7644" t="s">
        <v>7649</v>
      </c>
      <c r="C7644">
        <f>HYPERLINK("C:\Users\franc\OneDrive\Documentos\MALENTIN KARIME\FACTORONE\COMERCIAL PRAD II.doc", "Abrir Documento")</f>
        <v>0</v>
      </c>
      <c r="D7644" t="s">
        <v>23500</v>
      </c>
      <c r="E7644" t="s">
        <v>30120</v>
      </c>
    </row>
    <row r="7645" spans="1:5">
      <c r="A7645" t="s">
        <v>6</v>
      </c>
      <c r="B7645" t="s">
        <v>7650</v>
      </c>
      <c r="C7645">
        <f>HYPERLINK("C:\Users\franc\OneDrive\Documentos\MALENTIN KARIME\FACTORONE\CESAR DIAZ CORTES E.I.R.L.doc", "Abrir Documento")</f>
        <v>0</v>
      </c>
      <c r="D7645" t="s">
        <v>23500</v>
      </c>
      <c r="E7645" t="s">
        <v>30121</v>
      </c>
    </row>
    <row r="7646" spans="1:5">
      <c r="A7646" t="s">
        <v>6</v>
      </c>
      <c r="B7646" t="s">
        <v>7651</v>
      </c>
      <c r="C7646">
        <f>HYPERLINK("C:\Users\franc\OneDrive\Documentos\MALENTIN KARIME\FACTORONE\CERTIFICO.doc", "Abrir Documento")</f>
        <v>0</v>
      </c>
      <c r="D7646" t="s">
        <v>23500</v>
      </c>
      <c r="E7646" t="s">
        <v>30122</v>
      </c>
    </row>
    <row r="7647" spans="1:5">
      <c r="A7647" t="s">
        <v>6</v>
      </c>
      <c r="B7647" t="s">
        <v>7652</v>
      </c>
      <c r="C7647">
        <f>HYPERLINK("C:\Users\franc\OneDrive\Documentos\MALENTIN KARIME\FACTORONE\Autorizo la firma.doc", "Abrir Documento")</f>
        <v>0</v>
      </c>
      <c r="D7647" t="s">
        <v>23500</v>
      </c>
      <c r="E7647" t="s">
        <v>30123</v>
      </c>
    </row>
    <row r="7648" spans="1:5">
      <c r="A7648" t="s">
        <v>6</v>
      </c>
      <c r="B7648" t="s">
        <v>7653</v>
      </c>
      <c r="C7648">
        <f>HYPERLINK("C:\Users\franc\OneDrive\Documentos\MALENTIN KARIME\FACTORONE\Autorizo la firma personeria.doc", "Abrir Documento")</f>
        <v>0</v>
      </c>
      <c r="D7648" t="s">
        <v>23500</v>
      </c>
      <c r="E7648" t="s">
        <v>30124</v>
      </c>
    </row>
    <row r="7649" spans="1:5">
      <c r="A7649" t="s">
        <v>6</v>
      </c>
      <c r="B7649" t="s">
        <v>7654</v>
      </c>
      <c r="C7649">
        <f>HYPERLINK("C:\Users\franc\OneDrive\Documentos\MALENTIN KARIME\FACTORONE\ANA MALUENDA LEDEZMA.doc", "Abrir Documento")</f>
        <v>0</v>
      </c>
      <c r="D7649" t="s">
        <v>23500</v>
      </c>
      <c r="E7649" t="s">
        <v>30125</v>
      </c>
    </row>
    <row r="7650" spans="1:5">
      <c r="A7650" t="s">
        <v>6</v>
      </c>
      <c r="B7650" t="s">
        <v>7655</v>
      </c>
      <c r="C7650">
        <f>HYPERLINK("C:\Users\franc\OneDrive\Documentos\MALENTIN KARIME\FACTORONE\ANA AGUILERA SALAZAR Julio 2013.doc", "Abrir Documento")</f>
        <v>0</v>
      </c>
      <c r="D7650" t="s">
        <v>23500</v>
      </c>
      <c r="E7650" t="s">
        <v>30126</v>
      </c>
    </row>
    <row r="7651" spans="1:5">
      <c r="A7651" t="s">
        <v>6</v>
      </c>
      <c r="B7651" t="s">
        <v>7656</v>
      </c>
      <c r="C7651">
        <f>HYPERLINK("C:\Users\franc\OneDrive\Documentos\MALENTIN KARIME\FACTORONE\ALEX BRICEÑO LORCA Septbre 13.doc", "Abrir Documento")</f>
        <v>0</v>
      </c>
      <c r="D7651" t="s">
        <v>23500</v>
      </c>
      <c r="E7651" t="s">
        <v>30127</v>
      </c>
    </row>
    <row r="7652" spans="1:5">
      <c r="A7652" t="s">
        <v>6</v>
      </c>
      <c r="B7652" t="s">
        <v>7657</v>
      </c>
      <c r="C7652">
        <f>HYPERLINK("C:\Users\franc\OneDrive\Documentos\MALENTIN KARIME\FACTORONE\ALEX BRICEÑO LORCA Octubre 13.doc", "Abrir Documento")</f>
        <v>0</v>
      </c>
      <c r="D7652" t="s">
        <v>23500</v>
      </c>
      <c r="E7652" t="s">
        <v>30128</v>
      </c>
    </row>
    <row r="7653" spans="1:5">
      <c r="A7653" t="s">
        <v>6</v>
      </c>
      <c r="B7653" t="s">
        <v>7658</v>
      </c>
      <c r="C7653">
        <f>HYPERLINK("C:\Users\franc\OneDrive\Documentos\MALENTIN KARIME\FACTORONE\ALEJANDRO PINILLA Alz Prenda.doc", "Abrir Documento")</f>
        <v>0</v>
      </c>
      <c r="D7653" t="s">
        <v>23500</v>
      </c>
      <c r="E7653" t="s">
        <v>30129</v>
      </c>
    </row>
    <row r="7654" spans="1:5">
      <c r="A7654" t="s">
        <v>6</v>
      </c>
      <c r="B7654" t="s">
        <v>7659</v>
      </c>
      <c r="C7654">
        <f>HYPERLINK("C:\Users\franc\OneDrive\Documentos\MALENTIN KARIME\FACTORONE\ALEJANDRO ALVAREZ BARAHONA.doc", "Abrir Documento")</f>
        <v>0</v>
      </c>
      <c r="D7654" t="s">
        <v>23500</v>
      </c>
      <c r="E7654" t="s">
        <v>30130</v>
      </c>
    </row>
    <row r="7655" spans="1:5">
      <c r="A7655" t="s">
        <v>6</v>
      </c>
      <c r="B7655" t="s">
        <v>7660</v>
      </c>
      <c r="C7655">
        <f>HYPERLINK("C:\Users\franc\OneDrive\Documentos\MALENTIN KARIME\EUGENIO SAN ROMAN\COMUNIDAD AGRICOLA SALALA A EUGENIO SAN ROMAN COURBIS.doc", "Abrir Documento")</f>
        <v>0</v>
      </c>
      <c r="D7655" t="s">
        <v>23500</v>
      </c>
      <c r="E7655" t="s">
        <v>30131</v>
      </c>
    </row>
    <row r="7656" spans="1:5">
      <c r="A7656" t="s">
        <v>6</v>
      </c>
      <c r="B7656" t="s">
        <v>7661</v>
      </c>
      <c r="C7656">
        <f>HYPERLINK("C:\Users\franc\OneDrive\Documentos\MALENTIN KARIME\EUGENIO RIVAS GALLEGUILLOS\MALVA GAHONA Y Rosa Puelles y otros minuta.doc", "Abrir Documento")</f>
        <v>0</v>
      </c>
      <c r="D7656" t="s">
        <v>23500</v>
      </c>
      <c r="E7656" t="s">
        <v>30132</v>
      </c>
    </row>
    <row r="7657" spans="1:5">
      <c r="A7657" t="s">
        <v>6</v>
      </c>
      <c r="B7657" t="s">
        <v>7662</v>
      </c>
      <c r="C7657">
        <f>HYPERLINK("C:\Users\franc\OneDrive\Documentos\MALENTIN KARIME\ESTUDIO S y R\2016\LUISA ARAYA Y luis gahona.doc", "Abrir Documento")</f>
        <v>0</v>
      </c>
      <c r="D7657" t="s">
        <v>23500</v>
      </c>
      <c r="E7657" t="s">
        <v>30133</v>
      </c>
    </row>
    <row r="7658" spans="1:5">
      <c r="A7658" t="s">
        <v>6</v>
      </c>
      <c r="B7658" t="s">
        <v>7663</v>
      </c>
      <c r="C7658">
        <f>HYPERLINK("C:\Users\franc\OneDrive\Documentos\MALENTIN KARIME\ESTUDIO S y R\2015\LEONEL PERALTA Y ADA OLIVARESSeparación y Liquidación II.doc", "Abrir Documento")</f>
        <v>0</v>
      </c>
      <c r="D7658" t="s">
        <v>23500</v>
      </c>
      <c r="E7658" t="s">
        <v>30134</v>
      </c>
    </row>
    <row r="7659" spans="1:5">
      <c r="A7659" t="s">
        <v>6</v>
      </c>
      <c r="B7659" t="s">
        <v>7664</v>
      </c>
      <c r="C7659">
        <f>HYPERLINK("C:\Users\franc\OneDrive\Documentos\MALENTIN KARIME\ESTUDIO S y R\2015\CRISTIAN BRAVO Cuidado personal.doc", "Abrir Documento")</f>
        <v>0</v>
      </c>
      <c r="D7659" t="s">
        <v>23500</v>
      </c>
      <c r="E7659" t="s">
        <v>30135</v>
      </c>
    </row>
    <row r="7660" spans="1:5">
      <c r="A7660" t="s">
        <v>6</v>
      </c>
      <c r="B7660" t="s">
        <v>7665</v>
      </c>
      <c r="C7660">
        <f>HYPERLINK("C:\Users\franc\OneDrive\Documentos\MALENTIN KARIME\ESTUDIO S y R\WALDO GUERRERO A MARINA AGUILERA.doc", "Abrir Documento")</f>
        <v>0</v>
      </c>
      <c r="D7660" t="s">
        <v>23500</v>
      </c>
      <c r="E7660" t="s">
        <v>30136</v>
      </c>
    </row>
    <row r="7661" spans="1:5">
      <c r="A7661" t="s">
        <v>6</v>
      </c>
      <c r="B7661" t="s">
        <v>7666</v>
      </c>
      <c r="C7661">
        <f>HYPERLINK("C:\Users\franc\OneDrive\Documentos\MALENTIN KARIME\ESTUDIO S y R\SOCIEDAD AGRICOLA SANTA TERESA Ltda..doc", "Abrir Documento")</f>
        <v>0</v>
      </c>
      <c r="D7661" t="s">
        <v>23500</v>
      </c>
      <c r="E7661" t="s">
        <v>30137</v>
      </c>
    </row>
    <row r="7662" spans="1:5">
      <c r="A7662" t="s">
        <v>6</v>
      </c>
      <c r="B7662" t="s">
        <v>7667</v>
      </c>
      <c r="C7662">
        <f>HYPERLINK("C:\Users\franc\OneDrive\Documentos\MALENTIN KARIME\ESTUDIO S y R\REYNALDO RETAMAL A SANDRA YAÑEZ.doc", "Abrir Documento")</f>
        <v>0</v>
      </c>
      <c r="D7662" t="s">
        <v>23500</v>
      </c>
      <c r="E7662" t="s">
        <v>30138</v>
      </c>
    </row>
    <row r="7663" spans="1:5">
      <c r="A7663" t="s">
        <v>6</v>
      </c>
      <c r="B7663" t="s">
        <v>7668</v>
      </c>
      <c r="C7663">
        <f>HYPERLINK("C:\Users\franc\OneDrive\Documentos\MALENTIN KARIME\ESTUDIO S y R\RENE ESPINOZA RAMIREZ A Gabriel R Minuta.doc", "Abrir Documento")</f>
        <v>0</v>
      </c>
      <c r="D7663" t="s">
        <v>23500</v>
      </c>
      <c r="E7663" t="s">
        <v>30139</v>
      </c>
    </row>
    <row r="7664" spans="1:5">
      <c r="A7664" t="s">
        <v>6</v>
      </c>
      <c r="B7664" t="s">
        <v>7669</v>
      </c>
      <c r="C7664">
        <f>HYPERLINK("C:\Users\franc\OneDrive\Documentos\MALENTIN KARIME\ESTUDIO S y R\MARY RIVERA A SOCIEDAD CORDERO.doc", "Abrir Documento")</f>
        <v>0</v>
      </c>
      <c r="D7664" t="s">
        <v>23500</v>
      </c>
      <c r="E7664" t="s">
        <v>30140</v>
      </c>
    </row>
    <row r="7665" spans="1:5">
      <c r="A7665" t="s">
        <v>6</v>
      </c>
      <c r="B7665" t="s">
        <v>7670</v>
      </c>
      <c r="C7665">
        <f>HYPERLINK("C:\Users\franc\OneDrive\Documentos\MALENTIN KARIME\ESTUDIO S y R\MARIA PIZARRO A JUAN PIZARRO.doc", "Abrir Documento")</f>
        <v>0</v>
      </c>
      <c r="D7665" t="s">
        <v>23500</v>
      </c>
      <c r="E7665" t="s">
        <v>30141</v>
      </c>
    </row>
    <row r="7666" spans="1:5">
      <c r="A7666" t="s">
        <v>6</v>
      </c>
      <c r="B7666" t="s">
        <v>7671</v>
      </c>
      <c r="C7666">
        <f>HYPERLINK("C:\Users\franc\OneDrive\Documentos\MALENTIN KARIME\ESTUDIO S y R\MARIA PIZARRO A JUAN PIZARRO Escritura.doc", "Abrir Documento")</f>
        <v>0</v>
      </c>
      <c r="D7666" t="s">
        <v>23500</v>
      </c>
      <c r="E7666" t="s">
        <v>30142</v>
      </c>
    </row>
    <row r="7667" spans="1:5">
      <c r="A7667" t="s">
        <v>6</v>
      </c>
      <c r="B7667" t="s">
        <v>7672</v>
      </c>
      <c r="C7667">
        <f>HYPERLINK("C:\Users\franc\OneDrive\Documentos\MALENTIN KARIME\ESTUDIO S y R\LUIS CLODOMIRO ARAYA ROJAS.doc", "Abrir Documento")</f>
        <v>0</v>
      </c>
      <c r="D7667" t="s">
        <v>23500</v>
      </c>
      <c r="E7667" t="s">
        <v>30143</v>
      </c>
    </row>
    <row r="7668" spans="1:5">
      <c r="A7668" t="s">
        <v>6</v>
      </c>
      <c r="B7668" t="s">
        <v>7673</v>
      </c>
      <c r="C7668">
        <f>HYPERLINK("C:\Users\franc\OneDrive\Documentos\MALENTIN KARIME\ESTUDIO S y R\LUCINDA ARAYA TELLO A INGRID CORTES.doc", "Abrir Documento")</f>
        <v>0</v>
      </c>
      <c r="D7668" t="s">
        <v>23500</v>
      </c>
      <c r="E7668" t="s">
        <v>30144</v>
      </c>
    </row>
    <row r="7669" spans="1:5">
      <c r="A7669" t="s">
        <v>6</v>
      </c>
      <c r="B7669" t="s">
        <v>7674</v>
      </c>
      <c r="C7669">
        <f>HYPERLINK("C:\Users\franc\OneDrive\Documentos\MALENTIN KARIME\ESTUDIO S y R\LEONEL PERALTA Y ADA OLIVARESSeparación y Liquidación II.doc", "Abrir Documento")</f>
        <v>0</v>
      </c>
      <c r="D7669" t="s">
        <v>23500</v>
      </c>
      <c r="E7669" t="s">
        <v>30145</v>
      </c>
    </row>
    <row r="7670" spans="1:5">
      <c r="A7670" t="s">
        <v>6</v>
      </c>
      <c r="B7670" t="s">
        <v>7675</v>
      </c>
      <c r="C7670">
        <f>HYPERLINK("C:\Users\franc\OneDrive\Documentos\MALENTIN KARIME\ESTUDIO S y R\JUAN BRAVO CALDERON Cuidado P.doc", "Abrir Documento")</f>
        <v>0</v>
      </c>
      <c r="D7670" t="s">
        <v>23500</v>
      </c>
      <c r="E7670" t="s">
        <v>30146</v>
      </c>
    </row>
    <row r="7671" spans="1:5">
      <c r="A7671" t="s">
        <v>6</v>
      </c>
      <c r="B7671" t="s">
        <v>7676</v>
      </c>
      <c r="C7671">
        <f>HYPERLINK("C:\Users\franc\OneDrive\Documentos\MALENTIN KARIME\ESTUDIO S y R\HORACIO LISERA RODRIGUEZ A ANA BAUDILLIA CASTILLO Adjudicacion.doc", "Abrir Documento")</f>
        <v>0</v>
      </c>
      <c r="D7671" t="s">
        <v>23500</v>
      </c>
      <c r="E7671" t="s">
        <v>30147</v>
      </c>
    </row>
    <row r="7672" spans="1:5">
      <c r="A7672" t="s">
        <v>6</v>
      </c>
      <c r="B7672" t="s">
        <v>7677</v>
      </c>
      <c r="C7672">
        <f>HYPERLINK("C:\Users\franc\OneDrive\Documentos\MALENTIN KARIME\ESTUDIO S y R\GOURMET TORO Y CARMONA LIMITADA.doc", "Abrir Documento")</f>
        <v>0</v>
      </c>
      <c r="D7672" t="s">
        <v>23500</v>
      </c>
      <c r="E7672" t="s">
        <v>30148</v>
      </c>
    </row>
    <row r="7673" spans="1:5">
      <c r="A7673" t="s">
        <v>6</v>
      </c>
      <c r="B7673" t="s">
        <v>7678</v>
      </c>
      <c r="C7673">
        <f>HYPERLINK("C:\Users\franc\OneDrive\Documentos\MALENTIN KARIME\ESTUDIO S y R\GABRIEL RODRIGUEZ Inventario Otto.doc", "Abrir Documento")</f>
        <v>0</v>
      </c>
      <c r="D7673" t="s">
        <v>23500</v>
      </c>
      <c r="E7673" t="s">
        <v>30149</v>
      </c>
    </row>
    <row r="7674" spans="1:5">
      <c r="A7674" t="s">
        <v>6</v>
      </c>
      <c r="B7674" t="s">
        <v>7679</v>
      </c>
      <c r="C7674">
        <f>HYPERLINK("C:\Users\franc\OneDrive\Documentos\MALENTIN KARIME\ESTUDIO S y R\GABRIEL RODRIGUEZ Inventario Nolasco.doc", "Abrir Documento")</f>
        <v>0</v>
      </c>
      <c r="D7674" t="s">
        <v>23500</v>
      </c>
      <c r="E7674" t="s">
        <v>30150</v>
      </c>
    </row>
    <row r="7675" spans="1:5">
      <c r="A7675" t="s">
        <v>6</v>
      </c>
      <c r="B7675" t="s">
        <v>7680</v>
      </c>
      <c r="C7675">
        <f>HYPERLINK("C:\Users\franc\OneDrive\Documentos\MALENTIN KARIME\ESTUDIO S y R\GABRIEL RODRIGUEZ Inventario Cirilo.doc", "Abrir Documento")</f>
        <v>0</v>
      </c>
      <c r="D7675" t="s">
        <v>23500</v>
      </c>
      <c r="E7675" t="s">
        <v>30151</v>
      </c>
    </row>
    <row r="7676" spans="1:5">
      <c r="A7676" t="s">
        <v>6</v>
      </c>
      <c r="B7676" t="s">
        <v>7681</v>
      </c>
      <c r="C7676">
        <f>HYPERLINK("C:\Users\franc\OneDrive\Documentos\MALENTIN KARIME\ESTUDIO S y R\EXTRACTO TORO Y CARMONA LIMITADA.doc", "Abrir Documento")</f>
        <v>0</v>
      </c>
      <c r="D7676" t="s">
        <v>23500</v>
      </c>
      <c r="E7676" t="s">
        <v>30152</v>
      </c>
    </row>
    <row r="7677" spans="1:5">
      <c r="A7677" t="s">
        <v>6</v>
      </c>
      <c r="B7677" t="s">
        <v>7682</v>
      </c>
      <c r="C7677">
        <f>HYPERLINK("C:\Users\franc\OneDrive\Documentos\MALENTIN KARIME\ESTUDIO S y R\EXTRACTO SOCIEDAD CORDERO Y VEGA LTDA.doc", "Abrir Documento")</f>
        <v>0</v>
      </c>
      <c r="D7677" t="s">
        <v>23500</v>
      </c>
      <c r="E7677" t="s">
        <v>30153</v>
      </c>
    </row>
    <row r="7678" spans="1:5">
      <c r="A7678" t="s">
        <v>6</v>
      </c>
      <c r="B7678" t="s">
        <v>7683</v>
      </c>
      <c r="C7678">
        <f>HYPERLINK("C:\Users\franc\OneDrive\Documentos\MALENTIN KARIME\ESTUDIO S y R\EXTRACTO MUEBLES LAR EIRL.doc", "Abrir Documento")</f>
        <v>0</v>
      </c>
      <c r="D7678" t="s">
        <v>23500</v>
      </c>
      <c r="E7678" t="s">
        <v>30154</v>
      </c>
    </row>
    <row r="7679" spans="1:5">
      <c r="A7679" t="s">
        <v>6</v>
      </c>
      <c r="B7679" t="s">
        <v>7684</v>
      </c>
      <c r="C7679">
        <f>HYPERLINK("C:\Users\franc\OneDrive\Documentos\MALENTIN KARIME\ESTUDIO S y R\EXTRACTO Buenaventura Ltda..doc", "Abrir Documento")</f>
        <v>0</v>
      </c>
      <c r="D7679" t="s">
        <v>23500</v>
      </c>
      <c r="E7679" t="s">
        <v>30155</v>
      </c>
    </row>
    <row r="7680" spans="1:5">
      <c r="A7680" t="s">
        <v>6</v>
      </c>
      <c r="B7680" t="s">
        <v>7685</v>
      </c>
      <c r="C7680">
        <f>HYPERLINK("C:\Users\franc\OneDrive\Documentos\MALENTIN KARIME\ESTUDIO S y R\EVA PEREIRA VEGA A SANDRA PEREIRA TAPIA.doc", "Abrir Documento")</f>
        <v>0</v>
      </c>
      <c r="D7680" t="s">
        <v>23500</v>
      </c>
      <c r="E7680" t="s">
        <v>30156</v>
      </c>
    </row>
    <row r="7681" spans="1:5">
      <c r="A7681" t="s">
        <v>6</v>
      </c>
      <c r="B7681" t="s">
        <v>7686</v>
      </c>
      <c r="C7681">
        <f>HYPERLINK("C:\Users\franc\OneDrive\Documentos\MALENTIN KARIME\ESTUDIO S y R\ESCRITURA MUEBLES LAR EIRL.doc", "Abrir Documento")</f>
        <v>0</v>
      </c>
      <c r="D7681" t="s">
        <v>23500</v>
      </c>
      <c r="E7681" t="s">
        <v>30157</v>
      </c>
    </row>
    <row r="7682" spans="1:5">
      <c r="A7682" t="s">
        <v>6</v>
      </c>
      <c r="B7682" t="s">
        <v>7687</v>
      </c>
      <c r="C7682">
        <f>HYPERLINK("C:\Users\franc\OneDrive\Documentos\MALENTIN KARIME\ESTUDIO S y R\EL MALL DEL AUTOMOVIL.doc", "Abrir Documento")</f>
        <v>0</v>
      </c>
      <c r="D7682" t="s">
        <v>23500</v>
      </c>
      <c r="E7682" t="s">
        <v>30158</v>
      </c>
    </row>
    <row r="7683" spans="1:5">
      <c r="A7683" t="s">
        <v>6</v>
      </c>
      <c r="B7683" t="s">
        <v>7688</v>
      </c>
      <c r="C7683">
        <f>HYPERLINK("C:\Users\franc\OneDrive\Documentos\MALENTIN KARIME\ESTUDIO S y R\DORIS PEREZ, mandato judicial divorcio.doc", "Abrir Documento")</f>
        <v>0</v>
      </c>
      <c r="D7683" t="s">
        <v>23500</v>
      </c>
      <c r="E7683" t="s">
        <v>30159</v>
      </c>
    </row>
    <row r="7684" spans="1:5">
      <c r="A7684" t="s">
        <v>6</v>
      </c>
      <c r="B7684" t="s">
        <v>7689</v>
      </c>
      <c r="C7684">
        <f>HYPERLINK("C:\Users\franc\OneDrive\Documentos\MALENTIN KARIME\ESTUDIO S y R\Carolina Alvarado Rectificacion.doc", "Abrir Documento")</f>
        <v>0</v>
      </c>
      <c r="D7684" t="s">
        <v>23500</v>
      </c>
      <c r="E7684" t="s">
        <v>30160</v>
      </c>
    </row>
    <row r="7685" spans="1:5">
      <c r="A7685" t="s">
        <v>6</v>
      </c>
      <c r="B7685" t="s">
        <v>7690</v>
      </c>
      <c r="C7685">
        <f>HYPERLINK("C:\Users\franc\OneDrive\Documentos\MALENTIN KARIME\ESTUDIO S y R\Carolina Alvarado Alvarado cvta.doc", "Abrir Documento")</f>
        <v>0</v>
      </c>
      <c r="D7685" t="s">
        <v>23500</v>
      </c>
      <c r="E7685" t="s">
        <v>30161</v>
      </c>
    </row>
    <row r="7686" spans="1:5">
      <c r="A7686" t="s">
        <v>6</v>
      </c>
      <c r="B7686" t="s">
        <v>7691</v>
      </c>
      <c r="C7686">
        <f>HYPERLINK("C:\Users\franc\OneDrive\Documentos\MALENTIN KARIME\ESTUDIO S y R\ANA BAUDILIA CASTILLO Adjudicacion Abril.doc", "Abrir Documento")</f>
        <v>0</v>
      </c>
      <c r="D7686" t="s">
        <v>23500</v>
      </c>
      <c r="E7686" t="s">
        <v>30162</v>
      </c>
    </row>
    <row r="7687" spans="1:5">
      <c r="A7687" t="s">
        <v>6</v>
      </c>
      <c r="B7687" t="s">
        <v>7692</v>
      </c>
      <c r="C7687">
        <f>HYPERLINK("C:\Users\franc\OneDrive\Documentos\MALENTIN KARIME\E.I.R.L\2015\GARY ASTUDILLO C. Araya.doc", "Abrir Documento")</f>
        <v>0</v>
      </c>
      <c r="D7687" t="s">
        <v>23500</v>
      </c>
      <c r="E7687" t="s">
        <v>30163</v>
      </c>
    </row>
    <row r="7688" spans="1:5">
      <c r="A7688" t="s">
        <v>6</v>
      </c>
      <c r="B7688" t="s">
        <v>7693</v>
      </c>
      <c r="C7688">
        <f>HYPERLINK("C:\Users\franc\OneDrive\Documentos\MALENTIN KARIME\E.I.R.L\2015\GARY ASTUDILLO C. Araya NUEVA.doc", "Abrir Documento")</f>
        <v>0</v>
      </c>
      <c r="D7688" t="s">
        <v>23500</v>
      </c>
      <c r="E7688" t="s">
        <v>30164</v>
      </c>
    </row>
    <row r="7689" spans="1:5">
      <c r="A7689" t="s">
        <v>6</v>
      </c>
      <c r="B7689" t="s">
        <v>7694</v>
      </c>
      <c r="C7689">
        <f>HYPERLINK("C:\Users\franc\OneDrive\Documentos\MALENTIN KARIME\E.I.R.L\2015\EDUARDO FLORES ARAYA e.i.r.l..doc", "Abrir Documento")</f>
        <v>0</v>
      </c>
      <c r="D7689" t="s">
        <v>23500</v>
      </c>
      <c r="E7689" t="s">
        <v>30165</v>
      </c>
    </row>
    <row r="7690" spans="1:5">
      <c r="A7690" t="s">
        <v>6</v>
      </c>
      <c r="B7690" t="s">
        <v>7695</v>
      </c>
      <c r="C7690">
        <f>HYPERLINK("C:\Users\franc\OneDrive\Documentos\MALENTIN KARIME\E.I.R.L\PATRICIA ARAYA PIZARRO.doc", "Abrir Documento")</f>
        <v>0</v>
      </c>
      <c r="D7690" t="s">
        <v>23500</v>
      </c>
      <c r="E7690" t="s">
        <v>30166</v>
      </c>
    </row>
    <row r="7691" spans="1:5">
      <c r="A7691" t="s">
        <v>6</v>
      </c>
      <c r="B7691" t="s">
        <v>7696</v>
      </c>
      <c r="C7691">
        <f>HYPERLINK("C:\Users\franc\OneDrive\Documentos\MALENTIN KARIME\E.I.R.L\PATRICIA ARAYA Extracto.doc", "Abrir Documento")</f>
        <v>0</v>
      </c>
      <c r="D7691" t="s">
        <v>23500</v>
      </c>
      <c r="E7691" t="s">
        <v>30167</v>
      </c>
    </row>
    <row r="7692" spans="1:5">
      <c r="A7692" t="s">
        <v>6</v>
      </c>
      <c r="B7692" t="s">
        <v>7697</v>
      </c>
      <c r="C7692">
        <f>HYPERLINK("C:\Users\franc\OneDrive\Documentos\MALENTIN KARIME\E.I.R.L\MARISA ALVAREZ CHANDIA eirl.doc", "Abrir Documento")</f>
        <v>0</v>
      </c>
      <c r="D7692" t="s">
        <v>23500</v>
      </c>
      <c r="E7692" t="s">
        <v>30168</v>
      </c>
    </row>
    <row r="7693" spans="1:5">
      <c r="A7693" t="s">
        <v>6</v>
      </c>
      <c r="B7693" t="s">
        <v>7698</v>
      </c>
      <c r="C7693">
        <f>HYPERLINK("C:\Users\franc\OneDrive\Documentos\MALENTIN KARIME\E.I.R.L\LARRAIN HUNEEUS Extracto.doc", "Abrir Documento")</f>
        <v>0</v>
      </c>
      <c r="D7693" t="s">
        <v>23500</v>
      </c>
      <c r="E7693" t="s">
        <v>30169</v>
      </c>
    </row>
    <row r="7694" spans="1:5">
      <c r="A7694" t="s">
        <v>6</v>
      </c>
      <c r="B7694" t="s">
        <v>7699</v>
      </c>
      <c r="C7694">
        <f>HYPERLINK("C:\Users\franc\OneDrive\Documentos\MALENTIN KARIME\E.I.R.L\LARRAIN HUNEEUS E.I.R.L.doc", "Abrir Documento")</f>
        <v>0</v>
      </c>
      <c r="D7694" t="s">
        <v>23500</v>
      </c>
      <c r="E7694" t="s">
        <v>30170</v>
      </c>
    </row>
    <row r="7695" spans="1:5">
      <c r="A7695" t="s">
        <v>6</v>
      </c>
      <c r="B7695" t="s">
        <v>7700</v>
      </c>
      <c r="C7695">
        <f>HYPERLINK("C:\Users\franc\OneDrive\Documentos\MALENTIN KARIME\E.I.R.L\JAIME GARCIA GALLEGUILLOS Extracto.doc", "Abrir Documento")</f>
        <v>0</v>
      </c>
      <c r="D7695" t="s">
        <v>23500</v>
      </c>
      <c r="E7695" t="s">
        <v>30171</v>
      </c>
    </row>
    <row r="7696" spans="1:5">
      <c r="A7696" t="s">
        <v>6</v>
      </c>
      <c r="B7696" t="s">
        <v>7701</v>
      </c>
      <c r="C7696">
        <f>HYPERLINK("C:\Users\franc\OneDrive\Documentos\MALENTIN KARIME\E.I.R.L\JAIME GARCIA GALLEGUILLOS E.I.R.L.doc", "Abrir Documento")</f>
        <v>0</v>
      </c>
      <c r="D7696" t="s">
        <v>23500</v>
      </c>
      <c r="E7696" t="s">
        <v>30172</v>
      </c>
    </row>
    <row r="7697" spans="1:5">
      <c r="A7697" t="s">
        <v>6</v>
      </c>
      <c r="B7697" t="s">
        <v>7702</v>
      </c>
      <c r="C7697">
        <f>HYPERLINK("C:\Users\franc\OneDrive\Documentos\MALENTIN KARIME\E.I.R.L\GLORIA CASTRO LAZCANO.doc", "Abrir Documento")</f>
        <v>0</v>
      </c>
      <c r="D7697" t="s">
        <v>23500</v>
      </c>
      <c r="E7697" t="s">
        <v>30173</v>
      </c>
    </row>
    <row r="7698" spans="1:5">
      <c r="A7698" t="s">
        <v>6</v>
      </c>
      <c r="B7698" t="s">
        <v>7703</v>
      </c>
      <c r="C7698">
        <f>HYPERLINK("C:\Users\franc\OneDrive\Documentos\MALENTIN KARIME\E.I.R.L\GABRIELA DICCTER.doc", "Abrir Documento")</f>
        <v>0</v>
      </c>
      <c r="D7698" t="s">
        <v>23500</v>
      </c>
      <c r="E7698" t="s">
        <v>30174</v>
      </c>
    </row>
    <row r="7699" spans="1:5">
      <c r="A7699" t="s">
        <v>6</v>
      </c>
      <c r="B7699" t="s">
        <v>7704</v>
      </c>
      <c r="C7699">
        <f>HYPERLINK("C:\Users\franc\OneDrive\Documentos\MALENTIN KARIME\E.I.R.L\GABRIELA DICCTER Extracto.doc", "Abrir Documento")</f>
        <v>0</v>
      </c>
      <c r="D7699" t="s">
        <v>23500</v>
      </c>
      <c r="E7699" t="s">
        <v>30175</v>
      </c>
    </row>
    <row r="7700" spans="1:5">
      <c r="A7700" t="s">
        <v>6</v>
      </c>
      <c r="B7700" t="s">
        <v>7705</v>
      </c>
      <c r="C7700">
        <f>HYPERLINK("C:\Users\franc\OneDrive\Documentos\MALENTIN KARIME\E.I.R.L\FUENTE DE SODA MARISA Extracto.doc", "Abrir Documento")</f>
        <v>0</v>
      </c>
      <c r="D7700" t="s">
        <v>23500</v>
      </c>
      <c r="E7700" t="s">
        <v>30176</v>
      </c>
    </row>
    <row r="7701" spans="1:5">
      <c r="A7701" t="s">
        <v>6</v>
      </c>
      <c r="B7701" t="s">
        <v>7706</v>
      </c>
      <c r="C7701">
        <f>HYPERLINK("C:\Users\franc\OneDrive\Documentos\MALENTIN KARIME\E.I.R.L\FELIPE TELLO GALLARDO.doc", "Abrir Documento")</f>
        <v>0</v>
      </c>
      <c r="D7701" t="s">
        <v>23500</v>
      </c>
      <c r="E7701" t="s">
        <v>30177</v>
      </c>
    </row>
    <row r="7702" spans="1:5">
      <c r="A7702" t="s">
        <v>6</v>
      </c>
      <c r="B7702" t="s">
        <v>7707</v>
      </c>
      <c r="C7702">
        <f>HYPERLINK("C:\Users\franc\OneDrive\Documentos\MALENTIN KARIME\E.I.R.L\FELIPE TELLO GALLARDO Extracto.doc", "Abrir Documento")</f>
        <v>0</v>
      </c>
      <c r="D7702" t="s">
        <v>23500</v>
      </c>
      <c r="E7702" t="s">
        <v>30178</v>
      </c>
    </row>
    <row r="7703" spans="1:5">
      <c r="A7703" t="s">
        <v>6</v>
      </c>
      <c r="B7703" t="s">
        <v>7708</v>
      </c>
      <c r="C7703">
        <f>HYPERLINK("C:\Users\franc\OneDrive\Documentos\MALENTIN KARIME\E.I.R.L\Extracto FELIPE.doc", "Abrir Documento")</f>
        <v>0</v>
      </c>
      <c r="D7703" t="s">
        <v>23500</v>
      </c>
      <c r="E7703" t="s">
        <v>30179</v>
      </c>
    </row>
    <row r="7704" spans="1:5">
      <c r="A7704" t="s">
        <v>6</v>
      </c>
      <c r="B7704" t="s">
        <v>7709</v>
      </c>
      <c r="C7704">
        <f>HYPERLINK("C:\Users\franc\OneDrive\Documentos\MALENTIN KARIME\E.I.R.L\Extracto Comercial Julian Galleguillos E.I.R.L..doc", "Abrir Documento")</f>
        <v>0</v>
      </c>
      <c r="D7704" t="s">
        <v>23500</v>
      </c>
      <c r="E7704" t="s">
        <v>30180</v>
      </c>
    </row>
    <row r="7705" spans="1:5">
      <c r="A7705" t="s">
        <v>6</v>
      </c>
      <c r="B7705" t="s">
        <v>7710</v>
      </c>
      <c r="C7705">
        <f>HYPERLINK("C:\Users\franc\OneDrive\Documentos\MALENTIN KARIME\E.I.R.L\Extracto Comercial e Inversiones Miranda E.I.R.L..doc", "Abrir Documento")</f>
        <v>0</v>
      </c>
      <c r="D7705" t="s">
        <v>23500</v>
      </c>
      <c r="E7705" t="s">
        <v>30181</v>
      </c>
    </row>
    <row r="7706" spans="1:5">
      <c r="A7706" t="s">
        <v>6</v>
      </c>
      <c r="B7706" t="s">
        <v>7711</v>
      </c>
      <c r="C7706">
        <f>HYPERLINK("C:\Users\franc\OneDrive\Documentos\MALENTIN KARIME\E.I.R.L\EDUARDO GODOY Extracto.doc", "Abrir Documento")</f>
        <v>0</v>
      </c>
      <c r="D7706" t="s">
        <v>23500</v>
      </c>
      <c r="E7706" t="s">
        <v>30182</v>
      </c>
    </row>
    <row r="7707" spans="1:5">
      <c r="A7707" t="s">
        <v>6</v>
      </c>
      <c r="B7707" t="s">
        <v>7712</v>
      </c>
      <c r="C7707">
        <f>HYPERLINK("C:\Users\franc\OneDrive\Documentos\MALENTIN KARIME\E.I.R.L\E  X  T  R  A  C  T  O Gloria Castro.doc", "Abrir Documento")</f>
        <v>0</v>
      </c>
      <c r="D7707" t="s">
        <v>23500</v>
      </c>
      <c r="E7707" t="s">
        <v>30183</v>
      </c>
    </row>
    <row r="7708" spans="1:5">
      <c r="A7708" t="s">
        <v>6</v>
      </c>
      <c r="B7708" t="s">
        <v>7713</v>
      </c>
      <c r="C7708">
        <f>HYPERLINK("C:\Users\franc\OneDrive\Documentos\MALENTIN KARIME\E.I.R.L\COMERCIAL modelo.doc", "Abrir Documento")</f>
        <v>0</v>
      </c>
      <c r="D7708" t="s">
        <v>23500</v>
      </c>
      <c r="E7708" t="s">
        <v>30184</v>
      </c>
    </row>
    <row r="7709" spans="1:5">
      <c r="A7709" t="s">
        <v>6</v>
      </c>
      <c r="B7709" t="s">
        <v>7714</v>
      </c>
      <c r="C7709">
        <f>HYPERLINK("C:\Users\franc\OneDrive\Documentos\MALENTIN KARIME\E.I.R.L\COMERCIAL JUAN CARLOS MEDALLA.doc", "Abrir Documento")</f>
        <v>0</v>
      </c>
      <c r="D7709" t="s">
        <v>23500</v>
      </c>
      <c r="E7709" t="s">
        <v>30185</v>
      </c>
    </row>
    <row r="7710" spans="1:5">
      <c r="A7710" t="s">
        <v>6</v>
      </c>
      <c r="B7710" t="s">
        <v>7715</v>
      </c>
      <c r="C7710">
        <f>HYPERLINK("C:\Users\franc\OneDrive\Documentos\MALENTIN KARIME\E.I.R.L\COMERCIAL JUAN C FLORES MExtracto.doc", "Abrir Documento")</f>
        <v>0</v>
      </c>
      <c r="D7710" t="s">
        <v>23500</v>
      </c>
      <c r="E7710" t="s">
        <v>30186</v>
      </c>
    </row>
    <row r="7711" spans="1:5">
      <c r="A7711" t="s">
        <v>6</v>
      </c>
      <c r="B7711" t="s">
        <v>7716</v>
      </c>
      <c r="C7711">
        <f>HYPERLINK("C:\Users\franc\OneDrive\Documentos\MALENTIN KARIME\E.I.R.L\CESAR CARVAJAL TORRES EIRL.doc", "Abrir Documento")</f>
        <v>0</v>
      </c>
      <c r="D7711" t="s">
        <v>23500</v>
      </c>
      <c r="E7711" t="s">
        <v>30187</v>
      </c>
    </row>
    <row r="7712" spans="1:5">
      <c r="A7712" t="s">
        <v>6</v>
      </c>
      <c r="B7712" t="s">
        <v>7717</v>
      </c>
      <c r="C7712">
        <f>HYPERLINK("C:\Users\franc\OneDrive\Documentos\MALENTIN KARIME\E.I.R.L\BAR CAFE E.I.R.L,.doc", "Abrir Documento")</f>
        <v>0</v>
      </c>
      <c r="D7712" t="s">
        <v>23500</v>
      </c>
      <c r="E7712" t="s">
        <v>30188</v>
      </c>
    </row>
    <row r="7713" spans="1:5">
      <c r="A7713" t="s">
        <v>6</v>
      </c>
      <c r="B7713" t="s">
        <v>7718</v>
      </c>
      <c r="C7713">
        <f>HYPERLINK("C:\Users\franc\OneDrive\Documentos\MALENTIN KARIME\E.I.R.L\AMELIA MRANDA ROJAS E.I.R.L.doc", "Abrir Documento")</f>
        <v>0</v>
      </c>
      <c r="D7713" t="s">
        <v>23500</v>
      </c>
      <c r="E7713" t="s">
        <v>30189</v>
      </c>
    </row>
    <row r="7714" spans="1:5">
      <c r="A7714" t="s">
        <v>6</v>
      </c>
      <c r="B7714" t="s">
        <v>7719</v>
      </c>
      <c r="C7714">
        <f>HYPERLINK("C:\Users\franc\OneDrive\Documentos\MALENTIN KARIME\E.I.R.L\ALFONSO JULIAN COMERCIAL E.I.RL..doc", "Abrir Documento")</f>
        <v>0</v>
      </c>
      <c r="D7714" t="s">
        <v>23500</v>
      </c>
      <c r="E7714" t="s">
        <v>30190</v>
      </c>
    </row>
    <row r="7715" spans="1:5">
      <c r="A7715" t="s">
        <v>6</v>
      </c>
      <c r="B7715" t="s">
        <v>7720</v>
      </c>
      <c r="C7715">
        <f>HYPERLINK("C:\Users\franc\OneDrive\Documentos\MALENTIN KARIME\E.I.R.L\AGROTRANS GUERRERO.doc", "Abrir Documento")</f>
        <v>0</v>
      </c>
      <c r="D7715" t="s">
        <v>23500</v>
      </c>
      <c r="E7715" t="s">
        <v>30191</v>
      </c>
    </row>
    <row r="7716" spans="1:5">
      <c r="A7716" t="s">
        <v>6</v>
      </c>
      <c r="B7716" t="s">
        <v>7721</v>
      </c>
      <c r="C7716">
        <f>HYPERLINK("C:\Users\franc\OneDrive\Documentos\MALENTIN KARIME\E.I.R.L\AGROTRANS GUERRERO VERSION CORREJIDA Extracto.doc", "Abrir Documento")</f>
        <v>0</v>
      </c>
      <c r="D7716" t="s">
        <v>23500</v>
      </c>
      <c r="E7716" t="s">
        <v>30192</v>
      </c>
    </row>
    <row r="7717" spans="1:5">
      <c r="A7717" t="s">
        <v>6</v>
      </c>
      <c r="B7717" t="s">
        <v>7722</v>
      </c>
      <c r="C7717">
        <f>HYPERLINK("C:\Users\franc\OneDrive\Documentos\MALENTIN KARIME\E.I.R.L\AGROTRANS GUERRERO Extracto.doc", "Abrir Documento")</f>
        <v>0</v>
      </c>
      <c r="D7717" t="s">
        <v>23500</v>
      </c>
      <c r="E7717" t="s">
        <v>30193</v>
      </c>
    </row>
    <row r="7718" spans="1:5">
      <c r="A7718" t="s">
        <v>6</v>
      </c>
      <c r="B7718" t="s">
        <v>7723</v>
      </c>
      <c r="C7718">
        <f>HYPERLINK("C:\Users\franc\OneDrive\Documentos\MALENTIN KARIME\DOCUMENTOS SIMPLES\los nisñiles CGE.doc", "Abrir Documento")</f>
        <v>0</v>
      </c>
      <c r="D7718" t="s">
        <v>23500</v>
      </c>
      <c r="E7718" t="s">
        <v>30194</v>
      </c>
    </row>
    <row r="7719" spans="1:5">
      <c r="A7719" t="s">
        <v>6</v>
      </c>
      <c r="B7719" t="s">
        <v>7724</v>
      </c>
      <c r="C7719">
        <f>HYPERLINK("C:\Users\franc\OneDrive\Documentos\MALENTIN KARIME\DOBLE M\REGLAMENTO.doc", "Abrir Documento")</f>
        <v>0</v>
      </c>
      <c r="D7719" t="s">
        <v>23500</v>
      </c>
      <c r="E7719" t="s">
        <v>30195</v>
      </c>
    </row>
    <row r="7720" spans="1:5">
      <c r="A7720" t="s">
        <v>6</v>
      </c>
      <c r="B7720" t="s">
        <v>7725</v>
      </c>
      <c r="C7720">
        <f>HYPERLINK("C:\Users\franc\OneDrive\Documentos\MALENTIN KARIME\DOBLE M\REGLAMENTO CO PROPIEDAD Junio 2011.doc", "Abrir Documento")</f>
        <v>0</v>
      </c>
      <c r="D7720" t="s">
        <v>23500</v>
      </c>
      <c r="E7720" t="s">
        <v>30196</v>
      </c>
    </row>
    <row r="7721" spans="1:5">
      <c r="A7721" t="s">
        <v>6</v>
      </c>
      <c r="B7721" t="s">
        <v>7726</v>
      </c>
      <c r="C7721">
        <f>HYPERLINK("C:\Users\franc\OneDrive\Documentos\MALENTIN KARIME\DOBLE M\REDUCCION ACTA  30 ABRIL 11.doc", "Abrir Documento")</f>
        <v>0</v>
      </c>
      <c r="D7721" t="s">
        <v>23500</v>
      </c>
      <c r="E7721" t="s">
        <v>30197</v>
      </c>
    </row>
    <row r="7722" spans="1:5">
      <c r="A7722" t="s">
        <v>6</v>
      </c>
      <c r="B7722" t="s">
        <v>7727</v>
      </c>
      <c r="C7722">
        <f>HYPERLINK("C:\Users\franc\OneDrive\Documentos\MALENTIN KARIME\DOBLE M\OSVALDO GONZALEZ Cibergestion.doc", "Abrir Documento")</f>
        <v>0</v>
      </c>
      <c r="D7722" t="s">
        <v>23500</v>
      </c>
      <c r="E7722" t="s">
        <v>30198</v>
      </c>
    </row>
    <row r="7723" spans="1:5">
      <c r="A7723" t="s">
        <v>6</v>
      </c>
      <c r="B7723" t="s">
        <v>7728</v>
      </c>
      <c r="C7723">
        <f>HYPERLINK("C:\Users\franc\OneDrive\Documentos\MALENTIN KARIME\DOBLE M\MODIFICACION REGLAMENTO DE COPROPIEDAD.doc", "Abrir Documento")</f>
        <v>0</v>
      </c>
      <c r="D7723" t="s">
        <v>23500</v>
      </c>
      <c r="E7723" t="s">
        <v>30199</v>
      </c>
    </row>
    <row r="7724" spans="1:5">
      <c r="A7724" t="s">
        <v>6</v>
      </c>
      <c r="B7724" t="s">
        <v>7729</v>
      </c>
      <c r="C7724">
        <f>HYPERLINK("C:\Users\franc\OneDrive\Documentos\MALENTIN KARIME\DOBLE M\MANUEL VALENCIA JOFRE Promesa.doc", "Abrir Documento")</f>
        <v>0</v>
      </c>
      <c r="D7724" t="s">
        <v>23500</v>
      </c>
      <c r="E7724" t="s">
        <v>30200</v>
      </c>
    </row>
    <row r="7725" spans="1:5">
      <c r="A7725" t="s">
        <v>6</v>
      </c>
      <c r="B7725" t="s">
        <v>7730</v>
      </c>
      <c r="C7725">
        <f>HYPERLINK("C:\Users\franc\OneDrive\Documentos\MALENTIN KARIME\DOBLE M\ISABEL ARAYA MORALES Promesa.doc", "Abrir Documento")</f>
        <v>0</v>
      </c>
      <c r="D7725" t="s">
        <v>23500</v>
      </c>
      <c r="E7725" t="s">
        <v>30201</v>
      </c>
    </row>
    <row r="7726" spans="1:5">
      <c r="A7726" t="s">
        <v>6</v>
      </c>
      <c r="B7726" t="s">
        <v>7731</v>
      </c>
      <c r="C7726">
        <f>HYPERLINK("C:\Users\franc\OneDrive\Documentos\MALENTIN KARIME\DOBLE M\INSTRUCCIONES Daysi Godoy.doc", "Abrir Documento")</f>
        <v>0</v>
      </c>
      <c r="D7726" t="s">
        <v>23500</v>
      </c>
      <c r="E7726" t="s">
        <v>30202</v>
      </c>
    </row>
    <row r="7727" spans="1:5">
      <c r="A7727" t="s">
        <v>6</v>
      </c>
      <c r="B7727" t="s">
        <v>7732</v>
      </c>
      <c r="C7727">
        <f>HYPERLINK("C:\Users\franc\OneDrive\Documentos\MALENTIN KARIME\DOBLE M\DEYSI GODOY con DOBLE M.doc", "Abrir Documento")</f>
        <v>0</v>
      </c>
      <c r="D7727" t="s">
        <v>23500</v>
      </c>
      <c r="E7727" t="s">
        <v>30203</v>
      </c>
    </row>
    <row r="7728" spans="1:5">
      <c r="A7728" t="s">
        <v>6</v>
      </c>
      <c r="B7728" t="s">
        <v>7733</v>
      </c>
      <c r="C7728">
        <f>HYPERLINK("C:\Users\franc\OneDrive\Documentos\MALENTIN KARIME\DOBLE M\CVTA PARTICULAR OJO I.ETAPA.doc", "Abrir Documento")</f>
        <v>0</v>
      </c>
      <c r="D7728" t="s">
        <v>23500</v>
      </c>
      <c r="E7728" t="s">
        <v>30204</v>
      </c>
    </row>
    <row r="7729" spans="1:5">
      <c r="A7729" t="s">
        <v>6</v>
      </c>
      <c r="B7729" t="s">
        <v>7734</v>
      </c>
      <c r="C7729">
        <f>HYPERLINK("C:\Users\franc\OneDrive\Documentos\MALENTIN KARIME\DOBLE M\ACTA.doc", "Abrir Documento")</f>
        <v>0</v>
      </c>
      <c r="D7729" t="s">
        <v>23500</v>
      </c>
      <c r="E7729" t="s">
        <v>30205</v>
      </c>
    </row>
    <row r="7730" spans="1:5">
      <c r="A7730" t="s">
        <v>6</v>
      </c>
      <c r="B7730" t="s">
        <v>7735</v>
      </c>
      <c r="C7730">
        <f>HYPERLINK("C:\Users\franc\OneDrive\Documentos\MALENTIN KARIME\DOBLE M\ACTA reduccion.doc", "Abrir Documento")</f>
        <v>0</v>
      </c>
      <c r="D7730" t="s">
        <v>23500</v>
      </c>
      <c r="E7730" t="s">
        <v>30206</v>
      </c>
    </row>
    <row r="7731" spans="1:5">
      <c r="A7731" t="s">
        <v>6</v>
      </c>
      <c r="B7731" t="s">
        <v>7736</v>
      </c>
      <c r="C7731">
        <f>HYPERLINK("C:\Users\franc\OneDrive\Documentos\MALENTIN KARIME\DGA\RESOLUCION Nº 669.doc", "Abrir Documento")</f>
        <v>0</v>
      </c>
      <c r="D7731" t="s">
        <v>23500</v>
      </c>
      <c r="E7731" t="s">
        <v>30207</v>
      </c>
    </row>
    <row r="7732" spans="1:5">
      <c r="A7732" t="s">
        <v>6</v>
      </c>
      <c r="B7732" t="s">
        <v>7737</v>
      </c>
      <c r="C7732">
        <f>HYPERLINK("C:\Users\franc\OneDrive\Documentos\MALENTIN KARIME\DGA\RESOLUCION N° 479 y rectificacion.doc", "Abrir Documento")</f>
        <v>0</v>
      </c>
      <c r="D7732" t="s">
        <v>23500</v>
      </c>
      <c r="E7732" t="s">
        <v>30208</v>
      </c>
    </row>
    <row r="7733" spans="1:5">
      <c r="A7733" t="s">
        <v>6</v>
      </c>
      <c r="B7733" t="s">
        <v>7738</v>
      </c>
      <c r="C7733">
        <f>HYPERLINK("C:\Users\franc\OneDrive\Documentos\MALENTIN KARIME\DGA\RESOLUCION N° 478 y rectificacion.doc", "Abrir Documento")</f>
        <v>0</v>
      </c>
      <c r="D7733" t="s">
        <v>23500</v>
      </c>
      <c r="E7733" t="s">
        <v>30209</v>
      </c>
    </row>
    <row r="7734" spans="1:5">
      <c r="A7734" t="s">
        <v>6</v>
      </c>
      <c r="B7734" t="s">
        <v>7739</v>
      </c>
      <c r="C7734">
        <f>HYPERLINK("C:\Users\franc\OneDrive\Documentos\MALENTIN KARIME\DGA\RESOL 495.doc", "Abrir Documento")</f>
        <v>0</v>
      </c>
      <c r="D7734" t="s">
        <v>23500</v>
      </c>
      <c r="E7734" t="s">
        <v>30210</v>
      </c>
    </row>
    <row r="7735" spans="1:5">
      <c r="A7735" t="s">
        <v>6</v>
      </c>
      <c r="B7735" t="s">
        <v>7740</v>
      </c>
      <c r="C7735">
        <f>HYPERLINK("C:\Users\franc\OneDrive\Documentos\MALENTIN KARIME\DGA\RESOL 2728.doc", "Abrir Documento")</f>
        <v>0</v>
      </c>
      <c r="D7735" t="s">
        <v>23500</v>
      </c>
      <c r="E7735" t="s">
        <v>30211</v>
      </c>
    </row>
    <row r="7736" spans="1:5">
      <c r="A7736" t="s">
        <v>6</v>
      </c>
      <c r="B7736" t="s">
        <v>7741</v>
      </c>
      <c r="C7736">
        <f>HYPERLINK("C:\Users\franc\OneDrive\Documentos\MALENTIN KARIME\DGA\DGA Nombramiento Abril 2021.doc", "Abrir Documento")</f>
        <v>0</v>
      </c>
      <c r="D7736" t="s">
        <v>23500</v>
      </c>
      <c r="E7736" t="s">
        <v>30212</v>
      </c>
    </row>
    <row r="7737" spans="1:5">
      <c r="A7737" t="s">
        <v>6</v>
      </c>
      <c r="B7737" t="s">
        <v>7742</v>
      </c>
      <c r="C7737">
        <f>HYPERLINK("C:\Users\franc\OneDrive\Documentos\MALENTIN KARIME\DGA\ARNOLDO BUGUEÑO CISTERNA.doc", "Abrir Documento")</f>
        <v>0</v>
      </c>
      <c r="D7737" t="s">
        <v>23500</v>
      </c>
      <c r="E7737" t="s">
        <v>30213</v>
      </c>
    </row>
    <row r="7738" spans="1:5">
      <c r="A7738" t="s">
        <v>6</v>
      </c>
      <c r="B7738" t="s">
        <v>7743</v>
      </c>
      <c r="C7738">
        <f>HYPERLINK("C:\Users\franc\OneDrive\Documentos\MALENTIN KARIME\DGA\ARNOLDO BUGUEÑO CISTERNA 2.doc", "Abrir Documento")</f>
        <v>0</v>
      </c>
      <c r="D7738" t="s">
        <v>23500</v>
      </c>
      <c r="E7738" t="s">
        <v>30214</v>
      </c>
    </row>
    <row r="7739" spans="1:5">
      <c r="A7739" t="s">
        <v>6</v>
      </c>
      <c r="B7739" t="s">
        <v>7744</v>
      </c>
      <c r="C7739">
        <f>HYPERLINK("C:\Users\franc\OneDrive\Documentos\MALENTIN KARIME\DERECHOS\PEDRO CAMPUSANO A PEDRO CAMPUSANO ALVARADO.doc", "Abrir Documento")</f>
        <v>0</v>
      </c>
      <c r="D7739" t="s">
        <v>23500</v>
      </c>
      <c r="E7739" t="s">
        <v>30215</v>
      </c>
    </row>
    <row r="7740" spans="1:5">
      <c r="A7740" t="s">
        <v>6</v>
      </c>
      <c r="B7740" t="s">
        <v>7745</v>
      </c>
      <c r="C7740">
        <f>HYPERLINK("C:\Users\franc\OneDrive\Documentos\MALENTIN KARIME\DERECHOS\ELIANA PIZARRO A CARLOS ALQUINTA.doc", "Abrir Documento")</f>
        <v>0</v>
      </c>
      <c r="D7740" t="s">
        <v>23500</v>
      </c>
      <c r="E7740" t="s">
        <v>30216</v>
      </c>
    </row>
    <row r="7741" spans="1:5">
      <c r="A7741" t="s">
        <v>6</v>
      </c>
      <c r="B7741" t="s">
        <v>7746</v>
      </c>
      <c r="C7741">
        <f>HYPERLINK("C:\Users\franc\OneDrive\Documentos\MALENTIN KARIME\DERECHO USO\2018\SYLVIA FLORES A Deysi Rivera D USO.doc", "Abrir Documento")</f>
        <v>0</v>
      </c>
      <c r="D7741" t="s">
        <v>23500</v>
      </c>
      <c r="E7741" t="s">
        <v>30217</v>
      </c>
    </row>
    <row r="7742" spans="1:5">
      <c r="A7742" t="s">
        <v>6</v>
      </c>
      <c r="B7742" t="s">
        <v>7747</v>
      </c>
      <c r="C7742">
        <f>HYPERLINK("C:\Users\franc\OneDrive\Documentos\MALENTIN KARIME\DERECHO USO\2017\ANTONIO ARAYA A Eduardo Araya.doc", "Abrir Documento")</f>
        <v>0</v>
      </c>
      <c r="D7742" t="s">
        <v>23500</v>
      </c>
      <c r="E7742" t="s">
        <v>30218</v>
      </c>
    </row>
    <row r="7743" spans="1:5">
      <c r="A7743" t="s">
        <v>6</v>
      </c>
      <c r="B7743" t="s">
        <v>7748</v>
      </c>
      <c r="C7743">
        <f>HYPERLINK("C:\Users\franc\OneDrive\Documentos\MALENTIN KARIME\DERECHO USO\2017\ANA ARAYA RAMIREZ.doc", "Abrir Documento")</f>
        <v>0</v>
      </c>
      <c r="D7743" t="s">
        <v>23500</v>
      </c>
      <c r="E7743" t="s">
        <v>30219</v>
      </c>
    </row>
    <row r="7744" spans="1:5">
      <c r="A7744" t="s">
        <v>6</v>
      </c>
      <c r="B7744" t="s">
        <v>7749</v>
      </c>
      <c r="C7744">
        <f>HYPERLINK("C:\Users\franc\OneDrive\Documentos\MALENTIN KARIME\DERECHO USO\2017\AMERICA ARAYA HIDALGO A ANGELICA HIDALGO Alcones.doc", "Abrir Documento")</f>
        <v>0</v>
      </c>
      <c r="D7744" t="s">
        <v>23500</v>
      </c>
      <c r="E7744" t="s">
        <v>30220</v>
      </c>
    </row>
    <row r="7745" spans="1:5">
      <c r="A7745" t="s">
        <v>6</v>
      </c>
      <c r="B7745" t="s">
        <v>7750</v>
      </c>
      <c r="C7745">
        <f>HYPERLINK("C:\Users\franc\OneDrive\Documentos\MALENTIN KARIME\DERECHO USO\2016\JULIO MALUENDA GUARDIA A Alexis Villalobos Cdad Punitaqui.doc", "Abrir Documento")</f>
        <v>0</v>
      </c>
      <c r="D7745" t="s">
        <v>23500</v>
      </c>
      <c r="E7745" t="s">
        <v>30221</v>
      </c>
    </row>
    <row r="7746" spans="1:5">
      <c r="A7746" t="s">
        <v>6</v>
      </c>
      <c r="B7746" t="s">
        <v>7751</v>
      </c>
      <c r="C7746">
        <f>HYPERLINK("C:\Users\franc\OneDrive\Documentos\MALENTIN KARIME\DERECHO USO\2016\JANDRY CASTILLO A Pascual Castillo.doc", "Abrir Documento")</f>
        <v>0</v>
      </c>
      <c r="D7746" t="s">
        <v>23500</v>
      </c>
      <c r="E7746" t="s">
        <v>30222</v>
      </c>
    </row>
    <row r="7747" spans="1:5">
      <c r="A7747" t="s">
        <v>6</v>
      </c>
      <c r="B7747" t="s">
        <v>7752</v>
      </c>
      <c r="C7747">
        <f>HYPERLINK("C:\Users\franc\OneDrive\Documentos\MALENTIN KARIME\DERECHO USO\2016\JANDRY CASTILLO A MARIA CASTILLO.doc", "Abrir Documento")</f>
        <v>0</v>
      </c>
      <c r="D7747" t="s">
        <v>23500</v>
      </c>
      <c r="E7747" t="s">
        <v>30223</v>
      </c>
    </row>
    <row r="7748" spans="1:5">
      <c r="A7748" t="s">
        <v>6</v>
      </c>
      <c r="B7748" t="s">
        <v>7753</v>
      </c>
      <c r="C7748">
        <f>HYPERLINK("C:\Users\franc\OneDrive\Documentos\MALENTIN KARIME\DERECHO USO\2016\GABRIELA ARAYA VEGA A Angela Contreras.doc", "Abrir Documento")</f>
        <v>0</v>
      </c>
      <c r="D7748" t="s">
        <v>23500</v>
      </c>
      <c r="E7748" t="s">
        <v>30224</v>
      </c>
    </row>
    <row r="7749" spans="1:5">
      <c r="A7749" t="s">
        <v>6</v>
      </c>
      <c r="B7749" t="s">
        <v>7754</v>
      </c>
      <c r="C7749">
        <f>HYPERLINK("C:\Users\franc\OneDrive\Documentos\MALENTIN KARIME\DERECHO USO\VIVIANA VELASQUEZdec.jurada derecho real de uso.doc", "Abrir Documento")</f>
        <v>0</v>
      </c>
      <c r="D7749" t="s">
        <v>23500</v>
      </c>
      <c r="E7749" t="s">
        <v>30225</v>
      </c>
    </row>
    <row r="7750" spans="1:5">
      <c r="A7750" t="s">
        <v>6</v>
      </c>
      <c r="B7750" t="s">
        <v>7755</v>
      </c>
      <c r="C7750">
        <f>HYPERLINK("C:\Users\franc\OneDrive\Documentos\MALENTIN KARIME\DERECHO USO\VICTOR CORTES A MELIDA ALFARO.doc", "Abrir Documento")</f>
        <v>0</v>
      </c>
      <c r="D7750" t="s">
        <v>23500</v>
      </c>
      <c r="E7750" t="s">
        <v>30226</v>
      </c>
    </row>
    <row r="7751" spans="1:5">
      <c r="A7751" t="s">
        <v>6</v>
      </c>
      <c r="B7751" t="s">
        <v>7756</v>
      </c>
      <c r="C7751">
        <f>HYPERLINK("C:\Users\franc\OneDrive\Documentos\MALENTIN KARIME\DERECHO USO\VICTOR CORTES A MARIA CORTES.doc", "Abrir Documento")</f>
        <v>0</v>
      </c>
      <c r="D7751" t="s">
        <v>23500</v>
      </c>
      <c r="E7751" t="s">
        <v>30227</v>
      </c>
    </row>
    <row r="7752" spans="1:5">
      <c r="A7752" t="s">
        <v>6</v>
      </c>
      <c r="B7752" t="s">
        <v>7757</v>
      </c>
      <c r="C7752">
        <f>HYPERLINK("C:\Users\franc\OneDrive\Documentos\MALENTIN KARIME\DERECHO USO\Tomás Elgueta Pizarro a Laura Elgueta.doc", "Abrir Documento")</f>
        <v>0</v>
      </c>
      <c r="D7752" t="s">
        <v>23500</v>
      </c>
      <c r="E7752" t="s">
        <v>30228</v>
      </c>
    </row>
    <row r="7753" spans="1:5">
      <c r="A7753" t="s">
        <v>6</v>
      </c>
      <c r="B7753" t="s">
        <v>7758</v>
      </c>
      <c r="C7753">
        <f>HYPERLINK("C:\Users\franc\OneDrive\Documentos\MALENTIN KARIME\DERECHO USO\SOFIA HIDALGO A Candia Lopez ALCONES.doc", "Abrir Documento")</f>
        <v>0</v>
      </c>
      <c r="D7753" t="s">
        <v>23500</v>
      </c>
      <c r="E7753" t="s">
        <v>30229</v>
      </c>
    </row>
    <row r="7754" spans="1:5">
      <c r="A7754" t="s">
        <v>6</v>
      </c>
      <c r="B7754" t="s">
        <v>7759</v>
      </c>
      <c r="C7754">
        <f>HYPERLINK("C:\Users\franc\OneDrive\Documentos\MALENTIN KARIME\DERECHO USO\SILVIA ALFARO GÓMEZ A NATALIA ROJAS CDAD PUNITAQUI.doc", "Abrir Documento")</f>
        <v>0</v>
      </c>
      <c r="D7754" t="s">
        <v>23500</v>
      </c>
      <c r="E7754" t="s">
        <v>30230</v>
      </c>
    </row>
    <row r="7755" spans="1:5">
      <c r="A7755" t="s">
        <v>6</v>
      </c>
      <c r="B7755" t="s">
        <v>7760</v>
      </c>
      <c r="C7755">
        <f>HYPERLINK("C:\Users\franc\OneDrive\Documentos\MALENTIN KARIME\DERECHO USO\SILENA AGUIRRE A EDUARDO ALVAREZ.doc", "Abrir Documento")</f>
        <v>0</v>
      </c>
      <c r="D7755" t="s">
        <v>23500</v>
      </c>
      <c r="E7755" t="s">
        <v>30231</v>
      </c>
    </row>
    <row r="7756" spans="1:5">
      <c r="A7756" t="s">
        <v>6</v>
      </c>
      <c r="B7756" t="s">
        <v>7761</v>
      </c>
      <c r="C7756">
        <f>HYPERLINK("C:\Users\franc\OneDrive\Documentos\MALENTIN KARIME\DERECHO USO\PASCUALA REINOSO a José Carrillo.doc", "Abrir Documento")</f>
        <v>0</v>
      </c>
      <c r="D7756" t="s">
        <v>23500</v>
      </c>
      <c r="E7756" t="s">
        <v>30232</v>
      </c>
    </row>
    <row r="7757" spans="1:5">
      <c r="A7757" t="s">
        <v>6</v>
      </c>
      <c r="B7757" t="s">
        <v>7762</v>
      </c>
      <c r="C7757">
        <f>HYPERLINK("C:\Users\franc\OneDrive\Documentos\MALENTIN KARIME\DERECHO USO\OVIDIO CONTRERAS A Verónica Contreras.doc", "Abrir Documento")</f>
        <v>0</v>
      </c>
      <c r="D7757" t="s">
        <v>23500</v>
      </c>
      <c r="E7757" t="s">
        <v>30233</v>
      </c>
    </row>
    <row r="7758" spans="1:5">
      <c r="A7758" t="s">
        <v>6</v>
      </c>
      <c r="B7758" t="s">
        <v>7763</v>
      </c>
      <c r="C7758">
        <f>HYPERLINK("C:\Users\franc\OneDrive\Documentos\MALENTIN KARIME\DERECHO USO\LUZ PASTEN OLIVARES A CLAUDIO ANGEL.doc", "Abrir Documento")</f>
        <v>0</v>
      </c>
      <c r="D7758" t="s">
        <v>23500</v>
      </c>
      <c r="E7758" t="s">
        <v>30234</v>
      </c>
    </row>
    <row r="7759" spans="1:5">
      <c r="A7759" t="s">
        <v>6</v>
      </c>
      <c r="B7759" t="s">
        <v>7764</v>
      </c>
      <c r="C7759">
        <f>HYPERLINK("C:\Users\franc\OneDrive\Documentos\MALENTIN KARIME\DERECHO USO\LUIS ARAYA ZEPEDA A Ricardo Araya Cdad Punitaqui.doc", "Abrir Documento")</f>
        <v>0</v>
      </c>
      <c r="D7759" t="s">
        <v>23500</v>
      </c>
      <c r="E7759" t="s">
        <v>30235</v>
      </c>
    </row>
    <row r="7760" spans="1:5">
      <c r="A7760" t="s">
        <v>6</v>
      </c>
      <c r="B7760" t="s">
        <v>7765</v>
      </c>
      <c r="C7760">
        <f>HYPERLINK("C:\Users\franc\OneDrive\Documentos\MALENTIN KARIME\DERECHO USO\JULIO MALUENDA GUARDIA A Alexis Villalobos Cdad Punitaqui.doc", "Abrir Documento")</f>
        <v>0</v>
      </c>
      <c r="D7760" t="s">
        <v>23500</v>
      </c>
      <c r="E7760" t="s">
        <v>30236</v>
      </c>
    </row>
    <row r="7761" spans="1:5">
      <c r="A7761" t="s">
        <v>6</v>
      </c>
      <c r="B7761" t="s">
        <v>7766</v>
      </c>
      <c r="C7761">
        <f>HYPERLINK("C:\Users\franc\OneDrive\Documentos\MALENTIN KARIME\DERECHO USO\JORGE CASTILLO OROS Cdad..doc", "Abrir Documento")</f>
        <v>0</v>
      </c>
      <c r="D7761" t="s">
        <v>23500</v>
      </c>
      <c r="E7761" t="s">
        <v>30237</v>
      </c>
    </row>
    <row r="7762" spans="1:5">
      <c r="A7762" t="s">
        <v>6</v>
      </c>
      <c r="B7762" t="s">
        <v>7767</v>
      </c>
      <c r="C7762">
        <f>HYPERLINK("C:\Users\franc\OneDrive\Documentos\MALENTIN KARIME\DERECHO USO\HERIBERTO TIRADO A GABRIELA DEL ARMEN Tirado.doc", "Abrir Documento")</f>
        <v>0</v>
      </c>
      <c r="D7762" t="s">
        <v>23500</v>
      </c>
      <c r="E7762" t="s">
        <v>30238</v>
      </c>
    </row>
    <row r="7763" spans="1:5">
      <c r="A7763" t="s">
        <v>6</v>
      </c>
      <c r="B7763" t="s">
        <v>7768</v>
      </c>
      <c r="C7763">
        <f>HYPERLINK("C:\Users\franc\OneDrive\Documentos\MALENTIN KARIME\DERECHO USO\HERIBERTO TIRADO A Ana Tirado.doc", "Abrir Documento")</f>
        <v>0</v>
      </c>
      <c r="D7763" t="s">
        <v>23500</v>
      </c>
      <c r="E7763" t="s">
        <v>30239</v>
      </c>
    </row>
    <row r="7764" spans="1:5">
      <c r="A7764" t="s">
        <v>6</v>
      </c>
      <c r="B7764" t="s">
        <v>7769</v>
      </c>
      <c r="C7764">
        <f>HYPERLINK("C:\Users\franc\OneDrive\Documentos\MALENTIN KARIME\DERECHO USO\HERIBERTO TIRADO A Ana Tirado complementa.doc", "Abrir Documento")</f>
        <v>0</v>
      </c>
      <c r="D7764" t="s">
        <v>23500</v>
      </c>
      <c r="E7764" t="s">
        <v>30240</v>
      </c>
    </row>
    <row r="7765" spans="1:5">
      <c r="A7765" t="s">
        <v>6</v>
      </c>
      <c r="B7765" t="s">
        <v>7770</v>
      </c>
      <c r="C7765">
        <f>HYPERLINK("C:\Users\franc\OneDrive\Documentos\MALENTIN KARIME\DERECHO USO\FRANCISCO ANDRADE CORTES A JUANA CORTES COLLOA.doc", "Abrir Documento")</f>
        <v>0</v>
      </c>
      <c r="D7765" t="s">
        <v>23500</v>
      </c>
      <c r="E7765" t="s">
        <v>30241</v>
      </c>
    </row>
    <row r="7766" spans="1:5">
      <c r="A7766" t="s">
        <v>6</v>
      </c>
      <c r="B7766" t="s">
        <v>7771</v>
      </c>
      <c r="C7766">
        <f>HYPERLINK("C:\Users\franc\OneDrive\Documentos\MALENTIN KARIME\DERECHO USO\DERECHO REAL DE USO.doc", "Abrir Documento")</f>
        <v>0</v>
      </c>
      <c r="D7766" t="s">
        <v>23500</v>
      </c>
      <c r="E7766" t="s">
        <v>30242</v>
      </c>
    </row>
    <row r="7767" spans="1:5">
      <c r="A7767" t="s">
        <v>6</v>
      </c>
      <c r="B7767" t="s">
        <v>7772</v>
      </c>
      <c r="C7767">
        <f>HYPERLINK("C:\Users\franc\OneDrive\Documentos\MALENTIN KARIME\DERECHO USO\dec.jurada derecho real de uso.doc", "Abrir Documento")</f>
        <v>0</v>
      </c>
      <c r="D7767" t="s">
        <v>23500</v>
      </c>
      <c r="E7767" t="s">
        <v>30243</v>
      </c>
    </row>
    <row r="7768" spans="1:5">
      <c r="A7768" t="s">
        <v>6</v>
      </c>
      <c r="B7768" t="s">
        <v>7773</v>
      </c>
      <c r="C7768">
        <f>HYPERLINK("C:\Users\franc\OneDrive\Documentos\MALENTIN KARIME\DERECHO USO\CLEMENTE SEGOVIA A ALEJANDRO SEGOVIA Cdad Punitaqui.doc", "Abrir Documento")</f>
        <v>0</v>
      </c>
      <c r="D7768" t="s">
        <v>23500</v>
      </c>
      <c r="E7768" t="s">
        <v>30244</v>
      </c>
    </row>
    <row r="7769" spans="1:5">
      <c r="A7769" t="s">
        <v>6</v>
      </c>
      <c r="B7769" t="s">
        <v>7774</v>
      </c>
      <c r="C7769">
        <f>HYPERLINK("C:\Users\franc\OneDrive\Documentos\MALENTIN KARIME\DERECHO USO\CAROLA ARAYA A NARDA ARAYA.doc", "Abrir Documento")</f>
        <v>0</v>
      </c>
      <c r="D7769" t="s">
        <v>23500</v>
      </c>
      <c r="E7769" t="s">
        <v>30245</v>
      </c>
    </row>
    <row r="7770" spans="1:5">
      <c r="A7770" t="s">
        <v>6</v>
      </c>
      <c r="B7770" t="s">
        <v>7775</v>
      </c>
      <c r="C7770">
        <f>HYPERLINK("C:\Users\franc\OneDrive\Documentos\MALENTIN KARIME\DERECHO USO\ANA PIZARRO CASTRO.doc", "Abrir Documento")</f>
        <v>0</v>
      </c>
      <c r="D7770" t="s">
        <v>23500</v>
      </c>
      <c r="E7770" t="s">
        <v>30246</v>
      </c>
    </row>
    <row r="7771" spans="1:5">
      <c r="A7771" t="s">
        <v>6</v>
      </c>
      <c r="B7771" t="s">
        <v>7776</v>
      </c>
      <c r="C7771">
        <f>HYPERLINK("C:\Users\franc\OneDrive\Documentos\MALENTIN KARIME\DERECHO USO\AMANDA ARAYA MUÑOZ comunidad.doc", "Abrir Documento")</f>
        <v>0</v>
      </c>
      <c r="D7771" t="s">
        <v>23500</v>
      </c>
      <c r="E7771" t="s">
        <v>30247</v>
      </c>
    </row>
    <row r="7772" spans="1:5">
      <c r="A7772" t="s">
        <v>6</v>
      </c>
      <c r="B7772" t="s">
        <v>7777</v>
      </c>
      <c r="C7772">
        <f>HYPERLINK("C:\Users\franc\OneDrive\Documentos\MALENTIN KARIME\DERECHO USO\alexis villalobos.doc", "Abrir Documento")</f>
        <v>0</v>
      </c>
      <c r="D7772" t="s">
        <v>23500</v>
      </c>
      <c r="E7772" t="s">
        <v>30248</v>
      </c>
    </row>
    <row r="7773" spans="1:5">
      <c r="A7773" t="s">
        <v>6</v>
      </c>
      <c r="B7773" t="s">
        <v>7778</v>
      </c>
      <c r="C7773">
        <f>HYPERLINK("C:\Users\franc\OneDrive\Documentos\MALENTIN KARIME\DERECHO USO\AGAPITO DAMAS A SU HNA. ALCONES.doc Ana L.doc", "Abrir Documento")</f>
        <v>0</v>
      </c>
      <c r="D7773" t="s">
        <v>23500</v>
      </c>
      <c r="E7773" t="s">
        <v>30249</v>
      </c>
    </row>
    <row r="7774" spans="1:5">
      <c r="A7774" t="s">
        <v>6</v>
      </c>
      <c r="B7774" t="s">
        <v>7779</v>
      </c>
      <c r="C7774">
        <f>HYPERLINK("C:\Users\franc\OneDrive\Documentos\MALENTIN KARIME\declaracion drogas\VICTOR BARRIOS.doc", "Abrir Documento")</f>
        <v>0</v>
      </c>
      <c r="D7774" t="s">
        <v>23500</v>
      </c>
      <c r="E7774" t="s">
        <v>30250</v>
      </c>
    </row>
    <row r="7775" spans="1:5">
      <c r="A7775" t="s">
        <v>6</v>
      </c>
      <c r="B7775" t="s">
        <v>7780</v>
      </c>
      <c r="C7775">
        <f>HYPERLINK("C:\Users\franc\OneDrive\Documentos\MALENTIN KARIME\declaracion drogas\SILVIA PIZARRO drogas.doc", "Abrir Documento")</f>
        <v>0</v>
      </c>
      <c r="D7775" t="s">
        <v>23500</v>
      </c>
      <c r="E7775" t="s">
        <v>30251</v>
      </c>
    </row>
    <row r="7776" spans="1:5">
      <c r="A7776" t="s">
        <v>6</v>
      </c>
      <c r="B7776" t="s">
        <v>7781</v>
      </c>
      <c r="C7776">
        <f>HYPERLINK("C:\Users\franc\OneDrive\Documentos\MALENTIN KARIME\declaracion drogas\PATRICIO JORQUERA drogas.doc", "Abrir Documento")</f>
        <v>0</v>
      </c>
      <c r="D7776" t="s">
        <v>23500</v>
      </c>
      <c r="E7776" t="s">
        <v>30252</v>
      </c>
    </row>
    <row r="7777" spans="1:5">
      <c r="A7777" t="s">
        <v>6</v>
      </c>
      <c r="B7777" t="s">
        <v>7782</v>
      </c>
      <c r="C7777">
        <f>HYPERLINK("C:\Users\franc\OneDrive\Documentos\MALENTIN KARIME\declaracion drogas\PAOLA AGUILERA  G. drogas.doc", "Abrir Documento")</f>
        <v>0</v>
      </c>
      <c r="D7777" t="s">
        <v>23500</v>
      </c>
      <c r="E7777" t="s">
        <v>30253</v>
      </c>
    </row>
    <row r="7778" spans="1:5">
      <c r="A7778" t="s">
        <v>6</v>
      </c>
      <c r="B7778" t="s">
        <v>7783</v>
      </c>
      <c r="C7778">
        <f>HYPERLINK("C:\Users\franc\OneDrive\Documentos\MALENTIN KARIME\declaracion drogas\MARCO CONTADOR. drogas.doc", "Abrir Documento")</f>
        <v>0</v>
      </c>
      <c r="D7778" t="s">
        <v>23500</v>
      </c>
      <c r="E7778" t="s">
        <v>30254</v>
      </c>
    </row>
    <row r="7779" spans="1:5">
      <c r="A7779" t="s">
        <v>6</v>
      </c>
      <c r="B7779" t="s">
        <v>7784</v>
      </c>
      <c r="C7779">
        <f>HYPERLINK("C:\Users\franc\OneDrive\Documentos\MALENTIN KARIME\declaracion drogas\LUIS MUÑOZ CAAMAÑO patrimonio.doc", "Abrir Documento")</f>
        <v>0</v>
      </c>
      <c r="D7779" t="s">
        <v>23500</v>
      </c>
      <c r="E7779" t="s">
        <v>30255</v>
      </c>
    </row>
    <row r="7780" spans="1:5">
      <c r="A7780" t="s">
        <v>6</v>
      </c>
      <c r="B7780" t="s">
        <v>7785</v>
      </c>
      <c r="C7780">
        <f>HYPERLINK("C:\Users\franc\OneDrive\Documentos\MALENTIN KARIME\declaracion drogas\LUIS MUÑOZ CAAMAÑO intereses.doc", "Abrir Documento")</f>
        <v>0</v>
      </c>
      <c r="D7780" t="s">
        <v>23500</v>
      </c>
      <c r="E7780" t="s">
        <v>30256</v>
      </c>
    </row>
    <row r="7781" spans="1:5">
      <c r="A7781" t="s">
        <v>6</v>
      </c>
      <c r="B7781" t="s">
        <v>7786</v>
      </c>
      <c r="C7781">
        <f>HYPERLINK("C:\Users\franc\OneDrive\Documentos\MALENTIN KARIME\declaracion drogas\LUIS MUÑOZ CAAMAÑO drogas.doc", "Abrir Documento")</f>
        <v>0</v>
      </c>
      <c r="D7781" t="s">
        <v>23500</v>
      </c>
      <c r="E7781" t="s">
        <v>30257</v>
      </c>
    </row>
    <row r="7782" spans="1:5">
      <c r="A7782" t="s">
        <v>6</v>
      </c>
      <c r="B7782" t="s">
        <v>7787</v>
      </c>
      <c r="C7782">
        <f>HYPERLINK("C:\Users\franc\OneDrive\Documentos\MALENTIN KARIME\declaracion drogas\HORACIO ANDRADE AGUILANTE drogas.doc", "Abrir Documento")</f>
        <v>0</v>
      </c>
      <c r="D7782" t="s">
        <v>23500</v>
      </c>
      <c r="E7782" t="s">
        <v>30258</v>
      </c>
    </row>
    <row r="7783" spans="1:5">
      <c r="A7783" t="s">
        <v>6</v>
      </c>
      <c r="B7783" t="s">
        <v>7788</v>
      </c>
      <c r="C7783">
        <f>HYPERLINK("C:\Users\franc\OneDrive\Documentos\MALENTIN KARIME\declaracion drogas\GONZALO PASTEN VILLARROELdrogas.doc", "Abrir Documento")</f>
        <v>0</v>
      </c>
      <c r="D7783" t="s">
        <v>23500</v>
      </c>
      <c r="E7783" t="s">
        <v>30259</v>
      </c>
    </row>
    <row r="7784" spans="1:5">
      <c r="A7784" t="s">
        <v>6</v>
      </c>
      <c r="B7784" t="s">
        <v>7789</v>
      </c>
      <c r="C7784">
        <f>HYPERLINK("C:\Users\franc\OneDrive\Documentos\MALENTIN KARIME\declaracion drogas\FRANCISCO ACUÑA drogas.doc", "Abrir Documento")</f>
        <v>0</v>
      </c>
      <c r="D7784" t="s">
        <v>23500</v>
      </c>
      <c r="E7784" t="s">
        <v>30260</v>
      </c>
    </row>
    <row r="7785" spans="1:5">
      <c r="A7785" t="s">
        <v>6</v>
      </c>
      <c r="B7785" t="s">
        <v>7790</v>
      </c>
      <c r="C7785">
        <f>HYPERLINK("C:\Users\franc\OneDrive\Documentos\MALENTIN KARIME\declaracion drogas\Firma magistrados.doc", "Abrir Documento")</f>
        <v>0</v>
      </c>
      <c r="D7785" t="s">
        <v>23500</v>
      </c>
      <c r="E7785" t="s">
        <v>30261</v>
      </c>
    </row>
    <row r="7786" spans="1:5">
      <c r="A7786" t="s">
        <v>6</v>
      </c>
      <c r="B7786" t="s">
        <v>7791</v>
      </c>
      <c r="C7786">
        <f>HYPERLINK("C:\Users\franc\OneDrive\Documentos\MALENTIN KARIME\declaracion drogas\CLAUDIO QUEVEDO. drogas.doc", "Abrir Documento")</f>
        <v>0</v>
      </c>
      <c r="D7786" t="s">
        <v>23500</v>
      </c>
      <c r="E7786" t="s">
        <v>30262</v>
      </c>
    </row>
    <row r="7787" spans="1:5">
      <c r="A7787" t="s">
        <v>6</v>
      </c>
      <c r="B7787" t="s">
        <v>7792</v>
      </c>
      <c r="C7787">
        <f>HYPERLINK("C:\Users\franc\OneDrive\Documentos\MALENTIN KARIME\declaracion drogas\CAROLA ARACENA G. drogas.doc", "Abrir Documento")</f>
        <v>0</v>
      </c>
      <c r="D7787" t="s">
        <v>23500</v>
      </c>
      <c r="E7787" t="s">
        <v>30263</v>
      </c>
    </row>
    <row r="7788" spans="1:5">
      <c r="A7788" t="s">
        <v>6</v>
      </c>
      <c r="B7788" t="s">
        <v>7793</v>
      </c>
      <c r="C7788">
        <f>HYPERLINK("C:\Users\franc\OneDrive\Documentos\MALENTIN KARIME\declaracion drogas\CARMEN CORTES INFANTE drogas.doc", "Abrir Documento")</f>
        <v>0</v>
      </c>
      <c r="D7788" t="s">
        <v>23500</v>
      </c>
      <c r="E7788" t="s">
        <v>30264</v>
      </c>
    </row>
    <row r="7789" spans="1:5">
      <c r="A7789" t="s">
        <v>6</v>
      </c>
      <c r="B7789" t="s">
        <v>7794</v>
      </c>
      <c r="C7789">
        <f>HYPERLINK("C:\Users\franc\OneDrive\Documentos\MALENTIN KARIME\cvta protocolizadas\minutas\ANILDA DEBIA Rodrigo.doc", "Abrir Documento")</f>
        <v>0</v>
      </c>
      <c r="D7789" t="s">
        <v>23500</v>
      </c>
      <c r="E7789" t="s">
        <v>30265</v>
      </c>
    </row>
    <row r="7790" spans="1:5">
      <c r="A7790" t="s">
        <v>6</v>
      </c>
      <c r="B7790" t="s">
        <v>7795</v>
      </c>
      <c r="C7790">
        <f>HYPERLINK("C:\Users\franc\OneDrive\Documentos\MALENTIN KARIME\cvta protocolizadas\2014\YURI ZUÑIGA GARMENDIA.doc", "Abrir Documento")</f>
        <v>0</v>
      </c>
      <c r="D7790" t="s">
        <v>23500</v>
      </c>
      <c r="E7790" t="s">
        <v>30266</v>
      </c>
    </row>
    <row r="7791" spans="1:5">
      <c r="A7791" t="s">
        <v>6</v>
      </c>
      <c r="B7791" t="s">
        <v>7796</v>
      </c>
      <c r="C7791">
        <f>HYPERLINK("C:\Users\franc\OneDrive\Documentos\MALENTIN KARIME\cvta protocolizadas\2014\YOLANDA CORTES CORTES.doc", "Abrir Documento")</f>
        <v>0</v>
      </c>
      <c r="D7791" t="s">
        <v>23500</v>
      </c>
      <c r="E7791" t="s">
        <v>30267</v>
      </c>
    </row>
    <row r="7792" spans="1:5">
      <c r="A7792" t="s">
        <v>6</v>
      </c>
      <c r="B7792" t="s">
        <v>7797</v>
      </c>
      <c r="C7792">
        <f>HYPERLINK("C:\Users\franc\OneDrive\Documentos\MALENTIN KARIME\cvta protocolizadas\2014\VALESKA AGUILERA GARAYA a JUANA PIZARRO PASTÉN  (OVALLE-soltera) OCTUBRE  2014.doc", "Abrir Documento")</f>
        <v>0</v>
      </c>
      <c r="D7792" t="s">
        <v>23500</v>
      </c>
      <c r="E7792" t="s">
        <v>30268</v>
      </c>
    </row>
    <row r="7793" spans="1:5">
      <c r="A7793" t="s">
        <v>6</v>
      </c>
      <c r="B7793" t="s">
        <v>7798</v>
      </c>
      <c r="C7793">
        <f>HYPERLINK("C:\Users\franc\OneDrive\Documentos\MALENTIN KARIME\cvta protocolizadas\2014\SAMUEL SILVA VERGARA.doc", "Abrir Documento")</f>
        <v>0</v>
      </c>
      <c r="D7793" t="s">
        <v>23500</v>
      </c>
      <c r="E7793" t="s">
        <v>30269</v>
      </c>
    </row>
    <row r="7794" spans="1:5">
      <c r="A7794" t="s">
        <v>6</v>
      </c>
      <c r="B7794" t="s">
        <v>7799</v>
      </c>
      <c r="C7794">
        <f>HYPERLINK("C:\Users\franc\OneDrive\Documentos\MALENTIN KARIME\cvta protocolizadas\2014\ROSA TAPIA ROJAS A BIANCA MIRANDA Julio 14.doc", "Abrir Documento")</f>
        <v>0</v>
      </c>
      <c r="D7794" t="s">
        <v>23500</v>
      </c>
      <c r="E7794" t="s">
        <v>30270</v>
      </c>
    </row>
    <row r="7795" spans="1:5">
      <c r="A7795" t="s">
        <v>6</v>
      </c>
      <c r="B7795" t="s">
        <v>7800</v>
      </c>
      <c r="C7795">
        <f>HYPERLINK("C:\Users\franc\OneDrive\Documentos\MALENTIN KARIME\cvta protocolizadas\2014\RAQUEL PEREZ PIZARRO a LIDIA GUERRERO GUERRERO  (OVALLE-soltera) JULIO 2014.doc", "Abrir Documento")</f>
        <v>0</v>
      </c>
      <c r="D7795" t="s">
        <v>23500</v>
      </c>
      <c r="E7795" t="s">
        <v>30271</v>
      </c>
    </row>
    <row r="7796" spans="1:5">
      <c r="A7796" t="s">
        <v>6</v>
      </c>
      <c r="B7796" t="s">
        <v>7801</v>
      </c>
      <c r="C7796">
        <f>HYPERLINK("C:\Users\franc\OneDrive\Documentos\MALENTIN KARIME\cvta protocolizadas\2014\PEDRO RUILOVA MALUENDA a SAMUEL SILVA VERGARA (OVALLE-soltero) SEPTIEMBRE 2014.doc", "Abrir Documento")</f>
        <v>0</v>
      </c>
      <c r="D7796" t="s">
        <v>23500</v>
      </c>
      <c r="E7796" t="s">
        <v>30272</v>
      </c>
    </row>
    <row r="7797" spans="1:5">
      <c r="A7797" t="s">
        <v>6</v>
      </c>
      <c r="B7797" t="s">
        <v>7802</v>
      </c>
      <c r="C7797">
        <f>HYPERLINK("C:\Users\franc\OneDrive\Documentos\MALENTIN KARIME\cvta protocolizadas\2014\PAOLA CONTRERAS  Rodrigo.doc", "Abrir Documento")</f>
        <v>0</v>
      </c>
      <c r="D7797" t="s">
        <v>23500</v>
      </c>
      <c r="E7797" t="s">
        <v>30273</v>
      </c>
    </row>
    <row r="7798" spans="1:5">
      <c r="A7798" t="s">
        <v>6</v>
      </c>
      <c r="B7798" t="s">
        <v>7803</v>
      </c>
      <c r="C7798">
        <f>HYPERLINK("C:\Users\franc\OneDrive\Documentos\MALENTIN KARIME\cvta protocolizadas\2014\MONICA RAQUEL CISTERNAS GARCIA a JORGE LEDEZMA ARAYA  (OVALLE-soltera) SEPTIEMBRE 2014.doc", "Abrir Documento")</f>
        <v>0</v>
      </c>
      <c r="D7798" t="s">
        <v>23500</v>
      </c>
      <c r="E7798" t="s">
        <v>30274</v>
      </c>
    </row>
    <row r="7799" spans="1:5">
      <c r="A7799" t="s">
        <v>6</v>
      </c>
      <c r="B7799" t="s">
        <v>7804</v>
      </c>
      <c r="C7799">
        <f>HYPERLINK("C:\Users\franc\OneDrive\Documentos\MALENTIN KARIME\cvta protocolizadas\2014\MONICA BARLARO Rodrigo.doc", "Abrir Documento")</f>
        <v>0</v>
      </c>
      <c r="D7799" t="s">
        <v>23500</v>
      </c>
      <c r="E7799" t="s">
        <v>30275</v>
      </c>
    </row>
    <row r="7800" spans="1:5">
      <c r="A7800" t="s">
        <v>6</v>
      </c>
      <c r="B7800" t="s">
        <v>7805</v>
      </c>
      <c r="C7800">
        <f>HYPERLINK("C:\Users\franc\OneDrive\Documentos\MALENTIN KARIME\cvta protocolizadas\2014\modelo.doc", "Abrir Documento")</f>
        <v>0</v>
      </c>
      <c r="D7800" t="s">
        <v>23500</v>
      </c>
      <c r="E7800" t="s">
        <v>30276</v>
      </c>
    </row>
    <row r="7801" spans="1:5">
      <c r="A7801" t="s">
        <v>6</v>
      </c>
      <c r="B7801" t="s">
        <v>7806</v>
      </c>
      <c r="C7801">
        <f>HYPERLINK("C:\Users\franc\OneDrive\Documentos\MALENTIN KARIME\cvta protocolizadas\2014\MIGUEL ZUÑIGA CONTRERAS.doc", "Abrir Documento")</f>
        <v>0</v>
      </c>
      <c r="D7801" t="s">
        <v>23500</v>
      </c>
      <c r="E7801" t="s">
        <v>30277</v>
      </c>
    </row>
    <row r="7802" spans="1:5">
      <c r="A7802" t="s">
        <v>6</v>
      </c>
      <c r="B7802" t="s">
        <v>7807</v>
      </c>
      <c r="C7802">
        <f>HYPERLINK("C:\Users\franc\OneDrive\Documentos\MALENTIN KARIME\cvta protocolizadas\2014\MIGUEL ZUÑIGA CONTRERAS para abogado.doc", "Abrir Documento")</f>
        <v>0</v>
      </c>
      <c r="D7802" t="s">
        <v>23500</v>
      </c>
      <c r="E7802" t="s">
        <v>30278</v>
      </c>
    </row>
    <row r="7803" spans="1:5">
      <c r="A7803" t="s">
        <v>6</v>
      </c>
      <c r="B7803" t="s">
        <v>7808</v>
      </c>
      <c r="C7803">
        <f>HYPERLINK("C:\Users\franc\OneDrive\Documentos\MALENTIN KARIME\cvta protocolizadas\2014\MERCEDES BUGUEÑO Suplencia.doc", "Abrir Documento")</f>
        <v>0</v>
      </c>
      <c r="D7803" t="s">
        <v>23500</v>
      </c>
      <c r="E7803" t="s">
        <v>30279</v>
      </c>
    </row>
    <row r="7804" spans="1:5">
      <c r="A7804" t="s">
        <v>6</v>
      </c>
      <c r="B7804" t="s">
        <v>7809</v>
      </c>
      <c r="C7804">
        <f>HYPERLINK("C:\Users\franc\OneDrive\Documentos\MALENTIN KARIME\cvta protocolizadas\2014\MANUELA VICENCIO  Rodrigo.doc", "Abrir Documento")</f>
        <v>0</v>
      </c>
      <c r="D7804" t="s">
        <v>23500</v>
      </c>
      <c r="E7804" t="s">
        <v>30280</v>
      </c>
    </row>
    <row r="7805" spans="1:5">
      <c r="A7805" t="s">
        <v>6</v>
      </c>
      <c r="B7805" t="s">
        <v>7810</v>
      </c>
      <c r="C7805">
        <f>HYPERLINK("C:\Users\franc\OneDrive\Documentos\MALENTIN KARIME\cvta protocolizadas\2014\MANUEL ROBLES SOLAR a JOVA MATURANA CERDA  (COQUIMBO-casado)  AGOSTO 2014.doc", "Abrir Documento")</f>
        <v>0</v>
      </c>
      <c r="D7805" t="s">
        <v>23500</v>
      </c>
      <c r="E7805" t="s">
        <v>30281</v>
      </c>
    </row>
    <row r="7806" spans="1:5">
      <c r="A7806" t="s">
        <v>6</v>
      </c>
      <c r="B7806" t="s">
        <v>7811</v>
      </c>
      <c r="C7806">
        <f>HYPERLINK("C:\Users\franc\OneDrive\Documentos\MALENTIN KARIME\cvta protocolizadas\2014\MACARENA CASTILLO Suplen.doc", "Abrir Documento")</f>
        <v>0</v>
      </c>
      <c r="D7806" t="s">
        <v>23500</v>
      </c>
      <c r="E7806" t="s">
        <v>30282</v>
      </c>
    </row>
    <row r="7807" spans="1:5">
      <c r="A7807" t="s">
        <v>6</v>
      </c>
      <c r="B7807" t="s">
        <v>7812</v>
      </c>
      <c r="C7807">
        <f>HYPERLINK("C:\Users\franc\OneDrive\Documentos\MALENTIN KARIME\cvta protocolizadas\2014\LUCIA MONDACA CORTES a MIGUEL ZUÑIGA CONTRERAS (OVALLE-soltera) SEPTIEMBRE 2014.doc", "Abrir Documento")</f>
        <v>0</v>
      </c>
      <c r="D7807" t="s">
        <v>23500</v>
      </c>
      <c r="E7807" t="s">
        <v>30283</v>
      </c>
    </row>
    <row r="7808" spans="1:5">
      <c r="A7808" t="s">
        <v>6</v>
      </c>
      <c r="B7808" t="s">
        <v>7813</v>
      </c>
      <c r="C7808">
        <f>HYPERLINK("C:\Users\franc\OneDrive\Documentos\MALENTIN KARIME\cvta protocolizadas\2014\LIDIA GUERRERO Rodrigo.doc", "Abrir Documento")</f>
        <v>0</v>
      </c>
      <c r="D7808" t="s">
        <v>23500</v>
      </c>
      <c r="E7808" t="s">
        <v>30284</v>
      </c>
    </row>
    <row r="7809" spans="1:5">
      <c r="A7809" t="s">
        <v>6</v>
      </c>
      <c r="B7809" t="s">
        <v>7814</v>
      </c>
      <c r="C7809">
        <f>HYPERLINK("C:\Users\franc\OneDrive\Documentos\MALENTIN KARIME\cvta protocolizadas\2014\JUANA PIZARRO MARIN.doc", "Abrir Documento")</f>
        <v>0</v>
      </c>
      <c r="D7809" t="s">
        <v>23500</v>
      </c>
      <c r="E7809" t="s">
        <v>30285</v>
      </c>
    </row>
    <row r="7810" spans="1:5">
      <c r="A7810" t="s">
        <v>6</v>
      </c>
      <c r="B7810" t="s">
        <v>7815</v>
      </c>
      <c r="C7810">
        <f>HYPERLINK("C:\Users\franc\OneDrive\Documentos\MALENTIN KARIME\cvta protocolizadas\2014\JOVA MATURANA.doc", "Abrir Documento")</f>
        <v>0</v>
      </c>
      <c r="D7810" t="s">
        <v>23500</v>
      </c>
      <c r="E7810" t="s">
        <v>30286</v>
      </c>
    </row>
    <row r="7811" spans="1:5">
      <c r="A7811" t="s">
        <v>6</v>
      </c>
      <c r="B7811" t="s">
        <v>7816</v>
      </c>
      <c r="C7811">
        <f>HYPERLINK("C:\Users\franc\OneDrive\Documentos\MALENTIN KARIME\cvta protocolizadas\2014\JORGE LEDEZMA ARAYA.doc", "Abrir Documento")</f>
        <v>0</v>
      </c>
      <c r="D7811" t="s">
        <v>23500</v>
      </c>
      <c r="E7811" t="s">
        <v>30287</v>
      </c>
    </row>
    <row r="7812" spans="1:5">
      <c r="A7812" t="s">
        <v>6</v>
      </c>
      <c r="B7812" t="s">
        <v>7817</v>
      </c>
      <c r="C7812">
        <f>HYPERLINK("C:\Users\franc\OneDrive\Documentos\MALENTIN KARIME\cvta protocolizadas\2014\HORACIO GODOY A MERCEDES BUGUEÑO.doc", "Abrir Documento")</f>
        <v>0</v>
      </c>
      <c r="D7812" t="s">
        <v>23500</v>
      </c>
      <c r="E7812" t="s">
        <v>30288</v>
      </c>
    </row>
    <row r="7813" spans="1:5">
      <c r="A7813" t="s">
        <v>6</v>
      </c>
      <c r="B7813" t="s">
        <v>7818</v>
      </c>
      <c r="C7813">
        <f>HYPERLINK("C:\Users\franc\OneDrive\Documentos\MALENTIN KARIME\cvta protocolizadas\2014\HADA DE LAS MERCEDES ARAYA a MACARENA CASTILLO GARRAU Jul 14.doc", "Abrir Documento")</f>
        <v>0</v>
      </c>
      <c r="D7813" t="s">
        <v>23500</v>
      </c>
      <c r="E7813" t="s">
        <v>30289</v>
      </c>
    </row>
    <row r="7814" spans="1:5">
      <c r="A7814" t="s">
        <v>6</v>
      </c>
      <c r="B7814" t="s">
        <v>7819</v>
      </c>
      <c r="C7814">
        <f>HYPERLINK("C:\Users\franc\OneDrive\Documentos\MALENTIN KARIME\cvta protocolizadas\2014\GUILLERMINA CERDA LOPEZ a YURI ZUÑIGA GARENDIA  (OVALLE-soltera) OCTUBRE  2014.doc", "Abrir Documento")</f>
        <v>0</v>
      </c>
      <c r="D7814" t="s">
        <v>23500</v>
      </c>
      <c r="E7814" t="s">
        <v>30290</v>
      </c>
    </row>
    <row r="7815" spans="1:5">
      <c r="A7815" t="s">
        <v>6</v>
      </c>
      <c r="B7815" t="s">
        <v>7820</v>
      </c>
      <c r="C7815">
        <f>HYPERLINK("C:\Users\franc\OneDrive\Documentos\MALENTIN KARIME\cvta protocolizadas\2014\GISSELLA ROJAS.doc", "Abrir Documento")</f>
        <v>0</v>
      </c>
      <c r="D7815" t="s">
        <v>23500</v>
      </c>
      <c r="E7815" t="s">
        <v>30291</v>
      </c>
    </row>
    <row r="7816" spans="1:5">
      <c r="A7816" t="s">
        <v>6</v>
      </c>
      <c r="B7816" t="s">
        <v>7821</v>
      </c>
      <c r="C7816">
        <f>HYPERLINK("C:\Users\franc\OneDrive\Documentos\MALENTIN KARIME\cvta protocolizadas\2014\GISSELA ROJAS.doc", "Abrir Documento")</f>
        <v>0</v>
      </c>
      <c r="D7816" t="s">
        <v>23500</v>
      </c>
      <c r="E7816" t="s">
        <v>30292</v>
      </c>
    </row>
    <row r="7817" spans="1:5">
      <c r="A7817" t="s">
        <v>6</v>
      </c>
      <c r="B7817" t="s">
        <v>7822</v>
      </c>
      <c r="C7817">
        <f>HYPERLINK("C:\Users\franc\OneDrive\Documentos\MALENTIN KARIME\cvta protocolizadas\2014\FANTINA OLIVARES VALDIVIA a MANUELA VICENCIO VICENCIO  (OVALLE-soltera) SEPTIEMBRE 2014.doc", "Abrir Documento")</f>
        <v>0</v>
      </c>
      <c r="D7817" t="s">
        <v>23500</v>
      </c>
      <c r="E7817" t="s">
        <v>30293</v>
      </c>
    </row>
    <row r="7818" spans="1:5">
      <c r="A7818" t="s">
        <v>6</v>
      </c>
      <c r="B7818" t="s">
        <v>7823</v>
      </c>
      <c r="C7818">
        <f>HYPERLINK("C:\Users\franc\OneDrive\Documentos\MALENTIN KARIME\cvta protocolizadas\2014\ESMIR DE LA CRUZ OLIVARES VICENCIO Y OTROS a YOLANDA CORTES CORTES  (OVALLE-herencia).doc", "Abrir Documento")</f>
        <v>0</v>
      </c>
      <c r="D7818" t="s">
        <v>23500</v>
      </c>
      <c r="E7818" t="s">
        <v>30294</v>
      </c>
    </row>
    <row r="7819" spans="1:5">
      <c r="A7819" t="s">
        <v>6</v>
      </c>
      <c r="B7819" t="s">
        <v>7824</v>
      </c>
      <c r="C7819">
        <f>HYPERLINK("C:\Users\franc\OneDrive\Documentos\MALENTIN KARIME\cvta protocolizadas\2014\DECLARACION JURADA parentesco.doc", "Abrir Documento")</f>
        <v>0</v>
      </c>
      <c r="D7819" t="s">
        <v>23500</v>
      </c>
      <c r="E7819" t="s">
        <v>30295</v>
      </c>
    </row>
    <row r="7820" spans="1:5">
      <c r="A7820" t="s">
        <v>6</v>
      </c>
      <c r="B7820" t="s">
        <v>7825</v>
      </c>
      <c r="C7820">
        <f>HYPERLINK("C:\Users\franc\OneDrive\Documentos\MALENTIN KARIME\cvta protocolizadas\2014\CLAUDIO ANTONIO ARAYA RODRIGUEZ a MONICA BARLARO VILLEGAS  (OVALLE- soltero).doc", "Abrir Documento")</f>
        <v>0</v>
      </c>
      <c r="D7820" t="s">
        <v>23500</v>
      </c>
      <c r="E7820" t="s">
        <v>30296</v>
      </c>
    </row>
    <row r="7821" spans="1:5">
      <c r="A7821" t="s">
        <v>6</v>
      </c>
      <c r="B7821" t="s">
        <v>7826</v>
      </c>
      <c r="C7821">
        <f>HYPERLINK("C:\Users\franc\OneDrive\Documentos\MALENTIN KARIME\cvta protocolizadas\2014\CECILIA BARRAZA  Rodrigo.doc", "Abrir Documento")</f>
        <v>0</v>
      </c>
      <c r="D7821" t="s">
        <v>23500</v>
      </c>
      <c r="E7821" t="s">
        <v>30297</v>
      </c>
    </row>
    <row r="7822" spans="1:5">
      <c r="A7822" t="s">
        <v>6</v>
      </c>
      <c r="B7822" t="s">
        <v>7827</v>
      </c>
      <c r="C7822">
        <f>HYPERLINK("C:\Users\franc\OneDrive\Documentos\MALENTIN KARIME\cvta protocolizadas\2014\CARMEN CASTRO ROBLES a PAOLA CONTRERAS ROJAS  (OVALLE-soltera) OCTUBRE  2014.doc", "Abrir Documento")</f>
        <v>0</v>
      </c>
      <c r="D7822" t="s">
        <v>23500</v>
      </c>
      <c r="E7822" t="s">
        <v>30298</v>
      </c>
    </row>
    <row r="7823" spans="1:5">
      <c r="A7823" t="s">
        <v>6</v>
      </c>
      <c r="B7823" t="s">
        <v>7828</v>
      </c>
      <c r="C7823">
        <f>HYPERLINK("C:\Users\franc\OneDrive\Documentos\MALENTIN KARIME\cvta protocolizadas\2014\BIANCA MIRANDA  Rodrigo.doc", "Abrir Documento")</f>
        <v>0</v>
      </c>
      <c r="D7823" t="s">
        <v>23500</v>
      </c>
      <c r="E7823" t="s">
        <v>30299</v>
      </c>
    </row>
    <row r="7824" spans="1:5">
      <c r="A7824" t="s">
        <v>6</v>
      </c>
      <c r="B7824" t="s">
        <v>7829</v>
      </c>
      <c r="C7824">
        <f>HYPERLINK("C:\Users\franc\OneDrive\Documentos\MALENTIN KARIME\cvta protocolizadas\2014\ANGEL CUSTODIO ESPINOZA a CECILIA BARRAZA BARRAZA  (OVALLE-CASADO) JUNIO 2014-1.doc", "Abrir Documento")</f>
        <v>0</v>
      </c>
      <c r="D7824" t="s">
        <v>23500</v>
      </c>
      <c r="E7824" t="s">
        <v>30300</v>
      </c>
    </row>
    <row r="7825" spans="1:5">
      <c r="A7825" t="s">
        <v>6</v>
      </c>
      <c r="B7825" t="s">
        <v>7830</v>
      </c>
      <c r="C7825">
        <f>HYPERLINK("C:\Users\franc\OneDrive\Documentos\MALENTIN KARIME\cvta protocolizadas\2014\ALEJANDRINA ANDRADE.doc", "Abrir Documento")</f>
        <v>0</v>
      </c>
      <c r="D7825" t="s">
        <v>23500</v>
      </c>
      <c r="E7825" t="s">
        <v>30301</v>
      </c>
    </row>
    <row r="7826" spans="1:5">
      <c r="A7826" t="s">
        <v>6</v>
      </c>
      <c r="B7826" t="s">
        <v>7831</v>
      </c>
      <c r="C7826">
        <f>HYPERLINK("C:\Users\franc\OneDrive\Documentos\MALENTIN KARIME\cvta protocolizadas\YERKA ORTIZ.doc", "Abrir Documento")</f>
        <v>0</v>
      </c>
      <c r="D7826" t="s">
        <v>23500</v>
      </c>
      <c r="E7826" t="s">
        <v>30302</v>
      </c>
    </row>
    <row r="7827" spans="1:5">
      <c r="A7827" t="s">
        <v>6</v>
      </c>
      <c r="B7827" t="s">
        <v>7832</v>
      </c>
      <c r="C7827">
        <f>HYPERLINK("C:\Users\franc\OneDrive\Documentos\MALENTIN KARIME\cvta protocolizadas\YENNY ORREGO CASTILLO.doc", "Abrir Documento")</f>
        <v>0</v>
      </c>
      <c r="D7827" t="s">
        <v>23500</v>
      </c>
      <c r="E7827" t="s">
        <v>30303</v>
      </c>
    </row>
    <row r="7828" spans="1:5">
      <c r="A7828" t="s">
        <v>6</v>
      </c>
      <c r="B7828" t="s">
        <v>7833</v>
      </c>
      <c r="C7828">
        <f>HYPERLINK("C:\Users\franc\OneDrive\Documentos\MALENTIN KARIME\cvta protocolizadas\YARTIZA BARRIENTOS Andrea.doc", "Abrir Documento")</f>
        <v>0</v>
      </c>
      <c r="D7828" t="s">
        <v>23500</v>
      </c>
      <c r="E7828" t="s">
        <v>30304</v>
      </c>
    </row>
    <row r="7829" spans="1:5">
      <c r="A7829" t="s">
        <v>6</v>
      </c>
      <c r="B7829" t="s">
        <v>7834</v>
      </c>
      <c r="C7829">
        <f>HYPERLINK("C:\Users\franc\OneDrive\Documentos\MALENTIN KARIME\cvta protocolizadas\WALDEMAR AGUIRRE.doc", "Abrir Documento")</f>
        <v>0</v>
      </c>
      <c r="D7829" t="s">
        <v>23500</v>
      </c>
      <c r="E7829" t="s">
        <v>30305</v>
      </c>
    </row>
    <row r="7830" spans="1:5">
      <c r="A7830" t="s">
        <v>6</v>
      </c>
      <c r="B7830" t="s">
        <v>7835</v>
      </c>
      <c r="C7830">
        <f>HYPERLINK("C:\Users\franc\OneDrive\Documentos\MALENTIN KARIME\cvta protocolizadas\VITAL PASTEN PASTEN a VERONICA ARAYA ALVAREZ (Ovalle).doc", "Abrir Documento")</f>
        <v>0</v>
      </c>
      <c r="D7830" t="s">
        <v>23500</v>
      </c>
      <c r="E7830" t="s">
        <v>30306</v>
      </c>
    </row>
    <row r="7831" spans="1:5">
      <c r="A7831" t="s">
        <v>6</v>
      </c>
      <c r="B7831" t="s">
        <v>7836</v>
      </c>
      <c r="C7831">
        <f>HYPERLINK("C:\Users\franc\OneDrive\Documentos\MALENTIN KARIME\cvta protocolizadas\VERONICA ARAYA.doc", "Abrir Documento")</f>
        <v>0</v>
      </c>
      <c r="D7831" t="s">
        <v>23500</v>
      </c>
      <c r="E7831" t="s">
        <v>30307</v>
      </c>
    </row>
    <row r="7832" spans="1:5">
      <c r="A7832" t="s">
        <v>6</v>
      </c>
      <c r="B7832" t="s">
        <v>7837</v>
      </c>
      <c r="C7832">
        <f>HYPERLINK("C:\Users\franc\OneDrive\Documentos\MALENTIN KARIME\cvta protocolizadas\SONIA VASQUEZ ROJAS a ANGELICA MUNDACA JOFRE (Ovalle).doc", "Abrir Documento")</f>
        <v>0</v>
      </c>
      <c r="D7832" t="s">
        <v>23500</v>
      </c>
      <c r="E7832" t="s">
        <v>30308</v>
      </c>
    </row>
    <row r="7833" spans="1:5">
      <c r="A7833" t="s">
        <v>6</v>
      </c>
      <c r="B7833" t="s">
        <v>7838</v>
      </c>
      <c r="C7833">
        <f>HYPERLINK("C:\Users\franc\OneDrive\Documentos\MALENTIN KARIME\cvta protocolizadas\SONIA JOFRE Rodrigo.doc", "Abrir Documento")</f>
        <v>0</v>
      </c>
      <c r="D7833" t="s">
        <v>23500</v>
      </c>
      <c r="E7833" t="s">
        <v>30309</v>
      </c>
    </row>
    <row r="7834" spans="1:5">
      <c r="A7834" t="s">
        <v>6</v>
      </c>
      <c r="B7834" t="s">
        <v>7839</v>
      </c>
      <c r="C7834">
        <f>HYPERLINK("C:\Users\franc\OneDrive\Documentos\MALENTIN KARIME\cvta protocolizadas\SOFIA VELIZ Patty.doc", "Abrir Documento")</f>
        <v>0</v>
      </c>
      <c r="D7834" t="s">
        <v>23500</v>
      </c>
      <c r="E7834" t="s">
        <v>30310</v>
      </c>
    </row>
    <row r="7835" spans="1:5">
      <c r="A7835" t="s">
        <v>6</v>
      </c>
      <c r="B7835" t="s">
        <v>7840</v>
      </c>
      <c r="C7835">
        <f>HYPERLINK("C:\Users\franc\OneDrive\Documentos\MALENTIN KARIME\cvta protocolizadas\ROSA AMINTA MUÑOZ.doc", "Abrir Documento")</f>
        <v>0</v>
      </c>
      <c r="D7835" t="s">
        <v>23500</v>
      </c>
      <c r="E7835" t="s">
        <v>30311</v>
      </c>
    </row>
    <row r="7836" spans="1:5">
      <c r="A7836" t="s">
        <v>6</v>
      </c>
      <c r="B7836" t="s">
        <v>7841</v>
      </c>
      <c r="C7836">
        <f>HYPERLINK("C:\Users\franc\OneDrive\Documentos\MALENTIN KARIME\cvta protocolizadas\RICARDO CORTES VIDELA.doc", "Abrir Documento")</f>
        <v>0</v>
      </c>
      <c r="D7836" t="s">
        <v>23500</v>
      </c>
      <c r="E7836" t="s">
        <v>30312</v>
      </c>
    </row>
    <row r="7837" spans="1:5">
      <c r="A7837" t="s">
        <v>6</v>
      </c>
      <c r="B7837" t="s">
        <v>7842</v>
      </c>
      <c r="C7837">
        <f>HYPERLINK("C:\Users\franc\OneDrive\Documentos\MALENTIN KARIME\cvta protocolizadas\PERLA ARAYA Suplen.doc", "Abrir Documento")</f>
        <v>0</v>
      </c>
      <c r="D7837" t="s">
        <v>23500</v>
      </c>
      <c r="E7837" t="s">
        <v>30313</v>
      </c>
    </row>
    <row r="7838" spans="1:5">
      <c r="A7838" t="s">
        <v>6</v>
      </c>
      <c r="B7838" t="s">
        <v>7843</v>
      </c>
      <c r="C7838">
        <f>HYPERLINK("C:\Users\franc\OneDrive\Documentos\MALENTIN KARIME\cvta protocolizadas\PAOLA VICUÑA Suplen.doc", "Abrir Documento")</f>
        <v>0</v>
      </c>
      <c r="D7838" t="s">
        <v>23500</v>
      </c>
      <c r="E7838" t="s">
        <v>30314</v>
      </c>
    </row>
    <row r="7839" spans="1:5">
      <c r="A7839" t="s">
        <v>6</v>
      </c>
      <c r="B7839" t="s">
        <v>7844</v>
      </c>
      <c r="C7839">
        <f>HYPERLINK("C:\Users\franc\OneDrive\Documentos\MALENTIN KARIME\cvta protocolizadas\PAOLA CASTRO BONILLA.doc", "Abrir Documento")</f>
        <v>0</v>
      </c>
      <c r="D7839" t="s">
        <v>23500</v>
      </c>
      <c r="E7839" t="s">
        <v>30315</v>
      </c>
    </row>
    <row r="7840" spans="1:5">
      <c r="A7840" t="s">
        <v>6</v>
      </c>
      <c r="B7840" t="s">
        <v>7845</v>
      </c>
      <c r="C7840">
        <f>HYPERLINK("C:\Users\franc\OneDrive\Documentos\MALENTIN KARIME\cvta protocolizadas\oriana villarroel.doc", "Abrir Documento")</f>
        <v>0</v>
      </c>
      <c r="D7840" t="s">
        <v>23500</v>
      </c>
      <c r="E7840" t="s">
        <v>30316</v>
      </c>
    </row>
    <row r="7841" spans="1:5">
      <c r="A7841" t="s">
        <v>6</v>
      </c>
      <c r="B7841" t="s">
        <v>7846</v>
      </c>
      <c r="C7841">
        <f>HYPERLINK("C:\Users\franc\OneDrive\Documentos\MALENTIN KARIME\cvta protocolizadas\NISENKAREN SANCHEZ SANCHEZ.doc", "Abrir Documento")</f>
        <v>0</v>
      </c>
      <c r="D7841" t="s">
        <v>23500</v>
      </c>
      <c r="E7841" t="s">
        <v>30317</v>
      </c>
    </row>
    <row r="7842" spans="1:5">
      <c r="A7842" t="s">
        <v>6</v>
      </c>
      <c r="B7842" t="s">
        <v>7847</v>
      </c>
      <c r="C7842">
        <f>HYPERLINK("C:\Users\franc\OneDrive\Documentos\MALENTIN KARIME\cvta protocolizadas\MIGUEL ANGEL SALINAS BAHAMONDES a PERLA ARAYA ROBLES Abril 13.doc", "Abrir Documento")</f>
        <v>0</v>
      </c>
      <c r="D7842" t="s">
        <v>23500</v>
      </c>
      <c r="E7842" t="s">
        <v>30318</v>
      </c>
    </row>
    <row r="7843" spans="1:5">
      <c r="A7843" t="s">
        <v>6</v>
      </c>
      <c r="B7843" t="s">
        <v>7848</v>
      </c>
      <c r="C7843">
        <f>HYPERLINK("C:\Users\franc\OneDrive\Documentos\MALENTIN KARIME\cvta protocolizadas\MARJORIE ARAYA.doc", "Abrir Documento")</f>
        <v>0</v>
      </c>
      <c r="D7843" t="s">
        <v>23500</v>
      </c>
      <c r="E7843" t="s">
        <v>30319</v>
      </c>
    </row>
    <row r="7844" spans="1:5">
      <c r="A7844" t="s">
        <v>6</v>
      </c>
      <c r="B7844" t="s">
        <v>7849</v>
      </c>
      <c r="C7844">
        <f>HYPERLINK("C:\Users\franc\OneDrive\Documentos\MALENTIN KARIME\cvta protocolizadas\MARICEL RAMIREZ.doc", "Abrir Documento")</f>
        <v>0</v>
      </c>
      <c r="D7844" t="s">
        <v>23500</v>
      </c>
      <c r="E7844" t="s">
        <v>30320</v>
      </c>
    </row>
    <row r="7845" spans="1:5">
      <c r="A7845" t="s">
        <v>6</v>
      </c>
      <c r="B7845" t="s">
        <v>7850</v>
      </c>
      <c r="C7845">
        <f>HYPERLINK("C:\Users\franc\OneDrive\Documentos\MALENTIN KARIME\cvta protocolizadas\MARIANA MUÑOZ ALVAREZ a SONIA JOFRE JOFRE (Ovalle).doc", "Abrir Documento")</f>
        <v>0</v>
      </c>
      <c r="D7845" t="s">
        <v>23500</v>
      </c>
      <c r="E7845" t="s">
        <v>30321</v>
      </c>
    </row>
    <row r="7846" spans="1:5">
      <c r="A7846" t="s">
        <v>6</v>
      </c>
      <c r="B7846" t="s">
        <v>7851</v>
      </c>
      <c r="C7846">
        <f>HYPERLINK("C:\Users\franc\OneDrive\Documentos\MALENTIN KARIME\cvta protocolizadas\MARIA TAPIA TRONCOSO Rc.doc", "Abrir Documento")</f>
        <v>0</v>
      </c>
      <c r="D7846" t="s">
        <v>23500</v>
      </c>
      <c r="E7846" t="s">
        <v>30322</v>
      </c>
    </row>
    <row r="7847" spans="1:5">
      <c r="A7847" t="s">
        <v>6</v>
      </c>
      <c r="B7847" t="s">
        <v>7852</v>
      </c>
      <c r="C7847">
        <f>HYPERLINK("C:\Users\franc\OneDrive\Documentos\MALENTIN KARIME\cvta protocolizadas\MARIA TABILO RODRIGUEZ a ALEJANDRINA ANDRADE GALLARDO (Ovalle).doc", "Abrir Documento")</f>
        <v>0</v>
      </c>
      <c r="D7847" t="s">
        <v>23500</v>
      </c>
      <c r="E7847" t="s">
        <v>30323</v>
      </c>
    </row>
    <row r="7848" spans="1:5">
      <c r="A7848" t="s">
        <v>6</v>
      </c>
      <c r="B7848" t="s">
        <v>7853</v>
      </c>
      <c r="C7848">
        <f>HYPERLINK("C:\Users\franc\OneDrive\Documentos\MALENTIN KARIME\cvta protocolizadas\MARIA RAMIREZ SEGURA a MARICEL RAMIREZ DIAZ (Ovalle)DIC.doc", "Abrir Documento")</f>
        <v>0</v>
      </c>
      <c r="D7848" t="s">
        <v>23500</v>
      </c>
      <c r="E7848" t="s">
        <v>30324</v>
      </c>
    </row>
    <row r="7849" spans="1:5">
      <c r="A7849" t="s">
        <v>6</v>
      </c>
      <c r="B7849" t="s">
        <v>7854</v>
      </c>
      <c r="C7849">
        <f>HYPERLINK("C:\Users\franc\OneDrive\Documentos\MALENTIN KARIME\cvta protocolizadas\MARIA JOFRE ARIAS.doc", "Abrir Documento")</f>
        <v>0</v>
      </c>
      <c r="D7849" t="s">
        <v>23500</v>
      </c>
      <c r="E7849" t="s">
        <v>30325</v>
      </c>
    </row>
    <row r="7850" spans="1:5">
      <c r="A7850" t="s">
        <v>6</v>
      </c>
      <c r="B7850" t="s">
        <v>7855</v>
      </c>
      <c r="C7850">
        <f>HYPERLINK("C:\Users\franc\OneDrive\Documentos\MALENTIN KARIME\cvta protocolizadas\MARIA CARVAJAL GUERRERO a GLORIA BLANCO BUGUEÑO (Ovalle).doc", "Abrir Documento")</f>
        <v>0</v>
      </c>
      <c r="D7850" t="s">
        <v>23500</v>
      </c>
      <c r="E7850" t="s">
        <v>30326</v>
      </c>
    </row>
    <row r="7851" spans="1:5">
      <c r="A7851" t="s">
        <v>6</v>
      </c>
      <c r="B7851" t="s">
        <v>7856</v>
      </c>
      <c r="C7851">
        <f>HYPERLINK("C:\Users\franc\OneDrive\Documentos\MALENTIN KARIME\cvta protocolizadas\MARIA ANTONIETA NAVARRO TAPIA a PAOLA CASTRO BONILLA (Agostole).doc", "Abrir Documento")</f>
        <v>0</v>
      </c>
      <c r="D7851" t="s">
        <v>23500</v>
      </c>
      <c r="E7851" t="s">
        <v>30327</v>
      </c>
    </row>
    <row r="7852" spans="1:5">
      <c r="A7852" t="s">
        <v>6</v>
      </c>
      <c r="B7852" t="s">
        <v>7857</v>
      </c>
      <c r="C7852">
        <f>HYPERLINK("C:\Users\franc\OneDrive\Documentos\MALENTIN KARIME\cvta protocolizadas\MARCO ANTONIO ADAOS POZO a YERKA ORTIZ MALUENDA (Ovalle).doc", "Abrir Documento")</f>
        <v>0</v>
      </c>
      <c r="D7852" t="s">
        <v>23500</v>
      </c>
      <c r="E7852" t="s">
        <v>30328</v>
      </c>
    </row>
    <row r="7853" spans="1:5">
      <c r="A7853" t="s">
        <v>6</v>
      </c>
      <c r="B7853" t="s">
        <v>7858</v>
      </c>
      <c r="C7853">
        <f>HYPERLINK("C:\Users\franc\OneDrive\Documentos\MALENTIN KARIME\cvta protocolizadas\MARCIA LOPEZ LOPEZ a MARJORIE ARAYA ROBLES (Ovalle).doc", "Abrir Documento")</f>
        <v>0</v>
      </c>
      <c r="D7853" t="s">
        <v>23500</v>
      </c>
      <c r="E7853" t="s">
        <v>30329</v>
      </c>
    </row>
    <row r="7854" spans="1:5">
      <c r="A7854" t="s">
        <v>6</v>
      </c>
      <c r="B7854" t="s">
        <v>7859</v>
      </c>
      <c r="C7854">
        <f>HYPERLINK("C:\Users\franc\OneDrive\Documentos\MALENTIN KARIME\cvta protocolizadas\MARCELA GARCIA ARAYA.doc", "Abrir Documento")</f>
        <v>0</v>
      </c>
      <c r="D7854" t="s">
        <v>23500</v>
      </c>
      <c r="E7854" t="s">
        <v>30330</v>
      </c>
    </row>
    <row r="7855" spans="1:5">
      <c r="A7855" t="s">
        <v>6</v>
      </c>
      <c r="B7855" t="s">
        <v>7860</v>
      </c>
      <c r="C7855">
        <f>HYPERLINK("C:\Users\franc\OneDrive\Documentos\MALENTIN KARIME\cvta protocolizadas\LUISA JOSEFINA.doc", "Abrir Documento")</f>
        <v>0</v>
      </c>
      <c r="D7855" t="s">
        <v>23500</v>
      </c>
      <c r="E7855" t="s">
        <v>30331</v>
      </c>
    </row>
    <row r="7856" spans="1:5">
      <c r="A7856" t="s">
        <v>6</v>
      </c>
      <c r="B7856" t="s">
        <v>7861</v>
      </c>
      <c r="C7856">
        <f>HYPERLINK("C:\Users\franc\OneDrive\Documentos\MALENTIN KARIME\cvta protocolizadas\LUISA JOSEFINA LETELIER a WILLIAM CARMONA SANCHEZ (Ovalle).doc", "Abrir Documento")</f>
        <v>0</v>
      </c>
      <c r="D7856" t="s">
        <v>23500</v>
      </c>
      <c r="E7856" t="s">
        <v>30332</v>
      </c>
    </row>
    <row r="7857" spans="1:5">
      <c r="A7857" t="s">
        <v>6</v>
      </c>
      <c r="B7857" t="s">
        <v>7862</v>
      </c>
      <c r="C7857">
        <f>HYPERLINK("C:\Users\franc\OneDrive\Documentos\MALENTIN KARIME\cvta protocolizadas\LUIS MIRANDA VEGA.doc", "Abrir Documento")</f>
        <v>0</v>
      </c>
      <c r="D7857" t="s">
        <v>23500</v>
      </c>
      <c r="E7857" t="s">
        <v>30333</v>
      </c>
    </row>
    <row r="7858" spans="1:5">
      <c r="A7858" t="s">
        <v>6</v>
      </c>
      <c r="B7858" t="s">
        <v>7863</v>
      </c>
      <c r="C7858">
        <f>HYPERLINK("C:\Users\franc\OneDrive\Documentos\MALENTIN KARIME\cvta protocolizadas\LUCINDA BEATRIZ ROJAS ROJAS a ESTER PAULINA LOPEZ GONZALEZ(Ovalle).doc", "Abrir Documento")</f>
        <v>0</v>
      </c>
      <c r="D7858" t="s">
        <v>23500</v>
      </c>
      <c r="E7858" t="s">
        <v>30334</v>
      </c>
    </row>
    <row r="7859" spans="1:5">
      <c r="A7859" t="s">
        <v>6</v>
      </c>
      <c r="B7859" t="s">
        <v>7864</v>
      </c>
      <c r="C7859">
        <f>HYPERLINK("C:\Users\franc\OneDrive\Documentos\MALENTIN KARIME\cvta protocolizadas\LORENA ARAYA.doc", "Abrir Documento")</f>
        <v>0</v>
      </c>
      <c r="D7859" t="s">
        <v>23500</v>
      </c>
      <c r="E7859" t="s">
        <v>30335</v>
      </c>
    </row>
    <row r="7860" spans="1:5">
      <c r="A7860" t="s">
        <v>6</v>
      </c>
      <c r="B7860" t="s">
        <v>7865</v>
      </c>
      <c r="C7860">
        <f>HYPERLINK("C:\Users\franc\OneDrive\Documentos\MALENTIN KARIME\cvta protocolizadas\JUAN CARLOS PAYEROS CASTRO a BRAULIO JUICA ESTAY (OVALLE).doc", "Abrir Documento")</f>
        <v>0</v>
      </c>
      <c r="D7860" t="s">
        <v>23500</v>
      </c>
      <c r="E7860" t="s">
        <v>30336</v>
      </c>
    </row>
    <row r="7861" spans="1:5">
      <c r="A7861" t="s">
        <v>6</v>
      </c>
      <c r="B7861" t="s">
        <v>7866</v>
      </c>
      <c r="C7861">
        <f>HYPERLINK("C:\Users\franc\OneDrive\Documentos\MALENTIN KARIME\cvta protocolizadas\JOSELITO CORTES PIÑONES a PAMELA CASTRO MIRANDA (OVALLE-divorciado).doc", "Abrir Documento")</f>
        <v>0</v>
      </c>
      <c r="D7861" t="s">
        <v>23500</v>
      </c>
      <c r="E7861" t="s">
        <v>30337</v>
      </c>
    </row>
    <row r="7862" spans="1:5">
      <c r="A7862" t="s">
        <v>6</v>
      </c>
      <c r="B7862" t="s">
        <v>7867</v>
      </c>
      <c r="C7862">
        <f>HYPERLINK("C:\Users\franc\OneDrive\Documentos\MALENTIN KARIME\cvta protocolizadas\JOSELITO CORTES  Suplente Patty.doc", "Abrir Documento")</f>
        <v>0</v>
      </c>
      <c r="D7862" t="s">
        <v>23500</v>
      </c>
      <c r="E7862" t="s">
        <v>30338</v>
      </c>
    </row>
    <row r="7863" spans="1:5">
      <c r="A7863" t="s">
        <v>6</v>
      </c>
      <c r="B7863" t="s">
        <v>7868</v>
      </c>
      <c r="C7863">
        <f>HYPERLINK("C:\Users\franc\OneDrive\Documentos\MALENTIN KARIME\cvta protocolizadas\JOSE ARAYA RAMIREZ a ROSA MUÑOZ ARAYA (Ovalle).doc", "Abrir Documento")</f>
        <v>0</v>
      </c>
      <c r="D7863" t="s">
        <v>23500</v>
      </c>
      <c r="E7863" t="s">
        <v>30339</v>
      </c>
    </row>
    <row r="7864" spans="1:5">
      <c r="A7864" t="s">
        <v>6</v>
      </c>
      <c r="B7864" t="s">
        <v>7869</v>
      </c>
      <c r="C7864">
        <f>HYPERLINK("C:\Users\franc\OneDrive\Documentos\MALENTIN KARIME\cvta protocolizadas\JOHANA FLORS.doc", "Abrir Documento")</f>
        <v>0</v>
      </c>
      <c r="D7864" t="s">
        <v>23500</v>
      </c>
      <c r="E7864" t="s">
        <v>30340</v>
      </c>
    </row>
    <row r="7865" spans="1:5">
      <c r="A7865" t="s">
        <v>6</v>
      </c>
      <c r="B7865" t="s">
        <v>7870</v>
      </c>
      <c r="C7865">
        <f>HYPERLINK("C:\Users\franc\OneDrive\Documentos\MALENTIN KARIME\cvta protocolizadas\JESSICA JOPIA VALDES.doc", "Abrir Documento")</f>
        <v>0</v>
      </c>
      <c r="D7865" t="s">
        <v>23500</v>
      </c>
      <c r="E7865" t="s">
        <v>30341</v>
      </c>
    </row>
    <row r="7866" spans="1:5">
      <c r="A7866" t="s">
        <v>6</v>
      </c>
      <c r="B7866" t="s">
        <v>7871</v>
      </c>
      <c r="C7866">
        <f>HYPERLINK("C:\Users\franc\OneDrive\Documentos\MALENTIN KARIME\cvta protocolizadas\JESSICA AROSTICA Rodrigo.doc", "Abrir Documento")</f>
        <v>0</v>
      </c>
      <c r="D7866" t="s">
        <v>23500</v>
      </c>
      <c r="E7866" t="s">
        <v>30342</v>
      </c>
    </row>
    <row r="7867" spans="1:5">
      <c r="A7867" t="s">
        <v>6</v>
      </c>
      <c r="B7867" t="s">
        <v>7872</v>
      </c>
      <c r="C7867">
        <f>HYPERLINK("C:\Users\franc\OneDrive\Documentos\MALENTIN KARIME\cvta protocolizadas\JENNY VEGA OSSANDON a NISSEN SANCHEZ SANCHEZ (Agosto).doc", "Abrir Documento")</f>
        <v>0</v>
      </c>
      <c r="D7867" t="s">
        <v>23500</v>
      </c>
      <c r="E7867" t="s">
        <v>30343</v>
      </c>
    </row>
    <row r="7868" spans="1:5">
      <c r="A7868" t="s">
        <v>6</v>
      </c>
      <c r="B7868" t="s">
        <v>7873</v>
      </c>
      <c r="C7868">
        <f>HYPERLINK("C:\Users\franc\OneDrive\Documentos\MALENTIN KARIME\cvta protocolizadas\JEIMY TERESA PONCE CONTRERAS poder extr.doc", "Abrir Documento")</f>
        <v>0</v>
      </c>
      <c r="D7868" t="s">
        <v>23500</v>
      </c>
      <c r="E7868" t="s">
        <v>30344</v>
      </c>
    </row>
    <row r="7869" spans="1:5">
      <c r="A7869" t="s">
        <v>6</v>
      </c>
      <c r="B7869" t="s">
        <v>7874</v>
      </c>
      <c r="C7869">
        <f>HYPERLINK("C:\Users\franc\OneDrive\Documentos\MALENTIN KARIME\cvta protocolizadas\JEIMY PONCE.doc", "Abrir Documento")</f>
        <v>0</v>
      </c>
      <c r="D7869" t="s">
        <v>23500</v>
      </c>
      <c r="E7869" t="s">
        <v>30345</v>
      </c>
    </row>
    <row r="7870" spans="1:5">
      <c r="A7870" t="s">
        <v>6</v>
      </c>
      <c r="B7870" t="s">
        <v>7875</v>
      </c>
      <c r="C7870">
        <f>HYPERLINK("C:\Users\franc\OneDrive\Documentos\MALENTIN KARIME\cvta protocolizadas\JACQUELINE JOFRE GONZALEZ a CLAUDIO CASANGA ARAYA (Ovalle).doc", "Abrir Documento")</f>
        <v>0</v>
      </c>
      <c r="D7870" t="s">
        <v>23500</v>
      </c>
      <c r="E7870" t="s">
        <v>30346</v>
      </c>
    </row>
    <row r="7871" spans="1:5">
      <c r="A7871" t="s">
        <v>6</v>
      </c>
      <c r="B7871" t="s">
        <v>7876</v>
      </c>
      <c r="C7871">
        <f>HYPERLINK("C:\Users\franc\OneDrive\Documentos\MALENTIN KARIME\cvta protocolizadas\IDOLIA TAPIA VALDIVIA a JESSICA AROSTICA VEGA (Agosto).doc", "Abrir Documento")</f>
        <v>0</v>
      </c>
      <c r="D7871" t="s">
        <v>23500</v>
      </c>
      <c r="E7871" t="s">
        <v>30347</v>
      </c>
    </row>
    <row r="7872" spans="1:5">
      <c r="A7872" t="s">
        <v>6</v>
      </c>
      <c r="B7872" t="s">
        <v>7877</v>
      </c>
      <c r="C7872">
        <f>HYPERLINK("C:\Users\franc\OneDrive\Documentos\MALENTIN KARIME\cvta protocolizadas\HERNAN ANTONIO ALFARO HIDALGO a JEIMY TERESA PONCE CONTRERAS (Ovalle).doc", "Abrir Documento")</f>
        <v>0</v>
      </c>
      <c r="D7872" t="s">
        <v>23500</v>
      </c>
      <c r="E7872" t="s">
        <v>30348</v>
      </c>
    </row>
    <row r="7873" spans="1:5">
      <c r="A7873" t="s">
        <v>6</v>
      </c>
      <c r="B7873" t="s">
        <v>7878</v>
      </c>
      <c r="C7873">
        <f>HYPERLINK("C:\Users\franc\OneDrive\Documentos\MALENTIN KARIME\cvta protocolizadas\GLORIA B LANCO.doc", "Abrir Documento")</f>
        <v>0</v>
      </c>
      <c r="D7873" t="s">
        <v>23500</v>
      </c>
      <c r="E7873" t="s">
        <v>30349</v>
      </c>
    </row>
    <row r="7874" spans="1:5">
      <c r="A7874" t="s">
        <v>6</v>
      </c>
      <c r="B7874" t="s">
        <v>7879</v>
      </c>
      <c r="C7874">
        <f>HYPERLINK("C:\Users\franc\OneDrive\Documentos\MALENTIN KARIME\cvta protocolizadas\FRESIA ARAYA RAMOS A MARIA TAPIA (Ovalle).doc", "Abrir Documento")</f>
        <v>0</v>
      </c>
      <c r="D7874" t="s">
        <v>23500</v>
      </c>
      <c r="E7874" t="s">
        <v>30350</v>
      </c>
    </row>
    <row r="7875" spans="1:5">
      <c r="A7875" t="s">
        <v>6</v>
      </c>
      <c r="B7875" t="s">
        <v>7880</v>
      </c>
      <c r="C7875">
        <f>HYPERLINK("C:\Users\franc\OneDrive\Documentos\MALENTIN KARIME\cvta protocolizadas\FRANCIS HORMAZABAL.doc", "Abrir Documento")</f>
        <v>0</v>
      </c>
      <c r="D7875" t="s">
        <v>23500</v>
      </c>
      <c r="E7875" t="s">
        <v>30351</v>
      </c>
    </row>
    <row r="7876" spans="1:5">
      <c r="A7876" t="s">
        <v>6</v>
      </c>
      <c r="B7876" t="s">
        <v>7881</v>
      </c>
      <c r="C7876">
        <f>HYPERLINK("C:\Users\franc\OneDrive\Documentos\MALENTIN KARIME\cvta protocolizadas\firma.doc", "Abrir Documento")</f>
        <v>0</v>
      </c>
      <c r="D7876" t="s">
        <v>23500</v>
      </c>
      <c r="E7876" t="s">
        <v>30352</v>
      </c>
    </row>
    <row r="7877" spans="1:5">
      <c r="A7877" t="s">
        <v>6</v>
      </c>
      <c r="B7877" t="s">
        <v>7882</v>
      </c>
      <c r="C7877">
        <f>HYPERLINK("C:\Users\franc\OneDrive\Documentos\MALENTIN KARIME\cvta protocolizadas\FERNANDO VEGA VIGORENA a CLAUDIA MALUENDA CARVAJAL (Ovalle) ART.150.doc", "Abrir Documento")</f>
        <v>0</v>
      </c>
      <c r="D7877" t="s">
        <v>23500</v>
      </c>
      <c r="E7877" t="s">
        <v>30353</v>
      </c>
    </row>
    <row r="7878" spans="1:5">
      <c r="A7878" t="s">
        <v>6</v>
      </c>
      <c r="B7878" t="s">
        <v>7883</v>
      </c>
      <c r="C7878">
        <f>HYPERLINK("C:\Users\franc\OneDrive\Documentos\MALENTIN KARIME\cvta protocolizadas\EVELYN VEGA GONZÁLEZ.doc", "Abrir Documento")</f>
        <v>0</v>
      </c>
      <c r="D7878" t="s">
        <v>23500</v>
      </c>
      <c r="E7878" t="s">
        <v>30354</v>
      </c>
    </row>
    <row r="7879" spans="1:5">
      <c r="A7879" t="s">
        <v>6</v>
      </c>
      <c r="B7879" t="s">
        <v>7884</v>
      </c>
      <c r="C7879">
        <f>HYPERLINK("C:\Users\franc\OneDrive\Documentos\MALENTIN KARIME\cvta protocolizadas\ESTER SEGOVIA ORTIZ a MARIA JOFRE ARIAS (OVALLE-separada 150).doc", "Abrir Documento")</f>
        <v>0</v>
      </c>
      <c r="D7879" t="s">
        <v>23500</v>
      </c>
      <c r="E7879" t="s">
        <v>30355</v>
      </c>
    </row>
    <row r="7880" spans="1:5">
      <c r="A7880" t="s">
        <v>6</v>
      </c>
      <c r="B7880" t="s">
        <v>7885</v>
      </c>
      <c r="C7880">
        <f>HYPERLINK("C:\Users\franc\OneDrive\Documentos\MALENTIN KARIME\cvta protocolizadas\ESTER LOPEZ GONZALEZ.doc", "Abrir Documento")</f>
        <v>0</v>
      </c>
      <c r="D7880" t="s">
        <v>23500</v>
      </c>
      <c r="E7880" t="s">
        <v>30356</v>
      </c>
    </row>
    <row r="7881" spans="1:5">
      <c r="A7881" t="s">
        <v>6</v>
      </c>
      <c r="B7881" t="s">
        <v>7886</v>
      </c>
      <c r="C7881">
        <f>HYPERLINK("C:\Users\franc\OneDrive\Documentos\MALENTIN KARIME\cvta protocolizadas\ELIZABETH TAPIA SARRIA a PAOLA VICUÑA CORTES (OVALLE- autorizacion cónyuge).doc", "Abrir Documento")</f>
        <v>0</v>
      </c>
      <c r="D7881" t="s">
        <v>23500</v>
      </c>
      <c r="E7881" t="s">
        <v>30357</v>
      </c>
    </row>
    <row r="7882" spans="1:5">
      <c r="A7882" t="s">
        <v>6</v>
      </c>
      <c r="B7882" t="s">
        <v>7887</v>
      </c>
      <c r="C7882">
        <f>HYPERLINK("C:\Users\franc\OneDrive\Documentos\MALENTIN KARIME\cvta protocolizadas\DECLARACION JURADA parentesco.doc", "Abrir Documento")</f>
        <v>0</v>
      </c>
      <c r="D7882" t="s">
        <v>23500</v>
      </c>
      <c r="E7882" t="s">
        <v>30358</v>
      </c>
    </row>
    <row r="7883" spans="1:5">
      <c r="A7883" t="s">
        <v>6</v>
      </c>
      <c r="B7883" t="s">
        <v>7888</v>
      </c>
      <c r="C7883">
        <f>HYPERLINK("C:\Users\franc\OneDrive\Documentos\MALENTIN KARIME\cvta protocolizadas\DANIEL ALFONSO CORTES PEREZ a YARITZA BARRIENTOS DINAMARCA (OVALLE-divorciado).doc", "Abrir Documento")</f>
        <v>0</v>
      </c>
      <c r="D7883" t="s">
        <v>23500</v>
      </c>
      <c r="E7883" t="s">
        <v>30359</v>
      </c>
    </row>
    <row r="7884" spans="1:5">
      <c r="A7884" t="s">
        <v>6</v>
      </c>
      <c r="B7884" t="s">
        <v>7889</v>
      </c>
      <c r="C7884">
        <f>HYPERLINK("C:\Users\franc\OneDrive\Documentos\MALENTIN KARIME\cvta protocolizadas\CRISTIAN MICHEA CASTRO a YENNY ORREGO CASTILLO (COQUIMBO-CASADO).doc", "Abrir Documento")</f>
        <v>0</v>
      </c>
      <c r="D7884" t="s">
        <v>23500</v>
      </c>
      <c r="E7884" t="s">
        <v>30360</v>
      </c>
    </row>
    <row r="7885" spans="1:5">
      <c r="A7885" t="s">
        <v>6</v>
      </c>
      <c r="B7885" t="s">
        <v>7890</v>
      </c>
      <c r="C7885">
        <f>HYPERLINK("C:\Users\franc\OneDrive\Documentos\MALENTIN KARIME\cvta protocolizadas\COMPRAVENTA PAOLA VEGA DS Nº1 SUBSIDIO sergio galleguillos.doc", "Abrir Documento")</f>
        <v>0</v>
      </c>
      <c r="D7885" t="s">
        <v>23500</v>
      </c>
      <c r="E7885" t="s">
        <v>30361</v>
      </c>
    </row>
    <row r="7886" spans="1:5">
      <c r="A7886" t="s">
        <v>6</v>
      </c>
      <c r="B7886" t="s">
        <v>7891</v>
      </c>
      <c r="C7886">
        <f>HYPERLINK("C:\Users\franc\OneDrive\Documentos\MALENTIN KARIME\cvta protocolizadas\CLAUDIO CASANGA ARAYA.doc", "Abrir Documento")</f>
        <v>0</v>
      </c>
      <c r="D7886" t="s">
        <v>23500</v>
      </c>
      <c r="E7886" t="s">
        <v>30362</v>
      </c>
    </row>
    <row r="7887" spans="1:5">
      <c r="A7887" t="s">
        <v>6</v>
      </c>
      <c r="B7887" t="s">
        <v>7892</v>
      </c>
      <c r="C7887">
        <f>HYPERLINK("C:\Users\franc\OneDrive\Documentos\MALENTIN KARIME\cvta protocolizadas\CLAUDIA MALUENDA.doc", "Abrir Documento")</f>
        <v>0</v>
      </c>
      <c r="D7887" t="s">
        <v>23500</v>
      </c>
      <c r="E7887" t="s">
        <v>30363</v>
      </c>
    </row>
    <row r="7888" spans="1:5">
      <c r="A7888" t="s">
        <v>6</v>
      </c>
      <c r="B7888" t="s">
        <v>7893</v>
      </c>
      <c r="C7888">
        <f>HYPERLINK("C:\Users\franc\OneDrive\Documentos\MALENTIN KARIME\cvta protocolizadas\CHRISTIAN ROBLES ARAYA a JOHANA FLORES ROBLES (Ovalle).doc", "Abrir Documento")</f>
        <v>0</v>
      </c>
      <c r="D7888" t="s">
        <v>23500</v>
      </c>
      <c r="E7888" t="s">
        <v>30364</v>
      </c>
    </row>
    <row r="7889" spans="1:5">
      <c r="A7889" t="s">
        <v>6</v>
      </c>
      <c r="B7889" t="s">
        <v>7894</v>
      </c>
      <c r="C7889">
        <f>HYPERLINK("C:\Users\franc\OneDrive\Documentos\MALENTIN KARIME\cvta protocolizadas\CECILIA ALBURQUENQUE ARAYA a LUIS MIRANDA VEGA Abril 13.doc", "Abrir Documento")</f>
        <v>0</v>
      </c>
      <c r="D7889" t="s">
        <v>23500</v>
      </c>
      <c r="E7889" t="s">
        <v>30365</v>
      </c>
    </row>
    <row r="7890" spans="1:5">
      <c r="A7890" t="s">
        <v>6</v>
      </c>
      <c r="B7890" t="s">
        <v>7895</v>
      </c>
      <c r="C7890">
        <f>HYPERLINK("C:\Users\franc\OneDrive\Documentos\MALENTIN KARIME\cvta protocolizadas\BRAULIO JUICA ESTAY.doc", "Abrir Documento")</f>
        <v>0</v>
      </c>
      <c r="D7890" t="s">
        <v>23500</v>
      </c>
      <c r="E7890" t="s">
        <v>30366</v>
      </c>
    </row>
    <row r="7891" spans="1:5">
      <c r="A7891" t="s">
        <v>6</v>
      </c>
      <c r="B7891" t="s">
        <v>7896</v>
      </c>
      <c r="C7891">
        <f>HYPERLINK("C:\Users\franc\OneDrive\Documentos\MALENTIN KARIME\cvta protocolizadas\Aut. firmas.doc", "Abrir Documento")</f>
        <v>0</v>
      </c>
      <c r="D7891" t="s">
        <v>23500</v>
      </c>
      <c r="E7891" t="s">
        <v>30367</v>
      </c>
    </row>
    <row r="7892" spans="1:5">
      <c r="A7892" t="s">
        <v>6</v>
      </c>
      <c r="B7892" t="s">
        <v>7897</v>
      </c>
      <c r="C7892">
        <f>HYPERLINK("C:\Users\franc\OneDrive\Documentos\MALENTIN KARIME\cvta protocolizadas\ANGELICA MUNDACA JOFRE.doc", "Abrir Documento")</f>
        <v>0</v>
      </c>
      <c r="D7892" t="s">
        <v>23500</v>
      </c>
      <c r="E7892" t="s">
        <v>30368</v>
      </c>
    </row>
    <row r="7893" spans="1:5">
      <c r="A7893" t="s">
        <v>6</v>
      </c>
      <c r="B7893" t="s">
        <v>7898</v>
      </c>
      <c r="C7893">
        <f>HYPERLINK("C:\Users\franc\OneDrive\Documentos\MALENTIN KARIME\cvta protocolizadas\ANA MARIA OLIVARES TICUNA.doc", "Abrir Documento")</f>
        <v>0</v>
      </c>
      <c r="D7893" t="s">
        <v>23500</v>
      </c>
      <c r="E7893" t="s">
        <v>30369</v>
      </c>
    </row>
    <row r="7894" spans="1:5">
      <c r="A7894" t="s">
        <v>6</v>
      </c>
      <c r="B7894" t="s">
        <v>7899</v>
      </c>
      <c r="C7894">
        <f>HYPERLINK("C:\Users\franc\OneDrive\Documentos\MALENTIN KARIME\cvta protocolizadas\ALEX ASTORGA VALENZUELA a FRANCIS LORENA HORMAZABAL CIFUENTES (Ovalle).doc", "Abrir Documento")</f>
        <v>0</v>
      </c>
      <c r="D7894" t="s">
        <v>23500</v>
      </c>
      <c r="E7894" t="s">
        <v>30370</v>
      </c>
    </row>
    <row r="7895" spans="1:5">
      <c r="A7895" t="s">
        <v>6</v>
      </c>
      <c r="B7895" t="s">
        <v>7900</v>
      </c>
      <c r="C7895">
        <f>HYPERLINK("C:\Users\franc\OneDrive\Documentos\MALENTIN KARIME\cvta protocolizadas\ALEJANDRINA ANDRADE.doc", "Abrir Documento")</f>
        <v>0</v>
      </c>
      <c r="D7895" t="s">
        <v>23500</v>
      </c>
      <c r="E7895" t="s">
        <v>30371</v>
      </c>
    </row>
    <row r="7896" spans="1:5">
      <c r="A7896" t="s">
        <v>6</v>
      </c>
      <c r="B7896" t="s">
        <v>7901</v>
      </c>
      <c r="C7896">
        <f>HYPERLINK("C:\Users\franc\OneDrive\Documentos\MALENTIN KARIME\CUIDADO PERSONAL\Pamela Acuña y Katherine Lizardi.doc", "Abrir Documento")</f>
        <v>0</v>
      </c>
      <c r="D7896" t="s">
        <v>23500</v>
      </c>
      <c r="E7896" t="s">
        <v>30372</v>
      </c>
    </row>
    <row r="7897" spans="1:5">
      <c r="A7897" t="s">
        <v>6</v>
      </c>
      <c r="B7897" t="s">
        <v>7902</v>
      </c>
      <c r="C7897">
        <f>HYPERLINK("C:\Users\franc\OneDrive\Documentos\MALENTIN KARIME\COOPEUCH\2016\PERSONERIA Coopeuch.docx", "Abrir Documento")</f>
        <v>0</v>
      </c>
      <c r="D7897" t="s">
        <v>23501</v>
      </c>
      <c r="E7897" t="s">
        <v>30373</v>
      </c>
    </row>
    <row r="7898" spans="1:5">
      <c r="A7898" t="s">
        <v>6</v>
      </c>
      <c r="B7898" t="s">
        <v>7903</v>
      </c>
      <c r="C7898">
        <f>HYPERLINK("C:\Users\franc\OneDrive\Documentos\MALENTIN KARIME\COOPEUCH\2016\Carta Resguardo ARIAS ROBLES-1.doc", "Abrir Documento")</f>
        <v>0</v>
      </c>
      <c r="D7898" t="s">
        <v>23500</v>
      </c>
      <c r="E7898" t="s">
        <v>30374</v>
      </c>
    </row>
    <row r="7899" spans="1:5">
      <c r="A7899" t="s">
        <v>6</v>
      </c>
      <c r="B7899" t="s">
        <v>7904</v>
      </c>
      <c r="C7899">
        <f>HYPERLINK("C:\Users\franc\OneDrive\Documentos\MALENTIN KARIME\COOPEUCH\2014\TANIA MIRANDA visto bueno.doc", "Abrir Documento")</f>
        <v>0</v>
      </c>
      <c r="D7899" t="s">
        <v>23500</v>
      </c>
      <c r="E7899" t="s">
        <v>30375</v>
      </c>
    </row>
    <row r="7900" spans="1:5">
      <c r="A7900" t="s">
        <v>6</v>
      </c>
      <c r="B7900" t="s">
        <v>7905</v>
      </c>
      <c r="C7900">
        <f>HYPERLINK("C:\Users\franc\OneDrive\Documentos\MALENTIN KARIME\COOPEUCH\2014\TANIA MIRANDA  Y Cristian Henriquez.doc", "Abrir Documento")</f>
        <v>0</v>
      </c>
      <c r="D7900" t="s">
        <v>23500</v>
      </c>
      <c r="E7900" t="s">
        <v>30376</v>
      </c>
    </row>
    <row r="7901" spans="1:5">
      <c r="A7901" t="s">
        <v>6</v>
      </c>
      <c r="B7901" t="s">
        <v>7906</v>
      </c>
      <c r="C7901">
        <f>HYPERLINK("C:\Users\franc\OneDrive\Documentos\MALENTIN KARIME\COOPEUCH\2014\REPERTORIO Nº 230 sin cont cambios.doc", "Abrir Documento")</f>
        <v>0</v>
      </c>
      <c r="D7901" t="s">
        <v>23500</v>
      </c>
      <c r="E7901" t="s">
        <v>30377</v>
      </c>
    </row>
    <row r="7902" spans="1:5">
      <c r="A7902" t="s">
        <v>6</v>
      </c>
      <c r="B7902" t="s">
        <v>7907</v>
      </c>
      <c r="C7902">
        <f>HYPERLINK("C:\Users\franc\OneDrive\Documentos\MALENTIN KARIME\COOPEUCH\2014\NIDIA GUERRERO GUERRERO.doc", "Abrir Documento")</f>
        <v>0</v>
      </c>
      <c r="D7902" t="s">
        <v>23500</v>
      </c>
      <c r="E7902" t="s">
        <v>30378</v>
      </c>
    </row>
    <row r="7903" spans="1:5">
      <c r="A7903" t="s">
        <v>6</v>
      </c>
      <c r="B7903" t="s">
        <v>7908</v>
      </c>
      <c r="C7903">
        <f>HYPERLINK("C:\Users\franc\OneDrive\Documentos\MALENTIN KARIME\COOPEUCH\2014\NIDIA GUERRERO GUERRERO visto bueno.doc", "Abrir Documento")</f>
        <v>0</v>
      </c>
      <c r="D7903" t="s">
        <v>23500</v>
      </c>
      <c r="E7903" t="s">
        <v>30379</v>
      </c>
    </row>
    <row r="7904" spans="1:5">
      <c r="A7904" t="s">
        <v>6</v>
      </c>
      <c r="B7904" t="s">
        <v>7909</v>
      </c>
      <c r="C7904">
        <f>HYPERLINK("C:\Users\franc\OneDrive\Documentos\MALENTIN KARIME\COOPEUCH\2014\MARCOS AGUSTO VELIZ Y OTRA - DOBLE M.doc", "Abrir Documento")</f>
        <v>0</v>
      </c>
      <c r="D7904" t="s">
        <v>23500</v>
      </c>
      <c r="E7904" t="s">
        <v>30380</v>
      </c>
    </row>
    <row r="7905" spans="1:5">
      <c r="A7905" t="s">
        <v>6</v>
      </c>
      <c r="B7905" t="s">
        <v>7910</v>
      </c>
      <c r="C7905">
        <f>HYPERLINK("C:\Users\franc\OneDrive\Documentos\MALENTIN KARIME\COOPEUCH\2014\MARCOS AGUSTO VELIZ Y OTRA - DOBLE M  Visto bueno.doc", "Abrir Documento")</f>
        <v>0</v>
      </c>
      <c r="D7905" t="s">
        <v>23500</v>
      </c>
      <c r="E7905" t="s">
        <v>30381</v>
      </c>
    </row>
    <row r="7906" spans="1:5">
      <c r="A7906" t="s">
        <v>6</v>
      </c>
      <c r="B7906" t="s">
        <v>7911</v>
      </c>
      <c r="C7906">
        <f>HYPERLINK("C:\Users\franc\OneDrive\Documentos\MALENTIN KARIME\COOPEUCH\2014\JULIO IBACACHE OSSANDON.doc", "Abrir Documento")</f>
        <v>0</v>
      </c>
      <c r="D7906" t="s">
        <v>23500</v>
      </c>
      <c r="E7906" t="s">
        <v>30382</v>
      </c>
    </row>
    <row r="7907" spans="1:5">
      <c r="A7907" t="s">
        <v>6</v>
      </c>
      <c r="B7907" t="s">
        <v>7912</v>
      </c>
      <c r="C7907">
        <f>HYPERLINK("C:\Users\franc\OneDrive\Documentos\MALENTIN KARIME\COOPEUCH\2014\JULIO IBACACHE OSSANDON visto bueno.doc", "Abrir Documento")</f>
        <v>0</v>
      </c>
      <c r="D7907" t="s">
        <v>23500</v>
      </c>
      <c r="E7907" t="s">
        <v>30383</v>
      </c>
    </row>
    <row r="7908" spans="1:5">
      <c r="A7908" t="s">
        <v>6</v>
      </c>
      <c r="B7908" t="s">
        <v>7913</v>
      </c>
      <c r="C7908">
        <f>HYPERLINK("C:\Users\franc\OneDrive\Documentos\MALENTIN KARIME\COOPEUCH\2014\JULIO IBACACHE OSSANDON rect nueva.doc", "Abrir Documento")</f>
        <v>0</v>
      </c>
      <c r="D7908" t="s">
        <v>23500</v>
      </c>
      <c r="E7908" t="s">
        <v>30384</v>
      </c>
    </row>
    <row r="7909" spans="1:5">
      <c r="A7909" t="s">
        <v>6</v>
      </c>
      <c r="B7909" t="s">
        <v>7914</v>
      </c>
      <c r="C7909">
        <f>HYPERLINK("C:\Users\franc\OneDrive\Documentos\MALENTIN KARIME\COOPEUCH\2014\JOCELYN RAMIREZ Y COOPEUCH.doc", "Abrir Documento")</f>
        <v>0</v>
      </c>
      <c r="D7909" t="s">
        <v>23500</v>
      </c>
      <c r="E7909" t="s">
        <v>30385</v>
      </c>
    </row>
    <row r="7910" spans="1:5">
      <c r="A7910" t="s">
        <v>6</v>
      </c>
      <c r="B7910" t="s">
        <v>7915</v>
      </c>
      <c r="C7910">
        <f>HYPERLINK("C:\Users\franc\OneDrive\Documentos\MALENTIN KARIME\COOPEUCH\2014\JOCELYN RAMIREZ Y COOPEUCH visto bueno.doc", "Abrir Documento")</f>
        <v>0</v>
      </c>
      <c r="D7910" t="s">
        <v>23500</v>
      </c>
      <c r="E7910" t="s">
        <v>30386</v>
      </c>
    </row>
    <row r="7911" spans="1:5">
      <c r="A7911" t="s">
        <v>6</v>
      </c>
      <c r="B7911" t="s">
        <v>7916</v>
      </c>
      <c r="C7911">
        <f>HYPERLINK("C:\Users\franc\OneDrive\Documentos\MALENTIN KARIME\COOPEUCH\2014\GERSON ARANCIBIA.doc", "Abrir Documento")</f>
        <v>0</v>
      </c>
      <c r="D7911" t="s">
        <v>23500</v>
      </c>
      <c r="E7911" t="s">
        <v>30387</v>
      </c>
    </row>
    <row r="7912" spans="1:5">
      <c r="A7912" t="s">
        <v>6</v>
      </c>
      <c r="B7912" t="s">
        <v>7917</v>
      </c>
      <c r="C7912">
        <f>HYPERLINK("C:\Users\franc\OneDrive\Documentos\MALENTIN KARIME\COOPEUCH\2014\GERSON ARANCIBIA Nueva.doc", "Abrir Documento")</f>
        <v>0</v>
      </c>
      <c r="D7912" t="s">
        <v>23500</v>
      </c>
      <c r="E7912" t="s">
        <v>30388</v>
      </c>
    </row>
    <row r="7913" spans="1:5">
      <c r="A7913" t="s">
        <v>6</v>
      </c>
      <c r="B7913" t="s">
        <v>7918</v>
      </c>
      <c r="C7913">
        <f>HYPERLINK("C:\Users\franc\OneDrive\Documentos\MALENTIN KARIME\COOPEUCH\2014\GERSON ARANCIBIA Nueva final.doc", "Abrir Documento")</f>
        <v>0</v>
      </c>
      <c r="D7913" t="s">
        <v>23500</v>
      </c>
      <c r="E7913" t="s">
        <v>30389</v>
      </c>
    </row>
    <row r="7914" spans="1:5">
      <c r="A7914" t="s">
        <v>6</v>
      </c>
      <c r="B7914" t="s">
        <v>7919</v>
      </c>
      <c r="C7914">
        <f>HYPERLINK("C:\Users\franc\OneDrive\Documentos\MALENTIN KARIME\COOPEUCH\2014\GERSON ARANCIBIA Nueva final  visto bueno.doc", "Abrir Documento")</f>
        <v>0</v>
      </c>
      <c r="D7914" t="s">
        <v>23500</v>
      </c>
      <c r="E7914" t="s">
        <v>30390</v>
      </c>
    </row>
    <row r="7915" spans="1:5">
      <c r="A7915" t="s">
        <v>6</v>
      </c>
      <c r="B7915" t="s">
        <v>7920</v>
      </c>
      <c r="C7915">
        <f>HYPERLINK("C:\Users\franc\OneDrive\Documentos\MALENTIN KARIME\COOPEUCH\2014\EDUARDO IBACACHE y Elizabeth Perez.doc", "Abrir Documento")</f>
        <v>0</v>
      </c>
      <c r="D7915" t="s">
        <v>23500</v>
      </c>
      <c r="E7915" t="s">
        <v>30391</v>
      </c>
    </row>
    <row r="7916" spans="1:5">
      <c r="A7916" t="s">
        <v>6</v>
      </c>
      <c r="B7916" t="s">
        <v>7921</v>
      </c>
      <c r="C7916">
        <f>HYPERLINK("C:\Users\franc\OneDrive\Documentos\MALENTIN KARIME\COOPEUCH\2014\EDUARDO IBACACHE y Elizabeth Perez visto bueno.doc", "Abrir Documento")</f>
        <v>0</v>
      </c>
      <c r="D7916" t="s">
        <v>23500</v>
      </c>
      <c r="E7916" t="s">
        <v>30392</v>
      </c>
    </row>
    <row r="7917" spans="1:5">
      <c r="A7917" t="s">
        <v>6</v>
      </c>
      <c r="B7917" t="s">
        <v>7922</v>
      </c>
      <c r="C7917">
        <f>HYPERLINK("C:\Users\franc\OneDrive\Documentos\MALENTIN KARIME\COOPEUCH\2014\230.docx", "Abrir Documento")</f>
        <v>0</v>
      </c>
      <c r="D7917" t="s">
        <v>23501</v>
      </c>
      <c r="E7917" t="s">
        <v>30393</v>
      </c>
    </row>
    <row r="7918" spans="1:5">
      <c r="A7918" t="s">
        <v>6</v>
      </c>
      <c r="B7918" t="s">
        <v>7923</v>
      </c>
      <c r="C7918">
        <f>HYPERLINK("C:\Users\franc\OneDrive\Documentos\MALENTIN KARIME\COOPEUCH\2014\230 VISTO BUENO.docx", "Abrir Documento")</f>
        <v>0</v>
      </c>
      <c r="D7918" t="s">
        <v>23501</v>
      </c>
      <c r="E7918" t="s">
        <v>30394</v>
      </c>
    </row>
    <row r="7919" spans="1:5">
      <c r="A7919" t="s">
        <v>6</v>
      </c>
      <c r="B7919" t="s">
        <v>7924</v>
      </c>
      <c r="C7919">
        <f>HYPERLINK("C:\Users\franc\OneDrive\Documentos\MALENTIN KARIME\COOPEUCH\RODRIGO ARAYA TABILO.doc", "Abrir Documento")</f>
        <v>0</v>
      </c>
      <c r="D7919" t="s">
        <v>23500</v>
      </c>
      <c r="E7919" t="s">
        <v>30395</v>
      </c>
    </row>
    <row r="7920" spans="1:5">
      <c r="A7920" t="s">
        <v>6</v>
      </c>
      <c r="B7920" t="s">
        <v>7925</v>
      </c>
      <c r="C7920">
        <f>HYPERLINK("C:\Users\franc\OneDrive\Documentos\MALENTIN KARIME\COOPEUCH\RODRIGO ARAYA TABILO definitiva.doc", "Abrir Documento")</f>
        <v>0</v>
      </c>
      <c r="D7920" t="s">
        <v>23500</v>
      </c>
      <c r="E7920" t="s">
        <v>30396</v>
      </c>
    </row>
    <row r="7921" spans="1:5">
      <c r="A7921" t="s">
        <v>6</v>
      </c>
      <c r="B7921" t="s">
        <v>7926</v>
      </c>
      <c r="C7921">
        <f>HYPERLINK("C:\Users\franc\OneDrive\Documentos\MALENTIN KARIME\COOPEUCH\RODRIGO ARAYA TABILO definitiva CON CORRECCIONES.doc", "Abrir Documento")</f>
        <v>0</v>
      </c>
      <c r="D7921" t="s">
        <v>23500</v>
      </c>
      <c r="E7921" t="s">
        <v>30397</v>
      </c>
    </row>
    <row r="7922" spans="1:5">
      <c r="A7922" t="s">
        <v>6</v>
      </c>
      <c r="B7922" t="s">
        <v>7927</v>
      </c>
      <c r="C7922">
        <f>HYPERLINK("C:\Users\franc\OneDrive\Documentos\MALENTIN KARIME\COOPEUCH\RODRIGO ANDRES ARAYA TABILO.doc", "Abrir Documento")</f>
        <v>0</v>
      </c>
      <c r="D7922" t="s">
        <v>23500</v>
      </c>
      <c r="E7922" t="s">
        <v>30398</v>
      </c>
    </row>
    <row r="7923" spans="1:5">
      <c r="A7923" t="s">
        <v>6</v>
      </c>
      <c r="B7923" t="s">
        <v>7928</v>
      </c>
      <c r="C7923">
        <f>HYPERLINK("C:\Users\franc\OneDrive\Documentos\MALENTIN KARIME\COOPEUCH\PAOLA HORMAZABAL a ANA PIZARRO GOMEZ.doc", "Abrir Documento")</f>
        <v>0</v>
      </c>
      <c r="D7923" t="s">
        <v>23500</v>
      </c>
      <c r="E7923" t="s">
        <v>30399</v>
      </c>
    </row>
    <row r="7924" spans="1:5">
      <c r="A7924" t="s">
        <v>6</v>
      </c>
      <c r="B7924" t="s">
        <v>7929</v>
      </c>
      <c r="C7924">
        <f>HYPERLINK("C:\Users\franc\OneDrive\Documentos\MALENTIN KARIME\COOPEUCH\PAOLA HORMAZABAL a ANA PIZARRO GOMEZ visto bueno.doc", "Abrir Documento")</f>
        <v>0</v>
      </c>
      <c r="D7924" t="s">
        <v>23500</v>
      </c>
      <c r="E7924" t="s">
        <v>30400</v>
      </c>
    </row>
    <row r="7925" spans="1:5">
      <c r="A7925" t="s">
        <v>6</v>
      </c>
      <c r="B7925" t="s">
        <v>7930</v>
      </c>
      <c r="C7925">
        <f>HYPERLINK("C:\Users\franc\OneDrive\Documentos\MALENTIN KARIME\COOPEUCH\MIRIAN VIDAL ZEPEDA Dic 13.doc", "Abrir Documento")</f>
        <v>0</v>
      </c>
      <c r="D7925" t="s">
        <v>23500</v>
      </c>
      <c r="E7925" t="s">
        <v>30401</v>
      </c>
    </row>
    <row r="7926" spans="1:5">
      <c r="A7926" t="s">
        <v>6</v>
      </c>
      <c r="B7926" t="s">
        <v>7931</v>
      </c>
      <c r="C7926">
        <f>HYPERLINK("C:\Users\franc\OneDrive\Documentos\MALENTIN KARIME\COOPEUCH\MIRIAN VIDAL ZEPEDA Dic 13 visto bueno.doc", "Abrir Documento")</f>
        <v>0</v>
      </c>
      <c r="D7926" t="s">
        <v>23500</v>
      </c>
      <c r="E7926" t="s">
        <v>30402</v>
      </c>
    </row>
    <row r="7927" spans="1:5">
      <c r="A7927" t="s">
        <v>6</v>
      </c>
      <c r="B7927" t="s">
        <v>7932</v>
      </c>
      <c r="C7927">
        <f>HYPERLINK("C:\Users\franc\OneDrive\Documentos\MALENTIN KARIME\COOPEUCH\MARITZA FLORES NAVARRO Febr 2013.doc", "Abrir Documento")</f>
        <v>0</v>
      </c>
      <c r="D7927" t="s">
        <v>23500</v>
      </c>
      <c r="E7927" t="s">
        <v>30403</v>
      </c>
    </row>
    <row r="7928" spans="1:5">
      <c r="A7928" t="s">
        <v>6</v>
      </c>
      <c r="B7928" t="s">
        <v>7933</v>
      </c>
      <c r="C7928">
        <f>HYPERLINK("C:\Users\franc\OneDrive\Documentos\MALENTIN KARIME\COOPEUCH\MARITZA FLORES NAVARRO Febr 2013 VISTO BUENO.doc", "Abrir Documento")</f>
        <v>0</v>
      </c>
      <c r="D7928" t="s">
        <v>23500</v>
      </c>
      <c r="E7928" t="s">
        <v>30404</v>
      </c>
    </row>
    <row r="7929" spans="1:5">
      <c r="A7929" t="s">
        <v>6</v>
      </c>
      <c r="B7929" t="s">
        <v>7934</v>
      </c>
      <c r="C7929">
        <f>HYPERLINK("C:\Users\franc\OneDrive\Documentos\MALENTIN KARIME\COOPEUCH\MARCELO HERRERA  Y JUAN AGUILERA SAAVEDRA Dic. 2012.doc", "Abrir Documento")</f>
        <v>0</v>
      </c>
      <c r="D7929" t="s">
        <v>23500</v>
      </c>
      <c r="E7929" t="s">
        <v>30405</v>
      </c>
    </row>
    <row r="7930" spans="1:5">
      <c r="A7930" t="s">
        <v>6</v>
      </c>
      <c r="B7930" t="s">
        <v>7935</v>
      </c>
      <c r="C7930">
        <f>HYPERLINK("C:\Users\franc\OneDrive\Documentos\MALENTIN KARIME\COOPEUCH\JUANA MILES GALLARDO Dic..doc", "Abrir Documento")</f>
        <v>0</v>
      </c>
      <c r="D7930" t="s">
        <v>23500</v>
      </c>
      <c r="E7930" t="s">
        <v>30406</v>
      </c>
    </row>
    <row r="7931" spans="1:5">
      <c r="A7931" t="s">
        <v>6</v>
      </c>
      <c r="B7931" t="s">
        <v>7936</v>
      </c>
      <c r="C7931">
        <f>HYPERLINK("C:\Users\franc\OneDrive\Documentos\MALENTIN KARIME\COOPEUCH\JOSE VICENCIO RIVERA Revision.doc", "Abrir Documento")</f>
        <v>0</v>
      </c>
      <c r="D7931" t="s">
        <v>23500</v>
      </c>
      <c r="E7931" t="s">
        <v>30407</v>
      </c>
    </row>
    <row r="7932" spans="1:5">
      <c r="A7932" t="s">
        <v>6</v>
      </c>
      <c r="B7932" t="s">
        <v>7937</v>
      </c>
      <c r="C7932">
        <f>HYPERLINK("C:\Users\franc\OneDrive\Documentos\MALENTIN KARIME\COOPEUCH\JOSE VICENCIO RIVERA Febrero de 14.doc", "Abrir Documento")</f>
        <v>0</v>
      </c>
      <c r="D7932" t="s">
        <v>23500</v>
      </c>
      <c r="E7932" t="s">
        <v>30408</v>
      </c>
    </row>
    <row r="7933" spans="1:5">
      <c r="A7933" t="s">
        <v>6</v>
      </c>
      <c r="B7933" t="s">
        <v>7938</v>
      </c>
      <c r="C7933">
        <f>HYPERLINK("C:\Users\franc\OneDrive\Documentos\MALENTIN KARIME\COOPEUCH\ERNESTO LOPEZ TABILO visto bueno.doc", "Abrir Documento")</f>
        <v>0</v>
      </c>
      <c r="D7933" t="s">
        <v>23500</v>
      </c>
      <c r="E7933" t="s">
        <v>30409</v>
      </c>
    </row>
    <row r="7934" spans="1:5">
      <c r="A7934" t="s">
        <v>6</v>
      </c>
      <c r="B7934" t="s">
        <v>7939</v>
      </c>
      <c r="C7934">
        <f>HYPERLINK("C:\Users\franc\OneDrive\Documentos\MALENTIN KARIME\COOPEUCH\ERNESTO LOPEZ TABILO Sept 13.doc", "Abrir Documento")</f>
        <v>0</v>
      </c>
      <c r="D7934" t="s">
        <v>23500</v>
      </c>
      <c r="E7934" t="s">
        <v>30410</v>
      </c>
    </row>
    <row r="7935" spans="1:5">
      <c r="A7935" t="s">
        <v>6</v>
      </c>
      <c r="B7935" t="s">
        <v>7940</v>
      </c>
      <c r="C7935">
        <f>HYPERLINK("C:\Users\franc\OneDrive\Documentos\MALENTIN KARIME\COOPEUCH\DOMINGO ROJAS ARAYA Y JUANA MILES GALLARDO Dic..doc", "Abrir Documento")</f>
        <v>0</v>
      </c>
      <c r="D7935" t="s">
        <v>23500</v>
      </c>
      <c r="E7935" t="s">
        <v>30411</v>
      </c>
    </row>
    <row r="7936" spans="1:5">
      <c r="A7936" t="s">
        <v>6</v>
      </c>
      <c r="B7936" t="s">
        <v>7941</v>
      </c>
      <c r="C7936">
        <f>HYPERLINK("C:\Users\franc\OneDrive\Documentos\MALENTIN KARIME\COOPEUCH\DOMINGO ROJAS ARAYA Y JUANA MILES GALLARDO  VISTO BUENO.doc", "Abrir Documento")</f>
        <v>0</v>
      </c>
      <c r="D7936" t="s">
        <v>23500</v>
      </c>
      <c r="E7936" t="s">
        <v>30412</v>
      </c>
    </row>
    <row r="7937" spans="1:5">
      <c r="A7937" t="s">
        <v>6</v>
      </c>
      <c r="B7937" t="s">
        <v>7942</v>
      </c>
      <c r="C7937">
        <f>HYPERLINK("C:\Users\franc\OneDrive\Documentos\MALENTIN KARIME\COOPEUCH\carta resguardo.doc", "Abrir Documento")</f>
        <v>0</v>
      </c>
      <c r="D7937" t="s">
        <v>23500</v>
      </c>
      <c r="E7937" t="s">
        <v>30413</v>
      </c>
    </row>
    <row r="7938" spans="1:5">
      <c r="A7938" t="s">
        <v>6</v>
      </c>
      <c r="B7938" t="s">
        <v>7943</v>
      </c>
      <c r="C7938">
        <f>HYPERLINK("C:\Users\franc\OneDrive\Documentos\MALENTIN KARIME\COOPEUCH\carta resguardo iii.doc", "Abrir Documento")</f>
        <v>0</v>
      </c>
      <c r="D7938" t="s">
        <v>23500</v>
      </c>
      <c r="E7938" t="s">
        <v>30414</v>
      </c>
    </row>
    <row r="7939" spans="1:5">
      <c r="A7939" t="s">
        <v>6</v>
      </c>
      <c r="B7939" t="s">
        <v>7944</v>
      </c>
      <c r="C7939">
        <f>HYPERLINK("C:\Users\franc\OneDrive\Documentos\MALENTIN KARIME\COOPEUCH\carta resguardo ii.doc", "Abrir Documento")</f>
        <v>0</v>
      </c>
      <c r="D7939" t="s">
        <v>23500</v>
      </c>
      <c r="E7939" t="s">
        <v>30415</v>
      </c>
    </row>
    <row r="7940" spans="1:5">
      <c r="A7940" t="s">
        <v>6</v>
      </c>
      <c r="B7940" t="s">
        <v>7945</v>
      </c>
      <c r="C7940">
        <f>HYPERLINK("C:\Users\franc\OneDrive\Documentos\MALENTIN KARIME\COOPEUCH\CAROLINA VIGORENA Y VICTOR COFRE.doc", "Abrir Documento")</f>
        <v>0</v>
      </c>
      <c r="D7940" t="s">
        <v>23500</v>
      </c>
      <c r="E7940" t="s">
        <v>30416</v>
      </c>
    </row>
    <row r="7941" spans="1:5">
      <c r="A7941" t="s">
        <v>6</v>
      </c>
      <c r="B7941" t="s">
        <v>7946</v>
      </c>
      <c r="C7941">
        <f>HYPERLINK("C:\Users\franc\OneDrive\Documentos\MALENTIN KARIME\COOPEUCH\CAROLINA VIGORENA Y VICTOR COFRE II.doc", "Abrir Documento")</f>
        <v>0</v>
      </c>
      <c r="D7941" t="s">
        <v>23500</v>
      </c>
      <c r="E7941" t="s">
        <v>30417</v>
      </c>
    </row>
    <row r="7942" spans="1:5">
      <c r="A7942" t="s">
        <v>6</v>
      </c>
      <c r="B7942" t="s">
        <v>7947</v>
      </c>
      <c r="C7942">
        <f>HYPERLINK("C:\Users\franc\OneDrive\Documentos\MALENTIN KARIME\Contrato de UVA\SOCIEDAD AGRICOLA LOS NOGALES Y MAL PASO Contrato uva.doc", "Abrir Documento")</f>
        <v>0</v>
      </c>
      <c r="D7942" t="s">
        <v>23500</v>
      </c>
      <c r="E7942" t="s">
        <v>30418</v>
      </c>
    </row>
    <row r="7943" spans="1:5">
      <c r="A7943" t="s">
        <v>6</v>
      </c>
      <c r="B7943" t="s">
        <v>7948</v>
      </c>
      <c r="C7943">
        <f>HYPERLINK("C:\Users\franc\OneDrive\Documentos\MALENTIN KARIME\Contrato de UVA\SERGIO RIVERA  Y AGRICOLA MAL PASO Contrato uva.doc", "Abrir Documento")</f>
        <v>0</v>
      </c>
      <c r="D7943" t="s">
        <v>23500</v>
      </c>
      <c r="E7943" t="s">
        <v>30419</v>
      </c>
    </row>
    <row r="7944" spans="1:5">
      <c r="A7944" t="s">
        <v>6</v>
      </c>
      <c r="B7944" t="s">
        <v>7949</v>
      </c>
      <c r="C7944">
        <f>HYPERLINK("C:\Users\franc\OneDrive\Documentos\MALENTIN KARIME\Contrato de UVA\Pagaré Sergio Rivera 2014.doc", "Abrir Documento")</f>
        <v>0</v>
      </c>
      <c r="D7944" t="s">
        <v>23500</v>
      </c>
      <c r="E7944" t="s">
        <v>30420</v>
      </c>
    </row>
    <row r="7945" spans="1:5">
      <c r="A7945" t="s">
        <v>6</v>
      </c>
      <c r="B7945" t="s">
        <v>7950</v>
      </c>
      <c r="C7945">
        <f>HYPERLINK("C:\Users\franc\OneDrive\Documentos\MALENTIN KARIME\Contrato de UVA\Exportadora SENEL A Hacienda MAL PASO.doc", "Abrir Documento")</f>
        <v>0</v>
      </c>
      <c r="D7945" t="s">
        <v>23500</v>
      </c>
      <c r="E7945" t="s">
        <v>30421</v>
      </c>
    </row>
    <row r="7946" spans="1:5">
      <c r="A7946" t="s">
        <v>6</v>
      </c>
      <c r="B7946" t="s">
        <v>7951</v>
      </c>
      <c r="C7946">
        <f>HYPERLINK("C:\Users\franc\OneDrive\Documentos\MALENTIN KARIME\COMPRAVENTA VEHICULOS\Irma Muñoz Humeres a ASOCIACION DE CANALISTAS EMBALSE COGOTI.doc", "Abrir Documento")</f>
        <v>0</v>
      </c>
      <c r="D7946" t="s">
        <v>23500</v>
      </c>
      <c r="E7946" t="s">
        <v>30422</v>
      </c>
    </row>
    <row r="7947" spans="1:5">
      <c r="A7947" t="s">
        <v>6</v>
      </c>
      <c r="B7947" t="s">
        <v>7952</v>
      </c>
      <c r="C7947">
        <f>HYPERLINK("C:\Users\franc\OneDrive\Documentos\MALENTIN KARIME\COMPRAVENTA VEHICULOS\ASOCIACION DE CANALISTAS EMBALSE COGOTI  a Doris Cuevas.doc", "Abrir Documento")</f>
        <v>0</v>
      </c>
      <c r="D7947" t="s">
        <v>23500</v>
      </c>
      <c r="E7947" t="s">
        <v>30423</v>
      </c>
    </row>
    <row r="7948" spans="1:5">
      <c r="A7948" t="s">
        <v>6</v>
      </c>
      <c r="B7948" t="s">
        <v>7953</v>
      </c>
      <c r="C7948">
        <f>HYPERLINK("C:\Users\franc\OneDrive\Documentos\MALENTIN KARIME\COMPLEMETA\2021\JIRYIS JARUFE Y SOC EDUCACIONAL MATICES.doc", "Abrir Documento")</f>
        <v>0</v>
      </c>
      <c r="D7948" t="s">
        <v>23500</v>
      </c>
      <c r="E7948" t="s">
        <v>30424</v>
      </c>
    </row>
    <row r="7949" spans="1:5">
      <c r="A7949" t="s">
        <v>6</v>
      </c>
      <c r="B7949" t="s">
        <v>7954</v>
      </c>
      <c r="C7949">
        <f>HYPERLINK("C:\Users\franc\OneDrive\Documentos\MALENTIN KARIME\COMPLEMETA\2021\HECTOR VELOZO Y ANDREA MIRANDA.doc", "Abrir Documento")</f>
        <v>0</v>
      </c>
      <c r="D7949" t="s">
        <v>23500</v>
      </c>
      <c r="E7949" t="s">
        <v>30425</v>
      </c>
    </row>
    <row r="7950" spans="1:5">
      <c r="A7950" t="s">
        <v>6</v>
      </c>
      <c r="B7950" t="s">
        <v>7955</v>
      </c>
      <c r="C7950">
        <f>HYPERLINK("C:\Users\franc\OneDrive\Documentos\MALENTIN KARIME\COMPLEMETA\2021\DANI MALDONADO Complementa.doc", "Abrir Documento")</f>
        <v>0</v>
      </c>
      <c r="D7950" t="s">
        <v>23500</v>
      </c>
      <c r="E7950" t="s">
        <v>30426</v>
      </c>
    </row>
    <row r="7951" spans="1:5">
      <c r="A7951" t="s">
        <v>6</v>
      </c>
      <c r="B7951" t="s">
        <v>7956</v>
      </c>
      <c r="C7951">
        <f>HYPERLINK("C:\Users\franc\OneDrive\Documentos\MALENTIN KARIME\COMPLEMETA\2018\PATRICIO OLIVARES A MARIA OLIVARES.doc", "Abrir Documento")</f>
        <v>0</v>
      </c>
      <c r="D7951" t="s">
        <v>23500</v>
      </c>
      <c r="E7951" t="s">
        <v>30427</v>
      </c>
    </row>
    <row r="7952" spans="1:5">
      <c r="A7952" t="s">
        <v>6</v>
      </c>
      <c r="B7952" t="s">
        <v>7957</v>
      </c>
      <c r="C7952">
        <f>HYPERLINK("C:\Users\franc\OneDrive\Documentos\MALENTIN KARIME\COMPLEMETA\2018\PATRICIO OLIVARES A MARIA OLIVARES borrador.doc", "Abrir Documento")</f>
        <v>0</v>
      </c>
      <c r="D7952" t="s">
        <v>23500</v>
      </c>
      <c r="E7952" t="s">
        <v>30428</v>
      </c>
    </row>
    <row r="7953" spans="1:5">
      <c r="A7953" t="s">
        <v>6</v>
      </c>
      <c r="B7953" t="s">
        <v>7958</v>
      </c>
      <c r="C7953">
        <f>HYPERLINK("C:\Users\franc\OneDrive\Documentos\MALENTIN KARIME\COMPLEMETA\2018\LUIS ALBURQUENQUE HONORES 20.doc", "Abrir Documento")</f>
        <v>0</v>
      </c>
      <c r="D7953" t="s">
        <v>23500</v>
      </c>
      <c r="E7953" t="s">
        <v>30429</v>
      </c>
    </row>
    <row r="7954" spans="1:5">
      <c r="A7954" t="s">
        <v>6</v>
      </c>
      <c r="B7954" t="s">
        <v>7959</v>
      </c>
      <c r="C7954">
        <f>HYPERLINK("C:\Users\franc\OneDrive\Documentos\MALENTIN KARIME\COMPLEMETA\2018\JORGE ALLENDE SENTIS.doc", "Abrir Documento")</f>
        <v>0</v>
      </c>
      <c r="D7954" t="s">
        <v>23500</v>
      </c>
      <c r="E7954" t="s">
        <v>30430</v>
      </c>
    </row>
    <row r="7955" spans="1:5">
      <c r="A7955" t="s">
        <v>6</v>
      </c>
      <c r="B7955" t="s">
        <v>7960</v>
      </c>
      <c r="C7955">
        <f>HYPERLINK("C:\Users\franc\OneDrive\Documentos\MALENTIN KARIME\COMPLEMETA\2018\JORGE ALLENDE SENTIS otra.doc", "Abrir Documento")</f>
        <v>0</v>
      </c>
      <c r="D7955" t="s">
        <v>23500</v>
      </c>
      <c r="E7955" t="s">
        <v>30431</v>
      </c>
    </row>
    <row r="7956" spans="1:5">
      <c r="A7956" t="s">
        <v>6</v>
      </c>
      <c r="B7956" t="s">
        <v>7961</v>
      </c>
      <c r="C7956">
        <f>HYPERLINK("C:\Users\franc\OneDrive\Documentos\MALENTIN KARIME\COMPLEMETA\2016\VICTOR CASTRO SALINAS Deslindes y plano.doc", "Abrir Documento")</f>
        <v>0</v>
      </c>
      <c r="D7956" t="s">
        <v>23500</v>
      </c>
      <c r="E7956" t="s">
        <v>30432</v>
      </c>
    </row>
    <row r="7957" spans="1:5">
      <c r="A7957" t="s">
        <v>6</v>
      </c>
      <c r="B7957" t="s">
        <v>7962</v>
      </c>
      <c r="C7957">
        <f>HYPERLINK("C:\Users\franc\OneDrive\Documentos\MALENTIN KARIME\COMPLEMETA\2016\VERONICA CERDA Complementacion.doc", "Abrir Documento")</f>
        <v>0</v>
      </c>
      <c r="D7957" t="s">
        <v>23500</v>
      </c>
      <c r="E7957" t="s">
        <v>30433</v>
      </c>
    </row>
    <row r="7958" spans="1:5">
      <c r="A7958" t="s">
        <v>6</v>
      </c>
      <c r="B7958" t="s">
        <v>7963</v>
      </c>
      <c r="C7958">
        <f>HYPERLINK("C:\Users\franc\OneDrive\Documentos\MALENTIN KARIME\COMPLEMETA\2016\MISAEL ARAYA y Laura Guerrero Deslindes.doc", "Abrir Documento")</f>
        <v>0</v>
      </c>
      <c r="D7958" t="s">
        <v>23500</v>
      </c>
      <c r="E7958" t="s">
        <v>30434</v>
      </c>
    </row>
    <row r="7959" spans="1:5">
      <c r="A7959" t="s">
        <v>6</v>
      </c>
      <c r="B7959" t="s">
        <v>7964</v>
      </c>
      <c r="C7959">
        <f>HYPERLINK("C:\Users\franc\OneDrive\Documentos\MALENTIN KARIME\COMPLEMETA\2016\FRANCISCO PINTO comple.doc", "Abrir Documento")</f>
        <v>0</v>
      </c>
      <c r="D7959" t="s">
        <v>23500</v>
      </c>
      <c r="E7959" t="s">
        <v>30435</v>
      </c>
    </row>
    <row r="7960" spans="1:5">
      <c r="A7960" t="s">
        <v>6</v>
      </c>
      <c r="B7960" t="s">
        <v>7965</v>
      </c>
      <c r="C7960">
        <f>HYPERLINK("C:\Users\franc\OneDrive\Documentos\MALENTIN KARIME\COMPLEMETA\2016\DOMINGA ESTAY.doc", "Abrir Documento")</f>
        <v>0</v>
      </c>
      <c r="D7960" t="s">
        <v>23500</v>
      </c>
      <c r="E7960" t="s">
        <v>30436</v>
      </c>
    </row>
    <row r="7961" spans="1:5">
      <c r="A7961" t="s">
        <v>6</v>
      </c>
      <c r="B7961" t="s">
        <v>7966</v>
      </c>
      <c r="C7961">
        <f>HYPERLINK("C:\Users\franc\OneDrive\Documentos\MALENTIN KARIME\COMPLEMETA\2016\AYLIN ROJO Y CONSTRUCTORA OLIVARES Rol.doc", "Abrir Documento")</f>
        <v>0</v>
      </c>
      <c r="D7961" t="s">
        <v>23500</v>
      </c>
      <c r="E7961" t="s">
        <v>30437</v>
      </c>
    </row>
    <row r="7962" spans="1:5">
      <c r="A7962" t="s">
        <v>6</v>
      </c>
      <c r="B7962" t="s">
        <v>7967</v>
      </c>
      <c r="C7962">
        <f>HYPERLINK("C:\Users\franc\OneDrive\Documentos\MALENTIN KARIME\COMPLEMETA\2016\ARMANDO DUBO MUÑOZ A Luis Segovia Compl inscrip.doc", "Abrir Documento")</f>
        <v>0</v>
      </c>
      <c r="D7962" t="s">
        <v>23500</v>
      </c>
      <c r="E7962" t="s">
        <v>30438</v>
      </c>
    </row>
    <row r="7963" spans="1:5">
      <c r="A7963" t="s">
        <v>6</v>
      </c>
      <c r="B7963" t="s">
        <v>7968</v>
      </c>
      <c r="C7963">
        <f>HYPERLINK("C:\Users\franc\OneDrive\Documentos\MALENTIN KARIME\COMPLEMETA\2016\ANA ARAYA RAMIREZ Deslindes.doc", "Abrir Documento")</f>
        <v>0</v>
      </c>
      <c r="D7963" t="s">
        <v>23500</v>
      </c>
      <c r="E7963" t="s">
        <v>30439</v>
      </c>
    </row>
    <row r="7964" spans="1:5">
      <c r="A7964" t="s">
        <v>6</v>
      </c>
      <c r="B7964" t="s">
        <v>7969</v>
      </c>
      <c r="C7964">
        <f>HYPERLINK("C:\Users\franc\OneDrive\Documentos\MALENTIN KARIME\COMPLEMETA\2015\JORGE ALLENDE SENTIS.doc", "Abrir Documento")</f>
        <v>0</v>
      </c>
      <c r="D7964" t="s">
        <v>23500</v>
      </c>
      <c r="E7964" t="s">
        <v>30440</v>
      </c>
    </row>
    <row r="7965" spans="1:5">
      <c r="A7965" t="s">
        <v>6</v>
      </c>
      <c r="B7965" t="s">
        <v>7970</v>
      </c>
      <c r="C7965">
        <f>HYPERLINK("C:\Users\franc\OneDrive\Documentos\MALENTIN KARIME\COMPLEMETA\VICTOR ARAYA SILVA Compl. Proh. Legal.doc", "Abrir Documento")</f>
        <v>0</v>
      </c>
      <c r="D7965" t="s">
        <v>23500</v>
      </c>
      <c r="E7965" t="s">
        <v>30441</v>
      </c>
    </row>
    <row r="7966" spans="1:5">
      <c r="A7966" t="s">
        <v>6</v>
      </c>
      <c r="B7966" t="s">
        <v>7971</v>
      </c>
      <c r="C7966">
        <f>HYPERLINK("C:\Users\franc\OneDrive\Documentos\MALENTIN KARIME\COMPLEMETA\VALENTIN CONTRERAS A GABRIEL VELIZ.doc", "Abrir Documento")</f>
        <v>0</v>
      </c>
      <c r="D7966" t="s">
        <v>23500</v>
      </c>
      <c r="E7966" t="s">
        <v>30442</v>
      </c>
    </row>
    <row r="7967" spans="1:5">
      <c r="A7967" t="s">
        <v>6</v>
      </c>
      <c r="B7967" t="s">
        <v>7972</v>
      </c>
      <c r="C7967">
        <f>HYPERLINK("C:\Users\franc\OneDrive\Documentos\MALENTIN KARIME\COMPLEMETA\SOFIA OLIVARES Abogado.doc", "Abrir Documento")</f>
        <v>0</v>
      </c>
      <c r="D7967" t="s">
        <v>23500</v>
      </c>
      <c r="E7967" t="s">
        <v>30443</v>
      </c>
    </row>
    <row r="7968" spans="1:5">
      <c r="A7968" t="s">
        <v>6</v>
      </c>
      <c r="B7968" t="s">
        <v>7973</v>
      </c>
      <c r="C7968">
        <f>HYPERLINK("C:\Users\franc\OneDrive\Documentos\MALENTIN KARIME\COMPLEMETA\OSCAR ANGEL GONZALEZ Compl. Proh. Legal.doc", "Abrir Documento")</f>
        <v>0</v>
      </c>
      <c r="D7968" t="s">
        <v>23500</v>
      </c>
      <c r="E7968" t="s">
        <v>30444</v>
      </c>
    </row>
    <row r="7969" spans="1:5">
      <c r="A7969" t="s">
        <v>6</v>
      </c>
      <c r="B7969" t="s">
        <v>7974</v>
      </c>
      <c r="C7969">
        <f>HYPERLINK("C:\Users\franc\OneDrive\Documentos\MALENTIN KARIME\COMPLEMETA\LUIS GALLARDO OSORIO.doc", "Abrir Documento")</f>
        <v>0</v>
      </c>
      <c r="D7969" t="s">
        <v>23500</v>
      </c>
      <c r="E7969" t="s">
        <v>30445</v>
      </c>
    </row>
    <row r="7970" spans="1:5">
      <c r="A7970" t="s">
        <v>6</v>
      </c>
      <c r="B7970" t="s">
        <v>7975</v>
      </c>
      <c r="C7970">
        <f>HYPERLINK("C:\Users\franc\OneDrive\Documentos\MALENTIN KARIME\COMPLEMETA\JOSE ZEPEDA ARAYA Compl Oficio.doc", "Abrir Documento")</f>
        <v>0</v>
      </c>
      <c r="D7970" t="s">
        <v>23500</v>
      </c>
      <c r="E7970" t="s">
        <v>30446</v>
      </c>
    </row>
    <row r="7971" spans="1:5">
      <c r="A7971" t="s">
        <v>6</v>
      </c>
      <c r="B7971" t="s">
        <v>7976</v>
      </c>
      <c r="C7971">
        <f>HYPERLINK("C:\Users\franc\OneDrive\Documentos\MALENTIN KARIME\COMPLEMETA\ENRIQUE CONTADOR MADARIAGA R Vega.doc", "Abrir Documento")</f>
        <v>0</v>
      </c>
      <c r="D7971" t="s">
        <v>23500</v>
      </c>
      <c r="E7971" t="s">
        <v>30447</v>
      </c>
    </row>
    <row r="7972" spans="1:5">
      <c r="A7972" t="s">
        <v>6</v>
      </c>
      <c r="B7972" t="s">
        <v>7977</v>
      </c>
      <c r="C7972">
        <f>HYPERLINK("C:\Users\franc\OneDrive\Documentos\MALENTIN KARIME\COMPLEMETA\DILIA CARVAJAL OLIVARES Complementacion Promesa.doc", "Abrir Documento")</f>
        <v>0</v>
      </c>
      <c r="D7972" t="s">
        <v>23500</v>
      </c>
      <c r="E7972" t="s">
        <v>30448</v>
      </c>
    </row>
    <row r="7973" spans="1:5">
      <c r="A7973" t="s">
        <v>6</v>
      </c>
      <c r="B7973" t="s">
        <v>7978</v>
      </c>
      <c r="C7973">
        <f>HYPERLINK("C:\Users\franc\OneDrive\Documentos\MALENTIN KARIME\COMPLEMETA\CHRISTIAN CLAVERIA Y JUAN GODOY Soledad Farr.doc", "Abrir Documento")</f>
        <v>0</v>
      </c>
      <c r="D7973" t="s">
        <v>23500</v>
      </c>
      <c r="E7973" t="s">
        <v>30449</v>
      </c>
    </row>
    <row r="7974" spans="1:5">
      <c r="A7974" t="s">
        <v>6</v>
      </c>
      <c r="B7974" t="s">
        <v>7979</v>
      </c>
      <c r="C7974">
        <f>HYPERLINK("C:\Users\franc\OneDrive\Documentos\MALENTIN KARIME\COMPLEMETA\CARMEN ALFARO ROCO.doc", "Abrir Documento")</f>
        <v>0</v>
      </c>
      <c r="D7974" t="s">
        <v>23500</v>
      </c>
      <c r="E7974" t="s">
        <v>30450</v>
      </c>
    </row>
    <row r="7975" spans="1:5">
      <c r="A7975" t="s">
        <v>6</v>
      </c>
      <c r="B7975" t="s">
        <v>7980</v>
      </c>
      <c r="C7975">
        <f>HYPERLINK("C:\Users\franc\OneDrive\Documentos\MALENTIN KARIME\COMPLEMETA\ARSEN GRIGORIAN Deslindes.doc", "Abrir Documento")</f>
        <v>0</v>
      </c>
      <c r="D7975" t="s">
        <v>23500</v>
      </c>
      <c r="E7975" t="s">
        <v>30451</v>
      </c>
    </row>
    <row r="7976" spans="1:5">
      <c r="A7976" t="s">
        <v>6</v>
      </c>
      <c r="B7976" t="s">
        <v>7981</v>
      </c>
      <c r="C7976">
        <f>HYPERLINK("C:\Users\franc\OneDrive\Documentos\MALENTIN KARIME\COMODATO\LILANA ALFARO A  CLUB CONDOR HUALLILLINGA.doc", "Abrir Documento")</f>
        <v>0</v>
      </c>
      <c r="D7976" t="s">
        <v>23500</v>
      </c>
      <c r="E7976" t="s">
        <v>30452</v>
      </c>
    </row>
    <row r="7977" spans="1:5">
      <c r="A7977" t="s">
        <v>6</v>
      </c>
      <c r="B7977" t="s">
        <v>7982</v>
      </c>
      <c r="C7977">
        <f>HYPERLINK("C:\Users\franc\OneDrive\Documentos\MALENTIN KARIME\COMODATO\FLORENCIO ALAYAN BRICEÑO Minuta.doc", "Abrir Documento")</f>
        <v>0</v>
      </c>
      <c r="D7977" t="s">
        <v>23500</v>
      </c>
      <c r="E7977" t="s">
        <v>30453</v>
      </c>
    </row>
    <row r="7978" spans="1:5">
      <c r="A7978" t="s">
        <v>6</v>
      </c>
      <c r="B7978" t="s">
        <v>7983</v>
      </c>
      <c r="C7978">
        <f>HYPERLINK("C:\Users\franc\OneDrive\Documentos\MALENTIN KARIME\COMODATO\comodato CLUB CONDOR HUALLILLINGA.doc", "Abrir Documento")</f>
        <v>0</v>
      </c>
      <c r="D7978" t="s">
        <v>23500</v>
      </c>
      <c r="E7978" t="s">
        <v>30454</v>
      </c>
    </row>
    <row r="7979" spans="1:5">
      <c r="A7979" t="s">
        <v>6</v>
      </c>
      <c r="B7979" t="s">
        <v>7984</v>
      </c>
      <c r="C7979">
        <f>HYPERLINK("C:\Users\franc\OneDrive\Documentos\MALENTIN KARIME\COMODATO\comodato CLUB CONDOR HUALLILLINGA I.doc", "Abrir Documento")</f>
        <v>0</v>
      </c>
      <c r="D7979" t="s">
        <v>23500</v>
      </c>
      <c r="E7979" t="s">
        <v>30455</v>
      </c>
    </row>
    <row r="7980" spans="1:5">
      <c r="A7980" t="s">
        <v>6</v>
      </c>
      <c r="B7980" t="s">
        <v>7985</v>
      </c>
      <c r="C7980">
        <f>HYPERLINK("C:\Users\franc\OneDrive\Documentos\MALENTIN KARIME\COLOMBRES\PROMESAS\Autorizo las firmas de don PEDRO LUIS RICALDE BORBOLLA.doc", "Abrir Documento")</f>
        <v>0</v>
      </c>
      <c r="D7980" t="s">
        <v>23500</v>
      </c>
      <c r="E7980" t="s">
        <v>30456</v>
      </c>
    </row>
    <row r="7981" spans="1:5">
      <c r="A7981" t="s">
        <v>6</v>
      </c>
      <c r="B7981" t="s">
        <v>7986</v>
      </c>
      <c r="C7981">
        <f>HYPERLINK("C:\Users\franc\OneDrive\Documentos\MALENTIN KARIME\COLOMBRES\LA RECOLETA\LUISA ESPINOZA SOTO katty.doc", "Abrir Documento")</f>
        <v>0</v>
      </c>
      <c r="D7981" t="s">
        <v>23500</v>
      </c>
      <c r="E7981" t="s">
        <v>30457</v>
      </c>
    </row>
    <row r="7982" spans="1:5">
      <c r="A7982" t="s">
        <v>6</v>
      </c>
      <c r="B7982" t="s">
        <v>7987</v>
      </c>
      <c r="C7982">
        <f>HYPERLINK("C:\Users\franc\OneDrive\Documentos\MALENTIN KARIME\COLOMBRES\LA RECOLETA\Escritura Borrador Luisa Espinosa.doc", "Abrir Documento")</f>
        <v>0</v>
      </c>
      <c r="D7982" t="s">
        <v>23500</v>
      </c>
      <c r="E7982" t="s">
        <v>30458</v>
      </c>
    </row>
    <row r="7983" spans="1:5">
      <c r="A7983" t="s">
        <v>6</v>
      </c>
      <c r="B7983" t="s">
        <v>7988</v>
      </c>
      <c r="C7983">
        <f>HYPERLINK("C:\Users\franc\OneDrive\Documentos\MALENTIN KARIME\COLOMBRES\LA RECOLETA\CLAUDIA ESPINOSA SOTO.doc", "Abrir Documento")</f>
        <v>0</v>
      </c>
      <c r="D7983" t="s">
        <v>23500</v>
      </c>
      <c r="E7983" t="s">
        <v>30459</v>
      </c>
    </row>
    <row r="7984" spans="1:5">
      <c r="A7984" t="s">
        <v>6</v>
      </c>
      <c r="B7984" t="s">
        <v>7989</v>
      </c>
      <c r="C7984">
        <f>HYPERLINK("C:\Users\franc\OneDrive\Documentos\MALENTIN KARIME\COLOMBRES\LA RECOLETA\Autorizo la firma de don PEDRO LUIS RICALDE BORBOLLA.doc", "Abrir Documento")</f>
        <v>0</v>
      </c>
      <c r="D7984" t="s">
        <v>23500</v>
      </c>
      <c r="E7984" t="s">
        <v>30460</v>
      </c>
    </row>
    <row r="7985" spans="1:5">
      <c r="A7985" t="s">
        <v>6</v>
      </c>
      <c r="B7985" t="s">
        <v>7990</v>
      </c>
      <c r="C7985">
        <f>HYPERLINK("C:\Users\franc\OneDrive\Documentos\MALENTIN KARIME\COLOMBRES\SOCIEDAD AGRICOLA Y MOLINERA SANTA MARIA Cancelación precio ovalle.doc", "Abrir Documento")</f>
        <v>0</v>
      </c>
      <c r="D7985" t="s">
        <v>23500</v>
      </c>
      <c r="E7985" t="s">
        <v>30461</v>
      </c>
    </row>
    <row r="7986" spans="1:5">
      <c r="A7986" t="s">
        <v>6</v>
      </c>
      <c r="B7986" t="s">
        <v>7991</v>
      </c>
      <c r="C7986">
        <f>HYPERLINK("C:\Users\franc\OneDrive\Documentos\MALENTIN KARIME\COLOMBRES\ORIEL ROBLES VICENCIO (CVTA MUTUO)-1.doc", "Abrir Documento")</f>
        <v>0</v>
      </c>
      <c r="D7986" t="s">
        <v>23500</v>
      </c>
      <c r="E7986" t="s">
        <v>30462</v>
      </c>
    </row>
    <row r="7987" spans="1:5">
      <c r="A7987" t="s">
        <v>6</v>
      </c>
      <c r="B7987" t="s">
        <v>7992</v>
      </c>
      <c r="C7987">
        <f>HYPERLINK("C:\Users\franc\OneDrive\Documentos\MALENTIN KARIME\COLOMBRES\instrucciones3.doc", "Abrir Documento")</f>
        <v>0</v>
      </c>
      <c r="D7987" t="s">
        <v>23500</v>
      </c>
      <c r="E7987" t="s">
        <v>30463</v>
      </c>
    </row>
    <row r="7988" spans="1:5">
      <c r="A7988" t="s">
        <v>6</v>
      </c>
      <c r="B7988" t="s">
        <v>7993</v>
      </c>
      <c r="C7988">
        <f>HYPERLINK("C:\Users\franc\OneDrive\Documentos\MALENTIN KARIME\COLOMBRES\instrucciones2.doc", "Abrir Documento")</f>
        <v>0</v>
      </c>
      <c r="D7988" t="s">
        <v>23500</v>
      </c>
      <c r="E7988" t="s">
        <v>30464</v>
      </c>
    </row>
    <row r="7989" spans="1:5">
      <c r="A7989" t="s">
        <v>6</v>
      </c>
      <c r="B7989" t="s">
        <v>7994</v>
      </c>
      <c r="C7989">
        <f>HYPERLINK("C:\Users\franc\OneDrive\Documentos\MALENTIN KARIME\COLOMBRES\instrucciones.doc", "Abrir Documento")</f>
        <v>0</v>
      </c>
      <c r="D7989" t="s">
        <v>23500</v>
      </c>
      <c r="E7989" t="s">
        <v>30465</v>
      </c>
    </row>
    <row r="7990" spans="1:5">
      <c r="A7990" t="s">
        <v>6</v>
      </c>
      <c r="B7990" t="s">
        <v>7995</v>
      </c>
      <c r="C7990">
        <f>HYPERLINK("C:\Users\franc\OneDrive\Documentos\MALENTIN KARIME\COLOMBRES\GABRIELMESQUIDA A RODRIGO RICALDE.doc", "Abrir Documento")</f>
        <v>0</v>
      </c>
      <c r="D7990" t="s">
        <v>23500</v>
      </c>
      <c r="E7990" t="s">
        <v>30466</v>
      </c>
    </row>
    <row r="7991" spans="1:5">
      <c r="A7991" t="s">
        <v>6</v>
      </c>
      <c r="B7991" t="s">
        <v>7996</v>
      </c>
      <c r="C7991">
        <f>HYPERLINK("C:\Users\franc\OneDrive\Documentos\MALENTIN KARIME\COLOMBRES\DECLARACION JURADA.doc", "Abrir Documento")</f>
        <v>0</v>
      </c>
      <c r="D7991" t="s">
        <v>23500</v>
      </c>
      <c r="E7991" t="s">
        <v>30467</v>
      </c>
    </row>
    <row r="7992" spans="1:5">
      <c r="A7992" t="s">
        <v>6</v>
      </c>
      <c r="B7992" t="s">
        <v>7997</v>
      </c>
      <c r="C7992">
        <f>HYPERLINK("C:\Users\franc\OneDrive\Documentos\MALENTIN KARIME\COLOMBRES\CERTIFICADO RECEP FINAL.doc", "Abrir Documento")</f>
        <v>0</v>
      </c>
      <c r="D7992" t="s">
        <v>23500</v>
      </c>
      <c r="E7992" t="s">
        <v>30468</v>
      </c>
    </row>
    <row r="7993" spans="1:5">
      <c r="A7993" t="s">
        <v>6</v>
      </c>
      <c r="B7993" t="s">
        <v>7998</v>
      </c>
      <c r="C7993">
        <f>HYPERLINK("C:\Users\franc\OneDrive\Documentos\MALENTIN KARIME\CLAUDIO ARDILES\2014\WILSON PEREIRA Complementacion.doc", "Abrir Documento")</f>
        <v>0</v>
      </c>
      <c r="D7993" t="s">
        <v>23500</v>
      </c>
      <c r="E7993" t="s">
        <v>30469</v>
      </c>
    </row>
    <row r="7994" spans="1:5">
      <c r="A7994" t="s">
        <v>6</v>
      </c>
      <c r="B7994" t="s">
        <v>7999</v>
      </c>
      <c r="C7994">
        <f>HYPERLINK("C:\Users\franc\OneDrive\Documentos\MALENTIN KARIME\CLAUDIO ARDILES\2014\CLAUDIO ARDILES Rect.doc", "Abrir Documento")</f>
        <v>0</v>
      </c>
      <c r="D7994" t="s">
        <v>23500</v>
      </c>
      <c r="E7994" t="s">
        <v>30470</v>
      </c>
    </row>
    <row r="7995" spans="1:5">
      <c r="A7995" t="s">
        <v>6</v>
      </c>
      <c r="B7995" t="s">
        <v>8000</v>
      </c>
      <c r="C7995">
        <f>HYPERLINK("C:\Users\franc\OneDrive\Documentos\MALENTIN KARIME\CLAUDIO ARDILES\WILSON PEREIRA GARCIA 2014.doc", "Abrir Documento")</f>
        <v>0</v>
      </c>
      <c r="D7995" t="s">
        <v>23500</v>
      </c>
      <c r="E7995" t="s">
        <v>30471</v>
      </c>
    </row>
    <row r="7996" spans="1:5">
      <c r="A7996" t="s">
        <v>6</v>
      </c>
      <c r="B7996" t="s">
        <v>8001</v>
      </c>
      <c r="C7996">
        <f>HYPERLINK("C:\Users\franc\OneDrive\Documentos\MALENTIN KARIME\CLAUDIO ARDILES\VERONICA MORGADO Y EDITH MORALES.doc", "Abrir Documento")</f>
        <v>0</v>
      </c>
      <c r="D7996" t="s">
        <v>23500</v>
      </c>
      <c r="E7996" t="s">
        <v>30472</v>
      </c>
    </row>
    <row r="7997" spans="1:5">
      <c r="A7997" t="s">
        <v>6</v>
      </c>
      <c r="B7997" t="s">
        <v>8002</v>
      </c>
      <c r="C7997">
        <f>HYPERLINK("C:\Users\franc\OneDrive\Documentos\MALENTIN KARIME\CLAUDIO ARDILES\TELLCOR A ALVARO MAYA.doc", "Abrir Documento")</f>
        <v>0</v>
      </c>
      <c r="D7997" t="s">
        <v>23500</v>
      </c>
      <c r="E7997" t="s">
        <v>30473</v>
      </c>
    </row>
    <row r="7998" spans="1:5">
      <c r="A7998" t="s">
        <v>6</v>
      </c>
      <c r="B7998" t="s">
        <v>8003</v>
      </c>
      <c r="C7998">
        <f>HYPERLINK("C:\Users\franc\OneDrive\Documentos\MALENTIN KARIME\CLAUDIO ARDILES\Sociedad SANTA ROSA.doc", "Abrir Documento")</f>
        <v>0</v>
      </c>
      <c r="D7998" t="s">
        <v>23500</v>
      </c>
      <c r="E7998" t="s">
        <v>30474</v>
      </c>
    </row>
    <row r="7999" spans="1:5">
      <c r="A7999" t="s">
        <v>6</v>
      </c>
      <c r="B7999" t="s">
        <v>8004</v>
      </c>
      <c r="C7999">
        <f>HYPERLINK("C:\Users\franc\OneDrive\Documentos\MALENTIN KARIME\CLAUDIO ARDILES\SANTA ROSA LTDA. Extracto.doc", "Abrir Documento")</f>
        <v>0</v>
      </c>
      <c r="D7999" t="s">
        <v>23500</v>
      </c>
      <c r="E7999" t="s">
        <v>30475</v>
      </c>
    </row>
    <row r="8000" spans="1:5">
      <c r="A8000" t="s">
        <v>6</v>
      </c>
      <c r="B8000" t="s">
        <v>8005</v>
      </c>
      <c r="C8000">
        <f>HYPERLINK("C:\Users\franc\OneDrive\Documentos\MALENTIN KARIME\CLAUDIO ARDILES\PEDRO TIRADO Y Eduardo Miranda cvta pacto.doc", "Abrir Documento")</f>
        <v>0</v>
      </c>
      <c r="D8000" t="s">
        <v>23500</v>
      </c>
      <c r="E8000" t="s">
        <v>30476</v>
      </c>
    </row>
    <row r="8001" spans="1:5">
      <c r="A8001" t="s">
        <v>6</v>
      </c>
      <c r="B8001" t="s">
        <v>8006</v>
      </c>
      <c r="C8001">
        <f>HYPERLINK("C:\Users\franc\OneDrive\Documentos\MALENTIN KARIME\CLAUDIO ARDILES\PEDRO TIRADO A EDO. MIRANDA Promesa privada.doc", "Abrir Documento")</f>
        <v>0</v>
      </c>
      <c r="D8001" t="s">
        <v>23500</v>
      </c>
      <c r="E8001" t="s">
        <v>30477</v>
      </c>
    </row>
    <row r="8002" spans="1:5">
      <c r="A8002" t="s">
        <v>6</v>
      </c>
      <c r="B8002" t="s">
        <v>8007</v>
      </c>
      <c r="C8002">
        <f>HYPERLINK("C:\Users\franc\OneDrive\Documentos\MALENTIN KARIME\CLAUDIO ARDILES\MARISA ALVAREZ CHANDIA mandato general.doc", "Abrir Documento")</f>
        <v>0</v>
      </c>
      <c r="D8002" t="s">
        <v>23500</v>
      </c>
      <c r="E8002" t="s">
        <v>30478</v>
      </c>
    </row>
    <row r="8003" spans="1:5">
      <c r="A8003" t="s">
        <v>6</v>
      </c>
      <c r="B8003" t="s">
        <v>8008</v>
      </c>
      <c r="C8003">
        <f>HYPERLINK("C:\Users\franc\OneDrive\Documentos\MALENTIN KARIME\CLAUDIO ARDILES\MARCIAL MELLADO Y OTROS A Agricola Norteandino.doc", "Abrir Documento")</f>
        <v>0</v>
      </c>
      <c r="D8003" t="s">
        <v>23500</v>
      </c>
      <c r="E8003" t="s">
        <v>30479</v>
      </c>
    </row>
    <row r="8004" spans="1:5">
      <c r="A8004" t="s">
        <v>6</v>
      </c>
      <c r="B8004" t="s">
        <v>8009</v>
      </c>
      <c r="C8004">
        <f>HYPERLINK("C:\Users\franc\OneDrive\Documentos\MALENTIN KARIME\CLAUDIO ARDILES\MARCIAL MELLADO MALUENDA A Agrícola Norteandino.doc", "Abrir Documento")</f>
        <v>0</v>
      </c>
      <c r="D8004" t="s">
        <v>23500</v>
      </c>
      <c r="E8004" t="s">
        <v>30480</v>
      </c>
    </row>
    <row r="8005" spans="1:5">
      <c r="A8005" t="s">
        <v>6</v>
      </c>
      <c r="B8005" t="s">
        <v>8010</v>
      </c>
      <c r="C8005">
        <f>HYPERLINK("C:\Users\franc\OneDrive\Documentos\MALENTIN KARIME\CLAUDIO ARDILES\MACARENA TAPIA GALLEGUILLOS Cvta.doc", "Abrir Documento")</f>
        <v>0</v>
      </c>
      <c r="D8005" t="s">
        <v>23500</v>
      </c>
      <c r="E8005" t="s">
        <v>30481</v>
      </c>
    </row>
    <row r="8006" spans="1:5">
      <c r="A8006" t="s">
        <v>6</v>
      </c>
      <c r="B8006" t="s">
        <v>8011</v>
      </c>
      <c r="C8006">
        <f>HYPERLINK("C:\Users\franc\OneDrive\Documentos\MALENTIN KARIME\CLAUDIO ARDILES\JORGE CONTRERAS HERRERA A CRISTIAN LATORRE Rectificacion.doc", "Abrir Documento")</f>
        <v>0</v>
      </c>
      <c r="D8006" t="s">
        <v>23500</v>
      </c>
      <c r="E8006" t="s">
        <v>30482</v>
      </c>
    </row>
    <row r="8007" spans="1:5">
      <c r="A8007" t="s">
        <v>6</v>
      </c>
      <c r="B8007" t="s">
        <v>8012</v>
      </c>
      <c r="C8007">
        <f>HYPERLINK("C:\Users\franc\OneDrive\Documentos\MALENTIN KARIME\CLAUDIO ARDILES\JORGE CONTRERAS HERRERA A CRISTIAN LATORRE CVTA.doc", "Abrir Documento")</f>
        <v>0</v>
      </c>
      <c r="D8007" t="s">
        <v>23500</v>
      </c>
      <c r="E8007" t="s">
        <v>30483</v>
      </c>
    </row>
    <row r="8008" spans="1:5">
      <c r="A8008" t="s">
        <v>6</v>
      </c>
      <c r="B8008" t="s">
        <v>8013</v>
      </c>
      <c r="C8008">
        <f>HYPERLINK("C:\Users\franc\OneDrive\Documentos\MALENTIN KARIME\CLAUDIO ARDILES\JAIME CASTILLO  Cesion derechos.doc", "Abrir Documento")</f>
        <v>0</v>
      </c>
      <c r="D8008" t="s">
        <v>23500</v>
      </c>
      <c r="E8008" t="s">
        <v>30484</v>
      </c>
    </row>
    <row r="8009" spans="1:5">
      <c r="A8009" t="s">
        <v>6</v>
      </c>
      <c r="B8009" t="s">
        <v>8014</v>
      </c>
      <c r="C8009">
        <f>HYPERLINK("C:\Users\franc\OneDrive\Documentos\MALENTIN KARIME\CLAUDIO ARDILES\Extracto ASESORIAS CERRO BLANCO.doc", "Abrir Documento")</f>
        <v>0</v>
      </c>
      <c r="D8009" t="s">
        <v>23500</v>
      </c>
      <c r="E8009" t="s">
        <v>30485</v>
      </c>
    </row>
    <row r="8010" spans="1:5">
      <c r="A8010" t="s">
        <v>6</v>
      </c>
      <c r="B8010" t="s">
        <v>8015</v>
      </c>
      <c r="C8010">
        <f>HYPERLINK("C:\Users\franc\OneDrive\Documentos\MALENTIN KARIME\CLAUDIO ARDILES\EDUARDO YAGNAN A DIANA FLORES.doc", "Abrir Documento")</f>
        <v>0</v>
      </c>
      <c r="D8010" t="s">
        <v>23500</v>
      </c>
      <c r="E8010" t="s">
        <v>30486</v>
      </c>
    </row>
    <row r="8011" spans="1:5">
      <c r="A8011" t="s">
        <v>6</v>
      </c>
      <c r="B8011" t="s">
        <v>8016</v>
      </c>
      <c r="C8011">
        <f>HYPERLINK("C:\Users\franc\OneDrive\Documentos\MALENTIN KARIME\CLAUDIO ARDILES\derecho real de uso NORTEANDINO.doc", "Abrir Documento")</f>
        <v>0</v>
      </c>
      <c r="D8011" t="s">
        <v>23500</v>
      </c>
      <c r="E8011" t="s">
        <v>30487</v>
      </c>
    </row>
    <row r="8012" spans="1:5">
      <c r="A8012" t="s">
        <v>6</v>
      </c>
      <c r="B8012" t="s">
        <v>8017</v>
      </c>
      <c r="C8012">
        <f>HYPERLINK("C:\Users\franc\OneDrive\Documentos\MALENTIN KARIME\CLAUDIO ARDILES\Daniela Huerta DECLARACION.doc", "Abrir Documento")</f>
        <v>0</v>
      </c>
      <c r="D8012" t="s">
        <v>23500</v>
      </c>
      <c r="E8012" t="s">
        <v>30488</v>
      </c>
    </row>
    <row r="8013" spans="1:5">
      <c r="A8013" t="s">
        <v>6</v>
      </c>
      <c r="B8013" t="s">
        <v>8018</v>
      </c>
      <c r="C8013">
        <f>HYPERLINK("C:\Users\franc\OneDrive\Documentos\MALENTIN KARIME\CLAUDIO ARDILES\cvta 825.doc", "Abrir Documento")</f>
        <v>0</v>
      </c>
      <c r="D8013" t="s">
        <v>23500</v>
      </c>
      <c r="E8013" t="s">
        <v>30489</v>
      </c>
    </row>
    <row r="8014" spans="1:5">
      <c r="A8014" t="s">
        <v>6</v>
      </c>
      <c r="B8014" t="s">
        <v>8019</v>
      </c>
      <c r="C8014">
        <f>HYPERLINK("C:\Users\franc\OneDrive\Documentos\MALENTIN KARIME\CLAUDIO ARDILES\CRISTIAN LATORRE MORALES A Claudia Herrera.doc", "Abrir Documento")</f>
        <v>0</v>
      </c>
      <c r="D8014" t="s">
        <v>23500</v>
      </c>
      <c r="E8014" t="s">
        <v>30490</v>
      </c>
    </row>
    <row r="8015" spans="1:5">
      <c r="A8015" t="s">
        <v>6</v>
      </c>
      <c r="B8015" t="s">
        <v>8020</v>
      </c>
      <c r="C8015">
        <f>HYPERLINK("C:\Users\franc\OneDrive\Documentos\MALENTIN KARIME\CLAUDIO ARDILES\CRISTIAN LATORRE CON GENESIS LATORRE.doc", "Abrir Documento")</f>
        <v>0</v>
      </c>
      <c r="D8015" t="s">
        <v>23500</v>
      </c>
      <c r="E8015" t="s">
        <v>30491</v>
      </c>
    </row>
    <row r="8016" spans="1:5">
      <c r="A8016" t="s">
        <v>6</v>
      </c>
      <c r="B8016" t="s">
        <v>8021</v>
      </c>
      <c r="C8016">
        <f>HYPERLINK("C:\Users\franc\OneDrive\Documentos\MALENTIN KARIME\CLAUDIO ARDILES\COMODATO B SANTANDER.doc", "Abrir Documento")</f>
        <v>0</v>
      </c>
      <c r="D8016" t="s">
        <v>23500</v>
      </c>
      <c r="E8016" t="s">
        <v>30492</v>
      </c>
    </row>
    <row r="8017" spans="1:5">
      <c r="A8017" t="s">
        <v>6</v>
      </c>
      <c r="B8017" t="s">
        <v>8022</v>
      </c>
      <c r="C8017">
        <f>HYPERLINK("C:\Users\franc\OneDrive\Documentos\MALENTIN KARIME\CLAUDIO ARDILES\CERRO BLANCO Saneamiento.doc", "Abrir Documento")</f>
        <v>0</v>
      </c>
      <c r="D8017" t="s">
        <v>23500</v>
      </c>
      <c r="E8017" t="s">
        <v>30493</v>
      </c>
    </row>
    <row r="8018" spans="1:5">
      <c r="A8018" t="s">
        <v>6</v>
      </c>
      <c r="B8018" t="s">
        <v>8023</v>
      </c>
      <c r="C8018">
        <f>HYPERLINK("C:\Users\franc\OneDrive\Documentos\MALENTIN KARIME\CLAUDIO ARDILES\CARTA TERMINO ADMINISTRACION.doc", "Abrir Documento")</f>
        <v>0</v>
      </c>
      <c r="D8018" t="s">
        <v>23500</v>
      </c>
      <c r="E8018" t="s">
        <v>30494</v>
      </c>
    </row>
    <row r="8019" spans="1:5">
      <c r="A8019" t="s">
        <v>6</v>
      </c>
      <c r="B8019" t="s">
        <v>8024</v>
      </c>
      <c r="C8019">
        <f>HYPERLINK("C:\Users\franc\OneDrive\Documentos\MALENTIN KARIME\CLAUDIO ARDILES\CARLOS PERINES ALVAREZ Y OTROS 2.doc", "Abrir Documento")</f>
        <v>0</v>
      </c>
      <c r="D8019" t="s">
        <v>23500</v>
      </c>
      <c r="E8019" t="s">
        <v>30495</v>
      </c>
    </row>
    <row r="8020" spans="1:5">
      <c r="A8020" t="s">
        <v>6</v>
      </c>
      <c r="B8020" t="s">
        <v>8025</v>
      </c>
      <c r="C8020">
        <f>HYPERLINK("C:\Users\franc\OneDrive\Documentos\MALENTIN KARIME\CLAUDIO ARDILES\CARLOS PERINES ALVAREZ Y OTROS 2 abogado.doc", "Abrir Documento")</f>
        <v>0</v>
      </c>
      <c r="D8020" t="s">
        <v>23500</v>
      </c>
      <c r="E8020" t="s">
        <v>30496</v>
      </c>
    </row>
    <row r="8021" spans="1:5">
      <c r="A8021" t="s">
        <v>6</v>
      </c>
      <c r="B8021" t="s">
        <v>8026</v>
      </c>
      <c r="C8021">
        <f>HYPERLINK("C:\Users\franc\OneDrive\Documentos\MALENTIN KARIME\CLAUDIO ARDILES\CARLOS PERINES ALVAREZ Y OTROS 1.doc", "Abrir Documento")</f>
        <v>0</v>
      </c>
      <c r="D8021" t="s">
        <v>23500</v>
      </c>
      <c r="E8021" t="s">
        <v>30497</v>
      </c>
    </row>
    <row r="8022" spans="1:5">
      <c r="A8022" t="s">
        <v>6</v>
      </c>
      <c r="B8022" t="s">
        <v>8027</v>
      </c>
      <c r="C8022">
        <f>HYPERLINK("C:\Users\franc\OneDrive\Documentos\MALENTIN KARIME\CLAUDIO ARDILES\CARLOS PERINES ALVAREZ Y OTROS 1 abogado.doc", "Abrir Documento")</f>
        <v>0</v>
      </c>
      <c r="D8022" t="s">
        <v>23500</v>
      </c>
      <c r="E8022" t="s">
        <v>30498</v>
      </c>
    </row>
    <row r="8023" spans="1:5">
      <c r="A8023" t="s">
        <v>6</v>
      </c>
      <c r="B8023" t="s">
        <v>8028</v>
      </c>
      <c r="C8023">
        <f>HYPERLINK("C:\Users\franc\OneDrive\Documentos\MALENTIN KARIME\CLAUDIO ARDILES\ANEXO MELLADO - NORTEANDINO.doc", "Abrir Documento")</f>
        <v>0</v>
      </c>
      <c r="D8023" t="s">
        <v>23500</v>
      </c>
      <c r="E8023" t="s">
        <v>30499</v>
      </c>
    </row>
    <row r="8024" spans="1:5">
      <c r="A8024" t="s">
        <v>6</v>
      </c>
      <c r="B8024" t="s">
        <v>8029</v>
      </c>
      <c r="C8024">
        <f>HYPERLINK("C:\Users\franc\OneDrive\Documentos\MALENTIN KARIME\CLAUDIO ARAYA\2018\ROSA VALLEJOS.doc", "Abrir Documento")</f>
        <v>0</v>
      </c>
      <c r="D8024" t="s">
        <v>23500</v>
      </c>
      <c r="E8024" t="s">
        <v>30500</v>
      </c>
    </row>
    <row r="8025" spans="1:5">
      <c r="A8025" t="s">
        <v>6</v>
      </c>
      <c r="B8025" t="s">
        <v>8030</v>
      </c>
      <c r="C8025">
        <f>HYPERLINK("C:\Users\franc\OneDrive\Documentos\MALENTIN KARIME\CLAUDIO ARAYA\2018\MANUEL SEGOVIA.doc", "Abrir Documento")</f>
        <v>0</v>
      </c>
      <c r="D8025" t="s">
        <v>23500</v>
      </c>
      <c r="E8025" t="s">
        <v>30501</v>
      </c>
    </row>
    <row r="8026" spans="1:5">
      <c r="A8026" t="s">
        <v>6</v>
      </c>
      <c r="B8026" t="s">
        <v>8031</v>
      </c>
      <c r="C8026">
        <f>HYPERLINK("C:\Users\franc\OneDrive\Documentos\MALENTIN KARIME\CLAUDIO ARAYA\2018\JUANA SEGOVIA.doc", "Abrir Documento")</f>
        <v>0</v>
      </c>
      <c r="D8026" t="s">
        <v>23500</v>
      </c>
      <c r="E8026" t="s">
        <v>30502</v>
      </c>
    </row>
    <row r="8027" spans="1:5">
      <c r="A8027" t="s">
        <v>6</v>
      </c>
      <c r="B8027" t="s">
        <v>8032</v>
      </c>
      <c r="C8027">
        <f>HYPERLINK("C:\Users\franc\OneDrive\Documentos\MALENTIN KARIME\CLAUDIO ARAYA\2018\JOHANA JOFRE.doc", "Abrir Documento")</f>
        <v>0</v>
      </c>
      <c r="D8027" t="s">
        <v>23500</v>
      </c>
      <c r="E8027" t="s">
        <v>30503</v>
      </c>
    </row>
    <row r="8028" spans="1:5">
      <c r="A8028" t="s">
        <v>6</v>
      </c>
      <c r="B8028" t="s">
        <v>8033</v>
      </c>
      <c r="C8028">
        <f>HYPERLINK("C:\Users\franc\OneDrive\Documentos\MALENTIN KARIME\CLAUDIO ARAYA\2018\FERNANDO VALLEJOS.doc", "Abrir Documento")</f>
        <v>0</v>
      </c>
      <c r="D8028" t="s">
        <v>23500</v>
      </c>
      <c r="E8028" t="s">
        <v>30504</v>
      </c>
    </row>
    <row r="8029" spans="1:5">
      <c r="A8029" t="s">
        <v>6</v>
      </c>
      <c r="B8029" t="s">
        <v>8034</v>
      </c>
      <c r="C8029">
        <f>HYPERLINK("C:\Users\franc\OneDrive\Documentos\MALENTIN KARIME\CLAUDIO ARAYA\2018\compraventa derechos inmueble  FELIPE JOFRE.doc", "Abrir Documento")</f>
        <v>0</v>
      </c>
      <c r="D8029" t="s">
        <v>23500</v>
      </c>
      <c r="E8029" t="s">
        <v>30505</v>
      </c>
    </row>
    <row r="8030" spans="1:5">
      <c r="A8030" t="s">
        <v>6</v>
      </c>
      <c r="B8030" t="s">
        <v>8035</v>
      </c>
      <c r="C8030">
        <f>HYPERLINK("C:\Users\franc\OneDrive\Documentos\MALENTIN KARIME\CLAUDIO ARAYA\2018\COMPRADORES DERECHOS INMUEBLE.docx", "Abrir Documento")</f>
        <v>0</v>
      </c>
      <c r="D8030" t="s">
        <v>23501</v>
      </c>
      <c r="E8030" t="s">
        <v>30506</v>
      </c>
    </row>
    <row r="8031" spans="1:5">
      <c r="A8031" t="s">
        <v>6</v>
      </c>
      <c r="B8031" t="s">
        <v>8036</v>
      </c>
      <c r="C8031">
        <f>HYPERLINK("C:\Users\franc\OneDrive\Documentos\MALENTIN KARIME\CLAUDIO ARAYA\2018\CLAUDIO SEGOVIA.doc", "Abrir Documento")</f>
        <v>0</v>
      </c>
      <c r="D8031" t="s">
        <v>23500</v>
      </c>
      <c r="E8031" t="s">
        <v>30507</v>
      </c>
    </row>
    <row r="8032" spans="1:5">
      <c r="A8032" t="s">
        <v>6</v>
      </c>
      <c r="B8032" t="s">
        <v>8037</v>
      </c>
      <c r="C8032">
        <f>HYPERLINK("C:\Users\franc\OneDrive\Documentos\MALENTIN KARIME\CLAUDIO ARAYA\2016\INSTRUCCIONES MARIO RAMIREZ Y CLAUDIO ARAYA-2.doc", "Abrir Documento")</f>
        <v>0</v>
      </c>
      <c r="D8032" t="s">
        <v>23500</v>
      </c>
      <c r="E8032" t="s">
        <v>30508</v>
      </c>
    </row>
    <row r="8033" spans="1:5">
      <c r="A8033" t="s">
        <v>6</v>
      </c>
      <c r="B8033" t="s">
        <v>8038</v>
      </c>
      <c r="C8033">
        <f>HYPERLINK("C:\Users\franc\OneDrive\Documentos\MALENTIN KARIME\CLAUDIO ARAYA\2016\instrucciones dn Claudio.doc", "Abrir Documento")</f>
        <v>0</v>
      </c>
      <c r="D8033" t="s">
        <v>23500</v>
      </c>
      <c r="E8033" t="s">
        <v>30509</v>
      </c>
    </row>
    <row r="8034" spans="1:5">
      <c r="A8034" t="s">
        <v>6</v>
      </c>
      <c r="B8034" t="s">
        <v>8039</v>
      </c>
      <c r="C8034">
        <f>HYPERLINK("C:\Users\franc\OneDrive\Documentos\MALENTIN KARIME\CLAUDIO ARAYA\2015\SOC AGRICOLA MARIO ROBLES y JUAN MORALES complem.doc", "Abrir Documento")</f>
        <v>0</v>
      </c>
      <c r="D8034" t="s">
        <v>23500</v>
      </c>
      <c r="E8034" t="s">
        <v>30510</v>
      </c>
    </row>
    <row r="8035" spans="1:5">
      <c r="A8035" t="s">
        <v>6</v>
      </c>
      <c r="B8035" t="s">
        <v>8040</v>
      </c>
      <c r="C8035">
        <f>HYPERLINK("C:\Users\franc\OneDrive\Documentos\MALENTIN KARIME\CLAUDIO ARAYA\2014\SOCIEDAD AGRICOLA MARIO ROBLES A Juan Morales.doc", "Abrir Documento")</f>
        <v>0</v>
      </c>
      <c r="D8035" t="s">
        <v>23500</v>
      </c>
      <c r="E8035" t="s">
        <v>30511</v>
      </c>
    </row>
    <row r="8036" spans="1:5">
      <c r="A8036" t="s">
        <v>6</v>
      </c>
      <c r="B8036" t="s">
        <v>8041</v>
      </c>
      <c r="C8036">
        <f>HYPERLINK("C:\Users\franc\OneDrive\Documentos\MALENTIN KARIME\CLAUDIO ARAYA\2014\MYRNA SEGOVIA A Osvaldo Rojas.doc", "Abrir Documento")</f>
        <v>0</v>
      </c>
      <c r="D8036" t="s">
        <v>23500</v>
      </c>
      <c r="E8036" t="s">
        <v>30512</v>
      </c>
    </row>
    <row r="8037" spans="1:5">
      <c r="A8037" t="s">
        <v>6</v>
      </c>
      <c r="B8037" t="s">
        <v>8042</v>
      </c>
      <c r="C8037">
        <f>HYPERLINK("C:\Users\franc\OneDrive\Documentos\MALENTIN KARIME\CLAUDIO ARAYA\2014\MYRNA SEGOVIA A Osvaldo Rojas  FINAL.doc", "Abrir Documento")</f>
        <v>0</v>
      </c>
      <c r="D8037" t="s">
        <v>23500</v>
      </c>
      <c r="E8037" t="s">
        <v>30513</v>
      </c>
    </row>
    <row r="8038" spans="1:5">
      <c r="A8038" t="s">
        <v>6</v>
      </c>
      <c r="B8038" t="s">
        <v>8043</v>
      </c>
      <c r="C8038">
        <f>HYPERLINK("C:\Users\franc\OneDrive\Documentos\MALENTIN KARIME\CLAUDIO ARAYA\2014\MARIA PINOCHET A Paulina Palta.doc", "Abrir Documento")</f>
        <v>0</v>
      </c>
      <c r="D8038" t="s">
        <v>23500</v>
      </c>
      <c r="E8038" t="s">
        <v>30514</v>
      </c>
    </row>
    <row r="8039" spans="1:5">
      <c r="A8039" t="s">
        <v>6</v>
      </c>
      <c r="B8039" t="s">
        <v>8044</v>
      </c>
      <c r="C8039">
        <f>HYPERLINK("C:\Users\franc\OneDrive\Documentos\MALENTIN KARIME\CLAUDIO ARAYA\2014\GRACIELA QUIROZ A TATIANA CANIHUANTE.doc", "Abrir Documento")</f>
        <v>0</v>
      </c>
      <c r="D8039" t="s">
        <v>23500</v>
      </c>
      <c r="E8039" t="s">
        <v>30515</v>
      </c>
    </row>
    <row r="8040" spans="1:5">
      <c r="A8040" t="s">
        <v>6</v>
      </c>
      <c r="B8040" t="s">
        <v>8045</v>
      </c>
      <c r="C8040">
        <f>HYPERLINK("C:\Users\franc\OneDrive\Documentos\MALENTIN KARIME\CLAUDIO ARAYA\2014\COMPRAVENTA DUBERLI GUERRERO AGUILERA-1   NUEVA JUN14.doc", "Abrir Documento")</f>
        <v>0</v>
      </c>
      <c r="D8040" t="s">
        <v>23500</v>
      </c>
      <c r="E8040" t="s">
        <v>30516</v>
      </c>
    </row>
    <row r="8041" spans="1:5">
      <c r="A8041" t="s">
        <v>6</v>
      </c>
      <c r="B8041" t="s">
        <v>8046</v>
      </c>
      <c r="C8041">
        <f>HYPERLINK("C:\Users\franc\OneDrive\Documentos\MALENTIN KARIME\CLAUDIO ARAYA\2014\ALBERTO LEIVA AGUILERA A Carmen Fernández.doc", "Abrir Documento")</f>
        <v>0</v>
      </c>
      <c r="D8041" t="s">
        <v>23500</v>
      </c>
      <c r="E8041" t="s">
        <v>30517</v>
      </c>
    </row>
    <row r="8042" spans="1:5">
      <c r="A8042" t="s">
        <v>6</v>
      </c>
      <c r="B8042" t="s">
        <v>8047</v>
      </c>
      <c r="C8042">
        <f>HYPERLINK("C:\Users\franc\OneDrive\Documentos\MALENTIN KARIME\CLAUDIO ARAYA\tectificatoria compra con subsidio.doc", "Abrir Documento")</f>
        <v>0</v>
      </c>
      <c r="D8042" t="s">
        <v>23500</v>
      </c>
      <c r="E8042" t="s">
        <v>30518</v>
      </c>
    </row>
    <row r="8043" spans="1:5">
      <c r="A8043" t="s">
        <v>6</v>
      </c>
      <c r="B8043" t="s">
        <v>8048</v>
      </c>
      <c r="C8043">
        <f>HYPERLINK("C:\Users\franc\OneDrive\Documentos\MALENTIN KARIME\CLAUDIO ARAYA\SOCIEDAD MINERA HJ.doc", "Abrir Documento")</f>
        <v>0</v>
      </c>
      <c r="D8043" t="s">
        <v>23500</v>
      </c>
      <c r="E8043" t="s">
        <v>30519</v>
      </c>
    </row>
    <row r="8044" spans="1:5">
      <c r="A8044" t="s">
        <v>6</v>
      </c>
      <c r="B8044" t="s">
        <v>8049</v>
      </c>
      <c r="C8044">
        <f>HYPERLINK("C:\Users\franc\OneDrive\Documentos\MALENTIN KARIME\CLAUDIO ARAYA\SOCIEDAD MINERA HJ SCM Resciliacion.doc", "Abrir Documento")</f>
        <v>0</v>
      </c>
      <c r="D8044" t="s">
        <v>23500</v>
      </c>
      <c r="E8044" t="s">
        <v>30520</v>
      </c>
    </row>
    <row r="8045" spans="1:5">
      <c r="A8045" t="s">
        <v>6</v>
      </c>
      <c r="B8045" t="s">
        <v>8050</v>
      </c>
      <c r="C8045">
        <f>HYPERLINK("C:\Users\franc\OneDrive\Documentos\MALENTIN KARIME\CLAUDIO ARAYA\ROSA PINTO RAMOS Test.doc", "Abrir Documento")</f>
        <v>0</v>
      </c>
      <c r="D8045" t="s">
        <v>23500</v>
      </c>
      <c r="E8045" t="s">
        <v>30521</v>
      </c>
    </row>
    <row r="8046" spans="1:5">
      <c r="A8046" t="s">
        <v>6</v>
      </c>
      <c r="B8046" t="s">
        <v>8051</v>
      </c>
      <c r="C8046">
        <f>HYPERLINK("C:\Users\franc\OneDrive\Documentos\MALENTIN KARIME\CLAUDIO ARAYA\RECIBO DE DINERO.doc", "Abrir Documento")</f>
        <v>0</v>
      </c>
      <c r="D8046" t="s">
        <v>23500</v>
      </c>
      <c r="E8046" t="s">
        <v>30522</v>
      </c>
    </row>
    <row r="8047" spans="1:5">
      <c r="A8047" t="s">
        <v>6</v>
      </c>
      <c r="B8047" t="s">
        <v>8052</v>
      </c>
      <c r="C8047">
        <f>HYPERLINK("C:\Users\franc\OneDrive\Documentos\MALENTIN KARIME\CLAUDIO ARAYA\JUAN CARVAJAL y JAVIER ARAYA cvta serviu.doc", "Abrir Documento")</f>
        <v>0</v>
      </c>
      <c r="D8047" t="s">
        <v>23500</v>
      </c>
      <c r="E8047" t="s">
        <v>30523</v>
      </c>
    </row>
    <row r="8048" spans="1:5">
      <c r="A8048" t="s">
        <v>6</v>
      </c>
      <c r="B8048" t="s">
        <v>8053</v>
      </c>
      <c r="C8048">
        <f>HYPERLINK("C:\Users\franc\OneDrive\Documentos\MALENTIN KARIME\CLAUDIO ARAYA\JAVIER ARAYA TALAMILLA Protocoliza.doc", "Abrir Documento")</f>
        <v>0</v>
      </c>
      <c r="D8048" t="s">
        <v>23500</v>
      </c>
      <c r="E8048" t="s">
        <v>30524</v>
      </c>
    </row>
    <row r="8049" spans="1:5">
      <c r="A8049" t="s">
        <v>6</v>
      </c>
      <c r="B8049" t="s">
        <v>8054</v>
      </c>
      <c r="C8049">
        <f>HYPERLINK("C:\Users\franc\OneDrive\Documentos\MALENTIN KARIME\CLAUDIO ARAYA\JAVIER ARAYA TALAMILLA Prot.doc", "Abrir Documento")</f>
        <v>0</v>
      </c>
      <c r="D8049" t="s">
        <v>23500</v>
      </c>
      <c r="E8049" t="s">
        <v>30525</v>
      </c>
    </row>
    <row r="8050" spans="1:5">
      <c r="A8050" t="s">
        <v>6</v>
      </c>
      <c r="B8050" t="s">
        <v>8055</v>
      </c>
      <c r="C8050">
        <f>HYPERLINK("C:\Users\franc\OneDrive\Documentos\MALENTIN KARIME\CLAUDIO ARAYA\JAVIER ARAYA TALAMILLA Prot Rectifica.doc", "Abrir Documento")</f>
        <v>0</v>
      </c>
      <c r="D8050" t="s">
        <v>23500</v>
      </c>
      <c r="E8050" t="s">
        <v>30526</v>
      </c>
    </row>
    <row r="8051" spans="1:5">
      <c r="A8051" t="s">
        <v>6</v>
      </c>
      <c r="B8051" t="s">
        <v>8056</v>
      </c>
      <c r="C8051">
        <f>HYPERLINK("C:\Users\franc\OneDrive\Documentos\MALENTIN KARIME\CLAUDIO ARAYA\JAVIER ARAYA TALAMILLA Prot Complementa.doc", "Abrir Documento")</f>
        <v>0</v>
      </c>
      <c r="D8051" t="s">
        <v>23500</v>
      </c>
      <c r="E8051" t="s">
        <v>30527</v>
      </c>
    </row>
    <row r="8052" spans="1:5">
      <c r="A8052" t="s">
        <v>6</v>
      </c>
      <c r="B8052" t="s">
        <v>8057</v>
      </c>
      <c r="C8052">
        <f>HYPERLINK("C:\Users\franc\OneDrive\Documentos\MALENTIN KARIME\CLAUDIO ARAYA\Instrucciones Escobar, Claudia - Salamanca, Carmen y Otros.doc", "Abrir Documento")</f>
        <v>0</v>
      </c>
      <c r="D8052" t="s">
        <v>23500</v>
      </c>
      <c r="E8052" t="s">
        <v>30528</v>
      </c>
    </row>
    <row r="8053" spans="1:5">
      <c r="A8053" t="s">
        <v>6</v>
      </c>
      <c r="B8053" t="s">
        <v>8058</v>
      </c>
      <c r="C8053">
        <f>HYPERLINK("C:\Users\franc\OneDrive\Documentos\MALENTIN KARIME\CLAUDIO ARAYA\HECTOR VELOZO A JAIME URQUIETA Dacion Febr.doc", "Abrir Documento")</f>
        <v>0</v>
      </c>
      <c r="D8053" t="s">
        <v>23500</v>
      </c>
      <c r="E8053" t="s">
        <v>30529</v>
      </c>
    </row>
    <row r="8054" spans="1:5">
      <c r="A8054" t="s">
        <v>6</v>
      </c>
      <c r="B8054" t="s">
        <v>8059</v>
      </c>
      <c r="C8054">
        <f>HYPERLINK("C:\Users\franc\OneDrive\Documentos\MALENTIN KARIME\CLAUDIO ARAYA\FREDDY PINTO RAMOS Test.doc", "Abrir Documento")</f>
        <v>0</v>
      </c>
      <c r="D8054" t="s">
        <v>23500</v>
      </c>
      <c r="E8054" t="s">
        <v>30530</v>
      </c>
    </row>
    <row r="8055" spans="1:5">
      <c r="A8055" t="s">
        <v>6</v>
      </c>
      <c r="B8055" t="s">
        <v>8060</v>
      </c>
      <c r="C8055">
        <f>HYPERLINK("C:\Users\franc\OneDrive\Documentos\MALENTIN KARIME\CLAUDIO ARAYA\FELIPE JOFRE TAPIA A CARLOS JOFRE Agosto 13.doc", "Abrir Documento")</f>
        <v>0</v>
      </c>
      <c r="D8055" t="s">
        <v>23500</v>
      </c>
      <c r="E8055" t="s">
        <v>30531</v>
      </c>
    </row>
    <row r="8056" spans="1:5">
      <c r="A8056" t="s">
        <v>6</v>
      </c>
      <c r="B8056" t="s">
        <v>8061</v>
      </c>
      <c r="C8056">
        <f>HYPERLINK("C:\Users\franc\OneDrive\Documentos\MALENTIN KARIME\CLAUDIO ARAYA\FELIPE JOFRE A Claudio Jofre y otro.doc", "Abrir Documento")</f>
        <v>0</v>
      </c>
      <c r="D8056" t="s">
        <v>23500</v>
      </c>
      <c r="E8056" t="s">
        <v>30532</v>
      </c>
    </row>
    <row r="8057" spans="1:5">
      <c r="A8057" t="s">
        <v>6</v>
      </c>
      <c r="B8057" t="s">
        <v>8062</v>
      </c>
      <c r="C8057">
        <f>HYPERLINK("C:\Users\franc\OneDrive\Documentos\MALENTIN KARIME\CLAUDIO ARAYA\Extracto.doc", "Abrir Documento")</f>
        <v>0</v>
      </c>
      <c r="D8057" t="s">
        <v>23500</v>
      </c>
      <c r="E8057" t="s">
        <v>30533</v>
      </c>
    </row>
    <row r="8058" spans="1:5">
      <c r="A8058" t="s">
        <v>6</v>
      </c>
      <c r="B8058" t="s">
        <v>8063</v>
      </c>
      <c r="C8058">
        <f>HYPERLINK("C:\Users\franc\OneDrive\Documentos\MALENTIN KARIME\CLAUDIO ARAYA\EVELYN VEGA GONZÁLEZ.doc", "Abrir Documento")</f>
        <v>0</v>
      </c>
      <c r="D8058" t="s">
        <v>23500</v>
      </c>
      <c r="E8058" t="s">
        <v>30534</v>
      </c>
    </row>
    <row r="8059" spans="1:5">
      <c r="A8059" t="s">
        <v>6</v>
      </c>
      <c r="B8059" t="s">
        <v>8064</v>
      </c>
      <c r="C8059">
        <f>HYPERLINK("C:\Users\franc\OneDrive\Documentos\MALENTIN KARIME\CLAUDIO ARAYA\EVELYN VEGA GONZÁLEZ rectifca.doc", "Abrir Documento")</f>
        <v>0</v>
      </c>
      <c r="D8059" t="s">
        <v>23500</v>
      </c>
      <c r="E8059" t="s">
        <v>30535</v>
      </c>
    </row>
    <row r="8060" spans="1:5">
      <c r="A8060" t="s">
        <v>6</v>
      </c>
      <c r="B8060" t="s">
        <v>8065</v>
      </c>
      <c r="C8060">
        <f>HYPERLINK("C:\Users\franc\OneDrive\Documentos\MALENTIN KARIME\CLAUDIO ARAYA\EVELYN VEGA GONZALEZRectificatoria compra con subsidio.doc", "Abrir Documento")</f>
        <v>0</v>
      </c>
      <c r="D8060" t="s">
        <v>23500</v>
      </c>
      <c r="E8060" t="s">
        <v>30536</v>
      </c>
    </row>
    <row r="8061" spans="1:5">
      <c r="A8061" t="s">
        <v>6</v>
      </c>
      <c r="B8061" t="s">
        <v>8066</v>
      </c>
      <c r="C8061">
        <f>HYPERLINK("C:\Users\franc\OneDrive\Documentos\MALENTIN KARIME\CLAUDIO ARAYA\EDUARDO GODOY E.I.R.L..doc", "Abrir Documento")</f>
        <v>0</v>
      </c>
      <c r="D8061" t="s">
        <v>23500</v>
      </c>
      <c r="E8061" t="s">
        <v>30537</v>
      </c>
    </row>
    <row r="8062" spans="1:5">
      <c r="A8062" t="s">
        <v>6</v>
      </c>
      <c r="B8062" t="s">
        <v>8067</v>
      </c>
      <c r="C8062">
        <f>HYPERLINK("C:\Users\franc\OneDrive\Documentos\MALENTIN KARIME\CLAUDIO ARAYA\EDIO GARCIA Y EVELYN VEGA cvta serviu.doc", "Abrir Documento")</f>
        <v>0</v>
      </c>
      <c r="D8062" t="s">
        <v>23500</v>
      </c>
      <c r="E8062" t="s">
        <v>30538</v>
      </c>
    </row>
    <row r="8063" spans="1:5">
      <c r="A8063" t="s">
        <v>6</v>
      </c>
      <c r="B8063" t="s">
        <v>8068</v>
      </c>
      <c r="C8063">
        <f>HYPERLINK("C:\Users\franc\OneDrive\Documentos\MALENTIN KARIME\CLAUDIO ARAYA\DOLLY TABILO CARVAJAL A NANCY MERCADO.doc", "Abrir Documento")</f>
        <v>0</v>
      </c>
      <c r="D8063" t="s">
        <v>23500</v>
      </c>
      <c r="E8063" t="s">
        <v>30539</v>
      </c>
    </row>
    <row r="8064" spans="1:5">
      <c r="A8064" t="s">
        <v>6</v>
      </c>
      <c r="B8064" t="s">
        <v>8069</v>
      </c>
      <c r="C8064">
        <f>HYPERLINK("C:\Users\franc\OneDrive\Documentos\MALENTIN KARIME\CLAUDIO ARAYA\CRISTINA PINTO Test.doc", "Abrir Documento")</f>
        <v>0</v>
      </c>
      <c r="D8064" t="s">
        <v>23500</v>
      </c>
      <c r="E8064" t="s">
        <v>30540</v>
      </c>
    </row>
    <row r="8065" spans="1:5">
      <c r="A8065" t="s">
        <v>6</v>
      </c>
      <c r="B8065" t="s">
        <v>8070</v>
      </c>
      <c r="C8065">
        <f>HYPERLINK("C:\Users\franc\OneDrive\Documentos\MALENTIN KARIME\CLAUDIO ARAYA\CRISTINA PINTO RAMOS testamento.doc", "Abrir Documento")</f>
        <v>0</v>
      </c>
      <c r="D8065" t="s">
        <v>23500</v>
      </c>
      <c r="E8065" t="s">
        <v>30541</v>
      </c>
    </row>
    <row r="8066" spans="1:5">
      <c r="A8066" t="s">
        <v>6</v>
      </c>
      <c r="B8066" t="s">
        <v>8071</v>
      </c>
      <c r="C8066">
        <f>HYPERLINK("C:\Users\franc\OneDrive\Documentos\MALENTIN KARIME\CLAUDIO ARAYA\COMPRAVENTA CON USUFRUCTO.doc", "Abrir Documento")</f>
        <v>0</v>
      </c>
      <c r="D8066" t="s">
        <v>23500</v>
      </c>
      <c r="E8066" t="s">
        <v>30542</v>
      </c>
    </row>
    <row r="8067" spans="1:5">
      <c r="A8067" t="s">
        <v>6</v>
      </c>
      <c r="B8067" t="s">
        <v>8072</v>
      </c>
      <c r="C8067">
        <f>HYPERLINK("C:\Users\franc\OneDrive\Documentos\MALENTIN KARIME\CLAUDIO ARAYA\COMPRAVENTA AHUMADA CON MARIETTA.doc", "Abrir Documento")</f>
        <v>0</v>
      </c>
      <c r="D8067" t="s">
        <v>23500</v>
      </c>
      <c r="E8067" t="s">
        <v>30543</v>
      </c>
    </row>
    <row r="8068" spans="1:5">
      <c r="A8068" t="s">
        <v>6</v>
      </c>
      <c r="B8068" t="s">
        <v>8073</v>
      </c>
      <c r="C8068">
        <f>HYPERLINK("C:\Users\franc\OneDrive\Documentos\MALENTIN KARIME\CLAUDIO ARAYA\COMPRADORES DERECHOS INMUEBLE.docx", "Abrir Documento")</f>
        <v>0</v>
      </c>
      <c r="D8068" t="s">
        <v>23501</v>
      </c>
      <c r="E8068" t="s">
        <v>30544</v>
      </c>
    </row>
    <row r="8069" spans="1:5">
      <c r="A8069" t="s">
        <v>6</v>
      </c>
      <c r="B8069" t="s">
        <v>8074</v>
      </c>
      <c r="C8069">
        <f>HYPERLINK("C:\Users\franc\OneDrive\Documentos\MALENTIN KARIME\CLAUDIO ARAYA\Complementaria compra con subsidio II Parte.doc", "Abrir Documento")</f>
        <v>0</v>
      </c>
      <c r="D8069" t="s">
        <v>23500</v>
      </c>
      <c r="E8069" t="s">
        <v>30545</v>
      </c>
    </row>
    <row r="8070" spans="1:5">
      <c r="A8070" t="s">
        <v>6</v>
      </c>
      <c r="B8070" t="s">
        <v>8075</v>
      </c>
      <c r="C8070">
        <f>HYPERLINK("C:\Users\franc\OneDrive\Documentos\MALENTIN KARIME\CLAUDIO ARAYA\CARMEN SALAMANCA Y OTROS A CLAUDIA ESCOBAR.doc", "Abrir Documento")</f>
        <v>0</v>
      </c>
      <c r="D8070" t="s">
        <v>23500</v>
      </c>
      <c r="E8070" t="s">
        <v>30546</v>
      </c>
    </row>
    <row r="8071" spans="1:5">
      <c r="A8071" t="s">
        <v>6</v>
      </c>
      <c r="B8071" t="s">
        <v>8076</v>
      </c>
      <c r="C8071">
        <f>HYPERLINK("C:\Users\franc\OneDrive\Documentos\MALENTIN KARIME\CLAUDIO ARAYA\CARMEN SALAMANCA Y OTROS A CLAUDIA ESCOBAR  2.doc", "Abrir Documento")</f>
        <v>0</v>
      </c>
      <c r="D8071" t="s">
        <v>23500</v>
      </c>
      <c r="E8071" t="s">
        <v>30547</v>
      </c>
    </row>
    <row r="8072" spans="1:5">
      <c r="A8072" t="s">
        <v>6</v>
      </c>
      <c r="B8072" t="s">
        <v>8077</v>
      </c>
      <c r="C8072">
        <f>HYPERLINK("C:\Users\franc\OneDrive\Documentos\MALENTIN KARIME\CLAUDIO ARAYA\ASIMYA A ANA VALDERRAMA.doc", "Abrir Documento")</f>
        <v>0</v>
      </c>
      <c r="D8072" t="s">
        <v>23500</v>
      </c>
      <c r="E8072" t="s">
        <v>30548</v>
      </c>
    </row>
    <row r="8073" spans="1:5">
      <c r="A8073" t="s">
        <v>6</v>
      </c>
      <c r="B8073" t="s">
        <v>8078</v>
      </c>
      <c r="C8073">
        <f>HYPERLINK("C:\Users\franc\OneDrive\Documentos\MALENTIN KARIME\CLAUDIO ARAYA\ASIMYA A ANA VALDERRAMA Final.doc", "Abrir Documento")</f>
        <v>0</v>
      </c>
      <c r="D8073" t="s">
        <v>23500</v>
      </c>
      <c r="E8073" t="s">
        <v>30549</v>
      </c>
    </row>
    <row r="8074" spans="1:5">
      <c r="A8074" t="s">
        <v>6</v>
      </c>
      <c r="B8074" t="s">
        <v>8079</v>
      </c>
      <c r="C8074">
        <f>HYPERLINK("C:\Users\franc\OneDrive\Documentos\MALENTIN KARIME\CLAUDIO ARAYA\arriendo minero.doc", "Abrir Documento")</f>
        <v>0</v>
      </c>
      <c r="D8074" t="s">
        <v>23500</v>
      </c>
      <c r="E8074" t="s">
        <v>30550</v>
      </c>
    </row>
    <row r="8075" spans="1:5">
      <c r="A8075" t="s">
        <v>6</v>
      </c>
      <c r="B8075" t="s">
        <v>8080</v>
      </c>
      <c r="C8075">
        <f>HYPERLINK("C:\Users\franc\OneDrive\Documentos\MALENTIN KARIME\CLAUDIO ARAYA\ALZAMIENTO DL 2695.doc", "Abrir Documento")</f>
        <v>0</v>
      </c>
      <c r="D8075" t="s">
        <v>23500</v>
      </c>
      <c r="E8075" t="s">
        <v>30551</v>
      </c>
    </row>
    <row r="8076" spans="1:5">
      <c r="A8076" t="s">
        <v>6</v>
      </c>
      <c r="B8076" t="s">
        <v>8081</v>
      </c>
      <c r="C8076">
        <f>HYPERLINK("C:\Users\franc\OneDrive\Documentos\MALENTIN KARIME\CLAUDIO ARAYA\ALZAMIENTO DL 2695 julio 2013.doc", "Abrir Documento")</f>
        <v>0</v>
      </c>
      <c r="D8076" t="s">
        <v>23500</v>
      </c>
      <c r="E8076" t="s">
        <v>30552</v>
      </c>
    </row>
    <row r="8077" spans="1:5">
      <c r="A8077" t="s">
        <v>6</v>
      </c>
      <c r="B8077" t="s">
        <v>8082</v>
      </c>
      <c r="C8077">
        <f>HYPERLINK("C:\Users\franc\OneDrive\Documentos\MALENTIN KARIME\CESION\RESPALDO LUIS DIAZ\VARIOS 2008\ZOILA DIAZ M. Prot.Alz.Serviu.doc", "Abrir Documento")</f>
        <v>0</v>
      </c>
      <c r="D8077" t="s">
        <v>23500</v>
      </c>
      <c r="E8077" t="s">
        <v>30553</v>
      </c>
    </row>
    <row r="8078" spans="1:5">
      <c r="A8078" t="s">
        <v>6</v>
      </c>
      <c r="B8078" t="s">
        <v>8083</v>
      </c>
      <c r="C8078">
        <f>HYPERLINK("C:\Users\franc\OneDrive\Documentos\MALENTIN KARIME\CESION\RESPALDO LUIS DIAZ\VARIOS 2008\ZAQUI ALAMO YANINE Renta Vitalicia.doc", "Abrir Documento")</f>
        <v>0</v>
      </c>
      <c r="D8078" t="s">
        <v>23500</v>
      </c>
      <c r="E8078" t="s">
        <v>30554</v>
      </c>
    </row>
    <row r="8079" spans="1:5">
      <c r="A8079" t="s">
        <v>6</v>
      </c>
      <c r="B8079" t="s">
        <v>8084</v>
      </c>
      <c r="C8079">
        <f>HYPERLINK("C:\Users\franc\OneDrive\Documentos\MALENTIN KARIME\CESION\RESPALDO LUIS DIAZ\VARIOS 2008\YANETT FERNANDEZ G. Prot.Serviu.doc", "Abrir Documento")</f>
        <v>0</v>
      </c>
      <c r="D8079" t="s">
        <v>23500</v>
      </c>
      <c r="E8079" t="s">
        <v>30555</v>
      </c>
    </row>
    <row r="8080" spans="1:5">
      <c r="A8080" t="s">
        <v>6</v>
      </c>
      <c r="B8080" t="s">
        <v>8085</v>
      </c>
      <c r="C8080">
        <f>HYPERLINK("C:\Users\franc\OneDrive\Documentos\MALENTIN KARIME\CESION\RESPALDO LUIS DIAZ\VARIOS 2008\WILSON CASANOVA CH. Separac. bienes.doc", "Abrir Documento")</f>
        <v>0</v>
      </c>
      <c r="D8080" t="s">
        <v>23500</v>
      </c>
      <c r="E8080" t="s">
        <v>30556</v>
      </c>
    </row>
    <row r="8081" spans="1:5">
      <c r="A8081" t="s">
        <v>6</v>
      </c>
      <c r="B8081" t="s">
        <v>8086</v>
      </c>
      <c r="C8081">
        <f>HYPERLINK("C:\Users\franc\OneDrive\Documentos\MALENTIN KARIME\CESION\RESPALDO LUIS DIAZ\VARIOS 2008\WILLIAN DIAZ MATURANA Rep..doc", "Abrir Documento")</f>
        <v>0</v>
      </c>
      <c r="D8081" t="s">
        <v>23500</v>
      </c>
      <c r="E8081" t="s">
        <v>30557</v>
      </c>
    </row>
    <row r="8082" spans="1:5">
      <c r="A8082" t="s">
        <v>6</v>
      </c>
      <c r="B8082" t="s">
        <v>8087</v>
      </c>
      <c r="C8082">
        <f>HYPERLINK("C:\Users\franc\OneDrive\Documentos\MALENTIN KARIME\CESION\RESPALDO LUIS DIAZ\VARIOS 2008\VIÑA OCHOTIERRAS Prot..doc", "Abrir Documento")</f>
        <v>0</v>
      </c>
      <c r="D8082" t="s">
        <v>23500</v>
      </c>
      <c r="E8082" t="s">
        <v>30558</v>
      </c>
    </row>
    <row r="8083" spans="1:5">
      <c r="A8083" t="s">
        <v>6</v>
      </c>
      <c r="B8083" t="s">
        <v>8088</v>
      </c>
      <c r="C8083">
        <f>HYPERLINK("C:\Users\franc\OneDrive\Documentos\MALENTIN KARIME\CESION\RESPALDO LUIS DIAZ\VARIOS 2008\VITAL LOPEZ ROJO. Refinanc. PET.doc", "Abrir Documento")</f>
        <v>0</v>
      </c>
      <c r="D8083" t="s">
        <v>23500</v>
      </c>
      <c r="E8083" t="s">
        <v>30559</v>
      </c>
    </row>
    <row r="8084" spans="1:5">
      <c r="A8084" t="s">
        <v>6</v>
      </c>
      <c r="B8084" t="s">
        <v>8089</v>
      </c>
      <c r="C8084">
        <f>HYPERLINK("C:\Users\franc\OneDrive\Documentos\MALENTIN KARIME\CESION\RESPALDO LUIS DIAZ\VARIOS 2008\VIRGINIA AGUILERA A. Usufructo.doc", "Abrir Documento")</f>
        <v>0</v>
      </c>
      <c r="D8084" t="s">
        <v>23500</v>
      </c>
      <c r="E8084" t="s">
        <v>30560</v>
      </c>
    </row>
    <row r="8085" spans="1:5">
      <c r="A8085" t="s">
        <v>6</v>
      </c>
      <c r="B8085" t="s">
        <v>8090</v>
      </c>
      <c r="C8085">
        <f>HYPERLINK("C:\Users\franc\OneDrive\Documentos\MALENTIN KARIME\CESION\RESPALDO LUIS DIAZ\VARIOS 2008\VILLA ALEGRE.PRO.doc", "Abrir Documento")</f>
        <v>0</v>
      </c>
      <c r="D8085" t="s">
        <v>23500</v>
      </c>
      <c r="E8085" t="s">
        <v>30561</v>
      </c>
    </row>
    <row r="8086" spans="1:5">
      <c r="A8086" t="s">
        <v>6</v>
      </c>
      <c r="B8086" t="s">
        <v>8091</v>
      </c>
      <c r="C8086">
        <f>HYPERLINK("C:\Users\franc\OneDrive\Documentos\MALENTIN KARIME\CESION\RESPALDO LUIS DIAZ\VARIOS 2008\VICTORINO CASANOVA Ampl. Inventario.doc", "Abrir Documento")</f>
        <v>0</v>
      </c>
      <c r="D8086" t="s">
        <v>23500</v>
      </c>
      <c r="E8086" t="s">
        <v>30562</v>
      </c>
    </row>
    <row r="8087" spans="1:5">
      <c r="A8087" t="s">
        <v>6</v>
      </c>
      <c r="B8087" t="s">
        <v>8092</v>
      </c>
      <c r="C8087">
        <f>HYPERLINK("C:\Users\franc\OneDrive\Documentos\MALENTIN KARIME\CESION\RESPALDO LUIS DIAZ\VARIOS 2008\VICTORIA LEMA DELLA TORRE Ratific..doc", "Abrir Documento")</f>
        <v>0</v>
      </c>
      <c r="D8087" t="s">
        <v>23500</v>
      </c>
      <c r="E8087" t="s">
        <v>30563</v>
      </c>
    </row>
    <row r="8088" spans="1:5">
      <c r="A8088" t="s">
        <v>6</v>
      </c>
      <c r="B8088" t="s">
        <v>8093</v>
      </c>
      <c r="C8088">
        <f>HYPERLINK("C:\Users\franc\OneDrive\Documentos\MALENTIN KARIME\CESION\RESPALDO LUIS DIAZ\VARIOS 2008\VICTOR H. HIDALGO. Dclar. Jurada.doc", "Abrir Documento")</f>
        <v>0</v>
      </c>
      <c r="D8088" t="s">
        <v>23500</v>
      </c>
      <c r="E8088" t="s">
        <v>30564</v>
      </c>
    </row>
    <row r="8089" spans="1:5">
      <c r="A8089" t="s">
        <v>6</v>
      </c>
      <c r="B8089" t="s">
        <v>8094</v>
      </c>
      <c r="C8089">
        <f>HYPERLINK("C:\Users\franc\OneDrive\Documentos\MALENTIN KARIME\CESION\RESPALDO LUIS DIAZ\VARIOS 2008\VICTOR H. HIDALGO. Dcl. Jurada.doc", "Abrir Documento")</f>
        <v>0</v>
      </c>
      <c r="D8089" t="s">
        <v>23500</v>
      </c>
      <c r="E8089" t="s">
        <v>30565</v>
      </c>
    </row>
    <row r="8090" spans="1:5">
      <c r="A8090" t="s">
        <v>6</v>
      </c>
      <c r="B8090" t="s">
        <v>8095</v>
      </c>
      <c r="C8090">
        <f>HYPERLINK("C:\Users\franc\OneDrive\Documentos\MALENTIN KARIME\CESION\RESPALDO LUIS DIAZ\VARIOS 2008\VICTOR BRAVO BRAVO Inv. Simple.doc", "Abrir Documento")</f>
        <v>0</v>
      </c>
      <c r="D8090" t="s">
        <v>23500</v>
      </c>
      <c r="E8090" t="s">
        <v>30566</v>
      </c>
    </row>
    <row r="8091" spans="1:5">
      <c r="A8091" t="s">
        <v>6</v>
      </c>
      <c r="B8091" t="s">
        <v>8096</v>
      </c>
      <c r="C8091">
        <f>HYPERLINK("C:\Users\franc\OneDrive\Documentos\MALENTIN KARIME\CESION\RESPALDO LUIS DIAZ\VARIOS 2008\VESNA MARTINAC a JULIA R. Transacc..doc", "Abrir Documento")</f>
        <v>0</v>
      </c>
      <c r="D8091" t="s">
        <v>23500</v>
      </c>
      <c r="E8091" t="s">
        <v>30567</v>
      </c>
    </row>
    <row r="8092" spans="1:5">
      <c r="A8092" t="s">
        <v>6</v>
      </c>
      <c r="B8092" t="s">
        <v>8097</v>
      </c>
      <c r="C8092">
        <f>HYPERLINK("C:\Users\franc\OneDrive\Documentos\MALENTIN KARIME\CESION\RESPALDO LUIS DIAZ\VARIOS 2008\VERONICA CERDA a VIVIANA QUIROGA Transac..doc", "Abrir Documento")</f>
        <v>0</v>
      </c>
      <c r="D8092" t="s">
        <v>23500</v>
      </c>
      <c r="E8092" t="s">
        <v>30568</v>
      </c>
    </row>
    <row r="8093" spans="1:5">
      <c r="A8093" t="s">
        <v>6</v>
      </c>
      <c r="B8093" t="s">
        <v>8098</v>
      </c>
      <c r="C8093">
        <f>HYPERLINK("C:\Users\franc\OneDrive\Documentos\MALENTIN KARIME\CESION\RESPALDO LUIS DIAZ\VARIOS 2008\VALORES ESCRITURAS SCOTIABANK.doc", "Abrir Documento")</f>
        <v>0</v>
      </c>
      <c r="D8093" t="s">
        <v>23500</v>
      </c>
      <c r="E8093" t="s">
        <v>30569</v>
      </c>
    </row>
    <row r="8094" spans="1:5">
      <c r="A8094" t="s">
        <v>6</v>
      </c>
      <c r="B8094" t="s">
        <v>8099</v>
      </c>
      <c r="C8094">
        <f>HYPERLINK("C:\Users\franc\OneDrive\Documentos\MALENTIN KARIME\CESION\RESPALDO LUIS DIAZ\VARIOS 2008\VALERIA VALENCIA Acepta Herencia.doc", "Abrir Documento")</f>
        <v>0</v>
      </c>
      <c r="D8094" t="s">
        <v>23500</v>
      </c>
      <c r="E8094" t="s">
        <v>30570</v>
      </c>
    </row>
    <row r="8095" spans="1:5">
      <c r="A8095" t="s">
        <v>6</v>
      </c>
      <c r="B8095" t="s">
        <v>8100</v>
      </c>
      <c r="C8095">
        <f>HYPERLINK("C:\Users\franc\OneDrive\Documentos\MALENTIN KARIME\CESION\RESPALDO LUIS DIAZ\VARIOS 2008\VACACIONES PERSONAL NOTARIA.doc", "Abrir Documento")</f>
        <v>0</v>
      </c>
      <c r="D8095" t="s">
        <v>23500</v>
      </c>
      <c r="E8095" t="s">
        <v>30571</v>
      </c>
    </row>
    <row r="8096" spans="1:5">
      <c r="A8096" t="s">
        <v>6</v>
      </c>
      <c r="B8096" t="s">
        <v>8101</v>
      </c>
      <c r="C8096">
        <f>HYPERLINK("C:\Users\franc\OneDrive\Documentos\MALENTIN KARIME\CESION\RESPALDO LUIS DIAZ\VARIOS 2008\TRANSMAQUI E.I.R.L. Transacción.doc", "Abrir Documento")</f>
        <v>0</v>
      </c>
      <c r="D8096" t="s">
        <v>23500</v>
      </c>
      <c r="E8096" t="s">
        <v>30572</v>
      </c>
    </row>
    <row r="8097" spans="1:5">
      <c r="A8097" t="s">
        <v>6</v>
      </c>
      <c r="B8097" t="s">
        <v>8102</v>
      </c>
      <c r="C8097">
        <f>HYPERLINK("C:\Users\franc\OneDrive\Documentos\MALENTIN KARIME\CESION\RESPALDO LUIS DIAZ\VARIOS 2008\Transacción CAPEL.doc", "Abrir Documento")</f>
        <v>0</v>
      </c>
      <c r="D8097" t="s">
        <v>23500</v>
      </c>
      <c r="E8097" t="s">
        <v>30573</v>
      </c>
    </row>
    <row r="8098" spans="1:5">
      <c r="A8098" t="s">
        <v>6</v>
      </c>
      <c r="B8098" t="s">
        <v>8103</v>
      </c>
      <c r="C8098">
        <f>HYPERLINK("C:\Users\franc\OneDrive\Documentos\MALENTIN KARIME\CESION\RESPALDO LUIS DIAZ\VARIOS 2008\TERESA AFFIN DIAZ Carta Poder.doc", "Abrir Documento")</f>
        <v>0</v>
      </c>
      <c r="D8098" t="s">
        <v>23500</v>
      </c>
      <c r="E8098" t="s">
        <v>30574</v>
      </c>
    </row>
    <row r="8099" spans="1:5">
      <c r="A8099" t="s">
        <v>6</v>
      </c>
      <c r="B8099" t="s">
        <v>8104</v>
      </c>
      <c r="C8099">
        <f>HYPERLINK("C:\Users\franc\OneDrive\Documentos\MALENTIN KARIME\CESION\RESPALDO LUIS DIAZ\VARIOS 2008\TATIANA ANGEL CERDA Const. Usufructo.doc", "Abrir Documento")</f>
        <v>0</v>
      </c>
      <c r="D8099" t="s">
        <v>23500</v>
      </c>
      <c r="E8099" t="s">
        <v>30575</v>
      </c>
    </row>
    <row r="8100" spans="1:5">
      <c r="A8100" t="s">
        <v>6</v>
      </c>
      <c r="B8100" t="s">
        <v>8105</v>
      </c>
      <c r="C8100">
        <f>HYPERLINK("C:\Users\franc\OneDrive\Documentos\MALENTIN KARIME\CESION\RESPALDO LUIS DIAZ\VARIOS 2008\TARJETA.doc", "Abrir Documento")</f>
        <v>0</v>
      </c>
      <c r="D8100" t="s">
        <v>23500</v>
      </c>
      <c r="E8100" t="s">
        <v>30576</v>
      </c>
    </row>
    <row r="8101" spans="1:5">
      <c r="A8101" t="s">
        <v>6</v>
      </c>
      <c r="B8101" t="s">
        <v>8106</v>
      </c>
      <c r="C8101">
        <f>HYPERLINK("C:\Users\franc\OneDrive\Documentos\MALENTIN KARIME\CESION\RESPALDO LUIS DIAZ\VARIOS 2008\TANIA OSORIO CABRERA Repudio.doc", "Abrir Documento")</f>
        <v>0</v>
      </c>
      <c r="D8101" t="s">
        <v>23500</v>
      </c>
      <c r="E8101" t="s">
        <v>30577</v>
      </c>
    </row>
    <row r="8102" spans="1:5">
      <c r="A8102" t="s">
        <v>6</v>
      </c>
      <c r="B8102" t="s">
        <v>8107</v>
      </c>
      <c r="C8102">
        <f>HYPERLINK("C:\Users\franc\OneDrive\Documentos\MALENTIN KARIME\CESION\RESPALDO LUIS DIAZ\VARIOS 2008\SOPROAL LTD. a VINICOLA C. LINDO Uva.doc", "Abrir Documento")</f>
        <v>0</v>
      </c>
      <c r="D8102" t="s">
        <v>23500</v>
      </c>
      <c r="E8102" t="s">
        <v>30578</v>
      </c>
    </row>
    <row r="8103" spans="1:5">
      <c r="A8103" t="s">
        <v>6</v>
      </c>
      <c r="B8103" t="s">
        <v>8108</v>
      </c>
      <c r="C8103">
        <f>HYPERLINK("C:\Users\franc\OneDrive\Documentos\MALENTIN KARIME\CESION\RESPALDO LUIS DIAZ\VARIOS 2008\SOPROAL LTD. a VINICOLA C. LINDO Pagare.doc", "Abrir Documento")</f>
        <v>0</v>
      </c>
      <c r="D8103" t="s">
        <v>23500</v>
      </c>
      <c r="E8103" t="s">
        <v>30579</v>
      </c>
    </row>
    <row r="8104" spans="1:5">
      <c r="A8104" t="s">
        <v>6</v>
      </c>
      <c r="B8104" t="s">
        <v>8109</v>
      </c>
      <c r="C8104">
        <f>HYPERLINK("C:\Users\franc\OneDrive\Documentos\MALENTIN KARIME\CESION\RESPALDO LUIS DIAZ\VARIOS 2008\SOPROAL LTD. a VINICOLA C. LINDO II.doc", "Abrir Documento")</f>
        <v>0</v>
      </c>
      <c r="D8104" t="s">
        <v>23500</v>
      </c>
      <c r="E8104" t="s">
        <v>30580</v>
      </c>
    </row>
    <row r="8105" spans="1:5">
      <c r="A8105" t="s">
        <v>6</v>
      </c>
      <c r="B8105" t="s">
        <v>8110</v>
      </c>
      <c r="C8105">
        <f>HYPERLINK("C:\Users\franc\OneDrive\Documentos\MALENTIN KARIME\CESION\RESPALDO LUIS DIAZ\VARIOS 2008\SOPROAL LTD. a CAMPO LINDO Pagare.doc", "Abrir Documento")</f>
        <v>0</v>
      </c>
      <c r="D8105" t="s">
        <v>23500</v>
      </c>
      <c r="E8105" t="s">
        <v>30581</v>
      </c>
    </row>
    <row r="8106" spans="1:5">
      <c r="A8106" t="s">
        <v>6</v>
      </c>
      <c r="B8106" t="s">
        <v>8111</v>
      </c>
      <c r="C8106">
        <f>HYPERLINK("C:\Users\franc\OneDrive\Documentos\MALENTIN KARIME\CESION\RESPALDO LUIS DIAZ\VARIOS 2008\SONIA CONTRERAS T. Mutuo a la Vta.doc", "Abrir Documento")</f>
        <v>0</v>
      </c>
      <c r="D8106" t="s">
        <v>23500</v>
      </c>
      <c r="E8106" t="s">
        <v>30582</v>
      </c>
    </row>
    <row r="8107" spans="1:5">
      <c r="A8107" t="s">
        <v>6</v>
      </c>
      <c r="B8107" t="s">
        <v>8112</v>
      </c>
      <c r="C8107">
        <f>HYPERLINK("C:\Users\franc\OneDrive\Documentos\MALENTIN KARIME\CESION\RESPALDO LUIS DIAZ\VARIOS 2008\SOLANGE PEREZ DIAZ.doc", "Abrir Documento")</f>
        <v>0</v>
      </c>
      <c r="D8107" t="s">
        <v>23500</v>
      </c>
      <c r="E8107" t="s">
        <v>30583</v>
      </c>
    </row>
    <row r="8108" spans="1:5">
      <c r="A8108" t="s">
        <v>6</v>
      </c>
      <c r="B8108" t="s">
        <v>8113</v>
      </c>
      <c r="C8108">
        <f>HYPERLINK("C:\Users\franc\OneDrive\Documentos\MALENTIN KARIME\CESION\RESPALDO LUIS DIAZ\VARIOS 2008\SOL. MAESTRO LTDA. Prot. Contrato.doc", "Abrir Documento")</f>
        <v>0</v>
      </c>
      <c r="D8108" t="s">
        <v>23500</v>
      </c>
      <c r="E8108" t="s">
        <v>30584</v>
      </c>
    </row>
    <row r="8109" spans="1:5">
      <c r="A8109" t="s">
        <v>6</v>
      </c>
      <c r="B8109" t="s">
        <v>8114</v>
      </c>
      <c r="C8109">
        <f>HYPERLINK("C:\Users\franc\OneDrive\Documentos\MALENTIN KARIME\CESION\RESPALDO LUIS DIAZ\VARIOS 2008\SOC. VERANEO PACIFICO.PRO.doc", "Abrir Documento")</f>
        <v>0</v>
      </c>
      <c r="D8109" t="s">
        <v>23500</v>
      </c>
      <c r="E8109" t="s">
        <v>30585</v>
      </c>
    </row>
    <row r="8110" spans="1:5">
      <c r="A8110" t="s">
        <v>6</v>
      </c>
      <c r="B8110" t="s">
        <v>8115</v>
      </c>
      <c r="C8110">
        <f>HYPERLINK("C:\Users\franc\OneDrive\Documentos\MALENTIN KARIME\CESION\RESPALDO LUIS DIAZ\VARIOS 2008\SOC. MINERA EL COBRE LTD. Mutuo a la V..doc", "Abrir Documento")</f>
        <v>0</v>
      </c>
      <c r="D8110" t="s">
        <v>23500</v>
      </c>
      <c r="E8110" t="s">
        <v>30586</v>
      </c>
    </row>
    <row r="8111" spans="1:5">
      <c r="A8111" t="s">
        <v>6</v>
      </c>
      <c r="B8111" t="s">
        <v>8116</v>
      </c>
      <c r="C8111">
        <f>HYPERLINK("C:\Users\franc\OneDrive\Documentos\MALENTIN KARIME\CESION\RESPALDO LUIS DIAZ\VARIOS 2008\SOC. AGR. LOS ALAMOS LTD. Prot. Contrato.doc", "Abrir Documento")</f>
        <v>0</v>
      </c>
      <c r="D8111" t="s">
        <v>23500</v>
      </c>
      <c r="E8111" t="s">
        <v>30587</v>
      </c>
    </row>
    <row r="8112" spans="1:5">
      <c r="A8112" t="s">
        <v>6</v>
      </c>
      <c r="B8112" t="s">
        <v>8117</v>
      </c>
      <c r="C8112">
        <f>HYPERLINK("C:\Users\franc\OneDrive\Documentos\MALENTIN KARIME\CESION\RESPALDO LUIS DIAZ\VARIOS 2008\SOC. AGR. LOS ALAMOS Contrato.doc", "Abrir Documento")</f>
        <v>0</v>
      </c>
      <c r="D8112" t="s">
        <v>23500</v>
      </c>
      <c r="E8112" t="s">
        <v>30588</v>
      </c>
    </row>
    <row r="8113" spans="1:5">
      <c r="A8113" t="s">
        <v>6</v>
      </c>
      <c r="B8113" t="s">
        <v>8118</v>
      </c>
      <c r="C8113">
        <f>HYPERLINK("C:\Users\franc\OneDrive\Documentos\MALENTIN KARIME\CESION\RESPALDO LUIS DIAZ\VARIOS 2008\SOC. AGR. ANGOSTURA a SUN WORLD.doc", "Abrir Documento")</f>
        <v>0</v>
      </c>
      <c r="D8113" t="s">
        <v>23500</v>
      </c>
      <c r="E8113" t="s">
        <v>30589</v>
      </c>
    </row>
    <row r="8114" spans="1:5">
      <c r="A8114" t="s">
        <v>6</v>
      </c>
      <c r="B8114" t="s">
        <v>8119</v>
      </c>
      <c r="C8114">
        <f>HYPERLINK("C:\Users\franc\OneDrive\Documentos\MALENTIN KARIME\CESION\RESPALDO LUIS DIAZ\VARIOS 2008\SILVIA MANDIOLA O. Prot.Alz.Serviu.doc", "Abrir Documento")</f>
        <v>0</v>
      </c>
      <c r="D8114" t="s">
        <v>23500</v>
      </c>
      <c r="E8114" t="s">
        <v>30590</v>
      </c>
    </row>
    <row r="8115" spans="1:5">
      <c r="A8115" t="s">
        <v>6</v>
      </c>
      <c r="B8115" t="s">
        <v>8120</v>
      </c>
      <c r="C8115">
        <f>HYPERLINK("C:\Users\franc\OneDrive\Documentos\MALENTIN KARIME\CESION\RESPALDO LUIS DIAZ\VARIOS 2008\SILVIA MANDIOLA O. Cta Poder Alzar Proh..doc", "Abrir Documento")</f>
        <v>0</v>
      </c>
      <c r="D8115" t="s">
        <v>23500</v>
      </c>
      <c r="E8115" t="s">
        <v>30591</v>
      </c>
    </row>
    <row r="8116" spans="1:5">
      <c r="A8116" t="s">
        <v>6</v>
      </c>
      <c r="B8116" t="s">
        <v>8121</v>
      </c>
      <c r="C8116">
        <f>HYPERLINK("C:\Users\franc\OneDrive\Documentos\MALENTIN KARIME\CESION\RESPALDO LUIS DIAZ\VARIOS 2008\SILVIA MANDIOLA O. Cta Poder Alzar Hip..doc", "Abrir Documento")</f>
        <v>0</v>
      </c>
      <c r="D8116" t="s">
        <v>23500</v>
      </c>
      <c r="E8116" t="s">
        <v>30592</v>
      </c>
    </row>
    <row r="8117" spans="1:5">
      <c r="A8117" t="s">
        <v>6</v>
      </c>
      <c r="B8117" t="s">
        <v>8122</v>
      </c>
      <c r="C8117">
        <f>HYPERLINK("C:\Users\franc\OneDrive\Documentos\MALENTIN KARIME\CESION\RESPALDO LUIS DIAZ\VARIOS 2008\SILVERIO PEREZ.SEP.doc", "Abrir Documento")</f>
        <v>0</v>
      </c>
      <c r="D8117" t="s">
        <v>23500</v>
      </c>
      <c r="E8117" t="s">
        <v>30593</v>
      </c>
    </row>
    <row r="8118" spans="1:5">
      <c r="A8118" t="s">
        <v>6</v>
      </c>
      <c r="B8118" t="s">
        <v>8123</v>
      </c>
      <c r="C8118">
        <f>HYPERLINK("C:\Users\franc\OneDrive\Documentos\MALENTIN KARIME\CESION\RESPALDO LUIS DIAZ\VARIOS 2008\SILVANA BARRAZA M. Ren.Gananc..doc", "Abrir Documento")</f>
        <v>0</v>
      </c>
      <c r="D8118" t="s">
        <v>23500</v>
      </c>
      <c r="E8118" t="s">
        <v>30594</v>
      </c>
    </row>
    <row r="8119" spans="1:5">
      <c r="A8119" t="s">
        <v>6</v>
      </c>
      <c r="B8119" t="s">
        <v>8124</v>
      </c>
      <c r="C8119">
        <f>HYPERLINK("C:\Users\franc\OneDrive\Documentos\MALENTIN KARIME\CESION\RESPALDO LUIS DIAZ\VARIOS 2008\SEXTA CIA. BOMBEROS OVALLE.doc", "Abrir Documento")</f>
        <v>0</v>
      </c>
      <c r="D8119" t="s">
        <v>23500</v>
      </c>
      <c r="E8119" t="s">
        <v>30595</v>
      </c>
    </row>
    <row r="8120" spans="1:5">
      <c r="A8120" t="s">
        <v>6</v>
      </c>
      <c r="B8120" t="s">
        <v>8125</v>
      </c>
      <c r="C8120">
        <f>HYPERLINK("C:\Users\franc\OneDrive\Documentos\MALENTIN KARIME\CESION\RESPALDO LUIS DIAZ\VARIOS 2008\SERGIO GALLEGUILLOS M. Dclar. Jurada.doc", "Abrir Documento")</f>
        <v>0</v>
      </c>
      <c r="D8120" t="s">
        <v>23500</v>
      </c>
      <c r="E8120" t="s">
        <v>30596</v>
      </c>
    </row>
    <row r="8121" spans="1:5">
      <c r="A8121" t="s">
        <v>6</v>
      </c>
      <c r="B8121" t="s">
        <v>8126</v>
      </c>
      <c r="C8121">
        <f>HYPERLINK("C:\Users\franc\OneDrive\Documentos\MALENTIN KARIME\CESION\RESPALDO LUIS DIAZ\VARIOS 2008\SENEL VELEZ R. a N. TELCHI Mutuo.doc", "Abrir Documento")</f>
        <v>0</v>
      </c>
      <c r="D8121" t="s">
        <v>23500</v>
      </c>
      <c r="E8121" t="s">
        <v>30597</v>
      </c>
    </row>
    <row r="8122" spans="1:5">
      <c r="A8122" t="s">
        <v>6</v>
      </c>
      <c r="B8122" t="s">
        <v>8127</v>
      </c>
      <c r="C8122">
        <f>HYPERLINK("C:\Users\franc\OneDrive\Documentos\MALENTIN KARIME\CESION\RESPALDO LUIS DIAZ\VARIOS 2008\SELIM DABED Y CIA. Poder Esp. Cent. Cayman.doc", "Abrir Documento")</f>
        <v>0</v>
      </c>
      <c r="D8122" t="s">
        <v>23500</v>
      </c>
      <c r="E8122" t="s">
        <v>30598</v>
      </c>
    </row>
    <row r="8123" spans="1:5">
      <c r="A8123" t="s">
        <v>6</v>
      </c>
      <c r="B8123" t="s">
        <v>8128</v>
      </c>
      <c r="C8123">
        <f>HYPERLINK("C:\Users\franc\OneDrive\Documentos\MALENTIN KARIME\CESION\RESPALDO LUIS DIAZ\VARIOS 2008\SELIM DABED Y CIA. Extractos.doc", "Abrir Documento")</f>
        <v>0</v>
      </c>
      <c r="D8123" t="s">
        <v>23500</v>
      </c>
      <c r="E8123" t="s">
        <v>30599</v>
      </c>
    </row>
    <row r="8124" spans="1:5">
      <c r="A8124" t="s">
        <v>6</v>
      </c>
      <c r="B8124" t="s">
        <v>8129</v>
      </c>
      <c r="C8124">
        <f>HYPERLINK("C:\Users\franc\OneDrive\Documentos\MALENTIN KARIME\CESION\RESPALDO LUIS DIAZ\VARIOS 2008\SELIM DABED Y CIA. Dcl. Jurada y Aut..doc", "Abrir Documento")</f>
        <v>0</v>
      </c>
      <c r="D8124" t="s">
        <v>23500</v>
      </c>
      <c r="E8124" t="s">
        <v>30600</v>
      </c>
    </row>
    <row r="8125" spans="1:5">
      <c r="A8125" t="s">
        <v>6</v>
      </c>
      <c r="B8125" t="s">
        <v>8130</v>
      </c>
      <c r="C8125">
        <f>HYPERLINK("C:\Users\franc\OneDrive\Documentos\MALENTIN KARIME\CESION\RESPALDO LUIS DIAZ\VARIOS 2008\SELIM DABED Y CIA a INCOVEG Sum.Materiales.doc", "Abrir Documento")</f>
        <v>0</v>
      </c>
      <c r="D8125" t="s">
        <v>23500</v>
      </c>
      <c r="E8125" t="s">
        <v>30601</v>
      </c>
    </row>
    <row r="8126" spans="1:5">
      <c r="A8126" t="s">
        <v>6</v>
      </c>
      <c r="B8126" t="s">
        <v>8131</v>
      </c>
      <c r="C8126">
        <f>HYPERLINK("C:\Users\franc\OneDrive\Documentos\MALENTIN KARIME\CESION\RESPALDO LUIS DIAZ\VARIOS 2008\SELIM DABED Y CIA a ASECON Mutuo a la Vta..doc", "Abrir Documento")</f>
        <v>0</v>
      </c>
      <c r="D8126" t="s">
        <v>23500</v>
      </c>
      <c r="E8126" t="s">
        <v>30602</v>
      </c>
    </row>
    <row r="8127" spans="1:5">
      <c r="A8127" t="s">
        <v>6</v>
      </c>
      <c r="B8127" t="s">
        <v>8132</v>
      </c>
      <c r="C8127">
        <f>HYPERLINK("C:\Users\franc\OneDrive\Documentos\MALENTIN KARIME\CESION\RESPALDO LUIS DIAZ\VARIOS 2008\SCARLETT CONTRERAS a JORGE POOL.doc", "Abrir Documento")</f>
        <v>0</v>
      </c>
      <c r="D8127" t="s">
        <v>23500</v>
      </c>
      <c r="E8127" t="s">
        <v>30603</v>
      </c>
    </row>
    <row r="8128" spans="1:5">
      <c r="A8128" t="s">
        <v>6</v>
      </c>
      <c r="B8128" t="s">
        <v>8133</v>
      </c>
      <c r="C8128">
        <f>HYPERLINK("C:\Users\franc\OneDrive\Documentos\MALENTIN KARIME\CESION\RESPALDO LUIS DIAZ\VARIOS 2008\SANDRA ALVAREZ Decl. Solteria.doc", "Abrir Documento")</f>
        <v>0</v>
      </c>
      <c r="D8128" t="s">
        <v>23500</v>
      </c>
      <c r="E8128" t="s">
        <v>30604</v>
      </c>
    </row>
    <row r="8129" spans="1:5">
      <c r="A8129" t="s">
        <v>6</v>
      </c>
      <c r="B8129" t="s">
        <v>8134</v>
      </c>
      <c r="C8129">
        <f>HYPERLINK("C:\Users\franc\OneDrive\Documentos\MALENTIN KARIME\CESION\RESPALDO LUIS DIAZ\VARIOS 2008\SAMUEL ROJO Y CIA. a PETROBRAS Mod. Usufructo.doc", "Abrir Documento")</f>
        <v>0</v>
      </c>
      <c r="D8129" t="s">
        <v>23500</v>
      </c>
      <c r="E8129" t="s">
        <v>30605</v>
      </c>
    </row>
    <row r="8130" spans="1:5">
      <c r="A8130" t="s">
        <v>6</v>
      </c>
      <c r="B8130" t="s">
        <v>8135</v>
      </c>
      <c r="C8130">
        <f>HYPERLINK("C:\Users\franc\OneDrive\Documentos\MALENTIN KARIME\CESION\RESPALDO LUIS DIAZ\VARIOS 2008\SAMUEL ROJO Y CIA. a PETROBRAS Borrador.doc", "Abrir Documento")</f>
        <v>0</v>
      </c>
      <c r="D8130" t="s">
        <v>23500</v>
      </c>
      <c r="E8130" t="s">
        <v>30606</v>
      </c>
    </row>
    <row r="8131" spans="1:5">
      <c r="A8131" t="s">
        <v>6</v>
      </c>
      <c r="B8131" t="s">
        <v>8136</v>
      </c>
      <c r="C8131">
        <f>HYPERLINK("C:\Users\franc\OneDrive\Documentos\MALENTIN KARIME\CESION\RESPALDO LUIS DIAZ\VARIOS 2008\S.L.M. AMERICANA UNO Y OTRAS Prot. Dctos..doc", "Abrir Documento")</f>
        <v>0</v>
      </c>
      <c r="D8131" t="s">
        <v>23500</v>
      </c>
      <c r="E8131" t="s">
        <v>30607</v>
      </c>
    </row>
    <row r="8132" spans="1:5">
      <c r="A8132" t="s">
        <v>6</v>
      </c>
      <c r="B8132" t="s">
        <v>8137</v>
      </c>
      <c r="C8132">
        <f>HYPERLINK("C:\Users\franc\OneDrive\Documentos\MALENTIN KARIME\CESION\RESPALDO LUIS DIAZ\VARIOS 2008\S. DABED Y CIA a ASECON Mutuo a la Vta. 2011.doc", "Abrir Documento")</f>
        <v>0</v>
      </c>
      <c r="D8132" t="s">
        <v>23500</v>
      </c>
      <c r="E8132" t="s">
        <v>30608</v>
      </c>
    </row>
    <row r="8133" spans="1:5">
      <c r="A8133" t="s">
        <v>6</v>
      </c>
      <c r="B8133" t="s">
        <v>8138</v>
      </c>
      <c r="C8133">
        <f>HYPERLINK("C:\Users\franc\OneDrive\Documentos\MALENTIN KARIME\CESION\RESPALDO LUIS DIAZ\VARIOS 2008\RUBEN BERRIOS A. a S. DABED Prenda.doc", "Abrir Documento")</f>
        <v>0</v>
      </c>
      <c r="D8133" t="s">
        <v>23500</v>
      </c>
      <c r="E8133" t="s">
        <v>30609</v>
      </c>
    </row>
    <row r="8134" spans="1:5">
      <c r="A8134" t="s">
        <v>6</v>
      </c>
      <c r="B8134" t="s">
        <v>8139</v>
      </c>
      <c r="C8134">
        <f>HYPERLINK("C:\Users\franc\OneDrive\Documentos\MALENTIN KARIME\CESION\RESPALDO LUIS DIAZ\VARIOS 2008\RUBEN BERRIOS a S. DABED Extracto.doc", "Abrir Documento")</f>
        <v>0</v>
      </c>
      <c r="D8134" t="s">
        <v>23500</v>
      </c>
      <c r="E8134" t="s">
        <v>30610</v>
      </c>
    </row>
    <row r="8135" spans="1:5">
      <c r="A8135" t="s">
        <v>6</v>
      </c>
      <c r="B8135" t="s">
        <v>8140</v>
      </c>
      <c r="C8135">
        <f>HYPERLINK("C:\Users\franc\OneDrive\Documentos\MALENTIN KARIME\CESION\RESPALDO LUIS DIAZ\VARIOS 2008\ROSA ARAYA ADONES Sep. de Bienes.doc", "Abrir Documento")</f>
        <v>0</v>
      </c>
      <c r="D8135" t="s">
        <v>23500</v>
      </c>
      <c r="E8135" t="s">
        <v>30611</v>
      </c>
    </row>
    <row r="8136" spans="1:5">
      <c r="A8136" t="s">
        <v>6</v>
      </c>
      <c r="B8136" t="s">
        <v>8141</v>
      </c>
      <c r="C8136">
        <f>HYPERLINK("C:\Users\franc\OneDrive\Documentos\MALENTIN KARIME\CESION\RESPALDO LUIS DIAZ\VARIOS 2008\ROMINA TABILO ZUÑIGA. Repudio.doc", "Abrir Documento")</f>
        <v>0</v>
      </c>
      <c r="D8136" t="s">
        <v>23500</v>
      </c>
      <c r="E8136" t="s">
        <v>30612</v>
      </c>
    </row>
    <row r="8137" spans="1:5">
      <c r="A8137" t="s">
        <v>6</v>
      </c>
      <c r="B8137" t="s">
        <v>8142</v>
      </c>
      <c r="C8137">
        <f>HYPERLINK("C:\Users\franc\OneDrive\Documentos\MALENTIN KARIME\CESION\RESPALDO LUIS DIAZ\VARIOS 2008\ROMINA CONTRERAS M. Repudio.doc", "Abrir Documento")</f>
        <v>0</v>
      </c>
      <c r="D8137" t="s">
        <v>23500</v>
      </c>
      <c r="E8137" t="s">
        <v>30613</v>
      </c>
    </row>
    <row r="8138" spans="1:5">
      <c r="A8138" t="s">
        <v>6</v>
      </c>
      <c r="B8138" t="s">
        <v>8143</v>
      </c>
      <c r="C8138">
        <f>HYPERLINK("C:\Users\franc\OneDrive\Documentos\MALENTIN KARIME\CESION\RESPALDO LUIS DIAZ\VARIOS 2008\RODRIGO CORTES G. Dcl. Jurada.doc", "Abrir Documento")</f>
        <v>0</v>
      </c>
      <c r="D8138" t="s">
        <v>23500</v>
      </c>
      <c r="E8138" t="s">
        <v>30614</v>
      </c>
    </row>
    <row r="8139" spans="1:5">
      <c r="A8139" t="s">
        <v>6</v>
      </c>
      <c r="B8139" t="s">
        <v>8144</v>
      </c>
      <c r="C8139">
        <f>HYPERLINK("C:\Users\franc\OneDrive\Documentos\MALENTIN KARIME\CESION\RESPALDO LUIS DIAZ\VARIOS 2008\RODRIGO CORTES G. Dcl. Int. Magistrados.doc", "Abrir Documento")</f>
        <v>0</v>
      </c>
      <c r="D8139" t="s">
        <v>23500</v>
      </c>
      <c r="E8139" t="s">
        <v>30615</v>
      </c>
    </row>
    <row r="8140" spans="1:5">
      <c r="A8140" t="s">
        <v>6</v>
      </c>
      <c r="B8140" t="s">
        <v>8145</v>
      </c>
      <c r="C8140">
        <f>HYPERLINK("C:\Users\franc\OneDrive\Documentos\MALENTIN KARIME\CESION\RESPALDO LUIS DIAZ\VARIOS 2008\RODRIGO CORTES G. Dcl. de Patrimonio.doc", "Abrir Documento")</f>
        <v>0</v>
      </c>
      <c r="D8140" t="s">
        <v>23500</v>
      </c>
      <c r="E8140" t="s">
        <v>30616</v>
      </c>
    </row>
    <row r="8141" spans="1:5">
      <c r="A8141" t="s">
        <v>6</v>
      </c>
      <c r="B8141" t="s">
        <v>8146</v>
      </c>
      <c r="C8141">
        <f>HYPERLINK("C:\Users\franc\OneDrive\Documentos\MALENTIN KARIME\CESION\RESPALDO LUIS DIAZ\VARIOS 2008\ROBINSON VILLALOBOS Prot.Serviu.doc", "Abrir Documento")</f>
        <v>0</v>
      </c>
      <c r="D8141" t="s">
        <v>23500</v>
      </c>
      <c r="E8141" t="s">
        <v>30617</v>
      </c>
    </row>
    <row r="8142" spans="1:5">
      <c r="A8142" t="s">
        <v>6</v>
      </c>
      <c r="B8142" t="s">
        <v>8147</v>
      </c>
      <c r="C8142">
        <f>HYPERLINK("C:\Users\franc\OneDrive\Documentos\MALENTIN KARIME\CESION\RESPALDO LUIS DIAZ\VARIOS 2008\ROBERTO SALINAS Carta Pod..doc", "Abrir Documento")</f>
        <v>0</v>
      </c>
      <c r="D8142" t="s">
        <v>23500</v>
      </c>
      <c r="E8142" t="s">
        <v>30618</v>
      </c>
    </row>
    <row r="8143" spans="1:5">
      <c r="A8143" t="s">
        <v>6</v>
      </c>
      <c r="B8143" t="s">
        <v>8148</v>
      </c>
      <c r="C8143">
        <f>HYPERLINK("C:\Users\franc\OneDrive\Documentos\MALENTIN KARIME\CESION\RESPALDO LUIS DIAZ\VARIOS 2008\ROBERTO RODRIGUEZ C. Repudio.doc", "Abrir Documento")</f>
        <v>0</v>
      </c>
      <c r="D8143" t="s">
        <v>23500</v>
      </c>
      <c r="E8143" t="s">
        <v>30619</v>
      </c>
    </row>
    <row r="8144" spans="1:5">
      <c r="A8144" t="s">
        <v>6</v>
      </c>
      <c r="B8144" t="s">
        <v>8149</v>
      </c>
      <c r="C8144">
        <f>HYPERLINK("C:\Users\franc\OneDrive\Documentos\MALENTIN KARIME\CESION\RESPALDO LUIS DIAZ\VARIOS 2008\ROBERTO CONTRERAS P. Alz.Serviu.doc", "Abrir Documento")</f>
        <v>0</v>
      </c>
      <c r="D8144" t="s">
        <v>23500</v>
      </c>
      <c r="E8144" t="s">
        <v>30620</v>
      </c>
    </row>
    <row r="8145" spans="1:5">
      <c r="A8145" t="s">
        <v>6</v>
      </c>
      <c r="B8145" t="s">
        <v>8150</v>
      </c>
      <c r="C8145">
        <f>HYPERLINK("C:\Users\franc\OneDrive\Documentos\MALENTIN KARIME\CESION\RESPALDO LUIS DIAZ\VARIOS 2008\RICARDO ROMERO a SILVIA CORTES Avenim..doc", "Abrir Documento")</f>
        <v>0</v>
      </c>
      <c r="D8145" t="s">
        <v>23500</v>
      </c>
      <c r="E8145" t="s">
        <v>30621</v>
      </c>
    </row>
    <row r="8146" spans="1:5">
      <c r="A8146" t="s">
        <v>6</v>
      </c>
      <c r="B8146" t="s">
        <v>8151</v>
      </c>
      <c r="C8146">
        <f>HYPERLINK("C:\Users\franc\OneDrive\Documentos\MALENTIN KARIME\CESION\RESPALDO LUIS DIAZ\VARIOS 2008\RICARDO RISI Protoc. Plano.doc", "Abrir Documento")</f>
        <v>0</v>
      </c>
      <c r="D8146" t="s">
        <v>23500</v>
      </c>
      <c r="E8146" t="s">
        <v>30622</v>
      </c>
    </row>
    <row r="8147" spans="1:5">
      <c r="A8147" t="s">
        <v>6</v>
      </c>
      <c r="B8147" t="s">
        <v>8152</v>
      </c>
      <c r="C8147">
        <f>HYPERLINK("C:\Users\franc\OneDrive\Documentos\MALENTIN KARIME\CESION\RESPALDO LUIS DIAZ\VARIOS 2008\RICARDO RISI Prot. Plano Com.Potrerillo Bajo.doc", "Abrir Documento")</f>
        <v>0</v>
      </c>
      <c r="D8147" t="s">
        <v>23500</v>
      </c>
      <c r="E8147" t="s">
        <v>30623</v>
      </c>
    </row>
    <row r="8148" spans="1:5">
      <c r="A8148" t="s">
        <v>6</v>
      </c>
      <c r="B8148" t="s">
        <v>8153</v>
      </c>
      <c r="C8148">
        <f>HYPERLINK("C:\Users\franc\OneDrive\Documentos\MALENTIN KARIME\CESION\RESPALDO LUIS DIAZ\VARIOS 2008\RICARDO RISI M. Poder Esp. Centennial Cayman.doc", "Abrir Documento")</f>
        <v>0</v>
      </c>
      <c r="D8148" t="s">
        <v>23500</v>
      </c>
      <c r="E8148" t="s">
        <v>30624</v>
      </c>
    </row>
    <row r="8149" spans="1:5">
      <c r="A8149" t="s">
        <v>6</v>
      </c>
      <c r="B8149" t="s">
        <v>8154</v>
      </c>
      <c r="C8149">
        <f>HYPERLINK("C:\Users\franc\OneDrive\Documentos\MALENTIN KARIME\CESION\RESPALDO LUIS DIAZ\VARIOS 2008\RICARDO RISI M. Dcl. Jurada y Aut..doc", "Abrir Documento")</f>
        <v>0</v>
      </c>
      <c r="D8149" t="s">
        <v>23500</v>
      </c>
      <c r="E8149" t="s">
        <v>30625</v>
      </c>
    </row>
    <row r="8150" spans="1:5">
      <c r="A8150" t="s">
        <v>6</v>
      </c>
      <c r="B8150" t="s">
        <v>8155</v>
      </c>
      <c r="C8150">
        <f>HYPERLINK("C:\Users\franc\OneDrive\Documentos\MALENTIN KARIME\CESION\RESPALDO LUIS DIAZ\VARIOS 2008\RICARDO RISI M. Aut. Empalme Electr..doc", "Abrir Documento")</f>
        <v>0</v>
      </c>
      <c r="D8150" t="s">
        <v>23500</v>
      </c>
      <c r="E8150" t="s">
        <v>30626</v>
      </c>
    </row>
    <row r="8151" spans="1:5">
      <c r="A8151" t="s">
        <v>6</v>
      </c>
      <c r="B8151" t="s">
        <v>8156</v>
      </c>
      <c r="C8151">
        <f>HYPERLINK("C:\Users\franc\OneDrive\Documentos\MALENTIN KARIME\CESION\RESPALDO LUIS DIAZ\VARIOS 2008\RICARDO RISI Autoriz. Trabajos.doc", "Abrir Documento")</f>
        <v>0</v>
      </c>
      <c r="D8151" t="s">
        <v>23500</v>
      </c>
      <c r="E8151" t="s">
        <v>30627</v>
      </c>
    </row>
    <row r="8152" spans="1:5">
      <c r="A8152" t="s">
        <v>6</v>
      </c>
      <c r="B8152" t="s">
        <v>8157</v>
      </c>
      <c r="C8152">
        <f>HYPERLINK("C:\Users\franc\OneDrive\Documentos\MALENTIN KARIME\CESION\RESPALDO LUIS DIAZ\VARIOS 2008\RICARDO JIMENEZ L. Refinanc. PET.doc", "Abrir Documento")</f>
        <v>0</v>
      </c>
      <c r="D8152" t="s">
        <v>23500</v>
      </c>
      <c r="E8152" t="s">
        <v>30628</v>
      </c>
    </row>
    <row r="8153" spans="1:5">
      <c r="A8153" t="s">
        <v>6</v>
      </c>
      <c r="B8153" t="s">
        <v>8158</v>
      </c>
      <c r="C8153">
        <f>HYPERLINK("C:\Users\franc\OneDrive\Documentos\MALENTIN KARIME\CESION\RESPALDO LUIS DIAZ\VARIOS 2008\RICARDO FIGUEROA R. Refinanc. PET.doc", "Abrir Documento")</f>
        <v>0</v>
      </c>
      <c r="D8153" t="s">
        <v>23500</v>
      </c>
      <c r="E8153" t="s">
        <v>30629</v>
      </c>
    </row>
    <row r="8154" spans="1:5">
      <c r="A8154" t="s">
        <v>6</v>
      </c>
      <c r="B8154" t="s">
        <v>8159</v>
      </c>
      <c r="C8154">
        <f>HYPERLINK("C:\Users\franc\OneDrive\Documentos\MALENTIN KARIME\CESION\RESPALDO LUIS DIAZ\VARIOS 2008\RENE ALFARO R. Prot.Alz.INDAP.doc", "Abrir Documento")</f>
        <v>0</v>
      </c>
      <c r="D8154" t="s">
        <v>23500</v>
      </c>
      <c r="E8154" t="s">
        <v>30630</v>
      </c>
    </row>
    <row r="8155" spans="1:5">
      <c r="A8155" t="s">
        <v>6</v>
      </c>
      <c r="B8155" t="s">
        <v>8160</v>
      </c>
      <c r="C8155">
        <f>HYPERLINK("C:\Users\franc\OneDrive\Documentos\MALENTIN KARIME\CESION\RESPALDO LUIS DIAZ\VARIOS 2008\Ren. Gananciales.doc", "Abrir Documento")</f>
        <v>0</v>
      </c>
      <c r="D8155" t="s">
        <v>23500</v>
      </c>
      <c r="E8155" t="s">
        <v>30631</v>
      </c>
    </row>
    <row r="8156" spans="1:5">
      <c r="A8156" t="s">
        <v>6</v>
      </c>
      <c r="B8156" t="s">
        <v>8161</v>
      </c>
      <c r="C8156">
        <f>HYPERLINK("C:\Users\franc\OneDrive\Documentos\MALENTIN KARIME\CESION\RESPALDO LUIS DIAZ\VARIOS 2008\RECIBO.doc", "Abrir Documento")</f>
        <v>0</v>
      </c>
      <c r="D8156" t="s">
        <v>23500</v>
      </c>
      <c r="E8156" t="s">
        <v>30632</v>
      </c>
    </row>
    <row r="8157" spans="1:5">
      <c r="A8157" t="s">
        <v>6</v>
      </c>
      <c r="B8157" t="s">
        <v>8162</v>
      </c>
      <c r="C8157">
        <f>HYPERLINK("C:\Users\franc\OneDrive\Documentos\MALENTIN KARIME\CESION\RESPALDO LUIS DIAZ\VARIOS 2008\RECIBO DE DINERO (Bono Notaria).doc", "Abrir Documento")</f>
        <v>0</v>
      </c>
      <c r="D8157" t="s">
        <v>23500</v>
      </c>
      <c r="E8157" t="s">
        <v>30633</v>
      </c>
    </row>
    <row r="8158" spans="1:5">
      <c r="A8158" t="s">
        <v>6</v>
      </c>
      <c r="B8158" t="s">
        <v>8163</v>
      </c>
      <c r="C8158">
        <f>HYPERLINK("C:\Users\franc\OneDrive\Documentos\MALENTIN KARIME\CESION\RESPALDO LUIS DIAZ\VARIOS 2008\REBECA OLMEDO SAAVEDRA.PRO.doc", "Abrir Documento")</f>
        <v>0</v>
      </c>
      <c r="D8158" t="s">
        <v>23500</v>
      </c>
      <c r="E8158" t="s">
        <v>30634</v>
      </c>
    </row>
    <row r="8159" spans="1:5">
      <c r="A8159" t="s">
        <v>6</v>
      </c>
      <c r="B8159" t="s">
        <v>8164</v>
      </c>
      <c r="C8159">
        <f>HYPERLINK("C:\Users\franc\OneDrive\Documentos\MALENTIN KARIME\CESION\RESPALDO LUIS DIAZ\VARIOS 2008\REBECA OLMEDO S. Mausoleo.doc", "Abrir Documento")</f>
        <v>0</v>
      </c>
      <c r="D8159" t="s">
        <v>23500</v>
      </c>
      <c r="E8159" t="s">
        <v>30635</v>
      </c>
    </row>
    <row r="8160" spans="1:5">
      <c r="A8160" t="s">
        <v>6</v>
      </c>
      <c r="B8160" t="s">
        <v>8165</v>
      </c>
      <c r="C8160">
        <f>HYPERLINK("C:\Users\franc\OneDrive\Documentos\MALENTIN KARIME\CESION\RESPALDO LUIS DIAZ\VARIOS 2008\RAUL ULLOA ARENAS Alz. Prenda Veh..doc", "Abrir Documento")</f>
        <v>0</v>
      </c>
      <c r="D8160" t="s">
        <v>23500</v>
      </c>
      <c r="E8160" t="s">
        <v>30636</v>
      </c>
    </row>
    <row r="8161" spans="1:5">
      <c r="A8161" t="s">
        <v>6</v>
      </c>
      <c r="B8161" t="s">
        <v>8166</v>
      </c>
      <c r="C8161">
        <f>HYPERLINK("C:\Users\franc\OneDrive\Documentos\MALENTIN KARIME\CESION\RESPALDO LUIS DIAZ\VARIOS 2008\RAMON MEDALLA R. Refinanc. PET.doc", "Abrir Documento")</f>
        <v>0</v>
      </c>
      <c r="D8161" t="s">
        <v>23500</v>
      </c>
      <c r="E8161" t="s">
        <v>30637</v>
      </c>
    </row>
    <row r="8162" spans="1:5">
      <c r="A8162" t="s">
        <v>6</v>
      </c>
      <c r="B8162" t="s">
        <v>8167</v>
      </c>
      <c r="C8162">
        <f>HYPERLINK("C:\Users\franc\OneDrive\Documentos\MALENTIN KARIME\CESION\RESPALDO LUIS DIAZ\VARIOS 2008\RAMON ANGEL CORTES Servidumbre.doc", "Abrir Documento")</f>
        <v>0</v>
      </c>
      <c r="D8162" t="s">
        <v>23500</v>
      </c>
      <c r="E8162" t="s">
        <v>30638</v>
      </c>
    </row>
    <row r="8163" spans="1:5">
      <c r="A8163" t="s">
        <v>6</v>
      </c>
      <c r="B8163" t="s">
        <v>8168</v>
      </c>
      <c r="C8163">
        <f>HYPERLINK("C:\Users\franc\OneDrive\Documentos\MALENTIN KARIME\CESION\RESPALDO LUIS DIAZ\VARIOS 2008\RAMON ALFARO G. Y OT Regl.Coprop..doc", "Abrir Documento")</f>
        <v>0</v>
      </c>
      <c r="D8163" t="s">
        <v>23500</v>
      </c>
      <c r="E8163" t="s">
        <v>30639</v>
      </c>
    </row>
    <row r="8164" spans="1:5">
      <c r="A8164" t="s">
        <v>6</v>
      </c>
      <c r="B8164" t="s">
        <v>8169</v>
      </c>
      <c r="C8164">
        <f>HYPERLINK("C:\Users\franc\OneDrive\Documentos\MALENTIN KARIME\CESION\RESPALDO LUIS DIAZ\VARIOS 2008\RAFAEL MONTALBAN Mutuo.doc", "Abrir Documento")</f>
        <v>0</v>
      </c>
      <c r="D8164" t="s">
        <v>23500</v>
      </c>
      <c r="E8164" t="s">
        <v>30640</v>
      </c>
    </row>
    <row r="8165" spans="1:5">
      <c r="A8165" t="s">
        <v>6</v>
      </c>
      <c r="B8165" t="s">
        <v>8170</v>
      </c>
      <c r="C8165">
        <f>HYPERLINK("C:\Users\franc\OneDrive\Documentos\MALENTIN KARIME\CESION\RESPALDO LUIS DIAZ\VARIOS 2008\RADIO EL CONQ. Dcl. Jurada.doc", "Abrir Documento")</f>
        <v>0</v>
      </c>
      <c r="D8165" t="s">
        <v>23500</v>
      </c>
      <c r="E8165" t="s">
        <v>30641</v>
      </c>
    </row>
    <row r="8166" spans="1:5">
      <c r="A8166" t="s">
        <v>6</v>
      </c>
      <c r="B8166" t="s">
        <v>8171</v>
      </c>
      <c r="C8166">
        <f>HYPERLINK("C:\Users\franc\OneDrive\Documentos\MALENTIN KARIME\CESION\RESPALDO LUIS DIAZ\VARIOS 2008\RABOINVESTMENTS a ANGOSTURA Mod. Contrato.doc", "Abrir Documento")</f>
        <v>0</v>
      </c>
      <c r="D8166" t="s">
        <v>23500</v>
      </c>
      <c r="E8166" t="s">
        <v>30642</v>
      </c>
    </row>
    <row r="8167" spans="1:5">
      <c r="A8167" t="s">
        <v>6</v>
      </c>
      <c r="B8167" t="s">
        <v>8172</v>
      </c>
      <c r="C8167">
        <f>HYPERLINK("C:\Users\franc\OneDrive\Documentos\MALENTIN KARIME\CESION\RESPALDO LUIS DIAZ\VARIOS 2008\RABOINVESTMENTS a ANGOSTURA Mod. Contr..doc", "Abrir Documento")</f>
        <v>0</v>
      </c>
      <c r="D8167" t="s">
        <v>23500</v>
      </c>
      <c r="E8167" t="s">
        <v>30643</v>
      </c>
    </row>
    <row r="8168" spans="1:5">
      <c r="A8168" t="s">
        <v>6</v>
      </c>
      <c r="B8168" t="s">
        <v>8173</v>
      </c>
      <c r="C8168">
        <f>HYPERLINK("C:\Users\franc\OneDrive\Documentos\MALENTIN KARIME\CESION\RESPALDO LUIS DIAZ\VARIOS 2008\R. DABED a AGR. LLANO NEGRO Usufructo.doc", "Abrir Documento")</f>
        <v>0</v>
      </c>
      <c r="D8168" t="s">
        <v>23500</v>
      </c>
      <c r="E8168" t="s">
        <v>30644</v>
      </c>
    </row>
    <row r="8169" spans="1:5">
      <c r="A8169" t="s">
        <v>6</v>
      </c>
      <c r="B8169" t="s">
        <v>8174</v>
      </c>
      <c r="C8169">
        <f>HYPERLINK("C:\Users\franc\OneDrive\Documentos\MALENTIN KARIME\CESION\RESPALDO LUIS DIAZ\VARIOS 2008\PROTOCOLIZACION Drogas.doc", "Abrir Documento")</f>
        <v>0</v>
      </c>
      <c r="D8169" t="s">
        <v>23500</v>
      </c>
      <c r="E8169" t="s">
        <v>30645</v>
      </c>
    </row>
    <row r="8170" spans="1:5">
      <c r="A8170" t="s">
        <v>6</v>
      </c>
      <c r="B8170" t="s">
        <v>8175</v>
      </c>
      <c r="C8170">
        <f>HYPERLINK("C:\Users\franc\OneDrive\Documentos\MALENTIN KARIME\CESION\RESPALDO LUIS DIAZ\VARIOS 2008\PROTOCOLIZACION Drogas Alejandra.doc", "Abrir Documento")</f>
        <v>0</v>
      </c>
      <c r="D8170" t="s">
        <v>23500</v>
      </c>
      <c r="E8170" t="s">
        <v>30646</v>
      </c>
    </row>
    <row r="8171" spans="1:5">
      <c r="A8171" t="s">
        <v>6</v>
      </c>
      <c r="B8171" t="s">
        <v>8176</v>
      </c>
      <c r="C8171">
        <f>HYPERLINK("C:\Users\franc\OneDrive\Documentos\MALENTIN KARIME\CESION\RESPALDO LUIS DIAZ\VARIOS 2008\PROTOCOLIZ. MANDATO JUDICIAL.doc", "Abrir Documento")</f>
        <v>0</v>
      </c>
      <c r="D8171" t="s">
        <v>23500</v>
      </c>
      <c r="E8171" t="s">
        <v>30647</v>
      </c>
    </row>
    <row r="8172" spans="1:5">
      <c r="A8172" t="s">
        <v>6</v>
      </c>
      <c r="B8172" t="s">
        <v>8177</v>
      </c>
      <c r="C8172">
        <f>HYPERLINK("C:\Users\franc\OneDrive\Documentos\MALENTIN KARIME\CESION\RESPALDO LUIS DIAZ\VARIOS 2008\PROT. NOMBR. NOTARIO SUPL.doc", "Abrir Documento")</f>
        <v>0</v>
      </c>
      <c r="D8172" t="s">
        <v>23500</v>
      </c>
      <c r="E8172" t="s">
        <v>30648</v>
      </c>
    </row>
    <row r="8173" spans="1:5">
      <c r="A8173" t="s">
        <v>6</v>
      </c>
      <c r="B8173" t="s">
        <v>8178</v>
      </c>
      <c r="C8173">
        <f>HYPERLINK("C:\Users\franc\OneDrive\Documentos\MALENTIN KARIME\CESION\RESPALDO LUIS DIAZ\VARIOS 2008\PROGRESO S.A. Leasing.doc", "Abrir Documento")</f>
        <v>0</v>
      </c>
      <c r="D8173" t="s">
        <v>23500</v>
      </c>
      <c r="E8173" t="s">
        <v>30649</v>
      </c>
    </row>
    <row r="8174" spans="1:5">
      <c r="A8174" t="s">
        <v>6</v>
      </c>
      <c r="B8174" t="s">
        <v>8179</v>
      </c>
      <c r="C8174">
        <f>HYPERLINK("C:\Users\franc\OneDrive\Documentos\MALENTIN KARIME\CESION\RESPALDO LUIS DIAZ\VARIOS 2008\PODER.doc", "Abrir Documento")</f>
        <v>0</v>
      </c>
      <c r="D8174" t="s">
        <v>23500</v>
      </c>
      <c r="E8174" t="s">
        <v>30650</v>
      </c>
    </row>
    <row r="8175" spans="1:5">
      <c r="A8175" t="s">
        <v>6</v>
      </c>
      <c r="B8175" t="s">
        <v>8180</v>
      </c>
      <c r="C8175">
        <f>HYPERLINK("C:\Users\franc\OneDrive\Documentos\MALENTIN KARIME\CESION\RESPALDO LUIS DIAZ\VARIOS 2008\personeria mitimae.doc", "Abrir Documento")</f>
        <v>0</v>
      </c>
      <c r="D8175" t="s">
        <v>23500</v>
      </c>
      <c r="E8175" t="s">
        <v>30651</v>
      </c>
    </row>
    <row r="8176" spans="1:5">
      <c r="A8176" t="s">
        <v>6</v>
      </c>
      <c r="B8176" t="s">
        <v>8181</v>
      </c>
      <c r="C8176">
        <f>HYPERLINK("C:\Users\franc\OneDrive\Documentos\MALENTIN KARIME\CESION\RESPALDO LUIS DIAZ\VARIOS 2008\PEDRO PIÑONES C. Refinanc. Pet.doc", "Abrir Documento")</f>
        <v>0</v>
      </c>
      <c r="D8176" t="s">
        <v>23500</v>
      </c>
      <c r="E8176" t="s">
        <v>30652</v>
      </c>
    </row>
    <row r="8177" spans="1:5">
      <c r="A8177" t="s">
        <v>6</v>
      </c>
      <c r="B8177" t="s">
        <v>8182</v>
      </c>
      <c r="C8177">
        <f>HYPERLINK("C:\Users\franc\OneDrive\Documentos\MALENTIN KARIME\CESION\RESPALDO LUIS DIAZ\VARIOS 2008\PEDRO ORO V. Contr. Honorarios.doc", "Abrir Documento")</f>
        <v>0</v>
      </c>
      <c r="D8177" t="s">
        <v>23500</v>
      </c>
      <c r="E8177" t="s">
        <v>30653</v>
      </c>
    </row>
    <row r="8178" spans="1:5">
      <c r="A8178" t="s">
        <v>6</v>
      </c>
      <c r="B8178" t="s">
        <v>8183</v>
      </c>
      <c r="C8178">
        <f>HYPERLINK("C:\Users\franc\OneDrive\Documentos\MALENTIN KARIME\CESION\RESPALDO LUIS DIAZ\VARIOS 2008\PEDRO LOPEZ CONCHA Instrucc..doc", "Abrir Documento")</f>
        <v>0</v>
      </c>
      <c r="D8178" t="s">
        <v>23500</v>
      </c>
      <c r="E8178" t="s">
        <v>30654</v>
      </c>
    </row>
    <row r="8179" spans="1:5">
      <c r="A8179" t="s">
        <v>6</v>
      </c>
      <c r="B8179" t="s">
        <v>8184</v>
      </c>
      <c r="C8179">
        <f>HYPERLINK("C:\Users\franc\OneDrive\Documentos\MALENTIN KARIME\CESION\RESPALDO LUIS DIAZ\VARIOS 2008\PEDRO GUTIERREZ.PRO.doc", "Abrir Documento")</f>
        <v>0</v>
      </c>
      <c r="D8179" t="s">
        <v>23500</v>
      </c>
      <c r="E8179" t="s">
        <v>30655</v>
      </c>
    </row>
    <row r="8180" spans="1:5">
      <c r="A8180" t="s">
        <v>6</v>
      </c>
      <c r="B8180" t="s">
        <v>8185</v>
      </c>
      <c r="C8180">
        <f>HYPERLINK("C:\Users\franc\OneDrive\Documentos\MALENTIN KARIME\CESION\RESPALDO LUIS DIAZ\VARIOS 2008\PEDRO GUTIERREZ 2.doc", "Abrir Documento")</f>
        <v>0</v>
      </c>
      <c r="D8180" t="s">
        <v>23500</v>
      </c>
      <c r="E8180" t="s">
        <v>30656</v>
      </c>
    </row>
    <row r="8181" spans="1:5">
      <c r="A8181" t="s">
        <v>6</v>
      </c>
      <c r="B8181" t="s">
        <v>8186</v>
      </c>
      <c r="C8181">
        <f>HYPERLINK("C:\Users\franc\OneDrive\Documentos\MALENTIN KARIME\CESION\RESPALDO LUIS DIAZ\VARIOS 2008\PATRICIO MARTINEZ Dación en Pago.doc", "Abrir Documento")</f>
        <v>0</v>
      </c>
      <c r="D8181" t="s">
        <v>23500</v>
      </c>
      <c r="E8181" t="s">
        <v>30657</v>
      </c>
    </row>
    <row r="8182" spans="1:5">
      <c r="A8182" t="s">
        <v>6</v>
      </c>
      <c r="B8182" t="s">
        <v>8187</v>
      </c>
      <c r="C8182">
        <f>HYPERLINK("C:\Users\franc\OneDrive\Documentos\MALENTIN KARIME\CESION\RESPALDO LUIS DIAZ\VARIOS 2008\PATRICIO MARTINEZ 2 Dación en Pago.doc", "Abrir Documento")</f>
        <v>0</v>
      </c>
      <c r="D8182" t="s">
        <v>23500</v>
      </c>
      <c r="E8182" t="s">
        <v>30658</v>
      </c>
    </row>
    <row r="8183" spans="1:5">
      <c r="A8183" t="s">
        <v>6</v>
      </c>
      <c r="B8183" t="s">
        <v>8188</v>
      </c>
      <c r="C8183">
        <f>HYPERLINK("C:\Users\franc\OneDrive\Documentos\MALENTIN KARIME\CESION\RESPALDO LUIS DIAZ\VARIOS 2008\PATRICIO ALARCON BLASCO Separac..doc", "Abrir Documento")</f>
        <v>0</v>
      </c>
      <c r="D8183" t="s">
        <v>23500</v>
      </c>
      <c r="E8183" t="s">
        <v>30659</v>
      </c>
    </row>
    <row r="8184" spans="1:5">
      <c r="A8184" t="s">
        <v>6</v>
      </c>
      <c r="B8184" t="s">
        <v>8189</v>
      </c>
      <c r="C8184">
        <f>HYPERLINK("C:\Users\franc\OneDrive\Documentos\MALENTIN KARIME\CESION\RESPALDO LUIS DIAZ\VARIOS 2008\PAOLA SALDIVAR Trabajo.doc", "Abrir Documento")</f>
        <v>0</v>
      </c>
      <c r="D8184" t="s">
        <v>23500</v>
      </c>
      <c r="E8184" t="s">
        <v>30660</v>
      </c>
    </row>
    <row r="8185" spans="1:5">
      <c r="A8185" t="s">
        <v>6</v>
      </c>
      <c r="B8185" t="s">
        <v>8190</v>
      </c>
      <c r="C8185">
        <f>HYPERLINK("C:\Users\franc\OneDrive\Documentos\MALENTIN KARIME\CESION\RESPALDO LUIS DIAZ\VARIOS 2008\PAOLA CONTRERAS B. Refinanc. PET.doc", "Abrir Documento")</f>
        <v>0</v>
      </c>
      <c r="D8185" t="s">
        <v>23500</v>
      </c>
      <c r="E8185" t="s">
        <v>30661</v>
      </c>
    </row>
    <row r="8186" spans="1:5">
      <c r="A8186" t="s">
        <v>6</v>
      </c>
      <c r="B8186" t="s">
        <v>8191</v>
      </c>
      <c r="C8186">
        <f>HYPERLINK("C:\Users\franc\OneDrive\Documentos\MALENTIN KARIME\CESION\RESPALDO LUIS DIAZ\VARIOS 2008\PAOLA CARVAJAL VALENZUELA.doc", "Abrir Documento")</f>
        <v>0</v>
      </c>
      <c r="D8186" t="s">
        <v>23500</v>
      </c>
      <c r="E8186" t="s">
        <v>30662</v>
      </c>
    </row>
    <row r="8187" spans="1:5">
      <c r="A8187" t="s">
        <v>6</v>
      </c>
      <c r="B8187" t="s">
        <v>8192</v>
      </c>
      <c r="C8187">
        <f>HYPERLINK("C:\Users\franc\OneDrive\Documentos\MALENTIN KARIME\CESION\RESPALDO LUIS DIAZ\VARIOS 2008\PAOLA BOTTO M. Fianza Art. 473 C.O.T..doc", "Abrir Documento")</f>
        <v>0</v>
      </c>
      <c r="D8187" t="s">
        <v>23500</v>
      </c>
      <c r="E8187" t="s">
        <v>30663</v>
      </c>
    </row>
    <row r="8188" spans="1:5">
      <c r="A8188" t="s">
        <v>6</v>
      </c>
      <c r="B8188" t="s">
        <v>8193</v>
      </c>
      <c r="C8188">
        <f>HYPERLINK("C:\Users\franc\OneDrive\Documentos\MALENTIN KARIME\CESION\RESPALDO LUIS DIAZ\VARIOS 2008\PAMELA PASTEN B. Refinanc. PET.doc", "Abrir Documento")</f>
        <v>0</v>
      </c>
      <c r="D8188" t="s">
        <v>23500</v>
      </c>
      <c r="E8188" t="s">
        <v>30664</v>
      </c>
    </row>
    <row r="8189" spans="1:5">
      <c r="A8189" t="s">
        <v>6</v>
      </c>
      <c r="B8189" t="s">
        <v>8194</v>
      </c>
      <c r="C8189">
        <f>HYPERLINK("C:\Users\franc\OneDrive\Documentos\MALENTIN KARIME\CESION\RESPALDO LUIS DIAZ\VARIOS 2008\PAGO SALDO DE PRECIO.doc", "Abrir Documento")</f>
        <v>0</v>
      </c>
      <c r="D8189" t="s">
        <v>23500</v>
      </c>
      <c r="E8189" t="s">
        <v>30665</v>
      </c>
    </row>
    <row r="8190" spans="1:5">
      <c r="A8190" t="s">
        <v>6</v>
      </c>
      <c r="B8190" t="s">
        <v>8195</v>
      </c>
      <c r="C8190">
        <f>HYPERLINK("C:\Users\franc\OneDrive\Documentos\MALENTIN KARIME\CESION\RESPALDO LUIS DIAZ\VARIOS 2008\PAGO IMPUESTO VEHICULO.doc", "Abrir Documento")</f>
        <v>0</v>
      </c>
      <c r="D8190" t="s">
        <v>23500</v>
      </c>
      <c r="E8190" t="s">
        <v>30666</v>
      </c>
    </row>
    <row r="8191" spans="1:5">
      <c r="A8191" t="s">
        <v>6</v>
      </c>
      <c r="B8191" t="s">
        <v>8196</v>
      </c>
      <c r="C8191">
        <f>HYPERLINK("C:\Users\franc\OneDrive\Documentos\MALENTIN KARIME\CESION\RESPALDO LUIS DIAZ\VARIOS 2008\PAGO IMPUESTO VEHICULO Protocoliz..doc", "Abrir Documento")</f>
        <v>0</v>
      </c>
      <c r="D8191" t="s">
        <v>23500</v>
      </c>
      <c r="E8191" t="s">
        <v>30667</v>
      </c>
    </row>
    <row r="8192" spans="1:5">
      <c r="A8192" t="s">
        <v>6</v>
      </c>
      <c r="B8192" t="s">
        <v>8197</v>
      </c>
      <c r="C8192">
        <f>HYPERLINK("C:\Users\franc\OneDrive\Documentos\MALENTIN KARIME\CESION\RESPALDO LUIS DIAZ\VARIOS 2008\PAGO IMPUESTO VEHICULO al Margen.doc", "Abrir Documento")</f>
        <v>0</v>
      </c>
      <c r="D8192" t="s">
        <v>23500</v>
      </c>
      <c r="E8192" t="s">
        <v>30668</v>
      </c>
    </row>
    <row r="8193" spans="1:5">
      <c r="A8193" t="s">
        <v>6</v>
      </c>
      <c r="B8193" t="s">
        <v>8198</v>
      </c>
      <c r="C8193">
        <f>HYPERLINK("C:\Users\franc\OneDrive\Documentos\MALENTIN KARIME\CESION\RESPALDO LUIS DIAZ\VARIOS 2008\PAGO DE IMPUESTO.doc", "Abrir Documento")</f>
        <v>0</v>
      </c>
      <c r="D8193" t="s">
        <v>23500</v>
      </c>
      <c r="E8193" t="s">
        <v>30669</v>
      </c>
    </row>
    <row r="8194" spans="1:5">
      <c r="A8194" t="s">
        <v>6</v>
      </c>
      <c r="B8194" t="s">
        <v>8199</v>
      </c>
      <c r="C8194">
        <f>HYPERLINK("C:\Users\franc\OneDrive\Documentos\MALENTIN KARIME\CESION\RESPALDO LUIS DIAZ\VARIOS 2008\PAGO DE IMPUESTO Privado.doc", "Abrir Documento")</f>
        <v>0</v>
      </c>
      <c r="D8194" t="s">
        <v>23500</v>
      </c>
      <c r="E8194" t="s">
        <v>30670</v>
      </c>
    </row>
    <row r="8195" spans="1:5">
      <c r="A8195" t="s">
        <v>6</v>
      </c>
      <c r="B8195" t="s">
        <v>8200</v>
      </c>
      <c r="C8195">
        <f>HYPERLINK("C:\Users\franc\OneDrive\Documentos\MALENTIN KARIME\CESION\RESPALDO LUIS DIAZ\VARIOS 2008\PABLO VALENCIA. Repudia Herencia.doc", "Abrir Documento")</f>
        <v>0</v>
      </c>
      <c r="D8195" t="s">
        <v>23500</v>
      </c>
      <c r="E8195" t="s">
        <v>30671</v>
      </c>
    </row>
    <row r="8196" spans="1:5">
      <c r="A8196" t="s">
        <v>6</v>
      </c>
      <c r="B8196" t="s">
        <v>8201</v>
      </c>
      <c r="C8196">
        <f>HYPERLINK("C:\Users\franc\OneDrive\Documentos\MALENTIN KARIME\CESION\RESPALDO LUIS DIAZ\VARIOS 2008\PABLO PIZARRO C. Recibo.doc", "Abrir Documento")</f>
        <v>0</v>
      </c>
      <c r="D8196" t="s">
        <v>23500</v>
      </c>
      <c r="E8196" t="s">
        <v>30672</v>
      </c>
    </row>
    <row r="8197" spans="1:5">
      <c r="A8197" t="s">
        <v>6</v>
      </c>
      <c r="B8197" t="s">
        <v>8202</v>
      </c>
      <c r="C8197">
        <f>HYPERLINK("C:\Users\franc\OneDrive\Documentos\MALENTIN KARIME\CESION\RESPALDO LUIS DIAZ\VARIOS 2008\PABLO DANKE.AUT.doc", "Abrir Documento")</f>
        <v>0</v>
      </c>
      <c r="D8197" t="s">
        <v>23500</v>
      </c>
      <c r="E8197" t="s">
        <v>30673</v>
      </c>
    </row>
    <row r="8198" spans="1:5">
      <c r="A8198" t="s">
        <v>6</v>
      </c>
      <c r="B8198" t="s">
        <v>8203</v>
      </c>
      <c r="C8198">
        <f>HYPERLINK("C:\Users\franc\OneDrive\Documentos\MALENTIN KARIME\CESION\RESPALDO LUIS DIAZ\VARIOS 2008\PABLO CAMPILLAY DIAZ.doc", "Abrir Documento")</f>
        <v>0</v>
      </c>
      <c r="D8198" t="s">
        <v>23500</v>
      </c>
      <c r="E8198" t="s">
        <v>30674</v>
      </c>
    </row>
    <row r="8199" spans="1:5">
      <c r="A8199" t="s">
        <v>6</v>
      </c>
      <c r="B8199" t="s">
        <v>8204</v>
      </c>
      <c r="C8199">
        <f>HYPERLINK("C:\Users\franc\OneDrive\Documentos\MALENTIN KARIME\CESION\RESPALDO LUIS DIAZ\VARIOS 2008\OSCAR TAPIA NAREA Contrato Hon..doc", "Abrir Documento")</f>
        <v>0</v>
      </c>
      <c r="D8199" t="s">
        <v>23500</v>
      </c>
      <c r="E8199" t="s">
        <v>30675</v>
      </c>
    </row>
    <row r="8200" spans="1:5">
      <c r="A8200" t="s">
        <v>6</v>
      </c>
      <c r="B8200" t="s">
        <v>8205</v>
      </c>
      <c r="C8200">
        <f>HYPERLINK("C:\Users\franc\OneDrive\Documentos\MALENTIN KARIME\CESION\RESPALDO LUIS DIAZ\VARIOS 2008\OSCAR CASTILLO.PRO.doc", "Abrir Documento")</f>
        <v>0</v>
      </c>
      <c r="D8200" t="s">
        <v>23500</v>
      </c>
      <c r="E8200" t="s">
        <v>30676</v>
      </c>
    </row>
    <row r="8201" spans="1:5">
      <c r="A8201" t="s">
        <v>6</v>
      </c>
      <c r="B8201" t="s">
        <v>8206</v>
      </c>
      <c r="C8201">
        <f>HYPERLINK("C:\Users\franc\OneDrive\Documentos\MALENTIN KARIME\CESION\RESPALDO LUIS DIAZ\VARIOS 2008\OPTAR CARGO PUBLICO.doc", "Abrir Documento")</f>
        <v>0</v>
      </c>
      <c r="D8201" t="s">
        <v>23500</v>
      </c>
      <c r="E8201" t="s">
        <v>30677</v>
      </c>
    </row>
    <row r="8202" spans="1:5">
      <c r="A8202" t="s">
        <v>6</v>
      </c>
      <c r="B8202" t="s">
        <v>8207</v>
      </c>
      <c r="C8202">
        <f>HYPERLINK("C:\Users\franc\OneDrive\Documentos\MALENTIN KARIME\CESION\RESPALDO LUIS DIAZ\VARIOS 2008\OMAR TOVAR TOVAR.SEP.doc", "Abrir Documento")</f>
        <v>0</v>
      </c>
      <c r="D8202" t="s">
        <v>23500</v>
      </c>
      <c r="E8202" t="s">
        <v>30678</v>
      </c>
    </row>
    <row r="8203" spans="1:5">
      <c r="A8203" t="s">
        <v>6</v>
      </c>
      <c r="B8203" t="s">
        <v>8208</v>
      </c>
      <c r="C8203">
        <f>HYPERLINK("C:\Users\franc\OneDrive\Documentos\MALENTIN KARIME\CESION\RESPALDO LUIS DIAZ\VARIOS 2008\OLGA CORRAL J. Mutuo a la Vta.doc", "Abrir Documento")</f>
        <v>0</v>
      </c>
      <c r="D8203" t="s">
        <v>23500</v>
      </c>
      <c r="E8203" t="s">
        <v>30679</v>
      </c>
    </row>
    <row r="8204" spans="1:5">
      <c r="A8204" t="s">
        <v>6</v>
      </c>
      <c r="B8204" t="s">
        <v>8209</v>
      </c>
      <c r="C8204">
        <f>HYPERLINK("C:\Users\franc\OneDrive\Documentos\MALENTIN KARIME\CESION\RESPALDO LUIS DIAZ\VARIOS 2008\O.N.G. NVOS TIEMPOS Res. y Prot.doc", "Abrir Documento")</f>
        <v>0</v>
      </c>
      <c r="D8204" t="s">
        <v>23500</v>
      </c>
      <c r="E8204" t="s">
        <v>30680</v>
      </c>
    </row>
    <row r="8205" spans="1:5">
      <c r="A8205" t="s">
        <v>6</v>
      </c>
      <c r="B8205" t="s">
        <v>8210</v>
      </c>
      <c r="C8205">
        <f>HYPERLINK("C:\Users\franc\OneDrive\Documentos\MALENTIN KARIME\CESION\RESPALDO LUIS DIAZ\VARIOS 2008\NOTARIO SUPLENTE Manlio Mettifogo.doc", "Abrir Documento")</f>
        <v>0</v>
      </c>
      <c r="D8205" t="s">
        <v>23500</v>
      </c>
      <c r="E8205" t="s">
        <v>30681</v>
      </c>
    </row>
    <row r="8206" spans="1:5">
      <c r="A8206" t="s">
        <v>6</v>
      </c>
      <c r="B8206" t="s">
        <v>8211</v>
      </c>
      <c r="C8206">
        <f>HYPERLINK("C:\Users\franc\OneDrive\Documentos\MALENTIN KARIME\CESION\RESPALDO LUIS DIAZ\VARIOS 2008\NOTARIO SUPLENTE Ma. Antonieta Medina.doc", "Abrir Documento")</f>
        <v>0</v>
      </c>
      <c r="D8206" t="s">
        <v>23500</v>
      </c>
      <c r="E8206" t="s">
        <v>30682</v>
      </c>
    </row>
    <row r="8207" spans="1:5">
      <c r="A8207" t="s">
        <v>6</v>
      </c>
      <c r="B8207" t="s">
        <v>8212</v>
      </c>
      <c r="C8207">
        <f>HYPERLINK("C:\Users\franc\OneDrive\Documentos\MALENTIN KARIME\CESION\RESPALDO LUIS DIAZ\VARIOS 2008\NOTARIO SUPL. MIGUEL ALVAREZ.doc", "Abrir Documento")</f>
        <v>0</v>
      </c>
      <c r="D8207" t="s">
        <v>23500</v>
      </c>
      <c r="E8207" t="s">
        <v>30683</v>
      </c>
    </row>
    <row r="8208" spans="1:5">
      <c r="A8208" t="s">
        <v>6</v>
      </c>
      <c r="B8208" t="s">
        <v>8213</v>
      </c>
      <c r="C8208">
        <f>HYPERLINK("C:\Users\franc\OneDrive\Documentos\MALENTIN KARIME\CESION\RESPALDO LUIS DIAZ\VARIOS 2008\Nota Protoc. dctos. al margen.doc", "Abrir Documento")</f>
        <v>0</v>
      </c>
      <c r="D8208" t="s">
        <v>23500</v>
      </c>
      <c r="E8208" t="s">
        <v>30684</v>
      </c>
    </row>
    <row r="8209" spans="1:5">
      <c r="A8209" t="s">
        <v>6</v>
      </c>
      <c r="B8209" t="s">
        <v>8214</v>
      </c>
      <c r="C8209">
        <f>HYPERLINK("C:\Users\franc\OneDrive\Documentos\MALENTIN KARIME\CESION\RESPALDO LUIS DIAZ\VARIOS 2008\Nota al margen Rectific. Protoc..doc", "Abrir Documento")</f>
        <v>0</v>
      </c>
      <c r="D8209" t="s">
        <v>23500</v>
      </c>
      <c r="E8209" t="s">
        <v>30685</v>
      </c>
    </row>
    <row r="8210" spans="1:5">
      <c r="A8210" t="s">
        <v>6</v>
      </c>
      <c r="B8210" t="s">
        <v>8215</v>
      </c>
      <c r="C8210">
        <f>HYPERLINK("C:\Users\franc\OneDrive\Documentos\MALENTIN KARIME\CESION\RESPALDO LUIS DIAZ\VARIOS 2008\Nota al margen Matriz PAGO CUOTA.doc", "Abrir Documento")</f>
        <v>0</v>
      </c>
      <c r="D8210" t="s">
        <v>23500</v>
      </c>
      <c r="E8210" t="s">
        <v>30686</v>
      </c>
    </row>
    <row r="8211" spans="1:5">
      <c r="A8211" t="s">
        <v>6</v>
      </c>
      <c r="B8211" t="s">
        <v>8216</v>
      </c>
      <c r="C8211">
        <f>HYPERLINK("C:\Users\franc\OneDrive\Documentos\MALENTIN KARIME\CESION\RESPALDO LUIS DIAZ\VARIOS 2008\Nota al margen Matriz CANC.PRECIO.doc", "Abrir Documento")</f>
        <v>0</v>
      </c>
      <c r="D8211" t="s">
        <v>23500</v>
      </c>
      <c r="E8211" t="s">
        <v>30687</v>
      </c>
    </row>
    <row r="8212" spans="1:5">
      <c r="A8212" t="s">
        <v>6</v>
      </c>
      <c r="B8212" t="s">
        <v>8217</v>
      </c>
      <c r="C8212">
        <f>HYPERLINK("C:\Users\franc\OneDrive\Documentos\MALENTIN KARIME\CESION\RESPALDO LUIS DIAZ\VARIOS 2008\Nota al margen Matriz (Resciliación).doc", "Abrir Documento")</f>
        <v>0</v>
      </c>
      <c r="D8212" t="s">
        <v>23500</v>
      </c>
      <c r="E8212" t="s">
        <v>30688</v>
      </c>
    </row>
    <row r="8213" spans="1:5">
      <c r="A8213" t="s">
        <v>6</v>
      </c>
      <c r="B8213" t="s">
        <v>8218</v>
      </c>
      <c r="C8213">
        <f>HYPERLINK("C:\Users\franc\OneDrive\Documentos\MALENTIN KARIME\CESION\RESPALDO LUIS DIAZ\VARIOS 2008\Nota al margen Factura.doc", "Abrir Documento")</f>
        <v>0</v>
      </c>
      <c r="D8213" t="s">
        <v>23500</v>
      </c>
      <c r="E8213" t="s">
        <v>30689</v>
      </c>
    </row>
    <row r="8214" spans="1:5">
      <c r="A8214" t="s">
        <v>6</v>
      </c>
      <c r="B8214" t="s">
        <v>8219</v>
      </c>
      <c r="C8214">
        <f>HYPERLINK("C:\Users\franc\OneDrive\Documentos\MALENTIN KARIME\CESION\RESPALDO LUIS DIAZ\VARIOS 2008\Nota al margen en Rectific..doc", "Abrir Documento")</f>
        <v>0</v>
      </c>
      <c r="D8214" t="s">
        <v>23500</v>
      </c>
      <c r="E8214" t="s">
        <v>30690</v>
      </c>
    </row>
    <row r="8215" spans="1:5">
      <c r="A8215" t="s">
        <v>6</v>
      </c>
      <c r="B8215" t="s">
        <v>8220</v>
      </c>
      <c r="C8215">
        <f>HYPERLINK("C:\Users\franc\OneDrive\Documentos\MALENTIN KARIME\CESION\RESPALDO LUIS DIAZ\VARIOS 2008\Nota al margen en Matriz.doc", "Abrir Documento")</f>
        <v>0</v>
      </c>
      <c r="D8215" t="s">
        <v>23500</v>
      </c>
      <c r="E8215" t="s">
        <v>30691</v>
      </c>
    </row>
    <row r="8216" spans="1:5">
      <c r="A8216" t="s">
        <v>6</v>
      </c>
      <c r="B8216" t="s">
        <v>8221</v>
      </c>
      <c r="C8216">
        <f>HYPERLINK("C:\Users\franc\OneDrive\Documentos\MALENTIN KARIME\CESION\RESPALDO LUIS DIAZ\VARIOS 2008\Nota al margen en Matriz Protoc..doc", "Abrir Documento")</f>
        <v>0</v>
      </c>
      <c r="D8216" t="s">
        <v>23500</v>
      </c>
      <c r="E8216" t="s">
        <v>30692</v>
      </c>
    </row>
    <row r="8217" spans="1:5">
      <c r="A8217" t="s">
        <v>6</v>
      </c>
      <c r="B8217" t="s">
        <v>8222</v>
      </c>
      <c r="C8217">
        <f>HYPERLINK("C:\Users\franc\OneDrive\Documentos\MALENTIN KARIME\CESION\RESPALDO LUIS DIAZ\VARIOS 2008\Nota al margen corregir error.doc", "Abrir Documento")</f>
        <v>0</v>
      </c>
      <c r="D8217" t="s">
        <v>23500</v>
      </c>
      <c r="E8217" t="s">
        <v>30693</v>
      </c>
    </row>
    <row r="8218" spans="1:5">
      <c r="A8218" t="s">
        <v>6</v>
      </c>
      <c r="B8218" t="s">
        <v>8223</v>
      </c>
      <c r="C8218">
        <f>HYPERLINK("C:\Users\franc\OneDrive\Documentos\MALENTIN KARIME\CESION\RESPALDO LUIS DIAZ\VARIOS 2008\Nota al margen corregir error Fecha.doc", "Abrir Documento")</f>
        <v>0</v>
      </c>
      <c r="D8218" t="s">
        <v>23500</v>
      </c>
      <c r="E8218" t="s">
        <v>30694</v>
      </c>
    </row>
    <row r="8219" spans="1:5">
      <c r="A8219" t="s">
        <v>6</v>
      </c>
      <c r="B8219" t="s">
        <v>8224</v>
      </c>
      <c r="C8219">
        <f>HYPERLINK("C:\Users\franc\OneDrive\Documentos\MALENTIN KARIME\CESION\RESPALDO LUIS DIAZ\VARIOS 2008\Nota al margen Constancia.doc", "Abrir Documento")</f>
        <v>0</v>
      </c>
      <c r="D8219" t="s">
        <v>23500</v>
      </c>
      <c r="E8219" t="s">
        <v>30695</v>
      </c>
    </row>
    <row r="8220" spans="1:5">
      <c r="A8220" t="s">
        <v>6</v>
      </c>
      <c r="B8220" t="s">
        <v>8225</v>
      </c>
      <c r="C8220">
        <f>HYPERLINK("C:\Users\franc\OneDrive\Documentos\MALENTIN KARIME\CESION\RESPALDO LUIS DIAZ\VARIOS 2008\Nota Acredita Personería.doc", "Abrir Documento")</f>
        <v>0</v>
      </c>
      <c r="D8220" t="s">
        <v>23500</v>
      </c>
      <c r="E8220" t="s">
        <v>30696</v>
      </c>
    </row>
    <row r="8221" spans="1:5">
      <c r="A8221" t="s">
        <v>6</v>
      </c>
      <c r="B8221" t="s">
        <v>8226</v>
      </c>
      <c r="C8221">
        <f>HYPERLINK("C:\Users\franc\OneDrive\Documentos\MALENTIN KARIME\CESION\RESPALDO LUIS DIAZ\VARIOS 2008\NORMA CARTER a DANIELA BOLADOS Mutuo.doc", "Abrir Documento")</f>
        <v>0</v>
      </c>
      <c r="D8221" t="s">
        <v>23500</v>
      </c>
      <c r="E8221" t="s">
        <v>30697</v>
      </c>
    </row>
    <row r="8222" spans="1:5">
      <c r="A8222" t="s">
        <v>6</v>
      </c>
      <c r="B8222" t="s">
        <v>8227</v>
      </c>
      <c r="C8222">
        <f>HYPERLINK("C:\Users\franc\OneDrive\Documentos\MALENTIN KARIME\CESION\RESPALDO LUIS DIAZ\VARIOS 2008\NORA VALDES MUÑOZ. Refinanc. PET.doc", "Abrir Documento")</f>
        <v>0</v>
      </c>
      <c r="D8222" t="s">
        <v>23500</v>
      </c>
      <c r="E8222" t="s">
        <v>30698</v>
      </c>
    </row>
    <row r="8223" spans="1:5">
      <c r="A8223" t="s">
        <v>6</v>
      </c>
      <c r="B8223" t="s">
        <v>8228</v>
      </c>
      <c r="C8223">
        <f>HYPERLINK("C:\Users\franc\OneDrive\Documentos\MALENTIN KARIME\CESION\RESPALDO LUIS DIAZ\VARIOS 2008\NIVALDOPERINES.PRO.doc", "Abrir Documento")</f>
        <v>0</v>
      </c>
      <c r="D8223" t="s">
        <v>23500</v>
      </c>
      <c r="E8223" t="s">
        <v>30699</v>
      </c>
    </row>
    <row r="8224" spans="1:5">
      <c r="A8224" t="s">
        <v>6</v>
      </c>
      <c r="B8224" t="s">
        <v>8229</v>
      </c>
      <c r="C8224">
        <f>HYPERLINK("C:\Users\franc\OneDrive\Documentos\MALENTIN KARIME\CESION\RESPALDO LUIS DIAZ\VARIOS 2008\NINTRADE SPA. Protocoliz. Soc..doc", "Abrir Documento")</f>
        <v>0</v>
      </c>
      <c r="D8224" t="s">
        <v>23500</v>
      </c>
      <c r="E8224" t="s">
        <v>30700</v>
      </c>
    </row>
    <row r="8225" spans="1:5">
      <c r="A8225" t="s">
        <v>6</v>
      </c>
      <c r="B8225" t="s">
        <v>8230</v>
      </c>
      <c r="C8225">
        <f>HYPERLINK("C:\Users\franc\OneDrive\Documentos\MALENTIN KARIME\CESION\RESPALDO LUIS DIAZ\VARIOS 2008\NINTRADE SPA. Protocoliz. Dctos. Soc..doc", "Abrir Documento")</f>
        <v>0</v>
      </c>
      <c r="D8225" t="s">
        <v>23500</v>
      </c>
      <c r="E8225" t="s">
        <v>30701</v>
      </c>
    </row>
    <row r="8226" spans="1:5">
      <c r="A8226" t="s">
        <v>6</v>
      </c>
      <c r="B8226" t="s">
        <v>8231</v>
      </c>
      <c r="C8226">
        <f>HYPERLINK("C:\Users\franc\OneDrive\Documentos\MALENTIN KARIME\CESION\RESPALDO LUIS DIAZ\VARIOS 2008\NARESH BHAGWAN Prot.Carta Pod.doc", "Abrir Documento")</f>
        <v>0</v>
      </c>
      <c r="D8226" t="s">
        <v>23500</v>
      </c>
      <c r="E8226" t="s">
        <v>30702</v>
      </c>
    </row>
    <row r="8227" spans="1:5">
      <c r="A8227" t="s">
        <v>6</v>
      </c>
      <c r="B8227" t="s">
        <v>8232</v>
      </c>
      <c r="C8227">
        <f>HYPERLINK("C:\Users\franc\OneDrive\Documentos\MALENTIN KARIME\CESION\RESPALDO LUIS DIAZ\VARIOS 2008\MYRTA RIVERA.PRO.doc", "Abrir Documento")</f>
        <v>0</v>
      </c>
      <c r="D8227" t="s">
        <v>23500</v>
      </c>
      <c r="E8227" t="s">
        <v>30703</v>
      </c>
    </row>
    <row r="8228" spans="1:5">
      <c r="A8228" t="s">
        <v>6</v>
      </c>
      <c r="B8228" t="s">
        <v>8233</v>
      </c>
      <c r="C8228">
        <f>HYPERLINK("C:\Users\franc\OneDrive\Documentos\MALENTIN KARIME\CESION\RESPALDO LUIS DIAZ\VARIOS 2008\MUNI. OVALLE a MARCELA ZAVALA Alz..doc", "Abrir Documento")</f>
        <v>0</v>
      </c>
      <c r="D8228" t="s">
        <v>23500</v>
      </c>
      <c r="E8228" t="s">
        <v>30704</v>
      </c>
    </row>
    <row r="8229" spans="1:5">
      <c r="A8229" t="s">
        <v>6</v>
      </c>
      <c r="B8229" t="s">
        <v>8234</v>
      </c>
      <c r="C8229">
        <f>HYPERLINK("C:\Users\franc\OneDrive\Documentos\MALENTIN KARIME\CESION\RESPALDO LUIS DIAZ\VARIOS 2008\MUNI. OVALLE a FREDY JAIME Alz..doc", "Abrir Documento")</f>
        <v>0</v>
      </c>
      <c r="D8229" t="s">
        <v>23500</v>
      </c>
      <c r="E8229" t="s">
        <v>30705</v>
      </c>
    </row>
    <row r="8230" spans="1:5">
      <c r="A8230" t="s">
        <v>6</v>
      </c>
      <c r="B8230" t="s">
        <v>8235</v>
      </c>
      <c r="C8230">
        <f>HYPERLINK("C:\Users\franc\OneDrive\Documentos\MALENTIN KARIME\CESION\RESPALDO LUIS DIAZ\VARIOS 2008\MUNI. OVALLE a FLORIDOR ZAMBRA Alz..doc", "Abrir Documento")</f>
        <v>0</v>
      </c>
      <c r="D8230" t="s">
        <v>23500</v>
      </c>
      <c r="E8230" t="s">
        <v>30706</v>
      </c>
    </row>
    <row r="8231" spans="1:5">
      <c r="A8231" t="s">
        <v>6</v>
      </c>
      <c r="B8231" t="s">
        <v>8236</v>
      </c>
      <c r="C8231">
        <f>HYPERLINK("C:\Users\franc\OneDrive\Documentos\MALENTIN KARIME\CESION\RESPALDO LUIS DIAZ\VARIOS 2008\MUNI. OVALLE a CARMEN MUÑOZ Alz..doc", "Abrir Documento")</f>
        <v>0</v>
      </c>
      <c r="D8231" t="s">
        <v>23500</v>
      </c>
      <c r="E8231" t="s">
        <v>30707</v>
      </c>
    </row>
    <row r="8232" spans="1:5">
      <c r="A8232" t="s">
        <v>6</v>
      </c>
      <c r="B8232" t="s">
        <v>8237</v>
      </c>
      <c r="C8232">
        <f>HYPERLINK("C:\Users\franc\OneDrive\Documentos\MALENTIN KARIME\CESION\RESPALDO LUIS DIAZ\VARIOS 2008\MODELO TRANSACCION.doc", "Abrir Documento")</f>
        <v>0</v>
      </c>
      <c r="D8232" t="s">
        <v>23500</v>
      </c>
      <c r="E8232" t="s">
        <v>30708</v>
      </c>
    </row>
    <row r="8233" spans="1:5">
      <c r="A8233" t="s">
        <v>6</v>
      </c>
      <c r="B8233" t="s">
        <v>8238</v>
      </c>
      <c r="C8233">
        <f>HYPERLINK("C:\Users\franc\OneDrive\Documentos\MALENTIN KARIME\CESION\RESPALDO LUIS DIAZ\VARIOS 2008\MODELO Separación de Bienes.doc", "Abrir Documento")</f>
        <v>0</v>
      </c>
      <c r="D8233" t="s">
        <v>23500</v>
      </c>
      <c r="E8233" t="s">
        <v>30709</v>
      </c>
    </row>
    <row r="8234" spans="1:5">
      <c r="A8234" t="s">
        <v>6</v>
      </c>
      <c r="B8234" t="s">
        <v>8239</v>
      </c>
      <c r="C8234">
        <f>HYPERLINK("C:\Users\franc\OneDrive\Documentos\MALENTIN KARIME\CESION\RESPALDO LUIS DIAZ\VARIOS 2008\MODELO Ren. Usufructo.doc", "Abrir Documento")</f>
        <v>0</v>
      </c>
      <c r="D8234" t="s">
        <v>23500</v>
      </c>
      <c r="E8234" t="s">
        <v>30710</v>
      </c>
    </row>
    <row r="8235" spans="1:5">
      <c r="A8235" t="s">
        <v>6</v>
      </c>
      <c r="B8235" t="s">
        <v>8240</v>
      </c>
      <c r="C8235">
        <f>HYPERLINK("C:\Users\franc\OneDrive\Documentos\MALENTIN KARIME\CESION\RESPALDO LUIS DIAZ\VARIOS 2008\MODELO Rec.Deuda.doc", "Abrir Documento")</f>
        <v>0</v>
      </c>
      <c r="D8235" t="s">
        <v>23500</v>
      </c>
      <c r="E8235" t="s">
        <v>30711</v>
      </c>
    </row>
    <row r="8236" spans="1:5">
      <c r="A8236" t="s">
        <v>6</v>
      </c>
      <c r="B8236" t="s">
        <v>8241</v>
      </c>
      <c r="C8236">
        <f>HYPERLINK("C:\Users\franc\OneDrive\Documentos\MALENTIN KARIME\CESION\RESPALDO LUIS DIAZ\VARIOS 2008\MODELO NOTARIO.doc", "Abrir Documento")</f>
        <v>0</v>
      </c>
      <c r="D8236" t="s">
        <v>23500</v>
      </c>
      <c r="E8236" t="s">
        <v>30712</v>
      </c>
    </row>
    <row r="8237" spans="1:5">
      <c r="A8237" t="s">
        <v>6</v>
      </c>
      <c r="B8237" t="s">
        <v>8242</v>
      </c>
      <c r="C8237">
        <f>HYPERLINK("C:\Users\franc\OneDrive\Documentos\MALENTIN KARIME\CESION\RESPALDO LUIS DIAZ\VARIOS 2008\MODELO MUTUO A LA VISTA.doc", "Abrir Documento")</f>
        <v>0</v>
      </c>
      <c r="D8237" t="s">
        <v>23500</v>
      </c>
      <c r="E8237" t="s">
        <v>30713</v>
      </c>
    </row>
    <row r="8238" spans="1:5">
      <c r="A8238" t="s">
        <v>6</v>
      </c>
      <c r="B8238" t="s">
        <v>8243</v>
      </c>
      <c r="C8238">
        <f>HYPERLINK("C:\Users\franc\OneDrive\Documentos\MALENTIN KARIME\CESION\RESPALDO LUIS DIAZ\VARIOS 2008\MODELO Liquidación Soc. Cony..doc", "Abrir Documento")</f>
        <v>0</v>
      </c>
      <c r="D8238" t="s">
        <v>23500</v>
      </c>
      <c r="E8238" t="s">
        <v>30714</v>
      </c>
    </row>
    <row r="8239" spans="1:5">
      <c r="A8239" t="s">
        <v>6</v>
      </c>
      <c r="B8239" t="s">
        <v>8244</v>
      </c>
      <c r="C8239">
        <f>HYPERLINK("C:\Users\franc\OneDrive\Documentos\MALENTIN KARIME\CESION\RESPALDO LUIS DIAZ\VARIOS 2008\MODELO III Dación en Pago.doc", "Abrir Documento")</f>
        <v>0</v>
      </c>
      <c r="D8239" t="s">
        <v>23500</v>
      </c>
      <c r="E8239" t="s">
        <v>30715</v>
      </c>
    </row>
    <row r="8240" spans="1:5">
      <c r="A8240" t="s">
        <v>6</v>
      </c>
      <c r="B8240" t="s">
        <v>8245</v>
      </c>
      <c r="C8240">
        <f>HYPERLINK("C:\Users\franc\OneDrive\Documentos\MALENTIN KARIME\CESION\RESPALDO LUIS DIAZ\VARIOS 2008\MODELO II Liquid. Soc. Conyugal.doc", "Abrir Documento")</f>
        <v>0</v>
      </c>
      <c r="D8240" t="s">
        <v>23500</v>
      </c>
      <c r="E8240" t="s">
        <v>30716</v>
      </c>
    </row>
    <row r="8241" spans="1:5">
      <c r="A8241" t="s">
        <v>6</v>
      </c>
      <c r="B8241" t="s">
        <v>8246</v>
      </c>
      <c r="C8241">
        <f>HYPERLINK("C:\Users\franc\OneDrive\Documentos\MALENTIN KARIME\CESION\RESPALDO LUIS DIAZ\VARIOS 2008\MODELO II Dación en Pago.doc", "Abrir Documento")</f>
        <v>0</v>
      </c>
      <c r="D8241" t="s">
        <v>23500</v>
      </c>
      <c r="E8241" t="s">
        <v>30717</v>
      </c>
    </row>
    <row r="8242" spans="1:5">
      <c r="A8242" t="s">
        <v>6</v>
      </c>
      <c r="B8242" t="s">
        <v>8247</v>
      </c>
      <c r="C8242">
        <f>HYPERLINK("C:\Users\franc\OneDrive\Documentos\MALENTIN KARIME\CESION\RESPALDO LUIS DIAZ\VARIOS 2008\MODELO Dación en Pago.doc", "Abrir Documento")</f>
        <v>0</v>
      </c>
      <c r="D8242" t="s">
        <v>23500</v>
      </c>
      <c r="E8242" t="s">
        <v>30718</v>
      </c>
    </row>
    <row r="8243" spans="1:5">
      <c r="A8243" t="s">
        <v>6</v>
      </c>
      <c r="B8243" t="s">
        <v>8248</v>
      </c>
      <c r="C8243">
        <f>HYPERLINK("C:\Users\franc\OneDrive\Documentos\MALENTIN KARIME\CESION\RESPALDO LUIS DIAZ\VARIOS 2008\Modelo Certif. Residencia con t..doc", "Abrir Documento")</f>
        <v>0</v>
      </c>
      <c r="D8243" t="s">
        <v>23500</v>
      </c>
      <c r="E8243" t="s">
        <v>30719</v>
      </c>
    </row>
    <row r="8244" spans="1:5">
      <c r="A8244" t="s">
        <v>6</v>
      </c>
      <c r="B8244" t="s">
        <v>8249</v>
      </c>
      <c r="C8244">
        <f>HYPERLINK("C:\Users\franc\OneDrive\Documentos\MALENTIN KARIME\CESION\RESPALDO LUIS DIAZ\VARIOS 2008\MODELO CARTA RENUNCIA.doc", "Abrir Documento")</f>
        <v>0</v>
      </c>
      <c r="D8244" t="s">
        <v>23500</v>
      </c>
      <c r="E8244" t="s">
        <v>30720</v>
      </c>
    </row>
    <row r="8245" spans="1:5">
      <c r="A8245" t="s">
        <v>6</v>
      </c>
      <c r="B8245" t="s">
        <v>8250</v>
      </c>
      <c r="C8245">
        <f>HYPERLINK("C:\Users\franc\OneDrive\Documentos\MALENTIN KARIME\CESION\RESPALDO LUIS DIAZ\VARIOS 2008\MODELO 2 Rec.Deuda.doc", "Abrir Documento")</f>
        <v>0</v>
      </c>
      <c r="D8245" t="s">
        <v>23500</v>
      </c>
      <c r="E8245" t="s">
        <v>30721</v>
      </c>
    </row>
    <row r="8246" spans="1:5">
      <c r="A8246" t="s">
        <v>6</v>
      </c>
      <c r="B8246" t="s">
        <v>8251</v>
      </c>
      <c r="C8246">
        <f>HYPERLINK("C:\Users\franc\OneDrive\Documentos\MALENTIN KARIME\CESION\RESPALDO LUIS DIAZ\VARIOS 2008\MODELO   FORMULARIO  24.doc", "Abrir Documento")</f>
        <v>0</v>
      </c>
      <c r="D8246" t="s">
        <v>23500</v>
      </c>
      <c r="E8246" t="s">
        <v>30722</v>
      </c>
    </row>
    <row r="8247" spans="1:5">
      <c r="A8247" t="s">
        <v>6</v>
      </c>
      <c r="B8247" t="s">
        <v>8252</v>
      </c>
      <c r="C8247">
        <f>HYPERLINK("C:\Users\franc\OneDrive\Documentos\MALENTIN KARIME\CESION\RESPALDO LUIS DIAZ\VARIOS 2008\MINUTA2.CBR.doc", "Abrir Documento")</f>
        <v>0</v>
      </c>
      <c r="D8247" t="s">
        <v>23500</v>
      </c>
      <c r="E8247" t="s">
        <v>30723</v>
      </c>
    </row>
    <row r="8248" spans="1:5">
      <c r="A8248" t="s">
        <v>6</v>
      </c>
      <c r="B8248" t="s">
        <v>8253</v>
      </c>
      <c r="C8248">
        <f>HYPERLINK("C:\Users\franc\OneDrive\Documentos\MALENTIN KARIME\CESION\RESPALDO LUIS DIAZ\VARIOS 2008\MINUTA.CBR.doc", "Abrir Documento")</f>
        <v>0</v>
      </c>
      <c r="D8248" t="s">
        <v>23500</v>
      </c>
      <c r="E8248" t="s">
        <v>30724</v>
      </c>
    </row>
    <row r="8249" spans="1:5">
      <c r="A8249" t="s">
        <v>6</v>
      </c>
      <c r="B8249" t="s">
        <v>8254</v>
      </c>
      <c r="C8249">
        <f>HYPERLINK("C:\Users\franc\OneDrive\Documentos\MALENTIN KARIME\CESION\RESPALDO LUIS DIAZ\VARIOS 2008\MINUTA RECTIFICATORIA DESLINDES.doc", "Abrir Documento")</f>
        <v>0</v>
      </c>
      <c r="D8249" t="s">
        <v>23500</v>
      </c>
      <c r="E8249" t="s">
        <v>30725</v>
      </c>
    </row>
    <row r="8250" spans="1:5">
      <c r="A8250" t="s">
        <v>6</v>
      </c>
      <c r="B8250" t="s">
        <v>8255</v>
      </c>
      <c r="C8250">
        <f>HYPERLINK("C:\Users\franc\OneDrive\Documentos\MALENTIN KARIME\CESION\RESPALDO LUIS DIAZ\VARIOS 2008\MINUTA PLANO C.B.R..doc", "Abrir Documento")</f>
        <v>0</v>
      </c>
      <c r="D8250" t="s">
        <v>23500</v>
      </c>
      <c r="E8250" t="s">
        <v>30726</v>
      </c>
    </row>
    <row r="8251" spans="1:5">
      <c r="A8251" t="s">
        <v>6</v>
      </c>
      <c r="B8251" t="s">
        <v>8256</v>
      </c>
      <c r="C8251">
        <f>HYPERLINK("C:\Users\franc\OneDrive\Documentos\MALENTIN KARIME\CESION\RESPALDO LUIS DIAZ\VARIOS 2008\MINUTA C.B.R. Rectif. Nombre.doc", "Abrir Documento")</f>
        <v>0</v>
      </c>
      <c r="D8251" t="s">
        <v>23500</v>
      </c>
      <c r="E8251" t="s">
        <v>30727</v>
      </c>
    </row>
    <row r="8252" spans="1:5">
      <c r="A8252" t="s">
        <v>6</v>
      </c>
      <c r="B8252" t="s">
        <v>8257</v>
      </c>
      <c r="C8252">
        <f>HYPERLINK("C:\Users\franc\OneDrive\Documentos\MALENTIN KARIME\CESION\RESPALDO LUIS DIAZ\VARIOS 2008\MINUTA 3. CBR sanear aguas.doc", "Abrir Documento")</f>
        <v>0</v>
      </c>
      <c r="D8252" t="s">
        <v>23500</v>
      </c>
      <c r="E8252" t="s">
        <v>30728</v>
      </c>
    </row>
    <row r="8253" spans="1:5">
      <c r="A8253" t="s">
        <v>6</v>
      </c>
      <c r="B8253" t="s">
        <v>8258</v>
      </c>
      <c r="C8253">
        <f>HYPERLINK("C:\Users\franc\OneDrive\Documentos\MALENTIN KARIME\CESION\RESPALDO LUIS DIAZ\VARIOS 2008\MIGUEL TOLEDO N. Ampl. Inv..doc", "Abrir Documento")</f>
        <v>0</v>
      </c>
      <c r="D8253" t="s">
        <v>23500</v>
      </c>
      <c r="E8253" t="s">
        <v>30729</v>
      </c>
    </row>
    <row r="8254" spans="1:5">
      <c r="A8254" t="s">
        <v>6</v>
      </c>
      <c r="B8254" t="s">
        <v>8259</v>
      </c>
      <c r="C8254">
        <f>HYPERLINK("C:\Users\franc\OneDrive\Documentos\MALENTIN KARIME\CESION\RESPALDO LUIS DIAZ\VARIOS 2008\MIGUEL TAPIA a HERNAN TELLO Autoriz. Transitar.doc", "Abrir Documento")</f>
        <v>0</v>
      </c>
      <c r="D8254" t="s">
        <v>23500</v>
      </c>
      <c r="E8254" t="s">
        <v>30730</v>
      </c>
    </row>
    <row r="8255" spans="1:5">
      <c r="A8255" t="s">
        <v>6</v>
      </c>
      <c r="B8255" t="s">
        <v>8260</v>
      </c>
      <c r="C8255">
        <f>HYPERLINK("C:\Users\franc\OneDrive\Documentos\MALENTIN KARIME\CESION\RESPALDO LUIS DIAZ\VARIOS 2008\MIGUEL OSSANDON R. Repudio.doc", "Abrir Documento")</f>
        <v>0</v>
      </c>
      <c r="D8255" t="s">
        <v>23500</v>
      </c>
      <c r="E8255" t="s">
        <v>30731</v>
      </c>
    </row>
    <row r="8256" spans="1:5">
      <c r="A8256" t="s">
        <v>6</v>
      </c>
      <c r="B8256" t="s">
        <v>8261</v>
      </c>
      <c r="C8256">
        <f>HYPERLINK("C:\Users\franc\OneDrive\Documentos\MALENTIN KARIME\CESION\RESPALDO LUIS DIAZ\VARIOS 2008\MIGUEL MATURANA Patria Potestad.doc", "Abrir Documento")</f>
        <v>0</v>
      </c>
      <c r="D8256" t="s">
        <v>23500</v>
      </c>
      <c r="E8256" t="s">
        <v>30732</v>
      </c>
    </row>
    <row r="8257" spans="1:5">
      <c r="A8257" t="s">
        <v>6</v>
      </c>
      <c r="B8257" t="s">
        <v>8262</v>
      </c>
      <c r="C8257">
        <f>HYPERLINK("C:\Users\franc\OneDrive\Documentos\MALENTIN KARIME\CESION\RESPALDO LUIS DIAZ\VARIOS 2008\MIGUEL MARTINEZ A. Refinanc. PET.doc", "Abrir Documento")</f>
        <v>0</v>
      </c>
      <c r="D8257" t="s">
        <v>23500</v>
      </c>
      <c r="E8257" t="s">
        <v>30733</v>
      </c>
    </row>
    <row r="8258" spans="1:5">
      <c r="A8258" t="s">
        <v>6</v>
      </c>
      <c r="B8258" t="s">
        <v>8263</v>
      </c>
      <c r="C8258">
        <f>HYPERLINK("C:\Users\franc\OneDrive\Documentos\MALENTIN KARIME\CESION\RESPALDO LUIS DIAZ\VARIOS 2008\MIGUEL GONZALEZ R. Sep. Bienes y Renuncia G..doc", "Abrir Documento")</f>
        <v>0</v>
      </c>
      <c r="D8258" t="s">
        <v>23500</v>
      </c>
      <c r="E8258" t="s">
        <v>30734</v>
      </c>
    </row>
    <row r="8259" spans="1:5">
      <c r="A8259" t="s">
        <v>6</v>
      </c>
      <c r="B8259" t="s">
        <v>8264</v>
      </c>
      <c r="C8259">
        <f>HYPERLINK("C:\Users\franc\OneDrive\Documentos\MALENTIN KARIME\CESION\RESPALDO LUIS DIAZ\VARIOS 2008\MIGUEL COLLIPAL Instrucc..doc", "Abrir Documento")</f>
        <v>0</v>
      </c>
      <c r="D8259" t="s">
        <v>23500</v>
      </c>
      <c r="E8259" t="s">
        <v>30735</v>
      </c>
    </row>
    <row r="8260" spans="1:5">
      <c r="A8260" t="s">
        <v>6</v>
      </c>
      <c r="B8260" t="s">
        <v>8265</v>
      </c>
      <c r="C8260">
        <f>HYPERLINK("C:\Users\franc\OneDrive\Documentos\MALENTIN KARIME\CESION\RESPALDO LUIS DIAZ\VARIOS 2008\MIGUEL CARVAJAL Prot.Serviu.Alz.doc", "Abrir Documento")</f>
        <v>0</v>
      </c>
      <c r="D8260" t="s">
        <v>23500</v>
      </c>
      <c r="E8260" t="s">
        <v>30736</v>
      </c>
    </row>
    <row r="8261" spans="1:5">
      <c r="A8261" t="s">
        <v>6</v>
      </c>
      <c r="B8261" t="s">
        <v>8266</v>
      </c>
      <c r="C8261">
        <f>HYPERLINK("C:\Users\franc\OneDrive\Documentos\MALENTIN KARIME\CESION\RESPALDO LUIS DIAZ\VARIOS 2008\MIGUEL AGUIRRE GUZMAN Transacc..doc", "Abrir Documento")</f>
        <v>0</v>
      </c>
      <c r="D8261" t="s">
        <v>23500</v>
      </c>
      <c r="E8261" t="s">
        <v>30737</v>
      </c>
    </row>
    <row r="8262" spans="1:5">
      <c r="A8262" t="s">
        <v>6</v>
      </c>
      <c r="B8262" t="s">
        <v>8267</v>
      </c>
      <c r="C8262">
        <f>HYPERLINK("C:\Users\franc\OneDrive\Documentos\MALENTIN KARIME\CESION\RESPALDO LUIS DIAZ\VARIOS 2008\MELIDA LEYTON P. Transac. Alim. Menores.doc", "Abrir Documento")</f>
        <v>0</v>
      </c>
      <c r="D8262" t="s">
        <v>23500</v>
      </c>
      <c r="E8262" t="s">
        <v>30738</v>
      </c>
    </row>
    <row r="8263" spans="1:5">
      <c r="A8263" t="s">
        <v>6</v>
      </c>
      <c r="B8263" t="s">
        <v>8268</v>
      </c>
      <c r="C8263">
        <f>HYPERLINK("C:\Users\franc\OneDrive\Documentos\MALENTIN KARIME\CESION\RESPALDO LUIS DIAZ\VARIOS 2008\MAXIMO ARRIAGADA a COPEVAL Prenda.doc", "Abrir Documento")</f>
        <v>0</v>
      </c>
      <c r="D8263" t="s">
        <v>23500</v>
      </c>
      <c r="E8263" t="s">
        <v>30739</v>
      </c>
    </row>
    <row r="8264" spans="1:5">
      <c r="A8264" t="s">
        <v>6</v>
      </c>
      <c r="B8264" t="s">
        <v>8269</v>
      </c>
      <c r="C8264">
        <f>HYPERLINK("C:\Users\franc\OneDrive\Documentos\MALENTIN KARIME\CESION\RESPALDO LUIS DIAZ\VARIOS 2008\MAXIMO ARRIAGADA a COPEVAL Extracto.doc", "Abrir Documento")</f>
        <v>0</v>
      </c>
      <c r="D8264" t="s">
        <v>23500</v>
      </c>
      <c r="E8264" t="s">
        <v>30740</v>
      </c>
    </row>
    <row r="8265" spans="1:5">
      <c r="A8265" t="s">
        <v>6</v>
      </c>
      <c r="B8265" t="s">
        <v>8270</v>
      </c>
      <c r="C8265">
        <f>HYPERLINK("C:\Users\franc\OneDrive\Documentos\MALENTIN KARIME\CESION\RESPALDO LUIS DIAZ\VARIOS 2008\MAURICIO GALLEGUILLOS Rec.Deuda.doc", "Abrir Documento")</f>
        <v>0</v>
      </c>
      <c r="D8265" t="s">
        <v>23500</v>
      </c>
      <c r="E8265" t="s">
        <v>30741</v>
      </c>
    </row>
    <row r="8266" spans="1:5">
      <c r="A8266" t="s">
        <v>6</v>
      </c>
      <c r="B8266" t="s">
        <v>8271</v>
      </c>
      <c r="C8266">
        <f>HYPERLINK("C:\Users\franc\OneDrive\Documentos\MALENTIN KARIME\CESION\RESPALDO LUIS DIAZ\VARIOS 2008\MAURICIO GALLEGUILLOS II Rec.Deuda.doc", "Abrir Documento")</f>
        <v>0</v>
      </c>
      <c r="D8266" t="s">
        <v>23500</v>
      </c>
      <c r="E8266" t="s">
        <v>30742</v>
      </c>
    </row>
    <row r="8267" spans="1:5">
      <c r="A8267" t="s">
        <v>6</v>
      </c>
      <c r="B8267" t="s">
        <v>8272</v>
      </c>
      <c r="C8267">
        <f>HYPERLINK("C:\Users\franc\OneDrive\Documentos\MALENTIN KARIME\CESION\RESPALDO LUIS DIAZ\VARIOS 2008\MARY CASTILLO P. Inv. Solemne.doc", "Abrir Documento")</f>
        <v>0</v>
      </c>
      <c r="D8267" t="s">
        <v>23500</v>
      </c>
      <c r="E8267" t="s">
        <v>30743</v>
      </c>
    </row>
    <row r="8268" spans="1:5">
      <c r="A8268" t="s">
        <v>6</v>
      </c>
      <c r="B8268" t="s">
        <v>8273</v>
      </c>
      <c r="C8268">
        <f>HYPERLINK("C:\Users\franc\OneDrive\Documentos\MALENTIN KARIME\CESION\RESPALDO LUIS DIAZ\VARIOS 2008\MARTA GALLARDO V. Prot. Alz. Serviu.doc", "Abrir Documento")</f>
        <v>0</v>
      </c>
      <c r="D8268" t="s">
        <v>23500</v>
      </c>
      <c r="E8268" t="s">
        <v>30744</v>
      </c>
    </row>
    <row r="8269" spans="1:5">
      <c r="A8269" t="s">
        <v>6</v>
      </c>
      <c r="B8269" t="s">
        <v>8274</v>
      </c>
      <c r="C8269">
        <f>HYPERLINK("C:\Users\franc\OneDrive\Documentos\MALENTIN KARIME\CESION\RESPALDO LUIS DIAZ\VARIOS 2008\MARISOL HURTADO Solicitar Facturas.doc", "Abrir Documento")</f>
        <v>0</v>
      </c>
      <c r="D8269" t="s">
        <v>23500</v>
      </c>
      <c r="E8269" t="s">
        <v>30745</v>
      </c>
    </row>
    <row r="8270" spans="1:5">
      <c r="A8270" t="s">
        <v>6</v>
      </c>
      <c r="B8270" t="s">
        <v>8275</v>
      </c>
      <c r="C8270">
        <f>HYPERLINK("C:\Users\franc\OneDrive\Documentos\MALENTIN KARIME\CESION\RESPALDO LUIS DIAZ\VARIOS 2008\MARISOL HURTADO M. Poder SII.doc", "Abrir Documento")</f>
        <v>0</v>
      </c>
      <c r="D8270" t="s">
        <v>23500</v>
      </c>
      <c r="E8270" t="s">
        <v>30746</v>
      </c>
    </row>
    <row r="8271" spans="1:5">
      <c r="A8271" t="s">
        <v>6</v>
      </c>
      <c r="B8271" t="s">
        <v>8276</v>
      </c>
      <c r="C8271">
        <f>HYPERLINK("C:\Users\franc\OneDrive\Documentos\MALENTIN KARIME\CESION\RESPALDO LUIS DIAZ\VARIOS 2008\MARISOL HURTADO M. Dcl. Jurada.doc", "Abrir Documento")</f>
        <v>0</v>
      </c>
      <c r="D8271" t="s">
        <v>23500</v>
      </c>
      <c r="E8271" t="s">
        <v>30747</v>
      </c>
    </row>
    <row r="8272" spans="1:5">
      <c r="A8272" t="s">
        <v>6</v>
      </c>
      <c r="B8272" t="s">
        <v>8277</v>
      </c>
      <c r="C8272">
        <f>HYPERLINK("C:\Users\franc\OneDrive\Documentos\MALENTIN KARIME\CESION\RESPALDO LUIS DIAZ\VARIOS 2008\MARISOL HURTADO Com. Jimenez y Tapia.doc", "Abrir Documento")</f>
        <v>0</v>
      </c>
      <c r="D8272" t="s">
        <v>23500</v>
      </c>
      <c r="E8272" t="s">
        <v>30748</v>
      </c>
    </row>
    <row r="8273" spans="1:5">
      <c r="A8273" t="s">
        <v>6</v>
      </c>
      <c r="B8273" t="s">
        <v>8278</v>
      </c>
      <c r="C8273">
        <f>HYPERLINK("C:\Users\franc\OneDrive\Documentos\MALENTIN KARIME\CESION\RESPALDO LUIS DIAZ\VARIOS 2008\MARISOL HURTADO Certificado.doc", "Abrir Documento")</f>
        <v>0</v>
      </c>
      <c r="D8273" t="s">
        <v>23500</v>
      </c>
      <c r="E8273" t="s">
        <v>30749</v>
      </c>
    </row>
    <row r="8274" spans="1:5">
      <c r="A8274" t="s">
        <v>6</v>
      </c>
      <c r="B8274" t="s">
        <v>8279</v>
      </c>
      <c r="C8274">
        <f>HYPERLINK("C:\Users\franc\OneDrive\Documentos\MALENTIN KARIME\CESION\RESPALDO LUIS DIAZ\VARIOS 2008\MARINA AGUIRRE A. Sep. Bienes y Renuncia.doc", "Abrir Documento")</f>
        <v>0</v>
      </c>
      <c r="D8274" t="s">
        <v>23500</v>
      </c>
      <c r="E8274" t="s">
        <v>30750</v>
      </c>
    </row>
    <row r="8275" spans="1:5">
      <c r="A8275" t="s">
        <v>6</v>
      </c>
      <c r="B8275" t="s">
        <v>8280</v>
      </c>
      <c r="C8275">
        <f>HYPERLINK("C:\Users\franc\OneDrive\Documentos\MALENTIN KARIME\CESION\RESPALDO LUIS DIAZ\VARIOS 2008\MARIA VIDELA a JORGE LARRONDO Cv..doc", "Abrir Documento")</f>
        <v>0</v>
      </c>
      <c r="D8275" t="s">
        <v>23500</v>
      </c>
      <c r="E8275" t="s">
        <v>30751</v>
      </c>
    </row>
    <row r="8276" spans="1:5">
      <c r="A8276" t="s">
        <v>6</v>
      </c>
      <c r="B8276" t="s">
        <v>8281</v>
      </c>
      <c r="C8276">
        <f>HYPERLINK("C:\Users\franc\OneDrive\Documentos\MALENTIN KARIME\CESION\RESPALDO LUIS DIAZ\VARIOS 2008\MARIA VIDELA a JORGE LARRONDO Canc.Saldo Precio.doc", "Abrir Documento")</f>
        <v>0</v>
      </c>
      <c r="D8276" t="s">
        <v>23500</v>
      </c>
      <c r="E8276" t="s">
        <v>30752</v>
      </c>
    </row>
    <row r="8277" spans="1:5">
      <c r="A8277" t="s">
        <v>6</v>
      </c>
      <c r="B8277" t="s">
        <v>8282</v>
      </c>
      <c r="C8277">
        <f>HYPERLINK("C:\Users\franc\OneDrive\Documentos\MALENTIN KARIME\CESION\RESPALDO LUIS DIAZ\VARIOS 2008\MARIA TAPIA TAPIA. Refinanc. PET.doc", "Abrir Documento")</f>
        <v>0</v>
      </c>
      <c r="D8277" t="s">
        <v>23500</v>
      </c>
      <c r="E8277" t="s">
        <v>30753</v>
      </c>
    </row>
    <row r="8278" spans="1:5">
      <c r="A8278" t="s">
        <v>6</v>
      </c>
      <c r="B8278" t="s">
        <v>8283</v>
      </c>
      <c r="C8278">
        <f>HYPERLINK("C:\Users\franc\OneDrive\Documentos\MALENTIN KARIME\CESION\RESPALDO LUIS DIAZ\VARIOS 2008\MARIA PEREZ GUERRA. Refinanc. PET.doc", "Abrir Documento")</f>
        <v>0</v>
      </c>
      <c r="D8278" t="s">
        <v>23500</v>
      </c>
      <c r="E8278" t="s">
        <v>30754</v>
      </c>
    </row>
    <row r="8279" spans="1:5">
      <c r="A8279" t="s">
        <v>6</v>
      </c>
      <c r="B8279" t="s">
        <v>8284</v>
      </c>
      <c r="C8279">
        <f>HYPERLINK("C:\Users\franc\OneDrive\Documentos\MALENTIN KARIME\CESION\RESPALDO LUIS DIAZ\VARIOS 2008\MARIA OJEDA LOPEZ Contrato Hon..doc", "Abrir Documento")</f>
        <v>0</v>
      </c>
      <c r="D8279" t="s">
        <v>23500</v>
      </c>
      <c r="E8279" t="s">
        <v>30755</v>
      </c>
    </row>
    <row r="8280" spans="1:5">
      <c r="A8280" t="s">
        <v>6</v>
      </c>
      <c r="B8280" t="s">
        <v>8285</v>
      </c>
      <c r="C8280">
        <f>HYPERLINK("C:\Users\franc\OneDrive\Documentos\MALENTIN KARIME\CESION\RESPALDO LUIS DIAZ\VARIOS 2008\MARIA MORALES A. Renunc. Usufructo.doc", "Abrir Documento")</f>
        <v>0</v>
      </c>
      <c r="D8280" t="s">
        <v>23500</v>
      </c>
      <c r="E8280" t="s">
        <v>30756</v>
      </c>
    </row>
    <row r="8281" spans="1:5">
      <c r="A8281" t="s">
        <v>6</v>
      </c>
      <c r="B8281" t="s">
        <v>8286</v>
      </c>
      <c r="C8281">
        <f>HYPERLINK("C:\Users\franc\OneDrive\Documentos\MALENTIN KARIME\CESION\RESPALDO LUIS DIAZ\VARIOS 2008\MARIA MOLINA VARAS Inv. Simple.doc", "Abrir Documento")</f>
        <v>0</v>
      </c>
      <c r="D8281" t="s">
        <v>23500</v>
      </c>
      <c r="E8281" t="s">
        <v>30757</v>
      </c>
    </row>
    <row r="8282" spans="1:5">
      <c r="A8282" t="s">
        <v>6</v>
      </c>
      <c r="B8282" t="s">
        <v>8287</v>
      </c>
      <c r="C8282">
        <f>HYPERLINK("C:\Users\franc\OneDrive\Documentos\MALENTIN KARIME\CESION\RESPALDO LUIS DIAZ\VARIOS 2008\MARIA MANCILLA E.I.R.L. Dac. Pago.doc", "Abrir Documento")</f>
        <v>0</v>
      </c>
      <c r="D8282" t="s">
        <v>23500</v>
      </c>
      <c r="E8282" t="s">
        <v>30758</v>
      </c>
    </row>
    <row r="8283" spans="1:5">
      <c r="A8283" t="s">
        <v>6</v>
      </c>
      <c r="B8283" t="s">
        <v>8288</v>
      </c>
      <c r="C8283">
        <f>HYPERLINK("C:\Users\franc\OneDrive\Documentos\MALENTIN KARIME\CESION\RESPALDO LUIS DIAZ\VARIOS 2008\MARIA EGAÑA M. Refinanc. PET.doc", "Abrir Documento")</f>
        <v>0</v>
      </c>
      <c r="D8283" t="s">
        <v>23500</v>
      </c>
      <c r="E8283" t="s">
        <v>30759</v>
      </c>
    </row>
    <row r="8284" spans="1:5">
      <c r="A8284" t="s">
        <v>6</v>
      </c>
      <c r="B8284" t="s">
        <v>8289</v>
      </c>
      <c r="C8284">
        <f>HYPERLINK("C:\Users\franc\OneDrive\Documentos\MALENTIN KARIME\CESION\RESPALDO LUIS DIAZ\VARIOS 2008\MARIA CERDA RIVERA Renunc. Usufructo.doc", "Abrir Documento")</f>
        <v>0</v>
      </c>
      <c r="D8284" t="s">
        <v>23500</v>
      </c>
      <c r="E8284" t="s">
        <v>30760</v>
      </c>
    </row>
    <row r="8285" spans="1:5">
      <c r="A8285" t="s">
        <v>6</v>
      </c>
      <c r="B8285" t="s">
        <v>8290</v>
      </c>
      <c r="C8285">
        <f>HYPERLINK("C:\Users\franc\OneDrive\Documentos\MALENTIN KARIME\CESION\RESPALDO LUIS DIAZ\VARIOS 2008\MARIA ALVAREZ J. Repudia Herencia.doc", "Abrir Documento")</f>
        <v>0</v>
      </c>
      <c r="D8285" t="s">
        <v>23500</v>
      </c>
      <c r="E8285" t="s">
        <v>30761</v>
      </c>
    </row>
    <row r="8286" spans="1:5">
      <c r="A8286" t="s">
        <v>6</v>
      </c>
      <c r="B8286" t="s">
        <v>8291</v>
      </c>
      <c r="C8286">
        <f>HYPERLINK("C:\Users\franc\OneDrive\Documentos\MALENTIN KARIME\CESION\RESPALDO LUIS DIAZ\VARIOS 2008\MARIA A. MARIN FERNANDEZ.doc", "Abrir Documento")</f>
        <v>0</v>
      </c>
      <c r="D8286" t="s">
        <v>23500</v>
      </c>
      <c r="E8286" t="s">
        <v>30762</v>
      </c>
    </row>
    <row r="8287" spans="1:5">
      <c r="A8287" t="s">
        <v>6</v>
      </c>
      <c r="B8287" t="s">
        <v>8292</v>
      </c>
      <c r="C8287">
        <f>HYPERLINK("C:\Users\franc\OneDrive\Documentos\MALENTIN KARIME\CESION\RESPALDO LUIS DIAZ\VARIOS 2008\MARGARITA DIAZ FARIAS Prot. Comodato.doc", "Abrir Documento")</f>
        <v>0</v>
      </c>
      <c r="D8287" t="s">
        <v>23500</v>
      </c>
      <c r="E8287" t="s">
        <v>30763</v>
      </c>
    </row>
    <row r="8288" spans="1:5">
      <c r="A8288" t="s">
        <v>6</v>
      </c>
      <c r="B8288" t="s">
        <v>8293</v>
      </c>
      <c r="C8288">
        <f>HYPERLINK("C:\Users\franc\OneDrive\Documentos\MALENTIN KARIME\CESION\RESPALDO LUIS DIAZ\VARIOS 2008\MARCELO BUSTOS V. Dcl. de Intereses.doc", "Abrir Documento")</f>
        <v>0</v>
      </c>
      <c r="D8288" t="s">
        <v>23500</v>
      </c>
      <c r="E8288" t="s">
        <v>30764</v>
      </c>
    </row>
    <row r="8289" spans="1:5">
      <c r="A8289" t="s">
        <v>6</v>
      </c>
      <c r="B8289" t="s">
        <v>8294</v>
      </c>
      <c r="C8289">
        <f>HYPERLINK("C:\Users\franc\OneDrive\Documentos\MALENTIN KARIME\CESION\RESPALDO LUIS DIAZ\VARIOS 2008\MARCELO ALCAYAGA G. a V. MONROY Poder SII.doc", "Abrir Documento")</f>
        <v>0</v>
      </c>
      <c r="D8289" t="s">
        <v>23500</v>
      </c>
      <c r="E8289" t="s">
        <v>30765</v>
      </c>
    </row>
    <row r="8290" spans="1:5">
      <c r="A8290" t="s">
        <v>6</v>
      </c>
      <c r="B8290" t="s">
        <v>8295</v>
      </c>
      <c r="C8290">
        <f>HYPERLINK("C:\Users\franc\OneDrive\Documentos\MALENTIN KARIME\CESION\RESPALDO LUIS DIAZ\VARIOS 2008\MARCELA TAIBA ARAYA Carta Poder.doc", "Abrir Documento")</f>
        <v>0</v>
      </c>
      <c r="D8290" t="s">
        <v>23500</v>
      </c>
      <c r="E8290" t="s">
        <v>30766</v>
      </c>
    </row>
    <row r="8291" spans="1:5">
      <c r="A8291" t="s">
        <v>6</v>
      </c>
      <c r="B8291" t="s">
        <v>8296</v>
      </c>
      <c r="C8291">
        <f>HYPERLINK("C:\Users\franc\OneDrive\Documentos\MALENTIN KARIME\CESION\RESPALDO LUIS DIAZ\VARIOS 2008\MARCELA CAMPOSANO a A. PINCHEIRA Acc. en S.A..doc", "Abrir Documento")</f>
        <v>0</v>
      </c>
      <c r="D8291" t="s">
        <v>23500</v>
      </c>
      <c r="E8291" t="s">
        <v>30767</v>
      </c>
    </row>
    <row r="8292" spans="1:5">
      <c r="A8292" t="s">
        <v>6</v>
      </c>
      <c r="B8292" t="s">
        <v>8297</v>
      </c>
      <c r="C8292">
        <f>HYPERLINK("C:\Users\franc\OneDrive\Documentos\MALENTIN KARIME\CESION\RESPALDO LUIS DIAZ\VARIOS 2008\MANUEL CORTES B. Cv. de Acciones.doc", "Abrir Documento")</f>
        <v>0</v>
      </c>
      <c r="D8292" t="s">
        <v>23500</v>
      </c>
      <c r="E8292" t="s">
        <v>30768</v>
      </c>
    </row>
    <row r="8293" spans="1:5">
      <c r="A8293" t="s">
        <v>6</v>
      </c>
      <c r="B8293" t="s">
        <v>8298</v>
      </c>
      <c r="C8293">
        <f>HYPERLINK("C:\Users\franc\OneDrive\Documentos\MALENTIN KARIME\CESION\RESPALDO LUIS DIAZ\VARIOS 2008\MANUEL CONTADOR Prot. Certificados Residencia.doc", "Abrir Documento")</f>
        <v>0</v>
      </c>
      <c r="D8293" t="s">
        <v>23500</v>
      </c>
      <c r="E8293" t="s">
        <v>30769</v>
      </c>
    </row>
    <row r="8294" spans="1:5">
      <c r="A8294" t="s">
        <v>6</v>
      </c>
      <c r="B8294" t="s">
        <v>8299</v>
      </c>
      <c r="C8294">
        <f>HYPERLINK("C:\Users\franc\OneDrive\Documentos\MALENTIN KARIME\CESION\RESPALDO LUIS DIAZ\VARIOS 2008\MANUEL CONTADOR C. Dcl. Escr.Publ..doc", "Abrir Documento")</f>
        <v>0</v>
      </c>
      <c r="D8294" t="s">
        <v>23500</v>
      </c>
      <c r="E8294" t="s">
        <v>30770</v>
      </c>
    </row>
    <row r="8295" spans="1:5">
      <c r="A8295" t="s">
        <v>6</v>
      </c>
      <c r="B8295" t="s">
        <v>8300</v>
      </c>
      <c r="C8295">
        <f>HYPERLINK("C:\Users\franc\OneDrive\Documentos\MALENTIN KARIME\CESION\RESPALDO LUIS DIAZ\VARIOS 2008\MAKARENA ADONES a ENOC P. Acuerdo.doc", "Abrir Documento")</f>
        <v>0</v>
      </c>
      <c r="D8295" t="s">
        <v>23500</v>
      </c>
      <c r="E8295" t="s">
        <v>30771</v>
      </c>
    </row>
    <row r="8296" spans="1:5">
      <c r="A8296" t="s">
        <v>6</v>
      </c>
      <c r="B8296" t="s">
        <v>8301</v>
      </c>
      <c r="C8296">
        <f>HYPERLINK("C:\Users\franc\OneDrive\Documentos\MALENTIN KARIME\CESION\RESPALDO LUIS DIAZ\VARIOS 2008\MAITENES DE SERON.PRO.doc", "Abrir Documento")</f>
        <v>0</v>
      </c>
      <c r="D8296" t="s">
        <v>23500</v>
      </c>
      <c r="E8296" t="s">
        <v>30772</v>
      </c>
    </row>
    <row r="8297" spans="1:5">
      <c r="A8297" t="s">
        <v>6</v>
      </c>
      <c r="B8297" t="s">
        <v>8302</v>
      </c>
      <c r="C8297">
        <f>HYPERLINK("C:\Users\franc\OneDrive\Documentos\MALENTIN KARIME\CESION\RESPALDO LUIS DIAZ\VARIOS 2008\MAGISTRADO.CAR.doc", "Abrir Documento")</f>
        <v>0</v>
      </c>
      <c r="D8297" t="s">
        <v>23500</v>
      </c>
      <c r="E8297" t="s">
        <v>30773</v>
      </c>
    </row>
    <row r="8298" spans="1:5">
      <c r="A8298" t="s">
        <v>6</v>
      </c>
      <c r="B8298" t="s">
        <v>8303</v>
      </c>
      <c r="C8298">
        <f>HYPERLINK("C:\Users\franc\OneDrive\Documentos\MALENTIN KARIME\CESION\RESPALDO LUIS DIAZ\VARIOS 2008\MAGALI GOTTREUX.MUT3.doc", "Abrir Documento")</f>
        <v>0</v>
      </c>
      <c r="D8298" t="s">
        <v>23500</v>
      </c>
      <c r="E8298" t="s">
        <v>30774</v>
      </c>
    </row>
    <row r="8299" spans="1:5">
      <c r="A8299" t="s">
        <v>6</v>
      </c>
      <c r="B8299" t="s">
        <v>8304</v>
      </c>
      <c r="C8299">
        <f>HYPERLINK("C:\Users\franc\OneDrive\Documentos\MALENTIN KARIME\CESION\RESPALDO LUIS DIAZ\VARIOS 2008\MAGALI GOTTREUX.MUT2.doc", "Abrir Documento")</f>
        <v>0</v>
      </c>
      <c r="D8299" t="s">
        <v>23500</v>
      </c>
      <c r="E8299" t="s">
        <v>30775</v>
      </c>
    </row>
    <row r="8300" spans="1:5">
      <c r="A8300" t="s">
        <v>6</v>
      </c>
      <c r="B8300" t="s">
        <v>8305</v>
      </c>
      <c r="C8300">
        <f>HYPERLINK("C:\Users\franc\OneDrive\Documentos\MALENTIN KARIME\CESION\RESPALDO LUIS DIAZ\VARIOS 2008\MAGALI GOTTREUX.MUT.doc", "Abrir Documento")</f>
        <v>0</v>
      </c>
      <c r="D8300" t="s">
        <v>23500</v>
      </c>
      <c r="E8300" t="s">
        <v>30776</v>
      </c>
    </row>
    <row r="8301" spans="1:5">
      <c r="A8301" t="s">
        <v>6</v>
      </c>
      <c r="B8301" t="s">
        <v>8306</v>
      </c>
      <c r="C8301">
        <f>HYPERLINK("C:\Users\franc\OneDrive\Documentos\MALENTIN KARIME\CESION\RESPALDO LUIS DIAZ\VARIOS 2008\MADELYN ALFARO A. Repudio.doc", "Abrir Documento")</f>
        <v>0</v>
      </c>
      <c r="D8301" t="s">
        <v>23500</v>
      </c>
      <c r="E8301" t="s">
        <v>30777</v>
      </c>
    </row>
    <row r="8302" spans="1:5">
      <c r="A8302" t="s">
        <v>6</v>
      </c>
      <c r="B8302" t="s">
        <v>8307</v>
      </c>
      <c r="C8302">
        <f>HYPERLINK("C:\Users\franc\OneDrive\Documentos\MALENTIN KARIME\CESION\RESPALDO LUIS DIAZ\VARIOS 2008\LUZ ONDINA MUÑOZ Instruc..doc", "Abrir Documento")</f>
        <v>0</v>
      </c>
      <c r="D8302" t="s">
        <v>23500</v>
      </c>
      <c r="E8302" t="s">
        <v>30778</v>
      </c>
    </row>
    <row r="8303" spans="1:5">
      <c r="A8303" t="s">
        <v>6</v>
      </c>
      <c r="B8303" t="s">
        <v>8308</v>
      </c>
      <c r="C8303">
        <f>HYPERLINK("C:\Users\franc\OneDrive\Documentos\MALENTIN KARIME\CESION\RESPALDO LUIS DIAZ\VARIOS 2008\LUZ GONZALEZ Y OTRO Ampl. Inventario.doc", "Abrir Documento")</f>
        <v>0</v>
      </c>
      <c r="D8303" t="s">
        <v>23500</v>
      </c>
      <c r="E8303" t="s">
        <v>30779</v>
      </c>
    </row>
    <row r="8304" spans="1:5">
      <c r="A8304" t="s">
        <v>6</v>
      </c>
      <c r="B8304" t="s">
        <v>8309</v>
      </c>
      <c r="C8304">
        <f>HYPERLINK("C:\Users\franc\OneDrive\Documentos\MALENTIN KARIME\CESION\RESPALDO LUIS DIAZ\VARIOS 2008\LUIS NORTES PEÑALOZA Hipoteca.doc", "Abrir Documento")</f>
        <v>0</v>
      </c>
      <c r="D8304" t="s">
        <v>23500</v>
      </c>
      <c r="E8304" t="s">
        <v>30780</v>
      </c>
    </row>
    <row r="8305" spans="1:5">
      <c r="A8305" t="s">
        <v>6</v>
      </c>
      <c r="B8305" t="s">
        <v>8310</v>
      </c>
      <c r="C8305">
        <f>HYPERLINK("C:\Users\franc\OneDrive\Documentos\MALENTIN KARIME\CESION\RESPALDO LUIS DIAZ\VARIOS 2008\LUIS DIAZ.DCL.doc", "Abrir Documento")</f>
        <v>0</v>
      </c>
      <c r="D8305" t="s">
        <v>23500</v>
      </c>
      <c r="E8305" t="s">
        <v>30781</v>
      </c>
    </row>
    <row r="8306" spans="1:5">
      <c r="A8306" t="s">
        <v>6</v>
      </c>
      <c r="B8306" t="s">
        <v>8311</v>
      </c>
      <c r="C8306">
        <f>HYPERLINK("C:\Users\franc\OneDrive\Documentos\MALENTIN KARIME\CESION\RESPALDO LUIS DIAZ\VARIOS 2008\LUIS DIAZ.AUT.doc", "Abrir Documento")</f>
        <v>0</v>
      </c>
      <c r="D8306" t="s">
        <v>23500</v>
      </c>
      <c r="E8306" t="s">
        <v>30782</v>
      </c>
    </row>
    <row r="8307" spans="1:5">
      <c r="A8307" t="s">
        <v>6</v>
      </c>
      <c r="B8307" t="s">
        <v>8312</v>
      </c>
      <c r="C8307">
        <f>HYPERLINK("C:\Users\franc\OneDrive\Documentos\MALENTIN KARIME\CESION\RESPALDO LUIS DIAZ\VARIOS 2008\LUIS DIAZ Carta Poder.doc", "Abrir Documento")</f>
        <v>0</v>
      </c>
      <c r="D8307" t="s">
        <v>23500</v>
      </c>
      <c r="E8307" t="s">
        <v>30783</v>
      </c>
    </row>
    <row r="8308" spans="1:5">
      <c r="A8308" t="s">
        <v>6</v>
      </c>
      <c r="B8308" t="s">
        <v>8313</v>
      </c>
      <c r="C8308">
        <f>HYPERLINK("C:\Users\franc\OneDrive\Documentos\MALENTIN KARIME\CESION\RESPALDO LUIS DIAZ\VARIOS 2008\LUIS DIAZ Carta Poder a Contador.doc", "Abrir Documento")</f>
        <v>0</v>
      </c>
      <c r="D8308" t="s">
        <v>23500</v>
      </c>
      <c r="E8308" t="s">
        <v>30784</v>
      </c>
    </row>
    <row r="8309" spans="1:5">
      <c r="A8309" t="s">
        <v>6</v>
      </c>
      <c r="B8309" t="s">
        <v>8314</v>
      </c>
      <c r="C8309">
        <f>HYPERLINK("C:\Users\franc\OneDrive\Documentos\MALENTIN KARIME\CESION\RESPALDO LUIS DIAZ\VARIOS 2008\LUIS DIAZ A. Prot. Alz. Serviu.doc", "Abrir Documento")</f>
        <v>0</v>
      </c>
      <c r="D8309" t="s">
        <v>23500</v>
      </c>
      <c r="E8309" t="s">
        <v>30785</v>
      </c>
    </row>
    <row r="8310" spans="1:5">
      <c r="A8310" t="s">
        <v>6</v>
      </c>
      <c r="B8310" t="s">
        <v>8315</v>
      </c>
      <c r="C8310">
        <f>HYPERLINK("C:\Users\franc\OneDrive\Documentos\MALENTIN KARIME\CESION\RESPALDO LUIS DIAZ\VARIOS 2008\LUIS DIAZ A. Dcl. Jurada2.doc", "Abrir Documento")</f>
        <v>0</v>
      </c>
      <c r="D8310" t="s">
        <v>23500</v>
      </c>
      <c r="E8310" t="s">
        <v>30786</v>
      </c>
    </row>
    <row r="8311" spans="1:5">
      <c r="A8311" t="s">
        <v>6</v>
      </c>
      <c r="B8311" t="s">
        <v>8316</v>
      </c>
      <c r="C8311">
        <f>HYPERLINK("C:\Users\franc\OneDrive\Documentos\MALENTIN KARIME\CESION\RESPALDO LUIS DIAZ\VARIOS 2008\LUIS DIAZ A. Dcl. Jurada.doc", "Abrir Documento")</f>
        <v>0</v>
      </c>
      <c r="D8311" t="s">
        <v>23500</v>
      </c>
      <c r="E8311" t="s">
        <v>30787</v>
      </c>
    </row>
    <row r="8312" spans="1:5">
      <c r="A8312" t="s">
        <v>6</v>
      </c>
      <c r="B8312" t="s">
        <v>8317</v>
      </c>
      <c r="C8312">
        <f>HYPERLINK("C:\Users\franc\OneDrive\Documentos\MALENTIN KARIME\CESION\RESPALDO LUIS DIAZ\VARIOS 2008\LUIS CORTES J. a S. DABED Prenda.doc", "Abrir Documento")</f>
        <v>0</v>
      </c>
      <c r="D8312" t="s">
        <v>23500</v>
      </c>
      <c r="E8312" t="s">
        <v>30788</v>
      </c>
    </row>
    <row r="8313" spans="1:5">
      <c r="A8313" t="s">
        <v>6</v>
      </c>
      <c r="B8313" t="s">
        <v>8318</v>
      </c>
      <c r="C8313">
        <f>HYPERLINK("C:\Users\franc\OneDrive\Documentos\MALENTIN KARIME\CESION\RESPALDO LUIS DIAZ\VARIOS 2008\LUIS CORTES J. a S. DABED Extracto.doc", "Abrir Documento")</f>
        <v>0</v>
      </c>
      <c r="D8313" t="s">
        <v>23500</v>
      </c>
      <c r="E8313" t="s">
        <v>30789</v>
      </c>
    </row>
    <row r="8314" spans="1:5">
      <c r="A8314" t="s">
        <v>6</v>
      </c>
      <c r="B8314" t="s">
        <v>8319</v>
      </c>
      <c r="C8314">
        <f>HYPERLINK("C:\Users\franc\OneDrive\Documentos\MALENTIN KARIME\CESION\RESPALDO LUIS DIAZ\VARIOS 2008\LUIS ASTUDILLO a J. POLANCO Honorar..doc", "Abrir Documento")</f>
        <v>0</v>
      </c>
      <c r="D8314" t="s">
        <v>23500</v>
      </c>
      <c r="E8314" t="s">
        <v>30790</v>
      </c>
    </row>
    <row r="8315" spans="1:5">
      <c r="A8315" t="s">
        <v>6</v>
      </c>
      <c r="B8315" t="s">
        <v>8320</v>
      </c>
      <c r="C8315">
        <f>HYPERLINK("C:\Users\franc\OneDrive\Documentos\MALENTIN KARIME\CESION\RESPALDO LUIS DIAZ\VARIOS 2008\LUIS ARAYA V. Ratif. cónyuge.doc", "Abrir Documento")</f>
        <v>0</v>
      </c>
      <c r="D8315" t="s">
        <v>23500</v>
      </c>
      <c r="E8315" t="s">
        <v>30791</v>
      </c>
    </row>
    <row r="8316" spans="1:5">
      <c r="A8316" t="s">
        <v>6</v>
      </c>
      <c r="B8316" t="s">
        <v>8321</v>
      </c>
      <c r="C8316">
        <f>HYPERLINK("C:\Users\franc\OneDrive\Documentos\MALENTIN KARIME\CESION\RESPALDO LUIS DIAZ\VARIOS 2008\LOMBARDO CHACANA Recibo.doc", "Abrir Documento")</f>
        <v>0</v>
      </c>
      <c r="D8316" t="s">
        <v>23500</v>
      </c>
      <c r="E8316" t="s">
        <v>30792</v>
      </c>
    </row>
    <row r="8317" spans="1:5">
      <c r="A8317" t="s">
        <v>6</v>
      </c>
      <c r="B8317" t="s">
        <v>8322</v>
      </c>
      <c r="C8317">
        <f>HYPERLINK("C:\Users\franc\OneDrive\Documentos\MALENTIN KARIME\CESION\RESPALDO LUIS DIAZ\VARIOS 2008\LETRA FORM. 24.doc", "Abrir Documento")</f>
        <v>0</v>
      </c>
      <c r="D8317" t="s">
        <v>23500</v>
      </c>
      <c r="E8317" t="s">
        <v>30793</v>
      </c>
    </row>
    <row r="8318" spans="1:5">
      <c r="A8318" t="s">
        <v>6</v>
      </c>
      <c r="B8318" t="s">
        <v>8323</v>
      </c>
      <c r="C8318">
        <f>HYPERLINK("C:\Users\franc\OneDrive\Documentos\MALENTIN KARIME\CESION\RESPALDO LUIS DIAZ\VARIOS 2008\LETRA AUTORIZ..doc", "Abrir Documento")</f>
        <v>0</v>
      </c>
      <c r="D8318" t="s">
        <v>23500</v>
      </c>
      <c r="E8318" t="s">
        <v>30794</v>
      </c>
    </row>
    <row r="8319" spans="1:5">
      <c r="A8319" t="s">
        <v>6</v>
      </c>
      <c r="B8319" t="s">
        <v>8324</v>
      </c>
      <c r="C8319">
        <f>HYPERLINK("C:\Users\franc\OneDrive\Documentos\MALENTIN KARIME\CESION\RESPALDO LUIS DIAZ\VARIOS 2008\LEONARDO ROJAS A. Desafectación.doc", "Abrir Documento")</f>
        <v>0</v>
      </c>
      <c r="D8319" t="s">
        <v>23500</v>
      </c>
      <c r="E8319" t="s">
        <v>30795</v>
      </c>
    </row>
    <row r="8320" spans="1:5">
      <c r="A8320" t="s">
        <v>6</v>
      </c>
      <c r="B8320" t="s">
        <v>8325</v>
      </c>
      <c r="C8320">
        <f>HYPERLINK("C:\Users\franc\OneDrive\Documentos\MALENTIN KARIME\CESION\RESPALDO LUIS DIAZ\VARIOS 2008\LAURA ROJAS VILLANUEVA Ren. Gananciales.doc", "Abrir Documento")</f>
        <v>0</v>
      </c>
      <c r="D8320" t="s">
        <v>23500</v>
      </c>
      <c r="E8320" t="s">
        <v>30796</v>
      </c>
    </row>
    <row r="8321" spans="1:5">
      <c r="A8321" t="s">
        <v>6</v>
      </c>
      <c r="B8321" t="s">
        <v>8326</v>
      </c>
      <c r="C8321">
        <f>HYPERLINK("C:\Users\franc\OneDrive\Documentos\MALENTIN KARIME\CESION\RESPALDO LUIS DIAZ\VARIOS 2008\LADY TORO Acuerdo Regulador.doc", "Abrir Documento")</f>
        <v>0</v>
      </c>
      <c r="D8321" t="s">
        <v>23500</v>
      </c>
      <c r="E8321" t="s">
        <v>30797</v>
      </c>
    </row>
    <row r="8322" spans="1:5">
      <c r="A8322" t="s">
        <v>6</v>
      </c>
      <c r="B8322" t="s">
        <v>8327</v>
      </c>
      <c r="C8322">
        <f>HYPERLINK("C:\Users\franc\OneDrive\Documentos\MALENTIN KARIME\CESION\RESPALDO LUIS DIAZ\VARIOS 2008\KAREN MOLINA a EDGARDO T. Transacc..doc", "Abrir Documento")</f>
        <v>0</v>
      </c>
      <c r="D8322" t="s">
        <v>23500</v>
      </c>
      <c r="E8322" t="s">
        <v>30798</v>
      </c>
    </row>
    <row r="8323" spans="1:5">
      <c r="A8323" t="s">
        <v>6</v>
      </c>
      <c r="B8323" t="s">
        <v>8328</v>
      </c>
      <c r="C8323">
        <f>HYPERLINK("C:\Users\franc\OneDrive\Documentos\MALENTIN KARIME\CESION\RESPALDO LUIS DIAZ\VARIOS 2008\KAREN GARRIDO C. Repudio.doc", "Abrir Documento")</f>
        <v>0</v>
      </c>
      <c r="D8323" t="s">
        <v>23500</v>
      </c>
      <c r="E8323" t="s">
        <v>30799</v>
      </c>
    </row>
    <row r="8324" spans="1:5">
      <c r="A8324" t="s">
        <v>6</v>
      </c>
      <c r="B8324" t="s">
        <v>8329</v>
      </c>
      <c r="C8324">
        <f>HYPERLINK("C:\Users\franc\OneDrive\Documentos\MALENTIN KARIME\CESION\RESPALDO LUIS DIAZ\VARIOS 2008\JUNTA VIGILANCIA RIO HUATULAME Transacción.doc", "Abrir Documento")</f>
        <v>0</v>
      </c>
      <c r="D8324" t="s">
        <v>23500</v>
      </c>
      <c r="E8324" t="s">
        <v>30800</v>
      </c>
    </row>
    <row r="8325" spans="1:5">
      <c r="A8325" t="s">
        <v>6</v>
      </c>
      <c r="B8325" t="s">
        <v>8330</v>
      </c>
      <c r="C8325">
        <f>HYPERLINK("C:\Users\franc\OneDrive\Documentos\MALENTIN KARIME\CESION\RESPALDO LUIS DIAZ\VARIOS 2008\JUNTA VECINOS PACIFICO.PRO.doc", "Abrir Documento")</f>
        <v>0</v>
      </c>
      <c r="D8325" t="s">
        <v>23500</v>
      </c>
      <c r="E8325" t="s">
        <v>30801</v>
      </c>
    </row>
    <row r="8326" spans="1:5">
      <c r="A8326" t="s">
        <v>6</v>
      </c>
      <c r="B8326" t="s">
        <v>8331</v>
      </c>
      <c r="C8326">
        <f>HYPERLINK("C:\Users\franc\OneDrive\Documentos\MALENTIN KARIME\CESION\RESPALDO LUIS DIAZ\VARIOS 2008\JUNTA VECINOS Nº 13 SOTAQUI.doc", "Abrir Documento")</f>
        <v>0</v>
      </c>
      <c r="D8326" t="s">
        <v>23500</v>
      </c>
      <c r="E8326" t="s">
        <v>30802</v>
      </c>
    </row>
    <row r="8327" spans="1:5">
      <c r="A8327" t="s">
        <v>6</v>
      </c>
      <c r="B8327" t="s">
        <v>8332</v>
      </c>
      <c r="C8327">
        <f>HYPERLINK("C:\Users\franc\OneDrive\Documentos\MALENTIN KARIME\CESION\RESPALDO LUIS DIAZ\VARIOS 2008\JUNTA VECINOS CCHA RAYADA.PRO.doc", "Abrir Documento")</f>
        <v>0</v>
      </c>
      <c r="D8327" t="s">
        <v>23500</v>
      </c>
      <c r="E8327" t="s">
        <v>30803</v>
      </c>
    </row>
    <row r="8328" spans="1:5">
      <c r="A8328" t="s">
        <v>6</v>
      </c>
      <c r="B8328" t="s">
        <v>8333</v>
      </c>
      <c r="C8328">
        <f>HYPERLINK("C:\Users\franc\OneDrive\Documentos\MALENTIN KARIME\CESION\RESPALDO LUIS DIAZ\VARIOS 2008\JULY MORALES T. Repudio.doc", "Abrir Documento")</f>
        <v>0</v>
      </c>
      <c r="D8328" t="s">
        <v>23500</v>
      </c>
      <c r="E8328" t="s">
        <v>30804</v>
      </c>
    </row>
    <row r="8329" spans="1:5">
      <c r="A8329" t="s">
        <v>6</v>
      </c>
      <c r="B8329" t="s">
        <v>8334</v>
      </c>
      <c r="C8329">
        <f>HYPERLINK("C:\Users\franc\OneDrive\Documentos\MALENTIN KARIME\CESION\RESPALDO LUIS DIAZ\VARIOS 2008\JUAN RAMOS LEDEZMA Mutuo a la Vta.doc", "Abrir Documento")</f>
        <v>0</v>
      </c>
      <c r="D8329" t="s">
        <v>23500</v>
      </c>
      <c r="E8329" t="s">
        <v>30805</v>
      </c>
    </row>
    <row r="8330" spans="1:5">
      <c r="A8330" t="s">
        <v>6</v>
      </c>
      <c r="B8330" t="s">
        <v>8335</v>
      </c>
      <c r="C8330">
        <f>HYPERLINK("C:\Users\franc\OneDrive\Documentos\MALENTIN KARIME\CESION\RESPALDO LUIS DIAZ\VARIOS 2008\JUAN PIZARRO YAÑEZ. Serviu.doc", "Abrir Documento")</f>
        <v>0</v>
      </c>
      <c r="D8330" t="s">
        <v>23500</v>
      </c>
      <c r="E8330" t="s">
        <v>30806</v>
      </c>
    </row>
    <row r="8331" spans="1:5">
      <c r="A8331" t="s">
        <v>6</v>
      </c>
      <c r="B8331" t="s">
        <v>8336</v>
      </c>
      <c r="C8331">
        <f>HYPERLINK("C:\Users\franc\OneDrive\Documentos\MALENTIN KARIME\CESION\RESPALDO LUIS DIAZ\VARIOS 2008\JUAN PIZARRO G. Mutuo a la Vta.doc", "Abrir Documento")</f>
        <v>0</v>
      </c>
      <c r="D8331" t="s">
        <v>23500</v>
      </c>
      <c r="E8331" t="s">
        <v>30807</v>
      </c>
    </row>
    <row r="8332" spans="1:5">
      <c r="A8332" t="s">
        <v>6</v>
      </c>
      <c r="B8332" t="s">
        <v>8337</v>
      </c>
      <c r="C8332">
        <f>HYPERLINK("C:\Users\franc\OneDrive\Documentos\MALENTIN KARIME\CESION\RESPALDO LUIS DIAZ\VARIOS 2008\JUAN PABLO PEÑA TOBAR Juez.doc", "Abrir Documento")</f>
        <v>0</v>
      </c>
      <c r="D8332" t="s">
        <v>23500</v>
      </c>
      <c r="E8332" t="s">
        <v>30808</v>
      </c>
    </row>
    <row r="8333" spans="1:5">
      <c r="A8333" t="s">
        <v>6</v>
      </c>
      <c r="B8333" t="s">
        <v>8338</v>
      </c>
      <c r="C8333">
        <f>HYPERLINK("C:\Users\franc\OneDrive\Documentos\MALENTIN KARIME\CESION\RESPALDO LUIS DIAZ\VARIOS 2008\JUAN ALFARO M. Refinanc. Pet.doc", "Abrir Documento")</f>
        <v>0</v>
      </c>
      <c r="D8333" t="s">
        <v>23500</v>
      </c>
      <c r="E8333" t="s">
        <v>30809</v>
      </c>
    </row>
    <row r="8334" spans="1:5">
      <c r="A8334" t="s">
        <v>6</v>
      </c>
      <c r="B8334" t="s">
        <v>8339</v>
      </c>
      <c r="C8334">
        <f>HYPERLINK("C:\Users\franc\OneDrive\Documentos\MALENTIN KARIME\CESION\RESPALDO LUIS DIAZ\VARIOS 2008\JUAN ALFARO JOFRE Prot. Serviu.doc", "Abrir Documento")</f>
        <v>0</v>
      </c>
      <c r="D8334" t="s">
        <v>23500</v>
      </c>
      <c r="E8334" t="s">
        <v>30810</v>
      </c>
    </row>
    <row r="8335" spans="1:5">
      <c r="A8335" t="s">
        <v>6</v>
      </c>
      <c r="B8335" t="s">
        <v>8340</v>
      </c>
      <c r="C8335">
        <f>HYPERLINK("C:\Users\franc\OneDrive\Documentos\MALENTIN KARIME\CESION\RESPALDO LUIS DIAZ\VARIOS 2008\JUAN ALBANEZ VERGARA Rec. Deuda.doc", "Abrir Documento")</f>
        <v>0</v>
      </c>
      <c r="D8335" t="s">
        <v>23500</v>
      </c>
      <c r="E8335" t="s">
        <v>30811</v>
      </c>
    </row>
    <row r="8336" spans="1:5">
      <c r="A8336" t="s">
        <v>6</v>
      </c>
      <c r="B8336" t="s">
        <v>8341</v>
      </c>
      <c r="C8336">
        <f>HYPERLINK("C:\Users\franc\OneDrive\Documentos\MALENTIN KARIME\CESION\RESPALDO LUIS DIAZ\VARIOS 2008\JTA VECINOS N. 6 LAGUNILLAS.doc", "Abrir Documento")</f>
        <v>0</v>
      </c>
      <c r="D8336" t="s">
        <v>23500</v>
      </c>
      <c r="E8336" t="s">
        <v>30812</v>
      </c>
    </row>
    <row r="8337" spans="1:5">
      <c r="A8337" t="s">
        <v>6</v>
      </c>
      <c r="B8337" t="s">
        <v>8342</v>
      </c>
      <c r="C8337">
        <f>HYPERLINK("C:\Users\franc\OneDrive\Documentos\MALENTIN KARIME\CESION\RESPALDO LUIS DIAZ\VARIOS 2008\JOSE VILLALOBOS Prot. Alz. Serviu.doc", "Abrir Documento")</f>
        <v>0</v>
      </c>
      <c r="D8337" t="s">
        <v>23500</v>
      </c>
      <c r="E8337" t="s">
        <v>30813</v>
      </c>
    </row>
    <row r="8338" spans="1:5">
      <c r="A8338" t="s">
        <v>6</v>
      </c>
      <c r="B8338" t="s">
        <v>8343</v>
      </c>
      <c r="C8338">
        <f>HYPERLINK("C:\Users\franc\OneDrive\Documentos\MALENTIN KARIME\CESION\RESPALDO LUIS DIAZ\VARIOS 2008\JOSE OLIVARES LARA Prot.Alz.Prohib.doc", "Abrir Documento")</f>
        <v>0</v>
      </c>
      <c r="D8338" t="s">
        <v>23500</v>
      </c>
      <c r="E8338" t="s">
        <v>30814</v>
      </c>
    </row>
    <row r="8339" spans="1:5">
      <c r="A8339" t="s">
        <v>6</v>
      </c>
      <c r="B8339" t="s">
        <v>8344</v>
      </c>
      <c r="C8339">
        <f>HYPERLINK("C:\Users\franc\OneDrive\Documentos\MALENTIN KARIME\CESION\RESPALDO LUIS DIAZ\VARIOS 2008\JOSE IGNACIO CORTES Y OTRA Transacción.doc", "Abrir Documento")</f>
        <v>0</v>
      </c>
      <c r="D8339" t="s">
        <v>23500</v>
      </c>
      <c r="E8339" t="s">
        <v>30815</v>
      </c>
    </row>
    <row r="8340" spans="1:5">
      <c r="A8340" t="s">
        <v>6</v>
      </c>
      <c r="B8340" t="s">
        <v>8345</v>
      </c>
      <c r="C8340">
        <f>HYPERLINK("C:\Users\franc\OneDrive\Documentos\MALENTIN KARIME\CESION\RESPALDO LUIS DIAZ\VARIOS 2008\JOSE ANDRADE S. Refinanc. Pet.doc", "Abrir Documento")</f>
        <v>0</v>
      </c>
      <c r="D8340" t="s">
        <v>23500</v>
      </c>
      <c r="E8340" t="s">
        <v>30816</v>
      </c>
    </row>
    <row r="8341" spans="1:5">
      <c r="A8341" t="s">
        <v>6</v>
      </c>
      <c r="B8341" t="s">
        <v>8346</v>
      </c>
      <c r="C8341">
        <f>HYPERLINK("C:\Users\franc\OneDrive\Documentos\MALENTIN KARIME\CESION\RESPALDO LUIS DIAZ\VARIOS 2008\JOSE ALLENDE GÜELL Término Usufructo.doc", "Abrir Documento")</f>
        <v>0</v>
      </c>
      <c r="D8341" t="s">
        <v>23500</v>
      </c>
      <c r="E8341" t="s">
        <v>30817</v>
      </c>
    </row>
    <row r="8342" spans="1:5">
      <c r="A8342" t="s">
        <v>6</v>
      </c>
      <c r="B8342" t="s">
        <v>8347</v>
      </c>
      <c r="C8342">
        <f>HYPERLINK("C:\Users\franc\OneDrive\Documentos\MALENTIN KARIME\CESION\RESPALDO LUIS DIAZ\VARIOS 2008\JOSE ADAOS.PRO.PRH.doc", "Abrir Documento")</f>
        <v>0</v>
      </c>
      <c r="D8342" t="s">
        <v>23500</v>
      </c>
      <c r="E8342" t="s">
        <v>30818</v>
      </c>
    </row>
    <row r="8343" spans="1:5">
      <c r="A8343" t="s">
        <v>6</v>
      </c>
      <c r="B8343" t="s">
        <v>8348</v>
      </c>
      <c r="C8343">
        <f>HYPERLINK("C:\Users\franc\OneDrive\Documentos\MALENTIN KARIME\CESION\RESPALDO LUIS DIAZ\VARIOS 2008\JORGELINA ROJAS Acuerdo, Mutuo y Mand..doc", "Abrir Documento")</f>
        <v>0</v>
      </c>
      <c r="D8343" t="s">
        <v>23500</v>
      </c>
      <c r="E8343" t="s">
        <v>30819</v>
      </c>
    </row>
    <row r="8344" spans="1:5">
      <c r="A8344" t="s">
        <v>6</v>
      </c>
      <c r="B8344" t="s">
        <v>8349</v>
      </c>
      <c r="C8344">
        <f>HYPERLINK("C:\Users\franc\OneDrive\Documentos\MALENTIN KARIME\CESION\RESPALDO LUIS DIAZ\VARIOS 2008\JORGE VERA GARVIZO Dcl. Intereses.doc", "Abrir Documento")</f>
        <v>0</v>
      </c>
      <c r="D8344" t="s">
        <v>23500</v>
      </c>
      <c r="E8344" t="s">
        <v>30820</v>
      </c>
    </row>
    <row r="8345" spans="1:5">
      <c r="A8345" t="s">
        <v>6</v>
      </c>
      <c r="B8345" t="s">
        <v>8350</v>
      </c>
      <c r="C8345">
        <f>HYPERLINK("C:\Users\franc\OneDrive\Documentos\MALENTIN KARIME\CESION\RESPALDO LUIS DIAZ\VARIOS 2008\JORGE RODRIGUEZ a SLM. ENTRE LOMAS Camión.doc", "Abrir Documento")</f>
        <v>0</v>
      </c>
      <c r="D8345" t="s">
        <v>23500</v>
      </c>
      <c r="E8345" t="s">
        <v>30821</v>
      </c>
    </row>
    <row r="8346" spans="1:5">
      <c r="A8346" t="s">
        <v>6</v>
      </c>
      <c r="B8346" t="s">
        <v>8351</v>
      </c>
      <c r="C8346">
        <f>HYPERLINK("C:\Users\franc\OneDrive\Documentos\MALENTIN KARIME\CESION\RESPALDO LUIS DIAZ\VARIOS 2008\JORGE PEREZ ROJAS Transac..doc", "Abrir Documento")</f>
        <v>0</v>
      </c>
      <c r="D8346" t="s">
        <v>23500</v>
      </c>
      <c r="E8346" t="s">
        <v>30822</v>
      </c>
    </row>
    <row r="8347" spans="1:5">
      <c r="A8347" t="s">
        <v>6</v>
      </c>
      <c r="B8347" t="s">
        <v>8352</v>
      </c>
      <c r="C8347">
        <f>HYPERLINK("C:\Users\franc\OneDrive\Documentos\MALENTIN KARIME\CESION\RESPALDO LUIS DIAZ\VARIOS 2008\JORGE LARRONDO O. Mutuo a la V..doc", "Abrir Documento")</f>
        <v>0</v>
      </c>
      <c r="D8347" t="s">
        <v>23500</v>
      </c>
      <c r="E8347" t="s">
        <v>30823</v>
      </c>
    </row>
    <row r="8348" spans="1:5">
      <c r="A8348" t="s">
        <v>6</v>
      </c>
      <c r="B8348" t="s">
        <v>8353</v>
      </c>
      <c r="C8348">
        <f>HYPERLINK("C:\Users\franc\OneDrive\Documentos\MALENTIN KARIME\CESION\RESPALDO LUIS DIAZ\VARIOS 2008\JORGE FIGUEROA a J. L. SERIN Canc.Saldo Precio.doc", "Abrir Documento")</f>
        <v>0</v>
      </c>
      <c r="D8348" t="s">
        <v>23500</v>
      </c>
      <c r="E8348" t="s">
        <v>30824</v>
      </c>
    </row>
    <row r="8349" spans="1:5">
      <c r="A8349" t="s">
        <v>6</v>
      </c>
      <c r="B8349" t="s">
        <v>8354</v>
      </c>
      <c r="C8349">
        <f>HYPERLINK("C:\Users\franc\OneDrive\Documentos\MALENTIN KARIME\CESION\RESPALDO LUIS DIAZ\VARIOS 2008\JORGE ESPINOZA DIAZ Separac..doc", "Abrir Documento")</f>
        <v>0</v>
      </c>
      <c r="D8349" t="s">
        <v>23500</v>
      </c>
      <c r="E8349" t="s">
        <v>30825</v>
      </c>
    </row>
    <row r="8350" spans="1:5">
      <c r="A8350" t="s">
        <v>6</v>
      </c>
      <c r="B8350" t="s">
        <v>8355</v>
      </c>
      <c r="C8350">
        <f>HYPERLINK("C:\Users\franc\OneDrive\Documentos\MALENTIN KARIME\CESION\RESPALDO LUIS DIAZ\VARIOS 2008\JORGE BUSTAMANTE a FELIPE RAMOS Transac..doc", "Abrir Documento")</f>
        <v>0</v>
      </c>
      <c r="D8350" t="s">
        <v>23500</v>
      </c>
      <c r="E8350" t="s">
        <v>30826</v>
      </c>
    </row>
    <row r="8351" spans="1:5">
      <c r="A8351" t="s">
        <v>6</v>
      </c>
      <c r="B8351" t="s">
        <v>8356</v>
      </c>
      <c r="C8351">
        <f>HYPERLINK("C:\Users\franc\OneDrive\Documentos\MALENTIN KARIME\CESION\RESPALDO LUIS DIAZ\VARIOS 2008\JEANNETTE MEDINA Protoc. P. Pública.doc", "Abrir Documento")</f>
        <v>0</v>
      </c>
      <c r="D8351" t="s">
        <v>23500</v>
      </c>
      <c r="E8351" t="s">
        <v>30827</v>
      </c>
    </row>
    <row r="8352" spans="1:5">
      <c r="A8352" t="s">
        <v>6</v>
      </c>
      <c r="B8352" t="s">
        <v>8357</v>
      </c>
      <c r="C8352">
        <f>HYPERLINK("C:\Users\franc\OneDrive\Documentos\MALENTIN KARIME\CESION\RESPALDO LUIS DIAZ\VARIOS 2008\JANSEN ANA MARIA. Cambio Trazado Servid..doc", "Abrir Documento")</f>
        <v>0</v>
      </c>
      <c r="D8352" t="s">
        <v>23500</v>
      </c>
      <c r="E8352" t="s">
        <v>30828</v>
      </c>
    </row>
    <row r="8353" spans="1:5">
      <c r="A8353" t="s">
        <v>6</v>
      </c>
      <c r="B8353" t="s">
        <v>8358</v>
      </c>
      <c r="C8353">
        <f>HYPERLINK("C:\Users\franc\OneDrive\Documentos\MALENTIN KARIME\CESION\RESPALDO LUIS DIAZ\VARIOS 2008\JAIME VILLARROEL.doc", "Abrir Documento")</f>
        <v>0</v>
      </c>
      <c r="D8353" t="s">
        <v>23500</v>
      </c>
      <c r="E8353" t="s">
        <v>30829</v>
      </c>
    </row>
    <row r="8354" spans="1:5">
      <c r="A8354" t="s">
        <v>6</v>
      </c>
      <c r="B8354" t="s">
        <v>8359</v>
      </c>
      <c r="C8354">
        <f>HYPERLINK("C:\Users\franc\OneDrive\Documentos\MALENTIN KARIME\CESION\RESPALDO LUIS DIAZ\VARIOS 2008\JAIME ORTIZ C. Refinanc. PET.doc", "Abrir Documento")</f>
        <v>0</v>
      </c>
      <c r="D8354" t="s">
        <v>23500</v>
      </c>
      <c r="E8354" t="s">
        <v>30830</v>
      </c>
    </row>
    <row r="8355" spans="1:5">
      <c r="A8355" t="s">
        <v>6</v>
      </c>
      <c r="B8355" t="s">
        <v>8360</v>
      </c>
      <c r="C8355">
        <f>HYPERLINK("C:\Users\franc\OneDrive\Documentos\MALENTIN KARIME\CESION\RESPALDO LUIS DIAZ\VARIOS 2008\J.C. ALUCEMA. PROTOC..doc", "Abrir Documento")</f>
        <v>0</v>
      </c>
      <c r="D8355" t="s">
        <v>23500</v>
      </c>
      <c r="E8355" t="s">
        <v>30831</v>
      </c>
    </row>
    <row r="8356" spans="1:5">
      <c r="A8356" t="s">
        <v>6</v>
      </c>
      <c r="B8356" t="s">
        <v>8361</v>
      </c>
      <c r="C8356">
        <f>HYPERLINK("C:\Users\franc\OneDrive\Documentos\MALENTIN KARIME\CESION\RESPALDO LUIS DIAZ\VARIOS 2008\IVAN DIAZ SALDIVAR Sep. de Bienes.doc", "Abrir Documento")</f>
        <v>0</v>
      </c>
      <c r="D8356" t="s">
        <v>23500</v>
      </c>
      <c r="E8356" t="s">
        <v>30832</v>
      </c>
    </row>
    <row r="8357" spans="1:5">
      <c r="A8357" t="s">
        <v>6</v>
      </c>
      <c r="B8357" t="s">
        <v>8362</v>
      </c>
      <c r="C8357">
        <f>HYPERLINK("C:\Users\franc\OneDrive\Documentos\MALENTIN KARIME\CESION\RESPALDO LUIS DIAZ\VARIOS 2008\ISIDRO MONDACA CONTRERAS.doc", "Abrir Documento")</f>
        <v>0</v>
      </c>
      <c r="D8357" t="s">
        <v>23500</v>
      </c>
      <c r="E8357" t="s">
        <v>30833</v>
      </c>
    </row>
    <row r="8358" spans="1:5">
      <c r="A8358" t="s">
        <v>6</v>
      </c>
      <c r="B8358" t="s">
        <v>8363</v>
      </c>
      <c r="C8358">
        <f>HYPERLINK("C:\Users\franc\OneDrive\Documentos\MALENTIN KARIME\CESION\RESPALDO LUIS DIAZ\VARIOS 2008\ISIDRO LOPEZ y FEDRA GOMEZ. Sep. de Bienes.doc", "Abrir Documento")</f>
        <v>0</v>
      </c>
      <c r="D8358" t="s">
        <v>23500</v>
      </c>
      <c r="E8358" t="s">
        <v>30834</v>
      </c>
    </row>
    <row r="8359" spans="1:5">
      <c r="A8359" t="s">
        <v>6</v>
      </c>
      <c r="B8359" t="s">
        <v>8364</v>
      </c>
      <c r="C8359">
        <f>HYPERLINK("C:\Users\franc\OneDrive\Documentos\MALENTIN KARIME\CESION\RESPALDO LUIS DIAZ\VARIOS 2008\ISABEL ROJAS a YINO ARCAYA Mutuo.doc", "Abrir Documento")</f>
        <v>0</v>
      </c>
      <c r="D8359" t="s">
        <v>23500</v>
      </c>
      <c r="E8359" t="s">
        <v>30835</v>
      </c>
    </row>
    <row r="8360" spans="1:5">
      <c r="A8360" t="s">
        <v>6</v>
      </c>
      <c r="B8360" t="s">
        <v>8365</v>
      </c>
      <c r="C8360">
        <f>HYPERLINK("C:\Users\franc\OneDrive\Documentos\MALENTIN KARIME\CESION\RESPALDO LUIS DIAZ\VARIOS 2008\IRMA ORTIZ S. Prot.Alz.Serviu.doc", "Abrir Documento")</f>
        <v>0</v>
      </c>
      <c r="D8360" t="s">
        <v>23500</v>
      </c>
      <c r="E8360" t="s">
        <v>30836</v>
      </c>
    </row>
    <row r="8361" spans="1:5">
      <c r="A8361" t="s">
        <v>6</v>
      </c>
      <c r="B8361" t="s">
        <v>8366</v>
      </c>
      <c r="C8361">
        <f>HYPERLINK("C:\Users\franc\OneDrive\Documentos\MALENTIN KARIME\CESION\RESPALDO LUIS DIAZ\VARIOS 2008\IRMA MALUENDA C. Refinanc. Pet.doc", "Abrir Documento")</f>
        <v>0</v>
      </c>
      <c r="D8361" t="s">
        <v>23500</v>
      </c>
      <c r="E8361" t="s">
        <v>30837</v>
      </c>
    </row>
    <row r="8362" spans="1:5">
      <c r="A8362" t="s">
        <v>6</v>
      </c>
      <c r="B8362" t="s">
        <v>8367</v>
      </c>
      <c r="C8362">
        <f>HYPERLINK("C:\Users\franc\OneDrive\Documentos\MALENTIN KARIME\CESION\RESPALDO LUIS DIAZ\VARIOS 2008\INVERS. ARTIGUES S.A. Acta 2009.doc", "Abrir Documento")</f>
        <v>0</v>
      </c>
      <c r="D8362" t="s">
        <v>23500</v>
      </c>
      <c r="E8362" t="s">
        <v>30838</v>
      </c>
    </row>
    <row r="8363" spans="1:5">
      <c r="A8363" t="s">
        <v>6</v>
      </c>
      <c r="B8363" t="s">
        <v>8368</v>
      </c>
      <c r="C8363">
        <f>HYPERLINK("C:\Users\franc\OneDrive\Documentos\MALENTIN KARIME\CESION\RESPALDO LUIS DIAZ\VARIOS 2008\INPROCOL LTDA. a S. DABED Prenda.doc", "Abrir Documento")</f>
        <v>0</v>
      </c>
      <c r="D8363" t="s">
        <v>23500</v>
      </c>
      <c r="E8363" t="s">
        <v>30839</v>
      </c>
    </row>
    <row r="8364" spans="1:5">
      <c r="A8364" t="s">
        <v>6</v>
      </c>
      <c r="B8364" t="s">
        <v>8369</v>
      </c>
      <c r="C8364">
        <f>HYPERLINK("C:\Users\franc\OneDrive\Documentos\MALENTIN KARIME\CESION\RESPALDO LUIS DIAZ\VARIOS 2008\INPROCOL LTDA. a S. DABED Hipoteca.doc", "Abrir Documento")</f>
        <v>0</v>
      </c>
      <c r="D8364" t="s">
        <v>23500</v>
      </c>
      <c r="E8364" t="s">
        <v>30840</v>
      </c>
    </row>
    <row r="8365" spans="1:5">
      <c r="A8365" t="s">
        <v>6</v>
      </c>
      <c r="B8365" t="s">
        <v>8370</v>
      </c>
      <c r="C8365">
        <f>HYPERLINK("C:\Users\franc\OneDrive\Documentos\MALENTIN KARIME\CESION\RESPALDO LUIS DIAZ\VARIOS 2008\INPROCOL LTDA. a S. DABED Extracto.doc", "Abrir Documento")</f>
        <v>0</v>
      </c>
      <c r="D8365" t="s">
        <v>23500</v>
      </c>
      <c r="E8365" t="s">
        <v>30841</v>
      </c>
    </row>
    <row r="8366" spans="1:5">
      <c r="A8366" t="s">
        <v>6</v>
      </c>
      <c r="B8366" t="s">
        <v>8371</v>
      </c>
      <c r="C8366">
        <f>HYPERLINK("C:\Users\franc\OneDrive\Documentos\MALENTIN KARIME\CESION\RESPALDO LUIS DIAZ\VARIOS 2008\ING. Y CONSTRUC. CAMARICO.doc", "Abrir Documento")</f>
        <v>0</v>
      </c>
      <c r="D8366" t="s">
        <v>23500</v>
      </c>
      <c r="E8366" t="s">
        <v>30842</v>
      </c>
    </row>
    <row r="8367" spans="1:5">
      <c r="A8367" t="s">
        <v>6</v>
      </c>
      <c r="B8367" t="s">
        <v>8372</v>
      </c>
      <c r="C8367">
        <f>HYPERLINK("C:\Users\franc\OneDrive\Documentos\MALENTIN KARIME\CESION\RESPALDO LUIS DIAZ\VARIOS 2008\INDAP a COOP. TULAHUEN Convenio.doc", "Abrir Documento")</f>
        <v>0</v>
      </c>
      <c r="D8367" t="s">
        <v>23500</v>
      </c>
      <c r="E8367" t="s">
        <v>30843</v>
      </c>
    </row>
    <row r="8368" spans="1:5">
      <c r="A8368" t="s">
        <v>6</v>
      </c>
      <c r="B8368" t="s">
        <v>8373</v>
      </c>
      <c r="C8368">
        <f>HYPERLINK("C:\Users\franc\OneDrive\Documentos\MALENTIN KARIME\CESION\RESPALDO LUIS DIAZ\VARIOS 2008\INCOVEG LTDA..doc", "Abrir Documento")</f>
        <v>0</v>
      </c>
      <c r="D8368" t="s">
        <v>23500</v>
      </c>
      <c r="E8368" t="s">
        <v>30844</v>
      </c>
    </row>
    <row r="8369" spans="1:5">
      <c r="A8369" t="s">
        <v>6</v>
      </c>
      <c r="B8369" t="s">
        <v>8374</v>
      </c>
      <c r="C8369">
        <f>HYPERLINK("C:\Users\franc\OneDrive\Documentos\MALENTIN KARIME\CESION\RESPALDO LUIS DIAZ\VARIOS 2008\INCOVEG LTDA. II 2010.doc", "Abrir Documento")</f>
        <v>0</v>
      </c>
      <c r="D8369" t="s">
        <v>23500</v>
      </c>
      <c r="E8369" t="s">
        <v>30845</v>
      </c>
    </row>
    <row r="8370" spans="1:5">
      <c r="A8370" t="s">
        <v>6</v>
      </c>
      <c r="B8370" t="s">
        <v>8375</v>
      </c>
      <c r="C8370">
        <f>HYPERLINK("C:\Users\franc\OneDrive\Documentos\MALENTIN KARIME\CESION\RESPALDO LUIS DIAZ\VARIOS 2008\INCOVEG LTDA. 2010.doc", "Abrir Documento")</f>
        <v>0</v>
      </c>
      <c r="D8370" t="s">
        <v>23500</v>
      </c>
      <c r="E8370" t="s">
        <v>30846</v>
      </c>
    </row>
    <row r="8371" spans="1:5">
      <c r="A8371" t="s">
        <v>6</v>
      </c>
      <c r="B8371" t="s">
        <v>8376</v>
      </c>
      <c r="C8371">
        <f>HYPERLINK("C:\Users\franc\OneDrive\Documentos\MALENTIN KARIME\CESION\RESPALDO LUIS DIAZ\VARIOS 2008\INCOVEG LTDA. 2.doc", "Abrir Documento")</f>
        <v>0</v>
      </c>
      <c r="D8371" t="s">
        <v>23500</v>
      </c>
      <c r="E8371" t="s">
        <v>30847</v>
      </c>
    </row>
    <row r="8372" spans="1:5">
      <c r="A8372" t="s">
        <v>6</v>
      </c>
      <c r="B8372" t="s">
        <v>8377</v>
      </c>
      <c r="C8372">
        <f>HYPERLINK("C:\Users\franc\OneDrive\Documentos\MALENTIN KARIME\CESION\RESPALDO LUIS DIAZ\VARIOS 2008\I N F O R M E   DE   T I T U L O S.- 2.doc", "Abrir Documento")</f>
        <v>0</v>
      </c>
      <c r="D8372" t="s">
        <v>23500</v>
      </c>
      <c r="E8372" t="s">
        <v>30848</v>
      </c>
    </row>
    <row r="8373" spans="1:5">
      <c r="A8373" t="s">
        <v>6</v>
      </c>
      <c r="B8373" t="s">
        <v>8378</v>
      </c>
      <c r="C8373">
        <f>HYPERLINK("C:\Users\franc\OneDrive\Documentos\MALENTIN KARIME\CESION\RESPALDO LUIS DIAZ\VARIOS 2008\HUMBERTO AGUIRRE Sustit.Grtias.doc", "Abrir Documento")</f>
        <v>0</v>
      </c>
      <c r="D8373" t="s">
        <v>23500</v>
      </c>
      <c r="E8373" t="s">
        <v>30849</v>
      </c>
    </row>
    <row r="8374" spans="1:5">
      <c r="A8374" t="s">
        <v>6</v>
      </c>
      <c r="B8374" t="s">
        <v>8379</v>
      </c>
      <c r="C8374">
        <f>HYPERLINK("C:\Users\franc\OneDrive\Documentos\MALENTIN KARIME\CESION\RESPALDO LUIS DIAZ\VARIOS 2008\HILDA JEREZ TAPIA Prot. Cv..doc", "Abrir Documento")</f>
        <v>0</v>
      </c>
      <c r="D8374" t="s">
        <v>23500</v>
      </c>
      <c r="E8374" t="s">
        <v>30850</v>
      </c>
    </row>
    <row r="8375" spans="1:5">
      <c r="A8375" t="s">
        <v>6</v>
      </c>
      <c r="B8375" t="s">
        <v>8380</v>
      </c>
      <c r="C8375">
        <f>HYPERLINK("C:\Users\franc\OneDrive\Documentos\MALENTIN KARIME\CESION\RESPALDO LUIS DIAZ\VARIOS 2008\HECTOR RAMIREZ RAMIREZ.doc", "Abrir Documento")</f>
        <v>0</v>
      </c>
      <c r="D8375" t="s">
        <v>23500</v>
      </c>
      <c r="E8375" t="s">
        <v>30851</v>
      </c>
    </row>
    <row r="8376" spans="1:5">
      <c r="A8376" t="s">
        <v>6</v>
      </c>
      <c r="B8376" t="s">
        <v>8381</v>
      </c>
      <c r="C8376">
        <f>HYPERLINK("C:\Users\franc\OneDrive\Documentos\MALENTIN KARIME\CESION\RESPALDO LUIS DIAZ\VARIOS 2008\GRACIELA OSSANDON.  Refinanc. PET.doc", "Abrir Documento")</f>
        <v>0</v>
      </c>
      <c r="D8376" t="s">
        <v>23500</v>
      </c>
      <c r="E8376" t="s">
        <v>30852</v>
      </c>
    </row>
    <row r="8377" spans="1:5">
      <c r="A8377" t="s">
        <v>6</v>
      </c>
      <c r="B8377" t="s">
        <v>8382</v>
      </c>
      <c r="C8377">
        <f>HYPERLINK("C:\Users\franc\OneDrive\Documentos\MALENTIN KARIME\CESION\RESPALDO LUIS DIAZ\VARIOS 2008\GMO. ULLOA TAPIA. Refinanc. PET.doc", "Abrir Documento")</f>
        <v>0</v>
      </c>
      <c r="D8377" t="s">
        <v>23500</v>
      </c>
      <c r="E8377" t="s">
        <v>30853</v>
      </c>
    </row>
    <row r="8378" spans="1:5">
      <c r="A8378" t="s">
        <v>6</v>
      </c>
      <c r="B8378" t="s">
        <v>8383</v>
      </c>
      <c r="C8378">
        <f>HYPERLINK("C:\Users\franc\OneDrive\Documentos\MALENTIN KARIME\CESION\RESPALDO LUIS DIAZ\VARIOS 2008\GERARDO HERRERO C. Transacc..doc", "Abrir Documento")</f>
        <v>0</v>
      </c>
      <c r="D8378" t="s">
        <v>23500</v>
      </c>
      <c r="E8378" t="s">
        <v>30854</v>
      </c>
    </row>
    <row r="8379" spans="1:5">
      <c r="A8379" t="s">
        <v>6</v>
      </c>
      <c r="B8379" t="s">
        <v>8384</v>
      </c>
      <c r="C8379">
        <f>HYPERLINK("C:\Users\franc\OneDrive\Documentos\MALENTIN KARIME\CESION\RESPALDO LUIS DIAZ\VARIOS 2008\GABRIEL BUGUEÑO OLIVARES.doc", "Abrir Documento")</f>
        <v>0</v>
      </c>
      <c r="D8379" t="s">
        <v>23500</v>
      </c>
      <c r="E8379" t="s">
        <v>30855</v>
      </c>
    </row>
    <row r="8380" spans="1:5">
      <c r="A8380" t="s">
        <v>6</v>
      </c>
      <c r="B8380" t="s">
        <v>8385</v>
      </c>
      <c r="C8380">
        <f>HYPERLINK("C:\Users\franc\OneDrive\Documentos\MALENTIN KARIME\CESION\RESPALDO LUIS DIAZ\VARIOS 2008\FUNDACION MI CASA Transac..doc", "Abrir Documento")</f>
        <v>0</v>
      </c>
      <c r="D8380" t="s">
        <v>23500</v>
      </c>
      <c r="E8380" t="s">
        <v>30856</v>
      </c>
    </row>
    <row r="8381" spans="1:5">
      <c r="A8381" t="s">
        <v>6</v>
      </c>
      <c r="B8381" t="s">
        <v>8386</v>
      </c>
      <c r="C8381">
        <f>HYPERLINK("C:\Users\franc\OneDrive\Documentos\MALENTIN KARIME\CESION\RESPALDO LUIS DIAZ\VARIOS 2008\FRESIA ZAPATA LARA Invent..doc", "Abrir Documento")</f>
        <v>0</v>
      </c>
      <c r="D8381" t="s">
        <v>23500</v>
      </c>
      <c r="E8381" t="s">
        <v>30857</v>
      </c>
    </row>
    <row r="8382" spans="1:5">
      <c r="A8382" t="s">
        <v>6</v>
      </c>
      <c r="B8382" t="s">
        <v>8387</v>
      </c>
      <c r="C8382">
        <f>HYPERLINK("C:\Users\franc\OneDrive\Documentos\MALENTIN KARIME\CESION\RESPALDO LUIS DIAZ\VARIOS 2008\FRANCISCO ACUÑA.PRO.doc", "Abrir Documento")</f>
        <v>0</v>
      </c>
      <c r="D8382" t="s">
        <v>23500</v>
      </c>
      <c r="E8382" t="s">
        <v>30858</v>
      </c>
    </row>
    <row r="8383" spans="1:5">
      <c r="A8383" t="s">
        <v>6</v>
      </c>
      <c r="B8383" t="s">
        <v>8388</v>
      </c>
      <c r="C8383">
        <f>HYPERLINK("C:\Users\franc\OneDrive\Documentos\MALENTIN KARIME\CESION\RESPALDO LUIS DIAZ\VARIOS 2008\FORMULARIO 24 Rec. Deuda en Pesos.doc", "Abrir Documento")</f>
        <v>0</v>
      </c>
      <c r="D8383" t="s">
        <v>23500</v>
      </c>
      <c r="E8383" t="s">
        <v>30859</v>
      </c>
    </row>
    <row r="8384" spans="1:5">
      <c r="A8384" t="s">
        <v>6</v>
      </c>
      <c r="B8384" t="s">
        <v>8389</v>
      </c>
      <c r="C8384">
        <f>HYPERLINK("C:\Users\franc\OneDrive\Documentos\MALENTIN KARIME\CESION\RESPALDO LUIS DIAZ\VARIOS 2008\FORMULARIO 24 por Sociedad.doc", "Abrir Documento")</f>
        <v>0</v>
      </c>
      <c r="D8384" t="s">
        <v>23500</v>
      </c>
      <c r="E8384" t="s">
        <v>30860</v>
      </c>
    </row>
    <row r="8385" spans="1:5">
      <c r="A8385" t="s">
        <v>6</v>
      </c>
      <c r="B8385" t="s">
        <v>8390</v>
      </c>
      <c r="C8385">
        <f>HYPERLINK("C:\Users\franc\OneDrive\Documentos\MALENTIN KARIME\CESION\RESPALDO LUIS DIAZ\VARIOS 2008\FORMULARIO 24 Mutuo a Plazo.doc", "Abrir Documento")</f>
        <v>0</v>
      </c>
      <c r="D8385" t="s">
        <v>23500</v>
      </c>
      <c r="E8385" t="s">
        <v>30861</v>
      </c>
    </row>
    <row r="8386" spans="1:5">
      <c r="A8386" t="s">
        <v>6</v>
      </c>
      <c r="B8386" t="s">
        <v>8391</v>
      </c>
      <c r="C8386">
        <f>HYPERLINK("C:\Users\franc\OneDrive\Documentos\MALENTIN KARIME\CESION\RESPALDO LUIS DIAZ\VARIOS 2008\FORMULARIO 24 Mutuo a la Vista.doc", "Abrir Documento")</f>
        <v>0</v>
      </c>
      <c r="D8386" t="s">
        <v>23500</v>
      </c>
      <c r="E8386" t="s">
        <v>30862</v>
      </c>
    </row>
    <row r="8387" spans="1:5">
      <c r="A8387" t="s">
        <v>6</v>
      </c>
      <c r="B8387" t="s">
        <v>8392</v>
      </c>
      <c r="C8387">
        <f>HYPERLINK("C:\Users\franc\OneDrive\Documentos\MALENTIN KARIME\CESION\RESPALDO LUIS DIAZ\VARIOS 2008\FORMULARIO 24 en Pesos.doc", "Abrir Documento")</f>
        <v>0</v>
      </c>
      <c r="D8387" t="s">
        <v>23500</v>
      </c>
      <c r="E8387" t="s">
        <v>30863</v>
      </c>
    </row>
    <row r="8388" spans="1:5">
      <c r="A8388" t="s">
        <v>6</v>
      </c>
      <c r="B8388" t="s">
        <v>8393</v>
      </c>
      <c r="C8388">
        <f>HYPERLINK("C:\Users\franc\OneDrive\Documentos\MALENTIN KARIME\CESION\RESPALDO LUIS DIAZ\VARIOS 2008\FORM. 24 Mutuo a la Vista Por Soc..doc", "Abrir Documento")</f>
        <v>0</v>
      </c>
      <c r="D8388" t="s">
        <v>23500</v>
      </c>
      <c r="E8388" t="s">
        <v>30864</v>
      </c>
    </row>
    <row r="8389" spans="1:5">
      <c r="A8389" t="s">
        <v>6</v>
      </c>
      <c r="B8389" t="s">
        <v>8394</v>
      </c>
      <c r="C8389">
        <f>HYPERLINK("C:\Users\franc\OneDrive\Documentos\MALENTIN KARIME\CESION\RESPALDO LUIS DIAZ\VARIOS 2008\FLORENCIO VILLALOBOS Inv. Tas. Bienes.doc", "Abrir Documento")</f>
        <v>0</v>
      </c>
      <c r="D8389" t="s">
        <v>23500</v>
      </c>
      <c r="E8389" t="s">
        <v>30865</v>
      </c>
    </row>
    <row r="8390" spans="1:5">
      <c r="A8390" t="s">
        <v>6</v>
      </c>
      <c r="B8390" t="s">
        <v>8395</v>
      </c>
      <c r="C8390">
        <f>HYPERLINK("C:\Users\franc\OneDrive\Documentos\MALENTIN KARIME\CESION\RESPALDO LUIS DIAZ\VARIOS 2008\Firma a ruego.doc", "Abrir Documento")</f>
        <v>0</v>
      </c>
      <c r="D8390" t="s">
        <v>23500</v>
      </c>
      <c r="E8390" t="s">
        <v>30866</v>
      </c>
    </row>
    <row r="8391" spans="1:5">
      <c r="A8391" t="s">
        <v>6</v>
      </c>
      <c r="B8391" t="s">
        <v>8396</v>
      </c>
      <c r="C8391">
        <f>HYPERLINK("C:\Users\franc\OneDrive\Documentos\MALENTIN KARIME\CESION\RESPALDO LUIS DIAZ\VARIOS 2008\FERNANDO PIZARRO C. Refinanc. Pet.doc", "Abrir Documento")</f>
        <v>0</v>
      </c>
      <c r="D8391" t="s">
        <v>23500</v>
      </c>
      <c r="E8391" t="s">
        <v>30867</v>
      </c>
    </row>
    <row r="8392" spans="1:5">
      <c r="A8392" t="s">
        <v>6</v>
      </c>
      <c r="B8392" t="s">
        <v>8397</v>
      </c>
      <c r="C8392">
        <f>HYPERLINK("C:\Users\franc\OneDrive\Documentos\MALENTIN KARIME\CESION\RESPALDO LUIS DIAZ\VARIOS 2008\FDO. GODOY Y CIA. Poder Retirar V.V..doc", "Abrir Documento")</f>
        <v>0</v>
      </c>
      <c r="D8392" t="s">
        <v>23500</v>
      </c>
      <c r="E8392" t="s">
        <v>30868</v>
      </c>
    </row>
    <row r="8393" spans="1:5">
      <c r="A8393" t="s">
        <v>6</v>
      </c>
      <c r="B8393" t="s">
        <v>8398</v>
      </c>
      <c r="C8393">
        <f>HYPERLINK("C:\Users\franc\OneDrive\Documentos\MALENTIN KARIME\CESION\RESPALDO LUIS DIAZ\VARIOS 2008\FDO. GARCIA a ANA HAUYON. Mutuo.doc", "Abrir Documento")</f>
        <v>0</v>
      </c>
      <c r="D8393" t="s">
        <v>23500</v>
      </c>
      <c r="E8393" t="s">
        <v>30869</v>
      </c>
    </row>
    <row r="8394" spans="1:5">
      <c r="A8394" t="s">
        <v>6</v>
      </c>
      <c r="B8394" t="s">
        <v>8399</v>
      </c>
      <c r="C8394">
        <f>HYPERLINK("C:\Users\franc\OneDrive\Documentos\MALENTIN KARIME\CESION\RESPALDO LUIS DIAZ\VARIOS 2008\FCO. PINTO ALFARO Servidumbre Acueducto.doc", "Abrir Documento")</f>
        <v>0</v>
      </c>
      <c r="D8394" t="s">
        <v>23500</v>
      </c>
      <c r="E8394" t="s">
        <v>30870</v>
      </c>
    </row>
    <row r="8395" spans="1:5">
      <c r="A8395" t="s">
        <v>6</v>
      </c>
      <c r="B8395" t="s">
        <v>8400</v>
      </c>
      <c r="C8395">
        <f>HYPERLINK("C:\Users\franc\OneDrive\Documentos\MALENTIN KARIME\CESION\RESPALDO LUIS DIAZ\VARIOS 2008\FCO. GONZALEZ FIGARI Acta.doc", "Abrir Documento")</f>
        <v>0</v>
      </c>
      <c r="D8395" t="s">
        <v>23500</v>
      </c>
      <c r="E8395" t="s">
        <v>30871</v>
      </c>
    </row>
    <row r="8396" spans="1:5">
      <c r="A8396" t="s">
        <v>6</v>
      </c>
      <c r="B8396" t="s">
        <v>8401</v>
      </c>
      <c r="C8396">
        <f>HYPERLINK("C:\Users\franc\OneDrive\Documentos\MALENTIN KARIME\CESION\RESPALDO LUIS DIAZ\VARIOS 2008\FCO. CORTES JOFRE Y OTS. Recibo Pago.doc", "Abrir Documento")</f>
        <v>0</v>
      </c>
      <c r="D8396" t="s">
        <v>23500</v>
      </c>
      <c r="E8396" t="s">
        <v>30872</v>
      </c>
    </row>
    <row r="8397" spans="1:5">
      <c r="A8397" t="s">
        <v>6</v>
      </c>
      <c r="B8397" t="s">
        <v>8402</v>
      </c>
      <c r="C8397">
        <f>HYPERLINK("C:\Users\franc\OneDrive\Documentos\MALENTIN KARIME\CESION\RESPALDO LUIS DIAZ\VARIOS 2008\FABIOLA ESCOBAR.PRO.doc", "Abrir Documento")</f>
        <v>0</v>
      </c>
      <c r="D8397" t="s">
        <v>23500</v>
      </c>
      <c r="E8397" t="s">
        <v>30873</v>
      </c>
    </row>
    <row r="8398" spans="1:5">
      <c r="A8398" t="s">
        <v>6</v>
      </c>
      <c r="B8398" t="s">
        <v>8403</v>
      </c>
      <c r="C8398">
        <f>HYPERLINK("C:\Users\franc\OneDrive\Documentos\MALENTIN KARIME\CESION\RESPALDO LUIS DIAZ\VARIOS 2008\FABIOLA ARAYA BARAHONA Rep..doc", "Abrir Documento")</f>
        <v>0</v>
      </c>
      <c r="D8398" t="s">
        <v>23500</v>
      </c>
      <c r="E8398" t="s">
        <v>30874</v>
      </c>
    </row>
    <row r="8399" spans="1:5">
      <c r="A8399" t="s">
        <v>6</v>
      </c>
      <c r="B8399" t="s">
        <v>8404</v>
      </c>
      <c r="C8399">
        <f>HYPERLINK("C:\Users\franc\OneDrive\Documentos\MALENTIN KARIME\CESION\RESPALDO LUIS DIAZ\VARIOS 2008\EXP. RIO RAPEL a SOC. ENTRE RIOS.doc", "Abrir Documento")</f>
        <v>0</v>
      </c>
      <c r="D8399" t="s">
        <v>23500</v>
      </c>
      <c r="E8399" t="s">
        <v>30875</v>
      </c>
    </row>
    <row r="8400" spans="1:5">
      <c r="A8400" t="s">
        <v>6</v>
      </c>
      <c r="B8400" t="s">
        <v>8405</v>
      </c>
      <c r="C8400">
        <f>HYPERLINK("C:\Users\franc\OneDrive\Documentos\MALENTIN KARIME\CESION\RESPALDO LUIS DIAZ\VARIOS 2008\EXP. RIO RAPEL a PEDRO CORTES.doc", "Abrir Documento")</f>
        <v>0</v>
      </c>
      <c r="D8400" t="s">
        <v>23500</v>
      </c>
      <c r="E8400" t="s">
        <v>30876</v>
      </c>
    </row>
    <row r="8401" spans="1:5">
      <c r="A8401" t="s">
        <v>6</v>
      </c>
      <c r="B8401" t="s">
        <v>8406</v>
      </c>
      <c r="C8401">
        <f>HYPERLINK("C:\Users\franc\OneDrive\Documentos\MALENTIN KARIME\CESION\RESPALDO LUIS DIAZ\VARIOS 2008\EXP. RIO RAPEL a LUIS LARA LARA.doc", "Abrir Documento")</f>
        <v>0</v>
      </c>
      <c r="D8401" t="s">
        <v>23500</v>
      </c>
      <c r="E8401" t="s">
        <v>30877</v>
      </c>
    </row>
    <row r="8402" spans="1:5">
      <c r="A8402" t="s">
        <v>6</v>
      </c>
      <c r="B8402" t="s">
        <v>8407</v>
      </c>
      <c r="C8402">
        <f>HYPERLINK("C:\Users\franc\OneDrive\Documentos\MALENTIN KARIME\CESION\RESPALDO LUIS DIAZ\VARIOS 2008\EXP. RIO RAPEL a LUIS LARA Alz..doc", "Abrir Documento")</f>
        <v>0</v>
      </c>
      <c r="D8402" t="s">
        <v>23500</v>
      </c>
      <c r="E8402" t="s">
        <v>30878</v>
      </c>
    </row>
    <row r="8403" spans="1:5">
      <c r="A8403" t="s">
        <v>6</v>
      </c>
      <c r="B8403" t="s">
        <v>8408</v>
      </c>
      <c r="C8403">
        <f>HYPERLINK("C:\Users\franc\OneDrive\Documentos\MALENTIN KARIME\CESION\RESPALDO LUIS DIAZ\VARIOS 2008\EXP. RIO RAPEL a LUCIA JULIA.doc", "Abrir Documento")</f>
        <v>0</v>
      </c>
      <c r="D8403" t="s">
        <v>23500</v>
      </c>
      <c r="E8403" t="s">
        <v>30879</v>
      </c>
    </row>
    <row r="8404" spans="1:5">
      <c r="A8404" t="s">
        <v>6</v>
      </c>
      <c r="B8404" t="s">
        <v>8409</v>
      </c>
      <c r="C8404">
        <f>HYPERLINK("C:\Users\franc\OneDrive\Documentos\MALENTIN KARIME\CESION\RESPALDO LUIS DIAZ\VARIOS 2008\EXP. RIO RAPEL a FELICIANO ALBARADO.doc", "Abrir Documento")</f>
        <v>0</v>
      </c>
      <c r="D8404" t="s">
        <v>23500</v>
      </c>
      <c r="E8404" t="s">
        <v>30880</v>
      </c>
    </row>
    <row r="8405" spans="1:5">
      <c r="A8405" t="s">
        <v>6</v>
      </c>
      <c r="B8405" t="s">
        <v>8410</v>
      </c>
      <c r="C8405">
        <f>HYPERLINK("C:\Users\franc\OneDrive\Documentos\MALENTIN KARIME\CESION\RESPALDO LUIS DIAZ\VARIOS 2008\EXP. RIO RAPEL a EDO. IRIARTE.doc", "Abrir Documento")</f>
        <v>0</v>
      </c>
      <c r="D8405" t="s">
        <v>23500</v>
      </c>
      <c r="E8405" t="s">
        <v>30881</v>
      </c>
    </row>
    <row r="8406" spans="1:5">
      <c r="A8406" t="s">
        <v>6</v>
      </c>
      <c r="B8406" t="s">
        <v>8411</v>
      </c>
      <c r="C8406">
        <f>HYPERLINK("C:\Users\franc\OneDrive\Documentos\MALENTIN KARIME\CESION\RESPALDO LUIS DIAZ\VARIOS 2008\EXP. RIO RAPEL a AGRIC. BOU DE RAPEL.doc", "Abrir Documento")</f>
        <v>0</v>
      </c>
      <c r="D8406" t="s">
        <v>23500</v>
      </c>
      <c r="E8406" t="s">
        <v>30882</v>
      </c>
    </row>
    <row r="8407" spans="1:5">
      <c r="A8407" t="s">
        <v>6</v>
      </c>
      <c r="B8407" t="s">
        <v>8412</v>
      </c>
      <c r="C8407">
        <f>HYPERLINK("C:\Users\franc\OneDrive\Documentos\MALENTIN KARIME\CESION\RESPALDO LUIS DIAZ\VARIOS 2008\EXP. RIO RAPEL a AGR. STA ELIANA.doc", "Abrir Documento")</f>
        <v>0</v>
      </c>
      <c r="D8407" t="s">
        <v>23500</v>
      </c>
      <c r="E8407" t="s">
        <v>30883</v>
      </c>
    </row>
    <row r="8408" spans="1:5">
      <c r="A8408" t="s">
        <v>6</v>
      </c>
      <c r="B8408" t="s">
        <v>8413</v>
      </c>
      <c r="C8408">
        <f>HYPERLINK("C:\Users\franc\OneDrive\Documentos\MALENTIN KARIME\CESION\RESPALDO LUIS DIAZ\VARIOS 2008\EXP. RIO RAPEL a AGR. EL ALGARROBO.doc", "Abrir Documento")</f>
        <v>0</v>
      </c>
      <c r="D8408" t="s">
        <v>23500</v>
      </c>
      <c r="E8408" t="s">
        <v>30884</v>
      </c>
    </row>
    <row r="8409" spans="1:5">
      <c r="A8409" t="s">
        <v>6</v>
      </c>
      <c r="B8409" t="s">
        <v>8414</v>
      </c>
      <c r="C8409">
        <f>HYPERLINK("C:\Users\franc\OneDrive\Documentos\MALENTIN KARIME\CESION\RESPALDO LUIS DIAZ\VARIOS 2008\EVELYN SOLIS H. Refinanc. PET.doc", "Abrir Documento")</f>
        <v>0</v>
      </c>
      <c r="D8409" t="s">
        <v>23500</v>
      </c>
      <c r="E8409" t="s">
        <v>30885</v>
      </c>
    </row>
    <row r="8410" spans="1:5">
      <c r="A8410" t="s">
        <v>6</v>
      </c>
      <c r="B8410" t="s">
        <v>8415</v>
      </c>
      <c r="C8410">
        <f>HYPERLINK("C:\Users\franc\OneDrive\Documentos\MALENTIN KARIME\CESION\RESPALDO LUIS DIAZ\VARIOS 2008\EUGENIA GARCIA V. Refinanc. PET.doc", "Abrir Documento")</f>
        <v>0</v>
      </c>
      <c r="D8410" t="s">
        <v>23500</v>
      </c>
      <c r="E8410" t="s">
        <v>30886</v>
      </c>
    </row>
    <row r="8411" spans="1:5">
      <c r="A8411" t="s">
        <v>6</v>
      </c>
      <c r="B8411" t="s">
        <v>8416</v>
      </c>
      <c r="C8411">
        <f>HYPERLINK("C:\Users\franc\OneDrive\Documentos\MALENTIN KARIME\CESION\RESPALDO LUIS DIAZ\VARIOS 2008\ESTER VALVERDE O. Prot. Serviu.doc", "Abrir Documento")</f>
        <v>0</v>
      </c>
      <c r="D8411" t="s">
        <v>23500</v>
      </c>
      <c r="E8411" t="s">
        <v>30887</v>
      </c>
    </row>
    <row r="8412" spans="1:5">
      <c r="A8412" t="s">
        <v>6</v>
      </c>
      <c r="B8412" t="s">
        <v>8417</v>
      </c>
      <c r="C8412">
        <f>HYPERLINK("C:\Users\franc\OneDrive\Documentos\MALENTIN KARIME\CESION\RESPALDO LUIS DIAZ\VARIOS 2008\ESCRITO RIO HUATULAME.doc", "Abrir Documento")</f>
        <v>0</v>
      </c>
      <c r="D8412" t="s">
        <v>23500</v>
      </c>
      <c r="E8412" t="s">
        <v>30888</v>
      </c>
    </row>
    <row r="8413" spans="1:5">
      <c r="A8413" t="s">
        <v>6</v>
      </c>
      <c r="B8413" t="s">
        <v>8418</v>
      </c>
      <c r="C8413">
        <f>HYPERLINK("C:\Users\franc\OneDrive\Documentos\MALENTIN KARIME\CESION\RESPALDO LUIS DIAZ\VARIOS 2008\ERICA TELLO VEGA. Refinanc. Pet.doc", "Abrir Documento")</f>
        <v>0</v>
      </c>
      <c r="D8413" t="s">
        <v>23500</v>
      </c>
      <c r="E8413" t="s">
        <v>30889</v>
      </c>
    </row>
    <row r="8414" spans="1:5">
      <c r="A8414" t="s">
        <v>6</v>
      </c>
      <c r="B8414" t="s">
        <v>8419</v>
      </c>
      <c r="C8414">
        <f>HYPERLINK("C:\Users\franc\OneDrive\Documentos\MALENTIN KARIME\CESION\RESPALDO LUIS DIAZ\VARIOS 2008\ENY RODRIGUEZ T. Refinanc. Pet.doc", "Abrir Documento")</f>
        <v>0</v>
      </c>
      <c r="D8414" t="s">
        <v>23500</v>
      </c>
      <c r="E8414" t="s">
        <v>30890</v>
      </c>
    </row>
    <row r="8415" spans="1:5">
      <c r="A8415" t="s">
        <v>6</v>
      </c>
      <c r="B8415" t="s">
        <v>8420</v>
      </c>
      <c r="C8415">
        <f>HYPERLINK("C:\Users\franc\OneDrive\Documentos\MALENTIN KARIME\CESION\RESPALDO LUIS DIAZ\VARIOS 2008\ENRIQUE VEGA a NORMA PONCE Acdo Regulador.doc", "Abrir Documento")</f>
        <v>0</v>
      </c>
      <c r="D8415" t="s">
        <v>23500</v>
      </c>
      <c r="E8415" t="s">
        <v>30891</v>
      </c>
    </row>
    <row r="8416" spans="1:5">
      <c r="A8416" t="s">
        <v>6</v>
      </c>
      <c r="B8416" t="s">
        <v>8421</v>
      </c>
      <c r="C8416">
        <f>HYPERLINK("C:\Users\franc\OneDrive\Documentos\MALENTIN KARIME\CESION\RESPALDO LUIS DIAZ\VARIOS 2008\ENRIQUE SEGOVIA N. Alz. Hipoteca.doc", "Abrir Documento")</f>
        <v>0</v>
      </c>
      <c r="D8416" t="s">
        <v>23500</v>
      </c>
      <c r="E8416" t="s">
        <v>30892</v>
      </c>
    </row>
    <row r="8417" spans="1:5">
      <c r="A8417" t="s">
        <v>6</v>
      </c>
      <c r="B8417" t="s">
        <v>8422</v>
      </c>
      <c r="C8417">
        <f>HYPERLINK("C:\Users\franc\OneDrive\Documentos\MALENTIN KARIME\CESION\RESPALDO LUIS DIAZ\VARIOS 2008\ENCABEZADO NOTARIO.doc", "Abrir Documento")</f>
        <v>0</v>
      </c>
      <c r="D8417" t="s">
        <v>23500</v>
      </c>
      <c r="E8417" t="s">
        <v>30893</v>
      </c>
    </row>
    <row r="8418" spans="1:5">
      <c r="A8418" t="s">
        <v>6</v>
      </c>
      <c r="B8418" t="s">
        <v>8423</v>
      </c>
      <c r="C8418">
        <f>HYPERLINK("C:\Users\franc\OneDrive\Documentos\MALENTIN KARIME\CESION\RESPALDO LUIS DIAZ\VARIOS 2008\ENCABEZADO NOTARIO SUPL. Roberto Vega.doc", "Abrir Documento")</f>
        <v>0</v>
      </c>
      <c r="D8418" t="s">
        <v>23500</v>
      </c>
      <c r="E8418" t="s">
        <v>30894</v>
      </c>
    </row>
    <row r="8419" spans="1:5">
      <c r="A8419" t="s">
        <v>6</v>
      </c>
      <c r="B8419" t="s">
        <v>8424</v>
      </c>
      <c r="C8419">
        <f>HYPERLINK("C:\Users\franc\OneDrive\Documentos\MALENTIN KARIME\CESION\RESPALDO LUIS DIAZ\VARIOS 2008\ENCABEZADO NOTARIO SUPL. María Inés.doc", "Abrir Documento")</f>
        <v>0</v>
      </c>
      <c r="D8419" t="s">
        <v>23500</v>
      </c>
      <c r="E8419" t="s">
        <v>30895</v>
      </c>
    </row>
    <row r="8420" spans="1:5">
      <c r="A8420" t="s">
        <v>6</v>
      </c>
      <c r="B8420" t="s">
        <v>8425</v>
      </c>
      <c r="C8420">
        <f>HYPERLINK("C:\Users\franc\OneDrive\Documentos\MALENTIN KARIME\CESION\RESPALDO LUIS DIAZ\VARIOS 2008\EMILIO VELIZ.PRO.doc", "Abrir Documento")</f>
        <v>0</v>
      </c>
      <c r="D8420" t="s">
        <v>23500</v>
      </c>
      <c r="E8420" t="s">
        <v>30896</v>
      </c>
    </row>
    <row r="8421" spans="1:5">
      <c r="A8421" t="s">
        <v>6</v>
      </c>
      <c r="B8421" t="s">
        <v>8426</v>
      </c>
      <c r="C8421">
        <f>HYPERLINK("C:\Users\franc\OneDrive\Documentos\MALENTIN KARIME\CESION\RESPALDO LUIS DIAZ\VARIOS 2008\ELENA LAY CASTILLO Patria Potestad.doc", "Abrir Documento")</f>
        <v>0</v>
      </c>
      <c r="D8421" t="s">
        <v>23500</v>
      </c>
      <c r="E8421" t="s">
        <v>30897</v>
      </c>
    </row>
    <row r="8422" spans="1:5">
      <c r="A8422" t="s">
        <v>6</v>
      </c>
      <c r="B8422" t="s">
        <v>8427</v>
      </c>
      <c r="C8422">
        <f>HYPERLINK("C:\Users\franc\OneDrive\Documentos\MALENTIN KARIME\CESION\RESPALDO LUIS DIAZ\VARIOS 2008\EL DURAZNO de Pejerreyes.doc", "Abrir Documento")</f>
        <v>0</v>
      </c>
      <c r="D8422" t="s">
        <v>23500</v>
      </c>
      <c r="E8422" t="s">
        <v>30898</v>
      </c>
    </row>
    <row r="8423" spans="1:5">
      <c r="A8423" t="s">
        <v>6</v>
      </c>
      <c r="B8423" t="s">
        <v>8428</v>
      </c>
      <c r="C8423">
        <f>HYPERLINK("C:\Users\franc\OneDrive\Documentos\MALENTIN KARIME\CESION\RESPALDO LUIS DIAZ\VARIOS 2008\EKOPLANT con VINA FCO. DE AGUIRRE.doc", "Abrir Documento")</f>
        <v>0</v>
      </c>
      <c r="D8423" t="s">
        <v>23500</v>
      </c>
      <c r="E8423" t="s">
        <v>30899</v>
      </c>
    </row>
    <row r="8424" spans="1:5">
      <c r="A8424" t="s">
        <v>6</v>
      </c>
      <c r="B8424" t="s">
        <v>8429</v>
      </c>
      <c r="C8424">
        <f>HYPERLINK("C:\Users\franc\OneDrive\Documentos\MALENTIN KARIME\CESION\RESPALDO LUIS DIAZ\VARIOS 2008\EKOPLANT a CAPEL.doc", "Abrir Documento")</f>
        <v>0</v>
      </c>
      <c r="D8424" t="s">
        <v>23500</v>
      </c>
      <c r="E8424" t="s">
        <v>30900</v>
      </c>
    </row>
    <row r="8425" spans="1:5">
      <c r="A8425" t="s">
        <v>6</v>
      </c>
      <c r="B8425" t="s">
        <v>8430</v>
      </c>
      <c r="C8425">
        <f>HYPERLINK("C:\Users\franc\OneDrive\Documentos\MALENTIN KARIME\CESION\RESPALDO LUIS DIAZ\VARIOS 2008\EDWARD IRIARTE P. Sep. de Bienes.doc", "Abrir Documento")</f>
        <v>0</v>
      </c>
      <c r="D8425" t="s">
        <v>23500</v>
      </c>
      <c r="E8425" t="s">
        <v>30901</v>
      </c>
    </row>
    <row r="8426" spans="1:5">
      <c r="A8426" t="s">
        <v>6</v>
      </c>
      <c r="B8426" t="s">
        <v>8431</v>
      </c>
      <c r="C8426">
        <f>HYPERLINK("C:\Users\franc\OneDrive\Documentos\MALENTIN KARIME\CESION\RESPALDO LUIS DIAZ\VARIOS 2008\EDWARD IRIARTE P. Liq. Soc. Cony..doc", "Abrir Documento")</f>
        <v>0</v>
      </c>
      <c r="D8426" t="s">
        <v>23500</v>
      </c>
      <c r="E8426" t="s">
        <v>30902</v>
      </c>
    </row>
    <row r="8427" spans="1:5">
      <c r="A8427" t="s">
        <v>6</v>
      </c>
      <c r="B8427" t="s">
        <v>8432</v>
      </c>
      <c r="C8427">
        <f>HYPERLINK("C:\Users\franc\OneDrive\Documentos\MALENTIN KARIME\CESION\RESPALDO LUIS DIAZ\VARIOS 2008\EDUVINA CARVAJAL RUIZ Alz. Hipoteca.doc", "Abrir Documento")</f>
        <v>0</v>
      </c>
      <c r="D8427" t="s">
        <v>23500</v>
      </c>
      <c r="E8427" t="s">
        <v>30903</v>
      </c>
    </row>
    <row r="8428" spans="1:5">
      <c r="A8428" t="s">
        <v>6</v>
      </c>
      <c r="B8428" t="s">
        <v>8433</v>
      </c>
      <c r="C8428">
        <f>HYPERLINK("C:\Users\franc\OneDrive\Documentos\MALENTIN KARIME\CESION\RESPALDO LUIS DIAZ\VARIOS 2008\EDUVINA CARVAJAL Alz. Hipoteca Borrador.doc", "Abrir Documento")</f>
        <v>0</v>
      </c>
      <c r="D8428" t="s">
        <v>23500</v>
      </c>
      <c r="E8428" t="s">
        <v>30904</v>
      </c>
    </row>
    <row r="8429" spans="1:5">
      <c r="A8429" t="s">
        <v>6</v>
      </c>
      <c r="B8429" t="s">
        <v>8434</v>
      </c>
      <c r="C8429">
        <f>HYPERLINK("C:\Users\franc\OneDrive\Documentos\MALENTIN KARIME\CESION\RESPALDO LUIS DIAZ\VARIOS 2008\EDUARDO SANTIAGO M. Repudio.doc", "Abrir Documento")</f>
        <v>0</v>
      </c>
      <c r="D8429" t="s">
        <v>23500</v>
      </c>
      <c r="E8429" t="s">
        <v>30905</v>
      </c>
    </row>
    <row r="8430" spans="1:5">
      <c r="A8430" t="s">
        <v>6</v>
      </c>
      <c r="B8430" t="s">
        <v>8435</v>
      </c>
      <c r="C8430">
        <f>HYPERLINK("C:\Users\franc\OneDrive\Documentos\MALENTIN KARIME\CESION\RESPALDO LUIS DIAZ\VARIOS 2008\EDUARDO SANTANDER V..doc", "Abrir Documento")</f>
        <v>0</v>
      </c>
      <c r="D8430" t="s">
        <v>23500</v>
      </c>
      <c r="E8430" t="s">
        <v>30906</v>
      </c>
    </row>
    <row r="8431" spans="1:5">
      <c r="A8431" t="s">
        <v>6</v>
      </c>
      <c r="B8431" t="s">
        <v>8436</v>
      </c>
      <c r="C8431">
        <f>HYPERLINK("C:\Users\franc\OneDrive\Documentos\MALENTIN KARIME\CESION\RESPALDO LUIS DIAZ\VARIOS 2008\EDUARDO PENNA FABRES Informes Médicos.doc", "Abrir Documento")</f>
        <v>0</v>
      </c>
      <c r="D8431" t="s">
        <v>23500</v>
      </c>
      <c r="E8431" t="s">
        <v>30907</v>
      </c>
    </row>
    <row r="8432" spans="1:5">
      <c r="A8432" t="s">
        <v>6</v>
      </c>
      <c r="B8432" t="s">
        <v>8437</v>
      </c>
      <c r="C8432">
        <f>HYPERLINK("C:\Users\franc\OneDrive\Documentos\MALENTIN KARIME\CESION\RESPALDO LUIS DIAZ\VARIOS 2008\EDO. GONZALEZ GONZALEZ Separac..doc", "Abrir Documento")</f>
        <v>0</v>
      </c>
      <c r="D8432" t="s">
        <v>23500</v>
      </c>
      <c r="E8432" t="s">
        <v>30908</v>
      </c>
    </row>
    <row r="8433" spans="1:5">
      <c r="A8433" t="s">
        <v>6</v>
      </c>
      <c r="B8433" t="s">
        <v>8438</v>
      </c>
      <c r="C8433">
        <f>HYPERLINK("C:\Users\franc\OneDrive\Documentos\MALENTIN KARIME\CESION\RESPALDO LUIS DIAZ\VARIOS 2008\EDITH TOLEDO R. Refinanc. PET.doc", "Abrir Documento")</f>
        <v>0</v>
      </c>
      <c r="D8433" t="s">
        <v>23500</v>
      </c>
      <c r="E8433" t="s">
        <v>30909</v>
      </c>
    </row>
    <row r="8434" spans="1:5">
      <c r="A8434" t="s">
        <v>6</v>
      </c>
      <c r="B8434" t="s">
        <v>8439</v>
      </c>
      <c r="C8434">
        <f>HYPERLINK("C:\Users\franc\OneDrive\Documentos\MALENTIN KARIME\CESION\RESPALDO LUIS DIAZ\VARIOS 2008\EDA BARAHONA B. Aut. Servidumbre.doc", "Abrir Documento")</f>
        <v>0</v>
      </c>
      <c r="D8434" t="s">
        <v>23500</v>
      </c>
      <c r="E8434" t="s">
        <v>30910</v>
      </c>
    </row>
    <row r="8435" spans="1:5">
      <c r="A8435" t="s">
        <v>6</v>
      </c>
      <c r="B8435" t="s">
        <v>8440</v>
      </c>
      <c r="C8435">
        <f>HYPERLINK("C:\Users\franc\OneDrive\Documentos\MALENTIN KARIME\CESION\RESPALDO LUIS DIAZ\VARIOS 2008\DUNY BORQUEZ V. Ren. Gananciales.doc", "Abrir Documento")</f>
        <v>0</v>
      </c>
      <c r="D8435" t="s">
        <v>23500</v>
      </c>
      <c r="E8435" t="s">
        <v>30911</v>
      </c>
    </row>
    <row r="8436" spans="1:5">
      <c r="A8436" t="s">
        <v>6</v>
      </c>
      <c r="B8436" t="s">
        <v>8441</v>
      </c>
      <c r="C8436">
        <f>HYPERLINK("C:\Users\franc\OneDrive\Documentos\MALENTIN KARIME\CESION\RESPALDO LUIS DIAZ\VARIOS 2008\DORIS TAPIA H. Dcl. Jurada SII.doc", "Abrir Documento")</f>
        <v>0</v>
      </c>
      <c r="D8436" t="s">
        <v>23500</v>
      </c>
      <c r="E8436" t="s">
        <v>30912</v>
      </c>
    </row>
    <row r="8437" spans="1:5">
      <c r="A8437" t="s">
        <v>6</v>
      </c>
      <c r="B8437" t="s">
        <v>8442</v>
      </c>
      <c r="C8437">
        <f>HYPERLINK("C:\Users\franc\OneDrive\Documentos\MALENTIN KARIME\CESION\RESPALDO LUIS DIAZ\VARIOS 2008\DOMB Y CIA. LTDA. Dación.doc", "Abrir Documento")</f>
        <v>0</v>
      </c>
      <c r="D8437" t="s">
        <v>23500</v>
      </c>
      <c r="E8437" t="s">
        <v>30913</v>
      </c>
    </row>
    <row r="8438" spans="1:5">
      <c r="A8438" t="s">
        <v>6</v>
      </c>
      <c r="B8438" t="s">
        <v>8443</v>
      </c>
      <c r="C8438">
        <f>HYPERLINK("C:\Users\franc\OneDrive\Documentos\MALENTIN KARIME\CESION\RESPALDO LUIS DIAZ\VARIOS 2008\DOCUMENTOS2.CBR.doc", "Abrir Documento")</f>
        <v>0</v>
      </c>
      <c r="D8438" t="s">
        <v>23500</v>
      </c>
      <c r="E8438" t="s">
        <v>30914</v>
      </c>
    </row>
    <row r="8439" spans="1:5">
      <c r="A8439" t="s">
        <v>6</v>
      </c>
      <c r="B8439" t="s">
        <v>8444</v>
      </c>
      <c r="C8439">
        <f>HYPERLINK("C:\Users\franc\OneDrive\Documentos\MALENTIN KARIME\CESION\RESPALDO LUIS DIAZ\VARIOS 2008\DOCUMENTOS.CBR.doc", "Abrir Documento")</f>
        <v>0</v>
      </c>
      <c r="D8439" t="s">
        <v>23500</v>
      </c>
      <c r="E8439" t="s">
        <v>30915</v>
      </c>
    </row>
    <row r="8440" spans="1:5">
      <c r="A8440" t="s">
        <v>6</v>
      </c>
      <c r="B8440" t="s">
        <v>8445</v>
      </c>
      <c r="C8440">
        <f>HYPERLINK("C:\Users\franc\OneDrive\Documentos\MALENTIN KARIME\CESION\RESPALDO LUIS DIAZ\VARIOS 2008\DOCUMENTOS C.B.R. AGUAS.doc", "Abrir Documento")</f>
        <v>0</v>
      </c>
      <c r="D8440" t="s">
        <v>23500</v>
      </c>
      <c r="E8440" t="s">
        <v>30916</v>
      </c>
    </row>
    <row r="8441" spans="1:5">
      <c r="A8441" t="s">
        <v>6</v>
      </c>
      <c r="B8441" t="s">
        <v>8446</v>
      </c>
      <c r="C8441">
        <f>HYPERLINK("C:\Users\franc\OneDrive\Documentos\MALENTIN KARIME\CESION\RESPALDO LUIS DIAZ\VARIOS 2008\DIARIO OFICIAL. Aut..doc", "Abrir Documento")</f>
        <v>0</v>
      </c>
      <c r="D8441" t="s">
        <v>23500</v>
      </c>
      <c r="E8441" t="s">
        <v>30917</v>
      </c>
    </row>
    <row r="8442" spans="1:5">
      <c r="A8442" t="s">
        <v>6</v>
      </c>
      <c r="B8442" t="s">
        <v>8447</v>
      </c>
      <c r="C8442">
        <f>HYPERLINK("C:\Users\franc\OneDrive\Documentos\MALENTIN KARIME\CESION\RESPALDO LUIS DIAZ\VARIOS 2008\DELSON ROJAS M. Mutuo a la Vista.doc", "Abrir Documento")</f>
        <v>0</v>
      </c>
      <c r="D8442" t="s">
        <v>23500</v>
      </c>
      <c r="E8442" t="s">
        <v>30918</v>
      </c>
    </row>
    <row r="8443" spans="1:5">
      <c r="A8443" t="s">
        <v>6</v>
      </c>
      <c r="B8443" t="s">
        <v>8448</v>
      </c>
      <c r="C8443">
        <f>HYPERLINK("C:\Users\franc\OneDrive\Documentos\MALENTIN KARIME\CESION\RESPALDO LUIS DIAZ\VARIOS 2008\DELSON ROJAS a MARIO ROJAS Canc.Mutuo.doc", "Abrir Documento")</f>
        <v>0</v>
      </c>
      <c r="D8443" t="s">
        <v>23500</v>
      </c>
      <c r="E8443" t="s">
        <v>30919</v>
      </c>
    </row>
    <row r="8444" spans="1:5">
      <c r="A8444" t="s">
        <v>6</v>
      </c>
      <c r="B8444" t="s">
        <v>8449</v>
      </c>
      <c r="C8444">
        <f>HYPERLINK("C:\Users\franc\OneDrive\Documentos\MALENTIN KARIME\CESION\RESPALDO LUIS DIAZ\VARIOS 2008\DECLARACION Art. 260.doc", "Abrir Documento")</f>
        <v>0</v>
      </c>
      <c r="D8444" t="s">
        <v>23500</v>
      </c>
      <c r="E8444" t="s">
        <v>30920</v>
      </c>
    </row>
    <row r="8445" spans="1:5">
      <c r="A8445" t="s">
        <v>6</v>
      </c>
      <c r="B8445" t="s">
        <v>8450</v>
      </c>
      <c r="C8445">
        <f>HYPERLINK("C:\Users\franc\OneDrive\Documentos\MALENTIN KARIME\CESION\RESPALDO LUIS DIAZ\VARIOS 2008\DAVID HURTADO M. Dcl. Jurada.doc", "Abrir Documento")</f>
        <v>0</v>
      </c>
      <c r="D8445" t="s">
        <v>23500</v>
      </c>
      <c r="E8445" t="s">
        <v>30921</v>
      </c>
    </row>
    <row r="8446" spans="1:5">
      <c r="A8446" t="s">
        <v>6</v>
      </c>
      <c r="B8446" t="s">
        <v>8451</v>
      </c>
      <c r="C8446">
        <f>HYPERLINK("C:\Users\franc\OneDrive\Documentos\MALENTIN KARIME\CESION\RESPALDO LUIS DIAZ\VARIOS 2008\DAVID HURTADO M. Dcl. Jurada SII.doc", "Abrir Documento")</f>
        <v>0</v>
      </c>
      <c r="D8446" t="s">
        <v>23500</v>
      </c>
      <c r="E8446" t="s">
        <v>30922</v>
      </c>
    </row>
    <row r="8447" spans="1:5">
      <c r="A8447" t="s">
        <v>6</v>
      </c>
      <c r="B8447" t="s">
        <v>8452</v>
      </c>
      <c r="C8447">
        <f>HYPERLINK("C:\Users\franc\OneDrive\Documentos\MALENTIN KARIME\CESION\RESPALDO LUIS DIAZ\VARIOS 2008\DAVID HURTADO M. Carta Poder.doc", "Abrir Documento")</f>
        <v>0</v>
      </c>
      <c r="D8447" t="s">
        <v>23500</v>
      </c>
      <c r="E8447" t="s">
        <v>30923</v>
      </c>
    </row>
    <row r="8448" spans="1:5">
      <c r="A8448" t="s">
        <v>6</v>
      </c>
      <c r="B8448" t="s">
        <v>8453</v>
      </c>
      <c r="C8448">
        <f>HYPERLINK("C:\Users\franc\OneDrive\Documentos\MALENTIN KARIME\CESION\RESPALDO LUIS DIAZ\VARIOS 2008\DANISA SALDIVAR O. Carta Poder.doc", "Abrir Documento")</f>
        <v>0</v>
      </c>
      <c r="D8448" t="s">
        <v>23500</v>
      </c>
      <c r="E8448" t="s">
        <v>30924</v>
      </c>
    </row>
    <row r="8449" spans="1:5">
      <c r="A8449" t="s">
        <v>6</v>
      </c>
      <c r="B8449" t="s">
        <v>8454</v>
      </c>
      <c r="C8449">
        <f>HYPERLINK("C:\Users\franc\OneDrive\Documentos\MALENTIN KARIME\CESION\RESPALDO LUIS DIAZ\VARIOS 2008\DANIEL Aut.Salir del Pais.doc", "Abrir Documento")</f>
        <v>0</v>
      </c>
      <c r="D8449" t="s">
        <v>23500</v>
      </c>
      <c r="E8449" t="s">
        <v>30925</v>
      </c>
    </row>
    <row r="8450" spans="1:5">
      <c r="A8450" t="s">
        <v>6</v>
      </c>
      <c r="B8450" t="s">
        <v>8455</v>
      </c>
      <c r="C8450">
        <f>HYPERLINK("C:\Users\franc\OneDrive\Documentos\MALENTIN KARIME\CESION\RESPALDO LUIS DIAZ\VARIOS 2008\DAGOBERTO CARMONA Ren.Gananc.doc", "Abrir Documento")</f>
        <v>0</v>
      </c>
      <c r="D8450" t="s">
        <v>23500</v>
      </c>
      <c r="E8450" t="s">
        <v>30926</v>
      </c>
    </row>
    <row r="8451" spans="1:5">
      <c r="A8451" t="s">
        <v>6</v>
      </c>
      <c r="B8451" t="s">
        <v>8456</v>
      </c>
      <c r="C8451">
        <f>HYPERLINK("C:\Users\franc\OneDrive\Documentos\MALENTIN KARIME\CESION\RESPALDO LUIS DIAZ\VARIOS 2008\D.G.A. a HUGO PERINES Aut..doc", "Abrir Documento")</f>
        <v>0</v>
      </c>
      <c r="D8451" t="s">
        <v>23500</v>
      </c>
      <c r="E8451" t="s">
        <v>30927</v>
      </c>
    </row>
    <row r="8452" spans="1:5">
      <c r="A8452" t="s">
        <v>6</v>
      </c>
      <c r="B8452" t="s">
        <v>8457</v>
      </c>
      <c r="C8452">
        <f>HYPERLINK("C:\Users\franc\OneDrive\Documentos\MALENTIN KARIME\CESION\RESPALDO LUIS DIAZ\VARIOS 2008\CRISTIAN ESCOBAR.doc", "Abrir Documento")</f>
        <v>0</v>
      </c>
      <c r="D8452" t="s">
        <v>23500</v>
      </c>
      <c r="E8452" t="s">
        <v>30928</v>
      </c>
    </row>
    <row r="8453" spans="1:5">
      <c r="A8453" t="s">
        <v>6</v>
      </c>
      <c r="B8453" t="s">
        <v>8458</v>
      </c>
      <c r="C8453">
        <f>HYPERLINK("C:\Users\franc\OneDrive\Documentos\MALENTIN KARIME\CESION\RESPALDO LUIS DIAZ\VARIOS 2008\COTIZACION.doc", "Abrir Documento")</f>
        <v>0</v>
      </c>
      <c r="D8453" t="s">
        <v>23500</v>
      </c>
      <c r="E8453" t="s">
        <v>30929</v>
      </c>
    </row>
    <row r="8454" spans="1:5">
      <c r="A8454" t="s">
        <v>6</v>
      </c>
      <c r="B8454" t="s">
        <v>8459</v>
      </c>
      <c r="C8454">
        <f>HYPERLINK("C:\Users\franc\OneDrive\Documentos\MALENTIN KARIME\CESION\RESPALDO LUIS DIAZ\VARIOS 2008\CONSTRUCTORA RIO LIMARI.doc", "Abrir Documento")</f>
        <v>0</v>
      </c>
      <c r="D8454" t="s">
        <v>23500</v>
      </c>
      <c r="E8454" t="s">
        <v>30930</v>
      </c>
    </row>
    <row r="8455" spans="1:5">
      <c r="A8455" t="s">
        <v>6</v>
      </c>
      <c r="B8455" t="s">
        <v>8460</v>
      </c>
      <c r="C8455">
        <f>HYPERLINK("C:\Users\franc\OneDrive\Documentos\MALENTIN KARIME\CESION\RESPALDO LUIS DIAZ\VARIOS 2008\CONSTRUCTORA MAPUE LTD. Extracto.doc", "Abrir Documento")</f>
        <v>0</v>
      </c>
      <c r="D8455" t="s">
        <v>23500</v>
      </c>
      <c r="E8455" t="s">
        <v>30931</v>
      </c>
    </row>
    <row r="8456" spans="1:5">
      <c r="A8456" t="s">
        <v>6</v>
      </c>
      <c r="B8456" t="s">
        <v>8461</v>
      </c>
      <c r="C8456">
        <f>HYPERLINK("C:\Users\franc\OneDrive\Documentos\MALENTIN KARIME\CESION\RESPALDO LUIS DIAZ\VARIOS 2008\CONSTRUC. MAPUE a MIGUEL CASTRO Cv. y Prenda.doc", "Abrir Documento")</f>
        <v>0</v>
      </c>
      <c r="D8456" t="s">
        <v>23500</v>
      </c>
      <c r="E8456" t="s">
        <v>30932</v>
      </c>
    </row>
    <row r="8457" spans="1:5">
      <c r="A8457" t="s">
        <v>6</v>
      </c>
      <c r="B8457" t="s">
        <v>8462</v>
      </c>
      <c r="C8457">
        <f>HYPERLINK("C:\Users\franc\OneDrive\Documentos\MALENTIN KARIME\CESION\RESPALDO LUIS DIAZ\VARIOS 2008\COMUNIDAD LA CHACARILLA.doc", "Abrir Documento")</f>
        <v>0</v>
      </c>
      <c r="D8457" t="s">
        <v>23500</v>
      </c>
      <c r="E8457" t="s">
        <v>30933</v>
      </c>
    </row>
    <row r="8458" spans="1:5">
      <c r="A8458" t="s">
        <v>6</v>
      </c>
      <c r="B8458" t="s">
        <v>8463</v>
      </c>
      <c r="C8458">
        <f>HYPERLINK("C:\Users\franc\OneDrive\Documentos\MALENTIN KARIME\CESION\RESPALDO LUIS DIAZ\VARIOS 2008\COMUNIDAD INGA PICHASCA.doc", "Abrir Documento")</f>
        <v>0</v>
      </c>
      <c r="D8458" t="s">
        <v>23500</v>
      </c>
      <c r="E8458" t="s">
        <v>30934</v>
      </c>
    </row>
    <row r="8459" spans="1:5">
      <c r="A8459" t="s">
        <v>6</v>
      </c>
      <c r="B8459" t="s">
        <v>8464</v>
      </c>
      <c r="C8459">
        <f>HYPERLINK("C:\Users\franc\OneDrive\Documentos\MALENTIN KARIME\CESION\RESPALDO LUIS DIAZ\VARIOS 2008\COMUNIDAD DE ORURO.doc", "Abrir Documento")</f>
        <v>0</v>
      </c>
      <c r="D8459" t="s">
        <v>23500</v>
      </c>
      <c r="E8459" t="s">
        <v>30935</v>
      </c>
    </row>
    <row r="8460" spans="1:5">
      <c r="A8460" t="s">
        <v>6</v>
      </c>
      <c r="B8460" t="s">
        <v>8465</v>
      </c>
      <c r="C8460">
        <f>HYPERLINK("C:\Users\franc\OneDrive\Documentos\MALENTIN KARIME\CESION\RESPALDO LUIS DIAZ\VARIOS 2008\COMUNIDAD CHAPE-CHACAY.doc", "Abrir Documento")</f>
        <v>0</v>
      </c>
      <c r="D8460" t="s">
        <v>23500</v>
      </c>
      <c r="E8460" t="s">
        <v>30936</v>
      </c>
    </row>
    <row r="8461" spans="1:5">
      <c r="A8461" t="s">
        <v>6</v>
      </c>
      <c r="B8461" t="s">
        <v>8466</v>
      </c>
      <c r="C8461">
        <f>HYPERLINK("C:\Users\franc\OneDrive\Documentos\MALENTIN KARIME\CESION\RESPALDO LUIS DIAZ\VARIOS 2008\COMUNIDAD AGRICOLA ORURO.doc", "Abrir Documento")</f>
        <v>0</v>
      </c>
      <c r="D8461" t="s">
        <v>23500</v>
      </c>
      <c r="E8461" t="s">
        <v>30937</v>
      </c>
    </row>
    <row r="8462" spans="1:5">
      <c r="A8462" t="s">
        <v>6</v>
      </c>
      <c r="B8462" t="s">
        <v>8467</v>
      </c>
      <c r="C8462">
        <f>HYPERLINK("C:\Users\franc\OneDrive\Documentos\MALENTIN KARIME\CESION\RESPALDO LUIS DIAZ\VARIOS 2008\COMUN. INGA PICHASCA.doc", "Abrir Documento")</f>
        <v>0</v>
      </c>
      <c r="D8462" t="s">
        <v>23500</v>
      </c>
      <c r="E8462" t="s">
        <v>30938</v>
      </c>
    </row>
    <row r="8463" spans="1:5">
      <c r="A8463" t="s">
        <v>6</v>
      </c>
      <c r="B8463" t="s">
        <v>8468</v>
      </c>
      <c r="C8463">
        <f>HYPERLINK("C:\Users\franc\OneDrive\Documentos\MALENTIN KARIME\CESION\RESPALDO LUIS DIAZ\VARIOS 2008\Compraventa María del Carmen.doc", "Abrir Documento")</f>
        <v>0</v>
      </c>
      <c r="D8463" t="s">
        <v>23500</v>
      </c>
      <c r="E8463" t="s">
        <v>30939</v>
      </c>
    </row>
    <row r="8464" spans="1:5">
      <c r="A8464" t="s">
        <v>6</v>
      </c>
      <c r="B8464" t="s">
        <v>8469</v>
      </c>
      <c r="C8464">
        <f>HYPERLINK("C:\Users\franc\OneDrive\Documentos\MALENTIN KARIME\CESION\RESPALDO LUIS DIAZ\VARIOS 2008\COMITE PRO-CASAS EL GUINDO.doc", "Abrir Documento")</f>
        <v>0</v>
      </c>
      <c r="D8464" t="s">
        <v>23500</v>
      </c>
      <c r="E8464" t="s">
        <v>30940</v>
      </c>
    </row>
    <row r="8465" spans="1:5">
      <c r="A8465" t="s">
        <v>6</v>
      </c>
      <c r="B8465" t="s">
        <v>8470</v>
      </c>
      <c r="C8465">
        <f>HYPERLINK("C:\Users\franc\OneDrive\Documentos\MALENTIN KARIME\CESION\RESPALDO LUIS DIAZ\VARIOS 2008\COMITE PRO-CASA PADRE PIO.doc", "Abrir Documento")</f>
        <v>0</v>
      </c>
      <c r="D8465" t="s">
        <v>23500</v>
      </c>
      <c r="E8465" t="s">
        <v>30941</v>
      </c>
    </row>
    <row r="8466" spans="1:5">
      <c r="A8466" t="s">
        <v>6</v>
      </c>
      <c r="B8466" t="s">
        <v>8471</v>
      </c>
      <c r="C8466">
        <f>HYPERLINK("C:\Users\franc\OneDrive\Documentos\MALENTIN KARIME\CESION\RESPALDO LUIS DIAZ\VARIOS 2008\COMITE AGUA POT. LA HIGUERA DE P.2.doc", "Abrir Documento")</f>
        <v>0</v>
      </c>
      <c r="D8466" t="s">
        <v>23500</v>
      </c>
      <c r="E8466" t="s">
        <v>30942</v>
      </c>
    </row>
    <row r="8467" spans="1:5">
      <c r="A8467" t="s">
        <v>6</v>
      </c>
      <c r="B8467" t="s">
        <v>8472</v>
      </c>
      <c r="C8467">
        <f>HYPERLINK("C:\Users\franc\OneDrive\Documentos\MALENTIN KARIME\CESION\RESPALDO LUIS DIAZ\VARIOS 2008\COMITE AGUA POT. LA HIGUERA DE P..doc", "Abrir Documento")</f>
        <v>0</v>
      </c>
      <c r="D8467" t="s">
        <v>23500</v>
      </c>
      <c r="E8467" t="s">
        <v>30943</v>
      </c>
    </row>
    <row r="8468" spans="1:5">
      <c r="A8468" t="s">
        <v>6</v>
      </c>
      <c r="B8468" t="s">
        <v>8473</v>
      </c>
      <c r="C8468">
        <f>HYPERLINK("C:\Users\franc\OneDrive\Documentos\MALENTIN KARIME\CESION\RESPALDO LUIS DIAZ\VARIOS 2008\COMERCIAL MC S.A..doc", "Abrir Documento")</f>
        <v>0</v>
      </c>
      <c r="D8468" t="s">
        <v>23500</v>
      </c>
      <c r="E8468" t="s">
        <v>30944</v>
      </c>
    </row>
    <row r="8469" spans="1:5">
      <c r="A8469" t="s">
        <v>6</v>
      </c>
      <c r="B8469" t="s">
        <v>8474</v>
      </c>
      <c r="C8469">
        <f>HYPERLINK("C:\Users\franc\OneDrive\Documentos\MALENTIN KARIME\CESION\RESPALDO LUIS DIAZ\VARIOS 2008\COM. LOS MAITENES SAMO ALTO II.doc", "Abrir Documento")</f>
        <v>0</v>
      </c>
      <c r="D8469" t="s">
        <v>23500</v>
      </c>
      <c r="E8469" t="s">
        <v>30945</v>
      </c>
    </row>
    <row r="8470" spans="1:5">
      <c r="A8470" t="s">
        <v>6</v>
      </c>
      <c r="B8470" t="s">
        <v>8475</v>
      </c>
      <c r="C8470">
        <f>HYPERLINK("C:\Users\franc\OneDrive\Documentos\MALENTIN KARIME\CESION\RESPALDO LUIS DIAZ\VARIOS 2008\COM. LOS MAITENES DE SAMO ALTO.doc", "Abrir Documento")</f>
        <v>0</v>
      </c>
      <c r="D8470" t="s">
        <v>23500</v>
      </c>
      <c r="E8470" t="s">
        <v>30946</v>
      </c>
    </row>
    <row r="8471" spans="1:5">
      <c r="A8471" t="s">
        <v>6</v>
      </c>
      <c r="B8471" t="s">
        <v>8476</v>
      </c>
      <c r="C8471">
        <f>HYPERLINK("C:\Users\franc\OneDrive\Documentos\MALENTIN KARIME\CESION\RESPALDO LUIS DIAZ\VARIOS 2008\COM. DE AGUAS COMPUERTA N. 6.doc", "Abrir Documento")</f>
        <v>0</v>
      </c>
      <c r="D8471" t="s">
        <v>23500</v>
      </c>
      <c r="E8471" t="s">
        <v>30947</v>
      </c>
    </row>
    <row r="8472" spans="1:5">
      <c r="A8472" t="s">
        <v>6</v>
      </c>
      <c r="B8472" t="s">
        <v>8477</v>
      </c>
      <c r="C8472">
        <f>HYPERLINK("C:\Users\franc\OneDrive\Documentos\MALENTIN KARIME\CESION\RESPALDO LUIS DIAZ\VARIOS 2008\COM. AGUAS COMPUERTA N. 6.doc", "Abrir Documento")</f>
        <v>0</v>
      </c>
      <c r="D8472" t="s">
        <v>23500</v>
      </c>
      <c r="E8472" t="s">
        <v>30948</v>
      </c>
    </row>
    <row r="8473" spans="1:5">
      <c r="A8473" t="s">
        <v>6</v>
      </c>
      <c r="B8473" t="s">
        <v>8478</v>
      </c>
      <c r="C8473">
        <f>HYPERLINK("C:\Users\franc\OneDrive\Documentos\MALENTIN KARIME\CESION\RESPALDO LUIS DIAZ\VARIOS 2008\COM. AGRICOLA LAS DAMAS.doc", "Abrir Documento")</f>
        <v>0</v>
      </c>
      <c r="D8473" t="s">
        <v>23500</v>
      </c>
      <c r="E8473" t="s">
        <v>30949</v>
      </c>
    </row>
    <row r="8474" spans="1:5">
      <c r="A8474" t="s">
        <v>6</v>
      </c>
      <c r="B8474" t="s">
        <v>8479</v>
      </c>
      <c r="C8474">
        <f>HYPERLINK("C:\Users\franc\OneDrive\Documentos\MALENTIN KARIME\CESION\RESPALDO LUIS DIAZ\VARIOS 2008\COM. AGR. EL POTRERO Poder Esp. NEXTEL.doc", "Abrir Documento")</f>
        <v>0</v>
      </c>
      <c r="D8474" t="s">
        <v>23500</v>
      </c>
      <c r="E8474" t="s">
        <v>30950</v>
      </c>
    </row>
    <row r="8475" spans="1:5">
      <c r="A8475" t="s">
        <v>6</v>
      </c>
      <c r="B8475" t="s">
        <v>8480</v>
      </c>
      <c r="C8475">
        <f>HYPERLINK("C:\Users\franc\OneDrive\Documentos\MALENTIN KARIME\CESION\RESPALDO LUIS DIAZ\VARIOS 2008\COM. AGR. EL POTRERO HUATULAME.doc", "Abrir Documento")</f>
        <v>0</v>
      </c>
      <c r="D8475" t="s">
        <v>23500</v>
      </c>
      <c r="E8475" t="s">
        <v>30951</v>
      </c>
    </row>
    <row r="8476" spans="1:5">
      <c r="A8476" t="s">
        <v>6</v>
      </c>
      <c r="B8476" t="s">
        <v>8481</v>
      </c>
      <c r="C8476">
        <f>HYPERLINK("C:\Users\franc\OneDrive\Documentos\MALENTIN KARIME\CESION\RESPALDO LUIS DIAZ\VARIOS 2008\COM. AGR. EL POTRERO Dcl. Jurada NEXTEL.doc", "Abrir Documento")</f>
        <v>0</v>
      </c>
      <c r="D8476" t="s">
        <v>23500</v>
      </c>
      <c r="E8476" t="s">
        <v>30952</v>
      </c>
    </row>
    <row r="8477" spans="1:5">
      <c r="A8477" t="s">
        <v>6</v>
      </c>
      <c r="B8477" t="s">
        <v>8482</v>
      </c>
      <c r="C8477">
        <f>HYPERLINK("C:\Users\franc\OneDrive\Documentos\MALENTIN KARIME\CESION\RESPALDO LUIS DIAZ\VARIOS 2008\COM. AGR. EL POTRERO Aut.Empalme NEXTEL.doc", "Abrir Documento")</f>
        <v>0</v>
      </c>
      <c r="D8477" t="s">
        <v>23500</v>
      </c>
      <c r="E8477" t="s">
        <v>30953</v>
      </c>
    </row>
    <row r="8478" spans="1:5">
      <c r="A8478" t="s">
        <v>6</v>
      </c>
      <c r="B8478" t="s">
        <v>8483</v>
      </c>
      <c r="C8478">
        <f>HYPERLINK("C:\Users\franc\OneDrive\Documentos\MALENTIN KARIME\CESION\RESPALDO LUIS DIAZ\VARIOS 2008\CLUB PESCA Y CAZA ARTESANOS.doc", "Abrir Documento")</f>
        <v>0</v>
      </c>
      <c r="D8478" t="s">
        <v>23500</v>
      </c>
      <c r="E8478" t="s">
        <v>30954</v>
      </c>
    </row>
    <row r="8479" spans="1:5">
      <c r="A8479" t="s">
        <v>6</v>
      </c>
      <c r="B8479" t="s">
        <v>8484</v>
      </c>
      <c r="C8479">
        <f>HYPERLINK("C:\Users\franc\OneDrive\Documentos\MALENTIN KARIME\CESION\RESPALDO LUIS DIAZ\VARIOS 2008\CLUB DEL RODEO CHILENO.doc", "Abrir Documento")</f>
        <v>0</v>
      </c>
      <c r="D8479" t="s">
        <v>23500</v>
      </c>
      <c r="E8479" t="s">
        <v>30955</v>
      </c>
    </row>
    <row r="8480" spans="1:5">
      <c r="A8480" t="s">
        <v>6</v>
      </c>
      <c r="B8480" t="s">
        <v>8485</v>
      </c>
      <c r="C8480">
        <f>HYPERLINK("C:\Users\franc\OneDrive\Documentos\MALENTIN KARIME\CESION\RESPALDO LUIS DIAZ\VARIOS 2008\CLUB DE TENIS LIMARI.doc", "Abrir Documento")</f>
        <v>0</v>
      </c>
      <c r="D8480" t="s">
        <v>23500</v>
      </c>
      <c r="E8480" t="s">
        <v>30956</v>
      </c>
    </row>
    <row r="8481" spans="1:5">
      <c r="A8481" t="s">
        <v>6</v>
      </c>
      <c r="B8481" t="s">
        <v>8486</v>
      </c>
      <c r="C8481">
        <f>HYPERLINK("C:\Users\franc\OneDrive\Documentos\MALENTIN KARIME\CESION\RESPALDO LUIS DIAZ\VARIOS 2008\CLUB DE RODEO OVALLE a PAULINA GALVEZ Alz..doc", "Abrir Documento")</f>
        <v>0</v>
      </c>
      <c r="D8481" t="s">
        <v>23500</v>
      </c>
      <c r="E8481" t="s">
        <v>30957</v>
      </c>
    </row>
    <row r="8482" spans="1:5">
      <c r="A8482" t="s">
        <v>6</v>
      </c>
      <c r="B8482" t="s">
        <v>8487</v>
      </c>
      <c r="C8482">
        <f>HYPERLINK("C:\Users\franc\OneDrive\Documentos\MALENTIN KARIME\CESION\RESPALDO LUIS DIAZ\VARIOS 2008\CLUB A. MAYOR STA BERNARDITA.doc", "Abrir Documento")</f>
        <v>0</v>
      </c>
      <c r="D8482" t="s">
        <v>23500</v>
      </c>
      <c r="E8482" t="s">
        <v>30958</v>
      </c>
    </row>
    <row r="8483" spans="1:5">
      <c r="A8483" t="s">
        <v>6</v>
      </c>
      <c r="B8483" t="s">
        <v>8488</v>
      </c>
      <c r="C8483">
        <f>HYPERLINK("C:\Users\franc\OneDrive\Documentos\MALENTIN KARIME\CESION\RESPALDO LUIS DIAZ\VARIOS 2008\CLAUSULA.doc", "Abrir Documento")</f>
        <v>0</v>
      </c>
      <c r="D8483" t="s">
        <v>23500</v>
      </c>
      <c r="E8483" t="s">
        <v>30959</v>
      </c>
    </row>
    <row r="8484" spans="1:5">
      <c r="A8484" t="s">
        <v>6</v>
      </c>
      <c r="B8484" t="s">
        <v>8489</v>
      </c>
      <c r="C8484">
        <f>HYPERLINK("C:\Users\franc\OneDrive\Documentos\MALENTIN KARIME\CESION\RESPALDO LUIS DIAZ\VARIOS 2008\CLAUDIO RIVERA - REPUDIO.doc", "Abrir Documento")</f>
        <v>0</v>
      </c>
      <c r="D8484" t="s">
        <v>23500</v>
      </c>
      <c r="E8484" t="s">
        <v>30960</v>
      </c>
    </row>
    <row r="8485" spans="1:5">
      <c r="A8485" t="s">
        <v>6</v>
      </c>
      <c r="B8485" t="s">
        <v>8490</v>
      </c>
      <c r="C8485">
        <f>HYPERLINK("C:\Users\franc\OneDrive\Documentos\MALENTIN KARIME\CESION\RESPALDO LUIS DIAZ\VARIOS 2008\CLAUDIO CASTILLO V. Refinanc. PET.doc", "Abrir Documento")</f>
        <v>0</v>
      </c>
      <c r="D8485" t="s">
        <v>23500</v>
      </c>
      <c r="E8485" t="s">
        <v>30961</v>
      </c>
    </row>
    <row r="8486" spans="1:5">
      <c r="A8486" t="s">
        <v>6</v>
      </c>
      <c r="B8486" t="s">
        <v>8491</v>
      </c>
      <c r="C8486">
        <f>HYPERLINK("C:\Users\franc\OneDrive\Documentos\MALENTIN KARIME\CESION\RESPALDO LUIS DIAZ\VARIOS 2008\CIA. MRA. D. TELLO a EDGARDO TELLO Mutuo.doc", "Abrir Documento")</f>
        <v>0</v>
      </c>
      <c r="D8486" t="s">
        <v>23500</v>
      </c>
      <c r="E8486" t="s">
        <v>30962</v>
      </c>
    </row>
    <row r="8487" spans="1:5">
      <c r="A8487" t="s">
        <v>6</v>
      </c>
      <c r="B8487" t="s">
        <v>8492</v>
      </c>
      <c r="C8487">
        <f>HYPERLINK("C:\Users\franc\OneDrive\Documentos\MALENTIN KARIME\CESION\RESPALDO LUIS DIAZ\VARIOS 2008\CIA. DELTA S.A.I.C. y OTROS Transacción.doc", "Abrir Documento")</f>
        <v>0</v>
      </c>
      <c r="D8487" t="s">
        <v>23500</v>
      </c>
      <c r="E8487" t="s">
        <v>30963</v>
      </c>
    </row>
    <row r="8488" spans="1:5">
      <c r="A8488" t="s">
        <v>6</v>
      </c>
      <c r="B8488" t="s">
        <v>8493</v>
      </c>
      <c r="C8488">
        <f>HYPERLINK("C:\Users\franc\OneDrive\Documentos\MALENTIN KARIME\CESION\RESPALDO LUIS DIAZ\VARIOS 2008\CIA. DELTA S.A.I.C. y OTROS Transacción S. Nettle.doc", "Abrir Documento")</f>
        <v>0</v>
      </c>
      <c r="D8488" t="s">
        <v>23500</v>
      </c>
      <c r="E8488" t="s">
        <v>30964</v>
      </c>
    </row>
    <row r="8489" spans="1:5">
      <c r="A8489" t="s">
        <v>6</v>
      </c>
      <c r="B8489" t="s">
        <v>8494</v>
      </c>
      <c r="C8489">
        <f>HYPERLINK("C:\Users\franc\OneDrive\Documentos\MALENTIN KARIME\CESION\RESPALDO LUIS DIAZ\VARIOS 2008\CIA. DELTA S.A.I.C. Transacción Corregida.doc", "Abrir Documento")</f>
        <v>0</v>
      </c>
      <c r="D8489" t="s">
        <v>23500</v>
      </c>
      <c r="E8489" t="s">
        <v>30965</v>
      </c>
    </row>
    <row r="8490" spans="1:5">
      <c r="A8490" t="s">
        <v>6</v>
      </c>
      <c r="B8490" t="s">
        <v>8495</v>
      </c>
      <c r="C8490">
        <f>HYPERLINK("C:\Users\franc\OneDrive\Documentos\MALENTIN KARIME\CESION\RESPALDO LUIS DIAZ\VARIOS 2008\CHRISTIAN AGUIRRE a COPEVAL S.A. Prenda.doc", "Abrir Documento")</f>
        <v>0</v>
      </c>
      <c r="D8490" t="s">
        <v>23500</v>
      </c>
      <c r="E8490" t="s">
        <v>30966</v>
      </c>
    </row>
    <row r="8491" spans="1:5">
      <c r="A8491" t="s">
        <v>6</v>
      </c>
      <c r="B8491" t="s">
        <v>8496</v>
      </c>
      <c r="C8491">
        <f>HYPERLINK("C:\Users\franc\OneDrive\Documentos\MALENTIN KARIME\CESION\RESPALDO LUIS DIAZ\VARIOS 2008\CERTIFICADOS.doc", "Abrir Documento")</f>
        <v>0</v>
      </c>
      <c r="D8491" t="s">
        <v>23500</v>
      </c>
      <c r="E8491" t="s">
        <v>30967</v>
      </c>
    </row>
    <row r="8492" spans="1:5">
      <c r="A8492" t="s">
        <v>6</v>
      </c>
      <c r="B8492" t="s">
        <v>8497</v>
      </c>
      <c r="C8492">
        <f>HYPERLINK("C:\Users\franc\OneDrive\Documentos\MALENTIN KARIME\CESION\RESPALDO LUIS DIAZ\VARIOS 2008\CERTIFICADOS.2.doc", "Abrir Documento")</f>
        <v>0</v>
      </c>
      <c r="D8492" t="s">
        <v>23500</v>
      </c>
      <c r="E8492" t="s">
        <v>30968</v>
      </c>
    </row>
    <row r="8493" spans="1:5">
      <c r="A8493" t="s">
        <v>6</v>
      </c>
      <c r="B8493" t="s">
        <v>8498</v>
      </c>
      <c r="C8493">
        <f>HYPERLINK("C:\Users\franc\OneDrive\Documentos\MALENTIN KARIME\CESION\RESPALDO LUIS DIAZ\VARIOS 2008\Certificado Matrimonio al margen.doc", "Abrir Documento")</f>
        <v>0</v>
      </c>
      <c r="D8493" t="s">
        <v>23500</v>
      </c>
      <c r="E8493" t="s">
        <v>30969</v>
      </c>
    </row>
    <row r="8494" spans="1:5">
      <c r="A8494" t="s">
        <v>6</v>
      </c>
      <c r="B8494" t="s">
        <v>8499</v>
      </c>
      <c r="C8494">
        <f>HYPERLINK("C:\Users\franc\OneDrive\Documentos\MALENTIN KARIME\CESION\RESPALDO LUIS DIAZ\VARIOS 2008\CERTIFICADO DE MATRIMONIO.doc", "Abrir Documento")</f>
        <v>0</v>
      </c>
      <c r="D8494" t="s">
        <v>23500</v>
      </c>
      <c r="E8494" t="s">
        <v>30970</v>
      </c>
    </row>
    <row r="8495" spans="1:5">
      <c r="A8495" t="s">
        <v>6</v>
      </c>
      <c r="B8495" t="s">
        <v>8500</v>
      </c>
      <c r="C8495">
        <f>HYPERLINK("C:\Users\franc\OneDrive\Documentos\MALENTIN KARIME\CESION\RESPALDO LUIS DIAZ\VARIOS 2008\CERTIF. ASIGNAC. ROLES Protocoliz..doc", "Abrir Documento")</f>
        <v>0</v>
      </c>
      <c r="D8495" t="s">
        <v>23500</v>
      </c>
      <c r="E8495" t="s">
        <v>30971</v>
      </c>
    </row>
    <row r="8496" spans="1:5">
      <c r="A8496" t="s">
        <v>6</v>
      </c>
      <c r="B8496" t="s">
        <v>8501</v>
      </c>
      <c r="C8496">
        <f>HYPERLINK("C:\Users\franc\OneDrive\Documentos\MALENTIN KARIME\CESION\RESPALDO LUIS DIAZ\VARIOS 2008\CECILIA AGUIRRE C. Ref. Pet.doc", "Abrir Documento")</f>
        <v>0</v>
      </c>
      <c r="D8496" t="s">
        <v>23500</v>
      </c>
      <c r="E8496" t="s">
        <v>30972</v>
      </c>
    </row>
    <row r="8497" spans="1:5">
      <c r="A8497" t="s">
        <v>6</v>
      </c>
      <c r="B8497" t="s">
        <v>8502</v>
      </c>
      <c r="C8497">
        <f>HYPERLINK("C:\Users\franc\OneDrive\Documentos\MALENTIN KARIME\CESION\RESPALDO LUIS DIAZ\VARIOS 2008\CARTA TESORERO REGIONAL.doc", "Abrir Documento")</f>
        <v>0</v>
      </c>
      <c r="D8497" t="s">
        <v>23500</v>
      </c>
      <c r="E8497" t="s">
        <v>30973</v>
      </c>
    </row>
    <row r="8498" spans="1:5">
      <c r="A8498" t="s">
        <v>6</v>
      </c>
      <c r="B8498" t="s">
        <v>8503</v>
      </c>
      <c r="C8498">
        <f>HYPERLINK("C:\Users\franc\OneDrive\Documentos\MALENTIN KARIME\CESION\RESPALDO LUIS DIAZ\VARIOS 2008\CARTA SERCOTEC.doc", "Abrir Documento")</f>
        <v>0</v>
      </c>
      <c r="D8498" t="s">
        <v>23500</v>
      </c>
      <c r="E8498" t="s">
        <v>30974</v>
      </c>
    </row>
    <row r="8499" spans="1:5">
      <c r="A8499" t="s">
        <v>6</v>
      </c>
      <c r="B8499" t="s">
        <v>8504</v>
      </c>
      <c r="C8499">
        <f>HYPERLINK("C:\Users\franc\OneDrive\Documentos\MALENTIN KARIME\CESION\RESPALDO LUIS DIAZ\VARIOS 2008\CARTA RENUNCIA.doc", "Abrir Documento")</f>
        <v>0</v>
      </c>
      <c r="D8499" t="s">
        <v>23500</v>
      </c>
      <c r="E8499" t="s">
        <v>30975</v>
      </c>
    </row>
    <row r="8500" spans="1:5">
      <c r="A8500" t="s">
        <v>6</v>
      </c>
      <c r="B8500" t="s">
        <v>8505</v>
      </c>
      <c r="C8500">
        <f>HYPERLINK("C:\Users\franc\OneDrive\Documentos\MALENTIN KARIME\CESION\RESPALDO LUIS DIAZ\VARIOS 2008\CARTA PODER.VEH.doc", "Abrir Documento")</f>
        <v>0</v>
      </c>
      <c r="D8500" t="s">
        <v>23500</v>
      </c>
      <c r="E8500" t="s">
        <v>30976</v>
      </c>
    </row>
    <row r="8501" spans="1:5">
      <c r="A8501" t="s">
        <v>6</v>
      </c>
      <c r="B8501" t="s">
        <v>8506</v>
      </c>
      <c r="C8501">
        <f>HYPERLINK("C:\Users\franc\OneDrive\Documentos\MALENTIN KARIME\CESION\RESPALDO LUIS DIAZ\VARIOS 2008\CARTA PODER Retirar Cheque.doc", "Abrir Documento")</f>
        <v>0</v>
      </c>
      <c r="D8501" t="s">
        <v>23500</v>
      </c>
      <c r="E8501" t="s">
        <v>30977</v>
      </c>
    </row>
    <row r="8502" spans="1:5">
      <c r="A8502" t="s">
        <v>6</v>
      </c>
      <c r="B8502" t="s">
        <v>8507</v>
      </c>
      <c r="C8502">
        <f>HYPERLINK("C:\Users\franc\OneDrive\Documentos\MALENTIN KARIME\CESION\RESPALDO LUIS DIAZ\VARIOS 2008\CARTA PODER REGULARIZ. TITULO.doc", "Abrir Documento")</f>
        <v>0</v>
      </c>
      <c r="D8502" t="s">
        <v>23500</v>
      </c>
      <c r="E8502" t="s">
        <v>30978</v>
      </c>
    </row>
    <row r="8503" spans="1:5">
      <c r="A8503" t="s">
        <v>6</v>
      </c>
      <c r="B8503" t="s">
        <v>8508</v>
      </c>
      <c r="C8503">
        <f>HYPERLINK("C:\Users\franc\OneDrive\Documentos\MALENTIN KARIME\CESION\RESPALDO LUIS DIAZ\VARIOS 2008\CARTA PODER Eliminar Rol.doc", "Abrir Documento")</f>
        <v>0</v>
      </c>
      <c r="D8503" t="s">
        <v>23500</v>
      </c>
      <c r="E8503" t="s">
        <v>30979</v>
      </c>
    </row>
    <row r="8504" spans="1:5">
      <c r="A8504" t="s">
        <v>6</v>
      </c>
      <c r="B8504" t="s">
        <v>8509</v>
      </c>
      <c r="C8504">
        <f>HYPERLINK("C:\Users\franc\OneDrive\Documentos\MALENTIN KARIME\CESION\RESPALDO LUIS DIAZ\VARIOS 2008\CARTA MUNICIPALIDAD OVALLE.doc", "Abrir Documento")</f>
        <v>0</v>
      </c>
      <c r="D8504" t="s">
        <v>23500</v>
      </c>
      <c r="E8504" t="s">
        <v>30980</v>
      </c>
    </row>
    <row r="8505" spans="1:5">
      <c r="A8505" t="s">
        <v>6</v>
      </c>
      <c r="B8505" t="s">
        <v>8510</v>
      </c>
      <c r="C8505">
        <f>HYPERLINK("C:\Users\franc\OneDrive\Documentos\MALENTIN KARIME\CESION\RESPALDO LUIS DIAZ\VARIOS 2008\CARTA MAGISTRADO 3º JUZGADO.doc", "Abrir Documento")</f>
        <v>0</v>
      </c>
      <c r="D8505" t="s">
        <v>23500</v>
      </c>
      <c r="E8505" t="s">
        <v>30981</v>
      </c>
    </row>
    <row r="8506" spans="1:5">
      <c r="A8506" t="s">
        <v>6</v>
      </c>
      <c r="B8506" t="s">
        <v>8511</v>
      </c>
      <c r="C8506">
        <f>HYPERLINK("C:\Users\franc\OneDrive\Documentos\MALENTIN KARIME\CESION\RESPALDO LUIS DIAZ\VARIOS 2008\CARTA MAGISTRADO 2º JUZGADO.doc", "Abrir Documento")</f>
        <v>0</v>
      </c>
      <c r="D8506" t="s">
        <v>23500</v>
      </c>
      <c r="E8506" t="s">
        <v>30982</v>
      </c>
    </row>
    <row r="8507" spans="1:5">
      <c r="A8507" t="s">
        <v>6</v>
      </c>
      <c r="B8507" t="s">
        <v>8512</v>
      </c>
      <c r="C8507">
        <f>HYPERLINK("C:\Users\franc\OneDrive\Documentos\MALENTIN KARIME\CESION\RESPALDO LUIS DIAZ\VARIOS 2008\CARTA MAGISTRADO 1º JUZGADO.doc", "Abrir Documento")</f>
        <v>0</v>
      </c>
      <c r="D8507" t="s">
        <v>23500</v>
      </c>
      <c r="E8507" t="s">
        <v>30983</v>
      </c>
    </row>
    <row r="8508" spans="1:5">
      <c r="A8508" t="s">
        <v>6</v>
      </c>
      <c r="B8508" t="s">
        <v>8513</v>
      </c>
      <c r="C8508">
        <f>HYPERLINK("C:\Users\franc\OneDrive\Documentos\MALENTIN KARIME\CESION\RESPALDO LUIS DIAZ\VARIOS 2008\CARTA MAGISTRADO 1º JUZGADO II.doc", "Abrir Documento")</f>
        <v>0</v>
      </c>
      <c r="D8508" t="s">
        <v>23500</v>
      </c>
      <c r="E8508" t="s">
        <v>30984</v>
      </c>
    </row>
    <row r="8509" spans="1:5">
      <c r="A8509" t="s">
        <v>6</v>
      </c>
      <c r="B8509" t="s">
        <v>8514</v>
      </c>
      <c r="C8509">
        <f>HYPERLINK("C:\Users\franc\OneDrive\Documentos\MALENTIN KARIME\CESION\RESPALDO LUIS DIAZ\VARIOS 2008\CARTA JUZGADO DE FAMILIA.doc", "Abrir Documento")</f>
        <v>0</v>
      </c>
      <c r="D8509" t="s">
        <v>23500</v>
      </c>
      <c r="E8509" t="s">
        <v>30985</v>
      </c>
    </row>
    <row r="8510" spans="1:5">
      <c r="A8510" t="s">
        <v>6</v>
      </c>
      <c r="B8510" t="s">
        <v>8515</v>
      </c>
      <c r="C8510">
        <f>HYPERLINK("C:\Users\franc\OneDrive\Documentos\MALENTIN KARIME\CESION\RESPALDO LUIS DIAZ\VARIOS 2008\CARTA INSTRUCCION.doc", "Abrir Documento")</f>
        <v>0</v>
      </c>
      <c r="D8510" t="s">
        <v>23500</v>
      </c>
      <c r="E8510" t="s">
        <v>30986</v>
      </c>
    </row>
    <row r="8511" spans="1:5">
      <c r="A8511" t="s">
        <v>6</v>
      </c>
      <c r="B8511" t="s">
        <v>8516</v>
      </c>
      <c r="C8511">
        <f>HYPERLINK("C:\Users\franc\OneDrive\Documentos\MALENTIN KARIME\CESION\RESPALDO LUIS DIAZ\VARIOS 2008\CARTA INSTRUCC. Tierra.doc", "Abrir Documento")</f>
        <v>0</v>
      </c>
      <c r="D8511" t="s">
        <v>23500</v>
      </c>
      <c r="E8511" t="s">
        <v>30987</v>
      </c>
    </row>
    <row r="8512" spans="1:5">
      <c r="A8512" t="s">
        <v>6</v>
      </c>
      <c r="B8512" t="s">
        <v>8517</v>
      </c>
      <c r="C8512">
        <f>HYPERLINK("C:\Users\franc\OneDrive\Documentos\MALENTIN KARIME\CESION\RESPALDO LUIS DIAZ\VARIOS 2008\CARTA DE RETIRO DE COPIAS.doc", "Abrir Documento")</f>
        <v>0</v>
      </c>
      <c r="D8512" t="s">
        <v>23500</v>
      </c>
      <c r="E8512" t="s">
        <v>30988</v>
      </c>
    </row>
    <row r="8513" spans="1:5">
      <c r="A8513" t="s">
        <v>6</v>
      </c>
      <c r="B8513" t="s">
        <v>8518</v>
      </c>
      <c r="C8513">
        <f>HYPERLINK("C:\Users\franc\OneDrive\Documentos\MALENTIN KARIME\CESION\RESPALDO LUIS DIAZ\VARIOS 2008\CARTA CONSERVADOR BS.RS. COQMBO.doc", "Abrir Documento")</f>
        <v>0</v>
      </c>
      <c r="D8513" t="s">
        <v>23500</v>
      </c>
      <c r="E8513" t="s">
        <v>30989</v>
      </c>
    </row>
    <row r="8514" spans="1:5">
      <c r="A8514" t="s">
        <v>6</v>
      </c>
      <c r="B8514" t="s">
        <v>8519</v>
      </c>
      <c r="C8514">
        <f>HYPERLINK("C:\Users\franc\OneDrive\Documentos\MALENTIN KARIME\CESION\RESPALDO LUIS DIAZ\VARIOS 2008\CARTA AL SERVIU.doc", "Abrir Documento")</f>
        <v>0</v>
      </c>
      <c r="D8514" t="s">
        <v>23500</v>
      </c>
      <c r="E8514" t="s">
        <v>30990</v>
      </c>
    </row>
    <row r="8515" spans="1:5">
      <c r="A8515" t="s">
        <v>6</v>
      </c>
      <c r="B8515" t="s">
        <v>8520</v>
      </c>
      <c r="C8515">
        <f>HYPERLINK("C:\Users\franc\OneDrive\Documentos\MALENTIN KARIME\CESION\RESPALDO LUIS DIAZ\VARIOS 2008\CARTA AL SERVIU III.doc", "Abrir Documento")</f>
        <v>0</v>
      </c>
      <c r="D8515" t="s">
        <v>23500</v>
      </c>
      <c r="E8515" t="s">
        <v>30991</v>
      </c>
    </row>
    <row r="8516" spans="1:5">
      <c r="A8516" t="s">
        <v>6</v>
      </c>
      <c r="B8516" t="s">
        <v>8521</v>
      </c>
      <c r="C8516">
        <f>HYPERLINK("C:\Users\franc\OneDrive\Documentos\MALENTIN KARIME\CESION\RESPALDO LUIS DIAZ\VARIOS 2008\CARTA AL SERVIU II.doc", "Abrir Documento")</f>
        <v>0</v>
      </c>
      <c r="D8516" t="s">
        <v>23500</v>
      </c>
      <c r="E8516" t="s">
        <v>30992</v>
      </c>
    </row>
    <row r="8517" spans="1:5">
      <c r="A8517" t="s">
        <v>6</v>
      </c>
      <c r="B8517" t="s">
        <v>8522</v>
      </c>
      <c r="C8517">
        <f>HYPERLINK("C:\Users\franc\OneDrive\Documentos\MALENTIN KARIME\CESION\RESPALDO LUIS DIAZ\VARIOS 2008\CARTA AL S.I.I..doc", "Abrir Documento")</f>
        <v>0</v>
      </c>
      <c r="D8517" t="s">
        <v>23500</v>
      </c>
      <c r="E8517" t="s">
        <v>30993</v>
      </c>
    </row>
    <row r="8518" spans="1:5">
      <c r="A8518" t="s">
        <v>6</v>
      </c>
      <c r="B8518" t="s">
        <v>8523</v>
      </c>
      <c r="C8518">
        <f>HYPERLINK("C:\Users\franc\OneDrive\Documentos\MALENTIN KARIME\CESION\RESPALDO LUIS DIAZ\VARIOS 2008\CARTA AL S.I.I. Rectif. Precio.doc", "Abrir Documento")</f>
        <v>0</v>
      </c>
      <c r="D8518" t="s">
        <v>23500</v>
      </c>
      <c r="E8518" t="s">
        <v>30994</v>
      </c>
    </row>
    <row r="8519" spans="1:5">
      <c r="A8519" t="s">
        <v>6</v>
      </c>
      <c r="B8519" t="s">
        <v>8524</v>
      </c>
      <c r="C8519">
        <f>HYPERLINK("C:\Users\franc\OneDrive\Documentos\MALENTIN KARIME\CESION\RESPALDO LUIS DIAZ\VARIOS 2008\CARTA al S.I.I. Juan Valenzuela.doc", "Abrir Documento")</f>
        <v>0</v>
      </c>
      <c r="D8519" t="s">
        <v>23500</v>
      </c>
      <c r="E8519" t="s">
        <v>30995</v>
      </c>
    </row>
    <row r="8520" spans="1:5">
      <c r="A8520" t="s">
        <v>6</v>
      </c>
      <c r="B8520" t="s">
        <v>8525</v>
      </c>
      <c r="C8520">
        <f>HYPERLINK("C:\Users\franc\OneDrive\Documentos\MALENTIN KARIME\CESION\RESPALDO LUIS DIAZ\VARIOS 2008\CARTA AL BANCO.doc", "Abrir Documento")</f>
        <v>0</v>
      </c>
      <c r="D8520" t="s">
        <v>23500</v>
      </c>
      <c r="E8520" t="s">
        <v>30996</v>
      </c>
    </row>
    <row r="8521" spans="1:5">
      <c r="A8521" t="s">
        <v>6</v>
      </c>
      <c r="B8521" t="s">
        <v>8526</v>
      </c>
      <c r="C8521">
        <f>HYPERLINK("C:\Users\franc\OneDrive\Documentos\MALENTIN KARIME\CESION\RESPALDO LUIS DIAZ\VARIOS 2008\CARTA A LA D.O.M. Dorita.doc", "Abrir Documento")</f>
        <v>0</v>
      </c>
      <c r="D8521" t="s">
        <v>23500</v>
      </c>
      <c r="E8521" t="s">
        <v>30997</v>
      </c>
    </row>
    <row r="8522" spans="1:5">
      <c r="A8522" t="s">
        <v>6</v>
      </c>
      <c r="B8522" t="s">
        <v>8527</v>
      </c>
      <c r="C8522">
        <f>HYPERLINK("C:\Users\franc\OneDrive\Documentos\MALENTIN KARIME\CESION\RESPALDO LUIS DIAZ\VARIOS 2008\CAROLINA TAPIA H. Residencia sin t..doc", "Abrir Documento")</f>
        <v>0</v>
      </c>
      <c r="D8522" t="s">
        <v>23500</v>
      </c>
      <c r="E8522" t="s">
        <v>30998</v>
      </c>
    </row>
    <row r="8523" spans="1:5">
      <c r="A8523" t="s">
        <v>6</v>
      </c>
      <c r="B8523" t="s">
        <v>8528</v>
      </c>
      <c r="C8523">
        <f>HYPERLINK("C:\Users\franc\OneDrive\Documentos\MALENTIN KARIME\CESION\RESPALDO LUIS DIAZ\VARIOS 2008\CAROLINA TAPIA H. Carta Poder SII.doc", "Abrir Documento")</f>
        <v>0</v>
      </c>
      <c r="D8523" t="s">
        <v>23500</v>
      </c>
      <c r="E8523" t="s">
        <v>30999</v>
      </c>
    </row>
    <row r="8524" spans="1:5">
      <c r="A8524" t="s">
        <v>6</v>
      </c>
      <c r="B8524" t="s">
        <v>8529</v>
      </c>
      <c r="C8524">
        <f>HYPERLINK("C:\Users\franc\OneDrive\Documentos\MALENTIN KARIME\CESION\RESPALDO LUIS DIAZ\VARIOS 2008\CAROLINA TAPIA Certif. Resid. con test..doc", "Abrir Documento")</f>
        <v>0</v>
      </c>
      <c r="D8524" t="s">
        <v>23500</v>
      </c>
      <c r="E8524" t="s">
        <v>31000</v>
      </c>
    </row>
    <row r="8525" spans="1:5">
      <c r="A8525" t="s">
        <v>6</v>
      </c>
      <c r="B8525" t="s">
        <v>8530</v>
      </c>
      <c r="C8525">
        <f>HYPERLINK("C:\Users\franc\OneDrive\Documentos\MALENTIN KARIME\CESION\RESPALDO LUIS DIAZ\VARIOS 2008\CAROLINA TAPIA a DORIS TAPIA Poder.doc", "Abrir Documento")</f>
        <v>0</v>
      </c>
      <c r="D8525" t="s">
        <v>23500</v>
      </c>
      <c r="E8525" t="s">
        <v>31001</v>
      </c>
    </row>
    <row r="8526" spans="1:5">
      <c r="A8526" t="s">
        <v>6</v>
      </c>
      <c r="B8526" t="s">
        <v>8531</v>
      </c>
      <c r="C8526">
        <f>HYPERLINK("C:\Users\franc\OneDrive\Documentos\MALENTIN KARIME\CESION\RESPALDO LUIS DIAZ\VARIOS 2008\CAROLINA TAPIA a DORIS TAPIA Poder SII.doc", "Abrir Documento")</f>
        <v>0</v>
      </c>
      <c r="D8526" t="s">
        <v>23500</v>
      </c>
      <c r="E8526" t="s">
        <v>31002</v>
      </c>
    </row>
    <row r="8527" spans="1:5">
      <c r="A8527" t="s">
        <v>6</v>
      </c>
      <c r="B8527" t="s">
        <v>8532</v>
      </c>
      <c r="C8527">
        <f>HYPERLINK("C:\Users\franc\OneDrive\Documentos\MALENTIN KARIME\CESION\RESPALDO LUIS DIAZ\VARIOS 2008\CAROLINA TAPIA a DORIS TAPIA Poder Arr..doc", "Abrir Documento")</f>
        <v>0</v>
      </c>
      <c r="D8527" t="s">
        <v>23500</v>
      </c>
      <c r="E8527" t="s">
        <v>31003</v>
      </c>
    </row>
    <row r="8528" spans="1:5">
      <c r="A8528" t="s">
        <v>6</v>
      </c>
      <c r="B8528" t="s">
        <v>8533</v>
      </c>
      <c r="C8528">
        <f>HYPERLINK("C:\Users\franc\OneDrive\Documentos\MALENTIN KARIME\CESION\RESPALDO LUIS DIAZ\VARIOS 2008\CAROLINA TAPIA a DORIS TAPIA -SERCOTEC-.doc", "Abrir Documento")</f>
        <v>0</v>
      </c>
      <c r="D8528" t="s">
        <v>23500</v>
      </c>
      <c r="E8528" t="s">
        <v>31004</v>
      </c>
    </row>
    <row r="8529" spans="1:5">
      <c r="A8529" t="s">
        <v>6</v>
      </c>
      <c r="B8529" t="s">
        <v>8534</v>
      </c>
      <c r="C8529">
        <f>HYPERLINK("C:\Users\franc\OneDrive\Documentos\MALENTIN KARIME\CESION\RESPALDO LUIS DIAZ\VARIOS 2008\CAROLINA PRAT ALARCON.doc", "Abrir Documento")</f>
        <v>0</v>
      </c>
      <c r="D8529" t="s">
        <v>23500</v>
      </c>
      <c r="E8529" t="s">
        <v>31005</v>
      </c>
    </row>
    <row r="8530" spans="1:5">
      <c r="A8530" t="s">
        <v>6</v>
      </c>
      <c r="B8530" t="s">
        <v>8535</v>
      </c>
      <c r="C8530">
        <f>HYPERLINK("C:\Users\franc\OneDrive\Documentos\MALENTIN KARIME\CESION\RESPALDO LUIS DIAZ\VARIOS 2008\CAROLINA PAREDES ARIZAGA Dcl.para Func..doc", "Abrir Documento")</f>
        <v>0</v>
      </c>
      <c r="D8530" t="s">
        <v>23500</v>
      </c>
      <c r="E8530" t="s">
        <v>31006</v>
      </c>
    </row>
    <row r="8531" spans="1:5">
      <c r="A8531" t="s">
        <v>6</v>
      </c>
      <c r="B8531" t="s">
        <v>8536</v>
      </c>
      <c r="C8531">
        <f>HYPERLINK("C:\Users\franc\OneDrive\Documentos\MALENTIN KARIME\CESION\RESPALDO LUIS DIAZ\VARIOS 2008\CARMEN VERGARA PROT. SERVIU.doc", "Abrir Documento")</f>
        <v>0</v>
      </c>
      <c r="D8531" t="s">
        <v>23500</v>
      </c>
      <c r="E8531" t="s">
        <v>31007</v>
      </c>
    </row>
    <row r="8532" spans="1:5">
      <c r="A8532" t="s">
        <v>6</v>
      </c>
      <c r="B8532" t="s">
        <v>8537</v>
      </c>
      <c r="C8532">
        <f>HYPERLINK("C:\Users\franc\OneDrive\Documentos\MALENTIN KARIME\CESION\RESPALDO LUIS DIAZ\VARIOS 2008\CARMEN ROSA BONILLA Prot. Serviu.doc", "Abrir Documento")</f>
        <v>0</v>
      </c>
      <c r="D8532" t="s">
        <v>23500</v>
      </c>
      <c r="E8532" t="s">
        <v>31008</v>
      </c>
    </row>
    <row r="8533" spans="1:5">
      <c r="A8533" t="s">
        <v>6</v>
      </c>
      <c r="B8533" t="s">
        <v>8538</v>
      </c>
      <c r="C8533">
        <f>HYPERLINK("C:\Users\franc\OneDrive\Documentos\MALENTIN KARIME\CESION\RESPALDO LUIS DIAZ\VARIOS 2008\CARMEN LUISA.PRO.doc", "Abrir Documento")</f>
        <v>0</v>
      </c>
      <c r="D8533" t="s">
        <v>23500</v>
      </c>
      <c r="E8533" t="s">
        <v>31009</v>
      </c>
    </row>
    <row r="8534" spans="1:5">
      <c r="A8534" t="s">
        <v>6</v>
      </c>
      <c r="B8534" t="s">
        <v>8539</v>
      </c>
      <c r="C8534">
        <f>HYPERLINK("C:\Users\franc\OneDrive\Documentos\MALENTIN KARIME\CESION\RESPALDO LUIS DIAZ\VARIOS 2008\CARLOS VIGORENA.PRO.doc", "Abrir Documento")</f>
        <v>0</v>
      </c>
      <c r="D8534" t="s">
        <v>23500</v>
      </c>
      <c r="E8534" t="s">
        <v>31010</v>
      </c>
    </row>
    <row r="8535" spans="1:5">
      <c r="A8535" t="s">
        <v>6</v>
      </c>
      <c r="B8535" t="s">
        <v>8540</v>
      </c>
      <c r="C8535">
        <f>HYPERLINK("C:\Users\franc\OneDrive\Documentos\MALENTIN KARIME\CESION\RESPALDO LUIS DIAZ\VARIOS 2008\CARLOS VELIZ P. Dcl. Int. DS. Nº 99.doc", "Abrir Documento")</f>
        <v>0</v>
      </c>
      <c r="D8535" t="s">
        <v>23500</v>
      </c>
      <c r="E8535" t="s">
        <v>31011</v>
      </c>
    </row>
    <row r="8536" spans="1:5">
      <c r="A8536" t="s">
        <v>6</v>
      </c>
      <c r="B8536" t="s">
        <v>8541</v>
      </c>
      <c r="C8536">
        <f>HYPERLINK("C:\Users\franc\OneDrive\Documentos\MALENTIN KARIME\CESION\RESPALDO LUIS DIAZ\VARIOS 2008\CARLOS TAPIA NAREA Contrato Hon..doc", "Abrir Documento")</f>
        <v>0</v>
      </c>
      <c r="D8536" t="s">
        <v>23500</v>
      </c>
      <c r="E8536" t="s">
        <v>31012</v>
      </c>
    </row>
    <row r="8537" spans="1:5">
      <c r="A8537" t="s">
        <v>6</v>
      </c>
      <c r="B8537" t="s">
        <v>8542</v>
      </c>
      <c r="C8537">
        <f>HYPERLINK("C:\Users\franc\OneDrive\Documentos\MALENTIN KARIME\CESION\RESPALDO LUIS DIAZ\VARIOS 2008\CARLOS AUGUSTO ROJAS Ampl.Inv.doc", "Abrir Documento")</f>
        <v>0</v>
      </c>
      <c r="D8537" t="s">
        <v>23500</v>
      </c>
      <c r="E8537" t="s">
        <v>31013</v>
      </c>
    </row>
    <row r="8538" spans="1:5">
      <c r="A8538" t="s">
        <v>6</v>
      </c>
      <c r="B8538" t="s">
        <v>8543</v>
      </c>
      <c r="C8538">
        <f>HYPERLINK("C:\Users\franc\OneDrive\Documentos\MALENTIN KARIME\CESION\RESPALDO LUIS DIAZ\VARIOS 2008\CAPEL Transacción.doc", "Abrir Documento")</f>
        <v>0</v>
      </c>
      <c r="D8538" t="s">
        <v>23500</v>
      </c>
      <c r="E8538" t="s">
        <v>31014</v>
      </c>
    </row>
    <row r="8539" spans="1:5">
      <c r="A8539" t="s">
        <v>6</v>
      </c>
      <c r="B8539" t="s">
        <v>8544</v>
      </c>
      <c r="C8539">
        <f>HYPERLINK("C:\Users\franc\OneDrive\Documentos\MALENTIN KARIME\CESION\RESPALDO LUIS DIAZ\VARIOS 2008\CAPEL 8 Transacción.doc", "Abrir Documento")</f>
        <v>0</v>
      </c>
      <c r="D8539" t="s">
        <v>23500</v>
      </c>
      <c r="E8539" t="s">
        <v>31015</v>
      </c>
    </row>
    <row r="8540" spans="1:5">
      <c r="A8540" t="s">
        <v>6</v>
      </c>
      <c r="B8540" t="s">
        <v>8545</v>
      </c>
      <c r="C8540">
        <f>HYPERLINK("C:\Users\franc\OneDrive\Documentos\MALENTIN KARIME\CESION\RESPALDO LUIS DIAZ\VARIOS 2008\CAPEL 7 Transacción.doc", "Abrir Documento")</f>
        <v>0</v>
      </c>
      <c r="D8540" t="s">
        <v>23500</v>
      </c>
      <c r="E8540" t="s">
        <v>31016</v>
      </c>
    </row>
    <row r="8541" spans="1:5">
      <c r="A8541" t="s">
        <v>6</v>
      </c>
      <c r="B8541" t="s">
        <v>8546</v>
      </c>
      <c r="C8541">
        <f>HYPERLINK("C:\Users\franc\OneDrive\Documentos\MALENTIN KARIME\CESION\RESPALDO LUIS DIAZ\VARIOS 2008\CAPEL 6 Transacción.doc", "Abrir Documento")</f>
        <v>0</v>
      </c>
      <c r="D8541" t="s">
        <v>23500</v>
      </c>
      <c r="E8541" t="s">
        <v>31017</v>
      </c>
    </row>
    <row r="8542" spans="1:5">
      <c r="A8542" t="s">
        <v>6</v>
      </c>
      <c r="B8542" t="s">
        <v>8547</v>
      </c>
      <c r="C8542">
        <f>HYPERLINK("C:\Users\franc\OneDrive\Documentos\MALENTIN KARIME\CESION\RESPALDO LUIS DIAZ\VARIOS 2008\CAPEL 5 Transacción.doc", "Abrir Documento")</f>
        <v>0</v>
      </c>
      <c r="D8542" t="s">
        <v>23500</v>
      </c>
      <c r="E8542" t="s">
        <v>31018</v>
      </c>
    </row>
    <row r="8543" spans="1:5">
      <c r="A8543" t="s">
        <v>6</v>
      </c>
      <c r="B8543" t="s">
        <v>8548</v>
      </c>
      <c r="C8543">
        <f>HYPERLINK("C:\Users\franc\OneDrive\Documentos\MALENTIN KARIME\CESION\RESPALDO LUIS DIAZ\VARIOS 2008\CAPEL 4 Transacción.doc", "Abrir Documento")</f>
        <v>0</v>
      </c>
      <c r="D8543" t="s">
        <v>23500</v>
      </c>
      <c r="E8543" t="s">
        <v>31019</v>
      </c>
    </row>
    <row r="8544" spans="1:5">
      <c r="A8544" t="s">
        <v>6</v>
      </c>
      <c r="B8544" t="s">
        <v>8549</v>
      </c>
      <c r="C8544">
        <f>HYPERLINK("C:\Users\franc\OneDrive\Documentos\MALENTIN KARIME\CESION\RESPALDO LUIS DIAZ\VARIOS 2008\CAPEL 3 Transacción.doc", "Abrir Documento")</f>
        <v>0</v>
      </c>
      <c r="D8544" t="s">
        <v>23500</v>
      </c>
      <c r="E8544" t="s">
        <v>31020</v>
      </c>
    </row>
    <row r="8545" spans="1:5">
      <c r="A8545" t="s">
        <v>6</v>
      </c>
      <c r="B8545" t="s">
        <v>8550</v>
      </c>
      <c r="C8545">
        <f>HYPERLINK("C:\Users\franc\OneDrive\Documentos\MALENTIN KARIME\CESION\RESPALDO LUIS DIAZ\VARIOS 2008\CAPEL 2 Transacción.doc", "Abrir Documento")</f>
        <v>0</v>
      </c>
      <c r="D8545" t="s">
        <v>23500</v>
      </c>
      <c r="E8545" t="s">
        <v>31021</v>
      </c>
    </row>
    <row r="8546" spans="1:5">
      <c r="A8546" t="s">
        <v>6</v>
      </c>
      <c r="B8546" t="s">
        <v>8551</v>
      </c>
      <c r="C8546">
        <f>HYPERLINK("C:\Users\franc\OneDrive\Documentos\MALENTIN KARIME\CESION\RESPALDO LUIS DIAZ\VARIOS 2008\CANALPEDREGAL.PRO.doc", "Abrir Documento")</f>
        <v>0</v>
      </c>
      <c r="D8546" t="s">
        <v>23500</v>
      </c>
      <c r="E8546" t="s">
        <v>31022</v>
      </c>
    </row>
    <row r="8547" spans="1:5">
      <c r="A8547" t="s">
        <v>6</v>
      </c>
      <c r="B8547" t="s">
        <v>8552</v>
      </c>
      <c r="C8547">
        <f>HYPERLINK("C:\Users\franc\OneDrive\Documentos\MALENTIN KARIME\CESION\RESPALDO LUIS DIAZ\VARIOS 2008\BONIFACIO IBACACHE Transacción.doc", "Abrir Documento")</f>
        <v>0</v>
      </c>
      <c r="D8547" t="s">
        <v>23500</v>
      </c>
      <c r="E8547" t="s">
        <v>31023</v>
      </c>
    </row>
    <row r="8548" spans="1:5">
      <c r="A8548" t="s">
        <v>6</v>
      </c>
      <c r="B8548" t="s">
        <v>8553</v>
      </c>
      <c r="C8548">
        <f>HYPERLINK("C:\Users\franc\OneDrive\Documentos\MALENTIN KARIME\CESION\RESPALDO LUIS DIAZ\VARIOS 2008\BIANCA TAMBLAY Repudio.doc", "Abrir Documento")</f>
        <v>0</v>
      </c>
      <c r="D8548" t="s">
        <v>23500</v>
      </c>
      <c r="E8548" t="s">
        <v>31024</v>
      </c>
    </row>
    <row r="8549" spans="1:5">
      <c r="A8549" t="s">
        <v>6</v>
      </c>
      <c r="B8549" t="s">
        <v>8554</v>
      </c>
      <c r="C8549">
        <f>HYPERLINK("C:\Users\franc\OneDrive\Documentos\MALENTIN KARIME\CESION\RESPALDO LUIS DIAZ\VARIOS 2008\BENITO CASTAÑEDA Z. Prot.Alz.Serviu.doc", "Abrir Documento")</f>
        <v>0</v>
      </c>
      <c r="D8549" t="s">
        <v>23500</v>
      </c>
      <c r="E8549" t="s">
        <v>31025</v>
      </c>
    </row>
    <row r="8550" spans="1:5">
      <c r="A8550" t="s">
        <v>6</v>
      </c>
      <c r="B8550" t="s">
        <v>8555</v>
      </c>
      <c r="C8550">
        <f>HYPERLINK("C:\Users\franc\OneDrive\Documentos\MALENTIN KARIME\CESION\RESPALDO LUIS DIAZ\VARIOS 2008\AYLLU S.A.31 octubre.doc", "Abrir Documento")</f>
        <v>0</v>
      </c>
      <c r="D8550" t="s">
        <v>23500</v>
      </c>
      <c r="E8550" t="s">
        <v>31026</v>
      </c>
    </row>
    <row r="8551" spans="1:5">
      <c r="A8551" t="s">
        <v>6</v>
      </c>
      <c r="B8551" t="s">
        <v>8556</v>
      </c>
      <c r="C8551">
        <f>HYPERLINK("C:\Users\franc\OneDrive\Documentos\MALENTIN KARIME\CESION\RESPALDO LUIS DIAZ\VARIOS 2008\AYLLU S.A..doc", "Abrir Documento")</f>
        <v>0</v>
      </c>
      <c r="D8551" t="s">
        <v>23500</v>
      </c>
      <c r="E8551" t="s">
        <v>31027</v>
      </c>
    </row>
    <row r="8552" spans="1:5">
      <c r="A8552" t="s">
        <v>6</v>
      </c>
      <c r="B8552" t="s">
        <v>8557</v>
      </c>
      <c r="C8552">
        <f>HYPERLINK("C:\Users\franc\OneDrive\Documentos\MALENTIN KARIME\CESION\RESPALDO LUIS DIAZ\VARIOS 2008\AYLLU S.A. 2.doc", "Abrir Documento")</f>
        <v>0</v>
      </c>
      <c r="D8552" t="s">
        <v>23500</v>
      </c>
      <c r="E8552" t="s">
        <v>31028</v>
      </c>
    </row>
    <row r="8553" spans="1:5">
      <c r="A8553" t="s">
        <v>6</v>
      </c>
      <c r="B8553" t="s">
        <v>8558</v>
      </c>
      <c r="C8553">
        <f>HYPERLINK("C:\Users\franc\OneDrive\Documentos\MALENTIN KARIME\CESION\RESPALDO LUIS DIAZ\VARIOS 2008\AUTORIZACION COPIAS PROTOCOLIZACION.doc", "Abrir Documento")</f>
        <v>0</v>
      </c>
      <c r="D8553" t="s">
        <v>23500</v>
      </c>
      <c r="E8553" t="s">
        <v>31029</v>
      </c>
    </row>
    <row r="8554" spans="1:5">
      <c r="A8554" t="s">
        <v>6</v>
      </c>
      <c r="B8554" t="s">
        <v>8559</v>
      </c>
      <c r="C8554">
        <f>HYPERLINK("C:\Users\franc\OneDrive\Documentos\MALENTIN KARIME\CESION\RESPALDO LUIS DIAZ\VARIOS 2008\AUTORIZ 2.doc", "Abrir Documento")</f>
        <v>0</v>
      </c>
      <c r="D8554" t="s">
        <v>23500</v>
      </c>
      <c r="E8554" t="s">
        <v>31030</v>
      </c>
    </row>
    <row r="8555" spans="1:5">
      <c r="A8555" t="s">
        <v>6</v>
      </c>
      <c r="B8555" t="s">
        <v>8560</v>
      </c>
      <c r="C8555">
        <f>HYPERLINK("C:\Users\franc\OneDrive\Documentos\MALENTIN KARIME\CESION\RESPALDO LUIS DIAZ\VARIOS 2008\AUT. SALIR DEL PAIS.doc", "Abrir Documento")</f>
        <v>0</v>
      </c>
      <c r="D8555" t="s">
        <v>23500</v>
      </c>
      <c r="E8555" t="s">
        <v>31031</v>
      </c>
    </row>
    <row r="8556" spans="1:5">
      <c r="A8556" t="s">
        <v>6</v>
      </c>
      <c r="B8556" t="s">
        <v>8561</v>
      </c>
      <c r="C8556">
        <f>HYPERLINK("C:\Users\franc\OneDrive\Documentos\MALENTIN KARIME\CESION\RESPALDO LUIS DIAZ\VARIOS 2008\ASOC. CANAL CAMARICO Carta.doc", "Abrir Documento")</f>
        <v>0</v>
      </c>
      <c r="D8556" t="s">
        <v>23500</v>
      </c>
      <c r="E8556" t="s">
        <v>31032</v>
      </c>
    </row>
    <row r="8557" spans="1:5">
      <c r="A8557" t="s">
        <v>6</v>
      </c>
      <c r="B8557" t="s">
        <v>8562</v>
      </c>
      <c r="C8557">
        <f>HYPERLINK("C:\Users\franc\OneDrive\Documentos\MALENTIN KARIME\CESION\RESPALDO LUIS DIAZ\VARIOS 2008\ASCENCIA HUERTA.PRO.doc", "Abrir Documento")</f>
        <v>0</v>
      </c>
      <c r="D8557" t="s">
        <v>23500</v>
      </c>
      <c r="E8557" t="s">
        <v>31033</v>
      </c>
    </row>
    <row r="8558" spans="1:5">
      <c r="A8558" t="s">
        <v>6</v>
      </c>
      <c r="B8558" t="s">
        <v>8563</v>
      </c>
      <c r="C8558">
        <f>HYPERLINK("C:\Users\franc\OneDrive\Documentos\MALENTIN KARIME\CESION\RESPALDO LUIS DIAZ\VARIOS 2008\ARTEMIO FLORES Manip. Explosivos.doc", "Abrir Documento")</f>
        <v>0</v>
      </c>
      <c r="D8558" t="s">
        <v>23500</v>
      </c>
      <c r="E8558" t="s">
        <v>31034</v>
      </c>
    </row>
    <row r="8559" spans="1:5">
      <c r="A8559" t="s">
        <v>6</v>
      </c>
      <c r="B8559" t="s">
        <v>8564</v>
      </c>
      <c r="C8559">
        <f>HYPERLINK("C:\Users\franc\OneDrive\Documentos\MALENTIN KARIME\CESION\RESPALDO LUIS DIAZ\VARIOS 2008\ARMANDO RODRIGUEZ a SLM. ENTRE LOMAS Camión.doc", "Abrir Documento")</f>
        <v>0</v>
      </c>
      <c r="D8559" t="s">
        <v>23500</v>
      </c>
      <c r="E8559" t="s">
        <v>31035</v>
      </c>
    </row>
    <row r="8560" spans="1:5">
      <c r="A8560" t="s">
        <v>6</v>
      </c>
      <c r="B8560" t="s">
        <v>8565</v>
      </c>
      <c r="C8560">
        <f>HYPERLINK("C:\Users\franc\OneDrive\Documentos\MALENTIN KARIME\CESION\RESPALDO LUIS DIAZ\VARIOS 2008\ARACELY ASTORGA D. Refinanc. PET.doc", "Abrir Documento")</f>
        <v>0</v>
      </c>
      <c r="D8560" t="s">
        <v>23500</v>
      </c>
      <c r="E8560" t="s">
        <v>31036</v>
      </c>
    </row>
    <row r="8561" spans="1:5">
      <c r="A8561" t="s">
        <v>6</v>
      </c>
      <c r="B8561" t="s">
        <v>8566</v>
      </c>
      <c r="C8561">
        <f>HYPERLINK("C:\Users\franc\OneDrive\Documentos\MALENTIN KARIME\CESION\RESPALDO LUIS DIAZ\VARIOS 2008\ANTUMALAL. USUFRUCTO.doc", "Abrir Documento")</f>
        <v>0</v>
      </c>
      <c r="D8561" t="s">
        <v>23500</v>
      </c>
      <c r="E8561" t="s">
        <v>31037</v>
      </c>
    </row>
    <row r="8562" spans="1:5">
      <c r="A8562" t="s">
        <v>6</v>
      </c>
      <c r="B8562" t="s">
        <v>8567</v>
      </c>
      <c r="C8562">
        <f>HYPERLINK("C:\Users\franc\OneDrive\Documentos\MALENTIN KARIME\CESION\RESPALDO LUIS DIAZ\VARIOS 2008\ANIBAL EGAÑA MUNDACA.doc", "Abrir Documento")</f>
        <v>0</v>
      </c>
      <c r="D8562" t="s">
        <v>23500</v>
      </c>
      <c r="E8562" t="s">
        <v>31038</v>
      </c>
    </row>
    <row r="8563" spans="1:5">
      <c r="A8563" t="s">
        <v>6</v>
      </c>
      <c r="B8563" t="s">
        <v>8568</v>
      </c>
      <c r="C8563">
        <f>HYPERLINK("C:\Users\franc\OneDrive\Documentos\MALENTIN KARIME\CESION\RESPALDO LUIS DIAZ\VARIOS 2008\ANGELO SOTO VILLALOBOS. Repudio.doc", "Abrir Documento")</f>
        <v>0</v>
      </c>
      <c r="D8563" t="s">
        <v>23500</v>
      </c>
      <c r="E8563" t="s">
        <v>31039</v>
      </c>
    </row>
    <row r="8564" spans="1:5">
      <c r="A8564" t="s">
        <v>6</v>
      </c>
      <c r="B8564" t="s">
        <v>8569</v>
      </c>
      <c r="C8564">
        <f>HYPERLINK("C:\Users\franc\OneDrive\Documentos\MALENTIN KARIME\CESION\RESPALDO LUIS DIAZ\VARIOS 2008\ANGEL SEPULVEDA V. Refinanc. PET.doc", "Abrir Documento")</f>
        <v>0</v>
      </c>
      <c r="D8564" t="s">
        <v>23500</v>
      </c>
      <c r="E8564" t="s">
        <v>31040</v>
      </c>
    </row>
    <row r="8565" spans="1:5">
      <c r="A8565" t="s">
        <v>6</v>
      </c>
      <c r="B8565" t="s">
        <v>8570</v>
      </c>
      <c r="C8565">
        <f>HYPERLINK("C:\Users\franc\OneDrive\Documentos\MALENTIN KARIME\CESION\RESPALDO LUIS DIAZ\VARIOS 2008\ANDRES VALENZUELA Retirar Ch. y Dep..doc", "Abrir Documento")</f>
        <v>0</v>
      </c>
      <c r="D8565" t="s">
        <v>23500</v>
      </c>
      <c r="E8565" t="s">
        <v>31041</v>
      </c>
    </row>
    <row r="8566" spans="1:5">
      <c r="A8566" t="s">
        <v>6</v>
      </c>
      <c r="B8566" t="s">
        <v>8571</v>
      </c>
      <c r="C8566">
        <f>HYPERLINK("C:\Users\franc\OneDrive\Documentos\MALENTIN KARIME\CESION\RESPALDO LUIS DIAZ\VARIOS 2008\ANDRES RIVEROS.PRO.doc", "Abrir Documento")</f>
        <v>0</v>
      </c>
      <c r="D8566" t="s">
        <v>23500</v>
      </c>
      <c r="E8566" t="s">
        <v>31042</v>
      </c>
    </row>
    <row r="8567" spans="1:5">
      <c r="A8567" t="s">
        <v>6</v>
      </c>
      <c r="B8567" t="s">
        <v>8572</v>
      </c>
      <c r="C8567">
        <f>HYPERLINK("C:\Users\franc\OneDrive\Documentos\MALENTIN KARIME\CESION\RESPALDO LUIS DIAZ\VARIOS 2008\ANDREA ROJAS C. Dcl.Magistrados.doc", "Abrir Documento")</f>
        <v>0</v>
      </c>
      <c r="D8567" t="s">
        <v>23500</v>
      </c>
      <c r="E8567" t="s">
        <v>31043</v>
      </c>
    </row>
    <row r="8568" spans="1:5">
      <c r="A8568" t="s">
        <v>6</v>
      </c>
      <c r="B8568" t="s">
        <v>8573</v>
      </c>
      <c r="C8568">
        <f>HYPERLINK("C:\Users\franc\OneDrive\Documentos\MALENTIN KARIME\CESION\RESPALDO LUIS DIAZ\VARIOS 2008\ANDREA ROJAS C. Dcl.Jurada.doc", "Abrir Documento")</f>
        <v>0</v>
      </c>
      <c r="D8568" t="s">
        <v>23500</v>
      </c>
      <c r="E8568" t="s">
        <v>31044</v>
      </c>
    </row>
    <row r="8569" spans="1:5">
      <c r="A8569" t="s">
        <v>6</v>
      </c>
      <c r="B8569" t="s">
        <v>8574</v>
      </c>
      <c r="C8569">
        <f>HYPERLINK("C:\Users\franc\OneDrive\Documentos\MALENTIN KARIME\CESION\RESPALDO LUIS DIAZ\VARIOS 2008\ANDREA DIAZ GODOY.doc", "Abrir Documento")</f>
        <v>0</v>
      </c>
      <c r="D8569" t="s">
        <v>23500</v>
      </c>
      <c r="E8569" t="s">
        <v>31045</v>
      </c>
    </row>
    <row r="8570" spans="1:5">
      <c r="A8570" t="s">
        <v>6</v>
      </c>
      <c r="B8570" t="s">
        <v>8575</v>
      </c>
      <c r="C8570">
        <f>HYPERLINK("C:\Users\franc\OneDrive\Documentos\MALENTIN KARIME\CESION\RESPALDO LUIS DIAZ\VARIOS 2008\ANDREA DIAZ GODOY 6.doc", "Abrir Documento")</f>
        <v>0</v>
      </c>
      <c r="D8570" t="s">
        <v>23500</v>
      </c>
      <c r="E8570" t="s">
        <v>31046</v>
      </c>
    </row>
    <row r="8571" spans="1:5">
      <c r="A8571" t="s">
        <v>6</v>
      </c>
      <c r="B8571" t="s">
        <v>8576</v>
      </c>
      <c r="C8571">
        <f>HYPERLINK("C:\Users\franc\OneDrive\Documentos\MALENTIN KARIME\CESION\RESPALDO LUIS DIAZ\VARIOS 2008\ANDREA DIAZ GODOY 5.doc", "Abrir Documento")</f>
        <v>0</v>
      </c>
      <c r="D8571" t="s">
        <v>23500</v>
      </c>
      <c r="E8571" t="s">
        <v>31047</v>
      </c>
    </row>
    <row r="8572" spans="1:5">
      <c r="A8572" t="s">
        <v>6</v>
      </c>
      <c r="B8572" t="s">
        <v>8577</v>
      </c>
      <c r="C8572">
        <f>HYPERLINK("C:\Users\franc\OneDrive\Documentos\MALENTIN KARIME\CESION\RESPALDO LUIS DIAZ\VARIOS 2008\ANDREA DIAZ GODOY 4.doc", "Abrir Documento")</f>
        <v>0</v>
      </c>
      <c r="D8572" t="s">
        <v>23500</v>
      </c>
      <c r="E8572" t="s">
        <v>31048</v>
      </c>
    </row>
    <row r="8573" spans="1:5">
      <c r="A8573" t="s">
        <v>6</v>
      </c>
      <c r="B8573" t="s">
        <v>8578</v>
      </c>
      <c r="C8573">
        <f>HYPERLINK("C:\Users\franc\OneDrive\Documentos\MALENTIN KARIME\CESION\RESPALDO LUIS DIAZ\VARIOS 2008\ANDREA DIAZ GODOY 3.doc", "Abrir Documento")</f>
        <v>0</v>
      </c>
      <c r="D8573" t="s">
        <v>23500</v>
      </c>
      <c r="E8573" t="s">
        <v>31049</v>
      </c>
    </row>
    <row r="8574" spans="1:5">
      <c r="A8574" t="s">
        <v>6</v>
      </c>
      <c r="B8574" t="s">
        <v>8579</v>
      </c>
      <c r="C8574">
        <f>HYPERLINK("C:\Users\franc\OneDrive\Documentos\MALENTIN KARIME\CESION\RESPALDO LUIS DIAZ\VARIOS 2008\ANDREA DIAZ G. Dcl.Jrda Juzgado.doc", "Abrir Documento")</f>
        <v>0</v>
      </c>
      <c r="D8574" t="s">
        <v>23500</v>
      </c>
      <c r="E8574" t="s">
        <v>31050</v>
      </c>
    </row>
    <row r="8575" spans="1:5">
      <c r="A8575" t="s">
        <v>6</v>
      </c>
      <c r="B8575" t="s">
        <v>8580</v>
      </c>
      <c r="C8575">
        <f>HYPERLINK("C:\Users\franc\OneDrive\Documentos\MALENTIN KARIME\CESION\RESPALDO LUIS DIAZ\VARIOS 2008\ANA ZEPEDA PASTEN. Refinanc. PET.doc", "Abrir Documento")</f>
        <v>0</v>
      </c>
      <c r="D8575" t="s">
        <v>23500</v>
      </c>
      <c r="E8575" t="s">
        <v>31051</v>
      </c>
    </row>
    <row r="8576" spans="1:5">
      <c r="A8576" t="s">
        <v>6</v>
      </c>
      <c r="B8576" t="s">
        <v>8581</v>
      </c>
      <c r="C8576">
        <f>HYPERLINK("C:\Users\franc\OneDrive\Documentos\MALENTIN KARIME\CESION\RESPALDO LUIS DIAZ\VARIOS 2008\AMANDA ZAMBRA. Ren. Usufructo.doc", "Abrir Documento")</f>
        <v>0</v>
      </c>
      <c r="D8576" t="s">
        <v>23500</v>
      </c>
      <c r="E8576" t="s">
        <v>31052</v>
      </c>
    </row>
    <row r="8577" spans="1:5">
      <c r="A8577" t="s">
        <v>6</v>
      </c>
      <c r="B8577" t="s">
        <v>8582</v>
      </c>
      <c r="C8577">
        <f>HYPERLINK("C:\Users\franc\OneDrive\Documentos\MALENTIN KARIME\CESION\RESPALDO LUIS DIAZ\VARIOS 2008\AMABLE BARRAZA.PRI.doc", "Abrir Documento")</f>
        <v>0</v>
      </c>
      <c r="D8577" t="s">
        <v>23500</v>
      </c>
      <c r="E8577" t="s">
        <v>31053</v>
      </c>
    </row>
    <row r="8578" spans="1:5">
      <c r="A8578" t="s">
        <v>6</v>
      </c>
      <c r="B8578" t="s">
        <v>8583</v>
      </c>
      <c r="C8578">
        <f>HYPERLINK("C:\Users\franc\OneDrive\Documentos\MALENTIN KARIME\CESION\RESPALDO LUIS DIAZ\VARIOS 2008\ALFREDO VILLAGRAN Mutuo a la Vista Priv..doc", "Abrir Documento")</f>
        <v>0</v>
      </c>
      <c r="D8578" t="s">
        <v>23500</v>
      </c>
      <c r="E8578" t="s">
        <v>31054</v>
      </c>
    </row>
    <row r="8579" spans="1:5">
      <c r="A8579" t="s">
        <v>6</v>
      </c>
      <c r="B8579" t="s">
        <v>8584</v>
      </c>
      <c r="C8579">
        <f>HYPERLINK("C:\Users\franc\OneDrive\Documentos\MALENTIN KARIME\CESION\RESPALDO LUIS DIAZ\VARIOS 2008\Alfredo Ramírez REPUDIO.doc", "Abrir Documento")</f>
        <v>0</v>
      </c>
      <c r="D8579" t="s">
        <v>23500</v>
      </c>
      <c r="E8579" t="s">
        <v>31055</v>
      </c>
    </row>
    <row r="8580" spans="1:5">
      <c r="A8580" t="s">
        <v>6</v>
      </c>
      <c r="B8580" t="s">
        <v>8585</v>
      </c>
      <c r="C8580">
        <f>HYPERLINK("C:\Users\franc\OneDrive\Documentos\MALENTIN KARIME\CESION\RESPALDO LUIS DIAZ\VARIOS 2008\ALFREDO FERNANDEZ a MINERA LARRONDO Servid..doc", "Abrir Documento")</f>
        <v>0</v>
      </c>
      <c r="D8580" t="s">
        <v>23500</v>
      </c>
      <c r="E8580" t="s">
        <v>31056</v>
      </c>
    </row>
    <row r="8581" spans="1:5">
      <c r="A8581" t="s">
        <v>6</v>
      </c>
      <c r="B8581" t="s">
        <v>8586</v>
      </c>
      <c r="C8581">
        <f>HYPERLINK("C:\Users\franc\OneDrive\Documentos\MALENTIN KARIME\CESION\RESPALDO LUIS DIAZ\VARIOS 2008\ALFREDO FERNANDEZ a MINERA LARRONDO 2011.doc", "Abrir Documento")</f>
        <v>0</v>
      </c>
      <c r="D8581" t="s">
        <v>23500</v>
      </c>
      <c r="E8581" t="s">
        <v>31057</v>
      </c>
    </row>
    <row r="8582" spans="1:5">
      <c r="A8582" t="s">
        <v>6</v>
      </c>
      <c r="B8582" t="s">
        <v>8587</v>
      </c>
      <c r="C8582">
        <f>HYPERLINK("C:\Users\franc\OneDrive\Documentos\MALENTIN KARIME\CESION\RESPALDO LUIS DIAZ\VARIOS 2008\ALFONSO PALTA C. Prot. Serviu.doc", "Abrir Documento")</f>
        <v>0</v>
      </c>
      <c r="D8582" t="s">
        <v>23500</v>
      </c>
      <c r="E8582" t="s">
        <v>31058</v>
      </c>
    </row>
    <row r="8583" spans="1:5">
      <c r="A8583" t="s">
        <v>6</v>
      </c>
      <c r="B8583" t="s">
        <v>8588</v>
      </c>
      <c r="C8583">
        <f>HYPERLINK("C:\Users\franc\OneDrive\Documentos\MALENTIN KARIME\CESION\RESPALDO LUIS DIAZ\VARIOS 2008\ALEXIS ARANEDA.SEP.doc", "Abrir Documento")</f>
        <v>0</v>
      </c>
      <c r="D8583" t="s">
        <v>23500</v>
      </c>
      <c r="E8583" t="s">
        <v>31059</v>
      </c>
    </row>
    <row r="8584" spans="1:5">
      <c r="A8584" t="s">
        <v>6</v>
      </c>
      <c r="B8584" t="s">
        <v>8589</v>
      </c>
      <c r="C8584">
        <f>HYPERLINK("C:\Users\franc\OneDrive\Documentos\MALENTIN KARIME\CESION\RESPALDO LUIS DIAZ\VARIOS 2008\ALEJANDRA ARAYA F. Dcl.Jurada.doc", "Abrir Documento")</f>
        <v>0</v>
      </c>
      <c r="D8584" t="s">
        <v>23500</v>
      </c>
      <c r="E8584" t="s">
        <v>31060</v>
      </c>
    </row>
    <row r="8585" spans="1:5">
      <c r="A8585" t="s">
        <v>6</v>
      </c>
      <c r="B8585" t="s">
        <v>8590</v>
      </c>
      <c r="C8585">
        <f>HYPERLINK("C:\Users\franc\OneDrive\Documentos\MALENTIN KARIME\CESION\RESPALDO LUIS DIAZ\VARIOS 2008\ALEJANDRA ARAYA Dcl.Magistrados.doc", "Abrir Documento")</f>
        <v>0</v>
      </c>
      <c r="D8585" t="s">
        <v>23500</v>
      </c>
      <c r="E8585" t="s">
        <v>31061</v>
      </c>
    </row>
    <row r="8586" spans="1:5">
      <c r="A8586" t="s">
        <v>6</v>
      </c>
      <c r="B8586" t="s">
        <v>8591</v>
      </c>
      <c r="C8586">
        <f>HYPERLINK("C:\Users\franc\OneDrive\Documentos\MALENTIN KARIME\CESION\RESPALDO LUIS DIAZ\VARIOS 2008\ALDECIRA PUJADO Poder Extranjero.doc", "Abrir Documento")</f>
        <v>0</v>
      </c>
      <c r="D8586" t="s">
        <v>23500</v>
      </c>
      <c r="E8586" t="s">
        <v>31062</v>
      </c>
    </row>
    <row r="8587" spans="1:5">
      <c r="A8587" t="s">
        <v>6</v>
      </c>
      <c r="B8587" t="s">
        <v>8592</v>
      </c>
      <c r="C8587">
        <f>HYPERLINK("C:\Users\franc\OneDrive\Documentos\MALENTIN KARIME\CESION\RESPALDO LUIS DIAZ\VARIOS 2008\AGRUP. S. C. DPTVA NVOS TIEMPOS.doc", "Abrir Documento")</f>
        <v>0</v>
      </c>
      <c r="D8587" t="s">
        <v>23500</v>
      </c>
      <c r="E8587" t="s">
        <v>31063</v>
      </c>
    </row>
    <row r="8588" spans="1:5">
      <c r="A8588" t="s">
        <v>6</v>
      </c>
      <c r="B8588" t="s">
        <v>8593</v>
      </c>
      <c r="C8588">
        <f>HYPERLINK("C:\Users\franc\OneDrive\Documentos\MALENTIN KARIME\CESION\RESPALDO LUIS DIAZ\VARIOS 2008\AGROSAL LTDA. Protoc. Dctos.doc", "Abrir Documento")</f>
        <v>0</v>
      </c>
      <c r="D8588" t="s">
        <v>23500</v>
      </c>
      <c r="E8588" t="s">
        <v>31064</v>
      </c>
    </row>
    <row r="8589" spans="1:5">
      <c r="A8589" t="s">
        <v>6</v>
      </c>
      <c r="B8589" t="s">
        <v>8594</v>
      </c>
      <c r="C8589">
        <f>HYPERLINK("C:\Users\franc\OneDrive\Documentos\MALENTIN KARIME\CESION\RESPALDO LUIS DIAZ\VARIOS 2008\AGR. E INV. STA JULIA LTD. Mutuo a la V..doc", "Abrir Documento")</f>
        <v>0</v>
      </c>
      <c r="D8589" t="s">
        <v>23500</v>
      </c>
      <c r="E8589" t="s">
        <v>31065</v>
      </c>
    </row>
    <row r="8590" spans="1:5">
      <c r="A8590" t="s">
        <v>6</v>
      </c>
      <c r="B8590" t="s">
        <v>8595</v>
      </c>
      <c r="C8590">
        <f>HYPERLINK("C:\Users\franc\OneDrive\Documentos\MALENTIN KARIME\CESION\RESPALDO LUIS DIAZ\VARIOS 2008\AGR. CH. BAJO NORTE.doc", "Abrir Documento")</f>
        <v>0</v>
      </c>
      <c r="D8590" t="s">
        <v>23500</v>
      </c>
      <c r="E8590" t="s">
        <v>31066</v>
      </c>
    </row>
    <row r="8591" spans="1:5">
      <c r="A8591" t="s">
        <v>6</v>
      </c>
      <c r="B8591" t="s">
        <v>8596</v>
      </c>
      <c r="C8591">
        <f>HYPERLINK("C:\Users\franc\OneDrive\Documentos\MALENTIN KARIME\CESION\RESPALDO LUIS DIAZ\VARIOS 2008\AGR. CH. BAJO NORTE 3.doc", "Abrir Documento")</f>
        <v>0</v>
      </c>
      <c r="D8591" t="s">
        <v>23500</v>
      </c>
      <c r="E8591" t="s">
        <v>31067</v>
      </c>
    </row>
    <row r="8592" spans="1:5">
      <c r="A8592" t="s">
        <v>6</v>
      </c>
      <c r="B8592" t="s">
        <v>8597</v>
      </c>
      <c r="C8592">
        <f>HYPERLINK("C:\Users\franc\OneDrive\Documentos\MALENTIN KARIME\CESION\RESPALDO LUIS DIAZ\VARIOS 2008\AGR. CH. BAJO NORTE 2.doc", "Abrir Documento")</f>
        <v>0</v>
      </c>
      <c r="D8592" t="s">
        <v>23500</v>
      </c>
      <c r="E8592" t="s">
        <v>31068</v>
      </c>
    </row>
    <row r="8593" spans="1:5">
      <c r="A8593" t="s">
        <v>6</v>
      </c>
      <c r="B8593" t="s">
        <v>8598</v>
      </c>
      <c r="C8593">
        <f>HYPERLINK("C:\Users\franc\OneDrive\Documentos\MALENTIN KARIME\CESION\RESPALDO LUIS DIAZ\VARIOS 2008\AGR. CANTA RANA Rec.Deuda.doc", "Abrir Documento")</f>
        <v>0</v>
      </c>
      <c r="D8593" t="s">
        <v>23500</v>
      </c>
      <c r="E8593" t="s">
        <v>31069</v>
      </c>
    </row>
    <row r="8594" spans="1:5">
      <c r="A8594" t="s">
        <v>6</v>
      </c>
      <c r="B8594" t="s">
        <v>8599</v>
      </c>
      <c r="C8594">
        <f>HYPERLINK("C:\Users\franc\OneDrive\Documentos\MALENTIN KARIME\CESION\RESPALDO LUIS DIAZ\VARIOS 2008\AGR. AMABLE BARRAZA E HIJOS.doc", "Abrir Documento")</f>
        <v>0</v>
      </c>
      <c r="D8594" t="s">
        <v>23500</v>
      </c>
      <c r="E8594" t="s">
        <v>31070</v>
      </c>
    </row>
    <row r="8595" spans="1:5">
      <c r="A8595" t="s">
        <v>6</v>
      </c>
      <c r="B8595" t="s">
        <v>8600</v>
      </c>
      <c r="C8595">
        <f>HYPERLINK("C:\Users\franc\OneDrive\Documentos\MALENTIN KARIME\CESION\RESPALDO LUIS DIAZ\VARIOS 2008\AGR. ALVAREZ Y JULIA a AGRICOM Prenda.doc", "Abrir Documento")</f>
        <v>0</v>
      </c>
      <c r="D8595" t="s">
        <v>23500</v>
      </c>
      <c r="E8595" t="s">
        <v>31071</v>
      </c>
    </row>
    <row r="8596" spans="1:5">
      <c r="A8596" t="s">
        <v>6</v>
      </c>
      <c r="B8596" t="s">
        <v>8601</v>
      </c>
      <c r="C8596">
        <f>HYPERLINK("C:\Users\franc\OneDrive\Documentos\MALENTIN KARIME\CESION\RESPALDO LUIS DIAZ\VARIOS 2008\ACC. CONSULT. PROF. Protoc..doc", "Abrir Documento")</f>
        <v>0</v>
      </c>
      <c r="D8596" t="s">
        <v>23500</v>
      </c>
      <c r="E8596" t="s">
        <v>31072</v>
      </c>
    </row>
    <row r="8597" spans="1:5">
      <c r="A8597" t="s">
        <v>6</v>
      </c>
      <c r="B8597" t="s">
        <v>8602</v>
      </c>
      <c r="C8597">
        <f>HYPERLINK("C:\Users\franc\OneDrive\Documentos\MALENTIN KARIME\CESION\RESPALDO LUIS DIAZ\VARIOS 2008\8VA CIA. BOMBEROS CERR. TAMAYA.doc", "Abrir Documento")</f>
        <v>0</v>
      </c>
      <c r="D8597" t="s">
        <v>23500</v>
      </c>
      <c r="E8597" t="s">
        <v>31073</v>
      </c>
    </row>
    <row r="8598" spans="1:5">
      <c r="A8598" t="s">
        <v>6</v>
      </c>
      <c r="B8598" t="s">
        <v>8603</v>
      </c>
      <c r="C8598">
        <f>HYPERLINK("C:\Users\franc\OneDrive\Documentos\MALENTIN KARIME\CESION\RESPALDO LUIS DIAZ\VARIOS 2008\8VA CIA. BOMBEROS C. TAMAYA.doc", "Abrir Documento")</f>
        <v>0</v>
      </c>
      <c r="D8598" t="s">
        <v>23500</v>
      </c>
      <c r="E8598" t="s">
        <v>31074</v>
      </c>
    </row>
    <row r="8599" spans="1:5">
      <c r="A8599" t="s">
        <v>6</v>
      </c>
      <c r="B8599" t="s">
        <v>8604</v>
      </c>
      <c r="C8599">
        <f>HYPERLINK("C:\Users\franc\OneDrive\Documentos\MALENTIN KARIME\CESION\RESPALDO LUIS DIAZ\VARIOS 2008\21 AMIGOS3.PRO.doc", "Abrir Documento")</f>
        <v>0</v>
      </c>
      <c r="D8599" t="s">
        <v>23500</v>
      </c>
      <c r="E8599" t="s">
        <v>31075</v>
      </c>
    </row>
    <row r="8600" spans="1:5">
      <c r="A8600" t="s">
        <v>6</v>
      </c>
      <c r="B8600" t="s">
        <v>8605</v>
      </c>
      <c r="C8600">
        <f>HYPERLINK("C:\Users\franc\OneDrive\Documentos\MALENTIN KARIME\CESION\RESPALDO LUIS DIAZ\VARIOS 2008\21 AMIGOS2.PRO.doc", "Abrir Documento")</f>
        <v>0</v>
      </c>
      <c r="D8600" t="s">
        <v>23500</v>
      </c>
      <c r="E8600" t="s">
        <v>31076</v>
      </c>
    </row>
    <row r="8601" spans="1:5">
      <c r="A8601" t="s">
        <v>6</v>
      </c>
      <c r="B8601" t="s">
        <v>8606</v>
      </c>
      <c r="C8601">
        <f>HYPERLINK("C:\Users\franc\OneDrive\Documentos\MALENTIN KARIME\CESION\RESPALDO LUIS DIAZ\VARIOS 2008\21 AMIGOS.PRO.doc", "Abrir Documento")</f>
        <v>0</v>
      </c>
      <c r="D8601" t="s">
        <v>23500</v>
      </c>
      <c r="E8601" t="s">
        <v>31077</v>
      </c>
    </row>
    <row r="8602" spans="1:5">
      <c r="A8602" t="s">
        <v>6</v>
      </c>
      <c r="B8602" t="s">
        <v>8607</v>
      </c>
      <c r="C8602">
        <f>HYPERLINK("C:\Users\franc\OneDrive\Documentos\MALENTIN KARIME\CESION\RESPALDO LUIS DIAZ\TESTAMENTOS 2008\ZARELLA SILVA CATALAN.doc", "Abrir Documento")</f>
        <v>0</v>
      </c>
      <c r="D8602" t="s">
        <v>23500</v>
      </c>
      <c r="E8602" t="s">
        <v>31078</v>
      </c>
    </row>
    <row r="8603" spans="1:5">
      <c r="A8603" t="s">
        <v>6</v>
      </c>
      <c r="B8603" t="s">
        <v>8608</v>
      </c>
      <c r="C8603">
        <f>HYPERLINK("C:\Users\franc\OneDrive\Documentos\MALENTIN KARIME\CESION\RESPALDO LUIS DIAZ\TESTAMENTOS 2008\WALDA BLANCO Revoca Testamento.doc", "Abrir Documento")</f>
        <v>0</v>
      </c>
      <c r="D8603" t="s">
        <v>23500</v>
      </c>
      <c r="E8603" t="s">
        <v>31079</v>
      </c>
    </row>
    <row r="8604" spans="1:5">
      <c r="A8604" t="s">
        <v>6</v>
      </c>
      <c r="B8604" t="s">
        <v>8609</v>
      </c>
      <c r="C8604">
        <f>HYPERLINK("C:\Users\franc\OneDrive\Documentos\MALENTIN KARIME\CESION\RESPALDO LUIS DIAZ\TESTAMENTOS 2008\VINKA MARTINIC STIEPOVIC.doc", "Abrir Documento")</f>
        <v>0</v>
      </c>
      <c r="D8604" t="s">
        <v>23500</v>
      </c>
      <c r="E8604" t="s">
        <v>31080</v>
      </c>
    </row>
    <row r="8605" spans="1:5">
      <c r="A8605" t="s">
        <v>6</v>
      </c>
      <c r="B8605" t="s">
        <v>8610</v>
      </c>
      <c r="C8605">
        <f>HYPERLINK("C:\Users\franc\OneDrive\Documentos\MALENTIN KARIME\CESION\RESPALDO LUIS DIAZ\TESTAMENTOS 2008\VALERIANA BOLBARAN.TES.doc", "Abrir Documento")</f>
        <v>0</v>
      </c>
      <c r="D8605" t="s">
        <v>23500</v>
      </c>
      <c r="E8605" t="s">
        <v>31081</v>
      </c>
    </row>
    <row r="8606" spans="1:5">
      <c r="A8606" t="s">
        <v>6</v>
      </c>
      <c r="B8606" t="s">
        <v>8611</v>
      </c>
      <c r="C8606">
        <f>HYPERLINK("C:\Users\franc\OneDrive\Documentos\MALENTIN KARIME\CESION\RESPALDO LUIS DIAZ\TESTAMENTOS 2008\RICARDO ENRIQUE PEREZ.TES.doc", "Abrir Documento")</f>
        <v>0</v>
      </c>
      <c r="D8606" t="s">
        <v>23500</v>
      </c>
      <c r="E8606" t="s">
        <v>31082</v>
      </c>
    </row>
    <row r="8607" spans="1:5">
      <c r="A8607" t="s">
        <v>6</v>
      </c>
      <c r="B8607" t="s">
        <v>8612</v>
      </c>
      <c r="C8607">
        <f>HYPERLINK("C:\Users\franc\OneDrive\Documentos\MALENTIN KARIME\CESION\RESPALDO LUIS DIAZ\TESTAMENTOS 2008\NOTARIO SUPLENTE.doc", "Abrir Documento")</f>
        <v>0</v>
      </c>
      <c r="D8607" t="s">
        <v>23500</v>
      </c>
      <c r="E8607" t="s">
        <v>31083</v>
      </c>
    </row>
    <row r="8608" spans="1:5">
      <c r="A8608" t="s">
        <v>6</v>
      </c>
      <c r="B8608" t="s">
        <v>8613</v>
      </c>
      <c r="C8608">
        <f>HYPERLINK("C:\Users\franc\OneDrive\Documentos\MALENTIN KARIME\CESION\RESPALDO LUIS DIAZ\TESTAMENTOS 2008\MODELO TESTAMENTO.doc", "Abrir Documento")</f>
        <v>0</v>
      </c>
      <c r="D8608" t="s">
        <v>23500</v>
      </c>
      <c r="E8608" t="s">
        <v>31084</v>
      </c>
    </row>
    <row r="8609" spans="1:5">
      <c r="A8609" t="s">
        <v>6</v>
      </c>
      <c r="B8609" t="s">
        <v>8614</v>
      </c>
      <c r="C8609">
        <f>HYPERLINK("C:\Users\franc\OneDrive\Documentos\MALENTIN KARIME\CESION\RESPALDO LUIS DIAZ\TESTAMENTOS 2008\MODELO TESTAMENTO II.doc", "Abrir Documento")</f>
        <v>0</v>
      </c>
      <c r="D8609" t="s">
        <v>23500</v>
      </c>
      <c r="E8609" t="s">
        <v>31085</v>
      </c>
    </row>
    <row r="8610" spans="1:5">
      <c r="A8610" t="s">
        <v>6</v>
      </c>
      <c r="B8610" t="s">
        <v>8615</v>
      </c>
      <c r="C8610">
        <f>HYPERLINK("C:\Users\franc\OneDrive\Documentos\MALENTIN KARIME\CESION\RESPALDO LUIS DIAZ\TESTAMENTOS 2008\MODELO NOTARIO.doc", "Abrir Documento")</f>
        <v>0</v>
      </c>
      <c r="D8610" t="s">
        <v>23500</v>
      </c>
      <c r="E8610" t="s">
        <v>31086</v>
      </c>
    </row>
    <row r="8611" spans="1:5">
      <c r="A8611" t="s">
        <v>6</v>
      </c>
      <c r="B8611" t="s">
        <v>8616</v>
      </c>
      <c r="C8611">
        <f>HYPERLINK("C:\Users\franc\OneDrive\Documentos\MALENTIN KARIME\CESION\RESPALDO LUIS DIAZ\TESTAMENTOS 2008\JULIO POLANCO DABED.doc", "Abrir Documento")</f>
        <v>0</v>
      </c>
      <c r="D8611" t="s">
        <v>23500</v>
      </c>
      <c r="E8611" t="s">
        <v>31087</v>
      </c>
    </row>
    <row r="8612" spans="1:5">
      <c r="A8612" t="s">
        <v>6</v>
      </c>
      <c r="B8612" t="s">
        <v>8617</v>
      </c>
      <c r="C8612">
        <f>HYPERLINK("C:\Users\franc\OneDrive\Documentos\MALENTIN KARIME\CESION\RESPALDO LUIS DIAZ\TESTAMENTOS 2008\HECTOR MONARDES.doc", "Abrir Documento")</f>
        <v>0</v>
      </c>
      <c r="D8612" t="s">
        <v>23500</v>
      </c>
      <c r="E8612" t="s">
        <v>31088</v>
      </c>
    </row>
    <row r="8613" spans="1:5">
      <c r="A8613" t="s">
        <v>6</v>
      </c>
      <c r="B8613" t="s">
        <v>8618</v>
      </c>
      <c r="C8613">
        <f>HYPERLINK("C:\Users\franc\OneDrive\Documentos\MALENTIN KARIME\CESION\RESPALDO LUIS DIAZ\TESTAMENTOS 2008\HECTOR ALLENDE CORTES.doc", "Abrir Documento")</f>
        <v>0</v>
      </c>
      <c r="D8613" t="s">
        <v>23500</v>
      </c>
      <c r="E8613" t="s">
        <v>31089</v>
      </c>
    </row>
    <row r="8614" spans="1:5">
      <c r="A8614" t="s">
        <v>6</v>
      </c>
      <c r="B8614" t="s">
        <v>8619</v>
      </c>
      <c r="C8614">
        <f>HYPERLINK("C:\Users\franc\OneDrive\Documentos\MALENTIN KARIME\CESION\RESPALDO LUIS DIAZ\TESTAMENTOS 2008\ARMINDA AGUILERA.doc", "Abrir Documento")</f>
        <v>0</v>
      </c>
      <c r="D8614" t="s">
        <v>23500</v>
      </c>
      <c r="E8614" t="s">
        <v>31090</v>
      </c>
    </row>
    <row r="8615" spans="1:5">
      <c r="A8615" t="s">
        <v>6</v>
      </c>
      <c r="B8615" t="s">
        <v>8620</v>
      </c>
      <c r="C8615">
        <f>HYPERLINK("C:\Users\franc\OneDrive\Documentos\MALENTIN KARIME\CESION\RESPALDO LUIS DIAZ\SOCIEDADES 2008\2008\INVERSIONES MEDICAS DEL LIMARI.doc", "Abrir Documento")</f>
        <v>0</v>
      </c>
      <c r="D8615" t="s">
        <v>23500</v>
      </c>
      <c r="E8615" t="s">
        <v>31091</v>
      </c>
    </row>
    <row r="8616" spans="1:5">
      <c r="A8616" t="s">
        <v>6</v>
      </c>
      <c r="B8616" t="s">
        <v>8621</v>
      </c>
      <c r="C8616">
        <f>HYPERLINK("C:\Users\franc\OneDrive\Documentos\MALENTIN KARIME\CESION\RESPALDO LUIS DIAZ\SOCIEDADES 2008\2008\INVERSIONES MEDICAS DEL LIMARI E.I.R.L. Ext..doc", "Abrir Documento")</f>
        <v>0</v>
      </c>
      <c r="D8616" t="s">
        <v>23500</v>
      </c>
      <c r="E8616" t="s">
        <v>31092</v>
      </c>
    </row>
    <row r="8617" spans="1:5">
      <c r="A8617" t="s">
        <v>6</v>
      </c>
      <c r="B8617" t="s">
        <v>8622</v>
      </c>
      <c r="C8617">
        <f>HYPERLINK("C:\Users\franc\OneDrive\Documentos\MALENTIN KARIME\CESION\RESPALDO LUIS DIAZ\SOCIEDADES 2008\YUM-YUM.SOC.doc", "Abrir Documento")</f>
        <v>0</v>
      </c>
      <c r="D8617" t="s">
        <v>23500</v>
      </c>
      <c r="E8617" t="s">
        <v>31093</v>
      </c>
    </row>
    <row r="8618" spans="1:5">
      <c r="A8618" t="s">
        <v>6</v>
      </c>
      <c r="B8618" t="s">
        <v>8623</v>
      </c>
      <c r="C8618">
        <f>HYPERLINK("C:\Users\franc\OneDrive\Documentos\MALENTIN KARIME\CESION\RESPALDO LUIS DIAZ\SOCIEDADES 2008\YUM-YUM.EXT.doc", "Abrir Documento")</f>
        <v>0</v>
      </c>
      <c r="D8618" t="s">
        <v>23500</v>
      </c>
      <c r="E8618" t="s">
        <v>31094</v>
      </c>
    </row>
    <row r="8619" spans="1:5">
      <c r="A8619" t="s">
        <v>6</v>
      </c>
      <c r="B8619" t="s">
        <v>8624</v>
      </c>
      <c r="C8619">
        <f>HYPERLINK("C:\Users\franc\OneDrive\Documentos\MALENTIN KARIME\CESION\RESPALDO LUIS DIAZ\SOCIEDADES 2008\YESSIE IBARRA FERRER E.I.R.L..doc", "Abrir Documento")</f>
        <v>0</v>
      </c>
      <c r="D8619" t="s">
        <v>23500</v>
      </c>
      <c r="E8619" t="s">
        <v>31095</v>
      </c>
    </row>
    <row r="8620" spans="1:5">
      <c r="A8620" t="s">
        <v>6</v>
      </c>
      <c r="B8620" t="s">
        <v>8625</v>
      </c>
      <c r="C8620">
        <f>HYPERLINK("C:\Users\franc\OneDrive\Documentos\MALENTIN KARIME\CESION\RESPALDO LUIS DIAZ\SOCIEDADES 2008\YESSIE IBARRA F. E.I.R.L. Extracto.doc", "Abrir Documento")</f>
        <v>0</v>
      </c>
      <c r="D8620" t="s">
        <v>23500</v>
      </c>
      <c r="E8620" t="s">
        <v>31096</v>
      </c>
    </row>
    <row r="8621" spans="1:5">
      <c r="A8621" t="s">
        <v>6</v>
      </c>
      <c r="B8621" t="s">
        <v>8626</v>
      </c>
      <c r="C8621">
        <f>HYPERLINK("C:\Users\franc\OneDrive\Documentos\MALENTIN KARIME\CESION\RESPALDO LUIS DIAZ\SOCIEDADES 2008\WILSON SALINAS E.I.R.L. Ext..doc", "Abrir Documento")</f>
        <v>0</v>
      </c>
      <c r="D8621" t="s">
        <v>23500</v>
      </c>
      <c r="E8621" t="s">
        <v>31097</v>
      </c>
    </row>
    <row r="8622" spans="1:5">
      <c r="A8622" t="s">
        <v>6</v>
      </c>
      <c r="B8622" t="s">
        <v>8627</v>
      </c>
      <c r="C8622">
        <f>HYPERLINK("C:\Users\franc\OneDrive\Documentos\MALENTIN KARIME\CESION\RESPALDO LUIS DIAZ\SOCIEDADES 2008\WILSON SALINAS CORTES E.I.R.L..doc", "Abrir Documento")</f>
        <v>0</v>
      </c>
      <c r="D8622" t="s">
        <v>23500</v>
      </c>
      <c r="E8622" t="s">
        <v>31098</v>
      </c>
    </row>
    <row r="8623" spans="1:5">
      <c r="A8623" t="s">
        <v>6</v>
      </c>
      <c r="B8623" t="s">
        <v>8628</v>
      </c>
      <c r="C8623">
        <f>HYPERLINK("C:\Users\franc\OneDrive\Documentos\MALENTIN KARIME\CESION\RESPALDO LUIS DIAZ\SOCIEDADES 2008\WILLIAM ESCOBAR M. E.I.R.L. Extracto.doc", "Abrir Documento")</f>
        <v>0</v>
      </c>
      <c r="D8623" t="s">
        <v>23500</v>
      </c>
      <c r="E8623" t="s">
        <v>31099</v>
      </c>
    </row>
    <row r="8624" spans="1:5">
      <c r="A8624" t="s">
        <v>6</v>
      </c>
      <c r="B8624" t="s">
        <v>8629</v>
      </c>
      <c r="C8624">
        <f>HYPERLINK("C:\Users\franc\OneDrive\Documentos\MALENTIN KARIME\CESION\RESPALDO LUIS DIAZ\SOCIEDADES 2008\WILLIAM ESCOBAR E.R.I.L..doc", "Abrir Documento")</f>
        <v>0</v>
      </c>
      <c r="D8624" t="s">
        <v>23500</v>
      </c>
      <c r="E8624" t="s">
        <v>31100</v>
      </c>
    </row>
    <row r="8625" spans="1:5">
      <c r="A8625" t="s">
        <v>6</v>
      </c>
      <c r="B8625" t="s">
        <v>8630</v>
      </c>
      <c r="C8625">
        <f>HYPERLINK("C:\Users\franc\OneDrive\Documentos\MALENTIN KARIME\CESION\RESPALDO LUIS DIAZ\SOCIEDADES 2008\VINKO CIKUTOVIC M. E.R.I.L..doc", "Abrir Documento")</f>
        <v>0</v>
      </c>
      <c r="D8625" t="s">
        <v>23500</v>
      </c>
      <c r="E8625" t="s">
        <v>31101</v>
      </c>
    </row>
    <row r="8626" spans="1:5">
      <c r="A8626" t="s">
        <v>6</v>
      </c>
      <c r="B8626" t="s">
        <v>8631</v>
      </c>
      <c r="C8626">
        <f>HYPERLINK("C:\Users\franc\OneDrive\Documentos\MALENTIN KARIME\CESION\RESPALDO LUIS DIAZ\SOCIEDADES 2008\VINKO CIKUTOVIC M.  E.I.R.L. Extracto.doc", "Abrir Documento")</f>
        <v>0</v>
      </c>
      <c r="D8626" t="s">
        <v>23500</v>
      </c>
      <c r="E8626" t="s">
        <v>31102</v>
      </c>
    </row>
    <row r="8627" spans="1:5">
      <c r="A8627" t="s">
        <v>6</v>
      </c>
      <c r="B8627" t="s">
        <v>8632</v>
      </c>
      <c r="C8627">
        <f>HYPERLINK("C:\Users\franc\OneDrive\Documentos\MALENTIN KARIME\CESION\RESPALDO LUIS DIAZ\SOCIEDADES 2008\VALLE SALUD.SOC.doc", "Abrir Documento")</f>
        <v>0</v>
      </c>
      <c r="D8627" t="s">
        <v>23500</v>
      </c>
      <c r="E8627" t="s">
        <v>31103</v>
      </c>
    </row>
    <row r="8628" spans="1:5">
      <c r="A8628" t="s">
        <v>6</v>
      </c>
      <c r="B8628" t="s">
        <v>8633</v>
      </c>
      <c r="C8628">
        <f>HYPERLINK("C:\Users\franc\OneDrive\Documentos\MALENTIN KARIME\CESION\RESPALDO LUIS DIAZ\SOCIEDADES 2008\VALLE SALUD.Ext.doc", "Abrir Documento")</f>
        <v>0</v>
      </c>
      <c r="D8628" t="s">
        <v>23500</v>
      </c>
      <c r="E8628" t="s">
        <v>31104</v>
      </c>
    </row>
    <row r="8629" spans="1:5">
      <c r="A8629" t="s">
        <v>6</v>
      </c>
      <c r="B8629" t="s">
        <v>8634</v>
      </c>
      <c r="C8629">
        <f>HYPERLINK("C:\Users\franc\OneDrive\Documentos\MALENTIN KARIME\CESION\RESPALDO LUIS DIAZ\SOCIEDADES 2008\VALLE SALUD Modific..doc", "Abrir Documento")</f>
        <v>0</v>
      </c>
      <c r="D8629" t="s">
        <v>23500</v>
      </c>
      <c r="E8629" t="s">
        <v>31105</v>
      </c>
    </row>
    <row r="8630" spans="1:5">
      <c r="A8630" t="s">
        <v>6</v>
      </c>
      <c r="B8630" t="s">
        <v>8635</v>
      </c>
      <c r="C8630">
        <f>HYPERLINK("C:\Users\franc\OneDrive\Documentos\MALENTIN KARIME\CESION\RESPALDO LUIS DIAZ\SOCIEDADES 2008\VALLE SALUD Extracto Modif..doc", "Abrir Documento")</f>
        <v>0</v>
      </c>
      <c r="D8630" t="s">
        <v>23500</v>
      </c>
      <c r="E8630" t="s">
        <v>31106</v>
      </c>
    </row>
    <row r="8631" spans="1:5">
      <c r="A8631" t="s">
        <v>6</v>
      </c>
      <c r="B8631" t="s">
        <v>8636</v>
      </c>
      <c r="C8631">
        <f>HYPERLINK("C:\Users\franc\OneDrive\Documentos\MALENTIN KARIME\CESION\RESPALDO LUIS DIAZ\SOCIEDADES 2008\TRANSPORTES HEISIG.Ext.doc", "Abrir Documento")</f>
        <v>0</v>
      </c>
      <c r="D8631" t="s">
        <v>23500</v>
      </c>
      <c r="E8631" t="s">
        <v>31107</v>
      </c>
    </row>
    <row r="8632" spans="1:5">
      <c r="A8632" t="s">
        <v>6</v>
      </c>
      <c r="B8632" t="s">
        <v>8637</v>
      </c>
      <c r="C8632">
        <f>HYPERLINK("C:\Users\franc\OneDrive\Documentos\MALENTIN KARIME\CESION\RESPALDO LUIS DIAZ\SOCIEDADES 2008\TRANSPORTES HEISIG.doc", "Abrir Documento")</f>
        <v>0</v>
      </c>
      <c r="D8632" t="s">
        <v>23500</v>
      </c>
      <c r="E8632" t="s">
        <v>31108</v>
      </c>
    </row>
    <row r="8633" spans="1:5">
      <c r="A8633" t="s">
        <v>6</v>
      </c>
      <c r="B8633" t="s">
        <v>8638</v>
      </c>
      <c r="C8633">
        <f>HYPERLINK("C:\Users\franc\OneDrive\Documentos\MALENTIN KARIME\CESION\RESPALDO LUIS DIAZ\SOCIEDADES 2008\TRANSPORTES FLAYAN LTDA..doc", "Abrir Documento")</f>
        <v>0</v>
      </c>
      <c r="D8633" t="s">
        <v>23500</v>
      </c>
      <c r="E8633" t="s">
        <v>31109</v>
      </c>
    </row>
    <row r="8634" spans="1:5">
      <c r="A8634" t="s">
        <v>6</v>
      </c>
      <c r="B8634" t="s">
        <v>8639</v>
      </c>
      <c r="C8634">
        <f>HYPERLINK("C:\Users\franc\OneDrive\Documentos\MALENTIN KARIME\CESION\RESPALDO LUIS DIAZ\SOCIEDADES 2008\TRANSPORTES FLAYAN LTDA. Extracto.doc", "Abrir Documento")</f>
        <v>0</v>
      </c>
      <c r="D8634" t="s">
        <v>23500</v>
      </c>
      <c r="E8634" t="s">
        <v>31110</v>
      </c>
    </row>
    <row r="8635" spans="1:5">
      <c r="A8635" t="s">
        <v>6</v>
      </c>
      <c r="B8635" t="s">
        <v>8640</v>
      </c>
      <c r="C8635">
        <f>HYPERLINK("C:\Users\franc\OneDrive\Documentos\MALENTIN KARIME\CESION\RESPALDO LUIS DIAZ\SOCIEDADES 2008\TRANSPORTES DOS VALLES SPA.doc", "Abrir Documento")</f>
        <v>0</v>
      </c>
      <c r="D8635" t="s">
        <v>23500</v>
      </c>
      <c r="E8635" t="s">
        <v>31111</v>
      </c>
    </row>
    <row r="8636" spans="1:5">
      <c r="A8636" t="s">
        <v>6</v>
      </c>
      <c r="B8636" t="s">
        <v>8641</v>
      </c>
      <c r="C8636">
        <f>HYPERLINK("C:\Users\franc\OneDrive\Documentos\MALENTIN KARIME\CESION\RESPALDO LUIS DIAZ\SOCIEDADES 2008\TRANSPORTES DOS VALLES SPA Extracto.doc", "Abrir Documento")</f>
        <v>0</v>
      </c>
      <c r="D8636" t="s">
        <v>23500</v>
      </c>
      <c r="E8636" t="s">
        <v>31112</v>
      </c>
    </row>
    <row r="8637" spans="1:5">
      <c r="A8637" t="s">
        <v>6</v>
      </c>
      <c r="B8637" t="s">
        <v>8642</v>
      </c>
      <c r="C8637">
        <f>HYPERLINK("C:\Users\franc\OneDrive\Documentos\MALENTIN KARIME\CESION\RESPALDO LUIS DIAZ\SOCIEDADES 2008\TRANSCHEMICALS.MOD.doc", "Abrir Documento")</f>
        <v>0</v>
      </c>
      <c r="D8637" t="s">
        <v>23500</v>
      </c>
      <c r="E8637" t="s">
        <v>31113</v>
      </c>
    </row>
    <row r="8638" spans="1:5">
      <c r="A8638" t="s">
        <v>6</v>
      </c>
      <c r="B8638" t="s">
        <v>8643</v>
      </c>
      <c r="C8638">
        <f>HYPERLINK("C:\Users\franc\OneDrive\Documentos\MALENTIN KARIME\CESION\RESPALDO LUIS DIAZ\SOCIEDADES 2008\TRANSCHEMICALS.Ext.doc", "Abrir Documento")</f>
        <v>0</v>
      </c>
      <c r="D8638" t="s">
        <v>23500</v>
      </c>
      <c r="E8638" t="s">
        <v>31114</v>
      </c>
    </row>
    <row r="8639" spans="1:5">
      <c r="A8639" t="s">
        <v>6</v>
      </c>
      <c r="B8639" t="s">
        <v>8644</v>
      </c>
      <c r="C8639">
        <f>HYPERLINK("C:\Users\franc\OneDrive\Documentos\MALENTIN KARIME\CESION\RESPALDO LUIS DIAZ\SOCIEDADES 2008\TERRA NUT SPA.doc", "Abrir Documento")</f>
        <v>0</v>
      </c>
      <c r="D8639" t="s">
        <v>23500</v>
      </c>
      <c r="E8639" t="s">
        <v>31115</v>
      </c>
    </row>
    <row r="8640" spans="1:5">
      <c r="A8640" t="s">
        <v>6</v>
      </c>
      <c r="B8640" t="s">
        <v>8645</v>
      </c>
      <c r="C8640">
        <f>HYPERLINK("C:\Users\franc\OneDrive\Documentos\MALENTIN KARIME\CESION\RESPALDO LUIS DIAZ\SOCIEDADES 2008\TERRA NUT SpA Extracto.doc", "Abrir Documento")</f>
        <v>0</v>
      </c>
      <c r="D8640" t="s">
        <v>23500</v>
      </c>
      <c r="E8640" t="s">
        <v>31116</v>
      </c>
    </row>
    <row r="8641" spans="1:5">
      <c r="A8641" t="s">
        <v>6</v>
      </c>
      <c r="B8641" t="s">
        <v>8646</v>
      </c>
      <c r="C8641">
        <f>HYPERLINK("C:\Users\franc\OneDrive\Documentos\MALENTIN KARIME\CESION\RESPALDO LUIS DIAZ\SOCIEDADES 2008\TERRA NUT SPA Cesión Acc. P. MARQUEZ.doc", "Abrir Documento")</f>
        <v>0</v>
      </c>
      <c r="D8641" t="s">
        <v>23500</v>
      </c>
      <c r="E8641" t="s">
        <v>31117</v>
      </c>
    </row>
    <row r="8642" spans="1:5">
      <c r="A8642" t="s">
        <v>6</v>
      </c>
      <c r="B8642" t="s">
        <v>8647</v>
      </c>
      <c r="C8642">
        <f>HYPERLINK("C:\Users\franc\OneDrive\Documentos\MALENTIN KARIME\CESION\RESPALDO LUIS DIAZ\SOCIEDADES 2008\TERRA NUT SPA Cesión Acc. HORACIO A..doc", "Abrir Documento")</f>
        <v>0</v>
      </c>
      <c r="D8642" t="s">
        <v>23500</v>
      </c>
      <c r="E8642" t="s">
        <v>31118</v>
      </c>
    </row>
    <row r="8643" spans="1:5">
      <c r="A8643" t="s">
        <v>6</v>
      </c>
      <c r="B8643" t="s">
        <v>8648</v>
      </c>
      <c r="C8643">
        <f>HYPERLINK("C:\Users\franc\OneDrive\Documentos\MALENTIN KARIME\CESION\RESPALDO LUIS DIAZ\SOCIEDADES 2008\TECNOCITRUS Modificación.doc", "Abrir Documento")</f>
        <v>0</v>
      </c>
      <c r="D8643" t="s">
        <v>23500</v>
      </c>
      <c r="E8643" t="s">
        <v>31119</v>
      </c>
    </row>
    <row r="8644" spans="1:5">
      <c r="A8644" t="s">
        <v>6</v>
      </c>
      <c r="B8644" t="s">
        <v>8649</v>
      </c>
      <c r="C8644">
        <f>HYPERLINK("C:\Users\franc\OneDrive\Documentos\MALENTIN KARIME\CESION\RESPALDO LUIS DIAZ\SOCIEDADES 2008\TECNOCITRUS LTD. Modif. Extracto.doc", "Abrir Documento")</f>
        <v>0</v>
      </c>
      <c r="D8644" t="s">
        <v>23500</v>
      </c>
      <c r="E8644" t="s">
        <v>31120</v>
      </c>
    </row>
    <row r="8645" spans="1:5">
      <c r="A8645" t="s">
        <v>6</v>
      </c>
      <c r="B8645" t="s">
        <v>8650</v>
      </c>
      <c r="C8645">
        <f>HYPERLINK("C:\Users\franc\OneDrive\Documentos\MALENTIN KARIME\CESION\RESPALDO LUIS DIAZ\SOCIEDADES 2008\SOCOMAR LTDA. Modificación.doc", "Abrir Documento")</f>
        <v>0</v>
      </c>
      <c r="D8645" t="s">
        <v>23500</v>
      </c>
      <c r="E8645" t="s">
        <v>31121</v>
      </c>
    </row>
    <row r="8646" spans="1:5">
      <c r="A8646" t="s">
        <v>6</v>
      </c>
      <c r="B8646" t="s">
        <v>8651</v>
      </c>
      <c r="C8646">
        <f>HYPERLINK("C:\Users\franc\OneDrive\Documentos\MALENTIN KARIME\CESION\RESPALDO LUIS DIAZ\SOCIEDADES 2008\SOCOMAR LTDA. Mod. Extracto.doc", "Abrir Documento")</f>
        <v>0</v>
      </c>
      <c r="D8646" t="s">
        <v>23500</v>
      </c>
      <c r="E8646" t="s">
        <v>31122</v>
      </c>
    </row>
    <row r="8647" spans="1:5">
      <c r="A8647" t="s">
        <v>6</v>
      </c>
      <c r="B8647" t="s">
        <v>8652</v>
      </c>
      <c r="C8647">
        <f>HYPERLINK("C:\Users\franc\OneDrive\Documentos\MALENTIN KARIME\CESION\RESPALDO LUIS DIAZ\SOCIEDADES 2008\SOCIEDAD CALL LTDA. Modific..doc", "Abrir Documento")</f>
        <v>0</v>
      </c>
      <c r="D8647" t="s">
        <v>23500</v>
      </c>
      <c r="E8647" t="s">
        <v>31123</v>
      </c>
    </row>
    <row r="8648" spans="1:5">
      <c r="A8648" t="s">
        <v>6</v>
      </c>
      <c r="B8648" t="s">
        <v>8653</v>
      </c>
      <c r="C8648">
        <f>HYPERLINK("C:\Users\franc\OneDrive\Documentos\MALENTIN KARIME\CESION\RESPALDO LUIS DIAZ\SOCIEDADES 2008\SOCIEDAD CALL LTDA. Mod. Extracto.doc", "Abrir Documento")</f>
        <v>0</v>
      </c>
      <c r="D8648" t="s">
        <v>23500</v>
      </c>
      <c r="E8648" t="s">
        <v>31124</v>
      </c>
    </row>
    <row r="8649" spans="1:5">
      <c r="A8649" t="s">
        <v>6</v>
      </c>
      <c r="B8649" t="s">
        <v>8654</v>
      </c>
      <c r="C8649">
        <f>HYPERLINK("C:\Users\franc\OneDrive\Documentos\MALENTIN KARIME\CESION\RESPALDO LUIS DIAZ\SOCIEDADES 2008\SOC.AGR. MINERA STA LUISA.doc", "Abrir Documento")</f>
        <v>0</v>
      </c>
      <c r="D8649" t="s">
        <v>23500</v>
      </c>
      <c r="E8649" t="s">
        <v>31125</v>
      </c>
    </row>
    <row r="8650" spans="1:5">
      <c r="A8650" t="s">
        <v>6</v>
      </c>
      <c r="B8650" t="s">
        <v>8655</v>
      </c>
      <c r="C8650">
        <f>HYPERLINK("C:\Users\franc\OneDrive\Documentos\MALENTIN KARIME\CESION\RESPALDO LUIS DIAZ\SOCIEDADES 2008\SOC.AGR. LIMARI PONTE. Modif. Extracto.doc", "Abrir Documento")</f>
        <v>0</v>
      </c>
      <c r="D8650" t="s">
        <v>23500</v>
      </c>
      <c r="E8650" t="s">
        <v>31126</v>
      </c>
    </row>
    <row r="8651" spans="1:5">
      <c r="A8651" t="s">
        <v>6</v>
      </c>
      <c r="B8651" t="s">
        <v>8656</v>
      </c>
      <c r="C8651">
        <f>HYPERLINK("C:\Users\franc\OneDrive\Documentos\MALENTIN KARIME\CESION\RESPALDO LUIS DIAZ\SOCIEDADES 2008\SOC.AGR. LIMARI PONIENTE Modif..doc", "Abrir Documento")</f>
        <v>0</v>
      </c>
      <c r="D8651" t="s">
        <v>23500</v>
      </c>
      <c r="E8651" t="s">
        <v>31127</v>
      </c>
    </row>
    <row r="8652" spans="1:5">
      <c r="A8652" t="s">
        <v>6</v>
      </c>
      <c r="B8652" t="s">
        <v>8657</v>
      </c>
      <c r="C8652">
        <f>HYPERLINK("C:\Users\franc\OneDrive\Documentos\MALENTIN KARIME\CESION\RESPALDO LUIS DIAZ\SOCIEDADES 2008\SOC.AGR. LIMARI ORTE. Modif. Extracto.doc", "Abrir Documento")</f>
        <v>0</v>
      </c>
      <c r="D8652" t="s">
        <v>23500</v>
      </c>
      <c r="E8652" t="s">
        <v>31128</v>
      </c>
    </row>
    <row r="8653" spans="1:5">
      <c r="A8653" t="s">
        <v>6</v>
      </c>
      <c r="B8653" t="s">
        <v>8658</v>
      </c>
      <c r="C8653">
        <f>HYPERLINK("C:\Users\franc\OneDrive\Documentos\MALENTIN KARIME\CESION\RESPALDO LUIS DIAZ\SOCIEDADES 2008\SOC.AGR. LIMARI ORIENTE Modif..doc", "Abrir Documento")</f>
        <v>0</v>
      </c>
      <c r="D8653" t="s">
        <v>23500</v>
      </c>
      <c r="E8653" t="s">
        <v>31129</v>
      </c>
    </row>
    <row r="8654" spans="1:5">
      <c r="A8654" t="s">
        <v>6</v>
      </c>
      <c r="B8654" t="s">
        <v>8659</v>
      </c>
      <c r="C8654">
        <f>HYPERLINK("C:\Users\franc\OneDrive\Documentos\MALENTIN KARIME\CESION\RESPALDO LUIS DIAZ\SOCIEDADES 2008\SOC. TRANSP. EXP. E IMP. PAZ. Extracto.doc", "Abrir Documento")</f>
        <v>0</v>
      </c>
      <c r="D8654" t="s">
        <v>23500</v>
      </c>
      <c r="E8654" t="s">
        <v>31130</v>
      </c>
    </row>
    <row r="8655" spans="1:5">
      <c r="A8655" t="s">
        <v>6</v>
      </c>
      <c r="B8655" t="s">
        <v>8660</v>
      </c>
      <c r="C8655">
        <f>HYPERLINK("C:\Users\franc\OneDrive\Documentos\MALENTIN KARIME\CESION\RESPALDO LUIS DIAZ\SOCIEDADES 2008\SOC. TRANSP. EXP. E IMP. PAZ LTDA..doc", "Abrir Documento")</f>
        <v>0</v>
      </c>
      <c r="D8655" t="s">
        <v>23500</v>
      </c>
      <c r="E8655" t="s">
        <v>31131</v>
      </c>
    </row>
    <row r="8656" spans="1:5">
      <c r="A8656" t="s">
        <v>6</v>
      </c>
      <c r="B8656" t="s">
        <v>8661</v>
      </c>
      <c r="C8656">
        <f>HYPERLINK("C:\Users\franc\OneDrive\Documentos\MALENTIN KARIME\CESION\RESPALDO LUIS DIAZ\SOCIEDADES 2008\SOC. TRANSP. EL MAITEN LTD..doc", "Abrir Documento")</f>
        <v>0</v>
      </c>
      <c r="D8656" t="s">
        <v>23500</v>
      </c>
      <c r="E8656" t="s">
        <v>31132</v>
      </c>
    </row>
    <row r="8657" spans="1:5">
      <c r="A8657" t="s">
        <v>6</v>
      </c>
      <c r="B8657" t="s">
        <v>8662</v>
      </c>
      <c r="C8657">
        <f>HYPERLINK("C:\Users\franc\OneDrive\Documentos\MALENTIN KARIME\CESION\RESPALDO LUIS DIAZ\SOCIEDADES 2008\SOC. TRANSP. ALSER LTDA..doc", "Abrir Documento")</f>
        <v>0</v>
      </c>
      <c r="D8657" t="s">
        <v>23500</v>
      </c>
      <c r="E8657" t="s">
        <v>31133</v>
      </c>
    </row>
    <row r="8658" spans="1:5">
      <c r="A8658" t="s">
        <v>6</v>
      </c>
      <c r="B8658" t="s">
        <v>8663</v>
      </c>
      <c r="C8658">
        <f>HYPERLINK("C:\Users\franc\OneDrive\Documentos\MALENTIN KARIME\CESION\RESPALDO LUIS DIAZ\SOCIEDADES 2008\SOC. TRANSP. ALSER LTDA. Extracto..doc", "Abrir Documento")</f>
        <v>0</v>
      </c>
      <c r="D8658" t="s">
        <v>23500</v>
      </c>
      <c r="E8658" t="s">
        <v>31134</v>
      </c>
    </row>
    <row r="8659" spans="1:5">
      <c r="A8659" t="s">
        <v>6</v>
      </c>
      <c r="B8659" t="s">
        <v>8664</v>
      </c>
      <c r="C8659">
        <f>HYPERLINK("C:\Users\franc\OneDrive\Documentos\MALENTIN KARIME\CESION\RESPALDO LUIS DIAZ\SOCIEDADES 2008\SOC. STA LUISA LTD. Resciliac.2.doc", "Abrir Documento")</f>
        <v>0</v>
      </c>
      <c r="D8659" t="s">
        <v>23500</v>
      </c>
      <c r="E8659" t="s">
        <v>31135</v>
      </c>
    </row>
    <row r="8660" spans="1:5">
      <c r="A8660" t="s">
        <v>6</v>
      </c>
      <c r="B8660" t="s">
        <v>8665</v>
      </c>
      <c r="C8660">
        <f>HYPERLINK("C:\Users\franc\OneDrive\Documentos\MALENTIN KARIME\CESION\RESPALDO LUIS DIAZ\SOCIEDADES 2008\SOC. STA LUISA LTD. Resciliac..doc", "Abrir Documento")</f>
        <v>0</v>
      </c>
      <c r="D8660" t="s">
        <v>23500</v>
      </c>
      <c r="E8660" t="s">
        <v>31136</v>
      </c>
    </row>
    <row r="8661" spans="1:5">
      <c r="A8661" t="s">
        <v>6</v>
      </c>
      <c r="B8661" t="s">
        <v>8666</v>
      </c>
      <c r="C8661">
        <f>HYPERLINK("C:\Users\franc\OneDrive\Documentos\MALENTIN KARIME\CESION\RESPALDO LUIS DIAZ\SOCIEDADES 2008\SOC. STA LUISA LTD. Dcl. y Alz.2.doc", "Abrir Documento")</f>
        <v>0</v>
      </c>
      <c r="D8661" t="s">
        <v>23500</v>
      </c>
      <c r="E8661" t="s">
        <v>31137</v>
      </c>
    </row>
    <row r="8662" spans="1:5">
      <c r="A8662" t="s">
        <v>6</v>
      </c>
      <c r="B8662" t="s">
        <v>8667</v>
      </c>
      <c r="C8662">
        <f>HYPERLINK("C:\Users\franc\OneDrive\Documentos\MALENTIN KARIME\CESION\RESPALDO LUIS DIAZ\SOCIEDADES 2008\SOC. STA LUISA LTD. Dcl. y Alz..doc", "Abrir Documento")</f>
        <v>0</v>
      </c>
      <c r="D8662" t="s">
        <v>23500</v>
      </c>
      <c r="E8662" t="s">
        <v>31138</v>
      </c>
    </row>
    <row r="8663" spans="1:5">
      <c r="A8663" t="s">
        <v>6</v>
      </c>
      <c r="B8663" t="s">
        <v>8668</v>
      </c>
      <c r="C8663">
        <f>HYPERLINK("C:\Users\franc\OneDrive\Documentos\MALENTIN KARIME\CESION\RESPALDO LUIS DIAZ\SOCIEDADES 2008\SOC. PEREIRA &amp; ALFARO LTDA..doc", "Abrir Documento")</f>
        <v>0</v>
      </c>
      <c r="D8663" t="s">
        <v>23500</v>
      </c>
      <c r="E8663" t="s">
        <v>31139</v>
      </c>
    </row>
    <row r="8664" spans="1:5">
      <c r="A8664" t="s">
        <v>6</v>
      </c>
      <c r="B8664" t="s">
        <v>8669</v>
      </c>
      <c r="C8664">
        <f>HYPERLINK("C:\Users\franc\OneDrive\Documentos\MALENTIN KARIME\CESION\RESPALDO LUIS DIAZ\SOCIEDADES 2008\SOC. PEREIRA &amp; ALFARO LTDA. Extracto.doc", "Abrir Documento")</f>
        <v>0</v>
      </c>
      <c r="D8664" t="s">
        <v>23500</v>
      </c>
      <c r="E8664" t="s">
        <v>31140</v>
      </c>
    </row>
    <row r="8665" spans="1:5">
      <c r="A8665" t="s">
        <v>6</v>
      </c>
      <c r="B8665" t="s">
        <v>8670</v>
      </c>
      <c r="C8665">
        <f>HYPERLINK("C:\Users\franc\OneDrive\Documentos\MALENTIN KARIME\CESION\RESPALDO LUIS DIAZ\SOCIEDADES 2008\SOC. PAZ SANDOVAL Y CIA..doc", "Abrir Documento")</f>
        <v>0</v>
      </c>
      <c r="D8665" t="s">
        <v>23500</v>
      </c>
      <c r="E8665" t="s">
        <v>31141</v>
      </c>
    </row>
    <row r="8666" spans="1:5">
      <c r="A8666" t="s">
        <v>6</v>
      </c>
      <c r="B8666" t="s">
        <v>8671</v>
      </c>
      <c r="C8666">
        <f>HYPERLINK("C:\Users\franc\OneDrive\Documentos\MALENTIN KARIME\CESION\RESPALDO LUIS DIAZ\SOCIEDADES 2008\SOC. PAZ SANDOVAL Y CIA. Modific...doc", "Abrir Documento")</f>
        <v>0</v>
      </c>
      <c r="D8666" t="s">
        <v>23500</v>
      </c>
      <c r="E8666" t="s">
        <v>31142</v>
      </c>
    </row>
    <row r="8667" spans="1:5">
      <c r="A8667" t="s">
        <v>6</v>
      </c>
      <c r="B8667" t="s">
        <v>8672</v>
      </c>
      <c r="C8667">
        <f>HYPERLINK("C:\Users\franc\OneDrive\Documentos\MALENTIN KARIME\CESION\RESPALDO LUIS DIAZ\SOCIEDADES 2008\SOC. PAZ SANDOVAL Y CIA. EXT.doc", "Abrir Documento")</f>
        <v>0</v>
      </c>
      <c r="D8667" t="s">
        <v>23500</v>
      </c>
      <c r="E8667" t="s">
        <v>31143</v>
      </c>
    </row>
    <row r="8668" spans="1:5">
      <c r="A8668" t="s">
        <v>6</v>
      </c>
      <c r="B8668" t="s">
        <v>8673</v>
      </c>
      <c r="C8668">
        <f>HYPERLINK("C:\Users\franc\OneDrive\Documentos\MALENTIN KARIME\CESION\RESPALDO LUIS DIAZ\SOCIEDADES 2008\SOC. PAZ SANDOVAL Y CIA. Ext. Mod..doc", "Abrir Documento")</f>
        <v>0</v>
      </c>
      <c r="D8668" t="s">
        <v>23500</v>
      </c>
      <c r="E8668" t="s">
        <v>31144</v>
      </c>
    </row>
    <row r="8669" spans="1:5">
      <c r="A8669" t="s">
        <v>6</v>
      </c>
      <c r="B8669" t="s">
        <v>8674</v>
      </c>
      <c r="C8669">
        <f>HYPERLINK("C:\Users\franc\OneDrive\Documentos\MALENTIN KARIME\CESION\RESPALDO LUIS DIAZ\SOCIEDADES 2008\SOC. MRA. PORTEZUELO Extracto Mod..doc", "Abrir Documento")</f>
        <v>0</v>
      </c>
      <c r="D8669" t="s">
        <v>23500</v>
      </c>
      <c r="E8669" t="s">
        <v>31145</v>
      </c>
    </row>
    <row r="8670" spans="1:5">
      <c r="A8670" t="s">
        <v>6</v>
      </c>
      <c r="B8670" t="s">
        <v>8675</v>
      </c>
      <c r="C8670">
        <f>HYPERLINK("C:\Users\franc\OneDrive\Documentos\MALENTIN KARIME\CESION\RESPALDO LUIS DIAZ\SOCIEDADES 2008\SOC. MINERA TIERRA DEL FUEGO.doc", "Abrir Documento")</f>
        <v>0</v>
      </c>
      <c r="D8670" t="s">
        <v>23500</v>
      </c>
      <c r="E8670" t="s">
        <v>31146</v>
      </c>
    </row>
    <row r="8671" spans="1:5">
      <c r="A8671" t="s">
        <v>6</v>
      </c>
      <c r="B8671" t="s">
        <v>8676</v>
      </c>
      <c r="C8671">
        <f>HYPERLINK("C:\Users\franc\OneDrive\Documentos\MALENTIN KARIME\CESION\RESPALDO LUIS DIAZ\SOCIEDADES 2008\SOC. MINERA TIERRA DEL FUEGO Extr..doc", "Abrir Documento")</f>
        <v>0</v>
      </c>
      <c r="D8671" t="s">
        <v>23500</v>
      </c>
      <c r="E8671" t="s">
        <v>31147</v>
      </c>
    </row>
    <row r="8672" spans="1:5">
      <c r="A8672" t="s">
        <v>6</v>
      </c>
      <c r="B8672" t="s">
        <v>8677</v>
      </c>
      <c r="C8672">
        <f>HYPERLINK("C:\Users\franc\OneDrive\Documentos\MALENTIN KARIME\CESION\RESPALDO LUIS DIAZ\SOCIEDADES 2008\SOC. MINERA PORTEZUELO.doc", "Abrir Documento")</f>
        <v>0</v>
      </c>
      <c r="D8672" t="s">
        <v>23500</v>
      </c>
      <c r="E8672" t="s">
        <v>31148</v>
      </c>
    </row>
    <row r="8673" spans="1:5">
      <c r="A8673" t="s">
        <v>6</v>
      </c>
      <c r="B8673" t="s">
        <v>8678</v>
      </c>
      <c r="C8673">
        <f>HYPERLINK("C:\Users\franc\OneDrive\Documentos\MALENTIN KARIME\CESION\RESPALDO LUIS DIAZ\SOCIEDADES 2008\SOC. MINERA PORTEZUELO Extracto.doc", "Abrir Documento")</f>
        <v>0</v>
      </c>
      <c r="D8673" t="s">
        <v>23500</v>
      </c>
      <c r="E8673" t="s">
        <v>31149</v>
      </c>
    </row>
    <row r="8674" spans="1:5">
      <c r="A8674" t="s">
        <v>6</v>
      </c>
      <c r="B8674" t="s">
        <v>8679</v>
      </c>
      <c r="C8674">
        <f>HYPERLINK("C:\Users\franc\OneDrive\Documentos\MALENTIN KARIME\CESION\RESPALDO LUIS DIAZ\SOCIEDADES 2008\SOC. MINERA PORTEZUELO Aclarac..doc", "Abrir Documento")</f>
        <v>0</v>
      </c>
      <c r="D8674" t="s">
        <v>23500</v>
      </c>
      <c r="E8674" t="s">
        <v>31150</v>
      </c>
    </row>
    <row r="8675" spans="1:5">
      <c r="A8675" t="s">
        <v>6</v>
      </c>
      <c r="B8675" t="s">
        <v>8680</v>
      </c>
      <c r="C8675">
        <f>HYPERLINK("C:\Users\franc\OneDrive\Documentos\MALENTIN KARIME\CESION\RESPALDO LUIS DIAZ\SOCIEDADES 2008\SOC. MINERA LOS CRISTALES. Extracto.doc", "Abrir Documento")</f>
        <v>0</v>
      </c>
      <c r="D8675" t="s">
        <v>23500</v>
      </c>
      <c r="E8675" t="s">
        <v>31151</v>
      </c>
    </row>
    <row r="8676" spans="1:5">
      <c r="A8676" t="s">
        <v>6</v>
      </c>
      <c r="B8676" t="s">
        <v>8681</v>
      </c>
      <c r="C8676">
        <f>HYPERLINK("C:\Users\franc\OneDrive\Documentos\MALENTIN KARIME\CESION\RESPALDO LUIS DIAZ\SOCIEDADES 2008\SOC. MINERA LOS CRISTALES LTDA..doc", "Abrir Documento")</f>
        <v>0</v>
      </c>
      <c r="D8676" t="s">
        <v>23500</v>
      </c>
      <c r="E8676" t="s">
        <v>31152</v>
      </c>
    </row>
    <row r="8677" spans="1:5">
      <c r="A8677" t="s">
        <v>6</v>
      </c>
      <c r="B8677" t="s">
        <v>8682</v>
      </c>
      <c r="C8677">
        <f>HYPERLINK("C:\Users\franc\OneDrive\Documentos\MALENTIN KARIME\CESION\RESPALDO LUIS DIAZ\SOCIEDADES 2008\SOC. MINERA EL TALHUEN LTD. Mod. Extracto.doc", "Abrir Documento")</f>
        <v>0</v>
      </c>
      <c r="D8677" t="s">
        <v>23500</v>
      </c>
      <c r="E8677" t="s">
        <v>31153</v>
      </c>
    </row>
    <row r="8678" spans="1:5">
      <c r="A8678" t="s">
        <v>6</v>
      </c>
      <c r="B8678" t="s">
        <v>8683</v>
      </c>
      <c r="C8678">
        <f>HYPERLINK("C:\Users\franc\OneDrive\Documentos\MALENTIN KARIME\CESION\RESPALDO LUIS DIAZ\SOCIEDADES 2008\SOC. MINERA EL TALHUEN LTD. Ces. Drchos..doc", "Abrir Documento")</f>
        <v>0</v>
      </c>
      <c r="D8678" t="s">
        <v>23500</v>
      </c>
      <c r="E8678" t="s">
        <v>31154</v>
      </c>
    </row>
    <row r="8679" spans="1:5">
      <c r="A8679" t="s">
        <v>6</v>
      </c>
      <c r="B8679" t="s">
        <v>8684</v>
      </c>
      <c r="C8679">
        <f>HYPERLINK("C:\Users\franc\OneDrive\Documentos\MALENTIN KARIME\CESION\RESPALDO LUIS DIAZ\SOCIEDADES 2008\SOC. MINERA EL COBRE. Extracto.doc", "Abrir Documento")</f>
        <v>0</v>
      </c>
      <c r="D8679" t="s">
        <v>23500</v>
      </c>
      <c r="E8679" t="s">
        <v>31155</v>
      </c>
    </row>
    <row r="8680" spans="1:5">
      <c r="A8680" t="s">
        <v>6</v>
      </c>
      <c r="B8680" t="s">
        <v>8685</v>
      </c>
      <c r="C8680">
        <f>HYPERLINK("C:\Users\franc\OneDrive\Documentos\MALENTIN KARIME\CESION\RESPALDO LUIS DIAZ\SOCIEDADES 2008\SOC. MINERA EL COBRE LTDA..doc", "Abrir Documento")</f>
        <v>0</v>
      </c>
      <c r="D8680" t="s">
        <v>23500</v>
      </c>
      <c r="E8680" t="s">
        <v>31156</v>
      </c>
    </row>
    <row r="8681" spans="1:5">
      <c r="A8681" t="s">
        <v>6</v>
      </c>
      <c r="B8681" t="s">
        <v>8686</v>
      </c>
      <c r="C8681">
        <f>HYPERLINK("C:\Users\franc\OneDrive\Documentos\MALENTIN KARIME\CESION\RESPALDO LUIS DIAZ\SOCIEDADES 2008\SOC. MINERA ACJ LTDA..doc", "Abrir Documento")</f>
        <v>0</v>
      </c>
      <c r="D8681" t="s">
        <v>23500</v>
      </c>
      <c r="E8681" t="s">
        <v>31157</v>
      </c>
    </row>
    <row r="8682" spans="1:5">
      <c r="A8682" t="s">
        <v>6</v>
      </c>
      <c r="B8682" t="s">
        <v>8687</v>
      </c>
      <c r="C8682">
        <f>HYPERLINK("C:\Users\franc\OneDrive\Documentos\MALENTIN KARIME\CESION\RESPALDO LUIS DIAZ\SOCIEDADES 2008\SOC. MINERA ACJ LTDA. Modific..doc", "Abrir Documento")</f>
        <v>0</v>
      </c>
      <c r="D8682" t="s">
        <v>23500</v>
      </c>
      <c r="E8682" t="s">
        <v>31158</v>
      </c>
    </row>
    <row r="8683" spans="1:5">
      <c r="A8683" t="s">
        <v>6</v>
      </c>
      <c r="B8683" t="s">
        <v>8688</v>
      </c>
      <c r="C8683">
        <f>HYPERLINK("C:\Users\franc\OneDrive\Documentos\MALENTIN KARIME\CESION\RESPALDO LUIS DIAZ\SOCIEDADES 2008\SOC. MINERA ACJ LTDA. Extracto.doc", "Abrir Documento")</f>
        <v>0</v>
      </c>
      <c r="D8683" t="s">
        <v>23500</v>
      </c>
      <c r="E8683" t="s">
        <v>31159</v>
      </c>
    </row>
    <row r="8684" spans="1:5">
      <c r="A8684" t="s">
        <v>6</v>
      </c>
      <c r="B8684" t="s">
        <v>8689</v>
      </c>
      <c r="C8684">
        <f>HYPERLINK("C:\Users\franc\OneDrive\Documentos\MALENTIN KARIME\CESION\RESPALDO LUIS DIAZ\SOCIEDADES 2008\SOC. MINERA ACJ LTD. Modif. Extr..doc", "Abrir Documento")</f>
        <v>0</v>
      </c>
      <c r="D8684" t="s">
        <v>23500</v>
      </c>
      <c r="E8684" t="s">
        <v>31160</v>
      </c>
    </row>
    <row r="8685" spans="1:5">
      <c r="A8685" t="s">
        <v>6</v>
      </c>
      <c r="B8685" t="s">
        <v>8690</v>
      </c>
      <c r="C8685">
        <f>HYPERLINK("C:\Users\franc\OneDrive\Documentos\MALENTIN KARIME\CESION\RESPALDO LUIS DIAZ\SOCIEDADES 2008\SOC. MAGIS LTDA..doc", "Abrir Documento")</f>
        <v>0</v>
      </c>
      <c r="D8685" t="s">
        <v>23500</v>
      </c>
      <c r="E8685" t="s">
        <v>31161</v>
      </c>
    </row>
    <row r="8686" spans="1:5">
      <c r="A8686" t="s">
        <v>6</v>
      </c>
      <c r="B8686" t="s">
        <v>8691</v>
      </c>
      <c r="C8686">
        <f>HYPERLINK("C:\Users\franc\OneDrive\Documentos\MALENTIN KARIME\CESION\RESPALDO LUIS DIAZ\SOCIEDADES 2008\SOC. MAGIS LTDA.  Extracto.doc", "Abrir Documento")</f>
        <v>0</v>
      </c>
      <c r="D8686" t="s">
        <v>23500</v>
      </c>
      <c r="E8686" t="s">
        <v>31162</v>
      </c>
    </row>
    <row r="8687" spans="1:5">
      <c r="A8687" t="s">
        <v>6</v>
      </c>
      <c r="B8687" t="s">
        <v>8692</v>
      </c>
      <c r="C8687">
        <f>HYPERLINK("C:\Users\franc\OneDrive\Documentos\MALENTIN KARIME\CESION\RESPALDO LUIS DIAZ\SOCIEDADES 2008\SOC. LAS MOLLACAS.EXT.doc", "Abrir Documento")</f>
        <v>0</v>
      </c>
      <c r="D8687" t="s">
        <v>23500</v>
      </c>
      <c r="E8687" t="s">
        <v>31163</v>
      </c>
    </row>
    <row r="8688" spans="1:5">
      <c r="A8688" t="s">
        <v>6</v>
      </c>
      <c r="B8688" t="s">
        <v>8693</v>
      </c>
      <c r="C8688">
        <f>HYPERLINK("C:\Users\franc\OneDrive\Documentos\MALENTIN KARIME\CESION\RESPALDO LUIS DIAZ\SOCIEDADES 2008\SOC. LAS MOLLACAS.doc", "Abrir Documento")</f>
        <v>0</v>
      </c>
      <c r="D8688" t="s">
        <v>23500</v>
      </c>
      <c r="E8688" t="s">
        <v>31164</v>
      </c>
    </row>
    <row r="8689" spans="1:5">
      <c r="A8689" t="s">
        <v>6</v>
      </c>
      <c r="B8689" t="s">
        <v>8694</v>
      </c>
      <c r="C8689">
        <f>HYPERLINK("C:\Users\franc\OneDrive\Documentos\MALENTIN KARIME\CESION\RESPALDO LUIS DIAZ\SOCIEDADES 2008\SOC. LAFFERTE ORTIZ OSSANDON.doc", "Abrir Documento")</f>
        <v>0</v>
      </c>
      <c r="D8689" t="s">
        <v>23500</v>
      </c>
      <c r="E8689" t="s">
        <v>31165</v>
      </c>
    </row>
    <row r="8690" spans="1:5">
      <c r="A8690" t="s">
        <v>6</v>
      </c>
      <c r="B8690" t="s">
        <v>8695</v>
      </c>
      <c r="C8690">
        <f>HYPERLINK("C:\Users\franc\OneDrive\Documentos\MALENTIN KARIME\CESION\RESPALDO LUIS DIAZ\SOCIEDADES 2008\SOC. LAFFERTE ORTIZ O. Extracto.doc", "Abrir Documento")</f>
        <v>0</v>
      </c>
      <c r="D8690" t="s">
        <v>23500</v>
      </c>
      <c r="E8690" t="s">
        <v>31166</v>
      </c>
    </row>
    <row r="8691" spans="1:5">
      <c r="A8691" t="s">
        <v>6</v>
      </c>
      <c r="B8691" t="s">
        <v>8696</v>
      </c>
      <c r="C8691">
        <f>HYPERLINK("C:\Users\franc\OneDrive\Documentos\MALENTIN KARIME\CESION\RESPALDO LUIS DIAZ\SOCIEDADES 2008\SOC. JOSE CONTRERAS Y CIA. Extracto.doc", "Abrir Documento")</f>
        <v>0</v>
      </c>
      <c r="D8691" t="s">
        <v>23500</v>
      </c>
      <c r="E8691" t="s">
        <v>31167</v>
      </c>
    </row>
    <row r="8692" spans="1:5">
      <c r="A8692" t="s">
        <v>6</v>
      </c>
      <c r="B8692" t="s">
        <v>8697</v>
      </c>
      <c r="C8692">
        <f>HYPERLINK("C:\Users\franc\OneDrive\Documentos\MALENTIN KARIME\CESION\RESPALDO LUIS DIAZ\SOCIEDADES 2008\SOC. JOSE CONTRERAS Y CIA. Disol..doc", "Abrir Documento")</f>
        <v>0</v>
      </c>
      <c r="D8692" t="s">
        <v>23500</v>
      </c>
      <c r="E8692" t="s">
        <v>31168</v>
      </c>
    </row>
    <row r="8693" spans="1:5">
      <c r="A8693" t="s">
        <v>6</v>
      </c>
      <c r="B8693" t="s">
        <v>8698</v>
      </c>
      <c r="C8693">
        <f>HYPERLINK("C:\Users\franc\OneDrive\Documentos\MALENTIN KARIME\CESION\RESPALDO LUIS DIAZ\SOCIEDADES 2008\SOC. J C LTDA..doc", "Abrir Documento")</f>
        <v>0</v>
      </c>
      <c r="D8693" t="s">
        <v>23500</v>
      </c>
      <c r="E8693" t="s">
        <v>31169</v>
      </c>
    </row>
    <row r="8694" spans="1:5">
      <c r="A8694" t="s">
        <v>6</v>
      </c>
      <c r="B8694" t="s">
        <v>8699</v>
      </c>
      <c r="C8694">
        <f>HYPERLINK("C:\Users\franc\OneDrive\Documentos\MALENTIN KARIME\CESION\RESPALDO LUIS DIAZ\SOCIEDADES 2008\SOC. J C LTDA. Modificac..doc", "Abrir Documento")</f>
        <v>0</v>
      </c>
      <c r="D8694" t="s">
        <v>23500</v>
      </c>
      <c r="E8694" t="s">
        <v>31170</v>
      </c>
    </row>
    <row r="8695" spans="1:5">
      <c r="A8695" t="s">
        <v>6</v>
      </c>
      <c r="B8695" t="s">
        <v>8700</v>
      </c>
      <c r="C8695">
        <f>HYPERLINK("C:\Users\franc\OneDrive\Documentos\MALENTIN KARIME\CESION\RESPALDO LUIS DIAZ\SOCIEDADES 2008\SOC. J C LTDA.  Mod. Extracto (Razón Social).doc", "Abrir Documento")</f>
        <v>0</v>
      </c>
      <c r="D8695" t="s">
        <v>23500</v>
      </c>
      <c r="E8695" t="s">
        <v>31171</v>
      </c>
    </row>
    <row r="8696" spans="1:5">
      <c r="A8696" t="s">
        <v>6</v>
      </c>
      <c r="B8696" t="s">
        <v>8701</v>
      </c>
      <c r="C8696">
        <f>HYPERLINK("C:\Users\franc\OneDrive\Documentos\MALENTIN KARIME\CESION\RESPALDO LUIS DIAZ\SOCIEDADES 2008\SOC. J C  LTDA.  Extracto.doc", "Abrir Documento")</f>
        <v>0</v>
      </c>
      <c r="D8696" t="s">
        <v>23500</v>
      </c>
      <c r="E8696" t="s">
        <v>31172</v>
      </c>
    </row>
    <row r="8697" spans="1:5">
      <c r="A8697" t="s">
        <v>6</v>
      </c>
      <c r="B8697" t="s">
        <v>8702</v>
      </c>
      <c r="C8697">
        <f>HYPERLINK("C:\Users\franc\OneDrive\Documentos\MALENTIN KARIME\CESION\RESPALDO LUIS DIAZ\SOCIEDADES 2008\SOC. INVERSIONES LOS ABETOS Subsanacion.doc", "Abrir Documento")</f>
        <v>0</v>
      </c>
      <c r="D8697" t="s">
        <v>23500</v>
      </c>
      <c r="E8697" t="s">
        <v>31173</v>
      </c>
    </row>
    <row r="8698" spans="1:5">
      <c r="A8698" t="s">
        <v>6</v>
      </c>
      <c r="B8698" t="s">
        <v>8703</v>
      </c>
      <c r="C8698">
        <f>HYPERLINK("C:\Users\franc\OneDrive\Documentos\MALENTIN KARIME\CESION\RESPALDO LUIS DIAZ\SOCIEDADES 2008\SOC. INVERSIONES LOS ABETOS Fusión.doc", "Abrir Documento")</f>
        <v>0</v>
      </c>
      <c r="D8698" t="s">
        <v>23500</v>
      </c>
      <c r="E8698" t="s">
        <v>31174</v>
      </c>
    </row>
    <row r="8699" spans="1:5">
      <c r="A8699" t="s">
        <v>6</v>
      </c>
      <c r="B8699" t="s">
        <v>8704</v>
      </c>
      <c r="C8699">
        <f>HYPERLINK("C:\Users\franc\OneDrive\Documentos\MALENTIN KARIME\CESION\RESPALDO LUIS DIAZ\SOCIEDADES 2008\SOC. INVERSIONES LOS ABETOS Extracto.doc", "Abrir Documento")</f>
        <v>0</v>
      </c>
      <c r="D8699" t="s">
        <v>23500</v>
      </c>
      <c r="E8699" t="s">
        <v>31175</v>
      </c>
    </row>
    <row r="8700" spans="1:5">
      <c r="A8700" t="s">
        <v>6</v>
      </c>
      <c r="B8700" t="s">
        <v>8705</v>
      </c>
      <c r="C8700">
        <f>HYPERLINK("C:\Users\franc\OneDrive\Documentos\MALENTIN KARIME\CESION\RESPALDO LUIS DIAZ\SOCIEDADES 2008\SOC. INVERSIONES LOS ABETOS Extracto Subsan..doc", "Abrir Documento")</f>
        <v>0</v>
      </c>
      <c r="D8700" t="s">
        <v>23500</v>
      </c>
      <c r="E8700" t="s">
        <v>31176</v>
      </c>
    </row>
    <row r="8701" spans="1:5">
      <c r="A8701" t="s">
        <v>6</v>
      </c>
      <c r="B8701" t="s">
        <v>8706</v>
      </c>
      <c r="C8701">
        <f>HYPERLINK("C:\Users\franc\OneDrive\Documentos\MALENTIN KARIME\CESION\RESPALDO LUIS DIAZ\SOCIEDADES 2008\SOC. INNOVA LTDA. Modificación.doc", "Abrir Documento")</f>
        <v>0</v>
      </c>
      <c r="D8701" t="s">
        <v>23500</v>
      </c>
      <c r="E8701" t="s">
        <v>31177</v>
      </c>
    </row>
    <row r="8702" spans="1:5">
      <c r="A8702" t="s">
        <v>6</v>
      </c>
      <c r="B8702" t="s">
        <v>8707</v>
      </c>
      <c r="C8702">
        <f>HYPERLINK("C:\Users\franc\OneDrive\Documentos\MALENTIN KARIME\CESION\RESPALDO LUIS DIAZ\SOCIEDADES 2008\SOC. INNOVA LTDA. Modif. Extracto.doc", "Abrir Documento")</f>
        <v>0</v>
      </c>
      <c r="D8702" t="s">
        <v>23500</v>
      </c>
      <c r="E8702" t="s">
        <v>31178</v>
      </c>
    </row>
    <row r="8703" spans="1:5">
      <c r="A8703" t="s">
        <v>6</v>
      </c>
      <c r="B8703" t="s">
        <v>8708</v>
      </c>
      <c r="C8703">
        <f>HYPERLINK("C:\Users\franc\OneDrive\Documentos\MALENTIN KARIME\CESION\RESPALDO LUIS DIAZ\SOCIEDADES 2008\SOC. INNOVA LTDA. Extracto.doc", "Abrir Documento")</f>
        <v>0</v>
      </c>
      <c r="D8703" t="s">
        <v>23500</v>
      </c>
      <c r="E8703" t="s">
        <v>31179</v>
      </c>
    </row>
    <row r="8704" spans="1:5">
      <c r="A8704" t="s">
        <v>6</v>
      </c>
      <c r="B8704" t="s">
        <v>8709</v>
      </c>
      <c r="C8704">
        <f>HYPERLINK("C:\Users\franc\OneDrive\Documentos\MALENTIN KARIME\CESION\RESPALDO LUIS DIAZ\SOCIEDADES 2008\SOC. INNOVA LTDA. Constitución.doc", "Abrir Documento")</f>
        <v>0</v>
      </c>
      <c r="D8704" t="s">
        <v>23500</v>
      </c>
      <c r="E8704" t="s">
        <v>31180</v>
      </c>
    </row>
    <row r="8705" spans="1:5">
      <c r="A8705" t="s">
        <v>6</v>
      </c>
      <c r="B8705" t="s">
        <v>8710</v>
      </c>
      <c r="C8705">
        <f>HYPERLINK("C:\Users\franc\OneDrive\Documentos\MALENTIN KARIME\CESION\RESPALDO LUIS DIAZ\SOCIEDADES 2008\SOC. EDUC. MATICES LTD..doc", "Abrir Documento")</f>
        <v>0</v>
      </c>
      <c r="D8705" t="s">
        <v>23500</v>
      </c>
      <c r="E8705" t="s">
        <v>31181</v>
      </c>
    </row>
    <row r="8706" spans="1:5">
      <c r="A8706" t="s">
        <v>6</v>
      </c>
      <c r="B8706" t="s">
        <v>8711</v>
      </c>
      <c r="C8706">
        <f>HYPERLINK("C:\Users\franc\OneDrive\Documentos\MALENTIN KARIME\CESION\RESPALDO LUIS DIAZ\SOCIEDADES 2008\SOC. EDUC. MATICES LTD.  Extracto.doc", "Abrir Documento")</f>
        <v>0</v>
      </c>
      <c r="D8706" t="s">
        <v>23500</v>
      </c>
      <c r="E8706" t="s">
        <v>31182</v>
      </c>
    </row>
    <row r="8707" spans="1:5">
      <c r="A8707" t="s">
        <v>6</v>
      </c>
      <c r="B8707" t="s">
        <v>8712</v>
      </c>
      <c r="C8707">
        <f>HYPERLINK("C:\Users\franc\OneDrive\Documentos\MALENTIN KARIME\CESION\RESPALDO LUIS DIAZ\SOCIEDADES 2008\SOC. EDUC. A.M.B. LTDA..doc", "Abrir Documento")</f>
        <v>0</v>
      </c>
      <c r="D8707" t="s">
        <v>23500</v>
      </c>
      <c r="E8707" t="s">
        <v>31183</v>
      </c>
    </row>
    <row r="8708" spans="1:5">
      <c r="A8708" t="s">
        <v>6</v>
      </c>
      <c r="B8708" t="s">
        <v>8713</v>
      </c>
      <c r="C8708">
        <f>HYPERLINK("C:\Users\franc\OneDrive\Documentos\MALENTIN KARIME\CESION\RESPALDO LUIS DIAZ\SOCIEDADES 2008\SOC. EDUC. A.M.B. LTDA. Extracto.doc", "Abrir Documento")</f>
        <v>0</v>
      </c>
      <c r="D8708" t="s">
        <v>23500</v>
      </c>
      <c r="E8708" t="s">
        <v>31184</v>
      </c>
    </row>
    <row r="8709" spans="1:5">
      <c r="A8709" t="s">
        <v>6</v>
      </c>
      <c r="B8709" t="s">
        <v>8714</v>
      </c>
      <c r="C8709">
        <f>HYPERLINK("C:\Users\franc\OneDrive\Documentos\MALENTIN KARIME\CESION\RESPALDO LUIS DIAZ\SOCIEDADES 2008\SOC. CONTRACTUAL MINERA TALCA.doc", "Abrir Documento")</f>
        <v>0</v>
      </c>
      <c r="D8709" t="s">
        <v>23500</v>
      </c>
      <c r="E8709" t="s">
        <v>31185</v>
      </c>
    </row>
    <row r="8710" spans="1:5">
      <c r="A8710" t="s">
        <v>6</v>
      </c>
      <c r="B8710" t="s">
        <v>8715</v>
      </c>
      <c r="C8710">
        <f>HYPERLINK("C:\Users\franc\OneDrive\Documentos\MALENTIN KARIME\CESION\RESPALDO LUIS DIAZ\SOCIEDADES 2008\SOC. CONTRACTUAL MINERA TALCA Rectif..doc", "Abrir Documento")</f>
        <v>0</v>
      </c>
      <c r="D8710" t="s">
        <v>23500</v>
      </c>
      <c r="E8710" t="s">
        <v>31186</v>
      </c>
    </row>
    <row r="8711" spans="1:5">
      <c r="A8711" t="s">
        <v>6</v>
      </c>
      <c r="B8711" t="s">
        <v>8716</v>
      </c>
      <c r="C8711">
        <f>HYPERLINK("C:\Users\franc\OneDrive\Documentos\MALENTIN KARIME\CESION\RESPALDO LUIS DIAZ\SOCIEDADES 2008\SOC. CONTRACTUAL MINERA TALCA Extracto.doc", "Abrir Documento")</f>
        <v>0</v>
      </c>
      <c r="D8711" t="s">
        <v>23500</v>
      </c>
      <c r="E8711" t="s">
        <v>31187</v>
      </c>
    </row>
    <row r="8712" spans="1:5">
      <c r="A8712" t="s">
        <v>6</v>
      </c>
      <c r="B8712" t="s">
        <v>8717</v>
      </c>
      <c r="C8712">
        <f>HYPERLINK("C:\Users\franc\OneDrive\Documentos\MALENTIN KARIME\CESION\RESPALDO LUIS DIAZ\SOCIEDADES 2008\SOC. CONTRACTUAL MINERA TALCA DOS.doc", "Abrir Documento")</f>
        <v>0</v>
      </c>
      <c r="D8712" t="s">
        <v>23500</v>
      </c>
      <c r="E8712" t="s">
        <v>31188</v>
      </c>
    </row>
    <row r="8713" spans="1:5">
      <c r="A8713" t="s">
        <v>6</v>
      </c>
      <c r="B8713" t="s">
        <v>8718</v>
      </c>
      <c r="C8713">
        <f>HYPERLINK("C:\Users\franc\OneDrive\Documentos\MALENTIN KARIME\CESION\RESPALDO LUIS DIAZ\SOCIEDADES 2008\SOC. CONTRAC. MINERA TALCA Rectif. Extracto.doc", "Abrir Documento")</f>
        <v>0</v>
      </c>
      <c r="D8713" t="s">
        <v>23500</v>
      </c>
      <c r="E8713" t="s">
        <v>31189</v>
      </c>
    </row>
    <row r="8714" spans="1:5">
      <c r="A8714" t="s">
        <v>6</v>
      </c>
      <c r="B8714" t="s">
        <v>8719</v>
      </c>
      <c r="C8714">
        <f>HYPERLINK("C:\Users\franc\OneDrive\Documentos\MALENTIN KARIME\CESION\RESPALDO LUIS DIAZ\SOCIEDADES 2008\SOC. CONTR. MINERA TALCA DOS Extracto.doc", "Abrir Documento")</f>
        <v>0</v>
      </c>
      <c r="D8714" t="s">
        <v>23500</v>
      </c>
      <c r="E8714" t="s">
        <v>31190</v>
      </c>
    </row>
    <row r="8715" spans="1:5">
      <c r="A8715" t="s">
        <v>6</v>
      </c>
      <c r="B8715" t="s">
        <v>8720</v>
      </c>
      <c r="C8715">
        <f>HYPERLINK("C:\Users\franc\OneDrive\Documentos\MALENTIN KARIME\CESION\RESPALDO LUIS DIAZ\SOCIEDADES 2008\SOC. CONSULT. LOS ALGARROBOS.doc", "Abrir Documento")</f>
        <v>0</v>
      </c>
      <c r="D8715" t="s">
        <v>23500</v>
      </c>
      <c r="E8715" t="s">
        <v>31191</v>
      </c>
    </row>
    <row r="8716" spans="1:5">
      <c r="A8716" t="s">
        <v>6</v>
      </c>
      <c r="B8716" t="s">
        <v>8721</v>
      </c>
      <c r="C8716">
        <f>HYPERLINK("C:\Users\franc\OneDrive\Documentos\MALENTIN KARIME\CESION\RESPALDO LUIS DIAZ\SOCIEDADES 2008\SOC. CONSULT. LOS ALGARROBOS Extr..doc", "Abrir Documento")</f>
        <v>0</v>
      </c>
      <c r="D8716" t="s">
        <v>23500</v>
      </c>
      <c r="E8716" t="s">
        <v>31192</v>
      </c>
    </row>
    <row r="8717" spans="1:5">
      <c r="A8717" t="s">
        <v>6</v>
      </c>
      <c r="B8717" t="s">
        <v>8722</v>
      </c>
      <c r="C8717">
        <f>HYPERLINK("C:\Users\franc\OneDrive\Documentos\MALENTIN KARIME\CESION\RESPALDO LUIS DIAZ\SOCIEDADES 2008\SOC. CONSTR. Y GAVA LTDA..doc", "Abrir Documento")</f>
        <v>0</v>
      </c>
      <c r="D8717" t="s">
        <v>23500</v>
      </c>
      <c r="E8717" t="s">
        <v>31193</v>
      </c>
    </row>
    <row r="8718" spans="1:5">
      <c r="A8718" t="s">
        <v>6</v>
      </c>
      <c r="B8718" t="s">
        <v>8723</v>
      </c>
      <c r="C8718">
        <f>HYPERLINK("C:\Users\franc\OneDrive\Documentos\MALENTIN KARIME\CESION\RESPALDO LUIS DIAZ\SOCIEDADES 2008\SOC. COMERCIAL NORDIK GROUP LTDA..doc", "Abrir Documento")</f>
        <v>0</v>
      </c>
      <c r="D8718" t="s">
        <v>23500</v>
      </c>
      <c r="E8718" t="s">
        <v>31194</v>
      </c>
    </row>
    <row r="8719" spans="1:5">
      <c r="A8719" t="s">
        <v>6</v>
      </c>
      <c r="B8719" t="s">
        <v>8724</v>
      </c>
      <c r="C8719">
        <f>HYPERLINK("C:\Users\franc\OneDrive\Documentos\MALENTIN KARIME\CESION\RESPALDO LUIS DIAZ\SOCIEDADES 2008\SOC. COMERCIAL NORDIK GROUP Extracto.doc", "Abrir Documento")</f>
        <v>0</v>
      </c>
      <c r="D8719" t="s">
        <v>23500</v>
      </c>
      <c r="E8719" t="s">
        <v>31195</v>
      </c>
    </row>
    <row r="8720" spans="1:5">
      <c r="A8720" t="s">
        <v>6</v>
      </c>
      <c r="B8720" t="s">
        <v>8725</v>
      </c>
      <c r="C8720">
        <f>HYPERLINK("C:\Users\franc\OneDrive\Documentos\MALENTIN KARIME\CESION\RESPALDO LUIS DIAZ\SOCIEDADES 2008\SOC. COMERCIAL J C LTDA..doc", "Abrir Documento")</f>
        <v>0</v>
      </c>
      <c r="D8720" t="s">
        <v>23500</v>
      </c>
      <c r="E8720" t="s">
        <v>31196</v>
      </c>
    </row>
    <row r="8721" spans="1:5">
      <c r="A8721" t="s">
        <v>6</v>
      </c>
      <c r="B8721" t="s">
        <v>8726</v>
      </c>
      <c r="C8721">
        <f>HYPERLINK("C:\Users\franc\OneDrive\Documentos\MALENTIN KARIME\CESION\RESPALDO LUIS DIAZ\SOCIEDADES 2008\SOC. COM. Y GASTR. DEL LIMARI Modif..doc", "Abrir Documento")</f>
        <v>0</v>
      </c>
      <c r="D8721" t="s">
        <v>23500</v>
      </c>
      <c r="E8721" t="s">
        <v>31197</v>
      </c>
    </row>
    <row r="8722" spans="1:5">
      <c r="A8722" t="s">
        <v>6</v>
      </c>
      <c r="B8722" t="s">
        <v>8727</v>
      </c>
      <c r="C8722">
        <f>HYPERLINK("C:\Users\franc\OneDrive\Documentos\MALENTIN KARIME\CESION\RESPALDO LUIS DIAZ\SOCIEDADES 2008\SOC. COMERCIAL J C  LTDA.  Extracto.doc", "Abrir Documento")</f>
        <v>0</v>
      </c>
      <c r="D8722" t="s">
        <v>23500</v>
      </c>
      <c r="E8722" t="s">
        <v>31197</v>
      </c>
    </row>
    <row r="8723" spans="1:5">
      <c r="A8723" t="s">
        <v>6</v>
      </c>
      <c r="B8723" t="s">
        <v>8728</v>
      </c>
      <c r="C8723">
        <f>HYPERLINK("C:\Users\franc\OneDrive\Documentos\MALENTIN KARIME\CESION\RESPALDO LUIS DIAZ\SOCIEDADES 2008\SOC. COM. Y GASTR. DEL LIMARI Extracto.doc", "Abrir Documento")</f>
        <v>0</v>
      </c>
      <c r="D8723" t="s">
        <v>23500</v>
      </c>
      <c r="E8723" t="s">
        <v>31198</v>
      </c>
    </row>
    <row r="8724" spans="1:5">
      <c r="A8724" t="s">
        <v>6</v>
      </c>
      <c r="B8724" t="s">
        <v>8729</v>
      </c>
      <c r="C8724">
        <f>HYPERLINK("C:\Users\franc\OneDrive\Documentos\MALENTIN KARIME\CESION\RESPALDO LUIS DIAZ\SOCIEDADES 2008\SOC. COM. Y GASTR. DEL LIMARI  Extracto Saneam..doc", "Abrir Documento")</f>
        <v>0</v>
      </c>
      <c r="D8724" t="s">
        <v>23500</v>
      </c>
      <c r="E8724" t="s">
        <v>31199</v>
      </c>
    </row>
    <row r="8725" spans="1:5">
      <c r="A8725" t="s">
        <v>6</v>
      </c>
      <c r="B8725" t="s">
        <v>8730</v>
      </c>
      <c r="C8725">
        <f>HYPERLINK("C:\Users\franc\OneDrive\Documentos\MALENTIN KARIME\CESION\RESPALDO LUIS DIAZ\SOCIEDADES 2008\SOC. COM. Y GASTR. DEL  LIMARI. Saneamiento.doc", "Abrir Documento")</f>
        <v>0</v>
      </c>
      <c r="D8725" t="s">
        <v>23500</v>
      </c>
      <c r="E8725" t="s">
        <v>31200</v>
      </c>
    </row>
    <row r="8726" spans="1:5">
      <c r="A8726" t="s">
        <v>6</v>
      </c>
      <c r="B8726" t="s">
        <v>8731</v>
      </c>
      <c r="C8726">
        <f>HYPERLINK("C:\Users\franc\OneDrive\Documentos\MALENTIN KARIME\CESION\RESPALDO LUIS DIAZ\SOCIEDADES 2008\SOC. COM. EL RELOJ LTD. Modific..doc", "Abrir Documento")</f>
        <v>0</v>
      </c>
      <c r="D8726" t="s">
        <v>23500</v>
      </c>
      <c r="E8726" t="s">
        <v>31201</v>
      </c>
    </row>
    <row r="8727" spans="1:5">
      <c r="A8727" t="s">
        <v>6</v>
      </c>
      <c r="B8727" t="s">
        <v>8732</v>
      </c>
      <c r="C8727">
        <f>HYPERLINK("C:\Users\franc\OneDrive\Documentos\MALENTIN KARIME\CESION\RESPALDO LUIS DIAZ\SOCIEDADES 2008\SOC. COM. EL RELOJ LTD.  Extr. Modif..doc", "Abrir Documento")</f>
        <v>0</v>
      </c>
      <c r="D8727" t="s">
        <v>23500</v>
      </c>
      <c r="E8727" t="s">
        <v>31202</v>
      </c>
    </row>
    <row r="8728" spans="1:5">
      <c r="A8728" t="s">
        <v>6</v>
      </c>
      <c r="B8728" t="s">
        <v>8733</v>
      </c>
      <c r="C8728">
        <f>HYPERLINK("C:\Users\franc\OneDrive\Documentos\MALENTIN KARIME\CESION\RESPALDO LUIS DIAZ\SOCIEDADES 2008\SOC. COM. EL RELOJ LTD.  Extr. Modif. 2011.doc", "Abrir Documento")</f>
        <v>0</v>
      </c>
      <c r="D8728" t="s">
        <v>23500</v>
      </c>
      <c r="E8728" t="s">
        <v>31203</v>
      </c>
    </row>
    <row r="8729" spans="1:5">
      <c r="A8729" t="s">
        <v>6</v>
      </c>
      <c r="B8729" t="s">
        <v>8734</v>
      </c>
      <c r="C8729">
        <f>HYPERLINK("C:\Users\franc\OneDrive\Documentos\MALENTIN KARIME\CESION\RESPALDO LUIS DIAZ\SOCIEDADES 2008\SOC. COM. EL RELOJ LTD Ces. y Mod..doc", "Abrir Documento")</f>
        <v>0</v>
      </c>
      <c r="D8729" t="s">
        <v>23500</v>
      </c>
      <c r="E8729" t="s">
        <v>31204</v>
      </c>
    </row>
    <row r="8730" spans="1:5">
      <c r="A8730" t="s">
        <v>6</v>
      </c>
      <c r="B8730" t="s">
        <v>8735</v>
      </c>
      <c r="C8730">
        <f>HYPERLINK("C:\Users\franc\OneDrive\Documentos\MALENTIN KARIME\CESION\RESPALDO LUIS DIAZ\SOCIEDADES 2008\SOC. COM. DYV LTDA. Modif..doc", "Abrir Documento")</f>
        <v>0</v>
      </c>
      <c r="D8730" t="s">
        <v>23500</v>
      </c>
      <c r="E8730" t="s">
        <v>31205</v>
      </c>
    </row>
    <row r="8731" spans="1:5">
      <c r="A8731" t="s">
        <v>6</v>
      </c>
      <c r="B8731" t="s">
        <v>8736</v>
      </c>
      <c r="C8731">
        <f>HYPERLINK("C:\Users\franc\OneDrive\Documentos\MALENTIN KARIME\CESION\RESPALDO LUIS DIAZ\SOCIEDADES 2008\SOC. COM. D&amp;V LTD. Modif..doc", "Abrir Documento")</f>
        <v>0</v>
      </c>
      <c r="D8731" t="s">
        <v>23500</v>
      </c>
      <c r="E8731" t="s">
        <v>31206</v>
      </c>
    </row>
    <row r="8732" spans="1:5">
      <c r="A8732" t="s">
        <v>6</v>
      </c>
      <c r="B8732" t="s">
        <v>8737</v>
      </c>
      <c r="C8732">
        <f>HYPERLINK("C:\Users\franc\OneDrive\Documentos\MALENTIN KARIME\CESION\RESPALDO LUIS DIAZ\SOCIEDADES 2008\SOC. COM. D Y V LTD. Extr..doc", "Abrir Documento")</f>
        <v>0</v>
      </c>
      <c r="D8732" t="s">
        <v>23500</v>
      </c>
      <c r="E8732" t="s">
        <v>31207</v>
      </c>
    </row>
    <row r="8733" spans="1:5">
      <c r="A8733" t="s">
        <v>6</v>
      </c>
      <c r="B8733" t="s">
        <v>8738</v>
      </c>
      <c r="C8733">
        <f>HYPERLINK("C:\Users\franc\OneDrive\Documentos\MALENTIN KARIME\CESION\RESPALDO LUIS DIAZ\SOCIEDADES 2008\SOC. COM. ARAVENA Y ESPINOSA.doc", "Abrir Documento")</f>
        <v>0</v>
      </c>
      <c r="D8733" t="s">
        <v>23500</v>
      </c>
      <c r="E8733" t="s">
        <v>31208</v>
      </c>
    </row>
    <row r="8734" spans="1:5">
      <c r="A8734" t="s">
        <v>6</v>
      </c>
      <c r="B8734" t="s">
        <v>8739</v>
      </c>
      <c r="C8734">
        <f>HYPERLINK("C:\Users\franc\OneDrive\Documentos\MALENTIN KARIME\CESION\RESPALDO LUIS DIAZ\SOCIEDADES 2008\SOC. COM. ARAVENA Y ESPINOSA Mod..doc", "Abrir Documento")</f>
        <v>0</v>
      </c>
      <c r="D8734" t="s">
        <v>23500</v>
      </c>
      <c r="E8734" t="s">
        <v>31209</v>
      </c>
    </row>
    <row r="8735" spans="1:5">
      <c r="A8735" t="s">
        <v>6</v>
      </c>
      <c r="B8735" t="s">
        <v>8740</v>
      </c>
      <c r="C8735">
        <f>HYPERLINK("C:\Users\franc\OneDrive\Documentos\MALENTIN KARIME\CESION\RESPALDO LUIS DIAZ\SOCIEDADES 2008\SOC. COM. ARAVENA Y ESPINOSA Mod. Extracto.doc", "Abrir Documento")</f>
        <v>0</v>
      </c>
      <c r="D8735" t="s">
        <v>23500</v>
      </c>
      <c r="E8735" t="s">
        <v>31210</v>
      </c>
    </row>
    <row r="8736" spans="1:5">
      <c r="A8736" t="s">
        <v>6</v>
      </c>
      <c r="B8736" t="s">
        <v>8741</v>
      </c>
      <c r="C8736">
        <f>HYPERLINK("C:\Users\franc\OneDrive\Documentos\MALENTIN KARIME\CESION\RESPALDO LUIS DIAZ\SOCIEDADES 2008\SOC. COM. ARAVENA Y ESPINOSA Extracto.doc", "Abrir Documento")</f>
        <v>0</v>
      </c>
      <c r="D8736" t="s">
        <v>23500</v>
      </c>
      <c r="E8736" t="s">
        <v>31211</v>
      </c>
    </row>
    <row r="8737" spans="1:5">
      <c r="A8737" t="s">
        <v>6</v>
      </c>
      <c r="B8737" t="s">
        <v>8742</v>
      </c>
      <c r="C8737">
        <f>HYPERLINK("C:\Users\franc\OneDrive\Documentos\MALENTIN KARIME\CESION\RESPALDO LUIS DIAZ\SOCIEDADES 2008\SOC. AVIC. STA CARMEN Modif..doc", "Abrir Documento")</f>
        <v>0</v>
      </c>
      <c r="D8737" t="s">
        <v>23500</v>
      </c>
      <c r="E8737" t="s">
        <v>31212</v>
      </c>
    </row>
    <row r="8738" spans="1:5">
      <c r="A8738" t="s">
        <v>6</v>
      </c>
      <c r="B8738" t="s">
        <v>8743</v>
      </c>
      <c r="C8738">
        <f>HYPERLINK("C:\Users\franc\OneDrive\Documentos\MALENTIN KARIME\CESION\RESPALDO LUIS DIAZ\SOCIEDADES 2008\SOC. ANGOSTURA. Mod. Extracto.doc", "Abrir Documento")</f>
        <v>0</v>
      </c>
      <c r="D8738" t="s">
        <v>23500</v>
      </c>
      <c r="E8738" t="s">
        <v>31213</v>
      </c>
    </row>
    <row r="8739" spans="1:5">
      <c r="A8739" t="s">
        <v>6</v>
      </c>
      <c r="B8739" t="s">
        <v>8744</v>
      </c>
      <c r="C8739">
        <f>HYPERLINK("C:\Users\franc\OneDrive\Documentos\MALENTIN KARIME\CESION\RESPALDO LUIS DIAZ\SOCIEDADES 2008\SOC. AGROCOM. LA TORRE LTDA..doc", "Abrir Documento")</f>
        <v>0</v>
      </c>
      <c r="D8739" t="s">
        <v>23500</v>
      </c>
      <c r="E8739" t="s">
        <v>31214</v>
      </c>
    </row>
    <row r="8740" spans="1:5">
      <c r="A8740" t="s">
        <v>6</v>
      </c>
      <c r="B8740" t="s">
        <v>8745</v>
      </c>
      <c r="C8740">
        <f>HYPERLINK("C:\Users\franc\OneDrive\Documentos\MALENTIN KARIME\CESION\RESPALDO LUIS DIAZ\SOCIEDADES 2008\SOC. AGROCOM. LA TORRE Extracto.doc", "Abrir Documento")</f>
        <v>0</v>
      </c>
      <c r="D8740" t="s">
        <v>23500</v>
      </c>
      <c r="E8740" t="s">
        <v>31215</v>
      </c>
    </row>
    <row r="8741" spans="1:5">
      <c r="A8741" t="s">
        <v>6</v>
      </c>
      <c r="B8741" t="s">
        <v>8746</v>
      </c>
      <c r="C8741">
        <f>HYPERLINK("C:\Users\franc\OneDrive\Documentos\MALENTIN KARIME\CESION\RESPALDO LUIS DIAZ\SOCIEDADES 2008\SOC. AGROC. EL REY LTDA. Mod. Extracto.doc", "Abrir Documento")</f>
        <v>0</v>
      </c>
      <c r="D8741" t="s">
        <v>23500</v>
      </c>
      <c r="E8741" t="s">
        <v>31216</v>
      </c>
    </row>
    <row r="8742" spans="1:5">
      <c r="A8742" t="s">
        <v>6</v>
      </c>
      <c r="B8742" t="s">
        <v>8747</v>
      </c>
      <c r="C8742">
        <f>HYPERLINK("C:\Users\franc\OneDrive\Documentos\MALENTIN KARIME\CESION\RESPALDO LUIS DIAZ\SOCIEDADES 2008\SOC. AGROC. EL REY LTD. Ces. y Mod..doc", "Abrir Documento")</f>
        <v>0</v>
      </c>
      <c r="D8742" t="s">
        <v>23500</v>
      </c>
      <c r="E8742" t="s">
        <v>31217</v>
      </c>
    </row>
    <row r="8743" spans="1:5">
      <c r="A8743" t="s">
        <v>6</v>
      </c>
      <c r="B8743" t="s">
        <v>8748</v>
      </c>
      <c r="C8743">
        <f>HYPERLINK("C:\Users\franc\OneDrive\Documentos\MALENTIN KARIME\CESION\RESPALDO LUIS DIAZ\SOCIEDADES 2008\SOC. AGR.MINERA STA LUISA Extracto.doc", "Abrir Documento")</f>
        <v>0</v>
      </c>
      <c r="D8743" t="s">
        <v>23500</v>
      </c>
      <c r="E8743" t="s">
        <v>31218</v>
      </c>
    </row>
    <row r="8744" spans="1:5">
      <c r="A8744" t="s">
        <v>6</v>
      </c>
      <c r="B8744" t="s">
        <v>8749</v>
      </c>
      <c r="C8744">
        <f>HYPERLINK("C:\Users\franc\OneDrive\Documentos\MALENTIN KARIME\CESION\RESPALDO LUIS DIAZ\SOCIEDADES 2008\SOC. AGR. SAN MARCOS. Modificación.doc", "Abrir Documento")</f>
        <v>0</v>
      </c>
      <c r="D8744" t="s">
        <v>23500</v>
      </c>
      <c r="E8744" t="s">
        <v>31219</v>
      </c>
    </row>
    <row r="8745" spans="1:5">
      <c r="A8745" t="s">
        <v>6</v>
      </c>
      <c r="B8745" t="s">
        <v>8750</v>
      </c>
      <c r="C8745">
        <f>HYPERLINK("C:\Users\franc\OneDrive\Documentos\MALENTIN KARIME\CESION\RESPALDO LUIS DIAZ\SOCIEDADES 2008\SOC. AGR. SAN MARCOS LTD. Cesión.doc", "Abrir Documento")</f>
        <v>0</v>
      </c>
      <c r="D8745" t="s">
        <v>23500</v>
      </c>
      <c r="E8745" t="s">
        <v>31220</v>
      </c>
    </row>
    <row r="8746" spans="1:5">
      <c r="A8746" t="s">
        <v>6</v>
      </c>
      <c r="B8746" t="s">
        <v>8751</v>
      </c>
      <c r="C8746">
        <f>HYPERLINK("C:\Users\franc\OneDrive\Documentos\MALENTIN KARIME\CESION\RESPALDO LUIS DIAZ\SOCIEDADES 2008\SOC. AGR. SAN MARCOS Extracto.doc", "Abrir Documento")</f>
        <v>0</v>
      </c>
      <c r="D8746" t="s">
        <v>23500</v>
      </c>
      <c r="E8746" t="s">
        <v>31221</v>
      </c>
    </row>
    <row r="8747" spans="1:5">
      <c r="A8747" t="s">
        <v>6</v>
      </c>
      <c r="B8747" t="s">
        <v>8752</v>
      </c>
      <c r="C8747">
        <f>HYPERLINK("C:\Users\franc\OneDrive\Documentos\MALENTIN KARIME\CESION\RESPALDO LUIS DIAZ\SOCIEDADES 2008\SOC. AGR. SAN ISIDRO.doc", "Abrir Documento")</f>
        <v>0</v>
      </c>
      <c r="D8747" t="s">
        <v>23500</v>
      </c>
      <c r="E8747" t="s">
        <v>31222</v>
      </c>
    </row>
    <row r="8748" spans="1:5">
      <c r="A8748" t="s">
        <v>6</v>
      </c>
      <c r="B8748" t="s">
        <v>8753</v>
      </c>
      <c r="C8748">
        <f>HYPERLINK("C:\Users\franc\OneDrive\Documentos\MALENTIN KARIME\CESION\RESPALDO LUIS DIAZ\SOCIEDADES 2008\SOC. AGR. SAN ISIDRO Ext..doc", "Abrir Documento")</f>
        <v>0</v>
      </c>
      <c r="D8748" t="s">
        <v>23500</v>
      </c>
      <c r="E8748" t="s">
        <v>31223</v>
      </c>
    </row>
    <row r="8749" spans="1:5">
      <c r="A8749" t="s">
        <v>6</v>
      </c>
      <c r="B8749" t="s">
        <v>8754</v>
      </c>
      <c r="C8749">
        <f>HYPERLINK("C:\Users\franc\OneDrive\Documentos\MALENTIN KARIME\CESION\RESPALDO LUIS DIAZ\SOCIEDADES 2008\SOC. AGR. PARAISO LTDA. Extracto.doc", "Abrir Documento")</f>
        <v>0</v>
      </c>
      <c r="D8749" t="s">
        <v>23500</v>
      </c>
      <c r="E8749" t="s">
        <v>31224</v>
      </c>
    </row>
    <row r="8750" spans="1:5">
      <c r="A8750" t="s">
        <v>6</v>
      </c>
      <c r="B8750" t="s">
        <v>8755</v>
      </c>
      <c r="C8750">
        <f>HYPERLINK("C:\Users\franc\OneDrive\Documentos\MALENTIN KARIME\CESION\RESPALDO LUIS DIAZ\SOCIEDADES 2008\SOC. AGR. LORENZO COLLAO Modif..doc", "Abrir Documento")</f>
        <v>0</v>
      </c>
      <c r="D8750" t="s">
        <v>23500</v>
      </c>
      <c r="E8750" t="s">
        <v>31225</v>
      </c>
    </row>
    <row r="8751" spans="1:5">
      <c r="A8751" t="s">
        <v>6</v>
      </c>
      <c r="B8751" t="s">
        <v>8756</v>
      </c>
      <c r="C8751">
        <f>HYPERLINK("C:\Users\franc\OneDrive\Documentos\MALENTIN KARIME\CESION\RESPALDO LUIS DIAZ\SOCIEDADES 2008\SOC. AGR. LORENZO COLLAO Mod. Extracto.doc", "Abrir Documento")</f>
        <v>0</v>
      </c>
      <c r="D8751" t="s">
        <v>23500</v>
      </c>
      <c r="E8751" t="s">
        <v>31226</v>
      </c>
    </row>
    <row r="8752" spans="1:5">
      <c r="A8752" t="s">
        <v>6</v>
      </c>
      <c r="B8752" t="s">
        <v>8757</v>
      </c>
      <c r="C8752">
        <f>HYPERLINK("C:\Users\franc\OneDrive\Documentos\MALENTIN KARIME\CESION\RESPALDO LUIS DIAZ\SOCIEDADES 2008\SOC. AGR. ESPERANZA LTD. Resciliación.doc", "Abrir Documento")</f>
        <v>0</v>
      </c>
      <c r="D8752" t="s">
        <v>23500</v>
      </c>
      <c r="E8752" t="s">
        <v>31227</v>
      </c>
    </row>
    <row r="8753" spans="1:5">
      <c r="A8753" t="s">
        <v>6</v>
      </c>
      <c r="B8753" t="s">
        <v>8758</v>
      </c>
      <c r="C8753">
        <f>HYPERLINK("C:\Users\franc\OneDrive\Documentos\MALENTIN KARIME\CESION\RESPALDO LUIS DIAZ\SOCIEDADES 2008\SOC. AGR. CORTES CORRAL.doc", "Abrir Documento")</f>
        <v>0</v>
      </c>
      <c r="D8753" t="s">
        <v>23500</v>
      </c>
      <c r="E8753" t="s">
        <v>31228</v>
      </c>
    </row>
    <row r="8754" spans="1:5">
      <c r="A8754" t="s">
        <v>6</v>
      </c>
      <c r="B8754" t="s">
        <v>8759</v>
      </c>
      <c r="C8754">
        <f>HYPERLINK("C:\Users\franc\OneDrive\Documentos\MALENTIN KARIME\CESION\RESPALDO LUIS DIAZ\SOCIEDADES 2008\SOC. AGR. CARACHILLA Y T. Rectif..doc", "Abrir Documento")</f>
        <v>0</v>
      </c>
      <c r="D8754" t="s">
        <v>23500</v>
      </c>
      <c r="E8754" t="s">
        <v>31229</v>
      </c>
    </row>
    <row r="8755" spans="1:5">
      <c r="A8755" t="s">
        <v>6</v>
      </c>
      <c r="B8755" t="s">
        <v>8760</v>
      </c>
      <c r="C8755">
        <f>HYPERLINK("C:\Users\franc\OneDrive\Documentos\MALENTIN KARIME\CESION\RESPALDO LUIS DIAZ\SOCIEDADES 2008\SOC. AGR. CARACHILLA Y T. Extracto.doc", "Abrir Documento")</f>
        <v>0</v>
      </c>
      <c r="D8755" t="s">
        <v>23500</v>
      </c>
      <c r="E8755" t="s">
        <v>31230</v>
      </c>
    </row>
    <row r="8756" spans="1:5">
      <c r="A8756" t="s">
        <v>6</v>
      </c>
      <c r="B8756" t="s">
        <v>8761</v>
      </c>
      <c r="C8756">
        <f>HYPERLINK("C:\Users\franc\OneDrive\Documentos\MALENTIN KARIME\CESION\RESPALDO LUIS DIAZ\SOCIEDADES 2008\SOC. AGR. ARANEDA HNOS. Modif..doc", "Abrir Documento")</f>
        <v>0</v>
      </c>
      <c r="D8756" t="s">
        <v>23500</v>
      </c>
      <c r="E8756" t="s">
        <v>31231</v>
      </c>
    </row>
    <row r="8757" spans="1:5">
      <c r="A8757" t="s">
        <v>6</v>
      </c>
      <c r="B8757" t="s">
        <v>8762</v>
      </c>
      <c r="C8757">
        <f>HYPERLINK("C:\Users\franc\OneDrive\Documentos\MALENTIN KARIME\CESION\RESPALDO LUIS DIAZ\SOCIEDADES 2008\SOC. AGR. ARANEDA HNOS. Extracto Modif..doc", "Abrir Documento")</f>
        <v>0</v>
      </c>
      <c r="D8757" t="s">
        <v>23500</v>
      </c>
      <c r="E8757" t="s">
        <v>31232</v>
      </c>
    </row>
    <row r="8758" spans="1:5">
      <c r="A8758" t="s">
        <v>6</v>
      </c>
      <c r="B8758" t="s">
        <v>8763</v>
      </c>
      <c r="C8758">
        <f>HYPERLINK("C:\Users\franc\OneDrive\Documentos\MALENTIN KARIME\CESION\RESPALDO LUIS DIAZ\SOCIEDADES 2008\SOC. AGR. ANGOSTURA LTD. Rectif..doc", "Abrir Documento")</f>
        <v>0</v>
      </c>
      <c r="D8758" t="s">
        <v>23500</v>
      </c>
      <c r="E8758" t="s">
        <v>31233</v>
      </c>
    </row>
    <row r="8759" spans="1:5">
      <c r="A8759" t="s">
        <v>6</v>
      </c>
      <c r="B8759" t="s">
        <v>8764</v>
      </c>
      <c r="C8759">
        <f>HYPERLINK("C:\Users\franc\OneDrive\Documentos\MALENTIN KARIME\CESION\RESPALDO LUIS DIAZ\SOCIEDADES 2008\SOC. A&amp;C CAPACITACION.doc", "Abrir Documento")</f>
        <v>0</v>
      </c>
      <c r="D8759" t="s">
        <v>23500</v>
      </c>
      <c r="E8759" t="s">
        <v>31234</v>
      </c>
    </row>
    <row r="8760" spans="1:5">
      <c r="A8760" t="s">
        <v>6</v>
      </c>
      <c r="B8760" t="s">
        <v>8765</v>
      </c>
      <c r="C8760">
        <f>HYPERLINK("C:\Users\franc\OneDrive\Documentos\MALENTIN KARIME\CESION\RESPALDO LUIS DIAZ\SOCIEDADES 2008\SOC. A&amp;C CAPACITACION LTDA. Modif.Extracto.doc", "Abrir Documento")</f>
        <v>0</v>
      </c>
      <c r="D8760" t="s">
        <v>23500</v>
      </c>
      <c r="E8760" t="s">
        <v>31235</v>
      </c>
    </row>
    <row r="8761" spans="1:5">
      <c r="A8761" t="s">
        <v>6</v>
      </c>
      <c r="B8761" t="s">
        <v>8766</v>
      </c>
      <c r="C8761">
        <f>HYPERLINK("C:\Users\franc\OneDrive\Documentos\MALENTIN KARIME\CESION\RESPALDO LUIS DIAZ\SOCIEDADES 2008\SOC. A&amp;C CAPACITACION LTDA. Modif..doc", "Abrir Documento")</f>
        <v>0</v>
      </c>
      <c r="D8761" t="s">
        <v>23500</v>
      </c>
      <c r="E8761" t="s">
        <v>31236</v>
      </c>
    </row>
    <row r="8762" spans="1:5">
      <c r="A8762" t="s">
        <v>6</v>
      </c>
      <c r="B8762" t="s">
        <v>8767</v>
      </c>
      <c r="C8762">
        <f>HYPERLINK("C:\Users\franc\OneDrive\Documentos\MALENTIN KARIME\CESION\RESPALDO LUIS DIAZ\SOCIEDADES 2008\SOC. A&amp;C CAPACITACION Extracto.doc", "Abrir Documento")</f>
        <v>0</v>
      </c>
      <c r="D8762" t="s">
        <v>23500</v>
      </c>
      <c r="E8762" t="s">
        <v>31237</v>
      </c>
    </row>
    <row r="8763" spans="1:5">
      <c r="A8763" t="s">
        <v>6</v>
      </c>
      <c r="B8763" t="s">
        <v>8768</v>
      </c>
      <c r="C8763">
        <f>HYPERLINK("C:\Users\franc\OneDrive\Documentos\MALENTIN KARIME\CESION\RESPALDO LUIS DIAZ\SOCIEDADES 2008\SOC LUZ VERDE.doc", "Abrir Documento")</f>
        <v>0</v>
      </c>
      <c r="D8763" t="s">
        <v>23500</v>
      </c>
      <c r="E8763" t="s">
        <v>31238</v>
      </c>
    </row>
    <row r="8764" spans="1:5">
      <c r="A8764" t="s">
        <v>6</v>
      </c>
      <c r="B8764" t="s">
        <v>8769</v>
      </c>
      <c r="C8764">
        <f>HYPERLINK("C:\Users\franc\OneDrive\Documentos\MALENTIN KARIME\CESION\RESPALDO LUIS DIAZ\SOCIEDADES 2008\SERV. SEGURIDAD GLOBAL.doc", "Abrir Documento")</f>
        <v>0</v>
      </c>
      <c r="D8764" t="s">
        <v>23500</v>
      </c>
      <c r="E8764" t="s">
        <v>31239</v>
      </c>
    </row>
    <row r="8765" spans="1:5">
      <c r="A8765" t="s">
        <v>6</v>
      </c>
      <c r="B8765" t="s">
        <v>8770</v>
      </c>
      <c r="C8765">
        <f>HYPERLINK("C:\Users\franc\OneDrive\Documentos\MALENTIN KARIME\CESION\RESPALDO LUIS DIAZ\SOCIEDADES 2008\SERV. SEGURIDAD GLOBAL Definitiva.doc", "Abrir Documento")</f>
        <v>0</v>
      </c>
      <c r="D8765" t="s">
        <v>23500</v>
      </c>
      <c r="E8765" t="s">
        <v>31240</v>
      </c>
    </row>
    <row r="8766" spans="1:5">
      <c r="A8766" t="s">
        <v>6</v>
      </c>
      <c r="B8766" t="s">
        <v>8771</v>
      </c>
      <c r="C8766">
        <f>HYPERLINK("C:\Users\franc\OneDrive\Documentos\MALENTIN KARIME\CESION\RESPALDO LUIS DIAZ\SOCIEDADES 2008\SERV. SEG. GLOBAL LTDA. Extracto.doc", "Abrir Documento")</f>
        <v>0</v>
      </c>
      <c r="D8766" t="s">
        <v>23500</v>
      </c>
      <c r="E8766" t="s">
        <v>31241</v>
      </c>
    </row>
    <row r="8767" spans="1:5">
      <c r="A8767" t="s">
        <v>6</v>
      </c>
      <c r="B8767" t="s">
        <v>8772</v>
      </c>
      <c r="C8767">
        <f>HYPERLINK("C:\Users\franc\OneDrive\Documentos\MALENTIN KARIME\CESION\RESPALDO LUIS DIAZ\SOCIEDADES 2008\SEDECAP LTDA..doc", "Abrir Documento")</f>
        <v>0</v>
      </c>
      <c r="D8767" t="s">
        <v>23500</v>
      </c>
      <c r="E8767" t="s">
        <v>31242</v>
      </c>
    </row>
    <row r="8768" spans="1:5">
      <c r="A8768" t="s">
        <v>6</v>
      </c>
      <c r="B8768" t="s">
        <v>8773</v>
      </c>
      <c r="C8768">
        <f>HYPERLINK("C:\Users\franc\OneDrive\Documentos\MALENTIN KARIME\CESION\RESPALDO LUIS DIAZ\SOCIEDADES 2008\SEDECAP LTDA. Modific..doc", "Abrir Documento")</f>
        <v>0</v>
      </c>
      <c r="D8768" t="s">
        <v>23500</v>
      </c>
      <c r="E8768" t="s">
        <v>31243</v>
      </c>
    </row>
    <row r="8769" spans="1:5">
      <c r="A8769" t="s">
        <v>6</v>
      </c>
      <c r="B8769" t="s">
        <v>8774</v>
      </c>
      <c r="C8769">
        <f>HYPERLINK("C:\Users\franc\OneDrive\Documentos\MALENTIN KARIME\CESION\RESPALDO LUIS DIAZ\SOCIEDADES 2008\SEDECAP LTDA. Mod. Extracto.doc", "Abrir Documento")</f>
        <v>0</v>
      </c>
      <c r="D8769" t="s">
        <v>23500</v>
      </c>
      <c r="E8769" t="s">
        <v>31244</v>
      </c>
    </row>
    <row r="8770" spans="1:5">
      <c r="A8770" t="s">
        <v>6</v>
      </c>
      <c r="B8770" t="s">
        <v>8775</v>
      </c>
      <c r="C8770">
        <f>HYPERLINK("C:\Users\franc\OneDrive\Documentos\MALENTIN KARIME\CESION\RESPALDO LUIS DIAZ\SOCIEDADES 2008\SEDECAP LTDA.  Extracto.doc", "Abrir Documento")</f>
        <v>0</v>
      </c>
      <c r="D8770" t="s">
        <v>23500</v>
      </c>
      <c r="E8770" t="s">
        <v>31245</v>
      </c>
    </row>
    <row r="8771" spans="1:5">
      <c r="A8771" t="s">
        <v>6</v>
      </c>
      <c r="B8771" t="s">
        <v>8776</v>
      </c>
      <c r="C8771">
        <f>HYPERLINK("C:\Users\franc\OneDrive\Documentos\MALENTIN KARIME\CESION\RESPALDO LUIS DIAZ\SOCIEDADES 2008\SAUSALES.SOC.doc", "Abrir Documento")</f>
        <v>0</v>
      </c>
      <c r="D8771" t="s">
        <v>23500</v>
      </c>
      <c r="E8771" t="s">
        <v>31246</v>
      </c>
    </row>
    <row r="8772" spans="1:5">
      <c r="A8772" t="s">
        <v>6</v>
      </c>
      <c r="B8772" t="s">
        <v>8777</v>
      </c>
      <c r="C8772">
        <f>HYPERLINK("C:\Users\franc\OneDrive\Documentos\MALENTIN KARIME\CESION\RESPALDO LUIS DIAZ\SOCIEDADES 2008\SANTA TERESA DE JESUS S.A. Cesion.doc", "Abrir Documento")</f>
        <v>0</v>
      </c>
      <c r="D8772" t="s">
        <v>23500</v>
      </c>
      <c r="E8772" t="s">
        <v>31247</v>
      </c>
    </row>
    <row r="8773" spans="1:5">
      <c r="A8773" t="s">
        <v>6</v>
      </c>
      <c r="B8773" t="s">
        <v>8778</v>
      </c>
      <c r="C8773">
        <f>HYPERLINK("C:\Users\franc\OneDrive\Documentos\MALENTIN KARIME\CESION\RESPALDO LUIS DIAZ\SOCIEDADES 2008\SALIA CORTES E.I.R.L. Saneamiento.doc", "Abrir Documento")</f>
        <v>0</v>
      </c>
      <c r="D8773" t="s">
        <v>23500</v>
      </c>
      <c r="E8773" t="s">
        <v>31248</v>
      </c>
    </row>
    <row r="8774" spans="1:5">
      <c r="A8774" t="s">
        <v>6</v>
      </c>
      <c r="B8774" t="s">
        <v>8779</v>
      </c>
      <c r="C8774">
        <f>HYPERLINK("C:\Users\franc\OneDrive\Documentos\MALENTIN KARIME\CESION\RESPALDO LUIS DIAZ\SOCIEDADES 2008\SALIA CORTES E.I.R.L. Ext..doc", "Abrir Documento")</f>
        <v>0</v>
      </c>
      <c r="D8774" t="s">
        <v>23500</v>
      </c>
      <c r="E8774" t="s">
        <v>31249</v>
      </c>
    </row>
    <row r="8775" spans="1:5">
      <c r="A8775" t="s">
        <v>6</v>
      </c>
      <c r="B8775" t="s">
        <v>8780</v>
      </c>
      <c r="C8775">
        <f>HYPERLINK("C:\Users\franc\OneDrive\Documentos\MALENTIN KARIME\CESION\RESPALDO LUIS DIAZ\SOCIEDADES 2008\SALIA CORTES A. E.I.R.L..doc", "Abrir Documento")</f>
        <v>0</v>
      </c>
      <c r="D8775" t="s">
        <v>23500</v>
      </c>
      <c r="E8775" t="s">
        <v>31250</v>
      </c>
    </row>
    <row r="8776" spans="1:5">
      <c r="A8776" t="s">
        <v>6</v>
      </c>
      <c r="B8776" t="s">
        <v>8781</v>
      </c>
      <c r="C8776">
        <f>HYPERLINK("C:\Users\franc\OneDrive\Documentos\MALENTIN KARIME\CESION\RESPALDO LUIS DIAZ\SOCIEDADES 2008\SALIA CORTES A. E.I.R.L.  Extracto.doc", "Abrir Documento")</f>
        <v>0</v>
      </c>
      <c r="D8776" t="s">
        <v>23500</v>
      </c>
      <c r="E8776" t="s">
        <v>31251</v>
      </c>
    </row>
    <row r="8777" spans="1:5">
      <c r="A8777" t="s">
        <v>6</v>
      </c>
      <c r="B8777" t="s">
        <v>8782</v>
      </c>
      <c r="C8777">
        <f>HYPERLINK("C:\Users\franc\OneDrive\Documentos\MALENTIN KARIME\CESION\RESPALDO LUIS DIAZ\SOCIEDADES 2008\ROSA BRAVO OLIVARES E.I.R.L. Extracto.doc", "Abrir Documento")</f>
        <v>0</v>
      </c>
      <c r="D8777" t="s">
        <v>23500</v>
      </c>
      <c r="E8777" t="s">
        <v>31252</v>
      </c>
    </row>
    <row r="8778" spans="1:5">
      <c r="A8778" t="s">
        <v>6</v>
      </c>
      <c r="B8778" t="s">
        <v>8783</v>
      </c>
      <c r="C8778">
        <f>HYPERLINK("C:\Users\franc\OneDrive\Documentos\MALENTIN KARIME\CESION\RESPALDO LUIS DIAZ\SOCIEDADES 2008\ROSA BRAVO OLIVARES  E.I.R.L..doc", "Abrir Documento")</f>
        <v>0</v>
      </c>
      <c r="D8778" t="s">
        <v>23500</v>
      </c>
      <c r="E8778" t="s">
        <v>31253</v>
      </c>
    </row>
    <row r="8779" spans="1:5">
      <c r="A8779" t="s">
        <v>6</v>
      </c>
      <c r="B8779" t="s">
        <v>8784</v>
      </c>
      <c r="C8779">
        <f>HYPERLINK("C:\Users\franc\OneDrive\Documentos\MALENTIN KARIME\CESION\RESPALDO LUIS DIAZ\SOCIEDADES 2008\ROBERTO ZEBALLOS E.I.R.L..doc", "Abrir Documento")</f>
        <v>0</v>
      </c>
      <c r="D8779" t="s">
        <v>23500</v>
      </c>
      <c r="E8779" t="s">
        <v>31254</v>
      </c>
    </row>
    <row r="8780" spans="1:5">
      <c r="A8780" t="s">
        <v>6</v>
      </c>
      <c r="B8780" t="s">
        <v>8785</v>
      </c>
      <c r="C8780">
        <f>HYPERLINK("C:\Users\franc\OneDrive\Documentos\MALENTIN KARIME\CESION\RESPALDO LUIS DIAZ\SOCIEDADES 2008\ROBERTO ZEBALLOS E.I.R.L. Extracto.doc", "Abrir Documento")</f>
        <v>0</v>
      </c>
      <c r="D8780" t="s">
        <v>23500</v>
      </c>
      <c r="E8780" t="s">
        <v>31255</v>
      </c>
    </row>
    <row r="8781" spans="1:5">
      <c r="A8781" t="s">
        <v>6</v>
      </c>
      <c r="B8781" t="s">
        <v>8786</v>
      </c>
      <c r="C8781">
        <f>HYPERLINK("C:\Users\franc\OneDrive\Documentos\MALENTIN KARIME\CESION\RESPALDO LUIS DIAZ\SOCIEDADES 2008\RENE ZAVALA MUÑOZ E.I.R.L..doc", "Abrir Documento")</f>
        <v>0</v>
      </c>
      <c r="D8781" t="s">
        <v>23500</v>
      </c>
      <c r="E8781" t="s">
        <v>31256</v>
      </c>
    </row>
    <row r="8782" spans="1:5">
      <c r="A8782" t="s">
        <v>6</v>
      </c>
      <c r="B8782" t="s">
        <v>8787</v>
      </c>
      <c r="C8782">
        <f>HYPERLINK("C:\Users\franc\OneDrive\Documentos\MALENTIN KARIME\CESION\RESPALDO LUIS DIAZ\SOCIEDADES 2008\RENE ZAVALA MUÑOZ E.I.R.L. Extracto.doc", "Abrir Documento")</f>
        <v>0</v>
      </c>
      <c r="D8782" t="s">
        <v>23500</v>
      </c>
      <c r="E8782" t="s">
        <v>31257</v>
      </c>
    </row>
    <row r="8783" spans="1:5">
      <c r="A8783" t="s">
        <v>6</v>
      </c>
      <c r="B8783" t="s">
        <v>8788</v>
      </c>
      <c r="C8783">
        <f>HYPERLINK("C:\Users\franc\OneDrive\Documentos\MALENTIN KARIME\CESION\RESPALDO LUIS DIAZ\SOCIEDADES 2008\RAUL RODRIGUEZ DIAZ E.I.R.L..doc", "Abrir Documento")</f>
        <v>0</v>
      </c>
      <c r="D8783" t="s">
        <v>23500</v>
      </c>
      <c r="E8783" t="s">
        <v>31258</v>
      </c>
    </row>
    <row r="8784" spans="1:5">
      <c r="A8784" t="s">
        <v>6</v>
      </c>
      <c r="B8784" t="s">
        <v>8789</v>
      </c>
      <c r="C8784">
        <f>HYPERLINK("C:\Users\franc\OneDrive\Documentos\MALENTIN KARIME\CESION\RESPALDO LUIS DIAZ\SOCIEDADES 2008\RAUL RODRIGUEZ D. E.I.R.L. Extracto.doc", "Abrir Documento")</f>
        <v>0</v>
      </c>
      <c r="D8784" t="s">
        <v>23500</v>
      </c>
      <c r="E8784" t="s">
        <v>31259</v>
      </c>
    </row>
    <row r="8785" spans="1:5">
      <c r="A8785" t="s">
        <v>6</v>
      </c>
      <c r="B8785" t="s">
        <v>8790</v>
      </c>
      <c r="C8785">
        <f>HYPERLINK("C:\Users\franc\OneDrive\Documentos\MALENTIN KARIME\CESION\RESPALDO LUIS DIAZ\SOCIEDADES 2008\PEDRO SUAREZ E.I.R.L..doc", "Abrir Documento")</f>
        <v>0</v>
      </c>
      <c r="D8785" t="s">
        <v>23500</v>
      </c>
      <c r="E8785" t="s">
        <v>31260</v>
      </c>
    </row>
    <row r="8786" spans="1:5">
      <c r="A8786" t="s">
        <v>6</v>
      </c>
      <c r="B8786" t="s">
        <v>8791</v>
      </c>
      <c r="C8786">
        <f>HYPERLINK("C:\Users\franc\OneDrive\Documentos\MALENTIN KARIME\CESION\RESPALDO LUIS DIAZ\SOCIEDADES 2008\PEDRO SUAREZ E.I.R.L. Extracto.doc", "Abrir Documento")</f>
        <v>0</v>
      </c>
      <c r="D8786" t="s">
        <v>23500</v>
      </c>
      <c r="E8786" t="s">
        <v>31261</v>
      </c>
    </row>
    <row r="8787" spans="1:5">
      <c r="A8787" t="s">
        <v>6</v>
      </c>
      <c r="B8787" t="s">
        <v>8792</v>
      </c>
      <c r="C8787">
        <f>HYPERLINK("C:\Users\franc\OneDrive\Documentos\MALENTIN KARIME\CESION\RESPALDO LUIS DIAZ\SOCIEDADES 2008\PEDRO MONARDEZ RAMIREZ E.I.R.L..doc", "Abrir Documento")</f>
        <v>0</v>
      </c>
      <c r="D8787" t="s">
        <v>23500</v>
      </c>
      <c r="E8787" t="s">
        <v>31262</v>
      </c>
    </row>
    <row r="8788" spans="1:5">
      <c r="A8788" t="s">
        <v>6</v>
      </c>
      <c r="B8788" t="s">
        <v>8793</v>
      </c>
      <c r="C8788">
        <f>HYPERLINK("C:\Users\franc\OneDrive\Documentos\MALENTIN KARIME\CESION\RESPALDO LUIS DIAZ\SOCIEDADES 2008\PEDRO MONARDEZ R. E.I.R.L. Extracto.doc", "Abrir Documento")</f>
        <v>0</v>
      </c>
      <c r="D8788" t="s">
        <v>23500</v>
      </c>
      <c r="E8788" t="s">
        <v>31263</v>
      </c>
    </row>
    <row r="8789" spans="1:5">
      <c r="A8789" t="s">
        <v>6</v>
      </c>
      <c r="B8789" t="s">
        <v>8794</v>
      </c>
      <c r="C8789">
        <f>HYPERLINK("C:\Users\franc\OneDrive\Documentos\MALENTIN KARIME\CESION\RESPALDO LUIS DIAZ\SOCIEDADES 2008\PEDRO ALFONSO MUÑOZ E.R.I.L..doc", "Abrir Documento")</f>
        <v>0</v>
      </c>
      <c r="D8789" t="s">
        <v>23500</v>
      </c>
      <c r="E8789" t="s">
        <v>31264</v>
      </c>
    </row>
    <row r="8790" spans="1:5">
      <c r="A8790" t="s">
        <v>6</v>
      </c>
      <c r="B8790" t="s">
        <v>8795</v>
      </c>
      <c r="C8790">
        <f>HYPERLINK("C:\Users\franc\OneDrive\Documentos\MALENTIN KARIME\CESION\RESPALDO LUIS DIAZ\SOCIEDADES 2008\PALABRITAS LTDA..doc", "Abrir Documento")</f>
        <v>0</v>
      </c>
      <c r="D8790" t="s">
        <v>23500</v>
      </c>
      <c r="E8790" t="s">
        <v>31265</v>
      </c>
    </row>
    <row r="8791" spans="1:5">
      <c r="A8791" t="s">
        <v>6</v>
      </c>
      <c r="B8791" t="s">
        <v>8796</v>
      </c>
      <c r="C8791">
        <f>HYPERLINK("C:\Users\franc\OneDrive\Documentos\MALENTIN KARIME\CESION\RESPALDO LUIS DIAZ\SOCIEDADES 2008\PALABRITAS LTDA. Extracto.doc", "Abrir Documento")</f>
        <v>0</v>
      </c>
      <c r="D8791" t="s">
        <v>23500</v>
      </c>
      <c r="E8791" t="s">
        <v>31266</v>
      </c>
    </row>
    <row r="8792" spans="1:5">
      <c r="A8792" t="s">
        <v>6</v>
      </c>
      <c r="B8792" t="s">
        <v>8797</v>
      </c>
      <c r="C8792">
        <f>HYPERLINK("C:\Users\franc\OneDrive\Documentos\MALENTIN KARIME\CESION\RESPALDO LUIS DIAZ\SOCIEDADES 2008\PAISAJISMO HNOS..doc", "Abrir Documento")</f>
        <v>0</v>
      </c>
      <c r="D8792" t="s">
        <v>23500</v>
      </c>
      <c r="E8792" t="s">
        <v>31267</v>
      </c>
    </row>
    <row r="8793" spans="1:5">
      <c r="A8793" t="s">
        <v>6</v>
      </c>
      <c r="B8793" t="s">
        <v>8798</v>
      </c>
      <c r="C8793">
        <f>HYPERLINK("C:\Users\franc\OneDrive\Documentos\MALENTIN KARIME\CESION\RESPALDO LUIS DIAZ\SOCIEDADES 2008\PAISAJISMO Extracto.doc", "Abrir Documento")</f>
        <v>0</v>
      </c>
      <c r="D8793" t="s">
        <v>23500</v>
      </c>
      <c r="E8793" t="s">
        <v>31268</v>
      </c>
    </row>
    <row r="8794" spans="1:5">
      <c r="A8794" t="s">
        <v>6</v>
      </c>
      <c r="B8794" t="s">
        <v>8799</v>
      </c>
      <c r="C8794">
        <f>HYPERLINK("C:\Users\franc\OneDrive\Documentos\MALENTIN KARIME\CESION\RESPALDO LUIS DIAZ\SOCIEDADES 2008\ORTIZ Y DIAZ LTDA..doc", "Abrir Documento")</f>
        <v>0</v>
      </c>
      <c r="D8794" t="s">
        <v>23500</v>
      </c>
      <c r="E8794" t="s">
        <v>31269</v>
      </c>
    </row>
    <row r="8795" spans="1:5">
      <c r="A8795" t="s">
        <v>6</v>
      </c>
      <c r="B8795" t="s">
        <v>8800</v>
      </c>
      <c r="C8795">
        <f>HYPERLINK("C:\Users\franc\OneDrive\Documentos\MALENTIN KARIME\CESION\RESPALDO LUIS DIAZ\SOCIEDADES 2008\OMAR OSSA H. E.I.R.L..doc", "Abrir Documento")</f>
        <v>0</v>
      </c>
      <c r="D8795" t="s">
        <v>23500</v>
      </c>
      <c r="E8795" t="s">
        <v>31270</v>
      </c>
    </row>
    <row r="8796" spans="1:5">
      <c r="A8796" t="s">
        <v>6</v>
      </c>
      <c r="B8796" t="s">
        <v>8801</v>
      </c>
      <c r="C8796">
        <f>HYPERLINK("C:\Users\franc\OneDrive\Documentos\MALENTIN KARIME\CESION\RESPALDO LUIS DIAZ\SOCIEDADES 2008\OMAR OSSA H. E.I.R.L. Extrac..doc", "Abrir Documento")</f>
        <v>0</v>
      </c>
      <c r="D8796" t="s">
        <v>23500</v>
      </c>
      <c r="E8796" t="s">
        <v>31271</v>
      </c>
    </row>
    <row r="8797" spans="1:5">
      <c r="A8797" t="s">
        <v>6</v>
      </c>
      <c r="B8797" t="s">
        <v>8802</v>
      </c>
      <c r="C8797">
        <f>HYPERLINK("C:\Users\franc\OneDrive\Documentos\MALENTIN KARIME\CESION\RESPALDO LUIS DIAZ\SOCIEDADES 2008\OMAR OSSA H.  E.I.R.L. Extracto.doc", "Abrir Documento")</f>
        <v>0</v>
      </c>
      <c r="D8797" t="s">
        <v>23500</v>
      </c>
      <c r="E8797" t="s">
        <v>31272</v>
      </c>
    </row>
    <row r="8798" spans="1:5">
      <c r="A8798" t="s">
        <v>6</v>
      </c>
      <c r="B8798" t="s">
        <v>8803</v>
      </c>
      <c r="C8798">
        <f>HYPERLINK("C:\Users\franc\OneDrive\Documentos\MALENTIN KARIME\CESION\RESPALDO LUIS DIAZ\SOCIEDADES 2008\OFFICE EXPRESS.EXT.doc", "Abrir Documento")</f>
        <v>0</v>
      </c>
      <c r="D8798" t="s">
        <v>23500</v>
      </c>
      <c r="E8798" t="s">
        <v>31273</v>
      </c>
    </row>
    <row r="8799" spans="1:5">
      <c r="A8799" t="s">
        <v>6</v>
      </c>
      <c r="B8799" t="s">
        <v>8804</v>
      </c>
      <c r="C8799">
        <f>HYPERLINK("C:\Users\franc\OneDrive\Documentos\MALENTIN KARIME\CESION\RESPALDO LUIS DIAZ\SOCIEDADES 2008\OFFICE EXPRESS.doc", "Abrir Documento")</f>
        <v>0</v>
      </c>
      <c r="D8799" t="s">
        <v>23500</v>
      </c>
      <c r="E8799" t="s">
        <v>31274</v>
      </c>
    </row>
    <row r="8800" spans="1:5">
      <c r="A8800" t="s">
        <v>6</v>
      </c>
      <c r="B8800" t="s">
        <v>8805</v>
      </c>
      <c r="C8800">
        <f>HYPERLINK("C:\Users\franc\OneDrive\Documentos\MALENTIN KARIME\CESION\RESPALDO LUIS DIAZ\SOCIEDADES 2008\NOVASALUD.SOC.doc", "Abrir Documento")</f>
        <v>0</v>
      </c>
      <c r="D8800" t="s">
        <v>23500</v>
      </c>
      <c r="E8800" t="s">
        <v>31275</v>
      </c>
    </row>
    <row r="8801" spans="1:5">
      <c r="A8801" t="s">
        <v>6</v>
      </c>
      <c r="B8801" t="s">
        <v>8806</v>
      </c>
      <c r="C8801">
        <f>HYPERLINK("C:\Users\franc\OneDrive\Documentos\MALENTIN KARIME\CESION\RESPALDO LUIS DIAZ\SOCIEDADES 2008\NOVASALUD.EXT.doc", "Abrir Documento")</f>
        <v>0</v>
      </c>
      <c r="D8801" t="s">
        <v>23500</v>
      </c>
      <c r="E8801" t="s">
        <v>31276</v>
      </c>
    </row>
    <row r="8802" spans="1:5">
      <c r="A8802" t="s">
        <v>6</v>
      </c>
      <c r="B8802" t="s">
        <v>8807</v>
      </c>
      <c r="C8802">
        <f>HYPERLINK("C:\Users\franc\OneDrive\Documentos\MALENTIN KARIME\CESION\RESPALDO LUIS DIAZ\SOCIEDADES 2008\NOTARIO SUPLENTE.doc", "Abrir Documento")</f>
        <v>0</v>
      </c>
      <c r="D8802" t="s">
        <v>23500</v>
      </c>
      <c r="E8802" t="s">
        <v>31277</v>
      </c>
    </row>
    <row r="8803" spans="1:5">
      <c r="A8803" t="s">
        <v>6</v>
      </c>
      <c r="B8803" t="s">
        <v>8808</v>
      </c>
      <c r="C8803">
        <f>HYPERLINK("C:\Users\franc\OneDrive\Documentos\MALENTIN KARIME\CESION\RESPALDO LUIS DIAZ\SOCIEDADES 2008\NOTARIO SUPLENTE Manlio M..doc", "Abrir Documento")</f>
        <v>0</v>
      </c>
      <c r="D8803" t="s">
        <v>23500</v>
      </c>
      <c r="E8803" t="s">
        <v>31278</v>
      </c>
    </row>
    <row r="8804" spans="1:5">
      <c r="A8804" t="s">
        <v>6</v>
      </c>
      <c r="B8804" t="s">
        <v>8809</v>
      </c>
      <c r="C8804">
        <f>HYPERLINK("C:\Users\franc\OneDrive\Documentos\MALENTIN KARIME\CESION\RESPALDO LUIS DIAZ\SOCIEDADES 2008\NINTRADE SpA Privada.doc", "Abrir Documento")</f>
        <v>0</v>
      </c>
      <c r="D8804" t="s">
        <v>23500</v>
      </c>
      <c r="E8804" t="s">
        <v>31279</v>
      </c>
    </row>
    <row r="8805" spans="1:5">
      <c r="A8805" t="s">
        <v>6</v>
      </c>
      <c r="B8805" t="s">
        <v>8810</v>
      </c>
      <c r="C8805">
        <f>HYPERLINK("C:\Users\franc\OneDrive\Documentos\MALENTIN KARIME\CESION\RESPALDO LUIS DIAZ\SOCIEDADES 2008\NINTRADE SpA Extracto.doc", "Abrir Documento")</f>
        <v>0</v>
      </c>
      <c r="D8805" t="s">
        <v>23500</v>
      </c>
      <c r="E8805" t="s">
        <v>31280</v>
      </c>
    </row>
    <row r="8806" spans="1:5">
      <c r="A8806" t="s">
        <v>6</v>
      </c>
      <c r="B8806" t="s">
        <v>8811</v>
      </c>
      <c r="C8806">
        <f>HYPERLINK("C:\Users\franc\OneDrive\Documentos\MALENTIN KARIME\CESION\RESPALDO LUIS DIAZ\SOCIEDADES 2008\NIBALDO OLIVARES ARAYA E.I.R.L..doc", "Abrir Documento")</f>
        <v>0</v>
      </c>
      <c r="D8806" t="s">
        <v>23500</v>
      </c>
      <c r="E8806" t="s">
        <v>31281</v>
      </c>
    </row>
    <row r="8807" spans="1:5">
      <c r="A8807" t="s">
        <v>6</v>
      </c>
      <c r="B8807" t="s">
        <v>8812</v>
      </c>
      <c r="C8807">
        <f>HYPERLINK("C:\Users\franc\OneDrive\Documentos\MALENTIN KARIME\CESION\RESPALDO LUIS DIAZ\SOCIEDADES 2008\NIBALDO OLIVARES ARAYA E.I.R.L. Extracto.doc", "Abrir Documento")</f>
        <v>0</v>
      </c>
      <c r="D8807" t="s">
        <v>23500</v>
      </c>
      <c r="E8807" t="s">
        <v>31282</v>
      </c>
    </row>
    <row r="8808" spans="1:5">
      <c r="A8808" t="s">
        <v>6</v>
      </c>
      <c r="B8808" t="s">
        <v>8813</v>
      </c>
      <c r="C8808">
        <f>HYPERLINK("C:\Users\franc\OneDrive\Documentos\MALENTIN KARIME\CESION\RESPALDO LUIS DIAZ\SOCIEDADES 2008\NIBALDO OLIVARES ARAYA E.I.R.L. Aclaración.doc", "Abrir Documento")</f>
        <v>0</v>
      </c>
      <c r="D8808" t="s">
        <v>23500</v>
      </c>
      <c r="E8808" t="s">
        <v>31283</v>
      </c>
    </row>
    <row r="8809" spans="1:5">
      <c r="A8809" t="s">
        <v>6</v>
      </c>
      <c r="B8809" t="s">
        <v>8814</v>
      </c>
      <c r="C8809">
        <f>HYPERLINK("C:\Users\franc\OneDrive\Documentos\MALENTIN KARIME\CESION\RESPALDO LUIS DIAZ\SOCIEDADES 2008\NIBALDO ARAYA E.I.R.L. Aclarac. Extracto.doc", "Abrir Documento")</f>
        <v>0</v>
      </c>
      <c r="D8809" t="s">
        <v>23500</v>
      </c>
      <c r="E8809" t="s">
        <v>31284</v>
      </c>
    </row>
    <row r="8810" spans="1:5">
      <c r="A8810" t="s">
        <v>6</v>
      </c>
      <c r="B8810" t="s">
        <v>8815</v>
      </c>
      <c r="C8810">
        <f>HYPERLINK("C:\Users\franc\OneDrive\Documentos\MALENTIN KARIME\CESION\RESPALDO LUIS DIAZ\SOCIEDADES 2008\NEMESIO GALLARDO T. E.I.R.L..doc", "Abrir Documento")</f>
        <v>0</v>
      </c>
      <c r="D8810" t="s">
        <v>23500</v>
      </c>
      <c r="E8810" t="s">
        <v>31285</v>
      </c>
    </row>
    <row r="8811" spans="1:5">
      <c r="A8811" t="s">
        <v>6</v>
      </c>
      <c r="B8811" t="s">
        <v>8816</v>
      </c>
      <c r="C8811">
        <f>HYPERLINK("C:\Users\franc\OneDrive\Documentos\MALENTIN KARIME\CESION\RESPALDO LUIS DIAZ\SOCIEDADES 2008\NEMESIO GALLARDO E.I.R.L. Extracto.doc", "Abrir Documento")</f>
        <v>0</v>
      </c>
      <c r="D8811" t="s">
        <v>23500</v>
      </c>
      <c r="E8811" t="s">
        <v>31286</v>
      </c>
    </row>
    <row r="8812" spans="1:5">
      <c r="A8812" t="s">
        <v>6</v>
      </c>
      <c r="B8812" t="s">
        <v>8817</v>
      </c>
      <c r="C8812">
        <f>HYPERLINK("C:\Users\franc\OneDrive\Documentos\MALENTIN KARIME\CESION\RESPALDO LUIS DIAZ\SOCIEDADES 2008\NELLY ANDRADES Y CIA. LTD..doc", "Abrir Documento")</f>
        <v>0</v>
      </c>
      <c r="D8812" t="s">
        <v>23500</v>
      </c>
      <c r="E8812" t="s">
        <v>31287</v>
      </c>
    </row>
    <row r="8813" spans="1:5">
      <c r="A8813" t="s">
        <v>6</v>
      </c>
      <c r="B8813" t="s">
        <v>8818</v>
      </c>
      <c r="C8813">
        <f>HYPERLINK("C:\Users\franc\OneDrive\Documentos\MALENTIN KARIME\CESION\RESPALDO LUIS DIAZ\SOCIEDADES 2008\NELLY ANDRADES Y CIA. LTD. Extracto.doc", "Abrir Documento")</f>
        <v>0</v>
      </c>
      <c r="D8813" t="s">
        <v>23500</v>
      </c>
      <c r="E8813" t="s">
        <v>31288</v>
      </c>
    </row>
    <row r="8814" spans="1:5">
      <c r="A8814" t="s">
        <v>6</v>
      </c>
      <c r="B8814" t="s">
        <v>8819</v>
      </c>
      <c r="C8814">
        <f>HYPERLINK("C:\Users\franc\OneDrive\Documentos\MALENTIN KARIME\CESION\RESPALDO LUIS DIAZ\SOCIEDADES 2008\MORGADO Y CIA..doc", "Abrir Documento")</f>
        <v>0</v>
      </c>
      <c r="D8814" t="s">
        <v>23500</v>
      </c>
      <c r="E8814" t="s">
        <v>31289</v>
      </c>
    </row>
    <row r="8815" spans="1:5">
      <c r="A8815" t="s">
        <v>6</v>
      </c>
      <c r="B8815" t="s">
        <v>8820</v>
      </c>
      <c r="C8815">
        <f>HYPERLINK("C:\Users\franc\OneDrive\Documentos\MALENTIN KARIME\CESION\RESPALDO LUIS DIAZ\SOCIEDADES 2008\MORGADO Y CIA. Modificación.doc", "Abrir Documento")</f>
        <v>0</v>
      </c>
      <c r="D8815" t="s">
        <v>23500</v>
      </c>
      <c r="E8815" t="s">
        <v>31290</v>
      </c>
    </row>
    <row r="8816" spans="1:5">
      <c r="A8816" t="s">
        <v>6</v>
      </c>
      <c r="B8816" t="s">
        <v>8821</v>
      </c>
      <c r="C8816">
        <f>HYPERLINK("C:\Users\franc\OneDrive\Documentos\MALENTIN KARIME\CESION\RESPALDO LUIS DIAZ\SOCIEDADES 2008\MOISES VARAS RAMIREZ E.I.R.L..doc", "Abrir Documento")</f>
        <v>0</v>
      </c>
      <c r="D8816" t="s">
        <v>23500</v>
      </c>
      <c r="E8816" t="s">
        <v>31291</v>
      </c>
    </row>
    <row r="8817" spans="1:5">
      <c r="A8817" t="s">
        <v>6</v>
      </c>
      <c r="B8817" t="s">
        <v>8822</v>
      </c>
      <c r="C8817">
        <f>HYPERLINK("C:\Users\franc\OneDrive\Documentos\MALENTIN KARIME\CESION\RESPALDO LUIS DIAZ\SOCIEDADES 2008\MOISES VARAS RAMIREZ E.I.R.L. Extracto.doc", "Abrir Documento")</f>
        <v>0</v>
      </c>
      <c r="D8817" t="s">
        <v>23500</v>
      </c>
      <c r="E8817" t="s">
        <v>31292</v>
      </c>
    </row>
    <row r="8818" spans="1:5">
      <c r="A8818" t="s">
        <v>6</v>
      </c>
      <c r="B8818" t="s">
        <v>8823</v>
      </c>
      <c r="C8818">
        <f>HYPERLINK("C:\Users\franc\OneDrive\Documentos\MALENTIN KARIME\CESION\RESPALDO LUIS DIAZ\SOCIEDADES 2008\MODIFICACION Soc..doc", "Abrir Documento")</f>
        <v>0</v>
      </c>
      <c r="D8818" t="s">
        <v>23500</v>
      </c>
      <c r="E8818" t="s">
        <v>31293</v>
      </c>
    </row>
    <row r="8819" spans="1:5">
      <c r="A8819" t="s">
        <v>6</v>
      </c>
      <c r="B8819" t="s">
        <v>8824</v>
      </c>
      <c r="C8819">
        <f>HYPERLINK("C:\Users\franc\OneDrive\Documentos\MALENTIN KARIME\CESION\RESPALDO LUIS DIAZ\SOCIEDADES 2008\MODELO SpA Un socio con Extracto.doc", "Abrir Documento")</f>
        <v>0</v>
      </c>
      <c r="D8819" t="s">
        <v>23500</v>
      </c>
      <c r="E8819" t="s">
        <v>31294</v>
      </c>
    </row>
    <row r="8820" spans="1:5">
      <c r="A8820" t="s">
        <v>6</v>
      </c>
      <c r="B8820" t="s">
        <v>8825</v>
      </c>
      <c r="C8820">
        <f>HYPERLINK("C:\Users\franc\OneDrive\Documentos\MALENTIN KARIME\CESION\RESPALDO LUIS DIAZ\SOCIEDADES 2008\MODELO SPA 2 socios.doc", "Abrir Documento")</f>
        <v>0</v>
      </c>
      <c r="D8820" t="s">
        <v>23500</v>
      </c>
      <c r="E8820" t="s">
        <v>31295</v>
      </c>
    </row>
    <row r="8821" spans="1:5">
      <c r="A8821" t="s">
        <v>6</v>
      </c>
      <c r="B8821" t="s">
        <v>8826</v>
      </c>
      <c r="C8821">
        <f>HYPERLINK("C:\Users\franc\OneDrive\Documentos\MALENTIN KARIME\CESION\RESPALDO LUIS DIAZ\SOCIEDADES 2008\MODELO SOC..doc", "Abrir Documento")</f>
        <v>0</v>
      </c>
      <c r="D8821" t="s">
        <v>23500</v>
      </c>
      <c r="E8821" t="s">
        <v>31296</v>
      </c>
    </row>
    <row r="8822" spans="1:5">
      <c r="A8822" t="s">
        <v>6</v>
      </c>
      <c r="B8822" t="s">
        <v>8827</v>
      </c>
      <c r="C8822">
        <f>HYPERLINK("C:\Users\franc\OneDrive\Documentos\MALENTIN KARIME\CESION\RESPALDO LUIS DIAZ\SOCIEDADES 2008\MODELO Soc. Minera.doc", "Abrir Documento")</f>
        <v>0</v>
      </c>
      <c r="D8822" t="s">
        <v>23500</v>
      </c>
      <c r="E8822" t="s">
        <v>31297</v>
      </c>
    </row>
    <row r="8823" spans="1:5">
      <c r="A8823" t="s">
        <v>6</v>
      </c>
      <c r="B8823" t="s">
        <v>8828</v>
      </c>
      <c r="C8823">
        <f>HYPERLINK("C:\Users\franc\OneDrive\Documentos\MALENTIN KARIME\CESION\RESPALDO LUIS DIAZ\SOCIEDADES 2008\MODELO SOC. MINERA LTDA..doc", "Abrir Documento")</f>
        <v>0</v>
      </c>
      <c r="D8823" t="s">
        <v>23500</v>
      </c>
      <c r="E8823" t="s">
        <v>31298</v>
      </c>
    </row>
    <row r="8824" spans="1:5">
      <c r="A8824" t="s">
        <v>6</v>
      </c>
      <c r="B8824" t="s">
        <v>8829</v>
      </c>
      <c r="C8824">
        <f>HYPERLINK("C:\Users\franc\OneDrive\Documentos\MALENTIN KARIME\CESION\RESPALDO LUIS DIAZ\SOCIEDADES 2008\MODELO SOC. CONTRACTUAL MINERA.doc", "Abrir Documento")</f>
        <v>0</v>
      </c>
      <c r="D8824" t="s">
        <v>23500</v>
      </c>
      <c r="E8824" t="s">
        <v>31299</v>
      </c>
    </row>
    <row r="8825" spans="1:5">
      <c r="A8825" t="s">
        <v>6</v>
      </c>
      <c r="B8825" t="s">
        <v>8830</v>
      </c>
      <c r="C8825">
        <f>HYPERLINK("C:\Users\franc\OneDrive\Documentos\MALENTIN KARIME\CESION\RESPALDO LUIS DIAZ\SOCIEDADES 2008\MODELO SOC. COLECTIVA.doc", "Abrir Documento")</f>
        <v>0</v>
      </c>
      <c r="D8825" t="s">
        <v>23500</v>
      </c>
      <c r="E8825" t="s">
        <v>31300</v>
      </c>
    </row>
    <row r="8826" spans="1:5">
      <c r="A8826" t="s">
        <v>6</v>
      </c>
      <c r="B8826" t="s">
        <v>8831</v>
      </c>
      <c r="C8826">
        <f>HYPERLINK("C:\Users\franc\OneDrive\Documentos\MALENTIN KARIME\CESION\RESPALDO LUIS DIAZ\SOCIEDADES 2008\MODELO S.A..doc", "Abrir Documento")</f>
        <v>0</v>
      </c>
      <c r="D8826" t="s">
        <v>23500</v>
      </c>
      <c r="E8826" t="s">
        <v>31301</v>
      </c>
    </row>
    <row r="8827" spans="1:5">
      <c r="A8827" t="s">
        <v>6</v>
      </c>
      <c r="B8827" t="s">
        <v>8832</v>
      </c>
      <c r="C8827">
        <f>HYPERLINK("C:\Users\franc\OneDrive\Documentos\MALENTIN KARIME\CESION\RESPALDO LUIS DIAZ\SOCIEDADES 2008\MODELO Resciliación Liquidación Soc..doc", "Abrir Documento")</f>
        <v>0</v>
      </c>
      <c r="D8827" t="s">
        <v>23500</v>
      </c>
      <c r="E8827" t="s">
        <v>31302</v>
      </c>
    </row>
    <row r="8828" spans="1:5">
      <c r="A8828" t="s">
        <v>6</v>
      </c>
      <c r="B8828" t="s">
        <v>8833</v>
      </c>
      <c r="C8828">
        <f>HYPERLINK("C:\Users\franc\OneDrive\Documentos\MALENTIN KARIME\CESION\RESPALDO LUIS DIAZ\SOCIEDADES 2008\MODELO Resciliación Ces. y Modifiic..doc", "Abrir Documento")</f>
        <v>0</v>
      </c>
      <c r="D8828" t="s">
        <v>23500</v>
      </c>
      <c r="E8828" t="s">
        <v>31303</v>
      </c>
    </row>
    <row r="8829" spans="1:5">
      <c r="A8829" t="s">
        <v>6</v>
      </c>
      <c r="B8829" t="s">
        <v>8834</v>
      </c>
      <c r="C8829">
        <f>HYPERLINK("C:\Users\franc\OneDrive\Documentos\MALENTIN KARIME\CESION\RESPALDO LUIS DIAZ\SOCIEDADES 2008\MODELO INMOBILIARIA.doc", "Abrir Documento")</f>
        <v>0</v>
      </c>
      <c r="D8829" t="s">
        <v>23500</v>
      </c>
      <c r="E8829" t="s">
        <v>31304</v>
      </c>
    </row>
    <row r="8830" spans="1:5">
      <c r="A8830" t="s">
        <v>6</v>
      </c>
      <c r="B8830" t="s">
        <v>8835</v>
      </c>
      <c r="C8830">
        <f>HYPERLINK("C:\Users\franc\OneDrive\Documentos\MALENTIN KARIME\CESION\RESPALDO LUIS DIAZ\SOCIEDADES 2008\MODELO EXTRACTO.doc", "Abrir Documento")</f>
        <v>0</v>
      </c>
      <c r="D8830" t="s">
        <v>23500</v>
      </c>
      <c r="E8830" t="s">
        <v>31305</v>
      </c>
    </row>
    <row r="8831" spans="1:5">
      <c r="A8831" t="s">
        <v>6</v>
      </c>
      <c r="B8831" t="s">
        <v>8836</v>
      </c>
      <c r="C8831">
        <f>HYPERLINK("C:\Users\franc\OneDrive\Documentos\MALENTIN KARIME\CESION\RESPALDO LUIS DIAZ\SOCIEDADES 2008\MODELO EXTRACTO E.I.R.L.doc", "Abrir Documento")</f>
        <v>0</v>
      </c>
      <c r="D8831" t="s">
        <v>23500</v>
      </c>
      <c r="E8831" t="s">
        <v>31306</v>
      </c>
    </row>
    <row r="8832" spans="1:5">
      <c r="A8832" t="s">
        <v>6</v>
      </c>
      <c r="B8832" t="s">
        <v>8837</v>
      </c>
      <c r="C8832">
        <f>HYPERLINK("C:\Users\franc\OneDrive\Documentos\MALENTIN KARIME\CESION\RESPALDO LUIS DIAZ\SOCIEDADES 2008\MODELO EXTRACTO CON MODIF..doc", "Abrir Documento")</f>
        <v>0</v>
      </c>
      <c r="D8832" t="s">
        <v>23500</v>
      </c>
      <c r="E8832" t="s">
        <v>31307</v>
      </c>
    </row>
    <row r="8833" spans="1:5">
      <c r="A8833" t="s">
        <v>6</v>
      </c>
      <c r="B8833" t="s">
        <v>8838</v>
      </c>
      <c r="C8833">
        <f>HYPERLINK("C:\Users\franc\OneDrive\Documentos\MALENTIN KARIME\CESION\RESPALDO LUIS DIAZ\SOCIEDADES 2008\MODELO E.I.R.L..doc", "Abrir Documento")</f>
        <v>0</v>
      </c>
      <c r="D8833" t="s">
        <v>23500</v>
      </c>
      <c r="E8833" t="s">
        <v>31308</v>
      </c>
    </row>
    <row r="8834" spans="1:5">
      <c r="A8834" t="s">
        <v>6</v>
      </c>
      <c r="B8834" t="s">
        <v>8839</v>
      </c>
      <c r="C8834">
        <f>HYPERLINK("C:\Users\franc\OneDrive\Documentos\MALENTIN KARIME\CESION\RESPALDO LUIS DIAZ\SOCIEDADES 2008\MODELO E.I.R.L. Válido.doc", "Abrir Documento")</f>
        <v>0</v>
      </c>
      <c r="D8834" t="s">
        <v>23500</v>
      </c>
      <c r="E8834" t="s">
        <v>31309</v>
      </c>
    </row>
    <row r="8835" spans="1:5">
      <c r="A8835" t="s">
        <v>6</v>
      </c>
      <c r="B8835" t="s">
        <v>8840</v>
      </c>
      <c r="C8835">
        <f>HYPERLINK("C:\Users\franc\OneDrive\Documentos\MALENTIN KARIME\CESION\RESPALDO LUIS DIAZ\SOCIEDADES 2008\MODELO  E.I.R.L. Ing. y Construc..doc", "Abrir Documento")</f>
        <v>0</v>
      </c>
      <c r="D8835" t="s">
        <v>23500</v>
      </c>
      <c r="E8835" t="s">
        <v>31310</v>
      </c>
    </row>
    <row r="8836" spans="1:5">
      <c r="A8836" t="s">
        <v>6</v>
      </c>
      <c r="B8836" t="s">
        <v>8841</v>
      </c>
      <c r="C8836">
        <f>HYPERLINK("C:\Users\franc\OneDrive\Documentos\MALENTIN KARIME\CESION\RESPALDO LUIS DIAZ\SOCIEDADES 2008\MODELO  E.I.R.L. de Abogado.doc", "Abrir Documento")</f>
        <v>0</v>
      </c>
      <c r="D8836" t="s">
        <v>23500</v>
      </c>
      <c r="E8836" t="s">
        <v>31311</v>
      </c>
    </row>
    <row r="8837" spans="1:5">
      <c r="A8837" t="s">
        <v>6</v>
      </c>
      <c r="B8837" t="s">
        <v>8842</v>
      </c>
      <c r="C8837">
        <f>HYPERLINK("C:\Users\franc\OneDrive\Documentos\MALENTIN KARIME\CESION\RESPALDO LUIS DIAZ\SOCIEDADES 2008\MODELO  E.I.R.L. Agricola.doc", "Abrir Documento")</f>
        <v>0</v>
      </c>
      <c r="D8837" t="s">
        <v>23500</v>
      </c>
      <c r="E8837" t="s">
        <v>31312</v>
      </c>
    </row>
    <row r="8838" spans="1:5">
      <c r="A8838" t="s">
        <v>6</v>
      </c>
      <c r="B8838" t="s">
        <v>8843</v>
      </c>
      <c r="C8838">
        <f>HYPERLINK("C:\Users\franc\OneDrive\Documentos\MALENTIN KARIME\CESION\RESPALDO LUIS DIAZ\SOCIEDADES 2008\MISAEL ZEPEDA CISTERNAS  E.I.R.L..doc", "Abrir Documento")</f>
        <v>0</v>
      </c>
      <c r="D8838" t="s">
        <v>23500</v>
      </c>
      <c r="E8838" t="s">
        <v>31313</v>
      </c>
    </row>
    <row r="8839" spans="1:5">
      <c r="A8839" t="s">
        <v>6</v>
      </c>
      <c r="B8839" t="s">
        <v>8844</v>
      </c>
      <c r="C8839">
        <f>HYPERLINK("C:\Users\franc\OneDrive\Documentos\MALENTIN KARIME\CESION\RESPALDO LUIS DIAZ\SOCIEDADES 2008\MISAEL ZEPEDA C. E.I.R.L. Extracto.doc", "Abrir Documento")</f>
        <v>0</v>
      </c>
      <c r="D8839" t="s">
        <v>23500</v>
      </c>
      <c r="E8839" t="s">
        <v>31314</v>
      </c>
    </row>
    <row r="8840" spans="1:5">
      <c r="A8840" t="s">
        <v>6</v>
      </c>
      <c r="B8840" t="s">
        <v>8845</v>
      </c>
      <c r="C8840">
        <f>HYPERLINK("C:\Users\franc\OneDrive\Documentos\MALENTIN KARIME\CESION\RESPALDO LUIS DIAZ\SOCIEDADES 2008\MINERA TERRA GOLD LTDA..doc", "Abrir Documento")</f>
        <v>0</v>
      </c>
      <c r="D8840" t="s">
        <v>23500</v>
      </c>
      <c r="E8840" t="s">
        <v>31315</v>
      </c>
    </row>
    <row r="8841" spans="1:5">
      <c r="A8841" t="s">
        <v>6</v>
      </c>
      <c r="B8841" t="s">
        <v>8846</v>
      </c>
      <c r="C8841">
        <f>HYPERLINK("C:\Users\franc\OneDrive\Documentos\MALENTIN KARIME\CESION\RESPALDO LUIS DIAZ\SOCIEDADES 2008\MINERA TERRA GOLD LTDA. Definitiva.doc", "Abrir Documento")</f>
        <v>0</v>
      </c>
      <c r="D8841" t="s">
        <v>23500</v>
      </c>
      <c r="E8841" t="s">
        <v>31316</v>
      </c>
    </row>
    <row r="8842" spans="1:5">
      <c r="A8842" t="s">
        <v>6</v>
      </c>
      <c r="B8842" t="s">
        <v>8847</v>
      </c>
      <c r="C8842">
        <f>HYPERLINK("C:\Users\franc\OneDrive\Documentos\MALENTIN KARIME\CESION\RESPALDO LUIS DIAZ\SOCIEDADES 2008\MINERA TERRA GOLD LTD. Extracto.doc", "Abrir Documento")</f>
        <v>0</v>
      </c>
      <c r="D8842" t="s">
        <v>23500</v>
      </c>
      <c r="E8842" t="s">
        <v>31317</v>
      </c>
    </row>
    <row r="8843" spans="1:5">
      <c r="A8843" t="s">
        <v>6</v>
      </c>
      <c r="B8843" t="s">
        <v>8848</v>
      </c>
      <c r="C8843">
        <f>HYPERLINK("C:\Users\franc\OneDrive\Documentos\MALENTIN KARIME\CESION\RESPALDO LUIS DIAZ\SOCIEDADES 2008\MINERA LOS CRISTALES LTDA. Ces. y Mod..doc", "Abrir Documento")</f>
        <v>0</v>
      </c>
      <c r="D8843" t="s">
        <v>23500</v>
      </c>
      <c r="E8843" t="s">
        <v>31318</v>
      </c>
    </row>
    <row r="8844" spans="1:5">
      <c r="A8844" t="s">
        <v>6</v>
      </c>
      <c r="B8844" t="s">
        <v>8849</v>
      </c>
      <c r="C8844">
        <f>HYPERLINK("C:\Users\franc\OneDrive\Documentos\MALENTIN KARIME\CESION\RESPALDO LUIS DIAZ\SOCIEDADES 2008\MINERA LOS CRISTALES LTD. Deleg.Facul.doc", "Abrir Documento")</f>
        <v>0</v>
      </c>
      <c r="D8844" t="s">
        <v>23500</v>
      </c>
      <c r="E8844" t="s">
        <v>31319</v>
      </c>
    </row>
    <row r="8845" spans="1:5">
      <c r="A8845" t="s">
        <v>6</v>
      </c>
      <c r="B8845" t="s">
        <v>8850</v>
      </c>
      <c r="C8845">
        <f>HYPERLINK("C:\Users\franc\OneDrive\Documentos\MALENTIN KARIME\CESION\RESPALDO LUIS DIAZ\SOCIEDADES 2008\MINERA LOS CRISTALES LTD. Cesión Extracto.doc", "Abrir Documento")</f>
        <v>0</v>
      </c>
      <c r="D8845" t="s">
        <v>23500</v>
      </c>
      <c r="E8845" t="s">
        <v>31320</v>
      </c>
    </row>
    <row r="8846" spans="1:5">
      <c r="A8846" t="s">
        <v>6</v>
      </c>
      <c r="B8846" t="s">
        <v>8851</v>
      </c>
      <c r="C8846">
        <f>HYPERLINK("C:\Users\franc\OneDrive\Documentos\MALENTIN KARIME\CESION\RESPALDO LUIS DIAZ\SOCIEDADES 2008\MINERA LARRONDO Y GODOY.doc", "Abrir Documento")</f>
        <v>0</v>
      </c>
      <c r="D8846" t="s">
        <v>23500</v>
      </c>
      <c r="E8846" t="s">
        <v>31321</v>
      </c>
    </row>
    <row r="8847" spans="1:5">
      <c r="A8847" t="s">
        <v>6</v>
      </c>
      <c r="B8847" t="s">
        <v>8852</v>
      </c>
      <c r="C8847">
        <f>HYPERLINK("C:\Users\franc\OneDrive\Documentos\MALENTIN KARIME\CESION\RESPALDO LUIS DIAZ\SOCIEDADES 2008\MINERA LARRONDO Y GODOY Ext.doc", "Abrir Documento")</f>
        <v>0</v>
      </c>
      <c r="D8847" t="s">
        <v>23500</v>
      </c>
      <c r="E8847" t="s">
        <v>31322</v>
      </c>
    </row>
    <row r="8848" spans="1:5">
      <c r="A8848" t="s">
        <v>6</v>
      </c>
      <c r="B8848" t="s">
        <v>8853</v>
      </c>
      <c r="C8848">
        <f>HYPERLINK("C:\Users\franc\OneDrive\Documentos\MALENTIN KARIME\CESION\RESPALDO LUIS DIAZ\SOCIEDADES 2008\MINERA FLOR DE MAYO Modif. Extracto.doc", "Abrir Documento")</f>
        <v>0</v>
      </c>
      <c r="D8848" t="s">
        <v>23500</v>
      </c>
      <c r="E8848" t="s">
        <v>31323</v>
      </c>
    </row>
    <row r="8849" spans="1:5">
      <c r="A8849" t="s">
        <v>6</v>
      </c>
      <c r="B8849" t="s">
        <v>8854</v>
      </c>
      <c r="C8849">
        <f>HYPERLINK("C:\Users\franc\OneDrive\Documentos\MALENTIN KARIME\CESION\RESPALDO LUIS DIAZ\SOCIEDADES 2008\MINERA FLOR DE MAYO LTDA. Modif..doc", "Abrir Documento")</f>
        <v>0</v>
      </c>
      <c r="D8849" t="s">
        <v>23500</v>
      </c>
      <c r="E8849" t="s">
        <v>31324</v>
      </c>
    </row>
    <row r="8850" spans="1:5">
      <c r="A8850" t="s">
        <v>6</v>
      </c>
      <c r="B8850" t="s">
        <v>8855</v>
      </c>
      <c r="C8850">
        <f>HYPERLINK("C:\Users\franc\OneDrive\Documentos\MALENTIN KARIME\CESION\RESPALDO LUIS DIAZ\SOCIEDADES 2008\MINERA D Y H LTDA..doc", "Abrir Documento")</f>
        <v>0</v>
      </c>
      <c r="D8850" t="s">
        <v>23500</v>
      </c>
      <c r="E8850" t="s">
        <v>31325</v>
      </c>
    </row>
    <row r="8851" spans="1:5">
      <c r="A8851" t="s">
        <v>6</v>
      </c>
      <c r="B8851" t="s">
        <v>8856</v>
      </c>
      <c r="C8851">
        <f>HYPERLINK("C:\Users\franc\OneDrive\Documentos\MALENTIN KARIME\CESION\RESPALDO LUIS DIAZ\SOCIEDADES 2008\MINERA D Y H LTDA. Extracto.doc", "Abrir Documento")</f>
        <v>0</v>
      </c>
      <c r="D8851" t="s">
        <v>23500</v>
      </c>
      <c r="E8851" t="s">
        <v>31326</v>
      </c>
    </row>
    <row r="8852" spans="1:5">
      <c r="A8852" t="s">
        <v>6</v>
      </c>
      <c r="B8852" t="s">
        <v>8857</v>
      </c>
      <c r="C8852">
        <f>HYPERLINK("C:\Users\franc\OneDrive\Documentos\MALENTIN KARIME\CESION\RESPALDO LUIS DIAZ\SOCIEDADES 2008\MINERA BUENAVENTURA Modif. Extracto.doc", "Abrir Documento")</f>
        <v>0</v>
      </c>
      <c r="D8852" t="s">
        <v>23500</v>
      </c>
      <c r="E8852" t="s">
        <v>31327</v>
      </c>
    </row>
    <row r="8853" spans="1:5">
      <c r="A8853" t="s">
        <v>6</v>
      </c>
      <c r="B8853" t="s">
        <v>8858</v>
      </c>
      <c r="C8853">
        <f>HYPERLINK("C:\Users\franc\OneDrive\Documentos\MALENTIN KARIME\CESION\RESPALDO LUIS DIAZ\SOCIEDADES 2008\MINERA BUENAVENTURA LTDA. Modif..doc", "Abrir Documento")</f>
        <v>0</v>
      </c>
      <c r="D8853" t="s">
        <v>23500</v>
      </c>
      <c r="E8853" t="s">
        <v>31328</v>
      </c>
    </row>
    <row r="8854" spans="1:5">
      <c r="A8854" t="s">
        <v>6</v>
      </c>
      <c r="B8854" t="s">
        <v>8859</v>
      </c>
      <c r="C8854">
        <f>HYPERLINK("C:\Users\franc\OneDrive\Documentos\MALENTIN KARIME\CESION\RESPALDO LUIS DIAZ\SOCIEDADES 2008\MINERA ACJ LTDA Deleg.Facul.doc", "Abrir Documento")</f>
        <v>0</v>
      </c>
      <c r="D8854" t="s">
        <v>23500</v>
      </c>
      <c r="E8854" t="s">
        <v>31329</v>
      </c>
    </row>
    <row r="8855" spans="1:5">
      <c r="A8855" t="s">
        <v>6</v>
      </c>
      <c r="B8855" t="s">
        <v>8860</v>
      </c>
      <c r="C8855">
        <f>HYPERLINK("C:\Users\franc\OneDrive\Documentos\MALENTIN KARIME\CESION\RESPALDO LUIS DIAZ\SOCIEDADES 2008\MILLWORKS CHILE.EXT.doc", "Abrir Documento")</f>
        <v>0</v>
      </c>
      <c r="D8855" t="s">
        <v>23500</v>
      </c>
      <c r="E8855" t="s">
        <v>31330</v>
      </c>
    </row>
    <row r="8856" spans="1:5">
      <c r="A8856" t="s">
        <v>6</v>
      </c>
      <c r="B8856" t="s">
        <v>8861</v>
      </c>
      <c r="C8856">
        <f>HYPERLINK("C:\Users\franc\OneDrive\Documentos\MALENTIN KARIME\CESION\RESPALDO LUIS DIAZ\SOCIEDADES 2008\MILLWORKS CHILE.doc", "Abrir Documento")</f>
        <v>0</v>
      </c>
      <c r="D8856" t="s">
        <v>23500</v>
      </c>
      <c r="E8856" t="s">
        <v>31331</v>
      </c>
    </row>
    <row r="8857" spans="1:5">
      <c r="A8857" t="s">
        <v>6</v>
      </c>
      <c r="B8857" t="s">
        <v>8862</v>
      </c>
      <c r="C8857">
        <f>HYPERLINK("C:\Users\franc\OneDrive\Documentos\MALENTIN KARIME\CESION\RESPALDO LUIS DIAZ\SOCIEDADES 2008\MERCEDES ARAYA Z. E.I.R.L..doc", "Abrir Documento")</f>
        <v>0</v>
      </c>
      <c r="D8857" t="s">
        <v>23500</v>
      </c>
      <c r="E8857" t="s">
        <v>31332</v>
      </c>
    </row>
    <row r="8858" spans="1:5">
      <c r="A8858" t="s">
        <v>6</v>
      </c>
      <c r="B8858" t="s">
        <v>8863</v>
      </c>
      <c r="C8858">
        <f>HYPERLINK("C:\Users\franc\OneDrive\Documentos\MALENTIN KARIME\CESION\RESPALDO LUIS DIAZ\SOCIEDADES 2008\MERCEDES ARAYA Z. E.I.R.L. Extracto.doc", "Abrir Documento")</f>
        <v>0</v>
      </c>
      <c r="D8858" t="s">
        <v>23500</v>
      </c>
      <c r="E8858" t="s">
        <v>31333</v>
      </c>
    </row>
    <row r="8859" spans="1:5">
      <c r="A8859" t="s">
        <v>6</v>
      </c>
      <c r="B8859" t="s">
        <v>8864</v>
      </c>
      <c r="C8859">
        <f>HYPERLINK("C:\Users\franc\OneDrive\Documentos\MALENTIN KARIME\CESION\RESPALDO LUIS DIAZ\SOCIEDADES 2008\MARIO LARRONDO E.I.R.L. Ext..doc", "Abrir Documento")</f>
        <v>0</v>
      </c>
      <c r="D8859" t="s">
        <v>23500</v>
      </c>
      <c r="E8859" t="s">
        <v>31334</v>
      </c>
    </row>
    <row r="8860" spans="1:5">
      <c r="A8860" t="s">
        <v>6</v>
      </c>
      <c r="B8860" t="s">
        <v>8865</v>
      </c>
      <c r="C8860">
        <f>HYPERLINK("C:\Users\franc\OneDrive\Documentos\MALENTIN KARIME\CESION\RESPALDO LUIS DIAZ\SOCIEDADES 2008\MARIO LARRONDO C. E.I.R.L..doc", "Abrir Documento")</f>
        <v>0</v>
      </c>
      <c r="D8860" t="s">
        <v>23500</v>
      </c>
      <c r="E8860" t="s">
        <v>31335</v>
      </c>
    </row>
    <row r="8861" spans="1:5">
      <c r="A8861" t="s">
        <v>6</v>
      </c>
      <c r="B8861" t="s">
        <v>8866</v>
      </c>
      <c r="C8861">
        <f>HYPERLINK("C:\Users\franc\OneDrive\Documentos\MALENTIN KARIME\CESION\RESPALDO LUIS DIAZ\SOCIEDADES 2008\MARIA ISABEL HERNANDEZ L.  E.I.R.L..doc", "Abrir Documento")</f>
        <v>0</v>
      </c>
      <c r="D8861" t="s">
        <v>23500</v>
      </c>
      <c r="E8861" t="s">
        <v>31336</v>
      </c>
    </row>
    <row r="8862" spans="1:5">
      <c r="A8862" t="s">
        <v>6</v>
      </c>
      <c r="B8862" t="s">
        <v>8867</v>
      </c>
      <c r="C8862">
        <f>HYPERLINK("C:\Users\franc\OneDrive\Documentos\MALENTIN KARIME\CESION\RESPALDO LUIS DIAZ\SOCIEDADES 2008\MARIA ISABEL HERNANDEZ  E.I.R.L. Extracto.doc", "Abrir Documento")</f>
        <v>0</v>
      </c>
      <c r="D8862" t="s">
        <v>23500</v>
      </c>
      <c r="E8862" t="s">
        <v>31337</v>
      </c>
    </row>
    <row r="8863" spans="1:5">
      <c r="A8863" t="s">
        <v>6</v>
      </c>
      <c r="B8863" t="s">
        <v>8868</v>
      </c>
      <c r="C8863">
        <f>HYPERLINK("C:\Users\franc\OneDrive\Documentos\MALENTIN KARIME\CESION\RESPALDO LUIS DIAZ\SOCIEDADES 2008\MARIA ELGUETA MARIN E.I.R.L. Extracto.doc", "Abrir Documento")</f>
        <v>0</v>
      </c>
      <c r="D8863" t="s">
        <v>23500</v>
      </c>
      <c r="E8863" t="s">
        <v>31338</v>
      </c>
    </row>
    <row r="8864" spans="1:5">
      <c r="A8864" t="s">
        <v>6</v>
      </c>
      <c r="B8864" t="s">
        <v>8869</v>
      </c>
      <c r="C8864">
        <f>HYPERLINK("C:\Users\franc\OneDrive\Documentos\MALENTIN KARIME\CESION\RESPALDO LUIS DIAZ\SOCIEDADES 2008\MARIA ELGUETA MARIN  E.I.R.L..doc", "Abrir Documento")</f>
        <v>0</v>
      </c>
      <c r="D8864" t="s">
        <v>23500</v>
      </c>
      <c r="E8864" t="s">
        <v>31339</v>
      </c>
    </row>
    <row r="8865" spans="1:5">
      <c r="A8865" t="s">
        <v>6</v>
      </c>
      <c r="B8865" t="s">
        <v>8870</v>
      </c>
      <c r="C8865">
        <f>HYPERLINK("C:\Users\franc\OneDrive\Documentos\MALENTIN KARIME\CESION\RESPALDO LUIS DIAZ\SOCIEDADES 2008\MARCELO GUERRERO E.I.R.L. Saneamiento.doc", "Abrir Documento")</f>
        <v>0</v>
      </c>
      <c r="D8865" t="s">
        <v>23500</v>
      </c>
      <c r="E8865" t="s">
        <v>31340</v>
      </c>
    </row>
    <row r="8866" spans="1:5">
      <c r="A8866" t="s">
        <v>6</v>
      </c>
      <c r="B8866" t="s">
        <v>8871</v>
      </c>
      <c r="C8866">
        <f>HYPERLINK("C:\Users\franc\OneDrive\Documentos\MALENTIN KARIME\CESION\RESPALDO LUIS DIAZ\SOCIEDADES 2008\MARCELO GUERRERO C. E.I.R.L..doc", "Abrir Documento")</f>
        <v>0</v>
      </c>
      <c r="D8866" t="s">
        <v>23500</v>
      </c>
      <c r="E8866" t="s">
        <v>31341</v>
      </c>
    </row>
    <row r="8867" spans="1:5">
      <c r="A8867" t="s">
        <v>6</v>
      </c>
      <c r="B8867" t="s">
        <v>8872</v>
      </c>
      <c r="C8867">
        <f>HYPERLINK("C:\Users\franc\OneDrive\Documentos\MALENTIN KARIME\CESION\RESPALDO LUIS DIAZ\SOCIEDADES 2008\MARCELO GUERRERO C. E.I.R.L. Extracto.doc", "Abrir Documento")</f>
        <v>0</v>
      </c>
      <c r="D8867" t="s">
        <v>23500</v>
      </c>
      <c r="E8867" t="s">
        <v>31342</v>
      </c>
    </row>
    <row r="8868" spans="1:5">
      <c r="A8868" t="s">
        <v>6</v>
      </c>
      <c r="B8868" t="s">
        <v>8873</v>
      </c>
      <c r="C8868">
        <f>HYPERLINK("C:\Users\franc\OneDrive\Documentos\MALENTIN KARIME\CESION\RESPALDO LUIS DIAZ\SOCIEDADES 2008\LUZMIRA GOMILA SOTO E.I.R.L..doc", "Abrir Documento")</f>
        <v>0</v>
      </c>
      <c r="D8868" t="s">
        <v>23500</v>
      </c>
      <c r="E8868" t="s">
        <v>31343</v>
      </c>
    </row>
    <row r="8869" spans="1:5">
      <c r="A8869" t="s">
        <v>6</v>
      </c>
      <c r="B8869" t="s">
        <v>8874</v>
      </c>
      <c r="C8869">
        <f>HYPERLINK("C:\Users\franc\OneDrive\Documentos\MALENTIN KARIME\CESION\RESPALDO LUIS DIAZ\SOCIEDADES 2008\LUZMIRA GOMILA SOTO E.I.R.L. Extr..doc", "Abrir Documento")</f>
        <v>0</v>
      </c>
      <c r="D8869" t="s">
        <v>23500</v>
      </c>
      <c r="E8869" t="s">
        <v>31344</v>
      </c>
    </row>
    <row r="8870" spans="1:5">
      <c r="A8870" t="s">
        <v>6</v>
      </c>
      <c r="B8870" t="s">
        <v>8875</v>
      </c>
      <c r="C8870">
        <f>HYPERLINK("C:\Users\franc\OneDrive\Documentos\MALENTIN KARIME\CESION\RESPALDO LUIS DIAZ\SOCIEDADES 2008\LUZMIRA GOMILA S. Extracto Modif..doc", "Abrir Documento")</f>
        <v>0</v>
      </c>
      <c r="D8870" t="s">
        <v>23500</v>
      </c>
      <c r="E8870" t="s">
        <v>31345</v>
      </c>
    </row>
    <row r="8871" spans="1:5">
      <c r="A8871" t="s">
        <v>6</v>
      </c>
      <c r="B8871" t="s">
        <v>8876</v>
      </c>
      <c r="C8871">
        <f>HYPERLINK("C:\Users\franc\OneDrive\Documentos\MALENTIN KARIME\CESION\RESPALDO LUIS DIAZ\SOCIEDADES 2008\LUZMIRA GOMILA S. E.I.R.L. Modif..doc", "Abrir Documento")</f>
        <v>0</v>
      </c>
      <c r="D8871" t="s">
        <v>23500</v>
      </c>
      <c r="E8871" t="s">
        <v>31346</v>
      </c>
    </row>
    <row r="8872" spans="1:5">
      <c r="A8872" t="s">
        <v>6</v>
      </c>
      <c r="B8872" t="s">
        <v>8877</v>
      </c>
      <c r="C8872">
        <f>HYPERLINK("C:\Users\franc\OneDrive\Documentos\MALENTIN KARIME\CESION\RESPALDO LUIS DIAZ\SOCIEDADES 2008\LUISA ROJAS CORTES E.I.R.L..doc", "Abrir Documento")</f>
        <v>0</v>
      </c>
      <c r="D8872" t="s">
        <v>23500</v>
      </c>
      <c r="E8872" t="s">
        <v>31347</v>
      </c>
    </row>
    <row r="8873" spans="1:5">
      <c r="A8873" t="s">
        <v>6</v>
      </c>
      <c r="B8873" t="s">
        <v>8878</v>
      </c>
      <c r="C8873">
        <f>HYPERLINK("C:\Users\franc\OneDrive\Documentos\MALENTIN KARIME\CESION\RESPALDO LUIS DIAZ\SOCIEDADES 2008\LUISA ROJAS CORTES E.I.R.L. Extracto.doc", "Abrir Documento")</f>
        <v>0</v>
      </c>
      <c r="D8873" t="s">
        <v>23500</v>
      </c>
      <c r="E8873" t="s">
        <v>31348</v>
      </c>
    </row>
    <row r="8874" spans="1:5">
      <c r="A8874" t="s">
        <v>6</v>
      </c>
      <c r="B8874" t="s">
        <v>8879</v>
      </c>
      <c r="C8874">
        <f>HYPERLINK("C:\Users\franc\OneDrive\Documentos\MALENTIN KARIME\CESION\RESPALDO LUIS DIAZ\SOCIEDADES 2008\LUIS ZEPEDA PASTEN E.I.R.L..doc", "Abrir Documento")</f>
        <v>0</v>
      </c>
      <c r="D8874" t="s">
        <v>23500</v>
      </c>
      <c r="E8874" t="s">
        <v>31349</v>
      </c>
    </row>
    <row r="8875" spans="1:5">
      <c r="A8875" t="s">
        <v>6</v>
      </c>
      <c r="B8875" t="s">
        <v>8880</v>
      </c>
      <c r="C8875">
        <f>HYPERLINK("C:\Users\franc\OneDrive\Documentos\MALENTIN KARIME\CESION\RESPALDO LUIS DIAZ\SOCIEDADES 2008\LUIS ZEPEDA P. E.I.R.L. Extracto.doc", "Abrir Documento")</f>
        <v>0</v>
      </c>
      <c r="D8875" t="s">
        <v>23500</v>
      </c>
      <c r="E8875" t="s">
        <v>31350</v>
      </c>
    </row>
    <row r="8876" spans="1:5">
      <c r="A8876" t="s">
        <v>6</v>
      </c>
      <c r="B8876" t="s">
        <v>8881</v>
      </c>
      <c r="C8876">
        <f>HYPERLINK("C:\Users\franc\OneDrive\Documentos\MALENTIN KARIME\CESION\RESPALDO LUIS DIAZ\SOCIEDADES 2008\LUIS PARRA RAMOS E.I.R.L..doc", "Abrir Documento")</f>
        <v>0</v>
      </c>
      <c r="D8876" t="s">
        <v>23500</v>
      </c>
      <c r="E8876" t="s">
        <v>31351</v>
      </c>
    </row>
    <row r="8877" spans="1:5">
      <c r="A8877" t="s">
        <v>6</v>
      </c>
      <c r="B8877" t="s">
        <v>8882</v>
      </c>
      <c r="C8877">
        <f>HYPERLINK("C:\Users\franc\OneDrive\Documentos\MALENTIN KARIME\CESION\RESPALDO LUIS DIAZ\SOCIEDADES 2008\LUIS PARRA RAMOS  E.I.R.L. Extracto.doc", "Abrir Documento")</f>
        <v>0</v>
      </c>
      <c r="D8877" t="s">
        <v>23500</v>
      </c>
      <c r="E8877" t="s">
        <v>31352</v>
      </c>
    </row>
    <row r="8878" spans="1:5">
      <c r="A8878" t="s">
        <v>6</v>
      </c>
      <c r="B8878" t="s">
        <v>8883</v>
      </c>
      <c r="C8878">
        <f>HYPERLINK("C:\Users\franc\OneDrive\Documentos\MALENTIN KARIME\CESION\RESPALDO LUIS DIAZ\SOCIEDADES 2008\LUIS AREYUNA E.I.R.L. Extracto Saneam..doc", "Abrir Documento")</f>
        <v>0</v>
      </c>
      <c r="D8878" t="s">
        <v>23500</v>
      </c>
      <c r="E8878" t="s">
        <v>31353</v>
      </c>
    </row>
    <row r="8879" spans="1:5">
      <c r="A8879" t="s">
        <v>6</v>
      </c>
      <c r="B8879" t="s">
        <v>8884</v>
      </c>
      <c r="C8879">
        <f>HYPERLINK("C:\Users\franc\OneDrive\Documentos\MALENTIN KARIME\CESION\RESPALDO LUIS DIAZ\SOCIEDADES 2008\LOS TILOS. Extracto.doc", "Abrir Documento")</f>
        <v>0</v>
      </c>
      <c r="D8879" t="s">
        <v>23500</v>
      </c>
      <c r="E8879" t="s">
        <v>31354</v>
      </c>
    </row>
    <row r="8880" spans="1:5">
      <c r="A8880" t="s">
        <v>6</v>
      </c>
      <c r="B8880" t="s">
        <v>8885</v>
      </c>
      <c r="C8880">
        <f>HYPERLINK("C:\Users\franc\OneDrive\Documentos\MALENTIN KARIME\CESION\RESPALDO LUIS DIAZ\SOCIEDADES 2008\LOS SAUSALES. Extracto.doc", "Abrir Documento")</f>
        <v>0</v>
      </c>
      <c r="D8880" t="s">
        <v>23500</v>
      </c>
      <c r="E8880" t="s">
        <v>31355</v>
      </c>
    </row>
    <row r="8881" spans="1:5">
      <c r="A8881" t="s">
        <v>6</v>
      </c>
      <c r="B8881" t="s">
        <v>8886</v>
      </c>
      <c r="C8881">
        <f>HYPERLINK("C:\Users\franc\OneDrive\Documentos\MALENTIN KARIME\CESION\RESPALDO LUIS DIAZ\SOCIEDADES 2008\LIMARI TRADING S.A. Extracto.doc", "Abrir Documento")</f>
        <v>0</v>
      </c>
      <c r="D8881" t="s">
        <v>23500</v>
      </c>
      <c r="E8881" t="s">
        <v>31356</v>
      </c>
    </row>
    <row r="8882" spans="1:5">
      <c r="A8882" t="s">
        <v>6</v>
      </c>
      <c r="B8882" t="s">
        <v>8887</v>
      </c>
      <c r="C8882">
        <f>HYPERLINK("C:\Users\franc\OneDrive\Documentos\MALENTIN KARIME\CESION\RESPALDO LUIS DIAZ\SOCIEDADES 2008\LIMARI TRADING S.A. Ces. y Mod..doc", "Abrir Documento")</f>
        <v>0</v>
      </c>
      <c r="D8882" t="s">
        <v>23500</v>
      </c>
      <c r="E8882" t="s">
        <v>31357</v>
      </c>
    </row>
    <row r="8883" spans="1:5">
      <c r="A8883" t="s">
        <v>6</v>
      </c>
      <c r="B8883" t="s">
        <v>8888</v>
      </c>
      <c r="C8883">
        <f>HYPERLINK("C:\Users\franc\OneDrive\Documentos\MALENTIN KARIME\CESION\RESPALDO LUIS DIAZ\SOCIEDADES 2008\LIMARI CAPACITA LTDA. Modificación.doc", "Abrir Documento")</f>
        <v>0</v>
      </c>
      <c r="D8883" t="s">
        <v>23500</v>
      </c>
      <c r="E8883" t="s">
        <v>31358</v>
      </c>
    </row>
    <row r="8884" spans="1:5">
      <c r="A8884" t="s">
        <v>6</v>
      </c>
      <c r="B8884" t="s">
        <v>8889</v>
      </c>
      <c r="C8884">
        <f>HYPERLINK("C:\Users\franc\OneDrive\Documentos\MALENTIN KARIME\CESION\RESPALDO LUIS DIAZ\SOCIEDADES 2008\LEONARDO VELIZ E.I.R.L..doc", "Abrir Documento")</f>
        <v>0</v>
      </c>
      <c r="D8884" t="s">
        <v>23500</v>
      </c>
      <c r="E8884" t="s">
        <v>31359</v>
      </c>
    </row>
    <row r="8885" spans="1:5">
      <c r="A8885" t="s">
        <v>6</v>
      </c>
      <c r="B8885" t="s">
        <v>8890</v>
      </c>
      <c r="C8885">
        <f>HYPERLINK("C:\Users\franc\OneDrive\Documentos\MALENTIN KARIME\CESION\RESPALDO LUIS DIAZ\SOCIEDADES 2008\LEONARDO VELIZ E.I.R.L. Extracto.doc", "Abrir Documento")</f>
        <v>0</v>
      </c>
      <c r="D8885" t="s">
        <v>23500</v>
      </c>
      <c r="E8885" t="s">
        <v>31360</v>
      </c>
    </row>
    <row r="8886" spans="1:5">
      <c r="A8886" t="s">
        <v>6</v>
      </c>
      <c r="B8886" t="s">
        <v>8891</v>
      </c>
      <c r="C8886">
        <f>HYPERLINK("C:\Users\franc\OneDrive\Documentos\MALENTIN KARIME\CESION\RESPALDO LUIS DIAZ\SOCIEDADES 2008\LAS PLACAS.MOD.doc", "Abrir Documento")</f>
        <v>0</v>
      </c>
      <c r="D8886" t="s">
        <v>23500</v>
      </c>
      <c r="E8886" t="s">
        <v>31361</v>
      </c>
    </row>
    <row r="8887" spans="1:5">
      <c r="A8887" t="s">
        <v>6</v>
      </c>
      <c r="B8887" t="s">
        <v>8892</v>
      </c>
      <c r="C8887">
        <f>HYPERLINK("C:\Users\franc\OneDrive\Documentos\MALENTIN KARIME\CESION\RESPALDO LUIS DIAZ\SOCIEDADES 2008\LAS PLACAS.EXT.doc", "Abrir Documento")</f>
        <v>0</v>
      </c>
      <c r="D8887" t="s">
        <v>23500</v>
      </c>
      <c r="E8887" t="s">
        <v>31362</v>
      </c>
    </row>
    <row r="8888" spans="1:5">
      <c r="A8888" t="s">
        <v>6</v>
      </c>
      <c r="B8888" t="s">
        <v>8893</v>
      </c>
      <c r="C8888">
        <f>HYPERLINK("C:\Users\franc\OneDrive\Documentos\MALENTIN KARIME\CESION\RESPALDO LUIS DIAZ\SOCIEDADES 2008\LAS PALOMAS LTDA. Extracto.doc", "Abrir Documento")</f>
        <v>0</v>
      </c>
      <c r="D8888" t="s">
        <v>23500</v>
      </c>
      <c r="E8888" t="s">
        <v>31363</v>
      </c>
    </row>
    <row r="8889" spans="1:5">
      <c r="A8889" t="s">
        <v>6</v>
      </c>
      <c r="B8889" t="s">
        <v>8894</v>
      </c>
      <c r="C8889">
        <f>HYPERLINK("C:\Users\franc\OneDrive\Documentos\MALENTIN KARIME\CESION\RESPALDO LUIS DIAZ\SOCIEDADES 2008\LA EST. HUALLILLINGA S.A. Restit. Aportes.doc", "Abrir Documento")</f>
        <v>0</v>
      </c>
      <c r="D8889" t="s">
        <v>23500</v>
      </c>
      <c r="E8889" t="s">
        <v>31364</v>
      </c>
    </row>
    <row r="8890" spans="1:5">
      <c r="A8890" t="s">
        <v>6</v>
      </c>
      <c r="B8890" t="s">
        <v>8895</v>
      </c>
      <c r="C8890">
        <f>HYPERLINK("C:\Users\franc\OneDrive\Documentos\MALENTIN KARIME\CESION\RESPALDO LUIS DIAZ\SOCIEDADES 2008\LA EST. HUALLILLINGA S.A. Rest. Aportes.doc", "Abrir Documento")</f>
        <v>0</v>
      </c>
      <c r="D8890" t="s">
        <v>23500</v>
      </c>
      <c r="E8890" t="s">
        <v>31365</v>
      </c>
    </row>
    <row r="8891" spans="1:5">
      <c r="A8891" t="s">
        <v>6</v>
      </c>
      <c r="B8891" t="s">
        <v>8896</v>
      </c>
      <c r="C8891">
        <f>HYPERLINK("C:\Users\franc\OneDrive\Documentos\MALENTIN KARIME\CESION\RESPALDO LUIS DIAZ\SOCIEDADES 2008\LA EST. HUALLILLINGA S.A. Aportes Borrador.doc", "Abrir Documento")</f>
        <v>0</v>
      </c>
      <c r="D8891" t="s">
        <v>23500</v>
      </c>
      <c r="E8891" t="s">
        <v>31366</v>
      </c>
    </row>
    <row r="8892" spans="1:5">
      <c r="A8892" t="s">
        <v>6</v>
      </c>
      <c r="B8892" t="s">
        <v>8897</v>
      </c>
      <c r="C8892">
        <f>HYPERLINK("C:\Users\franc\OneDrive\Documentos\MALENTIN KARIME\CESION\RESPALDO LUIS DIAZ\SOCIEDADES 2008\JUAN PIZARRO LEON E.I.R.L. Minera.doc", "Abrir Documento")</f>
        <v>0</v>
      </c>
      <c r="D8892" t="s">
        <v>23500</v>
      </c>
      <c r="E8892" t="s">
        <v>31367</v>
      </c>
    </row>
    <row r="8893" spans="1:5">
      <c r="A8893" t="s">
        <v>6</v>
      </c>
      <c r="B8893" t="s">
        <v>8898</v>
      </c>
      <c r="C8893">
        <f>HYPERLINK("C:\Users\franc\OneDrive\Documentos\MALENTIN KARIME\CESION\RESPALDO LUIS DIAZ\SOCIEDADES 2008\JUAN PIZARRO LEON E.I.R.L. Extracto.doc", "Abrir Documento")</f>
        <v>0</v>
      </c>
      <c r="D8893" t="s">
        <v>23500</v>
      </c>
      <c r="E8893" t="s">
        <v>31368</v>
      </c>
    </row>
    <row r="8894" spans="1:5">
      <c r="A8894" t="s">
        <v>6</v>
      </c>
      <c r="B8894" t="s">
        <v>8899</v>
      </c>
      <c r="C8894">
        <f>HYPERLINK("C:\Users\franc\OneDrive\Documentos\MALENTIN KARIME\CESION\RESPALDO LUIS DIAZ\SOCIEDADES 2008\JORGE FIGUEROA Y CIA. Mod. Adm. y Razón S..doc", "Abrir Documento")</f>
        <v>0</v>
      </c>
      <c r="D8894" t="s">
        <v>23500</v>
      </c>
      <c r="E8894" t="s">
        <v>31369</v>
      </c>
    </row>
    <row r="8895" spans="1:5">
      <c r="A8895" t="s">
        <v>6</v>
      </c>
      <c r="B8895" t="s">
        <v>8900</v>
      </c>
      <c r="C8895">
        <f>HYPERLINK("C:\Users\franc\OneDrive\Documentos\MALENTIN KARIME\CESION\RESPALDO LUIS DIAZ\SOCIEDADES 2008\jorge figueroa y cia. Extracto.doc", "Abrir Documento")</f>
        <v>0</v>
      </c>
      <c r="D8895" t="s">
        <v>23500</v>
      </c>
      <c r="E8895" t="s">
        <v>31370</v>
      </c>
    </row>
    <row r="8896" spans="1:5">
      <c r="A8896" t="s">
        <v>6</v>
      </c>
      <c r="B8896" t="s">
        <v>8901</v>
      </c>
      <c r="C8896">
        <f>HYPERLINK("C:\Users\franc\OneDrive\Documentos\MALENTIN KARIME\CESION\RESPALDO LUIS DIAZ\SOCIEDADES 2008\JORGE CUEVAS E.I.R.L. Ext..doc", "Abrir Documento")</f>
        <v>0</v>
      </c>
      <c r="D8896" t="s">
        <v>23500</v>
      </c>
      <c r="E8896" t="s">
        <v>31371</v>
      </c>
    </row>
    <row r="8897" spans="1:5">
      <c r="A8897" t="s">
        <v>6</v>
      </c>
      <c r="B8897" t="s">
        <v>8902</v>
      </c>
      <c r="C8897">
        <f>HYPERLINK("C:\Users\franc\OneDrive\Documentos\MALENTIN KARIME\CESION\RESPALDO LUIS DIAZ\SOCIEDADES 2008\JORGE CUEVAS CORDOVA E.I.R.L..doc", "Abrir Documento")</f>
        <v>0</v>
      </c>
      <c r="D8897" t="s">
        <v>23500</v>
      </c>
      <c r="E8897" t="s">
        <v>31372</v>
      </c>
    </row>
    <row r="8898" spans="1:5">
      <c r="A8898" t="s">
        <v>6</v>
      </c>
      <c r="B8898" t="s">
        <v>8903</v>
      </c>
      <c r="C8898">
        <f>HYPERLINK("C:\Users\franc\OneDrive\Documentos\MALENTIN KARIME\CESION\RESPALDO LUIS DIAZ\SOCIEDADES 2008\JORGE CUEVAS C. E.I.R.L. Rectif..doc", "Abrir Documento")</f>
        <v>0</v>
      </c>
      <c r="D8898" t="s">
        <v>23500</v>
      </c>
      <c r="E8898" t="s">
        <v>31373</v>
      </c>
    </row>
    <row r="8899" spans="1:5">
      <c r="A8899" t="s">
        <v>6</v>
      </c>
      <c r="B8899" t="s">
        <v>8904</v>
      </c>
      <c r="C8899">
        <f>HYPERLINK("C:\Users\franc\OneDrive\Documentos\MALENTIN KARIME\CESION\RESPALDO LUIS DIAZ\SOCIEDADES 2008\JORGE CUEVAS C. E.I.R.L. Modelo Rectif..doc", "Abrir Documento")</f>
        <v>0</v>
      </c>
      <c r="D8899" t="s">
        <v>23500</v>
      </c>
      <c r="E8899" t="s">
        <v>31374</v>
      </c>
    </row>
    <row r="8900" spans="1:5">
      <c r="A8900" t="s">
        <v>6</v>
      </c>
      <c r="B8900" t="s">
        <v>8905</v>
      </c>
      <c r="C8900">
        <f>HYPERLINK("C:\Users\franc\OneDrive\Documentos\MALENTIN KARIME\CESION\RESPALDO LUIS DIAZ\SOCIEDADES 2008\JORGE CUEVAS C. E.I.R.L. Mod.Extr..doc", "Abrir Documento")</f>
        <v>0</v>
      </c>
      <c r="D8900" t="s">
        <v>23500</v>
      </c>
      <c r="E8900" t="s">
        <v>31375</v>
      </c>
    </row>
    <row r="8901" spans="1:5">
      <c r="A8901" t="s">
        <v>6</v>
      </c>
      <c r="B8901" t="s">
        <v>8906</v>
      </c>
      <c r="C8901">
        <f>HYPERLINK("C:\Users\franc\OneDrive\Documentos\MALENTIN KARIME\CESION\RESPALDO LUIS DIAZ\SOCIEDADES 2008\JOHANNA ALIAGA E.I.R.L..doc", "Abrir Documento")</f>
        <v>0</v>
      </c>
      <c r="D8901" t="s">
        <v>23500</v>
      </c>
      <c r="E8901" t="s">
        <v>31376</v>
      </c>
    </row>
    <row r="8902" spans="1:5">
      <c r="A8902" t="s">
        <v>6</v>
      </c>
      <c r="B8902" t="s">
        <v>8907</v>
      </c>
      <c r="C8902">
        <f>HYPERLINK("C:\Users\franc\OneDrive\Documentos\MALENTIN KARIME\CESION\RESPALDO LUIS DIAZ\SOCIEDADES 2008\JOHANNA ALIAGA E.I.R.L. Extracto.doc", "Abrir Documento")</f>
        <v>0</v>
      </c>
      <c r="D8902" t="s">
        <v>23500</v>
      </c>
      <c r="E8902" t="s">
        <v>31377</v>
      </c>
    </row>
    <row r="8903" spans="1:5">
      <c r="A8903" t="s">
        <v>6</v>
      </c>
      <c r="B8903" t="s">
        <v>8908</v>
      </c>
      <c r="C8903">
        <f>HYPERLINK("C:\Users\franc\OneDrive\Documentos\MALENTIN KARIME\CESION\RESPALDO LUIS DIAZ\SOCIEDADES 2008\JIMENEZ &amp; JIMENEZ LTDA..doc", "Abrir Documento")</f>
        <v>0</v>
      </c>
      <c r="D8903" t="s">
        <v>23500</v>
      </c>
      <c r="E8903" t="s">
        <v>31378</v>
      </c>
    </row>
    <row r="8904" spans="1:5">
      <c r="A8904" t="s">
        <v>6</v>
      </c>
      <c r="B8904" t="s">
        <v>8909</v>
      </c>
      <c r="C8904">
        <f>HYPERLINK("C:\Users\franc\OneDrive\Documentos\MALENTIN KARIME\CESION\RESPALDO LUIS DIAZ\SOCIEDADES 2008\JIMENEZ &amp; JIMENEZ LTDA. Extracto.doc", "Abrir Documento")</f>
        <v>0</v>
      </c>
      <c r="D8904" t="s">
        <v>23500</v>
      </c>
      <c r="E8904" t="s">
        <v>31379</v>
      </c>
    </row>
    <row r="8905" spans="1:5">
      <c r="A8905" t="s">
        <v>6</v>
      </c>
      <c r="B8905" t="s">
        <v>8910</v>
      </c>
      <c r="C8905">
        <f>HYPERLINK("C:\Users\franc\OneDrive\Documentos\MALENTIN KARIME\CESION\RESPALDO LUIS DIAZ\SOCIEDADES 2008\JG SEGURIDAD Y CIA..doc", "Abrir Documento")</f>
        <v>0</v>
      </c>
      <c r="D8905" t="s">
        <v>23500</v>
      </c>
      <c r="E8905" t="s">
        <v>31380</v>
      </c>
    </row>
    <row r="8906" spans="1:5">
      <c r="A8906" t="s">
        <v>6</v>
      </c>
      <c r="B8906" t="s">
        <v>8911</v>
      </c>
      <c r="C8906">
        <f>HYPERLINK("C:\Users\franc\OneDrive\Documentos\MALENTIN KARIME\CESION\RESPALDO LUIS DIAZ\SOCIEDADES 2008\JG SEGURIDAD Y CIA.  Extracto.doc", "Abrir Documento")</f>
        <v>0</v>
      </c>
      <c r="D8906" t="s">
        <v>23500</v>
      </c>
      <c r="E8906" t="s">
        <v>31381</v>
      </c>
    </row>
    <row r="8907" spans="1:5">
      <c r="A8907" t="s">
        <v>6</v>
      </c>
      <c r="B8907" t="s">
        <v>8912</v>
      </c>
      <c r="C8907">
        <f>HYPERLINK("C:\Users\franc\OneDrive\Documentos\MALENTIN KARIME\CESION\RESPALDO LUIS DIAZ\SOCIEDADES 2008\JEANETTE GIANZO E.R.I.L..doc", "Abrir Documento")</f>
        <v>0</v>
      </c>
      <c r="D8907" t="s">
        <v>23500</v>
      </c>
      <c r="E8907" t="s">
        <v>31382</v>
      </c>
    </row>
    <row r="8908" spans="1:5">
      <c r="A8908" t="s">
        <v>6</v>
      </c>
      <c r="B8908" t="s">
        <v>8913</v>
      </c>
      <c r="C8908">
        <f>HYPERLINK("C:\Users\franc\OneDrive\Documentos\MALENTIN KARIME\CESION\RESPALDO LUIS DIAZ\SOCIEDADES 2008\JEANETTE GIANZO E.I.R.L. Extracto.doc", "Abrir Documento")</f>
        <v>0</v>
      </c>
      <c r="D8908" t="s">
        <v>23500</v>
      </c>
      <c r="E8908" t="s">
        <v>31383</v>
      </c>
    </row>
    <row r="8909" spans="1:5">
      <c r="A8909" t="s">
        <v>6</v>
      </c>
      <c r="B8909" t="s">
        <v>8914</v>
      </c>
      <c r="C8909">
        <f>HYPERLINK("C:\Users\franc\OneDrive\Documentos\MALENTIN KARIME\CESION\RESPALDO LUIS DIAZ\SOCIEDADES 2008\IVAN OLIVARES GOMEZ E.R.I.L..doc", "Abrir Documento")</f>
        <v>0</v>
      </c>
      <c r="D8909" t="s">
        <v>23500</v>
      </c>
      <c r="E8909" t="s">
        <v>31384</v>
      </c>
    </row>
    <row r="8910" spans="1:5">
      <c r="A8910" t="s">
        <v>6</v>
      </c>
      <c r="B8910" t="s">
        <v>8915</v>
      </c>
      <c r="C8910">
        <f>HYPERLINK("C:\Users\franc\OneDrive\Documentos\MALENTIN KARIME\CESION\RESPALDO LUIS DIAZ\SOCIEDADES 2008\IVAN OLIVARES GOMEZ E.R.I.L. Extracto.doc", "Abrir Documento")</f>
        <v>0</v>
      </c>
      <c r="D8910" t="s">
        <v>23500</v>
      </c>
      <c r="E8910" t="s">
        <v>31385</v>
      </c>
    </row>
    <row r="8911" spans="1:5">
      <c r="A8911" t="s">
        <v>6</v>
      </c>
      <c r="B8911" t="s">
        <v>8916</v>
      </c>
      <c r="C8911">
        <f>HYPERLINK("C:\Users\franc\OneDrive\Documentos\MALENTIN KARIME\CESION\RESPALDO LUIS DIAZ\SOCIEDADES 2008\IVAN OLIVARES GOMEZ E.R.I.L. Corretaje.doc", "Abrir Documento")</f>
        <v>0</v>
      </c>
      <c r="D8911" t="s">
        <v>23500</v>
      </c>
      <c r="E8911" t="s">
        <v>31386</v>
      </c>
    </row>
    <row r="8912" spans="1:5">
      <c r="A8912" t="s">
        <v>6</v>
      </c>
      <c r="B8912" t="s">
        <v>8917</v>
      </c>
      <c r="C8912">
        <f>HYPERLINK("C:\Users\franc\OneDrive\Documentos\MALENTIN KARIME\CESION\RESPALDO LUIS DIAZ\SOCIEDADES 2008\IVAN OLIVARES G. E.R.I.L. Corretaje Extracto.doc", "Abrir Documento")</f>
        <v>0</v>
      </c>
      <c r="D8912" t="s">
        <v>23500</v>
      </c>
      <c r="E8912" t="s">
        <v>31387</v>
      </c>
    </row>
    <row r="8913" spans="1:5">
      <c r="A8913" t="s">
        <v>6</v>
      </c>
      <c r="B8913" t="s">
        <v>8918</v>
      </c>
      <c r="C8913">
        <f>HYPERLINK("C:\Users\franc\OneDrive\Documentos\MALENTIN KARIME\CESION\RESPALDO LUIS DIAZ\SOCIEDADES 2008\ISKRA CAPACITACION.doc", "Abrir Documento")</f>
        <v>0</v>
      </c>
      <c r="D8913" t="s">
        <v>23500</v>
      </c>
      <c r="E8913" t="s">
        <v>31388</v>
      </c>
    </row>
    <row r="8914" spans="1:5">
      <c r="A8914" t="s">
        <v>6</v>
      </c>
      <c r="B8914" t="s">
        <v>8919</v>
      </c>
      <c r="C8914">
        <f>HYPERLINK("C:\Users\franc\OneDrive\Documentos\MALENTIN KARIME\CESION\RESPALDO LUIS DIAZ\SOCIEDADES 2008\ISKRA CAPACITACION. Modif. Extr..doc", "Abrir Documento")</f>
        <v>0</v>
      </c>
      <c r="D8914" t="s">
        <v>23500</v>
      </c>
      <c r="E8914" t="s">
        <v>31389</v>
      </c>
    </row>
    <row r="8915" spans="1:5">
      <c r="A8915" t="s">
        <v>6</v>
      </c>
      <c r="B8915" t="s">
        <v>8920</v>
      </c>
      <c r="C8915">
        <f>HYPERLINK("C:\Users\franc\OneDrive\Documentos\MALENTIN KARIME\CESION\RESPALDO LUIS DIAZ\SOCIEDADES 2008\ISKRA CAPACITACION. Extr..doc", "Abrir Documento")</f>
        <v>0</v>
      </c>
      <c r="D8915" t="s">
        <v>23500</v>
      </c>
      <c r="E8915" t="s">
        <v>31390</v>
      </c>
    </row>
    <row r="8916" spans="1:5">
      <c r="A8916" t="s">
        <v>6</v>
      </c>
      <c r="B8916" t="s">
        <v>8921</v>
      </c>
      <c r="C8916">
        <f>HYPERLINK("C:\Users\franc\OneDrive\Documentos\MALENTIN KARIME\CESION\RESPALDO LUIS DIAZ\SOCIEDADES 2008\ISKRA CAPACITACION Modifica Objeto.doc", "Abrir Documento")</f>
        <v>0</v>
      </c>
      <c r="D8916" t="s">
        <v>23500</v>
      </c>
      <c r="E8916" t="s">
        <v>31391</v>
      </c>
    </row>
    <row r="8917" spans="1:5">
      <c r="A8917" t="s">
        <v>6</v>
      </c>
      <c r="B8917" t="s">
        <v>8922</v>
      </c>
      <c r="C8917">
        <f>HYPERLINK("C:\Users\franc\OneDrive\Documentos\MALENTIN KARIME\CESION\RESPALDO LUIS DIAZ\SOCIEDADES 2008\INVERSIONES TALMAT SpA.doc", "Abrir Documento")</f>
        <v>0</v>
      </c>
      <c r="D8917" t="s">
        <v>23500</v>
      </c>
      <c r="E8917" t="s">
        <v>31392</v>
      </c>
    </row>
    <row r="8918" spans="1:5">
      <c r="A8918" t="s">
        <v>6</v>
      </c>
      <c r="B8918" t="s">
        <v>8923</v>
      </c>
      <c r="C8918">
        <f>HYPERLINK("C:\Users\franc\OneDrive\Documentos\MALENTIN KARIME\CESION\RESPALDO LUIS DIAZ\SOCIEDADES 2008\INVERSIONES TALMAT SpA Extracto.doc", "Abrir Documento")</f>
        <v>0</v>
      </c>
      <c r="D8918" t="s">
        <v>23500</v>
      </c>
      <c r="E8918" t="s">
        <v>31393</v>
      </c>
    </row>
    <row r="8919" spans="1:5">
      <c r="A8919" t="s">
        <v>6</v>
      </c>
      <c r="B8919" t="s">
        <v>8924</v>
      </c>
      <c r="C8919">
        <f>HYPERLINK("C:\Users\franc\OneDrive\Documentos\MALENTIN KARIME\CESION\RESPALDO LUIS DIAZ\SOCIEDADES 2008\INVERSIONES SAN ANDRES LTDA..doc", "Abrir Documento")</f>
        <v>0</v>
      </c>
      <c r="D8919" t="s">
        <v>23500</v>
      </c>
      <c r="E8919" t="s">
        <v>31394</v>
      </c>
    </row>
    <row r="8920" spans="1:5">
      <c r="A8920" t="s">
        <v>6</v>
      </c>
      <c r="B8920" t="s">
        <v>8925</v>
      </c>
      <c r="C8920">
        <f>HYPERLINK("C:\Users\franc\OneDrive\Documentos\MALENTIN KARIME\CESION\RESPALDO LUIS DIAZ\SOCIEDADES 2008\INVERSIONES AURA SpA.doc", "Abrir Documento")</f>
        <v>0</v>
      </c>
      <c r="D8920" t="s">
        <v>23500</v>
      </c>
      <c r="E8920" t="s">
        <v>31395</v>
      </c>
    </row>
    <row r="8921" spans="1:5">
      <c r="A8921" t="s">
        <v>6</v>
      </c>
      <c r="B8921" t="s">
        <v>8926</v>
      </c>
      <c r="C8921">
        <f>HYPERLINK("C:\Users\franc\OneDrive\Documentos\MALENTIN KARIME\CESION\RESPALDO LUIS DIAZ\SOCIEDADES 2008\INVERSIONES AURA SpA Extracto.doc", "Abrir Documento")</f>
        <v>0</v>
      </c>
      <c r="D8921" t="s">
        <v>23500</v>
      </c>
      <c r="E8921" t="s">
        <v>31396</v>
      </c>
    </row>
    <row r="8922" spans="1:5">
      <c r="A8922" t="s">
        <v>6</v>
      </c>
      <c r="B8922" t="s">
        <v>8927</v>
      </c>
      <c r="C8922">
        <f>HYPERLINK("C:\Users\franc\OneDrive\Documentos\MALENTIN KARIME\CESION\RESPALDO LUIS DIAZ\SOCIEDADES 2008\INVERS. SAN ANDRES LTDA. Extracto.doc", "Abrir Documento")</f>
        <v>0</v>
      </c>
      <c r="D8922" t="s">
        <v>23500</v>
      </c>
      <c r="E8922" t="s">
        <v>31397</v>
      </c>
    </row>
    <row r="8923" spans="1:5">
      <c r="A8923" t="s">
        <v>6</v>
      </c>
      <c r="B8923" t="s">
        <v>8928</v>
      </c>
      <c r="C8923">
        <f>HYPERLINK("C:\Users\franc\OneDrive\Documentos\MALENTIN KARIME\CESION\RESPALDO LUIS DIAZ\SOCIEDADES 2008\INVERS. NUEVA GENERACION LTDA..doc", "Abrir Documento")</f>
        <v>0</v>
      </c>
      <c r="D8923" t="s">
        <v>23500</v>
      </c>
      <c r="E8923" t="s">
        <v>31398</v>
      </c>
    </row>
    <row r="8924" spans="1:5">
      <c r="A8924" t="s">
        <v>6</v>
      </c>
      <c r="B8924" t="s">
        <v>8929</v>
      </c>
      <c r="C8924">
        <f>HYPERLINK("C:\Users\franc\OneDrive\Documentos\MALENTIN KARIME\CESION\RESPALDO LUIS DIAZ\SOCIEDADES 2008\INVERS. NUEVA GENERACION LT. Extracto.doc", "Abrir Documento")</f>
        <v>0</v>
      </c>
      <c r="D8924" t="s">
        <v>23500</v>
      </c>
      <c r="E8924" t="s">
        <v>31399</v>
      </c>
    </row>
    <row r="8925" spans="1:5">
      <c r="A8925" t="s">
        <v>6</v>
      </c>
      <c r="B8925" t="s">
        <v>8930</v>
      </c>
      <c r="C8925">
        <f>HYPERLINK("C:\Users\franc\OneDrive\Documentos\MALENTIN KARIME\CESION\RESPALDO LUIS DIAZ\SOCIEDADES 2008\INVERS. MARTINAC LTDA. Deleg.Facul..doc", "Abrir Documento")</f>
        <v>0</v>
      </c>
      <c r="D8925" t="s">
        <v>23500</v>
      </c>
      <c r="E8925" t="s">
        <v>31400</v>
      </c>
    </row>
    <row r="8926" spans="1:5">
      <c r="A8926" t="s">
        <v>6</v>
      </c>
      <c r="B8926" t="s">
        <v>8931</v>
      </c>
      <c r="C8926">
        <f>HYPERLINK("C:\Users\franc\OneDrive\Documentos\MALENTIN KARIME\CESION\RESPALDO LUIS DIAZ\SOCIEDADES 2008\INVERS. MARTINAC LTD. Deleg.Facul..doc", "Abrir Documento")</f>
        <v>0</v>
      </c>
      <c r="D8926" t="s">
        <v>23500</v>
      </c>
      <c r="E8926" t="s">
        <v>31401</v>
      </c>
    </row>
    <row r="8927" spans="1:5">
      <c r="A8927" t="s">
        <v>6</v>
      </c>
      <c r="B8927" t="s">
        <v>8932</v>
      </c>
      <c r="C8927">
        <f>HYPERLINK("C:\Users\franc\OneDrive\Documentos\MALENTIN KARIME\CESION\RESPALDO LUIS DIAZ\SOCIEDADES 2008\INVERS. LOS ABETOS LTDA. Modif. EXTRACTO.doc", "Abrir Documento")</f>
        <v>0</v>
      </c>
      <c r="D8927" t="s">
        <v>23500</v>
      </c>
      <c r="E8927" t="s">
        <v>31402</v>
      </c>
    </row>
    <row r="8928" spans="1:5">
      <c r="A8928" t="s">
        <v>6</v>
      </c>
      <c r="B8928" t="s">
        <v>8933</v>
      </c>
      <c r="C8928">
        <f>HYPERLINK("C:\Users\franc\OneDrive\Documentos\MALENTIN KARIME\CESION\RESPALDO LUIS DIAZ\SOCIEDADES 2008\INVERS. LOS ABETOS LTDA. Ces. y Mod..doc", "Abrir Documento")</f>
        <v>0</v>
      </c>
      <c r="D8928" t="s">
        <v>23500</v>
      </c>
      <c r="E8928" t="s">
        <v>31403</v>
      </c>
    </row>
    <row r="8929" spans="1:5">
      <c r="A8929" t="s">
        <v>6</v>
      </c>
      <c r="B8929" t="s">
        <v>8934</v>
      </c>
      <c r="C8929">
        <f>HYPERLINK("C:\Users\franc\OneDrive\Documentos\MALENTIN KARIME\CESION\RESPALDO LUIS DIAZ\SOCIEDADES 2008\INVERS. G DOS S.A. Modific..doc", "Abrir Documento")</f>
        <v>0</v>
      </c>
      <c r="D8929" t="s">
        <v>23500</v>
      </c>
      <c r="E8929" t="s">
        <v>31404</v>
      </c>
    </row>
    <row r="8930" spans="1:5">
      <c r="A8930" t="s">
        <v>6</v>
      </c>
      <c r="B8930" t="s">
        <v>8935</v>
      </c>
      <c r="C8930">
        <f>HYPERLINK("C:\Users\franc\OneDrive\Documentos\MALENTIN KARIME\CESION\RESPALDO LUIS DIAZ\SOCIEDADES 2008\INVERS. G DOS S.A. Mod. Extracto.doc", "Abrir Documento")</f>
        <v>0</v>
      </c>
      <c r="D8930" t="s">
        <v>23500</v>
      </c>
      <c r="E8930" t="s">
        <v>31405</v>
      </c>
    </row>
    <row r="8931" spans="1:5">
      <c r="A8931" t="s">
        <v>6</v>
      </c>
      <c r="B8931" t="s">
        <v>8936</v>
      </c>
      <c r="C8931">
        <f>HYPERLINK("C:\Users\franc\OneDrive\Documentos\MALENTIN KARIME\CESION\RESPALDO LUIS DIAZ\SOCIEDADES 2008\INVERS. DMO Extracto.doc", "Abrir Documento")</f>
        <v>0</v>
      </c>
      <c r="D8931" t="s">
        <v>23500</v>
      </c>
      <c r="E8931" t="s">
        <v>31406</v>
      </c>
    </row>
    <row r="8932" spans="1:5">
      <c r="A8932" t="s">
        <v>6</v>
      </c>
      <c r="B8932" t="s">
        <v>8937</v>
      </c>
      <c r="C8932">
        <f>HYPERLINK("C:\Users\franc\OneDrive\Documentos\MALENTIN KARIME\CESION\RESPALDO LUIS DIAZ\SOCIEDADES 2008\INPROCOL LTDA. Modif..doc", "Abrir Documento")</f>
        <v>0</v>
      </c>
      <c r="D8932" t="s">
        <v>23500</v>
      </c>
      <c r="E8932" t="s">
        <v>31407</v>
      </c>
    </row>
    <row r="8933" spans="1:5">
      <c r="A8933" t="s">
        <v>6</v>
      </c>
      <c r="B8933" t="s">
        <v>8938</v>
      </c>
      <c r="C8933">
        <f>HYPERLINK("C:\Users\franc\OneDrive\Documentos\MALENTIN KARIME\CESION\RESPALDO LUIS DIAZ\SOCIEDADES 2008\INPROCOL LTDA. Mod. Extracto.doc", "Abrir Documento")</f>
        <v>0</v>
      </c>
      <c r="D8933" t="s">
        <v>23500</v>
      </c>
      <c r="E8933" t="s">
        <v>31408</v>
      </c>
    </row>
    <row r="8934" spans="1:5">
      <c r="A8934" t="s">
        <v>6</v>
      </c>
      <c r="B8934" t="s">
        <v>8939</v>
      </c>
      <c r="C8934">
        <f>HYPERLINK("C:\Users\franc\OneDrive\Documentos\MALENTIN KARIME\CESION\RESPALDO LUIS DIAZ\SOCIEDADES 2008\INMOB. RIVERA Y PARRA Ext..doc", "Abrir Documento")</f>
        <v>0</v>
      </c>
      <c r="D8934" t="s">
        <v>23500</v>
      </c>
      <c r="E8934" t="s">
        <v>31409</v>
      </c>
    </row>
    <row r="8935" spans="1:5">
      <c r="A8935" t="s">
        <v>6</v>
      </c>
      <c r="B8935" t="s">
        <v>8940</v>
      </c>
      <c r="C8935">
        <f>HYPERLINK("C:\Users\franc\OneDrive\Documentos\MALENTIN KARIME\CESION\RESPALDO LUIS DIAZ\SOCIEDADES 2008\INMOB. RIVERA Y PARRA Ampl..doc", "Abrir Documento")</f>
        <v>0</v>
      </c>
      <c r="D8935" t="s">
        <v>23500</v>
      </c>
      <c r="E8935" t="s">
        <v>31410</v>
      </c>
    </row>
    <row r="8936" spans="1:5">
      <c r="A8936" t="s">
        <v>6</v>
      </c>
      <c r="B8936" t="s">
        <v>8941</v>
      </c>
      <c r="C8936">
        <f>HYPERLINK("C:\Users\franc\OneDrive\Documentos\MALENTIN KARIME\CESION\RESPALDO LUIS DIAZ\SOCIEDADES 2008\INMOB. ALFREDO VILLAGRAN E.I.R.L..doc", "Abrir Documento")</f>
        <v>0</v>
      </c>
      <c r="D8936" t="s">
        <v>23500</v>
      </c>
      <c r="E8936" t="s">
        <v>31411</v>
      </c>
    </row>
    <row r="8937" spans="1:5">
      <c r="A8937" t="s">
        <v>6</v>
      </c>
      <c r="B8937" t="s">
        <v>8942</v>
      </c>
      <c r="C8937">
        <f>HYPERLINK("C:\Users\franc\OneDrive\Documentos\MALENTIN KARIME\CESION\RESPALDO LUIS DIAZ\SOCIEDADES 2008\INMOB. ALFREDO VILLAGRAN E.I.R.L. Extracto.doc", "Abrir Documento")</f>
        <v>0</v>
      </c>
      <c r="D8937" t="s">
        <v>23500</v>
      </c>
      <c r="E8937" t="s">
        <v>31412</v>
      </c>
    </row>
    <row r="8938" spans="1:5">
      <c r="A8938" t="s">
        <v>6</v>
      </c>
      <c r="B8938" t="s">
        <v>8943</v>
      </c>
      <c r="C8938">
        <f>HYPERLINK("C:\Users\franc\OneDrive\Documentos\MALENTIN KARIME\CESION\RESPALDO LUIS DIAZ\SOCIEDADES 2008\IMPUESTOS VEHICULOS.doc", "Abrir Documento")</f>
        <v>0</v>
      </c>
      <c r="D8938" t="s">
        <v>23500</v>
      </c>
      <c r="E8938" t="s">
        <v>31413</v>
      </c>
    </row>
    <row r="8939" spans="1:5">
      <c r="A8939" t="s">
        <v>6</v>
      </c>
      <c r="B8939" t="s">
        <v>8944</v>
      </c>
      <c r="C8939">
        <f>HYPERLINK("C:\Users\franc\OneDrive\Documentos\MALENTIN KARIME\CESION\RESPALDO LUIS DIAZ\SOCIEDADES 2008\IMPUESTO VEHICULO.doc", "Abrir Documento")</f>
        <v>0</v>
      </c>
      <c r="D8939" t="s">
        <v>23500</v>
      </c>
      <c r="E8939" t="s">
        <v>31414</v>
      </c>
    </row>
    <row r="8940" spans="1:5">
      <c r="A8940" t="s">
        <v>6</v>
      </c>
      <c r="B8940" t="s">
        <v>8945</v>
      </c>
      <c r="C8940">
        <f>HYPERLINK("C:\Users\franc\OneDrive\Documentos\MALENTIN KARIME\CESION\RESPALDO LUIS DIAZ\SOCIEDADES 2008\HUMBERTO AGUIRRE S.A..doc", "Abrir Documento")</f>
        <v>0</v>
      </c>
      <c r="D8940" t="s">
        <v>23500</v>
      </c>
      <c r="E8940" t="s">
        <v>31415</v>
      </c>
    </row>
    <row r="8941" spans="1:5">
      <c r="A8941" t="s">
        <v>6</v>
      </c>
      <c r="B8941" t="s">
        <v>8946</v>
      </c>
      <c r="C8941">
        <f>HYPERLINK("C:\Users\franc\OneDrive\Documentos\MALENTIN KARIME\CESION\RESPALDO LUIS DIAZ\SOCIEDADES 2008\HUMBERTO AGUIRRE S.A. EXT.doc", "Abrir Documento")</f>
        <v>0</v>
      </c>
      <c r="D8941" t="s">
        <v>23500</v>
      </c>
      <c r="E8941" t="s">
        <v>31416</v>
      </c>
    </row>
    <row r="8942" spans="1:5">
      <c r="A8942" t="s">
        <v>6</v>
      </c>
      <c r="B8942" t="s">
        <v>8947</v>
      </c>
      <c r="C8942">
        <f>HYPERLINK("C:\Users\franc\OneDrive\Documentos\MALENTIN KARIME\CESION\RESPALDO LUIS DIAZ\SOCIEDADES 2008\HIPOLITO ROJAS C. E.I.R.L..doc", "Abrir Documento")</f>
        <v>0</v>
      </c>
      <c r="D8942" t="s">
        <v>23500</v>
      </c>
      <c r="E8942" t="s">
        <v>31417</v>
      </c>
    </row>
    <row r="8943" spans="1:5">
      <c r="A8943" t="s">
        <v>6</v>
      </c>
      <c r="B8943" t="s">
        <v>8948</v>
      </c>
      <c r="C8943">
        <f>HYPERLINK("C:\Users\franc\OneDrive\Documentos\MALENTIN KARIME\CESION\RESPALDO LUIS DIAZ\SOCIEDADES 2008\HIPOLITO ROJAS C. E.I.R.L. Extracto.doc", "Abrir Documento")</f>
        <v>0</v>
      </c>
      <c r="D8943" t="s">
        <v>23500</v>
      </c>
      <c r="E8943" t="s">
        <v>31418</v>
      </c>
    </row>
    <row r="8944" spans="1:5">
      <c r="A8944" t="s">
        <v>6</v>
      </c>
      <c r="B8944" t="s">
        <v>8949</v>
      </c>
      <c r="C8944">
        <f>HYPERLINK("C:\Users\franc\OneDrive\Documentos\MALENTIN KARIME\CESION\RESPALDO LUIS DIAZ\SOCIEDADES 2008\HILDA GROVER ALVAREZ E.I.R.L..doc", "Abrir Documento")</f>
        <v>0</v>
      </c>
      <c r="D8944" t="s">
        <v>23500</v>
      </c>
      <c r="E8944" t="s">
        <v>31419</v>
      </c>
    </row>
    <row r="8945" spans="1:5">
      <c r="A8945" t="s">
        <v>6</v>
      </c>
      <c r="B8945" t="s">
        <v>8950</v>
      </c>
      <c r="C8945">
        <f>HYPERLINK("C:\Users\franc\OneDrive\Documentos\MALENTIN KARIME\CESION\RESPALDO LUIS DIAZ\SOCIEDADES 2008\HILDA GROVER A. E.I.R.L. Extrac..doc", "Abrir Documento")</f>
        <v>0</v>
      </c>
      <c r="D8945" t="s">
        <v>23500</v>
      </c>
      <c r="E8945" t="s">
        <v>31420</v>
      </c>
    </row>
    <row r="8946" spans="1:5">
      <c r="A8946" t="s">
        <v>6</v>
      </c>
      <c r="B8946" t="s">
        <v>8951</v>
      </c>
      <c r="C8946">
        <f>HYPERLINK("C:\Users\franc\OneDrive\Documentos\MALENTIN KARIME\CESION\RESPALDO LUIS DIAZ\SOCIEDADES 2008\HILDA GROVER A.  E.I.R.L. Extracto.doc", "Abrir Documento")</f>
        <v>0</v>
      </c>
      <c r="D8946" t="s">
        <v>23500</v>
      </c>
      <c r="E8946" t="s">
        <v>31421</v>
      </c>
    </row>
    <row r="8947" spans="1:5">
      <c r="A8947" t="s">
        <v>6</v>
      </c>
      <c r="B8947" t="s">
        <v>8952</v>
      </c>
      <c r="C8947">
        <f>HYPERLINK("C:\Users\franc\OneDrive\Documentos\MALENTIN KARIME\CESION\RESPALDO LUIS DIAZ\SOCIEDADES 2008\GUILLERMO GUERRERO E.I.R.L. Modific..doc", "Abrir Documento")</f>
        <v>0</v>
      </c>
      <c r="D8947" t="s">
        <v>23500</v>
      </c>
      <c r="E8947" t="s">
        <v>31422</v>
      </c>
    </row>
    <row r="8948" spans="1:5">
      <c r="A8948" t="s">
        <v>6</v>
      </c>
      <c r="B8948" t="s">
        <v>8953</v>
      </c>
      <c r="C8948">
        <f>HYPERLINK("C:\Users\franc\OneDrive\Documentos\MALENTIN KARIME\CESION\RESPALDO LUIS DIAZ\SOCIEDADES 2008\GRUPO NORTE SECURITY LTD..doc", "Abrir Documento")</f>
        <v>0</v>
      </c>
      <c r="D8948" t="s">
        <v>23500</v>
      </c>
      <c r="E8948" t="s">
        <v>31423</v>
      </c>
    </row>
    <row r="8949" spans="1:5">
      <c r="A8949" t="s">
        <v>6</v>
      </c>
      <c r="B8949" t="s">
        <v>8954</v>
      </c>
      <c r="C8949">
        <f>HYPERLINK("C:\Users\franc\OneDrive\Documentos\MALENTIN KARIME\CESION\RESPALDO LUIS DIAZ\SOCIEDADES 2008\GRUPO NORTE SECURITY LTD. Extracto.doc", "Abrir Documento")</f>
        <v>0</v>
      </c>
      <c r="D8949" t="s">
        <v>23500</v>
      </c>
      <c r="E8949" t="s">
        <v>31424</v>
      </c>
    </row>
    <row r="8950" spans="1:5">
      <c r="A8950" t="s">
        <v>6</v>
      </c>
      <c r="B8950" t="s">
        <v>8955</v>
      </c>
      <c r="C8950">
        <f>HYPERLINK("C:\Users\franc\OneDrive\Documentos\MALENTIN KARIME\CESION\RESPALDO LUIS DIAZ\SOCIEDADES 2008\FLORES Y CHAMBI LTDA..doc", "Abrir Documento")</f>
        <v>0</v>
      </c>
      <c r="D8950" t="s">
        <v>23500</v>
      </c>
      <c r="E8950" t="s">
        <v>31425</v>
      </c>
    </row>
    <row r="8951" spans="1:5">
      <c r="A8951" t="s">
        <v>6</v>
      </c>
      <c r="B8951" t="s">
        <v>8956</v>
      </c>
      <c r="C8951">
        <f>HYPERLINK("C:\Users\franc\OneDrive\Documentos\MALENTIN KARIME\CESION\RESPALDO LUIS DIAZ\SOCIEDADES 2008\FLORES Y CHAMBI LTDA. Extr..doc", "Abrir Documento")</f>
        <v>0</v>
      </c>
      <c r="D8951" t="s">
        <v>23500</v>
      </c>
      <c r="E8951" t="s">
        <v>31426</v>
      </c>
    </row>
    <row r="8952" spans="1:5">
      <c r="A8952" t="s">
        <v>6</v>
      </c>
      <c r="B8952" t="s">
        <v>8957</v>
      </c>
      <c r="C8952">
        <f>HYPERLINK("C:\Users\franc\OneDrive\Documentos\MALENTIN KARIME\CESION\RESPALDO LUIS DIAZ\SOCIEDADES 2008\FDO. GODOY G. Y CIA. Extracto.doc", "Abrir Documento")</f>
        <v>0</v>
      </c>
      <c r="D8952" t="s">
        <v>23500</v>
      </c>
      <c r="E8952" t="s">
        <v>31427</v>
      </c>
    </row>
    <row r="8953" spans="1:5">
      <c r="A8953" t="s">
        <v>6</v>
      </c>
      <c r="B8953" t="s">
        <v>8958</v>
      </c>
      <c r="C8953">
        <f>HYPERLINK("C:\Users\franc\OneDrive\Documentos\MALENTIN KARIME\CESION\RESPALDO LUIS DIAZ\SOCIEDADES 2008\FDO. GODOY G. Y CIA. Ces. y Mod..doc", "Abrir Documento")</f>
        <v>0</v>
      </c>
      <c r="D8953" t="s">
        <v>23500</v>
      </c>
      <c r="E8953" t="s">
        <v>31428</v>
      </c>
    </row>
    <row r="8954" spans="1:5">
      <c r="A8954" t="s">
        <v>6</v>
      </c>
      <c r="B8954" t="s">
        <v>8959</v>
      </c>
      <c r="C8954">
        <f>HYPERLINK("C:\Users\franc\OneDrive\Documentos\MALENTIN KARIME\CESION\RESPALDO LUIS DIAZ\SOCIEDADES 2008\EXTRACTO Ovatruz.doc", "Abrir Documento")</f>
        <v>0</v>
      </c>
      <c r="D8954" t="s">
        <v>23500</v>
      </c>
      <c r="E8954" t="s">
        <v>31429</v>
      </c>
    </row>
    <row r="8955" spans="1:5">
      <c r="A8955" t="s">
        <v>6</v>
      </c>
      <c r="B8955" t="s">
        <v>8960</v>
      </c>
      <c r="C8955">
        <f>HYPERLINK("C:\Users\franc\OneDrive\Documentos\MALENTIN KARIME\CESION\RESPALDO LUIS DIAZ\SOCIEDADES 2008\EXPORT. STA CLAUDIA E.I.R.L..doc", "Abrir Documento")</f>
        <v>0</v>
      </c>
      <c r="D8955" t="s">
        <v>23500</v>
      </c>
      <c r="E8955" t="s">
        <v>31430</v>
      </c>
    </row>
    <row r="8956" spans="1:5">
      <c r="A8956" t="s">
        <v>6</v>
      </c>
      <c r="B8956" t="s">
        <v>8961</v>
      </c>
      <c r="C8956">
        <f>HYPERLINK("C:\Users\franc\OneDrive\Documentos\MALENTIN KARIME\CESION\RESPALDO LUIS DIAZ\SOCIEDADES 2008\EXPORT. ARAYA CASTILLO LTD..doc", "Abrir Documento")</f>
        <v>0</v>
      </c>
      <c r="D8956" t="s">
        <v>23500</v>
      </c>
      <c r="E8956" t="s">
        <v>31431</v>
      </c>
    </row>
    <row r="8957" spans="1:5">
      <c r="A8957" t="s">
        <v>6</v>
      </c>
      <c r="B8957" t="s">
        <v>8962</v>
      </c>
      <c r="C8957">
        <f>HYPERLINK("C:\Users\franc\OneDrive\Documentos\MALENTIN KARIME\CESION\RESPALDO LUIS DIAZ\SOCIEDADES 2008\EXPORT. ARAYA CASTILLO Extracto.doc", "Abrir Documento")</f>
        <v>0</v>
      </c>
      <c r="D8957" t="s">
        <v>23500</v>
      </c>
      <c r="E8957" t="s">
        <v>31432</v>
      </c>
    </row>
    <row r="8958" spans="1:5">
      <c r="A8958" t="s">
        <v>6</v>
      </c>
      <c r="B8958" t="s">
        <v>8963</v>
      </c>
      <c r="C8958">
        <f>HYPERLINK("C:\Users\franc\OneDrive\Documentos\MALENTIN KARIME\CESION\RESPALDO LUIS DIAZ\SOCIEDADES 2008\ETRALCO S.A. Disolución.doc", "Abrir Documento")</f>
        <v>0</v>
      </c>
      <c r="D8958" t="s">
        <v>23500</v>
      </c>
      <c r="E8958" t="s">
        <v>31433</v>
      </c>
    </row>
    <row r="8959" spans="1:5">
      <c r="A8959" t="s">
        <v>6</v>
      </c>
      <c r="B8959" t="s">
        <v>8964</v>
      </c>
      <c r="C8959">
        <f>HYPERLINK("C:\Users\franc\OneDrive\Documentos\MALENTIN KARIME\CESION\RESPALDO LUIS DIAZ\SOCIEDADES 2008\ETRALCO S.A. Disolución Extracto.doc", "Abrir Documento")</f>
        <v>0</v>
      </c>
      <c r="D8959" t="s">
        <v>23500</v>
      </c>
      <c r="E8959" t="s">
        <v>31434</v>
      </c>
    </row>
    <row r="8960" spans="1:5">
      <c r="A8960" t="s">
        <v>6</v>
      </c>
      <c r="B8960" t="s">
        <v>8965</v>
      </c>
      <c r="C8960">
        <f>HYPERLINK("C:\Users\franc\OneDrive\Documentos\MALENTIN KARIME\CESION\RESPALDO LUIS DIAZ\SOCIEDADES 2008\ESTUDIO INMOB. BUENAVENTURA LTD. Modif..doc", "Abrir Documento")</f>
        <v>0</v>
      </c>
      <c r="D8960" t="s">
        <v>23500</v>
      </c>
      <c r="E8960" t="s">
        <v>31435</v>
      </c>
    </row>
    <row r="8961" spans="1:5">
      <c r="A8961" t="s">
        <v>6</v>
      </c>
      <c r="B8961" t="s">
        <v>8966</v>
      </c>
      <c r="C8961">
        <f>HYPERLINK("C:\Users\franc\OneDrive\Documentos\MALENTIN KARIME\CESION\RESPALDO LUIS DIAZ\SOCIEDADES 2008\EST. JURIDICO ALTAMIRANO BUONO-CORE.doc", "Abrir Documento")</f>
        <v>0</v>
      </c>
      <c r="D8961" t="s">
        <v>23500</v>
      </c>
      <c r="E8961" t="s">
        <v>31436</v>
      </c>
    </row>
    <row r="8962" spans="1:5">
      <c r="A8962" t="s">
        <v>6</v>
      </c>
      <c r="B8962" t="s">
        <v>8967</v>
      </c>
      <c r="C8962">
        <f>HYPERLINK("C:\Users\franc\OneDrive\Documentos\MALENTIN KARIME\CESION\RESPALDO LUIS DIAZ\SOCIEDADES 2008\EST. JURIDICO ALTAMIRANO BUONO-CORE Extracto.doc", "Abrir Documento")</f>
        <v>0</v>
      </c>
      <c r="D8962" t="s">
        <v>23500</v>
      </c>
      <c r="E8962" t="s">
        <v>31437</v>
      </c>
    </row>
    <row r="8963" spans="1:5">
      <c r="A8963" t="s">
        <v>6</v>
      </c>
      <c r="B8963" t="s">
        <v>8968</v>
      </c>
      <c r="C8963">
        <f>HYPERLINK("C:\Users\franc\OneDrive\Documentos\MALENTIN KARIME\CESION\RESPALDO LUIS DIAZ\SOCIEDADES 2008\ENCABEZADO NOTARIO.doc", "Abrir Documento")</f>
        <v>0</v>
      </c>
      <c r="D8963" t="s">
        <v>23500</v>
      </c>
      <c r="E8963" t="s">
        <v>31438</v>
      </c>
    </row>
    <row r="8964" spans="1:5">
      <c r="A8964" t="s">
        <v>6</v>
      </c>
      <c r="B8964" t="s">
        <v>8969</v>
      </c>
      <c r="C8964">
        <f>HYPERLINK("C:\Users\franc\OneDrive\Documentos\MALENTIN KARIME\CESION\RESPALDO LUIS DIAZ\SOCIEDADES 2008\ELIGE INTERNET SPA.doc", "Abrir Documento")</f>
        <v>0</v>
      </c>
      <c r="D8964" t="s">
        <v>23500</v>
      </c>
      <c r="E8964" t="s">
        <v>31439</v>
      </c>
    </row>
    <row r="8965" spans="1:5">
      <c r="A8965" t="s">
        <v>6</v>
      </c>
      <c r="B8965" t="s">
        <v>8970</v>
      </c>
      <c r="C8965">
        <f>HYPERLINK("C:\Users\franc\OneDrive\Documentos\MALENTIN KARIME\CESION\RESPALDO LUIS DIAZ\SOCIEDADES 2008\ELIGE INTERNET SpA Extracto.doc", "Abrir Documento")</f>
        <v>0</v>
      </c>
      <c r="D8965" t="s">
        <v>23500</v>
      </c>
      <c r="E8965" t="s">
        <v>31440</v>
      </c>
    </row>
    <row r="8966" spans="1:5">
      <c r="A8966" t="s">
        <v>6</v>
      </c>
      <c r="B8966" t="s">
        <v>8971</v>
      </c>
      <c r="C8966">
        <f>HYPERLINK("C:\Users\franc\OneDrive\Documentos\MALENTIN KARIME\CESION\RESPALDO LUIS DIAZ\SOCIEDADES 2008\E.I.R.L. Extracto.doc", "Abrir Documento")</f>
        <v>0</v>
      </c>
      <c r="D8966" t="s">
        <v>23500</v>
      </c>
      <c r="E8966" t="s">
        <v>31441</v>
      </c>
    </row>
    <row r="8967" spans="1:5">
      <c r="A8967" t="s">
        <v>6</v>
      </c>
      <c r="B8967" t="s">
        <v>8972</v>
      </c>
      <c r="C8967">
        <f>HYPERLINK("C:\Users\franc\OneDrive\Documentos\MALENTIN KARIME\CESION\RESPALDO LUIS DIAZ\SOCIEDADES 2008\DUBERLI GUERRERO E.R.I.L..doc", "Abrir Documento")</f>
        <v>0</v>
      </c>
      <c r="D8967" t="s">
        <v>23500</v>
      </c>
      <c r="E8967" t="s">
        <v>31442</v>
      </c>
    </row>
    <row r="8968" spans="1:5">
      <c r="A8968" t="s">
        <v>6</v>
      </c>
      <c r="B8968" t="s">
        <v>8973</v>
      </c>
      <c r="C8968">
        <f>HYPERLINK("C:\Users\franc\OneDrive\Documentos\MALENTIN KARIME\CESION\RESPALDO LUIS DIAZ\SOCIEDADES 2008\DUBERLI GUERRERO E.I.R.L. Extracto.doc", "Abrir Documento")</f>
        <v>0</v>
      </c>
      <c r="D8968" t="s">
        <v>23500</v>
      </c>
      <c r="E8968" t="s">
        <v>31443</v>
      </c>
    </row>
    <row r="8969" spans="1:5">
      <c r="A8969" t="s">
        <v>6</v>
      </c>
      <c r="B8969" t="s">
        <v>8974</v>
      </c>
      <c r="C8969">
        <f>HYPERLINK("C:\Users\franc\OneDrive\Documentos\MALENTIN KARIME\CESION\RESPALDO LUIS DIAZ\SOCIEDADES 2008\DOMB Y CIA. LTDA. Prot. Dctos.doc", "Abrir Documento")</f>
        <v>0</v>
      </c>
      <c r="D8969" t="s">
        <v>23500</v>
      </c>
      <c r="E8969" t="s">
        <v>31444</v>
      </c>
    </row>
    <row r="8970" spans="1:5">
      <c r="A8970" t="s">
        <v>6</v>
      </c>
      <c r="B8970" t="s">
        <v>8975</v>
      </c>
      <c r="C8970">
        <f>HYPERLINK("C:\Users\franc\OneDrive\Documentos\MALENTIN KARIME\CESION\RESPALDO LUIS DIAZ\SOCIEDADES 2008\DICAVE LTDA. Modif..doc", "Abrir Documento")</f>
        <v>0</v>
      </c>
      <c r="D8970" t="s">
        <v>23500</v>
      </c>
      <c r="E8970" t="s">
        <v>31445</v>
      </c>
    </row>
    <row r="8971" spans="1:5">
      <c r="A8971" t="s">
        <v>6</v>
      </c>
      <c r="B8971" t="s">
        <v>8976</v>
      </c>
      <c r="C8971">
        <f>HYPERLINK("C:\Users\franc\OneDrive\Documentos\MALENTIN KARIME\CESION\RESPALDO LUIS DIAZ\SOCIEDADES 2008\DICAVE LTDA. Modif. 2010.doc", "Abrir Documento")</f>
        <v>0</v>
      </c>
      <c r="D8971" t="s">
        <v>23500</v>
      </c>
      <c r="E8971" t="s">
        <v>31446</v>
      </c>
    </row>
    <row r="8972" spans="1:5">
      <c r="A8972" t="s">
        <v>6</v>
      </c>
      <c r="B8972" t="s">
        <v>8977</v>
      </c>
      <c r="C8972">
        <f>HYPERLINK("C:\Users\franc\OneDrive\Documentos\MALENTIN KARIME\CESION\RESPALDO LUIS DIAZ\SOCIEDADES 2008\DICAVE LTDA. Mod. Extracto 2010.doc", "Abrir Documento")</f>
        <v>0</v>
      </c>
      <c r="D8972" t="s">
        <v>23500</v>
      </c>
      <c r="E8972" t="s">
        <v>31447</v>
      </c>
    </row>
    <row r="8973" spans="1:5">
      <c r="A8973" t="s">
        <v>6</v>
      </c>
      <c r="B8973" t="s">
        <v>8978</v>
      </c>
      <c r="C8973">
        <f>HYPERLINK("C:\Users\franc\OneDrive\Documentos\MALENTIN KARIME\CESION\RESPALDO LUIS DIAZ\SOCIEDADES 2008\DICAVE LTDA. Extracto.doc", "Abrir Documento")</f>
        <v>0</v>
      </c>
      <c r="D8973" t="s">
        <v>23500</v>
      </c>
      <c r="E8973" t="s">
        <v>31448</v>
      </c>
    </row>
    <row r="8974" spans="1:5">
      <c r="A8974" t="s">
        <v>6</v>
      </c>
      <c r="B8974" t="s">
        <v>8979</v>
      </c>
      <c r="C8974">
        <f>HYPERLINK("C:\Users\franc\OneDrive\Documentos\MALENTIN KARIME\CESION\RESPALDO LUIS DIAZ\SOCIEDADES 2008\DELPRO SPA.doc", "Abrir Documento")</f>
        <v>0</v>
      </c>
      <c r="D8974" t="s">
        <v>23500</v>
      </c>
      <c r="E8974" t="s">
        <v>31449</v>
      </c>
    </row>
    <row r="8975" spans="1:5">
      <c r="A8975" t="s">
        <v>6</v>
      </c>
      <c r="B8975" t="s">
        <v>8980</v>
      </c>
      <c r="C8975">
        <f>HYPERLINK("C:\Users\franc\OneDrive\Documentos\MALENTIN KARIME\CESION\RESPALDO LUIS DIAZ\SOCIEDADES 2008\DELPRO SpA Extracto.doc", "Abrir Documento")</f>
        <v>0</v>
      </c>
      <c r="D8975" t="s">
        <v>23500</v>
      </c>
      <c r="E8975" t="s">
        <v>31450</v>
      </c>
    </row>
    <row r="8976" spans="1:5">
      <c r="A8976" t="s">
        <v>6</v>
      </c>
      <c r="B8976" t="s">
        <v>8981</v>
      </c>
      <c r="C8976">
        <f>HYPERLINK("C:\Users\franc\OneDrive\Documentos\MALENTIN KARIME\CESION\RESPALDO LUIS DIAZ\SOCIEDADES 2008\CRISTIAN ESCOBAR E.I.R.L.doc", "Abrir Documento")</f>
        <v>0</v>
      </c>
      <c r="D8976" t="s">
        <v>23500</v>
      </c>
      <c r="E8976" t="s">
        <v>31451</v>
      </c>
    </row>
    <row r="8977" spans="1:5">
      <c r="A8977" t="s">
        <v>6</v>
      </c>
      <c r="B8977" t="s">
        <v>8982</v>
      </c>
      <c r="C8977">
        <f>HYPERLINK("C:\Users\franc\OneDrive\Documentos\MALENTIN KARIME\CESION\RESPALDO LUIS DIAZ\SOCIEDADES 2008\CRISTIAN ESCOBAR E.I.R.L. Extracto.doc", "Abrir Documento")</f>
        <v>0</v>
      </c>
      <c r="D8977" t="s">
        <v>23500</v>
      </c>
      <c r="E8977" t="s">
        <v>31452</v>
      </c>
    </row>
    <row r="8978" spans="1:5">
      <c r="A8978" t="s">
        <v>6</v>
      </c>
      <c r="B8978" t="s">
        <v>8983</v>
      </c>
      <c r="C8978">
        <f>HYPERLINK("C:\Users\franc\OneDrive\Documentos\MALENTIN KARIME\CESION\RESPALDO LUIS DIAZ\SOCIEDADES 2008\COVALSA CENTER LTDA..doc", "Abrir Documento")</f>
        <v>0</v>
      </c>
      <c r="D8978" t="s">
        <v>23500</v>
      </c>
      <c r="E8978" t="s">
        <v>31453</v>
      </c>
    </row>
    <row r="8979" spans="1:5">
      <c r="A8979" t="s">
        <v>6</v>
      </c>
      <c r="B8979" t="s">
        <v>8984</v>
      </c>
      <c r="C8979">
        <f>HYPERLINK("C:\Users\franc\OneDrive\Documentos\MALENTIN KARIME\CESION\RESPALDO LUIS DIAZ\SOCIEDADES 2008\COVALSA CENTER LTDA. Extracto.doc", "Abrir Documento")</f>
        <v>0</v>
      </c>
      <c r="D8979" t="s">
        <v>23500</v>
      </c>
      <c r="E8979" t="s">
        <v>31454</v>
      </c>
    </row>
    <row r="8980" spans="1:5">
      <c r="A8980" t="s">
        <v>6</v>
      </c>
      <c r="B8980" t="s">
        <v>8985</v>
      </c>
      <c r="C8980">
        <f>HYPERLINK("C:\Users\franc\OneDrive\Documentos\MALENTIN KARIME\CESION\RESPALDO LUIS DIAZ\SOCIEDADES 2008\CONTRACTUAL MINERA.doc", "Abrir Documento")</f>
        <v>0</v>
      </c>
      <c r="D8980" t="s">
        <v>23500</v>
      </c>
      <c r="E8980" t="s">
        <v>31455</v>
      </c>
    </row>
    <row r="8981" spans="1:5">
      <c r="A8981" t="s">
        <v>6</v>
      </c>
      <c r="B8981" t="s">
        <v>8986</v>
      </c>
      <c r="C8981">
        <f>HYPERLINK("C:\Users\franc\OneDrive\Documentos\MALENTIN KARIME\CESION\RESPALDO LUIS DIAZ\SOCIEDADES 2008\CONSULTORES DPTIVOS Y REC..doc", "Abrir Documento")</f>
        <v>0</v>
      </c>
      <c r="D8981" t="s">
        <v>23500</v>
      </c>
      <c r="E8981" t="s">
        <v>31456</v>
      </c>
    </row>
    <row r="8982" spans="1:5">
      <c r="A8982" t="s">
        <v>6</v>
      </c>
      <c r="B8982" t="s">
        <v>8987</v>
      </c>
      <c r="C8982">
        <f>HYPERLINK("C:\Users\franc\OneDrive\Documentos\MALENTIN KARIME\CESION\RESPALDO LUIS DIAZ\SOCIEDADES 2008\CONSULTORES DPTIVOS Y R. Extrac..doc", "Abrir Documento")</f>
        <v>0</v>
      </c>
      <c r="D8982" t="s">
        <v>23500</v>
      </c>
      <c r="E8982" t="s">
        <v>31457</v>
      </c>
    </row>
    <row r="8983" spans="1:5">
      <c r="A8983" t="s">
        <v>6</v>
      </c>
      <c r="B8983" t="s">
        <v>8988</v>
      </c>
      <c r="C8983">
        <f>HYPERLINK("C:\Users\franc\OneDrive\Documentos\MALENTIN KARIME\CESION\RESPALDO LUIS DIAZ\SOCIEDADES 2008\CONSULTORA ECOLOGICA DEL NORTE.doc", "Abrir Documento")</f>
        <v>0</v>
      </c>
      <c r="D8983" t="s">
        <v>23500</v>
      </c>
      <c r="E8983" t="s">
        <v>31458</v>
      </c>
    </row>
    <row r="8984" spans="1:5">
      <c r="A8984" t="s">
        <v>6</v>
      </c>
      <c r="B8984" t="s">
        <v>8989</v>
      </c>
      <c r="C8984">
        <f>HYPERLINK("C:\Users\franc\OneDrive\Documentos\MALENTIN KARIME\CESION\RESPALDO LUIS DIAZ\SOCIEDADES 2008\CONSULTORA ECOLOGICA Aporte.doc", "Abrir Documento")</f>
        <v>0</v>
      </c>
      <c r="D8984" t="s">
        <v>23500</v>
      </c>
      <c r="E8984" t="s">
        <v>31459</v>
      </c>
    </row>
    <row r="8985" spans="1:5">
      <c r="A8985" t="s">
        <v>6</v>
      </c>
      <c r="B8985" t="s">
        <v>8990</v>
      </c>
      <c r="C8985">
        <f>HYPERLINK("C:\Users\franc\OneDrive\Documentos\MALENTIN KARIME\CESION\RESPALDO LUIS DIAZ\SOCIEDADES 2008\CONSULT. ECOLOG. DEL NORTE.Ext.doc", "Abrir Documento")</f>
        <v>0</v>
      </c>
      <c r="D8985" t="s">
        <v>23500</v>
      </c>
      <c r="E8985" t="s">
        <v>31460</v>
      </c>
    </row>
    <row r="8986" spans="1:5">
      <c r="A8986" t="s">
        <v>6</v>
      </c>
      <c r="B8986" t="s">
        <v>8991</v>
      </c>
      <c r="C8986">
        <f>HYPERLINK("C:\Users\franc\OneDrive\Documentos\MALENTIN KARIME\CESION\RESPALDO LUIS DIAZ\SOCIEDADES 2008\CONSTRUCTORA LOS RISCOS Modif..doc", "Abrir Documento")</f>
        <v>0</v>
      </c>
      <c r="D8986" t="s">
        <v>23500</v>
      </c>
      <c r="E8986" t="s">
        <v>31461</v>
      </c>
    </row>
    <row r="8987" spans="1:5">
      <c r="A8987" t="s">
        <v>6</v>
      </c>
      <c r="B8987" t="s">
        <v>8992</v>
      </c>
      <c r="C8987">
        <f>HYPERLINK("C:\Users\franc\OneDrive\Documentos\MALENTIN KARIME\CESION\RESPALDO LUIS DIAZ\SOCIEDADES 2008\CONSTRUCTORA GEMA LTD. Modif..doc", "Abrir Documento")</f>
        <v>0</v>
      </c>
      <c r="D8987" t="s">
        <v>23500</v>
      </c>
      <c r="E8987" t="s">
        <v>31462</v>
      </c>
    </row>
    <row r="8988" spans="1:5">
      <c r="A8988" t="s">
        <v>6</v>
      </c>
      <c r="B8988" t="s">
        <v>8993</v>
      </c>
      <c r="C8988">
        <f>HYPERLINK("C:\Users\franc\OneDrive\Documentos\MALENTIN KARIME\CESION\RESPALDO LUIS DIAZ\SOCIEDADES 2008\CONSTRUCTORA GEMA LTD. Modif. Extracto.doc", "Abrir Documento")</f>
        <v>0</v>
      </c>
      <c r="D8988" t="s">
        <v>23500</v>
      </c>
      <c r="E8988" t="s">
        <v>31463</v>
      </c>
    </row>
    <row r="8989" spans="1:5">
      <c r="A8989" t="s">
        <v>6</v>
      </c>
      <c r="B8989" t="s">
        <v>8994</v>
      </c>
      <c r="C8989">
        <f>HYPERLINK("C:\Users\franc\OneDrive\Documentos\MALENTIN KARIME\CESION\RESPALDO LUIS DIAZ\SOCIEDADES 2008\CONSTRUC. STA. CECILIA Aclarac..doc", "Abrir Documento")</f>
        <v>0</v>
      </c>
      <c r="D8989" t="s">
        <v>23500</v>
      </c>
      <c r="E8989" t="s">
        <v>31464</v>
      </c>
    </row>
    <row r="8990" spans="1:5">
      <c r="A8990" t="s">
        <v>6</v>
      </c>
      <c r="B8990" t="s">
        <v>8995</v>
      </c>
      <c r="C8990">
        <f>HYPERLINK("C:\Users\franc\OneDrive\Documentos\MALENTIN KARIME\CESION\RESPALDO LUIS DIAZ\SOCIEDADES 2008\CONSTRUC. LOS RISCOS LTD.  Extr. Modif..doc", "Abrir Documento")</f>
        <v>0</v>
      </c>
      <c r="D8990" t="s">
        <v>23500</v>
      </c>
      <c r="E8990" t="s">
        <v>31465</v>
      </c>
    </row>
    <row r="8991" spans="1:5">
      <c r="A8991" t="s">
        <v>6</v>
      </c>
      <c r="B8991" t="s">
        <v>8996</v>
      </c>
      <c r="C8991">
        <f>HYPERLINK("C:\Users\franc\OneDrive\Documentos\MALENTIN KARIME\CESION\RESPALDO LUIS DIAZ\SOCIEDADES 2008\COMPLEJO F C Y C LTDA. Extracto.doc", "Abrir Documento")</f>
        <v>0</v>
      </c>
      <c r="D8991" t="s">
        <v>23500</v>
      </c>
      <c r="E8991" t="s">
        <v>31466</v>
      </c>
    </row>
    <row r="8992" spans="1:5">
      <c r="A8992" t="s">
        <v>6</v>
      </c>
      <c r="B8992" t="s">
        <v>8997</v>
      </c>
      <c r="C8992">
        <f>HYPERLINK("C:\Users\franc\OneDrive\Documentos\MALENTIN KARIME\CESION\RESPALDO LUIS DIAZ\SOCIEDADES 2008\COMPLEJO F C &amp; C LTDA..doc", "Abrir Documento")</f>
        <v>0</v>
      </c>
      <c r="D8992" t="s">
        <v>23500</v>
      </c>
      <c r="E8992" t="s">
        <v>31467</v>
      </c>
    </row>
    <row r="8993" spans="1:5">
      <c r="A8993" t="s">
        <v>6</v>
      </c>
      <c r="B8993" t="s">
        <v>8998</v>
      </c>
      <c r="C8993">
        <f>HYPERLINK("C:\Users\franc\OneDrive\Documentos\MALENTIN KARIME\CESION\RESPALDO LUIS DIAZ\SOCIEDADES 2008\COMPLAND LTDA. Extracto.doc", "Abrir Documento")</f>
        <v>0</v>
      </c>
      <c r="D8993" t="s">
        <v>23500</v>
      </c>
      <c r="E8993" t="s">
        <v>31468</v>
      </c>
    </row>
    <row r="8994" spans="1:5">
      <c r="A8994" t="s">
        <v>6</v>
      </c>
      <c r="B8994" t="s">
        <v>8999</v>
      </c>
      <c r="C8994">
        <f>HYPERLINK("C:\Users\franc\OneDrive\Documentos\MALENTIN KARIME\CESION\RESPALDO LUIS DIAZ\SOCIEDADES 2008\COMPLAND LTD. Disolucion.doc", "Abrir Documento")</f>
        <v>0</v>
      </c>
      <c r="D8994" t="s">
        <v>23500</v>
      </c>
      <c r="E8994" t="s">
        <v>31469</v>
      </c>
    </row>
    <row r="8995" spans="1:5">
      <c r="A8995" t="s">
        <v>6</v>
      </c>
      <c r="B8995" t="s">
        <v>9000</v>
      </c>
      <c r="C8995">
        <f>HYPERLINK("C:\Users\franc\OneDrive\Documentos\MALENTIN KARIME\CESION\RESPALDO LUIS DIAZ\SOCIEDADES 2008\COMERCIAL GABE LTDA..doc", "Abrir Documento")</f>
        <v>0</v>
      </c>
      <c r="D8995" t="s">
        <v>23500</v>
      </c>
      <c r="E8995" t="s">
        <v>31470</v>
      </c>
    </row>
    <row r="8996" spans="1:5">
      <c r="A8996" t="s">
        <v>6</v>
      </c>
      <c r="B8996" t="s">
        <v>9001</v>
      </c>
      <c r="C8996">
        <f>HYPERLINK("C:\Users\franc\OneDrive\Documentos\MALENTIN KARIME\CESION\RESPALDO LUIS DIAZ\SOCIEDADES 2008\COMERCIAL GABE LTDA. Extracto.doc", "Abrir Documento")</f>
        <v>0</v>
      </c>
      <c r="D8996" t="s">
        <v>23500</v>
      </c>
      <c r="E8996" t="s">
        <v>31471</v>
      </c>
    </row>
    <row r="8997" spans="1:5">
      <c r="A8997" t="s">
        <v>6</v>
      </c>
      <c r="B8997" t="s">
        <v>9002</v>
      </c>
      <c r="C8997">
        <f>HYPERLINK("C:\Users\franc\OneDrive\Documentos\MALENTIN KARIME\CESION\RESPALDO LUIS DIAZ\SOCIEDADES 2008\CLEMENTE FUENTEALBA E.I.R.L..doc", "Abrir Documento")</f>
        <v>0</v>
      </c>
      <c r="D8997" t="s">
        <v>23500</v>
      </c>
      <c r="E8997" t="s">
        <v>31472</v>
      </c>
    </row>
    <row r="8998" spans="1:5">
      <c r="A8998" t="s">
        <v>6</v>
      </c>
      <c r="B8998" t="s">
        <v>9003</v>
      </c>
      <c r="C8998">
        <f>HYPERLINK("C:\Users\franc\OneDrive\Documentos\MALENTIN KARIME\CESION\RESPALDO LUIS DIAZ\SOCIEDADES 2008\CLEMENTE FUENTEALBA E.I.R.L. Extracto.doc", "Abrir Documento")</f>
        <v>0</v>
      </c>
      <c r="D8998" t="s">
        <v>23500</v>
      </c>
      <c r="E8998" t="s">
        <v>31473</v>
      </c>
    </row>
    <row r="8999" spans="1:5">
      <c r="A8999" t="s">
        <v>6</v>
      </c>
      <c r="B8999" t="s">
        <v>9004</v>
      </c>
      <c r="C8999">
        <f>HYPERLINK("C:\Users\franc\OneDrive\Documentos\MALENTIN KARIME\CESION\RESPALDO LUIS DIAZ\SOCIEDADES 2008\CLAUDIO FDEZ. SERV. MINEROS. Extracto.doc", "Abrir Documento")</f>
        <v>0</v>
      </c>
      <c r="D8999" t="s">
        <v>23500</v>
      </c>
      <c r="E8999" t="s">
        <v>31474</v>
      </c>
    </row>
    <row r="9000" spans="1:5">
      <c r="A9000" t="s">
        <v>6</v>
      </c>
      <c r="B9000" t="s">
        <v>9005</v>
      </c>
      <c r="C9000">
        <f>HYPERLINK("C:\Users\franc\OneDrive\Documentos\MALENTIN KARIME\CESION\RESPALDO LUIS DIAZ\SOCIEDADES 2008\CLAUDIO FDEZ. SERV. MINEROS Y CIA..doc", "Abrir Documento")</f>
        <v>0</v>
      </c>
      <c r="D9000" t="s">
        <v>23500</v>
      </c>
      <c r="E9000" t="s">
        <v>31475</v>
      </c>
    </row>
    <row r="9001" spans="1:5">
      <c r="A9001" t="s">
        <v>6</v>
      </c>
      <c r="B9001" t="s">
        <v>9006</v>
      </c>
      <c r="C9001">
        <f>HYPERLINK("C:\Users\franc\OneDrive\Documentos\MALENTIN KARIME\CESION\RESPALDO LUIS DIAZ\SOCIEDADES 2008\CLAUDIA LATORRE.doc", "Abrir Documento")</f>
        <v>0</v>
      </c>
      <c r="D9001" t="s">
        <v>23500</v>
      </c>
      <c r="E9001" t="s">
        <v>31476</v>
      </c>
    </row>
    <row r="9002" spans="1:5">
      <c r="A9002" t="s">
        <v>6</v>
      </c>
      <c r="B9002" t="s">
        <v>9007</v>
      </c>
      <c r="C9002">
        <f>HYPERLINK("C:\Users\franc\OneDrive\Documentos\MALENTIN KARIME\CESION\RESPALDO LUIS DIAZ\SOCIEDADES 2008\CLAUDIA HENRIQUEZ BENAVENTE E.I.R.L..doc", "Abrir Documento")</f>
        <v>0</v>
      </c>
      <c r="D9002" t="s">
        <v>23500</v>
      </c>
      <c r="E9002" t="s">
        <v>31477</v>
      </c>
    </row>
    <row r="9003" spans="1:5">
      <c r="A9003" t="s">
        <v>6</v>
      </c>
      <c r="B9003" t="s">
        <v>9008</v>
      </c>
      <c r="C9003">
        <f>HYPERLINK("C:\Users\franc\OneDrive\Documentos\MALENTIN KARIME\CESION\RESPALDO LUIS DIAZ\SOCIEDADES 2008\CLAUDIA HENRIQUEZ B. E.I.R.L. Extracto.doc", "Abrir Documento")</f>
        <v>0</v>
      </c>
      <c r="D9003" t="s">
        <v>23500</v>
      </c>
      <c r="E9003" t="s">
        <v>31478</v>
      </c>
    </row>
    <row r="9004" spans="1:5">
      <c r="A9004" t="s">
        <v>6</v>
      </c>
      <c r="B9004" t="s">
        <v>9009</v>
      </c>
      <c r="C9004">
        <f>HYPERLINK("C:\Users\franc\OneDrive\Documentos\MALENTIN KARIME\CESION\RESPALDO LUIS DIAZ\SOCIEDADES 2008\CISSO COMERCIAL LTDA..doc", "Abrir Documento")</f>
        <v>0</v>
      </c>
      <c r="D9004" t="s">
        <v>23500</v>
      </c>
      <c r="E9004" t="s">
        <v>31479</v>
      </c>
    </row>
    <row r="9005" spans="1:5">
      <c r="A9005" t="s">
        <v>6</v>
      </c>
      <c r="B9005" t="s">
        <v>9010</v>
      </c>
      <c r="C9005">
        <f>HYPERLINK("C:\Users\franc\OneDrive\Documentos\MALENTIN KARIME\CESION\RESPALDO LUIS DIAZ\SOCIEDADES 2008\CISSO COMERCIAL LTDA. Extracto.doc", "Abrir Documento")</f>
        <v>0</v>
      </c>
      <c r="D9005" t="s">
        <v>23500</v>
      </c>
      <c r="E9005" t="s">
        <v>31480</v>
      </c>
    </row>
    <row r="9006" spans="1:5">
      <c r="A9006" t="s">
        <v>6</v>
      </c>
      <c r="B9006" t="s">
        <v>9011</v>
      </c>
      <c r="C9006">
        <f>HYPERLINK("C:\Users\franc\OneDrive\Documentos\MALENTIN KARIME\CESION\RESPALDO LUIS DIAZ\SOCIEDADES 2008\CESAR DIAZ CORTES. E.R.I.L..doc", "Abrir Documento")</f>
        <v>0</v>
      </c>
      <c r="D9006" t="s">
        <v>23500</v>
      </c>
      <c r="E9006" t="s">
        <v>31481</v>
      </c>
    </row>
    <row r="9007" spans="1:5">
      <c r="A9007" t="s">
        <v>6</v>
      </c>
      <c r="B9007" t="s">
        <v>9012</v>
      </c>
      <c r="C9007">
        <f>HYPERLINK("C:\Users\franc\OneDrive\Documentos\MALENTIN KARIME\CESION\RESPALDO LUIS DIAZ\SOCIEDADES 2008\CESAR DIAZ CORTES. E.I.R.L. Extracto.doc", "Abrir Documento")</f>
        <v>0</v>
      </c>
      <c r="D9007" t="s">
        <v>23500</v>
      </c>
      <c r="E9007" t="s">
        <v>31482</v>
      </c>
    </row>
    <row r="9008" spans="1:5">
      <c r="A9008" t="s">
        <v>6</v>
      </c>
      <c r="B9008" t="s">
        <v>9013</v>
      </c>
      <c r="C9008">
        <f>HYPERLINK("C:\Users\franc\OneDrive\Documentos\MALENTIN KARIME\CESION\RESPALDO LUIS DIAZ\SOCIEDADES 2008\CERTIFICADO MATRIMONIO.doc", "Abrir Documento")</f>
        <v>0</v>
      </c>
      <c r="D9008" t="s">
        <v>23500</v>
      </c>
      <c r="E9008" t="s">
        <v>31483</v>
      </c>
    </row>
    <row r="9009" spans="1:5">
      <c r="A9009" t="s">
        <v>6</v>
      </c>
      <c r="B9009" t="s">
        <v>9014</v>
      </c>
      <c r="C9009">
        <f>HYPERLINK("C:\Users\franc\OneDrive\Documentos\MALENTIN KARIME\CESION\RESPALDO LUIS DIAZ\SOCIEDADES 2008\CENTRO ODONTOLOG. AMBLER LTD..doc", "Abrir Documento")</f>
        <v>0</v>
      </c>
      <c r="D9009" t="s">
        <v>23500</v>
      </c>
      <c r="E9009" t="s">
        <v>31484</v>
      </c>
    </row>
    <row r="9010" spans="1:5">
      <c r="A9010" t="s">
        <v>6</v>
      </c>
      <c r="B9010" t="s">
        <v>9015</v>
      </c>
      <c r="C9010">
        <f>HYPERLINK("C:\Users\franc\OneDrive\Documentos\MALENTIN KARIME\CESION\RESPALDO LUIS DIAZ\SOCIEDADES 2008\CENTRO ODONTOLOG. AMBLER Extracto.doc", "Abrir Documento")</f>
        <v>0</v>
      </c>
      <c r="D9010" t="s">
        <v>23500</v>
      </c>
      <c r="E9010" t="s">
        <v>31485</v>
      </c>
    </row>
    <row r="9011" spans="1:5">
      <c r="A9011" t="s">
        <v>6</v>
      </c>
      <c r="B9011" t="s">
        <v>9016</v>
      </c>
      <c r="C9011">
        <f>HYPERLINK("C:\Users\franc\OneDrive\Documentos\MALENTIN KARIME\CESION\RESPALDO LUIS DIAZ\SOCIEDADES 2008\CEGECAP.MOD.EXT.doc", "Abrir Documento")</f>
        <v>0</v>
      </c>
      <c r="D9011" t="s">
        <v>23500</v>
      </c>
      <c r="E9011" t="s">
        <v>31486</v>
      </c>
    </row>
    <row r="9012" spans="1:5">
      <c r="A9012" t="s">
        <v>6</v>
      </c>
      <c r="B9012" t="s">
        <v>9017</v>
      </c>
      <c r="C9012">
        <f>HYPERLINK("C:\Users\franc\OneDrive\Documentos\MALENTIN KARIME\CESION\RESPALDO LUIS DIAZ\SOCIEDADES 2008\CEGECAP.MOD.doc", "Abrir Documento")</f>
        <v>0</v>
      </c>
      <c r="D9012" t="s">
        <v>23500</v>
      </c>
      <c r="E9012" t="s">
        <v>31487</v>
      </c>
    </row>
    <row r="9013" spans="1:5">
      <c r="A9013" t="s">
        <v>6</v>
      </c>
      <c r="B9013" t="s">
        <v>9018</v>
      </c>
      <c r="C9013">
        <f>HYPERLINK("C:\Users\franc\OneDrive\Documentos\MALENTIN KARIME\CESION\RESPALDO LUIS DIAZ\SOCIEDADES 2008\CEGECAP CONSULTORES.SOC.doc", "Abrir Documento")</f>
        <v>0</v>
      </c>
      <c r="D9013" t="s">
        <v>23500</v>
      </c>
      <c r="E9013" t="s">
        <v>31488</v>
      </c>
    </row>
    <row r="9014" spans="1:5">
      <c r="A9014" t="s">
        <v>6</v>
      </c>
      <c r="B9014" t="s">
        <v>9019</v>
      </c>
      <c r="C9014">
        <f>HYPERLINK("C:\Users\franc\OneDrive\Documentos\MALENTIN KARIME\CESION\RESPALDO LUIS DIAZ\SOCIEDADES 2008\CEGECAP CONSULTORES.EXT.doc", "Abrir Documento")</f>
        <v>0</v>
      </c>
      <c r="D9014" t="s">
        <v>23500</v>
      </c>
      <c r="E9014" t="s">
        <v>31489</v>
      </c>
    </row>
    <row r="9015" spans="1:5">
      <c r="A9015" t="s">
        <v>6</v>
      </c>
      <c r="B9015" t="s">
        <v>9020</v>
      </c>
      <c r="C9015">
        <f>HYPERLINK("C:\Users\franc\OneDrive\Documentos\MALENTIN KARIME\CESION\RESPALDO LUIS DIAZ\SOCIEDADES 2008\CANTA RANA.EXT.doc", "Abrir Documento")</f>
        <v>0</v>
      </c>
      <c r="D9015" t="s">
        <v>23500</v>
      </c>
      <c r="E9015" t="s">
        <v>31490</v>
      </c>
    </row>
    <row r="9016" spans="1:5">
      <c r="A9016" t="s">
        <v>6</v>
      </c>
      <c r="B9016" t="s">
        <v>9021</v>
      </c>
      <c r="C9016">
        <f>HYPERLINK("C:\Users\franc\OneDrive\Documentos\MALENTIN KARIME\CESION\RESPALDO LUIS DIAZ\SOCIEDADES 2008\C.V.C. CONSULTORES LTD..doc", "Abrir Documento")</f>
        <v>0</v>
      </c>
      <c r="D9016" t="s">
        <v>23500</v>
      </c>
      <c r="E9016" t="s">
        <v>31491</v>
      </c>
    </row>
    <row r="9017" spans="1:5">
      <c r="A9017" t="s">
        <v>6</v>
      </c>
      <c r="B9017" t="s">
        <v>9022</v>
      </c>
      <c r="C9017">
        <f>HYPERLINK("C:\Users\franc\OneDrive\Documentos\MALENTIN KARIME\CESION\RESPALDO LUIS DIAZ\SOCIEDADES 2008\C.V.C. CONSULTORES Extracto.doc", "Abrir Documento")</f>
        <v>0</v>
      </c>
      <c r="D9017" t="s">
        <v>23500</v>
      </c>
      <c r="E9017" t="s">
        <v>31492</v>
      </c>
    </row>
    <row r="9018" spans="1:5">
      <c r="A9018" t="s">
        <v>6</v>
      </c>
      <c r="B9018" t="s">
        <v>9023</v>
      </c>
      <c r="C9018">
        <f>HYPERLINK("C:\Users\franc\OneDrive\Documentos\MALENTIN KARIME\CESION\RESPALDO LUIS DIAZ\SOCIEDADES 2008\C V O SERVICIOS E.I.R.L..doc", "Abrir Documento")</f>
        <v>0</v>
      </c>
      <c r="D9018" t="s">
        <v>23500</v>
      </c>
      <c r="E9018" t="s">
        <v>31493</v>
      </c>
    </row>
    <row r="9019" spans="1:5">
      <c r="A9019" t="s">
        <v>6</v>
      </c>
      <c r="B9019" t="s">
        <v>9024</v>
      </c>
      <c r="C9019">
        <f>HYPERLINK("C:\Users\franc\OneDrive\Documentos\MALENTIN KARIME\CESION\RESPALDO LUIS DIAZ\SOCIEDADES 2008\C V O SERVICIOS  E.I.R.L. Extracto.doc", "Abrir Documento")</f>
        <v>0</v>
      </c>
      <c r="D9019" t="s">
        <v>23500</v>
      </c>
      <c r="E9019" t="s">
        <v>31494</v>
      </c>
    </row>
    <row r="9020" spans="1:5">
      <c r="A9020" t="s">
        <v>6</v>
      </c>
      <c r="B9020" t="s">
        <v>9025</v>
      </c>
      <c r="C9020">
        <f>HYPERLINK("C:\Users\franc\OneDrive\Documentos\MALENTIN KARIME\CESION\RESPALDO LUIS DIAZ\SOCIEDADES 2008\BRUNO ECCHER TORRES E.R.I.L..doc", "Abrir Documento")</f>
        <v>0</v>
      </c>
      <c r="D9020" t="s">
        <v>23500</v>
      </c>
      <c r="E9020" t="s">
        <v>31495</v>
      </c>
    </row>
    <row r="9021" spans="1:5">
      <c r="A9021" t="s">
        <v>6</v>
      </c>
      <c r="B9021" t="s">
        <v>9026</v>
      </c>
      <c r="C9021">
        <f>HYPERLINK("C:\Users\franc\OneDrive\Documentos\MALENTIN KARIME\CESION\RESPALDO LUIS DIAZ\SOCIEDADES 2008\Borrador Sociedad.doc", "Abrir Documento")</f>
        <v>0</v>
      </c>
      <c r="D9021" t="s">
        <v>23500</v>
      </c>
      <c r="E9021" t="s">
        <v>31496</v>
      </c>
    </row>
    <row r="9022" spans="1:5">
      <c r="A9022" t="s">
        <v>6</v>
      </c>
      <c r="B9022" t="s">
        <v>9027</v>
      </c>
      <c r="C9022">
        <f>HYPERLINK("C:\Users\franc\OneDrive\Documentos\MALENTIN KARIME\CESION\RESPALDO LUIS DIAZ\SOCIEDADES 2008\Borrador E.I.R.L. Inmobiliaria.doc", "Abrir Documento")</f>
        <v>0</v>
      </c>
      <c r="D9022" t="s">
        <v>23500</v>
      </c>
      <c r="E9022" t="s">
        <v>31497</v>
      </c>
    </row>
    <row r="9023" spans="1:5">
      <c r="A9023" t="s">
        <v>6</v>
      </c>
      <c r="B9023" t="s">
        <v>9028</v>
      </c>
      <c r="C9023">
        <f>HYPERLINK("C:\Users\franc\OneDrive\Documentos\MALENTIN KARIME\CESION\RESPALDO LUIS DIAZ\SOCIEDADES 2008\AVEMOR Modif. Extracto.doc", "Abrir Documento")</f>
        <v>0</v>
      </c>
      <c r="D9023" t="s">
        <v>23500</v>
      </c>
      <c r="E9023" t="s">
        <v>31498</v>
      </c>
    </row>
    <row r="9024" spans="1:5">
      <c r="A9024" t="s">
        <v>6</v>
      </c>
      <c r="B9024" t="s">
        <v>9029</v>
      </c>
      <c r="C9024">
        <f>HYPERLINK("C:\Users\franc\OneDrive\Documentos\MALENTIN KARIME\CESION\RESPALDO LUIS DIAZ\SOCIEDADES 2008\ASESORIAS G Y D LTDA.doc", "Abrir Documento")</f>
        <v>0</v>
      </c>
      <c r="D9024" t="s">
        <v>23500</v>
      </c>
      <c r="E9024" t="s">
        <v>31499</v>
      </c>
    </row>
    <row r="9025" spans="1:5">
      <c r="A9025" t="s">
        <v>6</v>
      </c>
      <c r="B9025" t="s">
        <v>9030</v>
      </c>
      <c r="C9025">
        <f>HYPERLINK("C:\Users\franc\OneDrive\Documentos\MALENTIN KARIME\CESION\RESPALDO LUIS DIAZ\SOCIEDADES 2008\ASERCOMET Y DCS LTDA. Disolución.doc", "Abrir Documento")</f>
        <v>0</v>
      </c>
      <c r="D9025" t="s">
        <v>23500</v>
      </c>
      <c r="E9025" t="s">
        <v>31500</v>
      </c>
    </row>
    <row r="9026" spans="1:5">
      <c r="A9026" t="s">
        <v>6</v>
      </c>
      <c r="B9026" t="s">
        <v>9031</v>
      </c>
      <c r="C9026">
        <f>HYPERLINK("C:\Users\franc\OneDrive\Documentos\MALENTIN KARIME\CESION\RESPALDO LUIS DIAZ\SOCIEDADES 2008\ASERCOMET LTDA. Extracto.doc", "Abrir Documento")</f>
        <v>0</v>
      </c>
      <c r="D9026" t="s">
        <v>23500</v>
      </c>
      <c r="E9026" t="s">
        <v>31501</v>
      </c>
    </row>
    <row r="9027" spans="1:5">
      <c r="A9027" t="s">
        <v>6</v>
      </c>
      <c r="B9027" t="s">
        <v>9032</v>
      </c>
      <c r="C9027">
        <f>HYPERLINK("C:\Users\franc\OneDrive\Documentos\MALENTIN KARIME\CESION\RESPALDO LUIS DIAZ\SOCIEDADES 2008\ASERCOMET LTD..doc", "Abrir Documento")</f>
        <v>0</v>
      </c>
      <c r="D9027" t="s">
        <v>23500</v>
      </c>
      <c r="E9027" t="s">
        <v>31502</v>
      </c>
    </row>
    <row r="9028" spans="1:5">
      <c r="A9028" t="s">
        <v>6</v>
      </c>
      <c r="B9028" t="s">
        <v>9033</v>
      </c>
      <c r="C9028">
        <f>HYPERLINK("C:\Users\franc\OneDrive\Documentos\MALENTIN KARIME\CESION\RESPALDO LUIS DIAZ\SOCIEDADES 2008\ARIDOS Y MINERALES ALVARO CORTES E.I.R.L..doc", "Abrir Documento")</f>
        <v>0</v>
      </c>
      <c r="D9028" t="s">
        <v>23500</v>
      </c>
      <c r="E9028" t="s">
        <v>31503</v>
      </c>
    </row>
    <row r="9029" spans="1:5">
      <c r="A9029" t="s">
        <v>6</v>
      </c>
      <c r="B9029" t="s">
        <v>9034</v>
      </c>
      <c r="C9029">
        <f>HYPERLINK("C:\Users\franc\OneDrive\Documentos\MALENTIN KARIME\CESION\RESPALDO LUIS DIAZ\SOCIEDADES 2008\ARIDOS Y MINERALES ALVARO CORTES E.I.R.L. Extracto.doc", "Abrir Documento")</f>
        <v>0</v>
      </c>
      <c r="D9029" t="s">
        <v>23500</v>
      </c>
      <c r="E9029" t="s">
        <v>31504</v>
      </c>
    </row>
    <row r="9030" spans="1:5">
      <c r="A9030" t="s">
        <v>6</v>
      </c>
      <c r="B9030" t="s">
        <v>9035</v>
      </c>
      <c r="C9030">
        <f>HYPERLINK("C:\Users\franc\OneDrive\Documentos\MALENTIN KARIME\CESION\RESPALDO LUIS DIAZ\SOCIEDADES 2008\ANTONIO GARCIA OCAYO Extracto.doc", "Abrir Documento")</f>
        <v>0</v>
      </c>
      <c r="D9030" t="s">
        <v>23500</v>
      </c>
      <c r="E9030" t="s">
        <v>31505</v>
      </c>
    </row>
    <row r="9031" spans="1:5">
      <c r="A9031" t="s">
        <v>6</v>
      </c>
      <c r="B9031" t="s">
        <v>9036</v>
      </c>
      <c r="C9031">
        <f>HYPERLINK("C:\Users\franc\OneDrive\Documentos\MALENTIN KARIME\CESION\RESPALDO LUIS DIAZ\SOCIEDADES 2008\ANTONIO GARCIA OCAYO E.I.R.L..doc", "Abrir Documento")</f>
        <v>0</v>
      </c>
      <c r="D9031" t="s">
        <v>23500</v>
      </c>
      <c r="E9031" t="s">
        <v>31506</v>
      </c>
    </row>
    <row r="9032" spans="1:5">
      <c r="A9032" t="s">
        <v>6</v>
      </c>
      <c r="B9032" t="s">
        <v>9037</v>
      </c>
      <c r="C9032">
        <f>HYPERLINK("C:\Users\franc\OneDrive\Documentos\MALENTIN KARIME\CESION\RESPALDO LUIS DIAZ\SOCIEDADES 2008\ANEXO SOC. CONTRACTUAL MINERA TALCA.doc", "Abrir Documento")</f>
        <v>0</v>
      </c>
      <c r="D9032" t="s">
        <v>23500</v>
      </c>
      <c r="E9032" t="s">
        <v>31507</v>
      </c>
    </row>
    <row r="9033" spans="1:5">
      <c r="A9033" t="s">
        <v>6</v>
      </c>
      <c r="B9033" t="s">
        <v>9038</v>
      </c>
      <c r="C9033">
        <f>HYPERLINK("C:\Users\franc\OneDrive\Documentos\MALENTIN KARIME\CESION\RESPALDO LUIS DIAZ\SOCIEDADES 2008\ANA BENAVENTE CASTILLO E.I.R.L..doc", "Abrir Documento")</f>
        <v>0</v>
      </c>
      <c r="D9033" t="s">
        <v>23500</v>
      </c>
      <c r="E9033" t="s">
        <v>31508</v>
      </c>
    </row>
    <row r="9034" spans="1:5">
      <c r="A9034" t="s">
        <v>6</v>
      </c>
      <c r="B9034" t="s">
        <v>9039</v>
      </c>
      <c r="C9034">
        <f>HYPERLINK("C:\Users\franc\OneDrive\Documentos\MALENTIN KARIME\CESION\RESPALDO LUIS DIAZ\SOCIEDADES 2008\ANA BENAVENTE C. E.I.R.L. Extracto.doc", "Abrir Documento")</f>
        <v>0</v>
      </c>
      <c r="D9034" t="s">
        <v>23500</v>
      </c>
      <c r="E9034" t="s">
        <v>31509</v>
      </c>
    </row>
    <row r="9035" spans="1:5">
      <c r="A9035" t="s">
        <v>6</v>
      </c>
      <c r="B9035" t="s">
        <v>9040</v>
      </c>
      <c r="C9035">
        <f>HYPERLINK("C:\Users\franc\OneDrive\Documentos\MALENTIN KARIME\CESION\RESPALDO LUIS DIAZ\SOCIEDADES 2008\ALFONSO VICENCIO O. E.I.R.L. Extracto.doc", "Abrir Documento")</f>
        <v>0</v>
      </c>
      <c r="D9035" t="s">
        <v>23500</v>
      </c>
      <c r="E9035" t="s">
        <v>31510</v>
      </c>
    </row>
    <row r="9036" spans="1:5">
      <c r="A9036" t="s">
        <v>6</v>
      </c>
      <c r="B9036" t="s">
        <v>9041</v>
      </c>
      <c r="C9036">
        <f>HYPERLINK("C:\Users\franc\OneDrive\Documentos\MALENTIN KARIME\CESION\RESPALDO LUIS DIAZ\SOCIEDADES 2008\ALFONSO VICENCIO E.R.I.L..doc", "Abrir Documento")</f>
        <v>0</v>
      </c>
      <c r="D9036" t="s">
        <v>23500</v>
      </c>
      <c r="E9036" t="s">
        <v>31511</v>
      </c>
    </row>
    <row r="9037" spans="1:5">
      <c r="A9037" t="s">
        <v>6</v>
      </c>
      <c r="B9037" t="s">
        <v>9042</v>
      </c>
      <c r="C9037">
        <f>HYPERLINK("C:\Users\franc\OneDrive\Documentos\MALENTIN KARIME\CESION\RESPALDO LUIS DIAZ\SOCIEDADES 2008\ALEXIS DIAZ E.I.R.L..doc", "Abrir Documento")</f>
        <v>0</v>
      </c>
      <c r="D9037" t="s">
        <v>23500</v>
      </c>
      <c r="E9037" t="s">
        <v>31512</v>
      </c>
    </row>
    <row r="9038" spans="1:5">
      <c r="A9038" t="s">
        <v>6</v>
      </c>
      <c r="B9038" t="s">
        <v>9043</v>
      </c>
      <c r="C9038">
        <f>HYPERLINK("C:\Users\franc\OneDrive\Documentos\MALENTIN KARIME\CESION\RESPALDO LUIS DIAZ\SOCIEDADES 2008\ALEXIS DIAZ E.I.R.L. Extracto.doc", "Abrir Documento")</f>
        <v>0</v>
      </c>
      <c r="D9038" t="s">
        <v>23500</v>
      </c>
      <c r="E9038" t="s">
        <v>31513</v>
      </c>
    </row>
    <row r="9039" spans="1:5">
      <c r="A9039" t="s">
        <v>6</v>
      </c>
      <c r="B9039" t="s">
        <v>9044</v>
      </c>
      <c r="C9039">
        <f>HYPERLINK("C:\Users\franc\OneDrive\Documentos\MALENTIN KARIME\CESION\RESPALDO LUIS DIAZ\SOCIEDADES 2008\AGUATIERRA.MOD.doc", "Abrir Documento")</f>
        <v>0</v>
      </c>
      <c r="D9039" t="s">
        <v>23500</v>
      </c>
      <c r="E9039" t="s">
        <v>31514</v>
      </c>
    </row>
    <row r="9040" spans="1:5">
      <c r="A9040" t="s">
        <v>6</v>
      </c>
      <c r="B9040" t="s">
        <v>9045</v>
      </c>
      <c r="C9040">
        <f>HYPERLINK("C:\Users\franc\OneDrive\Documentos\MALENTIN KARIME\CESION\RESPALDO LUIS DIAZ\SOCIEDADES 2008\AGUATIERRA.EXT.doc", "Abrir Documento")</f>
        <v>0</v>
      </c>
      <c r="D9040" t="s">
        <v>23500</v>
      </c>
      <c r="E9040" t="s">
        <v>31515</v>
      </c>
    </row>
    <row r="9041" spans="1:5">
      <c r="A9041" t="s">
        <v>6</v>
      </c>
      <c r="B9041" t="s">
        <v>9046</v>
      </c>
      <c r="C9041">
        <f>HYPERLINK("C:\Users\franc\OneDrive\Documentos\MALENTIN KARIME\CESION\RESPALDO LUIS DIAZ\SOCIEDADES 2008\AGUAS ALTO LAS MOLLACAS. Extracto.doc", "Abrir Documento")</f>
        <v>0</v>
      </c>
      <c r="D9041" t="s">
        <v>23500</v>
      </c>
      <c r="E9041" t="s">
        <v>31516</v>
      </c>
    </row>
    <row r="9042" spans="1:5">
      <c r="A9042" t="s">
        <v>6</v>
      </c>
      <c r="B9042" t="s">
        <v>9047</v>
      </c>
      <c r="C9042">
        <f>HYPERLINK("C:\Users\franc\OneDrive\Documentos\MALENTIN KARIME\CESION\RESPALDO LUIS DIAZ\SOCIEDADES 2008\AGUAS ALTO LAS MOLLACAS S.A..doc", "Abrir Documento")</f>
        <v>0</v>
      </c>
      <c r="D9042" t="s">
        <v>23500</v>
      </c>
      <c r="E9042" t="s">
        <v>31517</v>
      </c>
    </row>
    <row r="9043" spans="1:5">
      <c r="A9043" t="s">
        <v>6</v>
      </c>
      <c r="B9043" t="s">
        <v>9048</v>
      </c>
      <c r="C9043">
        <f>HYPERLINK("C:\Users\franc\OneDrive\Documentos\MALENTIN KARIME\CESION\RESPALDO LUIS DIAZ\SOCIEDADES 2008\AGROSERV. SN CARLOS S.A. Extr.doc", "Abrir Documento")</f>
        <v>0</v>
      </c>
      <c r="D9043" t="s">
        <v>23500</v>
      </c>
      <c r="E9043" t="s">
        <v>31518</v>
      </c>
    </row>
    <row r="9044" spans="1:5">
      <c r="A9044" t="s">
        <v>6</v>
      </c>
      <c r="B9044" t="s">
        <v>9049</v>
      </c>
      <c r="C9044">
        <f>HYPERLINK("C:\Users\franc\OneDrive\Documentos\MALENTIN KARIME\CESION\RESPALDO LUIS DIAZ\SOCIEDADES 2008\AGROSERV. SAN CARLOS S.A..doc", "Abrir Documento")</f>
        <v>0</v>
      </c>
      <c r="D9044" t="s">
        <v>23500</v>
      </c>
      <c r="E9044" t="s">
        <v>31519</v>
      </c>
    </row>
    <row r="9045" spans="1:5">
      <c r="A9045" t="s">
        <v>6</v>
      </c>
      <c r="B9045" t="s">
        <v>9050</v>
      </c>
      <c r="C9045">
        <f>HYPERLINK("C:\Users\franc\OneDrive\Documentos\MALENTIN KARIME\CESION\RESPALDO LUIS DIAZ\SOCIEDADES 2008\AGRIVET LTDA..doc", "Abrir Documento")</f>
        <v>0</v>
      </c>
      <c r="D9045" t="s">
        <v>23500</v>
      </c>
      <c r="E9045" t="s">
        <v>31520</v>
      </c>
    </row>
    <row r="9046" spans="1:5">
      <c r="A9046" t="s">
        <v>6</v>
      </c>
      <c r="B9046" t="s">
        <v>9051</v>
      </c>
      <c r="C9046">
        <f>HYPERLINK("C:\Users\franc\OneDrive\Documentos\MALENTIN KARIME\CESION\RESPALDO LUIS DIAZ\SOCIEDADES 2008\AGRIVET LTDA. Extracto.doc", "Abrir Documento")</f>
        <v>0</v>
      </c>
      <c r="D9046" t="s">
        <v>23500</v>
      </c>
      <c r="E9046" t="s">
        <v>31521</v>
      </c>
    </row>
    <row r="9047" spans="1:5">
      <c r="A9047" t="s">
        <v>6</v>
      </c>
      <c r="B9047" t="s">
        <v>9052</v>
      </c>
      <c r="C9047">
        <f>HYPERLINK("C:\Users\franc\OneDrive\Documentos\MALENTIN KARIME\CESION\RESPALDO LUIS DIAZ\SOCIEDADES 2008\AGRIVET LTDA. Aclaración.doc", "Abrir Documento")</f>
        <v>0</v>
      </c>
      <c r="D9047" t="s">
        <v>23500</v>
      </c>
      <c r="E9047" t="s">
        <v>31522</v>
      </c>
    </row>
    <row r="9048" spans="1:5">
      <c r="A9048" t="s">
        <v>6</v>
      </c>
      <c r="B9048" t="s">
        <v>9053</v>
      </c>
      <c r="C9048">
        <f>HYPERLINK("C:\Users\franc\OneDrive\Documentos\MALENTIN KARIME\CESION\RESPALDO LUIS DIAZ\SOCIEDADES 2008\AGRICOLA SANTA LUCIA LTD. Cesión Extracto.doc", "Abrir Documento")</f>
        <v>0</v>
      </c>
      <c r="D9048" t="s">
        <v>23500</v>
      </c>
      <c r="E9048" t="s">
        <v>31523</v>
      </c>
    </row>
    <row r="9049" spans="1:5">
      <c r="A9049" t="s">
        <v>6</v>
      </c>
      <c r="B9049" t="s">
        <v>9054</v>
      </c>
      <c r="C9049">
        <f>HYPERLINK("C:\Users\franc\OneDrive\Documentos\MALENTIN KARIME\CESION\RESPALDO LUIS DIAZ\SOCIEDADES 2008\AGRICOLA SANTA LUCIA  Cesión.doc", "Abrir Documento")</f>
        <v>0</v>
      </c>
      <c r="D9049" t="s">
        <v>23500</v>
      </c>
      <c r="E9049" t="s">
        <v>31524</v>
      </c>
    </row>
    <row r="9050" spans="1:5">
      <c r="A9050" t="s">
        <v>6</v>
      </c>
      <c r="B9050" t="s">
        <v>9055</v>
      </c>
      <c r="C9050">
        <f>HYPERLINK("C:\Users\franc\OneDrive\Documentos\MALENTIN KARIME\CESION\RESPALDO LUIS DIAZ\SOCIEDADES 2008\AGRICOLA ROBERTA LTDA..doc", "Abrir Documento")</f>
        <v>0</v>
      </c>
      <c r="D9050" t="s">
        <v>23500</v>
      </c>
      <c r="E9050" t="s">
        <v>31525</v>
      </c>
    </row>
    <row r="9051" spans="1:5">
      <c r="A9051" t="s">
        <v>6</v>
      </c>
      <c r="B9051" t="s">
        <v>9056</v>
      </c>
      <c r="C9051">
        <f>HYPERLINK("C:\Users\franc\OneDrive\Documentos\MALENTIN KARIME\CESION\RESPALDO LUIS DIAZ\SOCIEDADES 2008\AGRICOLA GO LTDA..doc", "Abrir Documento")</f>
        <v>0</v>
      </c>
      <c r="D9051" t="s">
        <v>23500</v>
      </c>
      <c r="E9051" t="s">
        <v>31526</v>
      </c>
    </row>
    <row r="9052" spans="1:5">
      <c r="A9052" t="s">
        <v>6</v>
      </c>
      <c r="B9052" t="s">
        <v>9057</v>
      </c>
      <c r="C9052">
        <f>HYPERLINK("C:\Users\franc\OneDrive\Documentos\MALENTIN KARIME\CESION\RESPALDO LUIS DIAZ\SOCIEDADES 2008\AGRICOLA DOÑA PATRICIA Aclaración.doc", "Abrir Documento")</f>
        <v>0</v>
      </c>
      <c r="D9052" t="s">
        <v>23500</v>
      </c>
      <c r="E9052" t="s">
        <v>31527</v>
      </c>
    </row>
    <row r="9053" spans="1:5">
      <c r="A9053" t="s">
        <v>6</v>
      </c>
      <c r="B9053" t="s">
        <v>9058</v>
      </c>
      <c r="C9053">
        <f>HYPERLINK("C:\Users\franc\OneDrive\Documentos\MALENTIN KARIME\CESION\RESPALDO LUIS DIAZ\SOCIEDADES 2008\AGRICOLA DOÑA PATRICIA Aclarac. Extracto.doc", "Abrir Documento")</f>
        <v>0</v>
      </c>
      <c r="D9053" t="s">
        <v>23500</v>
      </c>
      <c r="E9053" t="s">
        <v>31528</v>
      </c>
    </row>
    <row r="9054" spans="1:5">
      <c r="A9054" t="s">
        <v>6</v>
      </c>
      <c r="B9054" t="s">
        <v>9059</v>
      </c>
      <c r="C9054">
        <f>HYPERLINK("C:\Users\franc\OneDrive\Documentos\MALENTIN KARIME\CESION\RESPALDO LUIS DIAZ\SOCIEDADES 2008\AGRICOLA ARAYA HERRERO LTDA..doc", "Abrir Documento")</f>
        <v>0</v>
      </c>
      <c r="D9054" t="s">
        <v>23500</v>
      </c>
      <c r="E9054" t="s">
        <v>31529</v>
      </c>
    </row>
    <row r="9055" spans="1:5">
      <c r="A9055" t="s">
        <v>6</v>
      </c>
      <c r="B9055" t="s">
        <v>9060</v>
      </c>
      <c r="C9055">
        <f>HYPERLINK("C:\Users\franc\OneDrive\Documentos\MALENTIN KARIME\CESION\RESPALDO LUIS DIAZ\SOCIEDADES 2008\AGRICOLA ARAYA HERRERO Extracto.doc", "Abrir Documento")</f>
        <v>0</v>
      </c>
      <c r="D9055" t="s">
        <v>23500</v>
      </c>
      <c r="E9055" t="s">
        <v>31530</v>
      </c>
    </row>
    <row r="9056" spans="1:5">
      <c r="A9056" t="s">
        <v>6</v>
      </c>
      <c r="B9056" t="s">
        <v>9061</v>
      </c>
      <c r="C9056">
        <f>HYPERLINK("C:\Users\franc\OneDrive\Documentos\MALENTIN KARIME\CESION\RESPALDO LUIS DIAZ\SOCIEDADES 2008\AGRICOLA AGUSTIN ARAYA Del.Facul.doc", "Abrir Documento")</f>
        <v>0</v>
      </c>
      <c r="D9056" t="s">
        <v>23500</v>
      </c>
      <c r="E9056" t="s">
        <v>31531</v>
      </c>
    </row>
    <row r="9057" spans="1:5">
      <c r="A9057" t="s">
        <v>6</v>
      </c>
      <c r="B9057" t="s">
        <v>9062</v>
      </c>
      <c r="C9057">
        <f>HYPERLINK("C:\Users\franc\OneDrive\Documentos\MALENTIN KARIME\CESION\RESPALDO LUIS DIAZ\SOCIEDADES 2008\AGRIC. MARCELO CORRAL Modif..doc", "Abrir Documento")</f>
        <v>0</v>
      </c>
      <c r="D9057" t="s">
        <v>23500</v>
      </c>
      <c r="E9057" t="s">
        <v>31532</v>
      </c>
    </row>
    <row r="9058" spans="1:5">
      <c r="A9058" t="s">
        <v>6</v>
      </c>
      <c r="B9058" t="s">
        <v>9063</v>
      </c>
      <c r="C9058">
        <f>HYPERLINK("C:\Users\franc\OneDrive\Documentos\MALENTIN KARIME\CESION\RESPALDO LUIS DIAZ\SOCIEDADES 2008\AGR. STA MARTA DE MOSTAZAL Deleg.Fac.II.doc", "Abrir Documento")</f>
        <v>0</v>
      </c>
      <c r="D9058" t="s">
        <v>23500</v>
      </c>
      <c r="E9058" t="s">
        <v>31533</v>
      </c>
    </row>
    <row r="9059" spans="1:5">
      <c r="A9059" t="s">
        <v>6</v>
      </c>
      <c r="B9059" t="s">
        <v>9064</v>
      </c>
      <c r="C9059">
        <f>HYPERLINK("C:\Users\franc\OneDrive\Documentos\MALENTIN KARIME\CESION\RESPALDO LUIS DIAZ\SOCIEDADES 2008\AGR. STA MARTA DE MOSTAZAL Deleg.Fac..doc", "Abrir Documento")</f>
        <v>0</v>
      </c>
      <c r="D9059" t="s">
        <v>23500</v>
      </c>
      <c r="E9059" t="s">
        <v>31534</v>
      </c>
    </row>
    <row r="9060" spans="1:5">
      <c r="A9060" t="s">
        <v>6</v>
      </c>
      <c r="B9060" t="s">
        <v>9065</v>
      </c>
      <c r="C9060">
        <f>HYPERLINK("C:\Users\franc\OneDrive\Documentos\MALENTIN KARIME\CESION\RESPALDO LUIS DIAZ\SOCIEDADES 2008\AGR. ROBERTA LTDA.  Extracto.doc", "Abrir Documento")</f>
        <v>0</v>
      </c>
      <c r="D9060" t="s">
        <v>23500</v>
      </c>
      <c r="E9060" t="s">
        <v>31535</v>
      </c>
    </row>
    <row r="9061" spans="1:5">
      <c r="A9061" t="s">
        <v>6</v>
      </c>
      <c r="B9061" t="s">
        <v>9066</v>
      </c>
      <c r="C9061">
        <f>HYPERLINK("C:\Users\franc\OneDrive\Documentos\MALENTIN KARIME\CESION\RESPALDO LUIS DIAZ\SOCIEDADES 2008\AGR. MARCELO CORRAL Extracto.doc", "Abrir Documento")</f>
        <v>0</v>
      </c>
      <c r="D9061" t="s">
        <v>23500</v>
      </c>
      <c r="E9061" t="s">
        <v>31536</v>
      </c>
    </row>
    <row r="9062" spans="1:5">
      <c r="A9062" t="s">
        <v>6</v>
      </c>
      <c r="B9062" t="s">
        <v>9067</v>
      </c>
      <c r="C9062">
        <f>HYPERLINK("C:\Users\franc\OneDrive\Documentos\MALENTIN KARIME\CESION\RESPALDO LUIS DIAZ\SOCIEDADES 2008\AGR. LOS SAUSALES LTDA. Extracto Saneam..doc", "Abrir Documento")</f>
        <v>0</v>
      </c>
      <c r="D9062" t="s">
        <v>23500</v>
      </c>
      <c r="E9062" t="s">
        <v>31537</v>
      </c>
    </row>
    <row r="9063" spans="1:5">
      <c r="A9063" t="s">
        <v>6</v>
      </c>
      <c r="B9063" t="s">
        <v>9068</v>
      </c>
      <c r="C9063">
        <f>HYPERLINK("C:\Users\franc\OneDrive\Documentos\MALENTIN KARIME\CESION\RESPALDO LUIS DIAZ\SOCIEDADES 2008\AGR. LOS SAUSALES LT. Saneamiento.doc", "Abrir Documento")</f>
        <v>0</v>
      </c>
      <c r="D9063" t="s">
        <v>23500</v>
      </c>
      <c r="E9063" t="s">
        <v>31538</v>
      </c>
    </row>
    <row r="9064" spans="1:5">
      <c r="A9064" t="s">
        <v>6</v>
      </c>
      <c r="B9064" t="s">
        <v>9069</v>
      </c>
      <c r="C9064">
        <f>HYPERLINK("C:\Users\franc\OneDrive\Documentos\MALENTIN KARIME\CESION\RESPALDO LUIS DIAZ\SOCIEDADES 2008\AGR. LOS LLANOS DE LIMARI.EXT.doc", "Abrir Documento")</f>
        <v>0</v>
      </c>
      <c r="D9064" t="s">
        <v>23500</v>
      </c>
      <c r="E9064" t="s">
        <v>31539</v>
      </c>
    </row>
    <row r="9065" spans="1:5">
      <c r="A9065" t="s">
        <v>6</v>
      </c>
      <c r="B9065" t="s">
        <v>9070</v>
      </c>
      <c r="C9065">
        <f>HYPERLINK("C:\Users\franc\OneDrive\Documentos\MALENTIN KARIME\CESION\RESPALDO LUIS DIAZ\SOCIEDADES 2008\AGR. LOS LLANOS DE LIMARI.doc", "Abrir Documento")</f>
        <v>0</v>
      </c>
      <c r="D9065" t="s">
        <v>23500</v>
      </c>
      <c r="E9065" t="s">
        <v>31540</v>
      </c>
    </row>
    <row r="9066" spans="1:5">
      <c r="A9066" t="s">
        <v>6</v>
      </c>
      <c r="B9066" t="s">
        <v>9071</v>
      </c>
      <c r="C9066">
        <f>HYPERLINK("C:\Users\franc\OneDrive\Documentos\MALENTIN KARIME\CESION\RESPALDO LUIS DIAZ\SOCIEDADES 2008\AGR. E INV. JUAN PABLO Modif..doc", "Abrir Documento")</f>
        <v>0</v>
      </c>
      <c r="D9066" t="s">
        <v>23500</v>
      </c>
      <c r="E9066" t="s">
        <v>31541</v>
      </c>
    </row>
    <row r="9067" spans="1:5">
      <c r="A9067" t="s">
        <v>6</v>
      </c>
      <c r="B9067" t="s">
        <v>9072</v>
      </c>
      <c r="C9067">
        <f>HYPERLINK("C:\Users\franc\OneDrive\Documentos\MALENTIN KARIME\CESION\RESPALDO LUIS DIAZ\SOCIEDADES 2008\AGR. E INV. JUAN PABLO Modif. EXTRACTO.doc", "Abrir Documento")</f>
        <v>0</v>
      </c>
      <c r="D9067" t="s">
        <v>23500</v>
      </c>
      <c r="E9067" t="s">
        <v>31542</v>
      </c>
    </row>
    <row r="9068" spans="1:5">
      <c r="A9068" t="s">
        <v>6</v>
      </c>
      <c r="B9068" t="s">
        <v>9073</v>
      </c>
      <c r="C9068">
        <f>HYPERLINK("C:\Users\franc\OneDrive\Documentos\MALENTIN KARIME\CESION\RESPALDO LUIS DIAZ\SERVIDUMBRE\servidumbre.doc", "Abrir Documento")</f>
        <v>0</v>
      </c>
      <c r="D9068" t="s">
        <v>23500</v>
      </c>
      <c r="E9068" t="s">
        <v>31543</v>
      </c>
    </row>
    <row r="9069" spans="1:5">
      <c r="A9069" t="s">
        <v>6</v>
      </c>
      <c r="B9069" t="s">
        <v>9074</v>
      </c>
      <c r="C9069">
        <f>HYPERLINK("C:\Users\franc\OneDrive\Documentos\MALENTIN KARIME\CESION\RESPALDO LUIS DIAZ\SERVIDUMBRE\AGRICOLA EL ARBOLITO.doc", "Abrir Documento")</f>
        <v>0</v>
      </c>
      <c r="D9069" t="s">
        <v>23500</v>
      </c>
      <c r="E9069" t="s">
        <v>31544</v>
      </c>
    </row>
    <row r="9070" spans="1:5">
      <c r="A9070" t="s">
        <v>6</v>
      </c>
      <c r="B9070" t="s">
        <v>9075</v>
      </c>
      <c r="C9070">
        <f>HYPERLINK("C:\Users\franc\OneDrive\Documentos\MALENTIN KARIME\CESION\RESPALDO LUIS DIAZ\SERVIDUMBRE\AGRICOLA EL ARBOLITO Instrucc..doc", "Abrir Documento")</f>
        <v>0</v>
      </c>
      <c r="D9070" t="s">
        <v>23500</v>
      </c>
      <c r="E9070" t="s">
        <v>31545</v>
      </c>
    </row>
    <row r="9071" spans="1:5">
      <c r="A9071" t="s">
        <v>6</v>
      </c>
      <c r="B9071" t="s">
        <v>9076</v>
      </c>
      <c r="C9071">
        <f>HYPERLINK("C:\Users\franc\OneDrive\Documentos\MALENTIN KARIME\CESION\RESPALDO LUIS DIAZ\SERVIDUMBRE\AGRICOLA EL ARBOLITO Borrador.doc", "Abrir Documento")</f>
        <v>0</v>
      </c>
      <c r="D9071" t="s">
        <v>23500</v>
      </c>
      <c r="E9071" t="s">
        <v>31546</v>
      </c>
    </row>
    <row r="9072" spans="1:5">
      <c r="A9072" t="s">
        <v>6</v>
      </c>
      <c r="B9072" t="s">
        <v>9077</v>
      </c>
      <c r="C9072">
        <f>HYPERLINK("C:\Users\franc\OneDrive\Documentos\MALENTIN KARIME\CESION\RESPALDO LUIS DIAZ\SERGIO PERALTA\VILLAONinstrucciones Escritura Villalon Final23-ENERO2008.doc", "Abrir Documento")</f>
        <v>0</v>
      </c>
      <c r="D9072" t="s">
        <v>23500</v>
      </c>
      <c r="E9072" t="s">
        <v>31547</v>
      </c>
    </row>
    <row r="9073" spans="1:5">
      <c r="A9073" t="s">
        <v>6</v>
      </c>
      <c r="B9073" t="s">
        <v>9078</v>
      </c>
      <c r="C9073">
        <f>HYPERLINK("C:\Users\franc\OneDrive\Documentos\MALENTIN KARIME\CESION\RESPALDO LUIS DIAZ\SERGIO PERALTA\villalon Escritura_Villalon_Final[1]22-01-08.doc", "Abrir Documento")</f>
        <v>0</v>
      </c>
      <c r="D9073" t="s">
        <v>23500</v>
      </c>
      <c r="E9073" t="s">
        <v>31548</v>
      </c>
    </row>
    <row r="9074" spans="1:5">
      <c r="A9074" t="s">
        <v>6</v>
      </c>
      <c r="B9074" t="s">
        <v>9079</v>
      </c>
      <c r="C9074">
        <f>HYPERLINK("C:\Users\franc\OneDrive\Documentos\MALENTIN KARIME\CESION\RESPALDO LUIS DIAZ\SERGIO PERALTA\DECLARO BAJO JURAMENTO26-enero2008.doc", "Abrir Documento")</f>
        <v>0</v>
      </c>
      <c r="D9074" t="s">
        <v>23500</v>
      </c>
      <c r="E9074" t="s">
        <v>31549</v>
      </c>
    </row>
    <row r="9075" spans="1:5">
      <c r="A9075" t="s">
        <v>6</v>
      </c>
      <c r="B9075" t="s">
        <v>9080</v>
      </c>
      <c r="C9075">
        <f>HYPERLINK("C:\Users\franc\OneDrive\Documentos\MALENTIN KARIME\CESION\RESPALDO LUIS DIAZ\SERGIO PERALTA\DECLARO BAJO JURAMENTO.doc", "Abrir Documento")</f>
        <v>0</v>
      </c>
      <c r="D9075" t="s">
        <v>23500</v>
      </c>
      <c r="E9075" t="s">
        <v>31550</v>
      </c>
    </row>
    <row r="9076" spans="1:5">
      <c r="A9076" t="s">
        <v>6</v>
      </c>
      <c r="B9076" t="s">
        <v>9081</v>
      </c>
      <c r="C9076">
        <f>HYPERLINK("C:\Users\franc\OneDrive\Documentos\MALENTIN KARIME\CESION\RESPALDO LUIS DIAZ\SERGIO PERALTA\CARMEN VILLALON CASTEX.doc", "Abrir Documento")</f>
        <v>0</v>
      </c>
      <c r="D9076" t="s">
        <v>23500</v>
      </c>
      <c r="E9076" t="s">
        <v>31551</v>
      </c>
    </row>
    <row r="9077" spans="1:5">
      <c r="A9077" t="s">
        <v>6</v>
      </c>
      <c r="B9077" t="s">
        <v>9082</v>
      </c>
      <c r="C9077">
        <f>HYPERLINK("C:\Users\franc\OneDrive\Documentos\MALENTIN KARIME\CESION\RESPALDO LUIS DIAZ\SELIM DABED Y CIA\VERONICA ACUÑA ARAYA Mandato.doc", "Abrir Documento")</f>
        <v>0</v>
      </c>
      <c r="D9077" t="s">
        <v>23500</v>
      </c>
      <c r="E9077" t="s">
        <v>31552</v>
      </c>
    </row>
    <row r="9078" spans="1:5">
      <c r="A9078" t="s">
        <v>6</v>
      </c>
      <c r="B9078" t="s">
        <v>9083</v>
      </c>
      <c r="C9078">
        <f>HYPERLINK("C:\Users\franc\OneDrive\Documentos\MALENTIN KARIME\CESION\RESPALDO LUIS DIAZ\SELIM DABED Y CIA\VERONICA ACUÑA ARAYA Mandato II.doc", "Abrir Documento")</f>
        <v>0</v>
      </c>
      <c r="D9078" t="s">
        <v>23500</v>
      </c>
      <c r="E9078" t="s">
        <v>31553</v>
      </c>
    </row>
    <row r="9079" spans="1:5">
      <c r="A9079" t="s">
        <v>6</v>
      </c>
      <c r="B9079" t="s">
        <v>9084</v>
      </c>
      <c r="C9079">
        <f>HYPERLINK("C:\Users\franc\OneDrive\Documentos\MALENTIN KARIME\CESION\RESPALDO LUIS DIAZ\SELIM DABED Y CIA\STELLA PERRY A. a ROSEDAMA.doc", "Abrir Documento")</f>
        <v>0</v>
      </c>
      <c r="D9079" t="s">
        <v>23500</v>
      </c>
      <c r="E9079" t="s">
        <v>31554</v>
      </c>
    </row>
    <row r="9080" spans="1:5">
      <c r="A9080" t="s">
        <v>6</v>
      </c>
      <c r="B9080" t="s">
        <v>9085</v>
      </c>
      <c r="C9080">
        <f>HYPERLINK("C:\Users\franc\OneDrive\Documentos\MALENTIN KARIME\CESION\RESPALDO LUIS DIAZ\SELIM DABED Y CIA\STELLA PERRY A. a ROSEDAMA Instrucc..doc", "Abrir Documento")</f>
        <v>0</v>
      </c>
      <c r="D9080" t="s">
        <v>23500</v>
      </c>
      <c r="E9080" t="s">
        <v>31555</v>
      </c>
    </row>
    <row r="9081" spans="1:5">
      <c r="A9081" t="s">
        <v>6</v>
      </c>
      <c r="B9081" t="s">
        <v>9086</v>
      </c>
      <c r="C9081">
        <f>HYPERLINK("C:\Users\franc\OneDrive\Documentos\MALENTIN KARIME\CESION\RESPALDO LUIS DIAZ\SELIM DABED Y CIA\SOC. EDUC. MORGADO Y VILCHES Dación.doc", "Abrir Documento")</f>
        <v>0</v>
      </c>
      <c r="D9081" t="s">
        <v>23500</v>
      </c>
      <c r="E9081" t="s">
        <v>31556</v>
      </c>
    </row>
    <row r="9082" spans="1:5">
      <c r="A9082" t="s">
        <v>6</v>
      </c>
      <c r="B9082" t="s">
        <v>9087</v>
      </c>
      <c r="C9082">
        <f>HYPERLINK("C:\Users\franc\OneDrive\Documentos\MALENTIN KARIME\CESION\RESPALDO LUIS DIAZ\SELIM DABED Y CIA\SELIM DABED Y CIA. a TITO MUÑOZ Y OT..doc", "Abrir Documento")</f>
        <v>0</v>
      </c>
      <c r="D9082" t="s">
        <v>23500</v>
      </c>
      <c r="E9082" t="s">
        <v>31557</v>
      </c>
    </row>
    <row r="9083" spans="1:5">
      <c r="A9083" t="s">
        <v>6</v>
      </c>
      <c r="B9083" t="s">
        <v>9088</v>
      </c>
      <c r="C9083">
        <f>HYPERLINK("C:\Users\franc\OneDrive\Documentos\MALENTIN KARIME\CESION\RESPALDO LUIS DIAZ\SELIM DABED Y CIA\SELIM DABED Y CIA. a SOC. CANJE Y M..doc", "Abrir Documento")</f>
        <v>0</v>
      </c>
      <c r="D9083" t="s">
        <v>23500</v>
      </c>
      <c r="E9083" t="s">
        <v>31558</v>
      </c>
    </row>
    <row r="9084" spans="1:5">
      <c r="A9084" t="s">
        <v>6</v>
      </c>
      <c r="B9084" t="s">
        <v>9089</v>
      </c>
      <c r="C9084">
        <f>HYPERLINK("C:\Users\franc\OneDrive\Documentos\MALENTIN KARIME\CESION\RESPALDO LUIS DIAZ\SELIM DABED Y CIA\S. DABED a ALEJANDRO SANTANDER Alz.Prenda.doc", "Abrir Documento")</f>
        <v>0</v>
      </c>
      <c r="D9084" t="s">
        <v>23500</v>
      </c>
      <c r="E9084" t="s">
        <v>31559</v>
      </c>
    </row>
    <row r="9085" spans="1:5">
      <c r="A9085" t="s">
        <v>6</v>
      </c>
      <c r="B9085" t="s">
        <v>9090</v>
      </c>
      <c r="C9085">
        <f>HYPERLINK("C:\Users\franc\OneDrive\Documentos\MALENTIN KARIME\CESION\RESPALDO LUIS DIAZ\SELIM DABED Y CIA\RUBEN BERRIOS A. a S. DABED Prenda.doc", "Abrir Documento")</f>
        <v>0</v>
      </c>
      <c r="D9085" t="s">
        <v>23500</v>
      </c>
      <c r="E9085" t="s">
        <v>31560</v>
      </c>
    </row>
    <row r="9086" spans="1:5">
      <c r="A9086" t="s">
        <v>6</v>
      </c>
      <c r="B9086" t="s">
        <v>9091</v>
      </c>
      <c r="C9086">
        <f>HYPERLINK("C:\Users\franc\OneDrive\Documentos\MALENTIN KARIME\CESION\RESPALDO LUIS DIAZ\SELIM DABED Y CIA\RUBEN BERRIOS A. a S. DABED Extracto.doc", "Abrir Documento")</f>
        <v>0</v>
      </c>
      <c r="D9086" t="s">
        <v>23500</v>
      </c>
      <c r="E9086" t="s">
        <v>31561</v>
      </c>
    </row>
    <row r="9087" spans="1:5">
      <c r="A9087" t="s">
        <v>6</v>
      </c>
      <c r="B9087" t="s">
        <v>9092</v>
      </c>
      <c r="C9087">
        <f>HYPERLINK("C:\Users\franc\OneDrive\Documentos\MALENTIN KARIME\CESION\RESPALDO LUIS DIAZ\SELIM DABED Y CIA\ROBERTO DABED Y OTS. Mandato Gral..doc", "Abrir Documento")</f>
        <v>0</v>
      </c>
      <c r="D9087" t="s">
        <v>23500</v>
      </c>
      <c r="E9087" t="s">
        <v>31562</v>
      </c>
    </row>
    <row r="9088" spans="1:5">
      <c r="A9088" t="s">
        <v>6</v>
      </c>
      <c r="B9088" t="s">
        <v>9093</v>
      </c>
      <c r="C9088">
        <f>HYPERLINK("C:\Users\franc\OneDrive\Documentos\MALENTIN KARIME\CESION\RESPALDO LUIS DIAZ\SELIM DABED Y CIA\PERSONERIA ROBERTO HIJO.doc", "Abrir Documento")</f>
        <v>0</v>
      </c>
      <c r="D9088" t="s">
        <v>23500</v>
      </c>
      <c r="E9088" t="s">
        <v>31563</v>
      </c>
    </row>
    <row r="9089" spans="1:5">
      <c r="A9089" t="s">
        <v>6</v>
      </c>
      <c r="B9089" t="s">
        <v>9094</v>
      </c>
      <c r="C9089">
        <f>HYPERLINK("C:\Users\franc\OneDrive\Documentos\MALENTIN KARIME\CESION\RESPALDO LUIS DIAZ\SELIM DABED Y CIA\OSCAR CORTES CARVAJAL Mandato.doc", "Abrir Documento")</f>
        <v>0</v>
      </c>
      <c r="D9089" t="s">
        <v>23500</v>
      </c>
      <c r="E9089" t="s">
        <v>31564</v>
      </c>
    </row>
    <row r="9090" spans="1:5">
      <c r="A9090" t="s">
        <v>6</v>
      </c>
      <c r="B9090" t="s">
        <v>9095</v>
      </c>
      <c r="C9090">
        <f>HYPERLINK("C:\Users\franc\OneDrive\Documentos\MALENTIN KARIME\CESION\RESPALDO LUIS DIAZ\SELIM DABED Y CIA\OSCAR CORTES C. Término Mandato.doc", "Abrir Documento")</f>
        <v>0</v>
      </c>
      <c r="D9090" t="s">
        <v>23500</v>
      </c>
      <c r="E9090" t="s">
        <v>31565</v>
      </c>
    </row>
    <row r="9091" spans="1:5">
      <c r="A9091" t="s">
        <v>6</v>
      </c>
      <c r="B9091" t="s">
        <v>9096</v>
      </c>
      <c r="C9091">
        <f>HYPERLINK("C:\Users\franc\OneDrive\Documentos\MALENTIN KARIME\CESION\RESPALDO LUIS DIAZ\SELIM DABED Y CIA\OLGA TORO E.I.R.L. Poder 2011.doc", "Abrir Documento")</f>
        <v>0</v>
      </c>
      <c r="D9091" t="s">
        <v>23500</v>
      </c>
      <c r="E9091" t="s">
        <v>31566</v>
      </c>
    </row>
    <row r="9092" spans="1:5">
      <c r="A9092" t="s">
        <v>6</v>
      </c>
      <c r="B9092" t="s">
        <v>9097</v>
      </c>
      <c r="C9092">
        <f>HYPERLINK("C:\Users\franc\OneDrive\Documentos\MALENTIN KARIME\CESION\RESPALDO LUIS DIAZ\SELIM DABED Y CIA\LUIS CORTES JOFRE a S. DABED.doc", "Abrir Documento")</f>
        <v>0</v>
      </c>
      <c r="D9092" t="s">
        <v>23500</v>
      </c>
      <c r="E9092" t="s">
        <v>31567</v>
      </c>
    </row>
    <row r="9093" spans="1:5">
      <c r="A9093" t="s">
        <v>6</v>
      </c>
      <c r="B9093" t="s">
        <v>9098</v>
      </c>
      <c r="C9093">
        <f>HYPERLINK("C:\Users\franc\OneDrive\Documentos\MALENTIN KARIME\CESION\RESPALDO LUIS DIAZ\SELIM DABED Y CIA\LIBERTO ALFARO Y OTRA a ROSEDAMA LTD..doc", "Abrir Documento")</f>
        <v>0</v>
      </c>
      <c r="D9093" t="s">
        <v>23500</v>
      </c>
      <c r="E9093" t="s">
        <v>31568</v>
      </c>
    </row>
    <row r="9094" spans="1:5">
      <c r="A9094" t="s">
        <v>6</v>
      </c>
      <c r="B9094" t="s">
        <v>9099</v>
      </c>
      <c r="C9094">
        <f>HYPERLINK("C:\Users\franc\OneDrive\Documentos\MALENTIN KARIME\CESION\RESPALDO LUIS DIAZ\SELIM DABED Y CIA\LIBERTO ALFARO Y OTRA  Instrucciones.doc", "Abrir Documento")</f>
        <v>0</v>
      </c>
      <c r="D9094" t="s">
        <v>23500</v>
      </c>
      <c r="E9094" t="s">
        <v>31569</v>
      </c>
    </row>
    <row r="9095" spans="1:5">
      <c r="A9095" t="s">
        <v>6</v>
      </c>
      <c r="B9095" t="s">
        <v>9100</v>
      </c>
      <c r="C9095">
        <f>HYPERLINK("C:\Users\franc\OneDrive\Documentos\MALENTIN KARIME\CESION\RESPALDO LUIS DIAZ\SELIM DABED Y CIA\LIBERTO ALFARO Y OT a ROSEDAMA LTD. Definit..doc", "Abrir Documento")</f>
        <v>0</v>
      </c>
      <c r="D9095" t="s">
        <v>23500</v>
      </c>
      <c r="E9095" t="s">
        <v>31570</v>
      </c>
    </row>
    <row r="9096" spans="1:5">
      <c r="A9096" t="s">
        <v>6</v>
      </c>
      <c r="B9096" t="s">
        <v>9101</v>
      </c>
      <c r="C9096">
        <f>HYPERLINK("C:\Users\franc\OneDrive\Documentos\MALENTIN KARIME\CESION\RESPALDO LUIS DIAZ\SELIM DABED Y CIA\JORGE RAMIREZ RODRIGUEZ.doc", "Abrir Documento")</f>
        <v>0</v>
      </c>
      <c r="D9096" t="s">
        <v>23500</v>
      </c>
      <c r="E9096" t="s">
        <v>31571</v>
      </c>
    </row>
    <row r="9097" spans="1:5">
      <c r="A9097" t="s">
        <v>6</v>
      </c>
      <c r="B9097" t="s">
        <v>9102</v>
      </c>
      <c r="C9097">
        <f>HYPERLINK("C:\Users\franc\OneDrive\Documentos\MALENTIN KARIME\CESION\RESPALDO LUIS DIAZ\SELIM DABED Y CIA\JORGE RAMIREZ RODRIGUEZ Mayo 2012.doc", "Abrir Documento")</f>
        <v>0</v>
      </c>
      <c r="D9097" t="s">
        <v>23500</v>
      </c>
      <c r="E9097" t="s">
        <v>31572</v>
      </c>
    </row>
    <row r="9098" spans="1:5">
      <c r="A9098" t="s">
        <v>6</v>
      </c>
      <c r="B9098" t="s">
        <v>9103</v>
      </c>
      <c r="C9098">
        <f>HYPERLINK("C:\Users\franc\OneDrive\Documentos\MALENTIN KARIME\CESION\RESPALDO LUIS DIAZ\SELIM DABED Y CIA\JORGE RAMIREZ RODRIGUEZ Abril 2012.doc", "Abrir Documento")</f>
        <v>0</v>
      </c>
      <c r="D9098" t="s">
        <v>23500</v>
      </c>
      <c r="E9098" t="s">
        <v>31573</v>
      </c>
    </row>
    <row r="9099" spans="1:5">
      <c r="A9099" t="s">
        <v>6</v>
      </c>
      <c r="B9099" t="s">
        <v>9104</v>
      </c>
      <c r="C9099">
        <f>HYPERLINK("C:\Users\franc\OneDrive\Documentos\MALENTIN KARIME\CESION\RESPALDO LUIS DIAZ\SELIM DABED Y CIA\INPROCOL a LOS RISCOS LTDA..doc", "Abrir Documento")</f>
        <v>0</v>
      </c>
      <c r="D9099" t="s">
        <v>23500</v>
      </c>
      <c r="E9099" t="s">
        <v>31574</v>
      </c>
    </row>
    <row r="9100" spans="1:5">
      <c r="A9100" t="s">
        <v>6</v>
      </c>
      <c r="B9100" t="s">
        <v>9105</v>
      </c>
      <c r="C9100">
        <f>HYPERLINK("C:\Users\franc\OneDrive\Documentos\MALENTIN KARIME\CESION\RESPALDO LUIS DIAZ\SELIM DABED Y CIA\INMOBILIARIA LIMARI a TITO M. Y OT.doc", "Abrir Documento")</f>
        <v>0</v>
      </c>
      <c r="D9100" t="s">
        <v>23500</v>
      </c>
      <c r="E9100" t="s">
        <v>31575</v>
      </c>
    </row>
    <row r="9101" spans="1:5">
      <c r="A9101" t="s">
        <v>6</v>
      </c>
      <c r="B9101" t="s">
        <v>9106</v>
      </c>
      <c r="C9101">
        <f>HYPERLINK("C:\Users\franc\OneDrive\Documentos\MALENTIN KARIME\CESION\RESPALDO LUIS DIAZ\SELIM DABED Y CIA\GMO. NUÑEZ a ROSEDAMA LTDA. Promesa Cv..doc", "Abrir Documento")</f>
        <v>0</v>
      </c>
      <c r="D9101" t="s">
        <v>23500</v>
      </c>
      <c r="E9101" t="s">
        <v>31576</v>
      </c>
    </row>
    <row r="9102" spans="1:5">
      <c r="A9102" t="s">
        <v>6</v>
      </c>
      <c r="B9102" t="s">
        <v>9107</v>
      </c>
      <c r="C9102">
        <f>HYPERLINK("C:\Users\franc\OneDrive\Documentos\MALENTIN KARIME\CESION\RESPALDO LUIS DIAZ\SELIM DABED Y CIA\ENCABEZADO NOTARIA.doc", "Abrir Documento")</f>
        <v>0</v>
      </c>
      <c r="D9102" t="s">
        <v>23500</v>
      </c>
      <c r="E9102" t="s">
        <v>31577</v>
      </c>
    </row>
    <row r="9103" spans="1:5">
      <c r="A9103" t="s">
        <v>6</v>
      </c>
      <c r="B9103" t="s">
        <v>9108</v>
      </c>
      <c r="C9103">
        <f>HYPERLINK("C:\Users\franc\OneDrive\Documentos\MALENTIN KARIME\CESION\RESPALDO LUIS DIAZ\SELIM DABED Y CIA\EMPRESAS DABED a LINEA 18 - Privado.doc", "Abrir Documento")</f>
        <v>0</v>
      </c>
      <c r="D9103" t="s">
        <v>23500</v>
      </c>
      <c r="E9103" t="s">
        <v>31578</v>
      </c>
    </row>
    <row r="9104" spans="1:5">
      <c r="A9104" t="s">
        <v>6</v>
      </c>
      <c r="B9104" t="s">
        <v>9109</v>
      </c>
      <c r="C9104">
        <f>HYPERLINK("C:\Users\franc\OneDrive\Documentos\MALENTIN KARIME\CESION\RESPALDO LUIS DIAZ\SELIM DABED Y CIA\DON FELIPE INVERSIONES S.A. Mandato Jud..doc", "Abrir Documento")</f>
        <v>0</v>
      </c>
      <c r="D9104" t="s">
        <v>23500</v>
      </c>
      <c r="E9104" t="s">
        <v>31579</v>
      </c>
    </row>
    <row r="9105" spans="1:5">
      <c r="A9105" t="s">
        <v>6</v>
      </c>
      <c r="B9105" t="s">
        <v>9110</v>
      </c>
      <c r="C9105">
        <f>HYPERLINK("C:\Users\franc\OneDrive\Documentos\MALENTIN KARIME\CESION\RESPALDO LUIS DIAZ\SELIM DABED Y CIA\DANIEL CARVAJAL MONROY Prenda.doc", "Abrir Documento")</f>
        <v>0</v>
      </c>
      <c r="D9105" t="s">
        <v>23500</v>
      </c>
      <c r="E9105" t="s">
        <v>31580</v>
      </c>
    </row>
    <row r="9106" spans="1:5">
      <c r="A9106" t="s">
        <v>6</v>
      </c>
      <c r="B9106" t="s">
        <v>9111</v>
      </c>
      <c r="C9106">
        <f>HYPERLINK("C:\Users\franc\OneDrive\Documentos\MALENTIN KARIME\CESION\RESPALDO LUIS DIAZ\SELIM DABED Y CIA\DALMACIA S.A. a SELIM DABED Rec. Deuda.doc", "Abrir Documento")</f>
        <v>0</v>
      </c>
      <c r="D9106" t="s">
        <v>23500</v>
      </c>
      <c r="E9106" t="s">
        <v>31581</v>
      </c>
    </row>
    <row r="9107" spans="1:5">
      <c r="A9107" t="s">
        <v>6</v>
      </c>
      <c r="B9107" t="s">
        <v>9112</v>
      </c>
      <c r="C9107">
        <f>HYPERLINK("C:\Users\franc\OneDrive\Documentos\MALENTIN KARIME\CESION\RESPALDO LUIS DIAZ\SELIM DABED Y CIA\DALMACIA S.A. a S. DABED Rec. Deuda Jun.2012.doc", "Abrir Documento")</f>
        <v>0</v>
      </c>
      <c r="D9107" t="s">
        <v>23500</v>
      </c>
      <c r="E9107" t="s">
        <v>31582</v>
      </c>
    </row>
    <row r="9108" spans="1:5">
      <c r="A9108" t="s">
        <v>6</v>
      </c>
      <c r="B9108" t="s">
        <v>9113</v>
      </c>
      <c r="C9108">
        <f>HYPERLINK("C:\Users\franc\OneDrive\Documentos\MALENTIN KARIME\CESION\RESPALDO LUIS DIAZ\SELIM DABED Y CIA\DALMACIA S.A. a DOMITILA ANDRADE.doc", "Abrir Documento")</f>
        <v>0</v>
      </c>
      <c r="D9108" t="s">
        <v>23500</v>
      </c>
      <c r="E9108" t="s">
        <v>31583</v>
      </c>
    </row>
    <row r="9109" spans="1:5">
      <c r="A9109" t="s">
        <v>6</v>
      </c>
      <c r="B9109" t="s">
        <v>9114</v>
      </c>
      <c r="C9109">
        <f>HYPERLINK("C:\Users\franc\OneDrive\Documentos\MALENTIN KARIME\CESION\RESPALDO LUIS DIAZ\SELIM DABED Y CIA\CONSTRUC. LOS RISCOS LTDA. Mandato Jud..doc", "Abrir Documento")</f>
        <v>0</v>
      </c>
      <c r="D9109" t="s">
        <v>23500</v>
      </c>
      <c r="E9109" t="s">
        <v>31584</v>
      </c>
    </row>
    <row r="9110" spans="1:5">
      <c r="A9110" t="s">
        <v>6</v>
      </c>
      <c r="B9110" t="s">
        <v>9115</v>
      </c>
      <c r="C9110">
        <f>HYPERLINK("C:\Users\franc\OneDrive\Documentos\MALENTIN KARIME\CESION\RESPALDO LUIS DIAZ\SELIM DABED Y CIA\BLANCA ACHA MENDOZA Hipoteca.doc", "Abrir Documento")</f>
        <v>0</v>
      </c>
      <c r="D9110" t="s">
        <v>23500</v>
      </c>
      <c r="E9110" t="s">
        <v>31585</v>
      </c>
    </row>
    <row r="9111" spans="1:5">
      <c r="A9111" t="s">
        <v>6</v>
      </c>
      <c r="B9111" t="s">
        <v>9116</v>
      </c>
      <c r="C9111">
        <f>HYPERLINK("C:\Users\franc\OneDrive\Documentos\MALENTIN KARIME\CESION\RESPALDO LUIS DIAZ\SELIM DABED Y CIA\BLANCA ACHA MENDOZA Hipoteca Definitiva.doc", "Abrir Documento")</f>
        <v>0</v>
      </c>
      <c r="D9111" t="s">
        <v>23500</v>
      </c>
      <c r="E9111" t="s">
        <v>31586</v>
      </c>
    </row>
    <row r="9112" spans="1:5">
      <c r="A9112" t="s">
        <v>6</v>
      </c>
      <c r="B9112" t="s">
        <v>9117</v>
      </c>
      <c r="C9112">
        <f>HYPERLINK("C:\Users\franc\OneDrive\Documentos\MALENTIN KARIME\CESION\RESPALDO LUIS DIAZ\SELIM DABED Y CIA\AGR. SAN FELIPE ORIENTE Mandato Jud..doc", "Abrir Documento")</f>
        <v>0</v>
      </c>
      <c r="D9112" t="s">
        <v>23500</v>
      </c>
      <c r="E9112" t="s">
        <v>31587</v>
      </c>
    </row>
    <row r="9113" spans="1:5">
      <c r="A9113" t="s">
        <v>6</v>
      </c>
      <c r="B9113" t="s">
        <v>9118</v>
      </c>
      <c r="C9113">
        <f>HYPERLINK("C:\Users\franc\OneDrive\Documentos\MALENTIN KARIME\CESION\RESPALDO LUIS DIAZ\SELIM DABED Y CIA\AGR. LLANO NEGRO a SERGIO OVANDO.doc", "Abrir Documento")</f>
        <v>0</v>
      </c>
      <c r="D9113" t="s">
        <v>23500</v>
      </c>
      <c r="E9113" t="s">
        <v>31588</v>
      </c>
    </row>
    <row r="9114" spans="1:5">
      <c r="A9114" t="s">
        <v>6</v>
      </c>
      <c r="B9114" t="s">
        <v>9119</v>
      </c>
      <c r="C9114">
        <f>HYPERLINK("C:\Users\franc\OneDrive\Documentos\MALENTIN KARIME\CESION\RESPALDO LUIS DIAZ\RESPALDO\Mandatos\abogados\OLMEDO -ALIAGA.doc", "Abrir Documento")</f>
        <v>0</v>
      </c>
      <c r="D9114" t="s">
        <v>23500</v>
      </c>
      <c r="E9114" t="s">
        <v>31589</v>
      </c>
    </row>
    <row r="9115" spans="1:5">
      <c r="A9115" t="s">
        <v>6</v>
      </c>
      <c r="B9115" t="s">
        <v>9120</v>
      </c>
      <c r="C9115">
        <f>HYPERLINK("C:\Users\franc\OneDrive\Documentos\MALENTIN KARIME\CESION\RESPALDO LUIS DIAZ\RESPALDO\Mandatos\abogados\Congelados Malloco.doc", "Abrir Documento")</f>
        <v>0</v>
      </c>
      <c r="D9115" t="s">
        <v>23500</v>
      </c>
      <c r="E9115" t="s">
        <v>31590</v>
      </c>
    </row>
    <row r="9116" spans="1:5">
      <c r="A9116" t="s">
        <v>6</v>
      </c>
      <c r="B9116" t="s">
        <v>9121</v>
      </c>
      <c r="C9116">
        <f>HYPERLINK("C:\Users\franc\OneDrive\Documentos\MALENTIN KARIME\CESION\RESPALDO LUIS DIAZ\RESPALDO\Mandatos\Silvia Adaros y otros.doc", "Abrir Documento")</f>
        <v>0</v>
      </c>
      <c r="D9116" t="s">
        <v>23500</v>
      </c>
      <c r="E9116" t="s">
        <v>31591</v>
      </c>
    </row>
    <row r="9117" spans="1:5">
      <c r="A9117" t="s">
        <v>6</v>
      </c>
      <c r="B9117" t="s">
        <v>9122</v>
      </c>
      <c r="C9117">
        <f>HYPERLINK("C:\Users\franc\OneDrive\Documentos\MALENTIN KARIME\CESION\RESPALDO LUIS DIAZ\RESPALDO\Mandatos\RIVERA VEGA.doc", "Abrir Documento")</f>
        <v>0</v>
      </c>
      <c r="D9117" t="s">
        <v>23500</v>
      </c>
      <c r="E9117" t="s">
        <v>31592</v>
      </c>
    </row>
    <row r="9118" spans="1:5">
      <c r="A9118" t="s">
        <v>6</v>
      </c>
      <c r="B9118" t="s">
        <v>9123</v>
      </c>
      <c r="C9118">
        <f>HYPERLINK("C:\Users\franc\OneDrive\Documentos\MALENTIN KARIME\CESION\RESPALDO LUIS DIAZ\RESPALDO\Mandatos\municipalidad de ovalle.doc", "Abrir Documento")</f>
        <v>0</v>
      </c>
      <c r="D9118" t="s">
        <v>23500</v>
      </c>
      <c r="E9118" t="s">
        <v>31593</v>
      </c>
    </row>
    <row r="9119" spans="1:5">
      <c r="A9119" t="s">
        <v>6</v>
      </c>
      <c r="B9119" t="s">
        <v>9124</v>
      </c>
      <c r="C9119">
        <f>HYPERLINK("C:\Users\franc\OneDrive\Documentos\MALENTIN KARIME\CESION\RESPALDO LUIS DIAZ\RESPALDO\Mandatos\Lilia Tapia.doc", "Abrir Documento")</f>
        <v>0</v>
      </c>
      <c r="D9119" t="s">
        <v>23500</v>
      </c>
      <c r="E9119" t="s">
        <v>31594</v>
      </c>
    </row>
    <row r="9120" spans="1:5">
      <c r="A9120" t="s">
        <v>6</v>
      </c>
      <c r="B9120" t="s">
        <v>9125</v>
      </c>
      <c r="C9120">
        <f>HYPERLINK("C:\Users\franc\OneDrive\Documentos\MALENTIN KARIME\CESION\RESPALDO LUIS DIAZ\RESPALDO\Mandatos\Deisy Ortiz.doc", "Abrir Documento")</f>
        <v>0</v>
      </c>
      <c r="D9120" t="s">
        <v>23500</v>
      </c>
      <c r="E9120" t="s">
        <v>31595</v>
      </c>
    </row>
    <row r="9121" spans="1:5">
      <c r="A9121" t="s">
        <v>6</v>
      </c>
      <c r="B9121" t="s">
        <v>9126</v>
      </c>
      <c r="C9121">
        <f>HYPERLINK("C:\Users\franc\OneDrive\Documentos\MALENTIN KARIME\CESION\RESPALDO LUIS DIAZ\RESPALDO\Declaraciones\Ximena Piñones.doc", "Abrir Documento")</f>
        <v>0</v>
      </c>
      <c r="D9121" t="s">
        <v>23500</v>
      </c>
      <c r="E9121" t="s">
        <v>31596</v>
      </c>
    </row>
    <row r="9122" spans="1:5">
      <c r="A9122" t="s">
        <v>6</v>
      </c>
      <c r="B9122" t="s">
        <v>9127</v>
      </c>
      <c r="C9122">
        <f>HYPERLINK("C:\Users\franc\OneDrive\Documentos\MALENTIN KARIME\CESION\RESPALDO LUIS DIAZ\RESPALDO\Declaraciones\Lidia Godoy.doc", "Abrir Documento")</f>
        <v>0</v>
      </c>
      <c r="D9122" t="s">
        <v>23500</v>
      </c>
      <c r="E9122" t="s">
        <v>31597</v>
      </c>
    </row>
    <row r="9123" spans="1:5">
      <c r="A9123" t="s">
        <v>6</v>
      </c>
      <c r="B9123" t="s">
        <v>9128</v>
      </c>
      <c r="C9123">
        <f>HYPERLINK("C:\Users\franc\OneDrive\Documentos\MALENTIN KARIME\CESION\RESPALDO LUIS DIAZ\RESPALDO\Declaraciones\Iván Pavletic.doc", "Abrir Documento")</f>
        <v>0</v>
      </c>
      <c r="D9123" t="s">
        <v>23500</v>
      </c>
      <c r="E9123" t="s">
        <v>31598</v>
      </c>
    </row>
    <row r="9124" spans="1:5">
      <c r="A9124" t="s">
        <v>6</v>
      </c>
      <c r="B9124" t="s">
        <v>9129</v>
      </c>
      <c r="C9124">
        <f>HYPERLINK("C:\Users\franc\OneDrive\Documentos\MALENTIN KARIME\CESION\RESPALDO LUIS DIAZ\RESPALDO\Corpbanca\Mariano Díaz.doc", "Abrir Documento")</f>
        <v>0</v>
      </c>
      <c r="D9124" t="s">
        <v>23500</v>
      </c>
      <c r="E9124" t="s">
        <v>31599</v>
      </c>
    </row>
    <row r="9125" spans="1:5">
      <c r="A9125" t="s">
        <v>6</v>
      </c>
      <c r="B9125" t="s">
        <v>9130</v>
      </c>
      <c r="C9125">
        <f>HYPERLINK("C:\Users\franc\OneDrive\Documentos\MALENTIN KARIME\CESION\RESPALDO LUIS DIAZ\RESPALDO\Corpbanca\Carrizal.doc", "Abrir Documento")</f>
        <v>0</v>
      </c>
      <c r="D9125" t="s">
        <v>23500</v>
      </c>
      <c r="E9125" t="s">
        <v>31600</v>
      </c>
    </row>
    <row r="9126" spans="1:5">
      <c r="A9126" t="s">
        <v>6</v>
      </c>
      <c r="B9126" t="s">
        <v>9131</v>
      </c>
      <c r="C9126">
        <f>HYPERLINK("C:\Users\franc\OneDrive\Documentos\MALENTIN KARIME\CESION\RESPALDO LUIS DIAZ\RESPALDO\banco de Chile\PRENDA.doc", "Abrir Documento")</f>
        <v>0</v>
      </c>
      <c r="D9126" t="s">
        <v>23500</v>
      </c>
      <c r="E9126" t="s">
        <v>31601</v>
      </c>
    </row>
    <row r="9127" spans="1:5">
      <c r="A9127" t="s">
        <v>6</v>
      </c>
      <c r="B9127" t="s">
        <v>9132</v>
      </c>
      <c r="C9127">
        <f>HYPERLINK("C:\Users\franc\OneDrive\Documentos\MALENTIN KARIME\CESION\RESPALDO LUIS DIAZ\RESPALDO\banco de Chile\jacob.doc", "Abrir Documento")</f>
        <v>0</v>
      </c>
      <c r="D9127" t="s">
        <v>23500</v>
      </c>
      <c r="E9127" t="s">
        <v>31602</v>
      </c>
    </row>
    <row r="9128" spans="1:5">
      <c r="A9128" t="s">
        <v>6</v>
      </c>
      <c r="B9128" t="s">
        <v>9133</v>
      </c>
      <c r="C9128">
        <f>HYPERLINK("C:\Users\franc\OneDrive\Documentos\MALENTIN KARIME\CESION\RESPALDO LUIS DIAZ\RESPALDO\banco de Chile\EXTRACTO BACO DE CHILE ELMILAGRO.doc", "Abrir Documento")</f>
        <v>0</v>
      </c>
      <c r="D9128" t="s">
        <v>23500</v>
      </c>
      <c r="E9128" t="s">
        <v>31603</v>
      </c>
    </row>
    <row r="9129" spans="1:5">
      <c r="A9129" t="s">
        <v>6</v>
      </c>
      <c r="B9129" t="s">
        <v>9134</v>
      </c>
      <c r="C9129">
        <f>HYPERLINK("C:\Users\franc\OneDrive\Documentos\MALENTIN KARIME\CESION\RESPALDO LUIS DIAZ\RESPALDO\AUTOR.COPIA.doc", "Abrir Documento")</f>
        <v>0</v>
      </c>
      <c r="D9129" t="s">
        <v>23500</v>
      </c>
      <c r="E9129" t="s">
        <v>31604</v>
      </c>
    </row>
    <row r="9130" spans="1:5">
      <c r="A9130" t="s">
        <v>6</v>
      </c>
      <c r="B9130" t="s">
        <v>9135</v>
      </c>
      <c r="C9130">
        <f>HYPERLINK("C:\Users\franc\OneDrive\Documentos\MALENTIN KARIME\CESION\RESPALDO LUIS DIAZ\RESPALDO\AUTOR.COPIA marg..doc", "Abrir Documento")</f>
        <v>0</v>
      </c>
      <c r="D9130" t="s">
        <v>23500</v>
      </c>
      <c r="E9130" t="s">
        <v>31605</v>
      </c>
    </row>
    <row r="9131" spans="1:5">
      <c r="A9131" t="s">
        <v>6</v>
      </c>
      <c r="B9131" t="s">
        <v>9136</v>
      </c>
      <c r="C9131">
        <f>HYPERLINK("C:\Users\franc\OneDrive\Documentos\MALENTIN KARIME\CESION\RESPALDO LUIS DIAZ\RESPALDO\arriendo.doc", "Abrir Documento")</f>
        <v>0</v>
      </c>
      <c r="D9131" t="s">
        <v>23500</v>
      </c>
      <c r="E9131" t="s">
        <v>31606</v>
      </c>
    </row>
    <row r="9132" spans="1:5">
      <c r="A9132" t="s">
        <v>6</v>
      </c>
      <c r="B9132" t="s">
        <v>9137</v>
      </c>
      <c r="C9132">
        <f>HYPERLINK("C:\Users\franc\OneDrive\Documentos\MALENTIN KARIME\CESION\RESPALDO LUIS DIAZ\REDUCCIONES\PDTE. V.doc", "Abrir Documento")</f>
        <v>0</v>
      </c>
      <c r="D9132" t="s">
        <v>23500</v>
      </c>
      <c r="E9132" t="s">
        <v>31607</v>
      </c>
    </row>
    <row r="9133" spans="1:5">
      <c r="A9133" t="s">
        <v>6</v>
      </c>
      <c r="B9133" t="s">
        <v>9138</v>
      </c>
      <c r="C9133">
        <f>HYPERLINK("C:\Users\franc\OneDrive\Documentos\MALENTIN KARIME\CESION\RESPALDO LUIS DIAZ\REDUCCIONES\PDTE. IV.doc", "Abrir Documento")</f>
        <v>0</v>
      </c>
      <c r="D9133" t="s">
        <v>23500</v>
      </c>
      <c r="E9133" t="s">
        <v>31608</v>
      </c>
    </row>
    <row r="9134" spans="1:5">
      <c r="A9134" t="s">
        <v>6</v>
      </c>
      <c r="B9134" t="s">
        <v>9139</v>
      </c>
      <c r="C9134">
        <f>HYPERLINK("C:\Users\franc\OneDrive\Documentos\MALENTIN KARIME\CESION\RESPALDO LUIS DIAZ\REDUCCIONES\PDTE III.doc", "Abrir Documento")</f>
        <v>0</v>
      </c>
      <c r="D9134" t="s">
        <v>23500</v>
      </c>
      <c r="E9134" t="s">
        <v>31609</v>
      </c>
    </row>
    <row r="9135" spans="1:5">
      <c r="A9135" t="s">
        <v>6</v>
      </c>
      <c r="B9135" t="s">
        <v>9140</v>
      </c>
      <c r="C9135">
        <f>HYPERLINK("C:\Users\franc\OneDrive\Documentos\MALENTIN KARIME\CESION\RESPALDO LUIS DIAZ\REDUCCIONES\I N F O R M E   DE   T I T U L O S.doc", "Abrir Documento")</f>
        <v>0</v>
      </c>
      <c r="D9135" t="s">
        <v>23500</v>
      </c>
      <c r="E9135" t="s">
        <v>31610</v>
      </c>
    </row>
    <row r="9136" spans="1:5">
      <c r="A9136" t="s">
        <v>6</v>
      </c>
      <c r="B9136" t="s">
        <v>9141</v>
      </c>
      <c r="C9136">
        <f>HYPERLINK("C:\Users\franc\OneDrive\Documentos\MALENTIN KARIME\CESION\RESPALDO LUIS DIAZ\REDUCCIONES\COM. AGR. LAS DAMAS Der. Consuntivo.doc", "Abrir Documento")</f>
        <v>0</v>
      </c>
      <c r="D9136" t="s">
        <v>23500</v>
      </c>
      <c r="E9136" t="s">
        <v>31611</v>
      </c>
    </row>
    <row r="9137" spans="1:5">
      <c r="A9137" t="s">
        <v>6</v>
      </c>
      <c r="B9137" t="s">
        <v>9142</v>
      </c>
      <c r="C9137">
        <f>HYPERLINK("C:\Users\franc\OneDrive\Documentos\MALENTIN KARIME\CESION\RESPALDO LUIS DIAZ\REDUCCIONES\COM. AGR. LAS DAMAS Der. Consuntivo XXXII.doc", "Abrir Documento")</f>
        <v>0</v>
      </c>
      <c r="D9137" t="s">
        <v>23500</v>
      </c>
      <c r="E9137" t="s">
        <v>31612</v>
      </c>
    </row>
    <row r="9138" spans="1:5">
      <c r="A9138" t="s">
        <v>6</v>
      </c>
      <c r="B9138" t="s">
        <v>9143</v>
      </c>
      <c r="C9138">
        <f>HYPERLINK("C:\Users\franc\OneDrive\Documentos\MALENTIN KARIME\CESION\RESPALDO LUIS DIAZ\REDUCCIONES\COM. AGR. LAS DAMAS Der. Consuntivo XXXI.doc", "Abrir Documento")</f>
        <v>0</v>
      </c>
      <c r="D9138" t="s">
        <v>23500</v>
      </c>
      <c r="E9138" t="s">
        <v>31613</v>
      </c>
    </row>
    <row r="9139" spans="1:5">
      <c r="A9139" t="s">
        <v>6</v>
      </c>
      <c r="B9139" t="s">
        <v>9144</v>
      </c>
      <c r="C9139">
        <f>HYPERLINK("C:\Users\franc\OneDrive\Documentos\MALENTIN KARIME\CESION\RESPALDO LUIS DIAZ\REDUCCIONES\COM. AGR. LAS DAMAS Der. Consuntivo XXX.doc", "Abrir Documento")</f>
        <v>0</v>
      </c>
      <c r="D9139" t="s">
        <v>23500</v>
      </c>
      <c r="E9139" t="s">
        <v>31614</v>
      </c>
    </row>
    <row r="9140" spans="1:5">
      <c r="A9140" t="s">
        <v>6</v>
      </c>
      <c r="B9140" t="s">
        <v>9145</v>
      </c>
      <c r="C9140">
        <f>HYPERLINK("C:\Users\franc\OneDrive\Documentos\MALENTIN KARIME\CESION\RESPALDO LUIS DIAZ\REDUCCIONES\COM. AGR. LAS DAMAS Der. Consuntivo XXVIII.doc", "Abrir Documento")</f>
        <v>0</v>
      </c>
      <c r="D9140" t="s">
        <v>23500</v>
      </c>
      <c r="E9140" t="s">
        <v>31615</v>
      </c>
    </row>
    <row r="9141" spans="1:5">
      <c r="A9141" t="s">
        <v>6</v>
      </c>
      <c r="B9141" t="s">
        <v>9146</v>
      </c>
      <c r="C9141">
        <f>HYPERLINK("C:\Users\franc\OneDrive\Documentos\MALENTIN KARIME\CESION\RESPALDO LUIS DIAZ\REDUCCIONES\COM. AGR. LAS DAMAS Der. Consuntivo XXVII.doc", "Abrir Documento")</f>
        <v>0</v>
      </c>
      <c r="D9141" t="s">
        <v>23500</v>
      </c>
      <c r="E9141" t="s">
        <v>31616</v>
      </c>
    </row>
    <row r="9142" spans="1:5">
      <c r="A9142" t="s">
        <v>6</v>
      </c>
      <c r="B9142" t="s">
        <v>9147</v>
      </c>
      <c r="C9142">
        <f>HYPERLINK("C:\Users\franc\OneDrive\Documentos\MALENTIN KARIME\CESION\RESPALDO LUIS DIAZ\REDUCCIONES\COM. AGR. LAS DAMAS Der. Consuntivo XXVI.doc", "Abrir Documento")</f>
        <v>0</v>
      </c>
      <c r="D9142" t="s">
        <v>23500</v>
      </c>
      <c r="E9142" t="s">
        <v>31617</v>
      </c>
    </row>
    <row r="9143" spans="1:5">
      <c r="A9143" t="s">
        <v>6</v>
      </c>
      <c r="B9143" t="s">
        <v>9148</v>
      </c>
      <c r="C9143">
        <f>HYPERLINK("C:\Users\franc\OneDrive\Documentos\MALENTIN KARIME\CESION\RESPALDO LUIS DIAZ\REDUCCIONES\COM. AGR. LAS DAMAS Der. Consuntivo XXV.doc", "Abrir Documento")</f>
        <v>0</v>
      </c>
      <c r="D9143" t="s">
        <v>23500</v>
      </c>
      <c r="E9143" t="s">
        <v>31618</v>
      </c>
    </row>
    <row r="9144" spans="1:5">
      <c r="A9144" t="s">
        <v>6</v>
      </c>
      <c r="B9144" t="s">
        <v>9149</v>
      </c>
      <c r="C9144">
        <f>HYPERLINK("C:\Users\franc\OneDrive\Documentos\MALENTIN KARIME\CESION\RESPALDO LUIS DIAZ\REDUCCIONES\COM. AGR. LAS DAMAS Der. Consuntivo XXIX.doc", "Abrir Documento")</f>
        <v>0</v>
      </c>
      <c r="D9144" t="s">
        <v>23500</v>
      </c>
      <c r="E9144" t="s">
        <v>31619</v>
      </c>
    </row>
    <row r="9145" spans="1:5">
      <c r="A9145" t="s">
        <v>6</v>
      </c>
      <c r="B9145" t="s">
        <v>9150</v>
      </c>
      <c r="C9145">
        <f>HYPERLINK("C:\Users\franc\OneDrive\Documentos\MALENTIN KARIME\CESION\RESPALDO LUIS DIAZ\REDUCCIONES\COM. AGR. LAS DAMAS Der. Consuntivo XXIV.doc", "Abrir Documento")</f>
        <v>0</v>
      </c>
      <c r="D9145" t="s">
        <v>23500</v>
      </c>
      <c r="E9145" t="s">
        <v>31620</v>
      </c>
    </row>
    <row r="9146" spans="1:5">
      <c r="A9146" t="s">
        <v>6</v>
      </c>
      <c r="B9146" t="s">
        <v>9151</v>
      </c>
      <c r="C9146">
        <f>HYPERLINK("C:\Users\franc\OneDrive\Documentos\MALENTIN KARIME\CESION\RESPALDO LUIS DIAZ\REDUCCIONES\COM. AGR. LAS DAMAS Der. Consuntivo XXIII.doc", "Abrir Documento")</f>
        <v>0</v>
      </c>
      <c r="D9146" t="s">
        <v>23500</v>
      </c>
      <c r="E9146" t="s">
        <v>31621</v>
      </c>
    </row>
    <row r="9147" spans="1:5">
      <c r="A9147" t="s">
        <v>6</v>
      </c>
      <c r="B9147" t="s">
        <v>9152</v>
      </c>
      <c r="C9147">
        <f>HYPERLINK("C:\Users\franc\OneDrive\Documentos\MALENTIN KARIME\CESION\RESPALDO LUIS DIAZ\REDUCCIONES\COM. AGR. LAS DAMAS Der. Consuntivo XXII.doc", "Abrir Documento")</f>
        <v>0</v>
      </c>
      <c r="D9147" t="s">
        <v>23500</v>
      </c>
      <c r="E9147" t="s">
        <v>31622</v>
      </c>
    </row>
    <row r="9148" spans="1:5">
      <c r="A9148" t="s">
        <v>6</v>
      </c>
      <c r="B9148" t="s">
        <v>9153</v>
      </c>
      <c r="C9148">
        <f>HYPERLINK("C:\Users\franc\OneDrive\Documentos\MALENTIN KARIME\CESION\RESPALDO LUIS DIAZ\REDUCCIONES\COM. AGR. LAS DAMAS Der. Consuntivo XXI.doc", "Abrir Documento")</f>
        <v>0</v>
      </c>
      <c r="D9148" t="s">
        <v>23500</v>
      </c>
      <c r="E9148" t="s">
        <v>31623</v>
      </c>
    </row>
    <row r="9149" spans="1:5">
      <c r="A9149" t="s">
        <v>6</v>
      </c>
      <c r="B9149" t="s">
        <v>9154</v>
      </c>
      <c r="C9149">
        <f>HYPERLINK("C:\Users\franc\OneDrive\Documentos\MALENTIN KARIME\CESION\RESPALDO LUIS DIAZ\REDUCCIONES\COM. AGR. LAS DAMAS Der. Consuntivo XX.doc", "Abrir Documento")</f>
        <v>0</v>
      </c>
      <c r="D9149" t="s">
        <v>23500</v>
      </c>
      <c r="E9149" t="s">
        <v>31624</v>
      </c>
    </row>
    <row r="9150" spans="1:5">
      <c r="A9150" t="s">
        <v>6</v>
      </c>
      <c r="B9150" t="s">
        <v>9155</v>
      </c>
      <c r="C9150">
        <f>HYPERLINK("C:\Users\franc\OneDrive\Documentos\MALENTIN KARIME\CESION\RESPALDO LUIS DIAZ\REDUCCIONES\COM. AGR. LAS DAMAS Der. Consuntivo XVIII.doc", "Abrir Documento")</f>
        <v>0</v>
      </c>
      <c r="D9150" t="s">
        <v>23500</v>
      </c>
      <c r="E9150" t="s">
        <v>31625</v>
      </c>
    </row>
    <row r="9151" spans="1:5">
      <c r="A9151" t="s">
        <v>6</v>
      </c>
      <c r="B9151" t="s">
        <v>9156</v>
      </c>
      <c r="C9151">
        <f>HYPERLINK("C:\Users\franc\OneDrive\Documentos\MALENTIN KARIME\CESION\RESPALDO LUIS DIAZ\REDUCCIONES\COM. AGR. LAS DAMAS Der. Consuntivo XVII.doc", "Abrir Documento")</f>
        <v>0</v>
      </c>
      <c r="D9151" t="s">
        <v>23500</v>
      </c>
      <c r="E9151" t="s">
        <v>31626</v>
      </c>
    </row>
    <row r="9152" spans="1:5">
      <c r="A9152" t="s">
        <v>6</v>
      </c>
      <c r="B9152" t="s">
        <v>9157</v>
      </c>
      <c r="C9152">
        <f>HYPERLINK("C:\Users\franc\OneDrive\Documentos\MALENTIN KARIME\CESION\RESPALDO LUIS DIAZ\REDUCCIONES\COM. AGR. LAS DAMAS Der. Consuntivo XVI.doc", "Abrir Documento")</f>
        <v>0</v>
      </c>
      <c r="D9152" t="s">
        <v>23500</v>
      </c>
      <c r="E9152" t="s">
        <v>31627</v>
      </c>
    </row>
    <row r="9153" spans="1:5">
      <c r="A9153" t="s">
        <v>6</v>
      </c>
      <c r="B9153" t="s">
        <v>9158</v>
      </c>
      <c r="C9153">
        <f>HYPERLINK("C:\Users\franc\OneDrive\Documentos\MALENTIN KARIME\CESION\RESPALDO LUIS DIAZ\REDUCCIONES\COM. AGR. LAS DAMAS Der. Consuntivo XV.doc", "Abrir Documento")</f>
        <v>0</v>
      </c>
      <c r="D9153" t="s">
        <v>23500</v>
      </c>
      <c r="E9153" t="s">
        <v>31628</v>
      </c>
    </row>
    <row r="9154" spans="1:5">
      <c r="A9154" t="s">
        <v>6</v>
      </c>
      <c r="B9154" t="s">
        <v>9159</v>
      </c>
      <c r="C9154">
        <f>HYPERLINK("C:\Users\franc\OneDrive\Documentos\MALENTIN KARIME\CESION\RESPALDO LUIS DIAZ\REDUCCIONES\COM. AGR. LAS DAMAS Der. Consuntivo XIX.doc", "Abrir Documento")</f>
        <v>0</v>
      </c>
      <c r="D9154" t="s">
        <v>23500</v>
      </c>
      <c r="E9154" t="s">
        <v>31629</v>
      </c>
    </row>
    <row r="9155" spans="1:5">
      <c r="A9155" t="s">
        <v>6</v>
      </c>
      <c r="B9155" t="s">
        <v>9160</v>
      </c>
      <c r="C9155">
        <f>HYPERLINK("C:\Users\franc\OneDrive\Documentos\MALENTIN KARIME\CESION\RESPALDO LUIS DIAZ\REDUCCIONES\COM. AGR. LAS DAMAS Der. Consuntivo XIV.doc", "Abrir Documento")</f>
        <v>0</v>
      </c>
      <c r="D9155" t="s">
        <v>23500</v>
      </c>
      <c r="E9155" t="s">
        <v>31630</v>
      </c>
    </row>
    <row r="9156" spans="1:5">
      <c r="A9156" t="s">
        <v>6</v>
      </c>
      <c r="B9156" t="s">
        <v>9161</v>
      </c>
      <c r="C9156">
        <f>HYPERLINK("C:\Users\franc\OneDrive\Documentos\MALENTIN KARIME\CESION\RESPALDO LUIS DIAZ\REDUCCIONES\COM. AGR. LAS DAMAS Der. Consuntivo XIII.doc", "Abrir Documento")</f>
        <v>0</v>
      </c>
      <c r="D9156" t="s">
        <v>23500</v>
      </c>
      <c r="E9156" t="s">
        <v>31631</v>
      </c>
    </row>
    <row r="9157" spans="1:5">
      <c r="A9157" t="s">
        <v>6</v>
      </c>
      <c r="B9157" t="s">
        <v>9162</v>
      </c>
      <c r="C9157">
        <f>HYPERLINK("C:\Users\franc\OneDrive\Documentos\MALENTIN KARIME\CESION\RESPALDO LUIS DIAZ\REDUCCIONES\COM. AGR. LAS DAMAS Der. Consuntivo XII.doc", "Abrir Documento")</f>
        <v>0</v>
      </c>
      <c r="D9157" t="s">
        <v>23500</v>
      </c>
      <c r="E9157" t="s">
        <v>31632</v>
      </c>
    </row>
    <row r="9158" spans="1:5">
      <c r="A9158" t="s">
        <v>6</v>
      </c>
      <c r="B9158" t="s">
        <v>9163</v>
      </c>
      <c r="C9158">
        <f>HYPERLINK("C:\Users\franc\OneDrive\Documentos\MALENTIN KARIME\CESION\RESPALDO LUIS DIAZ\REDUCCIONES\COM. AGR. LAS DAMAS Der. Consuntivo XI.doc", "Abrir Documento")</f>
        <v>0</v>
      </c>
      <c r="D9158" t="s">
        <v>23500</v>
      </c>
      <c r="E9158" t="s">
        <v>31633</v>
      </c>
    </row>
    <row r="9159" spans="1:5">
      <c r="A9159" t="s">
        <v>6</v>
      </c>
      <c r="B9159" t="s">
        <v>9164</v>
      </c>
      <c r="C9159">
        <f>HYPERLINK("C:\Users\franc\OneDrive\Documentos\MALENTIN KARIME\CESION\RESPALDO LUIS DIAZ\REDUCCIONES\COM. AGR. LAS DAMAS Der. Consuntivo X.doc", "Abrir Documento")</f>
        <v>0</v>
      </c>
      <c r="D9159" t="s">
        <v>23500</v>
      </c>
      <c r="E9159" t="s">
        <v>31634</v>
      </c>
    </row>
    <row r="9160" spans="1:5">
      <c r="A9160" t="s">
        <v>6</v>
      </c>
      <c r="B9160" t="s">
        <v>9165</v>
      </c>
      <c r="C9160">
        <f>HYPERLINK("C:\Users\franc\OneDrive\Documentos\MALENTIN KARIME\CESION\RESPALDO LUIS DIAZ\REDUCCIONES\COM. AGR. LAS DAMAS Der. Consuntivo VIII.doc", "Abrir Documento")</f>
        <v>0</v>
      </c>
      <c r="D9160" t="s">
        <v>23500</v>
      </c>
      <c r="E9160" t="s">
        <v>31635</v>
      </c>
    </row>
    <row r="9161" spans="1:5">
      <c r="A9161" t="s">
        <v>6</v>
      </c>
      <c r="B9161" t="s">
        <v>9166</v>
      </c>
      <c r="C9161">
        <f>HYPERLINK("C:\Users\franc\OneDrive\Documentos\MALENTIN KARIME\CESION\RESPALDO LUIS DIAZ\REDUCCIONES\COM. AGR. LAS DAMAS Der. Consuntivo VII.doc", "Abrir Documento")</f>
        <v>0</v>
      </c>
      <c r="D9161" t="s">
        <v>23500</v>
      </c>
      <c r="E9161" t="s">
        <v>31636</v>
      </c>
    </row>
    <row r="9162" spans="1:5">
      <c r="A9162" t="s">
        <v>6</v>
      </c>
      <c r="B9162" t="s">
        <v>9167</v>
      </c>
      <c r="C9162">
        <f>HYPERLINK("C:\Users\franc\OneDrive\Documentos\MALENTIN KARIME\CESION\RESPALDO LUIS DIAZ\REDUCCIONES\COM. AGR. LAS DAMAS Der. Consuntivo VI.doc", "Abrir Documento")</f>
        <v>0</v>
      </c>
      <c r="D9162" t="s">
        <v>23500</v>
      </c>
      <c r="E9162" t="s">
        <v>31637</v>
      </c>
    </row>
    <row r="9163" spans="1:5">
      <c r="A9163" t="s">
        <v>6</v>
      </c>
      <c r="B9163" t="s">
        <v>9168</v>
      </c>
      <c r="C9163">
        <f>HYPERLINK("C:\Users\franc\OneDrive\Documentos\MALENTIN KARIME\CESION\RESPALDO LUIS DIAZ\REDUCCIONES\COM. AGR. LAS DAMAS Der. Consuntivo V.doc", "Abrir Documento")</f>
        <v>0</v>
      </c>
      <c r="D9163" t="s">
        <v>23500</v>
      </c>
      <c r="E9163" t="s">
        <v>31638</v>
      </c>
    </row>
    <row r="9164" spans="1:5">
      <c r="A9164" t="s">
        <v>6</v>
      </c>
      <c r="B9164" t="s">
        <v>9169</v>
      </c>
      <c r="C9164">
        <f>HYPERLINK("C:\Users\franc\OneDrive\Documentos\MALENTIN KARIME\CESION\RESPALDO LUIS DIAZ\REDUCCIONES\COM. AGR. LAS DAMAS Der. Consuntivo IX.doc", "Abrir Documento")</f>
        <v>0</v>
      </c>
      <c r="D9164" t="s">
        <v>23500</v>
      </c>
      <c r="E9164" t="s">
        <v>31639</v>
      </c>
    </row>
    <row r="9165" spans="1:5">
      <c r="A9165" t="s">
        <v>6</v>
      </c>
      <c r="B9165" t="s">
        <v>9170</v>
      </c>
      <c r="C9165">
        <f>HYPERLINK("C:\Users\franc\OneDrive\Documentos\MALENTIN KARIME\CESION\RESPALDO LUIS DIAZ\REDUCCIONES\COM. AGR. LAS DAMAS Der. Consuntivo IV.doc", "Abrir Documento")</f>
        <v>0</v>
      </c>
      <c r="D9165" t="s">
        <v>23500</v>
      </c>
      <c r="E9165" t="s">
        <v>31640</v>
      </c>
    </row>
    <row r="9166" spans="1:5">
      <c r="A9166" t="s">
        <v>6</v>
      </c>
      <c r="B9166" t="s">
        <v>9171</v>
      </c>
      <c r="C9166">
        <f>HYPERLINK("C:\Users\franc\OneDrive\Documentos\MALENTIN KARIME\CESION\RESPALDO LUIS DIAZ\REDUCCIONES\COM. AGR. LAS DAMAS Der. Consuntivo III.doc", "Abrir Documento")</f>
        <v>0</v>
      </c>
      <c r="D9166" t="s">
        <v>23500</v>
      </c>
      <c r="E9166" t="s">
        <v>31641</v>
      </c>
    </row>
    <row r="9167" spans="1:5">
      <c r="A9167" t="s">
        <v>6</v>
      </c>
      <c r="B9167" t="s">
        <v>9172</v>
      </c>
      <c r="C9167">
        <f>HYPERLINK("C:\Users\franc\OneDrive\Documentos\MALENTIN KARIME\CESION\RESPALDO LUIS DIAZ\REDUCCIONES\COM. AGR. LAS DAMAS Der. Consuntivo II.doc", "Abrir Documento")</f>
        <v>0</v>
      </c>
      <c r="D9167" t="s">
        <v>23500</v>
      </c>
      <c r="E9167" t="s">
        <v>31642</v>
      </c>
    </row>
    <row r="9168" spans="1:5">
      <c r="A9168" t="s">
        <v>6</v>
      </c>
      <c r="B9168" t="s">
        <v>9173</v>
      </c>
      <c r="C9168">
        <f>HYPERLINK("C:\Users\franc\OneDrive\Documentos\MALENTIN KARIME\CESION\RESPALDO LUIS DIAZ\REDUCCIONES\COM. AGR. EL ALTAR II.doc", "Abrir Documento")</f>
        <v>0</v>
      </c>
      <c r="D9168" t="s">
        <v>23500</v>
      </c>
      <c r="E9168" t="s">
        <v>31643</v>
      </c>
    </row>
    <row r="9169" spans="1:5">
      <c r="A9169" t="s">
        <v>6</v>
      </c>
      <c r="B9169" t="s">
        <v>9174</v>
      </c>
      <c r="C9169">
        <f>HYPERLINK("C:\Users\franc\OneDrive\Documentos\MALENTIN KARIME\CESION\RESPALDO LUIS DIAZ\REDUCCIONES\COM. AGR. EL ALTAR Der. Consuntivo.doc", "Abrir Documento")</f>
        <v>0</v>
      </c>
      <c r="D9169" t="s">
        <v>23500</v>
      </c>
      <c r="E9169" t="s">
        <v>31644</v>
      </c>
    </row>
    <row r="9170" spans="1:5">
      <c r="A9170" t="s">
        <v>6</v>
      </c>
      <c r="B9170" t="s">
        <v>9175</v>
      </c>
      <c r="C9170">
        <f>HYPERLINK("C:\Users\franc\OneDrive\Documentos\MALENTIN KARIME\CESION\RESPALDO LUIS DIAZ\REDUCCIONES\COM. AGR. EL ALTAR Der. Consuntivo XXXV.doc", "Abrir Documento")</f>
        <v>0</v>
      </c>
      <c r="D9170" t="s">
        <v>23500</v>
      </c>
      <c r="E9170" t="s">
        <v>31645</v>
      </c>
    </row>
    <row r="9171" spans="1:5">
      <c r="A9171" t="s">
        <v>6</v>
      </c>
      <c r="B9171" t="s">
        <v>9176</v>
      </c>
      <c r="C9171">
        <f>HYPERLINK("C:\Users\franc\OneDrive\Documentos\MALENTIN KARIME\CESION\RESPALDO LUIS DIAZ\REDUCCIONES\COM. AGR. EL ALTAR Der. Consuntivo XXXIV.doc", "Abrir Documento")</f>
        <v>0</v>
      </c>
      <c r="D9171" t="s">
        <v>23500</v>
      </c>
      <c r="E9171" t="s">
        <v>31646</v>
      </c>
    </row>
    <row r="9172" spans="1:5">
      <c r="A9172" t="s">
        <v>6</v>
      </c>
      <c r="B9172" t="s">
        <v>9177</v>
      </c>
      <c r="C9172">
        <f>HYPERLINK("C:\Users\franc\OneDrive\Documentos\MALENTIN KARIME\CESION\RESPALDO LUIS DIAZ\REDUCCIONES\COM. AGR. EL ALTAR Der. Consuntivo XXXIII.doc", "Abrir Documento")</f>
        <v>0</v>
      </c>
      <c r="D9172" t="s">
        <v>23500</v>
      </c>
      <c r="E9172" t="s">
        <v>31647</v>
      </c>
    </row>
    <row r="9173" spans="1:5">
      <c r="A9173" t="s">
        <v>6</v>
      </c>
      <c r="B9173" t="s">
        <v>9178</v>
      </c>
      <c r="C9173">
        <f>HYPERLINK("C:\Users\franc\OneDrive\Documentos\MALENTIN KARIME\CESION\RESPALDO LUIS DIAZ\REDUCCIONES\COM. AGR. EL ALTAR Der. Consuntivo XXXII.doc", "Abrir Documento")</f>
        <v>0</v>
      </c>
      <c r="D9173" t="s">
        <v>23500</v>
      </c>
      <c r="E9173" t="s">
        <v>31648</v>
      </c>
    </row>
    <row r="9174" spans="1:5">
      <c r="A9174" t="s">
        <v>6</v>
      </c>
      <c r="B9174" t="s">
        <v>9179</v>
      </c>
      <c r="C9174">
        <f>HYPERLINK("C:\Users\franc\OneDrive\Documentos\MALENTIN KARIME\CESION\RESPALDO LUIS DIAZ\REDUCCIONES\COM. AGR. EL ALTAR Der. Consuntivo XXXI.doc", "Abrir Documento")</f>
        <v>0</v>
      </c>
      <c r="D9174" t="s">
        <v>23500</v>
      </c>
      <c r="E9174" t="s">
        <v>31649</v>
      </c>
    </row>
    <row r="9175" spans="1:5">
      <c r="A9175" t="s">
        <v>6</v>
      </c>
      <c r="B9175" t="s">
        <v>9180</v>
      </c>
      <c r="C9175">
        <f>HYPERLINK("C:\Users\franc\OneDrive\Documentos\MALENTIN KARIME\CESION\RESPALDO LUIS DIAZ\REDUCCIONES\COM. AGR. EL ALTAR Der. Consuntivo XXX.doc", "Abrir Documento")</f>
        <v>0</v>
      </c>
      <c r="D9175" t="s">
        <v>23500</v>
      </c>
      <c r="E9175" t="s">
        <v>31650</v>
      </c>
    </row>
    <row r="9176" spans="1:5">
      <c r="A9176" t="s">
        <v>6</v>
      </c>
      <c r="B9176" t="s">
        <v>9181</v>
      </c>
      <c r="C9176">
        <f>HYPERLINK("C:\Users\franc\OneDrive\Documentos\MALENTIN KARIME\CESION\RESPALDO LUIS DIAZ\REDUCCIONES\COM. AGR. EL ALTAR Der. Consuntivo XXVIII.doc", "Abrir Documento")</f>
        <v>0</v>
      </c>
      <c r="D9176" t="s">
        <v>23500</v>
      </c>
      <c r="E9176" t="s">
        <v>31651</v>
      </c>
    </row>
    <row r="9177" spans="1:5">
      <c r="A9177" t="s">
        <v>6</v>
      </c>
      <c r="B9177" t="s">
        <v>9182</v>
      </c>
      <c r="C9177">
        <f>HYPERLINK("C:\Users\franc\OneDrive\Documentos\MALENTIN KARIME\CESION\RESPALDO LUIS DIAZ\REDUCCIONES\COM. AGR. EL ALTAR Der. Consuntivo XXVII.doc", "Abrir Documento")</f>
        <v>0</v>
      </c>
      <c r="D9177" t="s">
        <v>23500</v>
      </c>
      <c r="E9177" t="s">
        <v>31652</v>
      </c>
    </row>
    <row r="9178" spans="1:5">
      <c r="A9178" t="s">
        <v>6</v>
      </c>
      <c r="B9178" t="s">
        <v>9183</v>
      </c>
      <c r="C9178">
        <f>HYPERLINK("C:\Users\franc\OneDrive\Documentos\MALENTIN KARIME\CESION\RESPALDO LUIS DIAZ\REDUCCIONES\COM. AGR. EL ALTAR Der. Consuntivo XXVI.doc", "Abrir Documento")</f>
        <v>0</v>
      </c>
      <c r="D9178" t="s">
        <v>23500</v>
      </c>
      <c r="E9178" t="s">
        <v>31653</v>
      </c>
    </row>
    <row r="9179" spans="1:5">
      <c r="A9179" t="s">
        <v>6</v>
      </c>
      <c r="B9179" t="s">
        <v>9184</v>
      </c>
      <c r="C9179">
        <f>HYPERLINK("C:\Users\franc\OneDrive\Documentos\MALENTIN KARIME\CESION\RESPALDO LUIS DIAZ\REDUCCIONES\COM. AGR. EL ALTAR Der. Consuntivo XXV.doc", "Abrir Documento")</f>
        <v>0</v>
      </c>
      <c r="D9179" t="s">
        <v>23500</v>
      </c>
      <c r="E9179" t="s">
        <v>31654</v>
      </c>
    </row>
    <row r="9180" spans="1:5">
      <c r="A9180" t="s">
        <v>6</v>
      </c>
      <c r="B9180" t="s">
        <v>9185</v>
      </c>
      <c r="C9180">
        <f>HYPERLINK("C:\Users\franc\OneDrive\Documentos\MALENTIN KARIME\CESION\RESPALDO LUIS DIAZ\REDUCCIONES\COM. AGR. EL ALTAR Der. Consuntivo XXIX.doc", "Abrir Documento")</f>
        <v>0</v>
      </c>
      <c r="D9180" t="s">
        <v>23500</v>
      </c>
      <c r="E9180" t="s">
        <v>31655</v>
      </c>
    </row>
    <row r="9181" spans="1:5">
      <c r="A9181" t="s">
        <v>6</v>
      </c>
      <c r="B9181" t="s">
        <v>9186</v>
      </c>
      <c r="C9181">
        <f>HYPERLINK("C:\Users\franc\OneDrive\Documentos\MALENTIN KARIME\CESION\RESPALDO LUIS DIAZ\REDUCCIONES\COM. AGR. EL ALTAR Der. Consuntivo XXIV.doc", "Abrir Documento")</f>
        <v>0</v>
      </c>
      <c r="D9181" t="s">
        <v>23500</v>
      </c>
      <c r="E9181" t="s">
        <v>31656</v>
      </c>
    </row>
    <row r="9182" spans="1:5">
      <c r="A9182" t="s">
        <v>6</v>
      </c>
      <c r="B9182" t="s">
        <v>9187</v>
      </c>
      <c r="C9182">
        <f>HYPERLINK("C:\Users\franc\OneDrive\Documentos\MALENTIN KARIME\CESION\RESPALDO LUIS DIAZ\REDUCCIONES\COM. AGR. EL ALTAR Der. Consuntivo XXIII.doc", "Abrir Documento")</f>
        <v>0</v>
      </c>
      <c r="D9182" t="s">
        <v>23500</v>
      </c>
      <c r="E9182" t="s">
        <v>31657</v>
      </c>
    </row>
    <row r="9183" spans="1:5">
      <c r="A9183" t="s">
        <v>6</v>
      </c>
      <c r="B9183" t="s">
        <v>9188</v>
      </c>
      <c r="C9183">
        <f>HYPERLINK("C:\Users\franc\OneDrive\Documentos\MALENTIN KARIME\CESION\RESPALDO LUIS DIAZ\REDUCCIONES\COM. AGR. EL ALTAR Der. Consuntivo XXII.doc", "Abrir Documento")</f>
        <v>0</v>
      </c>
      <c r="D9183" t="s">
        <v>23500</v>
      </c>
      <c r="E9183" t="s">
        <v>31658</v>
      </c>
    </row>
    <row r="9184" spans="1:5">
      <c r="A9184" t="s">
        <v>6</v>
      </c>
      <c r="B9184" t="s">
        <v>9189</v>
      </c>
      <c r="C9184">
        <f>HYPERLINK("C:\Users\franc\OneDrive\Documentos\MALENTIN KARIME\CESION\RESPALDO LUIS DIAZ\REDUCCIONES\COM. AGR. EL ALTAR Der. Consuntivo XXI.doc", "Abrir Documento")</f>
        <v>0</v>
      </c>
      <c r="D9184" t="s">
        <v>23500</v>
      </c>
      <c r="E9184" t="s">
        <v>31659</v>
      </c>
    </row>
    <row r="9185" spans="1:5">
      <c r="A9185" t="s">
        <v>6</v>
      </c>
      <c r="B9185" t="s">
        <v>9190</v>
      </c>
      <c r="C9185">
        <f>HYPERLINK("C:\Users\franc\OneDrive\Documentos\MALENTIN KARIME\CESION\RESPALDO LUIS DIAZ\REDUCCIONES\COM. AGR. EL ALTAR Der. Consuntivo XX.doc", "Abrir Documento")</f>
        <v>0</v>
      </c>
      <c r="D9185" t="s">
        <v>23500</v>
      </c>
      <c r="E9185" t="s">
        <v>31660</v>
      </c>
    </row>
    <row r="9186" spans="1:5">
      <c r="A9186" t="s">
        <v>6</v>
      </c>
      <c r="B9186" t="s">
        <v>9191</v>
      </c>
      <c r="C9186">
        <f>HYPERLINK("C:\Users\franc\OneDrive\Documentos\MALENTIN KARIME\CESION\RESPALDO LUIS DIAZ\REDUCCIONES\COM. AGR. EL ALTAR Der. Consuntivo XVIII.doc", "Abrir Documento")</f>
        <v>0</v>
      </c>
      <c r="D9186" t="s">
        <v>23500</v>
      </c>
      <c r="E9186" t="s">
        <v>31661</v>
      </c>
    </row>
    <row r="9187" spans="1:5">
      <c r="A9187" t="s">
        <v>6</v>
      </c>
      <c r="B9187" t="s">
        <v>9192</v>
      </c>
      <c r="C9187">
        <f>HYPERLINK("C:\Users\franc\OneDrive\Documentos\MALENTIN KARIME\CESION\RESPALDO LUIS DIAZ\REDUCCIONES\COM. AGR. EL ALTAR Der. Consuntivo XVII.doc", "Abrir Documento")</f>
        <v>0</v>
      </c>
      <c r="D9187" t="s">
        <v>23500</v>
      </c>
      <c r="E9187" t="s">
        <v>31662</v>
      </c>
    </row>
    <row r="9188" spans="1:5">
      <c r="A9188" t="s">
        <v>6</v>
      </c>
      <c r="B9188" t="s">
        <v>9193</v>
      </c>
      <c r="C9188">
        <f>HYPERLINK("C:\Users\franc\OneDrive\Documentos\MALENTIN KARIME\CESION\RESPALDO LUIS DIAZ\REDUCCIONES\COM. AGR. EL ALTAR Der. Consuntivo XVI.doc", "Abrir Documento")</f>
        <v>0</v>
      </c>
      <c r="D9188" t="s">
        <v>23500</v>
      </c>
      <c r="E9188" t="s">
        <v>31663</v>
      </c>
    </row>
    <row r="9189" spans="1:5">
      <c r="A9189" t="s">
        <v>6</v>
      </c>
      <c r="B9189" t="s">
        <v>9194</v>
      </c>
      <c r="C9189">
        <f>HYPERLINK("C:\Users\franc\OneDrive\Documentos\MALENTIN KARIME\CESION\RESPALDO LUIS DIAZ\REDUCCIONES\COM. AGR. EL ALTAR Der. Consuntivo XIX.doc", "Abrir Documento")</f>
        <v>0</v>
      </c>
      <c r="D9189" t="s">
        <v>23500</v>
      </c>
      <c r="E9189" t="s">
        <v>31664</v>
      </c>
    </row>
    <row r="9190" spans="1:5">
      <c r="A9190" t="s">
        <v>6</v>
      </c>
      <c r="B9190" t="s">
        <v>9195</v>
      </c>
      <c r="C9190">
        <f>HYPERLINK("C:\Users\franc\OneDrive\Documentos\MALENTIN KARIME\CESION\RESPALDO LUIS DIAZ\REDUCCIONES\COM. AGR. EL ALTAR Der. Consuntivo XIV.doc", "Abrir Documento")</f>
        <v>0</v>
      </c>
      <c r="D9190" t="s">
        <v>23500</v>
      </c>
      <c r="E9190" t="s">
        <v>31665</v>
      </c>
    </row>
    <row r="9191" spans="1:5">
      <c r="A9191" t="s">
        <v>6</v>
      </c>
      <c r="B9191" t="s">
        <v>9196</v>
      </c>
      <c r="C9191">
        <f>HYPERLINK("C:\Users\franc\OneDrive\Documentos\MALENTIN KARIME\CESION\RESPALDO LUIS DIAZ\REDUCCIONES\COM. AGR. EL ALTAR Der. Consuntivo XIII.doc", "Abrir Documento")</f>
        <v>0</v>
      </c>
      <c r="D9191" t="s">
        <v>23500</v>
      </c>
      <c r="E9191" t="s">
        <v>31666</v>
      </c>
    </row>
    <row r="9192" spans="1:5">
      <c r="A9192" t="s">
        <v>6</v>
      </c>
      <c r="B9192" t="s">
        <v>9197</v>
      </c>
      <c r="C9192">
        <f>HYPERLINK("C:\Users\franc\OneDrive\Documentos\MALENTIN KARIME\CESION\RESPALDO LUIS DIAZ\REDUCCIONES\COM. AGR. EL ALTAR Der. Consuntivo XII.doc", "Abrir Documento")</f>
        <v>0</v>
      </c>
      <c r="D9192" t="s">
        <v>23500</v>
      </c>
      <c r="E9192" t="s">
        <v>31667</v>
      </c>
    </row>
    <row r="9193" spans="1:5">
      <c r="A9193" t="s">
        <v>6</v>
      </c>
      <c r="B9193" t="s">
        <v>9198</v>
      </c>
      <c r="C9193">
        <f>HYPERLINK("C:\Users\franc\OneDrive\Documentos\MALENTIN KARIME\CESION\RESPALDO LUIS DIAZ\REDUCCIONES\COM. AGR. EL ALTAR Der. Consuntivo XI.doc", "Abrir Documento")</f>
        <v>0</v>
      </c>
      <c r="D9193" t="s">
        <v>23500</v>
      </c>
      <c r="E9193" t="s">
        <v>31668</v>
      </c>
    </row>
    <row r="9194" spans="1:5">
      <c r="A9194" t="s">
        <v>6</v>
      </c>
      <c r="B9194" t="s">
        <v>9199</v>
      </c>
      <c r="C9194">
        <f>HYPERLINK("C:\Users\franc\OneDrive\Documentos\MALENTIN KARIME\CESION\RESPALDO LUIS DIAZ\REDUCCIONES\COM. AGR. EL ALTAR Der. Consuntivo X.doc", "Abrir Documento")</f>
        <v>0</v>
      </c>
      <c r="D9194" t="s">
        <v>23500</v>
      </c>
      <c r="E9194" t="s">
        <v>31669</v>
      </c>
    </row>
    <row r="9195" spans="1:5">
      <c r="A9195" t="s">
        <v>6</v>
      </c>
      <c r="B9195" t="s">
        <v>9200</v>
      </c>
      <c r="C9195">
        <f>HYPERLINK("C:\Users\franc\OneDrive\Documentos\MALENTIN KARIME\CESION\RESPALDO LUIS DIAZ\REDUCCIONES\COM. AGR. EL ALTAR Der. Consuntivo VIII.doc", "Abrir Documento")</f>
        <v>0</v>
      </c>
      <c r="D9195" t="s">
        <v>23500</v>
      </c>
      <c r="E9195" t="s">
        <v>31670</v>
      </c>
    </row>
    <row r="9196" spans="1:5">
      <c r="A9196" t="s">
        <v>6</v>
      </c>
      <c r="B9196" t="s">
        <v>9201</v>
      </c>
      <c r="C9196">
        <f>HYPERLINK("C:\Users\franc\OneDrive\Documentos\MALENTIN KARIME\CESION\RESPALDO LUIS DIAZ\REDUCCIONES\COM. AGR. EL ALTAR Der. Consuntivo VI.doc", "Abrir Documento")</f>
        <v>0</v>
      </c>
      <c r="D9196" t="s">
        <v>23500</v>
      </c>
      <c r="E9196" t="s">
        <v>31671</v>
      </c>
    </row>
    <row r="9197" spans="1:5">
      <c r="A9197" t="s">
        <v>6</v>
      </c>
      <c r="B9197" t="s">
        <v>9202</v>
      </c>
      <c r="C9197">
        <f>HYPERLINK("C:\Users\franc\OneDrive\Documentos\MALENTIN KARIME\CESION\RESPALDO LUIS DIAZ\REDUCCIONES\COM. AGR. EL ALTAR Der. Consuntivo V.doc", "Abrir Documento")</f>
        <v>0</v>
      </c>
      <c r="D9197" t="s">
        <v>23500</v>
      </c>
      <c r="E9197" t="s">
        <v>31672</v>
      </c>
    </row>
    <row r="9198" spans="1:5">
      <c r="A9198" t="s">
        <v>6</v>
      </c>
      <c r="B9198" t="s">
        <v>9203</v>
      </c>
      <c r="C9198">
        <f>HYPERLINK("C:\Users\franc\OneDrive\Documentos\MALENTIN KARIME\CESION\RESPALDO LUIS DIAZ\REDUCCIONES\COM. AGR. EL ALTAR Der. Consuntivo IX.doc", "Abrir Documento")</f>
        <v>0</v>
      </c>
      <c r="D9198" t="s">
        <v>23500</v>
      </c>
      <c r="E9198" t="s">
        <v>31673</v>
      </c>
    </row>
    <row r="9199" spans="1:5">
      <c r="A9199" t="s">
        <v>6</v>
      </c>
      <c r="B9199" t="s">
        <v>9204</v>
      </c>
      <c r="C9199">
        <f>HYPERLINK("C:\Users\franc\OneDrive\Documentos\MALENTIN KARIME\CESION\RESPALDO LUIS DIAZ\REDUCCIONES\COM. AGR. EL ALTAR Der. Consuntivo IV.doc", "Abrir Documento")</f>
        <v>0</v>
      </c>
      <c r="D9199" t="s">
        <v>23500</v>
      </c>
      <c r="E9199" t="s">
        <v>31674</v>
      </c>
    </row>
    <row r="9200" spans="1:5">
      <c r="A9200" t="s">
        <v>6</v>
      </c>
      <c r="B9200" t="s">
        <v>9205</v>
      </c>
      <c r="C9200">
        <f>HYPERLINK("C:\Users\franc\OneDrive\Documentos\MALENTIN KARIME\CESION\RESPALDO LUIS DIAZ\REDUCCIONES\COM. AGR. EL ALTAR Der. Consuntivo III.doc", "Abrir Documento")</f>
        <v>0</v>
      </c>
      <c r="D9200" t="s">
        <v>23500</v>
      </c>
      <c r="E9200" t="s">
        <v>31675</v>
      </c>
    </row>
    <row r="9201" spans="1:5">
      <c r="A9201" t="s">
        <v>6</v>
      </c>
      <c r="B9201" t="s">
        <v>9206</v>
      </c>
      <c r="C9201">
        <f>HYPERLINK("C:\Users\franc\OneDrive\Documentos\MALENTIN KARIME\CESION\RESPALDO LUIS DIAZ\REDUCCIONES\COM. AGR. EL ALTAR Der. Consuntivo II.doc", "Abrir Documento")</f>
        <v>0</v>
      </c>
      <c r="D9201" t="s">
        <v>23500</v>
      </c>
      <c r="E9201" t="s">
        <v>31676</v>
      </c>
    </row>
    <row r="9202" spans="1:5">
      <c r="A9202" t="s">
        <v>6</v>
      </c>
      <c r="B9202" t="s">
        <v>9207</v>
      </c>
      <c r="C9202">
        <f>HYPERLINK("C:\Users\franc\OneDrive\Documentos\MALENTIN KARIME\CESION\RESPALDO LUIS DIAZ\REDUCCIONES\BERNARDO CORTES- I RIO HURTADO.doc", "Abrir Documento")</f>
        <v>0</v>
      </c>
      <c r="D9202" t="s">
        <v>23500</v>
      </c>
      <c r="E9202" t="s">
        <v>31677</v>
      </c>
    </row>
    <row r="9203" spans="1:5">
      <c r="A9203" t="s">
        <v>6</v>
      </c>
      <c r="B9203" t="s">
        <v>9208</v>
      </c>
      <c r="C9203">
        <f>HYPERLINK("C:\Users\franc\OneDrive\Documentos\MALENTIN KARIME\CESION\RESPALDO LUIS DIAZ\PROTOCOLIZACIONES\SUBSIDIO GUACOLDA PIZARRO.doc", "Abrir Documento")</f>
        <v>0</v>
      </c>
      <c r="D9203" t="s">
        <v>23500</v>
      </c>
      <c r="E9203" t="s">
        <v>31678</v>
      </c>
    </row>
    <row r="9204" spans="1:5">
      <c r="A9204" t="s">
        <v>6</v>
      </c>
      <c r="B9204" t="s">
        <v>9209</v>
      </c>
      <c r="C9204">
        <f>HYPERLINK("C:\Users\franc\OneDrive\Documentos\MALENTIN KARIME\CESION\RESPALDO LUIS DIAZ\PROTOCOLIZACIONES\PROTOCOLIZACION SUBSIDIO.doc", "Abrir Documento")</f>
        <v>0</v>
      </c>
      <c r="D9204" t="s">
        <v>23500</v>
      </c>
      <c r="E9204" t="s">
        <v>31679</v>
      </c>
    </row>
    <row r="9205" spans="1:5">
      <c r="A9205" t="s">
        <v>6</v>
      </c>
      <c r="B9205" t="s">
        <v>9210</v>
      </c>
      <c r="C9205">
        <f>HYPERLINK("C:\Users\franc\OneDrive\Documentos\MALENTIN KARIME\CESION\RESPALDO LUIS DIAZ\PROTOCOLIZACIONES\PROTOCOLIZACION SUBSIDIO YASNA CORTES.doc", "Abrir Documento")</f>
        <v>0</v>
      </c>
      <c r="D9205" t="s">
        <v>23500</v>
      </c>
      <c r="E9205" t="s">
        <v>31680</v>
      </c>
    </row>
    <row r="9206" spans="1:5">
      <c r="A9206" t="s">
        <v>6</v>
      </c>
      <c r="B9206" t="s">
        <v>9211</v>
      </c>
      <c r="C9206">
        <f>HYPERLINK("C:\Users\franc\OneDrive\Documentos\MALENTIN KARIME\CESION\RESPALDO LUIS DIAZ\PROTOCOLIZACIONES\PROTOCOLIZACION  INVENTARIO EXEQUIEL CONTRERAS.doc", "Abrir Documento")</f>
        <v>0</v>
      </c>
      <c r="D9206" t="s">
        <v>23500</v>
      </c>
      <c r="E9206" t="s">
        <v>31681</v>
      </c>
    </row>
    <row r="9207" spans="1:5">
      <c r="A9207" t="s">
        <v>6</v>
      </c>
      <c r="B9207" t="s">
        <v>9212</v>
      </c>
      <c r="C9207">
        <f>HYPERLINK("C:\Users\franc\OneDrive\Documentos\MALENTIN KARIME\CESION\RESPALDO LUIS DIAZ\PROTOCOLIZACIONES\MARIA MERCEDES FLORES(Serviu).doc", "Abrir Documento")</f>
        <v>0</v>
      </c>
      <c r="D9207" t="s">
        <v>23500</v>
      </c>
      <c r="E9207" t="s">
        <v>31682</v>
      </c>
    </row>
    <row r="9208" spans="1:5">
      <c r="A9208" t="s">
        <v>6</v>
      </c>
      <c r="B9208" t="s">
        <v>9213</v>
      </c>
      <c r="C9208">
        <f>HYPERLINK("C:\Users\franc\OneDrive\Documentos\MALENTIN KARIME\CESION\RESPALDO LUIS DIAZ\PROTOCOLIZACIONES\JOSE GALLARDO (Finiquito).doc", "Abrir Documento")</f>
        <v>0</v>
      </c>
      <c r="D9208" t="s">
        <v>23500</v>
      </c>
      <c r="E9208" t="s">
        <v>31683</v>
      </c>
    </row>
    <row r="9209" spans="1:5">
      <c r="A9209" t="s">
        <v>6</v>
      </c>
      <c r="B9209" t="s">
        <v>9214</v>
      </c>
      <c r="C9209">
        <f>HYPERLINK("C:\Users\franc\OneDrive\Documentos\MALENTIN KARIME\CESION\RESPALDO LUIS DIAZ\PROTOCOLIZACIONES\FUNDINA.doc", "Abrir Documento")</f>
        <v>0</v>
      </c>
      <c r="D9209" t="s">
        <v>23500</v>
      </c>
      <c r="E9209" t="s">
        <v>31684</v>
      </c>
    </row>
    <row r="9210" spans="1:5">
      <c r="A9210" t="s">
        <v>6</v>
      </c>
      <c r="B9210" t="s">
        <v>9215</v>
      </c>
      <c r="C9210">
        <f>HYPERLINK("C:\Users\franc\OneDrive\Documentos\MALENTIN KARIME\CESION\RESPALDO LUIS DIAZ\PROTOCOLIZACIONES\firma.doc", "Abrir Documento")</f>
        <v>0</v>
      </c>
      <c r="D9210" t="s">
        <v>23500</v>
      </c>
      <c r="E9210" t="s">
        <v>31685</v>
      </c>
    </row>
    <row r="9211" spans="1:5">
      <c r="A9211" t="s">
        <v>6</v>
      </c>
      <c r="B9211" t="s">
        <v>9216</v>
      </c>
      <c r="C9211">
        <f>HYPERLINK("C:\Users\franc\OneDrive\Documentos\MALENTIN KARIME\CESION\RESPALDO LUIS DIAZ\PROTOCOLIZACIONES\DOCUMENTOS VARIOS HOTELERA  PLAZA TURISMO.doc", "Abrir Documento")</f>
        <v>0</v>
      </c>
      <c r="D9211" t="s">
        <v>23500</v>
      </c>
      <c r="E9211" t="s">
        <v>31686</v>
      </c>
    </row>
    <row r="9212" spans="1:5">
      <c r="A9212" t="s">
        <v>6</v>
      </c>
      <c r="B9212" t="s">
        <v>9217</v>
      </c>
      <c r="C9212">
        <f>HYPERLINK("C:\Users\franc\OneDrive\Documentos\MALENTIN KARIME\CESION\RESPALDO LUIS DIAZ\PROTOCOLIZACIONES\DOCUMENTOS VARIOS AMERICAN.doc", "Abrir Documento")</f>
        <v>0</v>
      </c>
      <c r="D9212" t="s">
        <v>23500</v>
      </c>
      <c r="E9212" t="s">
        <v>31687</v>
      </c>
    </row>
    <row r="9213" spans="1:5">
      <c r="A9213" t="s">
        <v>6</v>
      </c>
      <c r="B9213" t="s">
        <v>9218</v>
      </c>
      <c r="C9213">
        <f>HYPERLINK("C:\Users\franc\OneDrive\Documentos\MALENTIN KARIME\CESION\RESPALDO LUIS DIAZ\PROTOCOLIZACIONES\DOCUMENTOS VARIOS AGRICOLA LOS LEONES S.A.doc", "Abrir Documento")</f>
        <v>0</v>
      </c>
      <c r="D9213" t="s">
        <v>23500</v>
      </c>
      <c r="E9213" t="s">
        <v>31688</v>
      </c>
    </row>
    <row r="9214" spans="1:5">
      <c r="A9214" t="s">
        <v>6</v>
      </c>
      <c r="B9214" t="s">
        <v>9219</v>
      </c>
      <c r="C9214">
        <f>HYPERLINK("C:\Users\franc\OneDrive\Documentos\MALENTIN KARIME\CESION\RESPALDO LUIS DIAZ\PROTOCOLIZACIONES\CARLOS NUÑEZ ALVAREZ(Serviu).doc", "Abrir Documento")</f>
        <v>0</v>
      </c>
      <c r="D9214" t="s">
        <v>23500</v>
      </c>
      <c r="E9214" t="s">
        <v>31689</v>
      </c>
    </row>
    <row r="9215" spans="1:5">
      <c r="A9215" t="s">
        <v>6</v>
      </c>
      <c r="B9215" t="s">
        <v>9220</v>
      </c>
      <c r="C9215">
        <f>HYPERLINK("C:\Users\franc\OneDrive\Documentos\MALENTIN KARIME\CESION\RESPALDO LUIS DIAZ\PROTOCOLIZACIONES\ANGEL ROJAS ARAYA.doc", "Abrir Documento")</f>
        <v>0</v>
      </c>
      <c r="D9215" t="s">
        <v>23500</v>
      </c>
      <c r="E9215" t="s">
        <v>31690</v>
      </c>
    </row>
    <row r="9216" spans="1:5">
      <c r="A9216" t="s">
        <v>6</v>
      </c>
      <c r="B9216" t="s">
        <v>9221</v>
      </c>
      <c r="C9216">
        <f>HYPERLINK("C:\Users\franc\OneDrive\Documentos\MALENTIN KARIME\CESION\RESPALDO LUIS DIAZ\PROTOCOLIZACIONES\ANDREA DIAZ GODOY (drogas).doc", "Abrir Documento")</f>
        <v>0</v>
      </c>
      <c r="D9216" t="s">
        <v>23500</v>
      </c>
      <c r="E9216" t="s">
        <v>31691</v>
      </c>
    </row>
    <row r="9217" spans="1:5">
      <c r="A9217" t="s">
        <v>6</v>
      </c>
      <c r="B9217" t="s">
        <v>9222</v>
      </c>
      <c r="C9217">
        <f>HYPERLINK("C:\Users\franc\OneDrive\Documentos\MALENTIN KARIME\CESION\RESPALDO LUIS DIAZ\PROTOCOLIZACIONES\AMPLIACION INVENTARIO ROSAMEL ESPINOZA.doc", "Abrir Documento")</f>
        <v>0</v>
      </c>
      <c r="D9217" t="s">
        <v>23500</v>
      </c>
      <c r="E9217" t="s">
        <v>31692</v>
      </c>
    </row>
    <row r="9218" spans="1:5">
      <c r="A9218" t="s">
        <v>6</v>
      </c>
      <c r="B9218" t="s">
        <v>9223</v>
      </c>
      <c r="C9218">
        <f>HYPERLINK("C:\Users\franc\OneDrive\Documentos\MALENTIN KARIME\CESION\RESPALDO LUIS DIAZ\PROHIBICIONES 2008\YOLANDA ANTIQUERA C..doc", "Abrir Documento")</f>
        <v>0</v>
      </c>
      <c r="D9218" t="s">
        <v>23500</v>
      </c>
      <c r="E9218" t="s">
        <v>31693</v>
      </c>
    </row>
    <row r="9219" spans="1:5">
      <c r="A9219" t="s">
        <v>6</v>
      </c>
      <c r="B9219" t="s">
        <v>9224</v>
      </c>
      <c r="C9219">
        <f>HYPERLINK("C:\Users\franc\OneDrive\Documentos\MALENTIN KARIME\CESION\RESPALDO LUIS DIAZ\PROHIBICIONES 2008\VICTOR ARAYA CARVAJAL.doc", "Abrir Documento")</f>
        <v>0</v>
      </c>
      <c r="D9219" t="s">
        <v>23500</v>
      </c>
      <c r="E9219" t="s">
        <v>31694</v>
      </c>
    </row>
    <row r="9220" spans="1:5">
      <c r="A9220" t="s">
        <v>6</v>
      </c>
      <c r="B9220" t="s">
        <v>9225</v>
      </c>
      <c r="C9220">
        <f>HYPERLINK("C:\Users\franc\OneDrive\Documentos\MALENTIN KARIME\CESION\RESPALDO LUIS DIAZ\PROHIBICIONES 2008\ROLANDO ROJAS ROJAS.doc", "Abrir Documento")</f>
        <v>0</v>
      </c>
      <c r="D9220" t="s">
        <v>23500</v>
      </c>
      <c r="E9220" t="s">
        <v>31695</v>
      </c>
    </row>
    <row r="9221" spans="1:5">
      <c r="A9221" t="s">
        <v>6</v>
      </c>
      <c r="B9221" t="s">
        <v>9226</v>
      </c>
      <c r="C9221">
        <f>HYPERLINK("C:\Users\franc\OneDrive\Documentos\MALENTIN KARIME\CESION\RESPALDO LUIS DIAZ\PROHIBICIONES 2008\RIENZI MEDALLA OROS.doc", "Abrir Documento")</f>
        <v>0</v>
      </c>
      <c r="D9221" t="s">
        <v>23500</v>
      </c>
      <c r="E9221" t="s">
        <v>31696</v>
      </c>
    </row>
    <row r="9222" spans="1:5">
      <c r="A9222" t="s">
        <v>6</v>
      </c>
      <c r="B9222" t="s">
        <v>9227</v>
      </c>
      <c r="C9222">
        <f>HYPERLINK("C:\Users\franc\OneDrive\Documentos\MALENTIN KARIME\CESION\RESPALDO LUIS DIAZ\PROHIBICIONES 2008\OLGA BUGUEÑO ROJAS.doc", "Abrir Documento")</f>
        <v>0</v>
      </c>
      <c r="D9222" t="s">
        <v>23500</v>
      </c>
      <c r="E9222" t="s">
        <v>31697</v>
      </c>
    </row>
    <row r="9223" spans="1:5">
      <c r="A9223" t="s">
        <v>6</v>
      </c>
      <c r="B9223" t="s">
        <v>9228</v>
      </c>
      <c r="C9223">
        <f>HYPERLINK("C:\Users\franc\OneDrive\Documentos\MALENTIN KARIME\CESION\RESPALDO LUIS DIAZ\PROHIBICIONES 2008\NOTARIO SUPLENTE.doc", "Abrir Documento")</f>
        <v>0</v>
      </c>
      <c r="D9223" t="s">
        <v>23500</v>
      </c>
      <c r="E9223" t="s">
        <v>31698</v>
      </c>
    </row>
    <row r="9224" spans="1:5">
      <c r="A9224" t="s">
        <v>6</v>
      </c>
      <c r="B9224" t="s">
        <v>9229</v>
      </c>
      <c r="C9224">
        <f>HYPERLINK("C:\Users\franc\OneDrive\Documentos\MALENTIN KARIME\CESION\RESPALDO LUIS DIAZ\PROHIBICIONES 2008\MIRTHA ADAROS DIAZ IV-2 Sotaqui.doc", "Abrir Documento")</f>
        <v>0</v>
      </c>
      <c r="D9224" t="s">
        <v>23500</v>
      </c>
      <c r="E9224" t="s">
        <v>31699</v>
      </c>
    </row>
    <row r="9225" spans="1:5">
      <c r="A9225" t="s">
        <v>6</v>
      </c>
      <c r="B9225" t="s">
        <v>9230</v>
      </c>
      <c r="C9225">
        <f>HYPERLINK("C:\Users\franc\OneDrive\Documentos\MALENTIN KARIME\CESION\RESPALDO LUIS DIAZ\PROHIBICIONES 2008\MIRIAM GONZALEZ V. Retazo K R.Htdo.doc", "Abrir Documento")</f>
        <v>0</v>
      </c>
      <c r="D9225" t="s">
        <v>23500</v>
      </c>
      <c r="E9225" t="s">
        <v>31700</v>
      </c>
    </row>
    <row r="9226" spans="1:5">
      <c r="A9226" t="s">
        <v>6</v>
      </c>
      <c r="B9226" t="s">
        <v>9231</v>
      </c>
      <c r="C9226">
        <f>HYPERLINK("C:\Users\franc\OneDrive\Documentos\MALENTIN KARIME\CESION\RESPALDO LUIS DIAZ\PROHIBICIONES 2008\MIGUEL SALINAS C. IV-2 Punitaqui.doc", "Abrir Documento")</f>
        <v>0</v>
      </c>
      <c r="D9226" t="s">
        <v>23500</v>
      </c>
      <c r="E9226" t="s">
        <v>31701</v>
      </c>
    </row>
    <row r="9227" spans="1:5">
      <c r="A9227" t="s">
        <v>6</v>
      </c>
      <c r="B9227" t="s">
        <v>9232</v>
      </c>
      <c r="C9227">
        <f>HYPERLINK("C:\Users\franc\OneDrive\Documentos\MALENTIN KARIME\CESION\RESPALDO LUIS DIAZ\PROHIBICIONES 2008\MARLENE VEGA R. IV-2 Fundina.doc", "Abrir Documento")</f>
        <v>0</v>
      </c>
      <c r="D9227" t="s">
        <v>23500</v>
      </c>
      <c r="E9227" t="s">
        <v>31702</v>
      </c>
    </row>
    <row r="9228" spans="1:5">
      <c r="A9228" t="s">
        <v>6</v>
      </c>
      <c r="B9228" t="s">
        <v>9233</v>
      </c>
      <c r="C9228">
        <f>HYPERLINK("C:\Users\franc\OneDrive\Documentos\MALENTIN KARIME\CESION\RESPALDO LUIS DIAZ\PROHIBICIONES 2008\MARIA MOLINA OMON.doc", "Abrir Documento")</f>
        <v>0</v>
      </c>
      <c r="D9228" t="s">
        <v>23500</v>
      </c>
      <c r="E9228" t="s">
        <v>31703</v>
      </c>
    </row>
    <row r="9229" spans="1:5">
      <c r="A9229" t="s">
        <v>6</v>
      </c>
      <c r="B9229" t="s">
        <v>9234</v>
      </c>
      <c r="C9229">
        <f>HYPERLINK("C:\Users\franc\OneDrive\Documentos\MALENTIN KARIME\CESION\RESPALDO LUIS DIAZ\PROHIBICIONES 2008\MAGALY RIVERA.PRH.doc", "Abrir Documento")</f>
        <v>0</v>
      </c>
      <c r="D9229" t="s">
        <v>23500</v>
      </c>
      <c r="E9229" t="s">
        <v>31704</v>
      </c>
    </row>
    <row r="9230" spans="1:5">
      <c r="A9230" t="s">
        <v>6</v>
      </c>
      <c r="B9230" t="s">
        <v>9235</v>
      </c>
      <c r="C9230">
        <f>HYPERLINK("C:\Users\franc\OneDrive\Documentos\MALENTIN KARIME\CESION\RESPALDO LUIS DIAZ\PROHIBICIONES 2008\JUAN CASTILLO R. Prohib.Dcl.Jurada.doc", "Abrir Documento")</f>
        <v>0</v>
      </c>
      <c r="D9230" t="s">
        <v>23500</v>
      </c>
      <c r="E9230" t="s">
        <v>31705</v>
      </c>
    </row>
    <row r="9231" spans="1:5">
      <c r="A9231" t="s">
        <v>6</v>
      </c>
      <c r="B9231" t="s">
        <v>9236</v>
      </c>
      <c r="C9231">
        <f>HYPERLINK("C:\Users\franc\OneDrive\Documentos\MALENTIN KARIME\CESION\RESPALDO LUIS DIAZ\PROHIBICIONES 2008\ESTER TAPIA CARVAJAL.doc", "Abrir Documento")</f>
        <v>0</v>
      </c>
      <c r="D9231" t="s">
        <v>23500</v>
      </c>
      <c r="E9231" t="s">
        <v>31706</v>
      </c>
    </row>
    <row r="9232" spans="1:5">
      <c r="A9232" t="s">
        <v>6</v>
      </c>
      <c r="B9232" t="s">
        <v>9237</v>
      </c>
      <c r="C9232">
        <f>HYPERLINK("C:\Users\franc\OneDrive\Documentos\MALENTIN KARIME\CESION\RESPALDO LUIS DIAZ\PROHIBICIONES 2008\ENCABEZADO NOTARIO.doc", "Abrir Documento")</f>
        <v>0</v>
      </c>
      <c r="D9232" t="s">
        <v>23500</v>
      </c>
      <c r="E9232" t="s">
        <v>31707</v>
      </c>
    </row>
    <row r="9233" spans="1:5">
      <c r="A9233" t="s">
        <v>6</v>
      </c>
      <c r="B9233" t="s">
        <v>9238</v>
      </c>
      <c r="C9233">
        <f>HYPERLINK("C:\Users\franc\OneDrive\Documentos\MALENTIN KARIME\CESION\RESPALDO LUIS DIAZ\PROHIBICIONES 2008\BENEDICTO CORTES ALFARO.doc", "Abrir Documento")</f>
        <v>0</v>
      </c>
      <c r="D9233" t="s">
        <v>23500</v>
      </c>
      <c r="E9233" t="s">
        <v>31708</v>
      </c>
    </row>
    <row r="9234" spans="1:5">
      <c r="A9234" t="s">
        <v>6</v>
      </c>
      <c r="B9234" t="s">
        <v>9239</v>
      </c>
      <c r="C9234">
        <f>HYPERLINK("C:\Users\franc\OneDrive\Documentos\MALENTIN KARIME\CESION\RESPALDO LUIS DIAZ\PROHIBICIONES 2008\ARNOLDO ARAYA FLORES.doc", "Abrir Documento")</f>
        <v>0</v>
      </c>
      <c r="D9234" t="s">
        <v>23500</v>
      </c>
      <c r="E9234" t="s">
        <v>31709</v>
      </c>
    </row>
    <row r="9235" spans="1:5">
      <c r="A9235" t="s">
        <v>6</v>
      </c>
      <c r="B9235" t="s">
        <v>9240</v>
      </c>
      <c r="C9235">
        <f>HYPERLINK("C:\Users\franc\OneDrive\Documentos\MALENTIN KARIME\CESION\RESPALDO LUIS DIAZ\PROHIBICIONES 2008\ANA ARENAS LEDEZMA Los Copihues.doc", "Abrir Documento")</f>
        <v>0</v>
      </c>
      <c r="D9235" t="s">
        <v>23500</v>
      </c>
      <c r="E9235" t="s">
        <v>31710</v>
      </c>
    </row>
    <row r="9236" spans="1:5">
      <c r="A9236" t="s">
        <v>6</v>
      </c>
      <c r="B9236" t="s">
        <v>9241</v>
      </c>
      <c r="C9236">
        <f>HYPERLINK("C:\Users\franc\OneDrive\Documentos\MALENTIN KARIME\CESION\RESPALDO LUIS DIAZ\PODERES 2008\2008\MARIA MILLALONCO TORRES.doc", "Abrir Documento")</f>
        <v>0</v>
      </c>
      <c r="D9236" t="s">
        <v>23500</v>
      </c>
      <c r="E9236" t="s">
        <v>31711</v>
      </c>
    </row>
    <row r="9237" spans="1:5">
      <c r="A9237" t="s">
        <v>6</v>
      </c>
      <c r="B9237" t="s">
        <v>9242</v>
      </c>
      <c r="C9237">
        <f>HYPERLINK("C:\Users\franc\OneDrive\Documentos\MALENTIN KARIME\CESION\RESPALDO LUIS DIAZ\PODERES 2008\2008\JOHANNA ARDILES VELASQUEZ 2.doc", "Abrir Documento")</f>
        <v>0</v>
      </c>
      <c r="D9237" t="s">
        <v>23500</v>
      </c>
      <c r="E9237" t="s">
        <v>31712</v>
      </c>
    </row>
    <row r="9238" spans="1:5">
      <c r="A9238" t="s">
        <v>6</v>
      </c>
      <c r="B9238" t="s">
        <v>9243</v>
      </c>
      <c r="C9238">
        <f>HYPERLINK("C:\Users\franc\OneDrive\Documentos\MALENTIN KARIME\CESION\RESPALDO LUIS DIAZ\PODERES 2008\2008\JOHANA ARDILES A EDUARDO ARDILES MOLINA.doc", "Abrir Documento")</f>
        <v>0</v>
      </c>
      <c r="D9238" t="s">
        <v>23500</v>
      </c>
      <c r="E9238" t="s">
        <v>31713</v>
      </c>
    </row>
    <row r="9239" spans="1:5">
      <c r="A9239" t="s">
        <v>6</v>
      </c>
      <c r="B9239" t="s">
        <v>9244</v>
      </c>
      <c r="C9239">
        <f>HYPERLINK("C:\Users\franc\OneDrive\Documentos\MALENTIN KARIME\CESION\RESPALDO LUIS DIAZ\PODERES 2008\2008\HUGO SANTANDER AROS A ANGELA ROJAS (VENTA CONYUGE).doc", "Abrir Documento")</f>
        <v>0</v>
      </c>
      <c r="D9239" t="s">
        <v>23500</v>
      </c>
      <c r="E9239" t="s">
        <v>31714</v>
      </c>
    </row>
    <row r="9240" spans="1:5">
      <c r="A9240" t="s">
        <v>6</v>
      </c>
      <c r="B9240" t="s">
        <v>9245</v>
      </c>
      <c r="C9240">
        <f>HYPERLINK("C:\Users\franc\OneDrive\Documentos\MALENTIN KARIME\CESION\RESPALDO LUIS DIAZ\PODERES 2008\2008\CORPORACION -MARIA MILLA VIDAL.doc", "Abrir Documento")</f>
        <v>0</v>
      </c>
      <c r="D9240" t="s">
        <v>23500</v>
      </c>
      <c r="E9240" t="s">
        <v>31715</v>
      </c>
    </row>
    <row r="9241" spans="1:5">
      <c r="A9241" t="s">
        <v>6</v>
      </c>
      <c r="B9241" t="s">
        <v>9246</v>
      </c>
      <c r="C9241">
        <f>HYPERLINK("C:\Users\franc\OneDrive\Documentos\MALENTIN KARIME\CESION\RESPALDO LUIS DIAZ\PODERES 2008\2008\CLAUDIO GALVARINO ROBLES.doc", "Abrir Documento")</f>
        <v>0</v>
      </c>
      <c r="D9241" t="s">
        <v>23500</v>
      </c>
      <c r="E9241" t="s">
        <v>31716</v>
      </c>
    </row>
    <row r="9242" spans="1:5">
      <c r="A9242" t="s">
        <v>6</v>
      </c>
      <c r="B9242" t="s">
        <v>9247</v>
      </c>
      <c r="C9242">
        <f>HYPERLINK("C:\Users\franc\OneDrive\Documentos\MALENTIN KARIME\CESION\RESPALDO LUIS DIAZ\PODERES 2008\2008\ALICIA CUEVAS A SELIM DABED.doc", "Abrir Documento")</f>
        <v>0</v>
      </c>
      <c r="D9242" t="s">
        <v>23500</v>
      </c>
      <c r="E9242" t="s">
        <v>31717</v>
      </c>
    </row>
    <row r="9243" spans="1:5">
      <c r="A9243" t="s">
        <v>6</v>
      </c>
      <c r="B9243" t="s">
        <v>9248</v>
      </c>
      <c r="C9243">
        <f>HYPERLINK("C:\Users\franc\OneDrive\Documentos\MALENTIN KARIME\CESION\RESPALDO LUIS DIAZ\PODERES 2008\ZENON ROJO ALVAREZ Chqs. Panulcillo.doc", "Abrir Documento")</f>
        <v>0</v>
      </c>
      <c r="D9243" t="s">
        <v>23500</v>
      </c>
      <c r="E9243" t="s">
        <v>31718</v>
      </c>
    </row>
    <row r="9244" spans="1:5">
      <c r="A9244" t="s">
        <v>6</v>
      </c>
      <c r="B9244" t="s">
        <v>9249</v>
      </c>
      <c r="C9244">
        <f>HYPERLINK("C:\Users\franc\OneDrive\Documentos\MALENTIN KARIME\CESION\RESPALDO LUIS DIAZ\PODERES 2008\ZENAIDA RAMIREZ C..doc", "Abrir Documento")</f>
        <v>0</v>
      </c>
      <c r="D9244" t="s">
        <v>23500</v>
      </c>
      <c r="E9244" t="s">
        <v>31719</v>
      </c>
    </row>
    <row r="9245" spans="1:5">
      <c r="A9245" t="s">
        <v>6</v>
      </c>
      <c r="B9245" t="s">
        <v>9250</v>
      </c>
      <c r="C9245">
        <f>HYPERLINK("C:\Users\franc\OneDrive\Documentos\MALENTIN KARIME\CESION\RESPALDO LUIS DIAZ\PODERES 2008\YOLANDA PARRA A JORGE ORTIZ (M.VENDER).doc", "Abrir Documento")</f>
        <v>0</v>
      </c>
      <c r="D9245" t="s">
        <v>23500</v>
      </c>
      <c r="E9245" t="s">
        <v>31720</v>
      </c>
    </row>
    <row r="9246" spans="1:5">
      <c r="A9246" t="s">
        <v>6</v>
      </c>
      <c r="B9246" t="s">
        <v>9251</v>
      </c>
      <c r="C9246">
        <f>HYPERLINK("C:\Users\franc\OneDrive\Documentos\MALENTIN KARIME\CESION\RESPALDO LUIS DIAZ\PODERES 2008\XIMENA BACIC ILLANES Indisa.doc", "Abrir Documento")</f>
        <v>0</v>
      </c>
      <c r="D9246" t="s">
        <v>23500</v>
      </c>
      <c r="E9246" t="s">
        <v>31721</v>
      </c>
    </row>
    <row r="9247" spans="1:5">
      <c r="A9247" t="s">
        <v>6</v>
      </c>
      <c r="B9247" t="s">
        <v>9252</v>
      </c>
      <c r="C9247">
        <f>HYPERLINK("C:\Users\franc\OneDrive\Documentos\MALENTIN KARIME\CESION\RESPALDO LUIS DIAZ\PODERES 2008\XIMENA ARAYA A. a ADOLFO LAY.doc", "Abrir Documento")</f>
        <v>0</v>
      </c>
      <c r="D9247" t="s">
        <v>23500</v>
      </c>
      <c r="E9247" t="s">
        <v>31722</v>
      </c>
    </row>
    <row r="9248" spans="1:5">
      <c r="A9248" t="s">
        <v>6</v>
      </c>
      <c r="B9248" t="s">
        <v>9253</v>
      </c>
      <c r="C9248">
        <f>HYPERLINK("C:\Users\franc\OneDrive\Documentos\MALENTIN KARIME\CESION\RESPALDO LUIS DIAZ\PODERES 2008\WILSON CORTES Y OT. Cheq. CAPEL Suces..doc", "Abrir Documento")</f>
        <v>0</v>
      </c>
      <c r="D9248" t="s">
        <v>23500</v>
      </c>
      <c r="E9248" t="s">
        <v>31723</v>
      </c>
    </row>
    <row r="9249" spans="1:5">
      <c r="A9249" t="s">
        <v>6</v>
      </c>
      <c r="B9249" t="s">
        <v>9254</v>
      </c>
      <c r="C9249">
        <f>HYPERLINK("C:\Users\franc\OneDrive\Documentos\MALENTIN KARIME\CESION\RESPALDO LUIS DIAZ\PODERES 2008\WALDA BLANCO V. Vender.doc", "Abrir Documento")</f>
        <v>0</v>
      </c>
      <c r="D9249" t="s">
        <v>23500</v>
      </c>
      <c r="E9249" t="s">
        <v>31724</v>
      </c>
    </row>
    <row r="9250" spans="1:5">
      <c r="A9250" t="s">
        <v>6</v>
      </c>
      <c r="B9250" t="s">
        <v>9255</v>
      </c>
      <c r="C9250">
        <f>HYPERLINK("C:\Users\franc\OneDrive\Documentos\MALENTIN KARIME\CESION\RESPALDO LUIS DIAZ\PODERES 2008\VLADIMIR SABIONCELLO Vender.doc", "Abrir Documento")</f>
        <v>0</v>
      </c>
      <c r="D9250" t="s">
        <v>23500</v>
      </c>
      <c r="E9250" t="s">
        <v>31725</v>
      </c>
    </row>
    <row r="9251" spans="1:5">
      <c r="A9251" t="s">
        <v>6</v>
      </c>
      <c r="B9251" t="s">
        <v>9256</v>
      </c>
      <c r="C9251">
        <f>HYPERLINK("C:\Users\franc\OneDrive\Documentos\MALENTIN KARIME\CESION\RESPALDO LUIS DIAZ\PODERES 2008\VIVIAN GUERRERO A. Poder mutuo vender.doc", "Abrir Documento")</f>
        <v>0</v>
      </c>
      <c r="D9251" t="s">
        <v>23500</v>
      </c>
      <c r="E9251" t="s">
        <v>31726</v>
      </c>
    </row>
    <row r="9252" spans="1:5">
      <c r="A9252" t="s">
        <v>6</v>
      </c>
      <c r="B9252" t="s">
        <v>9257</v>
      </c>
      <c r="C9252">
        <f>HYPERLINK("C:\Users\franc\OneDrive\Documentos\MALENTIN KARIME\CESION\RESPALDO LUIS DIAZ\PODERES 2008\VICTORIA LEMA DELLA TORRE.doc", "Abrir Documento")</f>
        <v>0</v>
      </c>
      <c r="D9252" t="s">
        <v>23500</v>
      </c>
      <c r="E9252" t="s">
        <v>31727</v>
      </c>
    </row>
    <row r="9253" spans="1:5">
      <c r="A9253" t="s">
        <v>6</v>
      </c>
      <c r="B9253" t="s">
        <v>9258</v>
      </c>
      <c r="C9253">
        <f>HYPERLINK("C:\Users\franc\OneDrive\Documentos\MALENTIN KARIME\CESION\RESPALDO LUIS DIAZ\PODERES 2008\VICTOR SOTO TAPIA Y OTS.doc", "Abrir Documento")</f>
        <v>0</v>
      </c>
      <c r="D9253" t="s">
        <v>23500</v>
      </c>
      <c r="E9253" t="s">
        <v>31728</v>
      </c>
    </row>
    <row r="9254" spans="1:5">
      <c r="A9254" t="s">
        <v>6</v>
      </c>
      <c r="B9254" t="s">
        <v>9259</v>
      </c>
      <c r="C9254">
        <f>HYPERLINK("C:\Users\franc\OneDrive\Documentos\MALENTIN KARIME\CESION\RESPALDO LUIS DIAZ\PODERES 2008\VICTOR OJEDA M. Ratif. y Mand.doc", "Abrir Documento")</f>
        <v>0</v>
      </c>
      <c r="D9254" t="s">
        <v>23500</v>
      </c>
      <c r="E9254" t="s">
        <v>31729</v>
      </c>
    </row>
    <row r="9255" spans="1:5">
      <c r="A9255" t="s">
        <v>6</v>
      </c>
      <c r="B9255" t="s">
        <v>9260</v>
      </c>
      <c r="C9255">
        <f>HYPERLINK("C:\Users\franc\OneDrive\Documentos\MALENTIN KARIME\CESION\RESPALDO LUIS DIAZ\PODERES 2008\VICTOR MORALES M. Vender Mina.doc", "Abrir Documento")</f>
        <v>0</v>
      </c>
      <c r="D9255" t="s">
        <v>23500</v>
      </c>
      <c r="E9255" t="s">
        <v>31730</v>
      </c>
    </row>
    <row r="9256" spans="1:5">
      <c r="A9256" t="s">
        <v>6</v>
      </c>
      <c r="B9256" t="s">
        <v>9261</v>
      </c>
      <c r="C9256">
        <f>HYPERLINK("C:\Users\franc\OneDrive\Documentos\MALENTIN KARIME\CESION\RESPALDO LUIS DIAZ\PODERES 2008\VICTOR ANJEL C. Chq.Panulcillo.doc", "Abrir Documento")</f>
        <v>0</v>
      </c>
      <c r="D9256" t="s">
        <v>23500</v>
      </c>
      <c r="E9256" t="s">
        <v>31731</v>
      </c>
    </row>
    <row r="9257" spans="1:5">
      <c r="A9257" t="s">
        <v>6</v>
      </c>
      <c r="B9257" t="s">
        <v>9262</v>
      </c>
      <c r="C9257">
        <f>HYPERLINK("C:\Users\franc\OneDrive\Documentos\MALENTIN KARIME\CESION\RESPALDO LUIS DIAZ\PODERES 2008\VERONICA VEDIA Y OTRO Vender.doc", "Abrir Documento")</f>
        <v>0</v>
      </c>
      <c r="D9257" t="s">
        <v>23500</v>
      </c>
      <c r="E9257" t="s">
        <v>31732</v>
      </c>
    </row>
    <row r="9258" spans="1:5">
      <c r="A9258" t="s">
        <v>6</v>
      </c>
      <c r="B9258" t="s">
        <v>9263</v>
      </c>
      <c r="C9258">
        <f>HYPERLINK("C:\Users\franc\OneDrive\Documentos\MALENTIN KARIME\CESION\RESPALDO LUIS DIAZ\PODERES 2008\VERONICA ROJAS ARAYA Chq..doc", "Abrir Documento")</f>
        <v>0</v>
      </c>
      <c r="D9258" t="s">
        <v>23500</v>
      </c>
      <c r="E9258" t="s">
        <v>31733</v>
      </c>
    </row>
    <row r="9259" spans="1:5">
      <c r="A9259" t="s">
        <v>6</v>
      </c>
      <c r="B9259" t="s">
        <v>9264</v>
      </c>
      <c r="C9259">
        <f>HYPERLINK("C:\Users\franc\OneDrive\Documentos\MALENTIN KARIME\CESION\RESPALDO LUIS DIAZ\PODERES 2008\VERONICA ROJAS A. Chques.doc", "Abrir Documento")</f>
        <v>0</v>
      </c>
      <c r="D9259" t="s">
        <v>23500</v>
      </c>
      <c r="E9259" t="s">
        <v>31734</v>
      </c>
    </row>
    <row r="9260" spans="1:5">
      <c r="A9260" t="s">
        <v>6</v>
      </c>
      <c r="B9260" t="s">
        <v>9265</v>
      </c>
      <c r="C9260">
        <f>HYPERLINK("C:\Users\franc\OneDrive\Documentos\MALENTIN KARIME\CESION\RESPALDO LUIS DIAZ\PODERES 2008\VERONICA MONTENEGRO.POD.doc", "Abrir Documento")</f>
        <v>0</v>
      </c>
      <c r="D9260" t="s">
        <v>23500</v>
      </c>
      <c r="E9260" t="s">
        <v>31735</v>
      </c>
    </row>
    <row r="9261" spans="1:5">
      <c r="A9261" t="s">
        <v>6</v>
      </c>
      <c r="B9261" t="s">
        <v>9266</v>
      </c>
      <c r="C9261">
        <f>HYPERLINK("C:\Users\franc\OneDrive\Documentos\MALENTIN KARIME\CESION\RESPALDO LUIS DIAZ\PODERES 2008\VERONICA MONTENEGRO.doc", "Abrir Documento")</f>
        <v>0</v>
      </c>
      <c r="D9261" t="s">
        <v>23500</v>
      </c>
      <c r="E9261" t="s">
        <v>31736</v>
      </c>
    </row>
    <row r="9262" spans="1:5">
      <c r="A9262" t="s">
        <v>6</v>
      </c>
      <c r="B9262" t="s">
        <v>9267</v>
      </c>
      <c r="C9262">
        <f>HYPERLINK("C:\Users\franc\OneDrive\Documentos\MALENTIN KARIME\CESION\RESPALDO LUIS DIAZ\PODERES 2008\VERONICA MONTENEGRO V.Pod.doc", "Abrir Documento")</f>
        <v>0</v>
      </c>
      <c r="D9262" t="s">
        <v>23500</v>
      </c>
      <c r="E9262" t="s">
        <v>31737</v>
      </c>
    </row>
    <row r="9263" spans="1:5">
      <c r="A9263" t="s">
        <v>6</v>
      </c>
      <c r="B9263" t="s">
        <v>9268</v>
      </c>
      <c r="C9263">
        <f>HYPERLINK("C:\Users\franc\OneDrive\Documentos\MALENTIN KARIME\CESION\RESPALDO LUIS DIAZ\PODERES 2008\VERONICA LOPEZ G. para Hipotecar.doc", "Abrir Documento")</f>
        <v>0</v>
      </c>
      <c r="D9263" t="s">
        <v>23500</v>
      </c>
      <c r="E9263" t="s">
        <v>31738</v>
      </c>
    </row>
    <row r="9264" spans="1:5">
      <c r="A9264" t="s">
        <v>6</v>
      </c>
      <c r="B9264" t="s">
        <v>9269</v>
      </c>
      <c r="C9264">
        <f>HYPERLINK("C:\Users\franc\OneDrive\Documentos\MALENTIN KARIME\CESION\RESPALDO LUIS DIAZ\PODERES 2008\VALENTIN URBINA C. Cta.Cte. BCO.CHILE.doc", "Abrir Documento")</f>
        <v>0</v>
      </c>
      <c r="D9264" t="s">
        <v>23500</v>
      </c>
      <c r="E9264" t="s">
        <v>31739</v>
      </c>
    </row>
    <row r="9265" spans="1:5">
      <c r="A9265" t="s">
        <v>6</v>
      </c>
      <c r="B9265" t="s">
        <v>9270</v>
      </c>
      <c r="C9265">
        <f>HYPERLINK("C:\Users\franc\OneDrive\Documentos\MALENTIN KARIME\CESION\RESPALDO LUIS DIAZ\PODERES 2008\TRANSP. HEISIG Y CIA.  Cta.Cte..doc", "Abrir Documento")</f>
        <v>0</v>
      </c>
      <c r="D9265" t="s">
        <v>23500</v>
      </c>
      <c r="E9265" t="s">
        <v>31740</v>
      </c>
    </row>
    <row r="9266" spans="1:5">
      <c r="A9266" t="s">
        <v>6</v>
      </c>
      <c r="B9266" t="s">
        <v>9271</v>
      </c>
      <c r="C9266">
        <f>HYPERLINK("C:\Users\franc\OneDrive\Documentos\MALENTIN KARIME\CESION\RESPALDO LUIS DIAZ\PODERES 2008\TMR CHILE a JAMES HARRISON Y OTS..doc", "Abrir Documento")</f>
        <v>0</v>
      </c>
      <c r="D9266" t="s">
        <v>23500</v>
      </c>
      <c r="E9266" t="s">
        <v>31741</v>
      </c>
    </row>
    <row r="9267" spans="1:5">
      <c r="A9267" t="s">
        <v>6</v>
      </c>
      <c r="B9267" t="s">
        <v>9272</v>
      </c>
      <c r="C9267">
        <f>HYPERLINK("C:\Users\franc\OneDrive\Documentos\MALENTIN KARIME\CESION\RESPALDO LUIS DIAZ\PODERES 2008\TERESA RODRIGUEZ R Y OTS. Cobrar Cheq.doc", "Abrir Documento")</f>
        <v>0</v>
      </c>
      <c r="D9267" t="s">
        <v>23500</v>
      </c>
      <c r="E9267" t="s">
        <v>31742</v>
      </c>
    </row>
    <row r="9268" spans="1:5">
      <c r="A9268" t="s">
        <v>6</v>
      </c>
      <c r="B9268" t="s">
        <v>9273</v>
      </c>
      <c r="C9268">
        <f>HYPERLINK("C:\Users\franc\OneDrive\Documentos\MALENTIN KARIME\CESION\RESPALDO LUIS DIAZ\PODERES 2008\TERESA FERNANDEZ. Chq.Panulcillo.doc", "Abrir Documento")</f>
        <v>0</v>
      </c>
      <c r="D9268" t="s">
        <v>23500</v>
      </c>
      <c r="E9268" t="s">
        <v>31743</v>
      </c>
    </row>
    <row r="9269" spans="1:5">
      <c r="A9269" t="s">
        <v>6</v>
      </c>
      <c r="B9269" t="s">
        <v>9274</v>
      </c>
      <c r="C9269">
        <f>HYPERLINK("C:\Users\franc\OneDrive\Documentos\MALENTIN KARIME\CESION\RESPALDO LUIS DIAZ\PODERES 2008\SYLVIA SEGOVIA Z. Deleg. y Vender Dchos.doc", "Abrir Documento")</f>
        <v>0</v>
      </c>
      <c r="D9269" t="s">
        <v>23500</v>
      </c>
      <c r="E9269" t="s">
        <v>31744</v>
      </c>
    </row>
    <row r="9270" spans="1:5">
      <c r="A9270" t="s">
        <v>6</v>
      </c>
      <c r="B9270" t="s">
        <v>9275</v>
      </c>
      <c r="C9270">
        <f>HYPERLINK("C:\Users\franc\OneDrive\Documentos\MALENTIN KARIME\CESION\RESPALDO LUIS DIAZ\PODERES 2008\SUC. HERNAN TELLO Y OTROS.doc", "Abrir Documento")</f>
        <v>0</v>
      </c>
      <c r="D9270" t="s">
        <v>23500</v>
      </c>
      <c r="E9270" t="s">
        <v>31745</v>
      </c>
    </row>
    <row r="9271" spans="1:5">
      <c r="A9271" t="s">
        <v>6</v>
      </c>
      <c r="B9271" t="s">
        <v>9276</v>
      </c>
      <c r="C9271">
        <f>HYPERLINK("C:\Users\franc\OneDrive\Documentos\MALENTIN KARIME\CESION\RESPALDO LUIS DIAZ\PODERES 2008\SUC. HERNAN TELLO Y OTROS Definitiva.doc", "Abrir Documento")</f>
        <v>0</v>
      </c>
      <c r="D9271" t="s">
        <v>23500</v>
      </c>
      <c r="E9271" t="s">
        <v>31746</v>
      </c>
    </row>
    <row r="9272" spans="1:5">
      <c r="A9272" t="s">
        <v>6</v>
      </c>
      <c r="B9272" t="s">
        <v>9277</v>
      </c>
      <c r="C9272">
        <f>HYPERLINK("C:\Users\franc\OneDrive\Documentos\MALENTIN KARIME\CESION\RESPALDO LUIS DIAZ\PODERES 2008\SOFIA CAIMANQUE P. Modelo para Comprar.doc", "Abrir Documento")</f>
        <v>0</v>
      </c>
      <c r="D9272" t="s">
        <v>23500</v>
      </c>
      <c r="E9272" t="s">
        <v>31747</v>
      </c>
    </row>
    <row r="9273" spans="1:5">
      <c r="A9273" t="s">
        <v>6</v>
      </c>
      <c r="B9273" t="s">
        <v>9278</v>
      </c>
      <c r="C9273">
        <f>HYPERLINK("C:\Users\franc\OneDrive\Documentos\MALENTIN KARIME\CESION\RESPALDO LUIS DIAZ\PODERES 2008\SOC. RIO NEGRO a IGNACIO FLORES.doc", "Abrir Documento")</f>
        <v>0</v>
      </c>
      <c r="D9273" t="s">
        <v>23500</v>
      </c>
      <c r="E9273" t="s">
        <v>31748</v>
      </c>
    </row>
    <row r="9274" spans="1:5">
      <c r="A9274" t="s">
        <v>6</v>
      </c>
      <c r="B9274" t="s">
        <v>9279</v>
      </c>
      <c r="C9274">
        <f>HYPERLINK("C:\Users\franc\OneDrive\Documentos\MALENTIN KARIME\CESION\RESPALDO LUIS DIAZ\PODERES 2008\SOC. NUEVO NORTE LTD. Cta.Cte..doc", "Abrir Documento")</f>
        <v>0</v>
      </c>
      <c r="D9274" t="s">
        <v>23500</v>
      </c>
      <c r="E9274" t="s">
        <v>31749</v>
      </c>
    </row>
    <row r="9275" spans="1:5">
      <c r="A9275" t="s">
        <v>6</v>
      </c>
      <c r="B9275" t="s">
        <v>9280</v>
      </c>
      <c r="C9275">
        <f>HYPERLINK("C:\Users\franc\OneDrive\Documentos\MALENTIN KARIME\CESION\RESPALDO LUIS DIAZ\PODERES 2008\SOC. MINERA EL COBRE LTD. Vender.doc", "Abrir Documento")</f>
        <v>0</v>
      </c>
      <c r="D9275" t="s">
        <v>23500</v>
      </c>
      <c r="E9275" t="s">
        <v>31750</v>
      </c>
    </row>
    <row r="9276" spans="1:5">
      <c r="A9276" t="s">
        <v>6</v>
      </c>
      <c r="B9276" t="s">
        <v>9281</v>
      </c>
      <c r="C9276">
        <f>HYPERLINK("C:\Users\franc\OneDrive\Documentos\MALENTIN KARIME\CESION\RESPALDO LUIS DIAZ\PODERES 2008\SOC. HDA. MAL PASO Poder Esp.doc", "Abrir Documento")</f>
        <v>0</v>
      </c>
      <c r="D9276" t="s">
        <v>23500</v>
      </c>
      <c r="E9276" t="s">
        <v>31751</v>
      </c>
    </row>
    <row r="9277" spans="1:5">
      <c r="A9277" t="s">
        <v>6</v>
      </c>
      <c r="B9277" t="s">
        <v>9282</v>
      </c>
      <c r="C9277">
        <f>HYPERLINK("C:\Users\franc\OneDrive\Documentos\MALENTIN KARIME\CESION\RESPALDO LUIS DIAZ\PODERES 2008\SOC. EXP. RIO RAPEL Mandato Bco..doc", "Abrir Documento")</f>
        <v>0</v>
      </c>
      <c r="D9277" t="s">
        <v>23500</v>
      </c>
      <c r="E9277" t="s">
        <v>31752</v>
      </c>
    </row>
    <row r="9278" spans="1:5">
      <c r="A9278" t="s">
        <v>6</v>
      </c>
      <c r="B9278" t="s">
        <v>9283</v>
      </c>
      <c r="C9278">
        <f>HYPERLINK("C:\Users\franc\OneDrive\Documentos\MALENTIN KARIME\CESION\RESPALDO LUIS DIAZ\PODERES 2008\SOC. EDUCAC. DALMACIA S.A. Poder.doc", "Abrir Documento")</f>
        <v>0</v>
      </c>
      <c r="D9278" t="s">
        <v>23500</v>
      </c>
      <c r="E9278" t="s">
        <v>31753</v>
      </c>
    </row>
    <row r="9279" spans="1:5">
      <c r="A9279" t="s">
        <v>6</v>
      </c>
      <c r="B9279" t="s">
        <v>9284</v>
      </c>
      <c r="C9279">
        <f>HYPERLINK("C:\Users\franc\OneDrive\Documentos\MALENTIN KARIME\CESION\RESPALDO LUIS DIAZ\PODERES 2008\SOC. COM. EL RELOJ a D. CRUZ.doc", "Abrir Documento")</f>
        <v>0</v>
      </c>
      <c r="D9279" t="s">
        <v>23500</v>
      </c>
      <c r="E9279" t="s">
        <v>31754</v>
      </c>
    </row>
    <row r="9280" spans="1:5">
      <c r="A9280" t="s">
        <v>6</v>
      </c>
      <c r="B9280" t="s">
        <v>9285</v>
      </c>
      <c r="C9280">
        <f>HYPERLINK("C:\Users\franc\OneDrive\Documentos\MALENTIN KARIME\CESION\RESPALDO LUIS DIAZ\PODERES 2008\SOC. AGRODESARROLLO LTD. Cta.Cte..doc", "Abrir Documento")</f>
        <v>0</v>
      </c>
      <c r="D9280" t="s">
        <v>23500</v>
      </c>
      <c r="E9280" t="s">
        <v>31755</v>
      </c>
    </row>
    <row r="9281" spans="1:5">
      <c r="A9281" t="s">
        <v>6</v>
      </c>
      <c r="B9281" t="s">
        <v>9286</v>
      </c>
      <c r="C9281">
        <f>HYPERLINK("C:\Users\franc\OneDrive\Documentos\MALENTIN KARIME\CESION\RESPALDO LUIS DIAZ\PODERES 2008\SOC. AGROC. OVALLE Chqs y V.V..doc", "Abrir Documento")</f>
        <v>0</v>
      </c>
      <c r="D9281" t="s">
        <v>23500</v>
      </c>
      <c r="E9281" t="s">
        <v>31756</v>
      </c>
    </row>
    <row r="9282" spans="1:5">
      <c r="A9282" t="s">
        <v>6</v>
      </c>
      <c r="B9282" t="s">
        <v>9287</v>
      </c>
      <c r="C9282">
        <f>HYPERLINK("C:\Users\franc\OneDrive\Documentos\MALENTIN KARIME\CESION\RESPALDO LUIS DIAZ\PODERES 2008\SOC. AGR. RIO NEGRO LTDA..doc", "Abrir Documento")</f>
        <v>0</v>
      </c>
      <c r="D9282" t="s">
        <v>23500</v>
      </c>
      <c r="E9282" t="s">
        <v>31757</v>
      </c>
    </row>
    <row r="9283" spans="1:5">
      <c r="A9283" t="s">
        <v>6</v>
      </c>
      <c r="B9283" t="s">
        <v>9288</v>
      </c>
      <c r="C9283">
        <f>HYPERLINK("C:\Users\franc\OneDrive\Documentos\MALENTIN KARIME\CESION\RESPALDO LUIS DIAZ\PODERES 2008\SILVIA ARAYA ARAYA A GMO. ARAYA.doc", "Abrir Documento")</f>
        <v>0</v>
      </c>
      <c r="D9283" t="s">
        <v>23500</v>
      </c>
      <c r="E9283" t="s">
        <v>31758</v>
      </c>
    </row>
    <row r="9284" spans="1:5">
      <c r="A9284" t="s">
        <v>6</v>
      </c>
      <c r="B9284" t="s">
        <v>9289</v>
      </c>
      <c r="C9284">
        <f>HYPERLINK("C:\Users\franc\OneDrive\Documentos\MALENTIN KARIME\CESION\RESPALDO LUIS DIAZ\PODERES 2008\SILVIA ADAROS GUTIERREZ.doc", "Abrir Documento")</f>
        <v>0</v>
      </c>
      <c r="D9284" t="s">
        <v>23500</v>
      </c>
      <c r="E9284" t="s">
        <v>31759</v>
      </c>
    </row>
    <row r="9285" spans="1:5">
      <c r="A9285" t="s">
        <v>6</v>
      </c>
      <c r="B9285" t="s">
        <v>9290</v>
      </c>
      <c r="C9285">
        <f>HYPERLINK("C:\Users\franc\OneDrive\Documentos\MALENTIN KARIME\CESION\RESPALDO LUIS DIAZ\PODERES 2008\SERGIO CORTES A. Vender Tierra y Agua.doc", "Abrir Documento")</f>
        <v>0</v>
      </c>
      <c r="D9285" t="s">
        <v>23500</v>
      </c>
      <c r="E9285" t="s">
        <v>31760</v>
      </c>
    </row>
    <row r="9286" spans="1:5">
      <c r="A9286" t="s">
        <v>6</v>
      </c>
      <c r="B9286" t="s">
        <v>9291</v>
      </c>
      <c r="C9286">
        <f>HYPERLINK("C:\Users\franc\OneDrive\Documentos\MALENTIN KARIME\CESION\RESPALDO LUIS DIAZ\PODERES 2008\SERAFIN ESTAY G. Y OTRA.doc", "Abrir Documento")</f>
        <v>0</v>
      </c>
      <c r="D9286" t="s">
        <v>23500</v>
      </c>
      <c r="E9286" t="s">
        <v>31761</v>
      </c>
    </row>
    <row r="9287" spans="1:5">
      <c r="A9287" t="s">
        <v>6</v>
      </c>
      <c r="B9287" t="s">
        <v>9292</v>
      </c>
      <c r="C9287">
        <f>HYPERLINK("C:\Users\franc\OneDrive\Documentos\MALENTIN KARIME\CESION\RESPALDO LUIS DIAZ\PODERES 2008\SELIM DABED Y OTRAS Mand. Bco..doc", "Abrir Documento")</f>
        <v>0</v>
      </c>
      <c r="D9287" t="s">
        <v>23500</v>
      </c>
      <c r="E9287" t="s">
        <v>31762</v>
      </c>
    </row>
    <row r="9288" spans="1:5">
      <c r="A9288" t="s">
        <v>6</v>
      </c>
      <c r="B9288" t="s">
        <v>9293</v>
      </c>
      <c r="C9288">
        <f>HYPERLINK("C:\Users\franc\OneDrive\Documentos\MALENTIN KARIME\CESION\RESPALDO LUIS DIAZ\PODERES 2008\SELIM DABED Y CIA. Revocac..doc", "Abrir Documento")</f>
        <v>0</v>
      </c>
      <c r="D9288" t="s">
        <v>23500</v>
      </c>
      <c r="E9288" t="s">
        <v>31763</v>
      </c>
    </row>
    <row r="9289" spans="1:5">
      <c r="A9289" t="s">
        <v>6</v>
      </c>
      <c r="B9289" t="s">
        <v>9294</v>
      </c>
      <c r="C9289">
        <f>HYPERLINK("C:\Users\franc\OneDrive\Documentos\MALENTIN KARIME\CESION\RESPALDO LUIS DIAZ\PODERES 2008\SELIM DABED Y CIA. Revoc..doc", "Abrir Documento")</f>
        <v>0</v>
      </c>
      <c r="D9289" t="s">
        <v>23500</v>
      </c>
      <c r="E9289" t="s">
        <v>31764</v>
      </c>
    </row>
    <row r="9290" spans="1:5">
      <c r="A9290" t="s">
        <v>6</v>
      </c>
      <c r="B9290" t="s">
        <v>9295</v>
      </c>
      <c r="C9290">
        <f>HYPERLINK("C:\Users\franc\OneDrive\Documentos\MALENTIN KARIME\CESION\RESPALDO LUIS DIAZ\PODERES 2008\SELIM DABED Y CIA. Mand.Bco.doc", "Abrir Documento")</f>
        <v>0</v>
      </c>
      <c r="D9290" t="s">
        <v>23500</v>
      </c>
      <c r="E9290" t="s">
        <v>31765</v>
      </c>
    </row>
    <row r="9291" spans="1:5">
      <c r="A9291" t="s">
        <v>6</v>
      </c>
      <c r="B9291" t="s">
        <v>9296</v>
      </c>
      <c r="C9291">
        <f>HYPERLINK("C:\Users\franc\OneDrive\Documentos\MALENTIN KARIME\CESION\RESPALDO LUIS DIAZ\PODERES 2008\SELIM DABED Y CIA. Mand. Bco..doc", "Abrir Documento")</f>
        <v>0</v>
      </c>
      <c r="D9291" t="s">
        <v>23500</v>
      </c>
      <c r="E9291" t="s">
        <v>31766</v>
      </c>
    </row>
    <row r="9292" spans="1:5">
      <c r="A9292" t="s">
        <v>6</v>
      </c>
      <c r="B9292" t="s">
        <v>9297</v>
      </c>
      <c r="C9292">
        <f>HYPERLINK("C:\Users\franc\OneDrive\Documentos\MALENTIN KARIME\CESION\RESPALDO LUIS DIAZ\PODERES 2008\SELIM DABED a C. ARDILES Y OTRA Mand. Esp..doc", "Abrir Documento")</f>
        <v>0</v>
      </c>
      <c r="D9292" t="s">
        <v>23500</v>
      </c>
      <c r="E9292" t="s">
        <v>31767</v>
      </c>
    </row>
    <row r="9293" spans="1:5">
      <c r="A9293" t="s">
        <v>6</v>
      </c>
      <c r="B9293" t="s">
        <v>9298</v>
      </c>
      <c r="C9293">
        <f>HYPERLINK("C:\Users\franc\OneDrive\Documentos\MALENTIN KARIME\CESION\RESPALDO LUIS DIAZ\PODERES 2008\SARA VARAS GARCIA Vender Ots.doc", "Abrir Documento")</f>
        <v>0</v>
      </c>
      <c r="D9293" t="s">
        <v>23500</v>
      </c>
      <c r="E9293" t="s">
        <v>31768</v>
      </c>
    </row>
    <row r="9294" spans="1:5">
      <c r="A9294" t="s">
        <v>6</v>
      </c>
      <c r="B9294" t="s">
        <v>9299</v>
      </c>
      <c r="C9294">
        <f>HYPERLINK("C:\Users\franc\OneDrive\Documentos\MALENTIN KARIME\CESION\RESPALDO LUIS DIAZ\PODERES 2008\S.L.M. SANTA LAURA UNA Chqs. Panulcillo.doc", "Abrir Documento")</f>
        <v>0</v>
      </c>
      <c r="D9294" t="s">
        <v>23500</v>
      </c>
      <c r="E9294" t="s">
        <v>31769</v>
      </c>
    </row>
    <row r="9295" spans="1:5">
      <c r="A9295" t="s">
        <v>6</v>
      </c>
      <c r="B9295" t="s">
        <v>9300</v>
      </c>
      <c r="C9295">
        <f>HYPERLINK("C:\Users\franc\OneDrive\Documentos\MALENTIN KARIME\CESION\RESPALDO LUIS DIAZ\PODERES 2008\S.L.M. MIRADOR UNO.ESP.doc", "Abrir Documento")</f>
        <v>0</v>
      </c>
      <c r="D9295" t="s">
        <v>23500</v>
      </c>
      <c r="E9295" t="s">
        <v>31770</v>
      </c>
    </row>
    <row r="9296" spans="1:5">
      <c r="A9296" t="s">
        <v>6</v>
      </c>
      <c r="B9296" t="s">
        <v>9301</v>
      </c>
      <c r="C9296">
        <f>HYPERLINK("C:\Users\franc\OneDrive\Documentos\MALENTIN KARIME\CESION\RESPALDO LUIS DIAZ\PODERES 2008\S.L.M. MALAQUITA I.doc", "Abrir Documento")</f>
        <v>0</v>
      </c>
      <c r="D9296" t="s">
        <v>23500</v>
      </c>
      <c r="E9296" t="s">
        <v>31771</v>
      </c>
    </row>
    <row r="9297" spans="1:5">
      <c r="A9297" t="s">
        <v>6</v>
      </c>
      <c r="B9297" t="s">
        <v>9302</v>
      </c>
      <c r="C9297">
        <f>HYPERLINK("C:\Users\franc\OneDrive\Documentos\MALENTIN KARIME\CESION\RESPALDO LUIS DIAZ\PODERES 2008\S.L.M. LA REGALADA Y OTRA.doc", "Abrir Documento")</f>
        <v>0</v>
      </c>
      <c r="D9297" t="s">
        <v>23500</v>
      </c>
      <c r="E9297" t="s">
        <v>31772</v>
      </c>
    </row>
    <row r="9298" spans="1:5">
      <c r="A9298" t="s">
        <v>6</v>
      </c>
      <c r="B9298" t="s">
        <v>9303</v>
      </c>
      <c r="C9298">
        <f>HYPERLINK("C:\Users\franc\OneDrive\Documentos\MALENTIN KARIME\CESION\RESPALDO LUIS DIAZ\PODERES 2008\S.L.M. CRUCERO UNO Contrato Honorarios.doc", "Abrir Documento")</f>
        <v>0</v>
      </c>
      <c r="D9298" t="s">
        <v>23500</v>
      </c>
      <c r="E9298" t="s">
        <v>31773</v>
      </c>
    </row>
    <row r="9299" spans="1:5">
      <c r="A9299" t="s">
        <v>6</v>
      </c>
      <c r="B9299" t="s">
        <v>9304</v>
      </c>
      <c r="C9299">
        <f>HYPERLINK("C:\Users\franc\OneDrive\Documentos\MALENTIN KARIME\CESION\RESPALDO LUIS DIAZ\PODERES 2008\S.L.M. CRUCERO UNO a C. MARCHANT.doc", "Abrir Documento")</f>
        <v>0</v>
      </c>
      <c r="D9299" t="s">
        <v>23500</v>
      </c>
      <c r="E9299" t="s">
        <v>31774</v>
      </c>
    </row>
    <row r="9300" spans="1:5">
      <c r="A9300" t="s">
        <v>6</v>
      </c>
      <c r="B9300" t="s">
        <v>9305</v>
      </c>
      <c r="C9300">
        <f>HYPERLINK("C:\Users\franc\OneDrive\Documentos\MALENTIN KARIME\CESION\RESPALDO LUIS DIAZ\PODERES 2008\S.L.M. CRISTINA UNO Y OTRAS Mandato.doc", "Abrir Documento")</f>
        <v>0</v>
      </c>
      <c r="D9300" t="s">
        <v>23500</v>
      </c>
      <c r="E9300" t="s">
        <v>31775</v>
      </c>
    </row>
    <row r="9301" spans="1:5">
      <c r="A9301" t="s">
        <v>6</v>
      </c>
      <c r="B9301" t="s">
        <v>9306</v>
      </c>
      <c r="C9301">
        <f>HYPERLINK("C:\Users\franc\OneDrive\Documentos\MALENTIN KARIME\CESION\RESPALDO LUIS DIAZ\PODERES 2008\RUBEN RUIZ V. a SELIM DABED.doc", "Abrir Documento")</f>
        <v>0</v>
      </c>
      <c r="D9301" t="s">
        <v>23500</v>
      </c>
      <c r="E9301" t="s">
        <v>31776</v>
      </c>
    </row>
    <row r="9302" spans="1:5">
      <c r="A9302" t="s">
        <v>6</v>
      </c>
      <c r="B9302" t="s">
        <v>9307</v>
      </c>
      <c r="C9302">
        <f>HYPERLINK("C:\Users\franc\OneDrive\Documentos\MALENTIN KARIME\CESION\RESPALDO LUIS DIAZ\PODERES 2008\RUBEN RUIZ V. a SELIM DABED 4.doc", "Abrir Documento")</f>
        <v>0</v>
      </c>
      <c r="D9302" t="s">
        <v>23500</v>
      </c>
      <c r="E9302" t="s">
        <v>31777</v>
      </c>
    </row>
    <row r="9303" spans="1:5">
      <c r="A9303" t="s">
        <v>6</v>
      </c>
      <c r="B9303" t="s">
        <v>9308</v>
      </c>
      <c r="C9303">
        <f>HYPERLINK("C:\Users\franc\OneDrive\Documentos\MALENTIN KARIME\CESION\RESPALDO LUIS DIAZ\PODERES 2008\RUBEN RUIZ V. a SELIM DABED 3.doc", "Abrir Documento")</f>
        <v>0</v>
      </c>
      <c r="D9303" t="s">
        <v>23500</v>
      </c>
      <c r="E9303" t="s">
        <v>31778</v>
      </c>
    </row>
    <row r="9304" spans="1:5">
      <c r="A9304" t="s">
        <v>6</v>
      </c>
      <c r="B9304" t="s">
        <v>9309</v>
      </c>
      <c r="C9304">
        <f>HYPERLINK("C:\Users\franc\OneDrive\Documentos\MALENTIN KARIME\CESION\RESPALDO LUIS DIAZ\PODERES 2008\RUBEN RUIZ V. a SELIM DABED 2.doc", "Abrir Documento")</f>
        <v>0</v>
      </c>
      <c r="D9304" t="s">
        <v>23500</v>
      </c>
      <c r="E9304" t="s">
        <v>31779</v>
      </c>
    </row>
    <row r="9305" spans="1:5">
      <c r="A9305" t="s">
        <v>6</v>
      </c>
      <c r="B9305" t="s">
        <v>9310</v>
      </c>
      <c r="C9305">
        <f>HYPERLINK("C:\Users\franc\OneDrive\Documentos\MALENTIN KARIME\CESION\RESPALDO LUIS DIAZ\PODERES 2008\RUBEN RUIZ a SELIM DABED.doc", "Abrir Documento")</f>
        <v>0</v>
      </c>
      <c r="D9305" t="s">
        <v>23500</v>
      </c>
      <c r="E9305" t="s">
        <v>31780</v>
      </c>
    </row>
    <row r="9306" spans="1:5">
      <c r="A9306" t="s">
        <v>6</v>
      </c>
      <c r="B9306" t="s">
        <v>9311</v>
      </c>
      <c r="C9306">
        <f>HYPERLINK("C:\Users\franc\OneDrive\Documentos\MALENTIN KARIME\CESION\RESPALDO LUIS DIAZ\PODERES 2008\RUBEN RUIZ 2 a SELIM DABED.doc", "Abrir Documento")</f>
        <v>0</v>
      </c>
      <c r="D9306" t="s">
        <v>23500</v>
      </c>
      <c r="E9306" t="s">
        <v>31781</v>
      </c>
    </row>
    <row r="9307" spans="1:5">
      <c r="A9307" t="s">
        <v>6</v>
      </c>
      <c r="B9307" t="s">
        <v>9312</v>
      </c>
      <c r="C9307">
        <f>HYPERLINK("C:\Users\franc\OneDrive\Documentos\MALENTIN KARIME\CESION\RESPALDO LUIS DIAZ\PODERES 2008\RUBEN ARAYA JOFRE V.V. y Chqs.doc", "Abrir Documento")</f>
        <v>0</v>
      </c>
      <c r="D9307" t="s">
        <v>23500</v>
      </c>
      <c r="E9307" t="s">
        <v>31782</v>
      </c>
    </row>
    <row r="9308" spans="1:5">
      <c r="A9308" t="s">
        <v>6</v>
      </c>
      <c r="B9308" t="s">
        <v>9313</v>
      </c>
      <c r="C9308">
        <f>HYPERLINK("C:\Users\franc\OneDrive\Documentos\MALENTIN KARIME\CESION\RESPALDO LUIS DIAZ\PODERES 2008\ROSA CONTADOR Y OTROS.BCO.doc", "Abrir Documento")</f>
        <v>0</v>
      </c>
      <c r="D9308" t="s">
        <v>23500</v>
      </c>
      <c r="E9308" t="s">
        <v>31783</v>
      </c>
    </row>
    <row r="9309" spans="1:5">
      <c r="A9309" t="s">
        <v>6</v>
      </c>
      <c r="B9309" t="s">
        <v>9314</v>
      </c>
      <c r="C9309">
        <f>HYPERLINK("C:\Users\franc\OneDrive\Documentos\MALENTIN KARIME\CESION\RESPALDO LUIS DIAZ\PODERES 2008\ROLANDO CONCHA G. Aut.Cóny.Vender.doc", "Abrir Documento")</f>
        <v>0</v>
      </c>
      <c r="D9309" t="s">
        <v>23500</v>
      </c>
      <c r="E9309" t="s">
        <v>31784</v>
      </c>
    </row>
    <row r="9310" spans="1:5">
      <c r="A9310" t="s">
        <v>6</v>
      </c>
      <c r="B9310" t="s">
        <v>9315</v>
      </c>
      <c r="C9310">
        <f>HYPERLINK("C:\Users\franc\OneDrive\Documentos\MALENTIN KARIME\CESION\RESPALDO LUIS DIAZ\PODERES 2008\ROLANDO CONCHA Aut. a cónyuge.doc", "Abrir Documento")</f>
        <v>0</v>
      </c>
      <c r="D9310" t="s">
        <v>23500</v>
      </c>
      <c r="E9310" t="s">
        <v>31785</v>
      </c>
    </row>
    <row r="9311" spans="1:5">
      <c r="A9311" t="s">
        <v>6</v>
      </c>
      <c r="B9311" t="s">
        <v>9316</v>
      </c>
      <c r="C9311">
        <f>HYPERLINK("C:\Users\franc\OneDrive\Documentos\MALENTIN KARIME\CESION\RESPALDO LUIS DIAZ\PODERES 2008\RODRIGO TELLO.POD.doc", "Abrir Documento")</f>
        <v>0</v>
      </c>
      <c r="D9311" t="s">
        <v>23500</v>
      </c>
      <c r="E9311" t="s">
        <v>31786</v>
      </c>
    </row>
    <row r="9312" spans="1:5">
      <c r="A9312" t="s">
        <v>6</v>
      </c>
      <c r="B9312" t="s">
        <v>9317</v>
      </c>
      <c r="C9312">
        <f>HYPERLINK("C:\Users\franc\OneDrive\Documentos\MALENTIN KARIME\CESION\RESPALDO LUIS DIAZ\PODERES 2008\RODRIGO CABRERA Deleg. Facultades.doc", "Abrir Documento")</f>
        <v>0</v>
      </c>
      <c r="D9312" t="s">
        <v>23500</v>
      </c>
      <c r="E9312" t="s">
        <v>31787</v>
      </c>
    </row>
    <row r="9313" spans="1:5">
      <c r="A9313" t="s">
        <v>6</v>
      </c>
      <c r="B9313" t="s">
        <v>9318</v>
      </c>
      <c r="C9313">
        <f>HYPERLINK("C:\Users\franc\OneDrive\Documentos\MALENTIN KARIME\CESION\RESPALDO LUIS DIAZ\PODERES 2008\RODRIGO BRICEÑO M. Cobrar V.V..doc", "Abrir Documento")</f>
        <v>0</v>
      </c>
      <c r="D9313" t="s">
        <v>23500</v>
      </c>
      <c r="E9313" t="s">
        <v>31788</v>
      </c>
    </row>
    <row r="9314" spans="1:5">
      <c r="A9314" t="s">
        <v>6</v>
      </c>
      <c r="B9314" t="s">
        <v>9319</v>
      </c>
      <c r="C9314">
        <f>HYPERLINK("C:\Users\franc\OneDrive\Documentos\MALENTIN KARIME\CESION\RESPALDO LUIS DIAZ\PODERES 2008\ROBERTO SALAS TREVERTON Y OTS..doc", "Abrir Documento")</f>
        <v>0</v>
      </c>
      <c r="D9314" t="s">
        <v>23500</v>
      </c>
      <c r="E9314" t="s">
        <v>31789</v>
      </c>
    </row>
    <row r="9315" spans="1:5">
      <c r="A9315" t="s">
        <v>6</v>
      </c>
      <c r="B9315" t="s">
        <v>9320</v>
      </c>
      <c r="C9315">
        <f>HYPERLINK("C:\Users\franc\OneDrive\Documentos\MALENTIN KARIME\CESION\RESPALDO LUIS DIAZ\PODERES 2008\ROBERTO CORTES CORRAL  Cta.Cte. BDD.doc", "Abrir Documento")</f>
        <v>0</v>
      </c>
      <c r="D9315" t="s">
        <v>23500</v>
      </c>
      <c r="E9315" t="s">
        <v>31790</v>
      </c>
    </row>
    <row r="9316" spans="1:5">
      <c r="A9316" t="s">
        <v>6</v>
      </c>
      <c r="B9316" t="s">
        <v>9321</v>
      </c>
      <c r="C9316">
        <f>HYPERLINK("C:\Users\franc\OneDrive\Documentos\MALENTIN KARIME\CESION\RESPALDO LUIS DIAZ\PODERES 2008\RICARDO CORRAL  a A. SABIONCELLO.doc", "Abrir Documento")</f>
        <v>0</v>
      </c>
      <c r="D9316" t="s">
        <v>23500</v>
      </c>
      <c r="E9316" t="s">
        <v>31791</v>
      </c>
    </row>
    <row r="9317" spans="1:5">
      <c r="A9317" t="s">
        <v>6</v>
      </c>
      <c r="B9317" t="s">
        <v>9322</v>
      </c>
      <c r="C9317">
        <f>HYPERLINK("C:\Users\franc\OneDrive\Documentos\MALENTIN KARIME\CESION\RESPALDO LUIS DIAZ\PODERES 2008\REGISTRO DE INSTRUMENTOS PUBLICOS.doc", "Abrir Documento")</f>
        <v>0</v>
      </c>
      <c r="D9317" t="s">
        <v>23500</v>
      </c>
      <c r="E9317" t="s">
        <v>31792</v>
      </c>
    </row>
    <row r="9318" spans="1:5">
      <c r="A9318" t="s">
        <v>6</v>
      </c>
      <c r="B9318" t="s">
        <v>9323</v>
      </c>
      <c r="C9318">
        <f>HYPERLINK("C:\Users\franc\OneDrive\Documentos\MALENTIN KARIME\CESION\RESPALDO LUIS DIAZ\PODERES 2008\REBECA MILLA M. Provida.doc", "Abrir Documento")</f>
        <v>0</v>
      </c>
      <c r="D9318" t="s">
        <v>23500</v>
      </c>
      <c r="E9318" t="s">
        <v>31793</v>
      </c>
    </row>
    <row r="9319" spans="1:5">
      <c r="A9319" t="s">
        <v>6</v>
      </c>
      <c r="B9319" t="s">
        <v>9324</v>
      </c>
      <c r="C9319">
        <f>HYPERLINK("C:\Users\franc\OneDrive\Documentos\MALENTIN KARIME\CESION\RESPALDO LUIS DIAZ\PODERES 2008\RAUL ZARRICUETA a LUZ VARAS Provida.doc", "Abrir Documento")</f>
        <v>0</v>
      </c>
      <c r="D9319" t="s">
        <v>23500</v>
      </c>
      <c r="E9319" t="s">
        <v>31794</v>
      </c>
    </row>
    <row r="9320" spans="1:5">
      <c r="A9320" t="s">
        <v>6</v>
      </c>
      <c r="B9320" t="s">
        <v>9325</v>
      </c>
      <c r="C9320">
        <f>HYPERLINK("C:\Users\franc\OneDrive\Documentos\MALENTIN KARIME\CESION\RESPALDO LUIS DIAZ\PODERES 2008\RAUL ROJAS H. Cta.Cte. Bco.Chile.doc", "Abrir Documento")</f>
        <v>0</v>
      </c>
      <c r="D9320" t="s">
        <v>23500</v>
      </c>
      <c r="E9320" t="s">
        <v>31795</v>
      </c>
    </row>
    <row r="9321" spans="1:5">
      <c r="A9321" t="s">
        <v>6</v>
      </c>
      <c r="B9321" t="s">
        <v>9326</v>
      </c>
      <c r="C9321">
        <f>HYPERLINK("C:\Users\franc\OneDrive\Documentos\MALENTIN KARIME\CESION\RESPALDO LUIS DIAZ\PODERES 2008\RAUL PIZARRO MUNDACA Vehículo.doc", "Abrir Documento")</f>
        <v>0</v>
      </c>
      <c r="D9321" t="s">
        <v>23500</v>
      </c>
      <c r="E9321" t="s">
        <v>31796</v>
      </c>
    </row>
    <row r="9322" spans="1:5">
      <c r="A9322" t="s">
        <v>6</v>
      </c>
      <c r="B9322" t="s">
        <v>9327</v>
      </c>
      <c r="C9322">
        <f>HYPERLINK("C:\Users\franc\OneDrive\Documentos\MALENTIN KARIME\CESION\RESPALDO LUIS DIAZ\PODERES 2008\RAMON VELIZ VELIZ. Aut. a cónyuge.doc", "Abrir Documento")</f>
        <v>0</v>
      </c>
      <c r="D9322" t="s">
        <v>23500</v>
      </c>
      <c r="E9322" t="s">
        <v>31797</v>
      </c>
    </row>
    <row r="9323" spans="1:5">
      <c r="A9323" t="s">
        <v>6</v>
      </c>
      <c r="B9323" t="s">
        <v>9328</v>
      </c>
      <c r="C9323">
        <f>HYPERLINK("C:\Users\franc\OneDrive\Documentos\MALENTIN KARIME\CESION\RESPALDO LUIS DIAZ\PODERES 2008\RAMON ROJAS RIVERA.doc", "Abrir Documento")</f>
        <v>0</v>
      </c>
      <c r="D9323" t="s">
        <v>23500</v>
      </c>
      <c r="E9323" t="s">
        <v>31798</v>
      </c>
    </row>
    <row r="9324" spans="1:5">
      <c r="A9324" t="s">
        <v>6</v>
      </c>
      <c r="B9324" t="s">
        <v>9329</v>
      </c>
      <c r="C9324">
        <f>HYPERLINK("C:\Users\franc\OneDrive\Documentos\MALENTIN KARIME\CESION\RESPALDO LUIS DIAZ\PODERES 2008\RAMIRO SEPULVEDA Cta Cte Desarr.doc", "Abrir Documento")</f>
        <v>0</v>
      </c>
      <c r="D9324" t="s">
        <v>23500</v>
      </c>
      <c r="E9324" t="s">
        <v>31799</v>
      </c>
    </row>
    <row r="9325" spans="1:5">
      <c r="A9325" t="s">
        <v>6</v>
      </c>
      <c r="B9325" t="s">
        <v>9330</v>
      </c>
      <c r="C9325">
        <f>HYPERLINK("C:\Users\franc\OneDrive\Documentos\MALENTIN KARIME\CESION\RESPALDO LUIS DIAZ\PODERES 2008\RAMIRO SEPULVEDA a ELIZABETH SEPULVEDA.doc", "Abrir Documento")</f>
        <v>0</v>
      </c>
      <c r="D9325" t="s">
        <v>23500</v>
      </c>
      <c r="E9325" t="s">
        <v>31800</v>
      </c>
    </row>
    <row r="9326" spans="1:5">
      <c r="A9326" t="s">
        <v>6</v>
      </c>
      <c r="B9326" t="s">
        <v>9331</v>
      </c>
      <c r="C9326">
        <f>HYPERLINK("C:\Users\franc\OneDrive\Documentos\MALENTIN KARIME\CESION\RESPALDO LUIS DIAZ\PODERES 2008\PRIMITIVA VASQUEZ O. vender drchos..doc", "Abrir Documento")</f>
        <v>0</v>
      </c>
      <c r="D9326" t="s">
        <v>23500</v>
      </c>
      <c r="E9326" t="s">
        <v>31801</v>
      </c>
    </row>
    <row r="9327" spans="1:5">
      <c r="A9327" t="s">
        <v>6</v>
      </c>
      <c r="B9327" t="s">
        <v>9332</v>
      </c>
      <c r="C9327">
        <f>HYPERLINK("C:\Users\franc\OneDrive\Documentos\MALENTIN KARIME\CESION\RESPALDO LUIS DIAZ\PODERES 2008\PLACIDO HIDALGO C. Adm.Soc.Cony.doc", "Abrir Documento")</f>
        <v>0</v>
      </c>
      <c r="D9327" t="s">
        <v>23500</v>
      </c>
      <c r="E9327" t="s">
        <v>31802</v>
      </c>
    </row>
    <row r="9328" spans="1:5">
      <c r="A9328" t="s">
        <v>6</v>
      </c>
      <c r="B9328" t="s">
        <v>9333</v>
      </c>
      <c r="C9328">
        <f>HYPERLINK("C:\Users\franc\OneDrive\Documentos\MALENTIN KARIME\CESION\RESPALDO LUIS DIAZ\PODERES 2008\PLACIDO ALFARO a YOLANDA V. Provida.doc", "Abrir Documento")</f>
        <v>0</v>
      </c>
      <c r="D9328" t="s">
        <v>23500</v>
      </c>
      <c r="E9328" t="s">
        <v>31803</v>
      </c>
    </row>
    <row r="9329" spans="1:5">
      <c r="A9329" t="s">
        <v>6</v>
      </c>
      <c r="B9329" t="s">
        <v>9334</v>
      </c>
      <c r="C9329">
        <f>HYPERLINK("C:\Users\franc\OneDrive\Documentos\MALENTIN KARIME\CESION\RESPALDO LUIS DIAZ\PODERES 2008\PERSOL S.A. a IRMA SOTO Cta. Cte..doc", "Abrir Documento")</f>
        <v>0</v>
      </c>
      <c r="D9329" t="s">
        <v>23500</v>
      </c>
      <c r="E9329" t="s">
        <v>31804</v>
      </c>
    </row>
    <row r="9330" spans="1:5">
      <c r="A9330" t="s">
        <v>6</v>
      </c>
      <c r="B9330" t="s">
        <v>9335</v>
      </c>
      <c r="C9330">
        <f>HYPERLINK("C:\Users\franc\OneDrive\Documentos\MALENTIN KARIME\CESION\RESPALDO LUIS DIAZ\PODERES 2008\PEDRO SALAS S. Aut. Cónyuge.doc", "Abrir Documento")</f>
        <v>0</v>
      </c>
      <c r="D9330" t="s">
        <v>23500</v>
      </c>
      <c r="E9330" t="s">
        <v>31805</v>
      </c>
    </row>
    <row r="9331" spans="1:5">
      <c r="A9331" t="s">
        <v>6</v>
      </c>
      <c r="B9331" t="s">
        <v>9336</v>
      </c>
      <c r="C9331">
        <f>HYPERLINK("C:\Users\franc\OneDrive\Documentos\MALENTIN KARIME\CESION\RESPALDO LUIS DIAZ\PODERES 2008\PEDRO IBARRA G. Aut. a cónyuge.doc", "Abrir Documento")</f>
        <v>0</v>
      </c>
      <c r="D9331" t="s">
        <v>23500</v>
      </c>
      <c r="E9331" t="s">
        <v>31806</v>
      </c>
    </row>
    <row r="9332" spans="1:5">
      <c r="A9332" t="s">
        <v>6</v>
      </c>
      <c r="B9332" t="s">
        <v>9337</v>
      </c>
      <c r="C9332">
        <f>HYPERLINK("C:\Users\franc\OneDrive\Documentos\MALENTIN KARIME\CESION\RESPALDO LUIS DIAZ\PODERES 2008\PAULINA GALVEZ Y OTRA. Poder Esp..doc", "Abrir Documento")</f>
        <v>0</v>
      </c>
      <c r="D9332" t="s">
        <v>23500</v>
      </c>
      <c r="E9332" t="s">
        <v>31807</v>
      </c>
    </row>
    <row r="9333" spans="1:5">
      <c r="A9333" t="s">
        <v>6</v>
      </c>
      <c r="B9333" t="s">
        <v>9338</v>
      </c>
      <c r="C9333">
        <f>HYPERLINK("C:\Users\franc\OneDrive\Documentos\MALENTIN KARIME\CESION\RESPALDO LUIS DIAZ\PODERES 2008\PAULINA GALVEZ Y CIA. ret. y cobrar V.V..doc", "Abrir Documento")</f>
        <v>0</v>
      </c>
      <c r="D9333" t="s">
        <v>23500</v>
      </c>
      <c r="E9333" t="s">
        <v>31808</v>
      </c>
    </row>
    <row r="9334" spans="1:5">
      <c r="A9334" t="s">
        <v>6</v>
      </c>
      <c r="B9334" t="s">
        <v>9339</v>
      </c>
      <c r="C9334">
        <f>HYPERLINK("C:\Users\franc\OneDrive\Documentos\MALENTIN KARIME\CESION\RESPALDO LUIS DIAZ\PODERES 2008\PAULINA GALVEZ Y CIA. ret. y cobrar V.V. 2012.doc", "Abrir Documento")</f>
        <v>0</v>
      </c>
      <c r="D9334" t="s">
        <v>23500</v>
      </c>
      <c r="E9334" t="s">
        <v>31809</v>
      </c>
    </row>
    <row r="9335" spans="1:5">
      <c r="A9335" t="s">
        <v>6</v>
      </c>
      <c r="B9335" t="s">
        <v>9340</v>
      </c>
      <c r="C9335">
        <f>HYPERLINK("C:\Users\franc\OneDrive\Documentos\MALENTIN KARIME\CESION\RESPALDO LUIS DIAZ\PODERES 2008\PAULA GONZALEZ C. Cta.Cte. BCI.doc", "Abrir Documento")</f>
        <v>0</v>
      </c>
      <c r="D9335" t="s">
        <v>23500</v>
      </c>
      <c r="E9335" t="s">
        <v>31810</v>
      </c>
    </row>
    <row r="9336" spans="1:5">
      <c r="A9336" t="s">
        <v>6</v>
      </c>
      <c r="B9336" t="s">
        <v>9341</v>
      </c>
      <c r="C9336">
        <f>HYPERLINK("C:\Users\franc\OneDrive\Documentos\MALENTIN KARIME\CESION\RESPALDO LUIS DIAZ\PODERES 2008\PATRICIO VEDIA Y OTRA Vender.doc", "Abrir Documento")</f>
        <v>0</v>
      </c>
      <c r="D9336" t="s">
        <v>23500</v>
      </c>
      <c r="E9336" t="s">
        <v>31811</v>
      </c>
    </row>
    <row r="9337" spans="1:5">
      <c r="A9337" t="s">
        <v>6</v>
      </c>
      <c r="B9337" t="s">
        <v>9342</v>
      </c>
      <c r="C9337">
        <f>HYPERLINK("C:\Users\franc\OneDrive\Documentos\MALENTIN KARIME\CESION\RESPALDO LUIS DIAZ\PODERES 2008\PATRICIO SASTRE Vender.doc", "Abrir Documento")</f>
        <v>0</v>
      </c>
      <c r="D9337" t="s">
        <v>23500</v>
      </c>
      <c r="E9337" t="s">
        <v>31812</v>
      </c>
    </row>
    <row r="9338" spans="1:5">
      <c r="A9338" t="s">
        <v>6</v>
      </c>
      <c r="B9338" t="s">
        <v>9343</v>
      </c>
      <c r="C9338">
        <f>HYPERLINK("C:\Users\franc\OneDrive\Documentos\MALENTIN KARIME\CESION\RESPALDO LUIS DIAZ\PODERES 2008\PATRICIO CASTILLO Chqs. Panulcillo.doc", "Abrir Documento")</f>
        <v>0</v>
      </c>
      <c r="D9338" t="s">
        <v>23500</v>
      </c>
      <c r="E9338" t="s">
        <v>31813</v>
      </c>
    </row>
    <row r="9339" spans="1:5">
      <c r="A9339" t="s">
        <v>6</v>
      </c>
      <c r="B9339" t="s">
        <v>9344</v>
      </c>
      <c r="C9339">
        <f>HYPERLINK("C:\Users\franc\OneDrive\Documentos\MALENTIN KARIME\CESION\RESPALDO LUIS DIAZ\PODERES 2008\PATRICIO ARAYA C. a PATRICIO H..doc", "Abrir Documento")</f>
        <v>0</v>
      </c>
      <c r="D9339" t="s">
        <v>23500</v>
      </c>
      <c r="E9339" t="s">
        <v>31814</v>
      </c>
    </row>
    <row r="9340" spans="1:5">
      <c r="A9340" t="s">
        <v>6</v>
      </c>
      <c r="B9340" t="s">
        <v>9345</v>
      </c>
      <c r="C9340">
        <f>HYPERLINK("C:\Users\franc\OneDrive\Documentos\MALENTIN KARIME\CESION\RESPALDO LUIS DIAZ\PODERES 2008\PATRICIO ADAOS a MARIA LIMPERT.doc", "Abrir Documento")</f>
        <v>0</v>
      </c>
      <c r="D9340" t="s">
        <v>23500</v>
      </c>
      <c r="E9340" t="s">
        <v>31815</v>
      </c>
    </row>
    <row r="9341" spans="1:5">
      <c r="A9341" t="s">
        <v>6</v>
      </c>
      <c r="B9341" t="s">
        <v>9346</v>
      </c>
      <c r="C9341">
        <f>HYPERLINK("C:\Users\franc\OneDrive\Documentos\MALENTIN KARIME\CESION\RESPALDO LUIS DIAZ\PODERES 2008\PATRICIA GARCIA F. a XIMENA GARCIA.doc", "Abrir Documento")</f>
        <v>0</v>
      </c>
      <c r="D9341" t="s">
        <v>23500</v>
      </c>
      <c r="E9341" t="s">
        <v>31816</v>
      </c>
    </row>
    <row r="9342" spans="1:5">
      <c r="A9342" t="s">
        <v>6</v>
      </c>
      <c r="B9342" t="s">
        <v>9347</v>
      </c>
      <c r="C9342">
        <f>HYPERLINK("C:\Users\franc\OneDrive\Documentos\MALENTIN KARIME\CESION\RESPALDO LUIS DIAZ\PODERES 2008\PATRICIA ESPINOZA Chq.Panulcillo.doc", "Abrir Documento")</f>
        <v>0</v>
      </c>
      <c r="D9342" t="s">
        <v>23500</v>
      </c>
      <c r="E9342" t="s">
        <v>31817</v>
      </c>
    </row>
    <row r="9343" spans="1:5">
      <c r="A9343" t="s">
        <v>6</v>
      </c>
      <c r="B9343" t="s">
        <v>9348</v>
      </c>
      <c r="C9343">
        <f>HYPERLINK("C:\Users\franc\OneDrive\Documentos\MALENTIN KARIME\CESION\RESPALDO LUIS DIAZ\PODERES 2008\PASCUAL DIAZ a MARIANELLA MORENO.doc", "Abrir Documento")</f>
        <v>0</v>
      </c>
      <c r="D9343" t="s">
        <v>23500</v>
      </c>
      <c r="E9343" t="s">
        <v>31818</v>
      </c>
    </row>
    <row r="9344" spans="1:5">
      <c r="A9344" t="s">
        <v>6</v>
      </c>
      <c r="B9344" t="s">
        <v>9349</v>
      </c>
      <c r="C9344">
        <f>HYPERLINK("C:\Users\franc\OneDrive\Documentos\MALENTIN KARIME\CESION\RESPALDO LUIS DIAZ\PODERES 2008\PASCUAL ARAYA Y OT a E. ELORZA.doc", "Abrir Documento")</f>
        <v>0</v>
      </c>
      <c r="D9344" t="s">
        <v>23500</v>
      </c>
      <c r="E9344" t="s">
        <v>31819</v>
      </c>
    </row>
    <row r="9345" spans="1:5">
      <c r="A9345" t="s">
        <v>6</v>
      </c>
      <c r="B9345" t="s">
        <v>9350</v>
      </c>
      <c r="C9345">
        <f>HYPERLINK("C:\Users\franc\OneDrive\Documentos\MALENTIN KARIME\CESION\RESPALDO LUIS DIAZ\PODERES 2008\PAOLA PEÑAFIEL G. Cta.Cte. BCO.CHILE.doc", "Abrir Documento")</f>
        <v>0</v>
      </c>
      <c r="D9345" t="s">
        <v>23500</v>
      </c>
      <c r="E9345" t="s">
        <v>31820</v>
      </c>
    </row>
    <row r="9346" spans="1:5">
      <c r="A9346" t="s">
        <v>6</v>
      </c>
      <c r="B9346" t="s">
        <v>9351</v>
      </c>
      <c r="C9346">
        <f>HYPERLINK("C:\Users\franc\OneDrive\Documentos\MALENTIN KARIME\CESION\RESPALDO LUIS DIAZ\PODERES 2008\PABLO RIVERA B. otros hered..doc", "Abrir Documento")</f>
        <v>0</v>
      </c>
      <c r="D9346" t="s">
        <v>23500</v>
      </c>
      <c r="E9346" t="s">
        <v>31821</v>
      </c>
    </row>
    <row r="9347" spans="1:5">
      <c r="A9347" t="s">
        <v>6</v>
      </c>
      <c r="B9347" t="s">
        <v>9352</v>
      </c>
      <c r="C9347">
        <f>HYPERLINK("C:\Users\franc\OneDrive\Documentos\MALENTIN KARIME\CESION\RESPALDO LUIS DIAZ\PODERES 2008\PABLO PIZARRO C. Cobrar Serviu.doc", "Abrir Documento")</f>
        <v>0</v>
      </c>
      <c r="D9347" t="s">
        <v>23500</v>
      </c>
      <c r="E9347" t="s">
        <v>31822</v>
      </c>
    </row>
    <row r="9348" spans="1:5">
      <c r="A9348" t="s">
        <v>6</v>
      </c>
      <c r="B9348" t="s">
        <v>9353</v>
      </c>
      <c r="C9348">
        <f>HYPERLINK("C:\Users\franc\OneDrive\Documentos\MALENTIN KARIME\CESION\RESPALDO LUIS DIAZ\PODERES 2008\PABLO GALLARDO ELORZA Vender Minas.doc", "Abrir Documento")</f>
        <v>0</v>
      </c>
      <c r="D9348" t="s">
        <v>23500</v>
      </c>
      <c r="E9348" t="s">
        <v>31823</v>
      </c>
    </row>
    <row r="9349" spans="1:5">
      <c r="A9349" t="s">
        <v>6</v>
      </c>
      <c r="B9349" t="s">
        <v>9354</v>
      </c>
      <c r="C9349">
        <f>HYPERLINK("C:\Users\franc\OneDrive\Documentos\MALENTIN KARIME\CESION\RESPALDO LUIS DIAZ\PODERES 2008\PABLO CORTES C. Chq.Panulcillo.doc", "Abrir Documento")</f>
        <v>0</v>
      </c>
      <c r="D9349" t="s">
        <v>23500</v>
      </c>
      <c r="E9349" t="s">
        <v>31824</v>
      </c>
    </row>
    <row r="9350" spans="1:5">
      <c r="A9350" t="s">
        <v>6</v>
      </c>
      <c r="B9350" t="s">
        <v>9355</v>
      </c>
      <c r="C9350">
        <f>HYPERLINK("C:\Users\franc\OneDrive\Documentos\MALENTIN KARIME\CESION\RESPALDO LUIS DIAZ\PODERES 2008\PABLA FARIAS C. Y OTS. Cheq CAPEL.doc", "Abrir Documento")</f>
        <v>0</v>
      </c>
      <c r="D9350" t="s">
        <v>23500</v>
      </c>
      <c r="E9350" t="s">
        <v>31825</v>
      </c>
    </row>
    <row r="9351" spans="1:5">
      <c r="A9351" t="s">
        <v>6</v>
      </c>
      <c r="B9351" t="s">
        <v>9356</v>
      </c>
      <c r="C9351">
        <f>HYPERLINK("C:\Users\franc\OneDrive\Documentos\MALENTIN KARIME\CESION\RESPALDO LUIS DIAZ\PODERES 2008\OSVALDO GUERRERO A. Panulcillo.doc", "Abrir Documento")</f>
        <v>0</v>
      </c>
      <c r="D9351" t="s">
        <v>23500</v>
      </c>
      <c r="E9351" t="s">
        <v>31826</v>
      </c>
    </row>
    <row r="9352" spans="1:5">
      <c r="A9352" t="s">
        <v>6</v>
      </c>
      <c r="B9352" t="s">
        <v>9357</v>
      </c>
      <c r="C9352">
        <f>HYPERLINK("C:\Users\franc\OneDrive\Documentos\MALENTIN KARIME\CESION\RESPALDO LUIS DIAZ\PODERES 2008\OSCAR VICENCIO CHQ. PANULCILLO.doc", "Abrir Documento")</f>
        <v>0</v>
      </c>
      <c r="D9352" t="s">
        <v>23500</v>
      </c>
      <c r="E9352" t="s">
        <v>31827</v>
      </c>
    </row>
    <row r="9353" spans="1:5">
      <c r="A9353" t="s">
        <v>6</v>
      </c>
      <c r="B9353" t="s">
        <v>9358</v>
      </c>
      <c r="C9353">
        <f>HYPERLINK("C:\Users\franc\OneDrive\Documentos\MALENTIN KARIME\CESION\RESPALDO LUIS DIAZ\PODERES 2008\OSCAR SERRANO ARRAÑO Vender.doc", "Abrir Documento")</f>
        <v>0</v>
      </c>
      <c r="D9353" t="s">
        <v>23500</v>
      </c>
      <c r="E9353" t="s">
        <v>31828</v>
      </c>
    </row>
    <row r="9354" spans="1:5">
      <c r="A9354" t="s">
        <v>6</v>
      </c>
      <c r="B9354" t="s">
        <v>9359</v>
      </c>
      <c r="C9354">
        <f>HYPERLINK("C:\Users\franc\OneDrive\Documentos\MALENTIN KARIME\CESION\RESPALDO LUIS DIAZ\PODERES 2008\OSCAR CORTES CARVAJAL a S. DABED.doc", "Abrir Documento")</f>
        <v>0</v>
      </c>
      <c r="D9354" t="s">
        <v>23500</v>
      </c>
      <c r="E9354" t="s">
        <v>31829</v>
      </c>
    </row>
    <row r="9355" spans="1:5">
      <c r="A9355" t="s">
        <v>6</v>
      </c>
      <c r="B9355" t="s">
        <v>9360</v>
      </c>
      <c r="C9355">
        <f>HYPERLINK("C:\Users\franc\OneDrive\Documentos\MALENTIN KARIME\CESION\RESPALDO LUIS DIAZ\PODERES 2008\ORIEL DEL R. BLANCO Chq.Panulcillo.doc", "Abrir Documento")</f>
        <v>0</v>
      </c>
      <c r="D9355" t="s">
        <v>23500</v>
      </c>
      <c r="E9355" t="s">
        <v>31830</v>
      </c>
    </row>
    <row r="9356" spans="1:5">
      <c r="A9356" t="s">
        <v>6</v>
      </c>
      <c r="B9356" t="s">
        <v>9361</v>
      </c>
      <c r="C9356">
        <f>HYPERLINK("C:\Users\franc\OneDrive\Documentos\MALENTIN KARIME\CESION\RESPALDO LUIS DIAZ\PODERES 2008\OLIVIA VALENZUELA M. Aut. cónyuge vender.doc", "Abrir Documento")</f>
        <v>0</v>
      </c>
      <c r="D9356" t="s">
        <v>23500</v>
      </c>
      <c r="E9356" t="s">
        <v>31831</v>
      </c>
    </row>
    <row r="9357" spans="1:5">
      <c r="A9357" t="s">
        <v>6</v>
      </c>
      <c r="B9357" t="s">
        <v>9362</v>
      </c>
      <c r="C9357">
        <f>HYPERLINK("C:\Users\franc\OneDrive\Documentos\MALENTIN KARIME\CESION\RESPALDO LUIS DIAZ\PODERES 2008\OLGA TORO E.I.R.L. a SELIM DABED.doc", "Abrir Documento")</f>
        <v>0</v>
      </c>
      <c r="D9357" t="s">
        <v>23500</v>
      </c>
      <c r="E9357" t="s">
        <v>31832</v>
      </c>
    </row>
    <row r="9358" spans="1:5">
      <c r="A9358" t="s">
        <v>6</v>
      </c>
      <c r="B9358" t="s">
        <v>9363</v>
      </c>
      <c r="C9358">
        <f>HYPERLINK("C:\Users\franc\OneDrive\Documentos\MALENTIN KARIME\CESION\RESPALDO LUIS DIAZ\PODERES 2008\OLGA TORO E.I.R.L. a S. DABED.doc", "Abrir Documento")</f>
        <v>0</v>
      </c>
      <c r="D9358" t="s">
        <v>23500</v>
      </c>
      <c r="E9358" t="s">
        <v>31833</v>
      </c>
    </row>
    <row r="9359" spans="1:5">
      <c r="A9359" t="s">
        <v>6</v>
      </c>
      <c r="B9359" t="s">
        <v>9364</v>
      </c>
      <c r="C9359">
        <f>HYPERLINK("C:\Users\franc\OneDrive\Documentos\MALENTIN KARIME\CESION\RESPALDO LUIS DIAZ\PODERES 2008\OLGA TORO E.I.R.L. a S. DABED Y CIA.doc", "Abrir Documento")</f>
        <v>0</v>
      </c>
      <c r="D9359" t="s">
        <v>23500</v>
      </c>
      <c r="E9359" t="s">
        <v>31834</v>
      </c>
    </row>
    <row r="9360" spans="1:5">
      <c r="A9360" t="s">
        <v>6</v>
      </c>
      <c r="B9360" t="s">
        <v>9365</v>
      </c>
      <c r="C9360">
        <f>HYPERLINK("C:\Users\franc\OneDrive\Documentos\MALENTIN KARIME\CESION\RESPALDO LUIS DIAZ\PODERES 2008\OLGA TORO E.I.R.L. a S. DABED V.doc", "Abrir Documento")</f>
        <v>0</v>
      </c>
      <c r="D9360" t="s">
        <v>23500</v>
      </c>
      <c r="E9360" t="s">
        <v>31835</v>
      </c>
    </row>
    <row r="9361" spans="1:5">
      <c r="A9361" t="s">
        <v>6</v>
      </c>
      <c r="B9361" t="s">
        <v>9366</v>
      </c>
      <c r="C9361">
        <f>HYPERLINK("C:\Users\franc\OneDrive\Documentos\MALENTIN KARIME\CESION\RESPALDO LUIS DIAZ\PODERES 2008\OLGA TORO E.I.R.L. a S. DABED IV.doc", "Abrir Documento")</f>
        <v>0</v>
      </c>
      <c r="D9361" t="s">
        <v>23500</v>
      </c>
      <c r="E9361" t="s">
        <v>31836</v>
      </c>
    </row>
    <row r="9362" spans="1:5">
      <c r="A9362" t="s">
        <v>6</v>
      </c>
      <c r="B9362" t="s">
        <v>9367</v>
      </c>
      <c r="C9362">
        <f>HYPERLINK("C:\Users\franc\OneDrive\Documentos\MALENTIN KARIME\CESION\RESPALDO LUIS DIAZ\PODERES 2008\OLGA TORO E.I.R.L. a S. DABED III.doc", "Abrir Documento")</f>
        <v>0</v>
      </c>
      <c r="D9362" t="s">
        <v>23500</v>
      </c>
      <c r="E9362" t="s">
        <v>31837</v>
      </c>
    </row>
    <row r="9363" spans="1:5">
      <c r="A9363" t="s">
        <v>6</v>
      </c>
      <c r="B9363" t="s">
        <v>9368</v>
      </c>
      <c r="C9363">
        <f>HYPERLINK("C:\Users\franc\OneDrive\Documentos\MALENTIN KARIME\CESION\RESPALDO LUIS DIAZ\PODERES 2008\OLGA PIZARRO C. comparece cóny..doc", "Abrir Documento")</f>
        <v>0</v>
      </c>
      <c r="D9363" t="s">
        <v>23500</v>
      </c>
      <c r="E9363" t="s">
        <v>31838</v>
      </c>
    </row>
    <row r="9364" spans="1:5">
      <c r="A9364" t="s">
        <v>6</v>
      </c>
      <c r="B9364" t="s">
        <v>9369</v>
      </c>
      <c r="C9364">
        <f>HYPERLINK("C:\Users\franc\OneDrive\Documentos\MALENTIN KARIME\CESION\RESPALDO LUIS DIAZ\PODERES 2008\OLGA MORALES GARRIDO.doc", "Abrir Documento")</f>
        <v>0</v>
      </c>
      <c r="D9364" t="s">
        <v>23500</v>
      </c>
      <c r="E9364" t="s">
        <v>31839</v>
      </c>
    </row>
    <row r="9365" spans="1:5">
      <c r="A9365" t="s">
        <v>6</v>
      </c>
      <c r="B9365" t="s">
        <v>9370</v>
      </c>
      <c r="C9365">
        <f>HYPERLINK("C:\Users\franc\OneDrive\Documentos\MALENTIN KARIME\CESION\RESPALDO LUIS DIAZ\PODERES 2008\NOTARIO SUPLENTE.doc", "Abrir Documento")</f>
        <v>0</v>
      </c>
      <c r="D9365" t="s">
        <v>23500</v>
      </c>
      <c r="E9365" t="s">
        <v>31840</v>
      </c>
    </row>
    <row r="9366" spans="1:5">
      <c r="A9366" t="s">
        <v>6</v>
      </c>
      <c r="B9366" t="s">
        <v>9371</v>
      </c>
      <c r="C9366">
        <f>HYPERLINK("C:\Users\franc\OneDrive\Documentos\MALENTIN KARIME\CESION\RESPALDO LUIS DIAZ\PODERES 2008\NOTARIO SUPL. M. Mettifogo.doc", "Abrir Documento")</f>
        <v>0</v>
      </c>
      <c r="D9366" t="s">
        <v>23500</v>
      </c>
      <c r="E9366" t="s">
        <v>31841</v>
      </c>
    </row>
    <row r="9367" spans="1:5">
      <c r="A9367" t="s">
        <v>6</v>
      </c>
      <c r="B9367" t="s">
        <v>9372</v>
      </c>
      <c r="C9367">
        <f>HYPERLINK("C:\Users\franc\OneDrive\Documentos\MALENTIN KARIME\CESION\RESPALDO LUIS DIAZ\PODERES 2008\NICOLASA IRIBARREN Y OTS..doc", "Abrir Documento")</f>
        <v>0</v>
      </c>
      <c r="D9367" t="s">
        <v>23500</v>
      </c>
      <c r="E9367" t="s">
        <v>31842</v>
      </c>
    </row>
    <row r="9368" spans="1:5">
      <c r="A9368" t="s">
        <v>6</v>
      </c>
      <c r="B9368" t="s">
        <v>9373</v>
      </c>
      <c r="C9368">
        <f>HYPERLINK("C:\Users\franc\OneDrive\Documentos\MALENTIN KARIME\CESION\RESPALDO LUIS DIAZ\PODERES 2008\NICANOR ROJAS DIAZ Vender Tierra y Agua.doc", "Abrir Documento")</f>
        <v>0</v>
      </c>
      <c r="D9368" t="s">
        <v>23500</v>
      </c>
      <c r="E9368" t="s">
        <v>31843</v>
      </c>
    </row>
    <row r="9369" spans="1:5">
      <c r="A9369" t="s">
        <v>6</v>
      </c>
      <c r="B9369" t="s">
        <v>9374</v>
      </c>
      <c r="C9369">
        <f>HYPERLINK("C:\Users\franc\OneDrive\Documentos\MALENTIN KARIME\CESION\RESPALDO LUIS DIAZ\PODERES 2008\NESTOR CONTRERAS. Cobrar Cheques.doc", "Abrir Documento")</f>
        <v>0</v>
      </c>
      <c r="D9369" t="s">
        <v>23500</v>
      </c>
      <c r="E9369" t="s">
        <v>31844</v>
      </c>
    </row>
    <row r="9370" spans="1:5">
      <c r="A9370" t="s">
        <v>6</v>
      </c>
      <c r="B9370" t="s">
        <v>9375</v>
      </c>
      <c r="C9370">
        <f>HYPERLINK("C:\Users\franc\OneDrive\Documentos\MALENTIN KARIME\CESION\RESPALDO LUIS DIAZ\PODERES 2008\NEMESIO GALLARDO E.I.R.L. Cobrar V.V..doc", "Abrir Documento")</f>
        <v>0</v>
      </c>
      <c r="D9370" t="s">
        <v>23500</v>
      </c>
      <c r="E9370" t="s">
        <v>31845</v>
      </c>
    </row>
    <row r="9371" spans="1:5">
      <c r="A9371" t="s">
        <v>6</v>
      </c>
      <c r="B9371" t="s">
        <v>9376</v>
      </c>
      <c r="C9371">
        <f>HYPERLINK("C:\Users\franc\OneDrive\Documentos\MALENTIN KARIME\CESION\RESPALDO LUIS DIAZ\PODERES 2008\NEMESIO GALLARDO E.I.R.L. Cobrar Chq..doc", "Abrir Documento")</f>
        <v>0</v>
      </c>
      <c r="D9371" t="s">
        <v>23500</v>
      </c>
      <c r="E9371" t="s">
        <v>31846</v>
      </c>
    </row>
    <row r="9372" spans="1:5">
      <c r="A9372" t="s">
        <v>6</v>
      </c>
      <c r="B9372" t="s">
        <v>9377</v>
      </c>
      <c r="C9372">
        <f>HYPERLINK("C:\Users\franc\OneDrive\Documentos\MALENTIN KARIME\CESION\RESPALDO LUIS DIAZ\PODERES 2008\NAYARETT ASTORGA DUVE y OTS. Vender.doc", "Abrir Documento")</f>
        <v>0</v>
      </c>
      <c r="D9372" t="s">
        <v>23500</v>
      </c>
      <c r="E9372" t="s">
        <v>31847</v>
      </c>
    </row>
    <row r="9373" spans="1:5">
      <c r="A9373" t="s">
        <v>6</v>
      </c>
      <c r="B9373" t="s">
        <v>9378</v>
      </c>
      <c r="C9373">
        <f>HYPERLINK("C:\Users\franc\OneDrive\Documentos\MALENTIN KARIME\CESION\RESPALDO LUIS DIAZ\PODERES 2008\NATALIA TELCHI R. Cta. Cte..doc", "Abrir Documento")</f>
        <v>0</v>
      </c>
      <c r="D9373" t="s">
        <v>23500</v>
      </c>
      <c r="E9373" t="s">
        <v>31848</v>
      </c>
    </row>
    <row r="9374" spans="1:5">
      <c r="A9374" t="s">
        <v>6</v>
      </c>
      <c r="B9374" t="s">
        <v>9379</v>
      </c>
      <c r="C9374">
        <f>HYPERLINK("C:\Users\franc\OneDrive\Documentos\MALENTIN KARIME\CESION\RESPALDO LUIS DIAZ\PODERES 2008\MOLINA ZORRICUETA M.A. Y OT Cobrar V.V..doc", "Abrir Documento")</f>
        <v>0</v>
      </c>
      <c r="D9374" t="s">
        <v>23500</v>
      </c>
      <c r="E9374" t="s">
        <v>31849</v>
      </c>
    </row>
    <row r="9375" spans="1:5">
      <c r="A9375" t="s">
        <v>6</v>
      </c>
      <c r="B9375" t="s">
        <v>9380</v>
      </c>
      <c r="C9375">
        <f>HYPERLINK("C:\Users\franc\OneDrive\Documentos\MALENTIN KARIME\CESION\RESPALDO LUIS DIAZ\PODERES 2008\MOISES CORTES CORTES Chq.Panulcillo.doc", "Abrir Documento")</f>
        <v>0</v>
      </c>
      <c r="D9375" t="s">
        <v>23500</v>
      </c>
      <c r="E9375" t="s">
        <v>31850</v>
      </c>
    </row>
    <row r="9376" spans="1:5">
      <c r="A9376" t="s">
        <v>6</v>
      </c>
      <c r="B9376" t="s">
        <v>9381</v>
      </c>
      <c r="C9376">
        <f>HYPERLINK("C:\Users\franc\OneDrive\Documentos\MALENTIN KARIME\CESION\RESPALDO LUIS DIAZ\PODERES 2008\MODESTO LEON C. Chqs Panulc..doc", "Abrir Documento")</f>
        <v>0</v>
      </c>
      <c r="D9376" t="s">
        <v>23500</v>
      </c>
      <c r="E9376" t="s">
        <v>31851</v>
      </c>
    </row>
    <row r="9377" spans="1:5">
      <c r="A9377" t="s">
        <v>6</v>
      </c>
      <c r="B9377" t="s">
        <v>9382</v>
      </c>
      <c r="C9377">
        <f>HYPERLINK("C:\Users\franc\OneDrive\Documentos\MALENTIN KARIME\CESION\RESPALDO LUIS DIAZ\PODERES 2008\MODELO VENDER PERT. MINERA.doc", "Abrir Documento")</f>
        <v>0</v>
      </c>
      <c r="D9377" t="s">
        <v>23500</v>
      </c>
      <c r="E9377" t="s">
        <v>31852</v>
      </c>
    </row>
    <row r="9378" spans="1:5">
      <c r="A9378" t="s">
        <v>6</v>
      </c>
      <c r="B9378" t="s">
        <v>9383</v>
      </c>
      <c r="C9378">
        <f>HYPERLINK("C:\Users\franc\OneDrive\Documentos\MALENTIN KARIME\CESION\RESPALDO LUIS DIAZ\PODERES 2008\MODELO Vender Minas.doc", "Abrir Documento")</f>
        <v>0</v>
      </c>
      <c r="D9378" t="s">
        <v>23500</v>
      </c>
      <c r="E9378" t="s">
        <v>31853</v>
      </c>
    </row>
    <row r="9379" spans="1:5">
      <c r="A9379" t="s">
        <v>6</v>
      </c>
      <c r="B9379" t="s">
        <v>9384</v>
      </c>
      <c r="C9379">
        <f>HYPERLINK("C:\Users\franc\OneDrive\Documentos\MALENTIN KARIME\CESION\RESPALDO LUIS DIAZ\PODERES 2008\MODELO Vender Bien Raíz.doc", "Abrir Documento")</f>
        <v>0</v>
      </c>
      <c r="D9379" t="s">
        <v>23500</v>
      </c>
      <c r="E9379" t="s">
        <v>31854</v>
      </c>
    </row>
    <row r="9380" spans="1:5">
      <c r="A9380" t="s">
        <v>6</v>
      </c>
      <c r="B9380" t="s">
        <v>9385</v>
      </c>
      <c r="C9380">
        <f>HYPERLINK("C:\Users\franc\OneDrive\Documentos\MALENTIN KARIME\CESION\RESPALDO LUIS DIAZ\PODERES 2008\MODELO REVOCACION.doc", "Abrir Documento")</f>
        <v>0</v>
      </c>
      <c r="D9380" t="s">
        <v>23500</v>
      </c>
      <c r="E9380" t="s">
        <v>31855</v>
      </c>
    </row>
    <row r="9381" spans="1:5">
      <c r="A9381" t="s">
        <v>6</v>
      </c>
      <c r="B9381" t="s">
        <v>9386</v>
      </c>
      <c r="C9381">
        <f>HYPERLINK("C:\Users\franc\OneDrive\Documentos\MALENTIN KARIME\CESION\RESPALDO LUIS DIAZ\PODERES 2008\MODELO Poder PROVIDA.doc", "Abrir Documento")</f>
        <v>0</v>
      </c>
      <c r="D9381" t="s">
        <v>23500</v>
      </c>
      <c r="E9381" t="s">
        <v>31856</v>
      </c>
    </row>
    <row r="9382" spans="1:5">
      <c r="A9382" t="s">
        <v>6</v>
      </c>
      <c r="B9382" t="s">
        <v>9387</v>
      </c>
      <c r="C9382">
        <f>HYPERLINK("C:\Users\franc\OneDrive\Documentos\MALENTIN KARIME\CESION\RESPALDO LUIS DIAZ\PODERES 2008\MODELO Poder para vender.doc", "Abrir Documento")</f>
        <v>0</v>
      </c>
      <c r="D9382" t="s">
        <v>23500</v>
      </c>
      <c r="E9382" t="s">
        <v>31857</v>
      </c>
    </row>
    <row r="9383" spans="1:5">
      <c r="A9383" t="s">
        <v>6</v>
      </c>
      <c r="B9383" t="s">
        <v>9388</v>
      </c>
      <c r="C9383">
        <f>HYPERLINK("C:\Users\franc\OneDrive\Documentos\MALENTIN KARIME\CESION\RESPALDO LUIS DIAZ\PODERES 2008\MODELO PODER CAPEL.doc", "Abrir Documento")</f>
        <v>0</v>
      </c>
      <c r="D9383" t="s">
        <v>23500</v>
      </c>
      <c r="E9383" t="s">
        <v>31858</v>
      </c>
    </row>
    <row r="9384" spans="1:5">
      <c r="A9384" t="s">
        <v>6</v>
      </c>
      <c r="B9384" t="s">
        <v>9389</v>
      </c>
      <c r="C9384">
        <f>HYPERLINK("C:\Users\franc\OneDrive\Documentos\MALENTIN KARIME\CESION\RESPALDO LUIS DIAZ\PODERES 2008\MODELO PISCO CONTROL.doc", "Abrir Documento")</f>
        <v>0</v>
      </c>
      <c r="D9384" t="s">
        <v>23500</v>
      </c>
      <c r="E9384" t="s">
        <v>31859</v>
      </c>
    </row>
    <row r="9385" spans="1:5">
      <c r="A9385" t="s">
        <v>6</v>
      </c>
      <c r="B9385" t="s">
        <v>9390</v>
      </c>
      <c r="C9385">
        <f>HYPERLINK("C:\Users\franc\OneDrive\Documentos\MALENTIN KARIME\CESION\RESPALDO LUIS DIAZ\PODERES 2008\MODELO para cobrar en CODELCO.doc", "Abrir Documento")</f>
        <v>0</v>
      </c>
      <c r="D9385" t="s">
        <v>23500</v>
      </c>
      <c r="E9385" t="s">
        <v>31860</v>
      </c>
    </row>
    <row r="9386" spans="1:5">
      <c r="A9386" t="s">
        <v>6</v>
      </c>
      <c r="B9386" t="s">
        <v>9391</v>
      </c>
      <c r="C9386">
        <f>HYPERLINK("C:\Users\franc\OneDrive\Documentos\MALENTIN KARIME\CESION\RESPALDO LUIS DIAZ\PODERES 2008\MODELO MANDATO.doc", "Abrir Documento")</f>
        <v>0</v>
      </c>
      <c r="D9386" t="s">
        <v>23500</v>
      </c>
      <c r="E9386" t="s">
        <v>31861</v>
      </c>
    </row>
    <row r="9387" spans="1:5">
      <c r="A9387" t="s">
        <v>6</v>
      </c>
      <c r="B9387" t="s">
        <v>9392</v>
      </c>
      <c r="C9387">
        <f>HYPERLINK("C:\Users\franc\OneDrive\Documentos\MALENTIN KARIME\CESION\RESPALDO LUIS DIAZ\PODERES 2008\MODELO MANDATO CTA. CTE..doc", "Abrir Documento")</f>
        <v>0</v>
      </c>
      <c r="D9387" t="s">
        <v>23500</v>
      </c>
      <c r="E9387" t="s">
        <v>31862</v>
      </c>
    </row>
    <row r="9388" spans="1:5">
      <c r="A9388" t="s">
        <v>6</v>
      </c>
      <c r="B9388" t="s">
        <v>9393</v>
      </c>
      <c r="C9388">
        <f>HYPERLINK("C:\Users\franc\OneDrive\Documentos\MALENTIN KARIME\CESION\RESPALDO LUIS DIAZ\PODERES 2008\MODELO CTA CTE. AMPLIO.doc", "Abrir Documento")</f>
        <v>0</v>
      </c>
      <c r="D9388" t="s">
        <v>23500</v>
      </c>
      <c r="E9388" t="s">
        <v>31863</v>
      </c>
    </row>
    <row r="9389" spans="1:5">
      <c r="A9389" t="s">
        <v>6</v>
      </c>
      <c r="B9389" t="s">
        <v>9394</v>
      </c>
      <c r="C9389">
        <f>HYPERLINK("C:\Users\franc\OneDrive\Documentos\MALENTIN KARIME\CESION\RESPALDO LUIS DIAZ\PODERES 2008\MODELO Cheque CAPEL.doc", "Abrir Documento")</f>
        <v>0</v>
      </c>
      <c r="D9389" t="s">
        <v>23500</v>
      </c>
      <c r="E9389" t="s">
        <v>31864</v>
      </c>
    </row>
    <row r="9390" spans="1:5">
      <c r="A9390" t="s">
        <v>6</v>
      </c>
      <c r="B9390" t="s">
        <v>9395</v>
      </c>
      <c r="C9390">
        <f>HYPERLINK("C:\Users\franc\OneDrive\Documentos\MALENTIN KARIME\CESION\RESPALDO LUIS DIAZ\PODERES 2008\MODELO Cheque CAPEL (Sucesión).doc", "Abrir Documento")</f>
        <v>0</v>
      </c>
      <c r="D9390" t="s">
        <v>23500</v>
      </c>
      <c r="E9390" t="s">
        <v>31865</v>
      </c>
    </row>
    <row r="9391" spans="1:5">
      <c r="A9391" t="s">
        <v>6</v>
      </c>
      <c r="B9391" t="s">
        <v>9396</v>
      </c>
      <c r="C9391">
        <f>HYPERLINK("C:\Users\franc\OneDrive\Documentos\MALENTIN KARIME\CESION\RESPALDO LUIS DIAZ\PODERES 2008\MODELO 2 Para vender.doc", "Abrir Documento")</f>
        <v>0</v>
      </c>
      <c r="D9391" t="s">
        <v>23500</v>
      </c>
      <c r="E9391" t="s">
        <v>31866</v>
      </c>
    </row>
    <row r="9392" spans="1:5">
      <c r="A9392" t="s">
        <v>6</v>
      </c>
      <c r="B9392" t="s">
        <v>9397</v>
      </c>
      <c r="C9392">
        <f>HYPERLINK("C:\Users\franc\OneDrive\Documentos\MALENTIN KARIME\CESION\RESPALDO LUIS DIAZ\PODERES 2008\MINUTA PARA VENDER Carlos Aros y ot.doc", "Abrir Documento")</f>
        <v>0</v>
      </c>
      <c r="D9392" t="s">
        <v>23500</v>
      </c>
      <c r="E9392" t="s">
        <v>31867</v>
      </c>
    </row>
    <row r="9393" spans="1:5">
      <c r="A9393" t="s">
        <v>6</v>
      </c>
      <c r="B9393" t="s">
        <v>9398</v>
      </c>
      <c r="C9393">
        <f>HYPERLINK("C:\Users\franc\OneDrive\Documentos\MALENTIN KARIME\CESION\RESPALDO LUIS DIAZ\PODERES 2008\MINERA CRUZ LTDA. a D. CRUZ.doc", "Abrir Documento")</f>
        <v>0</v>
      </c>
      <c r="D9393" t="s">
        <v>23500</v>
      </c>
      <c r="E9393" t="s">
        <v>31868</v>
      </c>
    </row>
    <row r="9394" spans="1:5">
      <c r="A9394" t="s">
        <v>6</v>
      </c>
      <c r="B9394" t="s">
        <v>9399</v>
      </c>
      <c r="C9394">
        <f>HYPERLINK("C:\Users\franc\OneDrive\Documentos\MALENTIN KARIME\CESION\RESPALDO LUIS DIAZ\PODERES 2008\MINA SAN RAMON Mandato.doc", "Abrir Documento")</f>
        <v>0</v>
      </c>
      <c r="D9394" t="s">
        <v>23500</v>
      </c>
      <c r="E9394" t="s">
        <v>31869</v>
      </c>
    </row>
    <row r="9395" spans="1:5">
      <c r="A9395" t="s">
        <v>6</v>
      </c>
      <c r="B9395" t="s">
        <v>9400</v>
      </c>
      <c r="C9395">
        <f>HYPERLINK("C:\Users\franc\OneDrive\Documentos\MALENTIN KARIME\CESION\RESPALDO LUIS DIAZ\PODERES 2008\MIGUEL TAPIA Modelo Para Vender.doc", "Abrir Documento")</f>
        <v>0</v>
      </c>
      <c r="D9395" t="s">
        <v>23500</v>
      </c>
      <c r="E9395" t="s">
        <v>31870</v>
      </c>
    </row>
    <row r="9396" spans="1:5">
      <c r="A9396" t="s">
        <v>6</v>
      </c>
      <c r="B9396" t="s">
        <v>9401</v>
      </c>
      <c r="C9396">
        <f>HYPERLINK("C:\Users\franc\OneDrive\Documentos\MALENTIN KARIME\CESION\RESPALDO LUIS DIAZ\PODERES 2008\MIGUEL TAPIA L. a CARMEN TAPIA.doc", "Abrir Documento")</f>
        <v>0</v>
      </c>
      <c r="D9396" t="s">
        <v>23500</v>
      </c>
      <c r="E9396" t="s">
        <v>31871</v>
      </c>
    </row>
    <row r="9397" spans="1:5">
      <c r="A9397" t="s">
        <v>6</v>
      </c>
      <c r="B9397" t="s">
        <v>9402</v>
      </c>
      <c r="C9397">
        <f>HYPERLINK("C:\Users\franc\OneDrive\Documentos\MALENTIN KARIME\CESION\RESPALDO LUIS DIAZ\PODERES 2008\MIGUEL TAPIA L. a BENITO TOLEDO.doc", "Abrir Documento")</f>
        <v>0</v>
      </c>
      <c r="D9397" t="s">
        <v>23500</v>
      </c>
      <c r="E9397" t="s">
        <v>31872</v>
      </c>
    </row>
    <row r="9398" spans="1:5">
      <c r="A9398" t="s">
        <v>6</v>
      </c>
      <c r="B9398" t="s">
        <v>9403</v>
      </c>
      <c r="C9398">
        <f>HYPERLINK("C:\Users\franc\OneDrive\Documentos\MALENTIN KARIME\CESION\RESPALDO LUIS DIAZ\PODERES 2008\MIGUEL TAPIA a BENITO TOLEDO.doc", "Abrir Documento")</f>
        <v>0</v>
      </c>
      <c r="D9398" t="s">
        <v>23500</v>
      </c>
      <c r="E9398" t="s">
        <v>31873</v>
      </c>
    </row>
    <row r="9399" spans="1:5">
      <c r="A9399" t="s">
        <v>6</v>
      </c>
      <c r="B9399" t="s">
        <v>9404</v>
      </c>
      <c r="C9399">
        <f>HYPERLINK("C:\Users\franc\OneDrive\Documentos\MALENTIN KARIME\CESION\RESPALDO LUIS DIAZ\PODERES 2008\MIGUEL FIOL Y CIA. LTDA..doc", "Abrir Documento")</f>
        <v>0</v>
      </c>
      <c r="D9399" t="s">
        <v>23500</v>
      </c>
      <c r="E9399" t="s">
        <v>31874</v>
      </c>
    </row>
    <row r="9400" spans="1:5">
      <c r="A9400" t="s">
        <v>6</v>
      </c>
      <c r="B9400" t="s">
        <v>9405</v>
      </c>
      <c r="C9400">
        <f>HYPERLINK("C:\Users\franc\OneDrive\Documentos\MALENTIN KARIME\CESION\RESPALDO LUIS DIAZ\PODERES 2008\MIGUEL CONTRERAS FIBLA Cheq CAPEL.doc", "Abrir Documento")</f>
        <v>0</v>
      </c>
      <c r="D9400" t="s">
        <v>23500</v>
      </c>
      <c r="E9400" t="s">
        <v>31875</v>
      </c>
    </row>
    <row r="9401" spans="1:5">
      <c r="A9401" t="s">
        <v>6</v>
      </c>
      <c r="B9401" t="s">
        <v>9406</v>
      </c>
      <c r="C9401">
        <f>HYPERLINK("C:\Users\franc\OneDrive\Documentos\MALENTIN KARIME\CESION\RESPALDO LUIS DIAZ\PODERES 2008\MICHAELA HEISIG  Cta.Cte. CORPBANCA.doc", "Abrir Documento")</f>
        <v>0</v>
      </c>
      <c r="D9401" t="s">
        <v>23500</v>
      </c>
      <c r="E9401" t="s">
        <v>31876</v>
      </c>
    </row>
    <row r="9402" spans="1:5">
      <c r="A9402" t="s">
        <v>6</v>
      </c>
      <c r="B9402" t="s">
        <v>9407</v>
      </c>
      <c r="C9402">
        <f>HYPERLINK("C:\Users\franc\OneDrive\Documentos\MALENTIN KARIME\CESION\RESPALDO LUIS DIAZ\PODERES 2008\MICHAELA HEISIG  Cta.Cte. BDD.doc", "Abrir Documento")</f>
        <v>0</v>
      </c>
      <c r="D9402" t="s">
        <v>23500</v>
      </c>
      <c r="E9402" t="s">
        <v>31877</v>
      </c>
    </row>
    <row r="9403" spans="1:5">
      <c r="A9403" t="s">
        <v>6</v>
      </c>
      <c r="B9403" t="s">
        <v>9408</v>
      </c>
      <c r="C9403">
        <f>HYPERLINK("C:\Users\franc\OneDrive\Documentos\MALENTIN KARIME\CESION\RESPALDO LUIS DIAZ\PODERES 2008\MERCEDES CORTES L. Cobrar INP y Cta. Rut.doc", "Abrir Documento")</f>
        <v>0</v>
      </c>
      <c r="D9403" t="s">
        <v>23500</v>
      </c>
      <c r="E9403" t="s">
        <v>31878</v>
      </c>
    </row>
    <row r="9404" spans="1:5">
      <c r="A9404" t="s">
        <v>6</v>
      </c>
      <c r="B9404" t="s">
        <v>9409</v>
      </c>
      <c r="C9404">
        <f>HYPERLINK("C:\Users\franc\OneDrive\Documentos\MALENTIN KARIME\CESION\RESPALDO LUIS DIAZ\PODERES 2008\MAURICIO SEPULVEDA a S. DABED.doc", "Abrir Documento")</f>
        <v>0</v>
      </c>
      <c r="D9404" t="s">
        <v>23500</v>
      </c>
      <c r="E9404" t="s">
        <v>31879</v>
      </c>
    </row>
    <row r="9405" spans="1:5">
      <c r="A9405" t="s">
        <v>6</v>
      </c>
      <c r="B9405" t="s">
        <v>9410</v>
      </c>
      <c r="C9405">
        <f>HYPERLINK("C:\Users\franc\OneDrive\Documentos\MALENTIN KARIME\CESION\RESPALDO LUIS DIAZ\PODERES 2008\MARY MICHEA TELLO Y OTS. Poder CAPEL.doc", "Abrir Documento")</f>
        <v>0</v>
      </c>
      <c r="D9405" t="s">
        <v>23500</v>
      </c>
      <c r="E9405" t="s">
        <v>31880</v>
      </c>
    </row>
    <row r="9406" spans="1:5">
      <c r="A9406" t="s">
        <v>6</v>
      </c>
      <c r="B9406" t="s">
        <v>9411</v>
      </c>
      <c r="C9406">
        <f>HYPERLINK("C:\Users\franc\OneDrive\Documentos\MALENTIN KARIME\CESION\RESPALDO LUIS DIAZ\PODERES 2008\MARY MICHEA TELLO Y OTS. Cheq CAPEL.doc", "Abrir Documento")</f>
        <v>0</v>
      </c>
      <c r="D9406" t="s">
        <v>23500</v>
      </c>
      <c r="E9406" t="s">
        <v>31881</v>
      </c>
    </row>
    <row r="9407" spans="1:5">
      <c r="A9407" t="s">
        <v>6</v>
      </c>
      <c r="B9407" t="s">
        <v>9412</v>
      </c>
      <c r="C9407">
        <f>HYPERLINK("C:\Users\franc\OneDrive\Documentos\MALENTIN KARIME\CESION\RESPALDO LUIS DIAZ\PODERES 2008\MARTA TOLEDO R. Cta.Cte BancoEstado.doc", "Abrir Documento")</f>
        <v>0</v>
      </c>
      <c r="D9407" t="s">
        <v>23500</v>
      </c>
      <c r="E9407" t="s">
        <v>31882</v>
      </c>
    </row>
    <row r="9408" spans="1:5">
      <c r="A9408" t="s">
        <v>6</v>
      </c>
      <c r="B9408" t="s">
        <v>9413</v>
      </c>
      <c r="C9408">
        <f>HYPERLINK("C:\Users\franc\OneDrive\Documentos\MALENTIN KARIME\CESION\RESPALDO LUIS DIAZ\PODERES 2008\MARJORIE ITURRIAGA Soc.Cony.Vender.doc", "Abrir Documento")</f>
        <v>0</v>
      </c>
      <c r="D9408" t="s">
        <v>23500</v>
      </c>
      <c r="E9408" t="s">
        <v>31883</v>
      </c>
    </row>
    <row r="9409" spans="1:5">
      <c r="A9409" t="s">
        <v>6</v>
      </c>
      <c r="B9409" t="s">
        <v>9414</v>
      </c>
      <c r="C9409">
        <f>HYPERLINK("C:\Users\franc\OneDrive\Documentos\MALENTIN KARIME\CESION\RESPALDO LUIS DIAZ\PODERES 2008\MARISEL RAMIREZ D. Aut. cónyuge vender.doc", "Abrir Documento")</f>
        <v>0</v>
      </c>
      <c r="D9409" t="s">
        <v>23500</v>
      </c>
      <c r="E9409" t="s">
        <v>31884</v>
      </c>
    </row>
    <row r="9410" spans="1:5">
      <c r="A9410" t="s">
        <v>6</v>
      </c>
      <c r="B9410" t="s">
        <v>9415</v>
      </c>
      <c r="C9410">
        <f>HYPERLINK("C:\Users\franc\OneDrive\Documentos\MALENTIN KARIME\CESION\RESPALDO LUIS DIAZ\PODERES 2008\MARIO HERRERA A. Cta.Cte y depositar.doc", "Abrir Documento")</f>
        <v>0</v>
      </c>
      <c r="D9410" t="s">
        <v>23500</v>
      </c>
      <c r="E9410" t="s">
        <v>31885</v>
      </c>
    </row>
    <row r="9411" spans="1:5">
      <c r="A9411" t="s">
        <v>6</v>
      </c>
      <c r="B9411" t="s">
        <v>9416</v>
      </c>
      <c r="C9411">
        <f>HYPERLINK("C:\Users\franc\OneDrive\Documentos\MALENTIN KARIME\CESION\RESPALDO LUIS DIAZ\PODERES 2008\MARIO CONTRERAS LOPEZ.doc", "Abrir Documento")</f>
        <v>0</v>
      </c>
      <c r="D9411" t="s">
        <v>23500</v>
      </c>
      <c r="E9411" t="s">
        <v>31886</v>
      </c>
    </row>
    <row r="9412" spans="1:5">
      <c r="A9412" t="s">
        <v>6</v>
      </c>
      <c r="B9412" t="s">
        <v>9417</v>
      </c>
      <c r="C9412">
        <f>HYPERLINK("C:\Users\franc\OneDrive\Documentos\MALENTIN KARIME\CESION\RESPALDO LUIS DIAZ\PODERES 2008\MARIO CONTRERAS LOPEZ Rev..doc", "Abrir Documento")</f>
        <v>0</v>
      </c>
      <c r="D9412" t="s">
        <v>23500</v>
      </c>
      <c r="E9412" t="s">
        <v>31887</v>
      </c>
    </row>
    <row r="9413" spans="1:5">
      <c r="A9413" t="s">
        <v>6</v>
      </c>
      <c r="B9413" t="s">
        <v>9418</v>
      </c>
      <c r="C9413">
        <f>HYPERLINK("C:\Users\franc\OneDrive\Documentos\MALENTIN KARIME\CESION\RESPALDO LUIS DIAZ\PODERES 2008\MARIO CONTRERAS L. Revocación.doc", "Abrir Documento")</f>
        <v>0</v>
      </c>
      <c r="D9413" t="s">
        <v>23500</v>
      </c>
      <c r="E9413" t="s">
        <v>31888</v>
      </c>
    </row>
    <row r="9414" spans="1:5">
      <c r="A9414" t="s">
        <v>6</v>
      </c>
      <c r="B9414" t="s">
        <v>9419</v>
      </c>
      <c r="C9414">
        <f>HYPERLINK("C:\Users\franc\OneDrive\Documentos\MALENTIN KARIME\CESION\RESPALDO LUIS DIAZ\PODERES 2008\MARIO CONTRERAS L. Mand.Adm..doc", "Abrir Documento")</f>
        <v>0</v>
      </c>
      <c r="D9414" t="s">
        <v>23500</v>
      </c>
      <c r="E9414" t="s">
        <v>31889</v>
      </c>
    </row>
    <row r="9415" spans="1:5">
      <c r="A9415" t="s">
        <v>6</v>
      </c>
      <c r="B9415" t="s">
        <v>9420</v>
      </c>
      <c r="C9415">
        <f>HYPERLINK("C:\Users\franc\OneDrive\Documentos\MALENTIN KARIME\CESION\RESPALDO LUIS DIAZ\PODERES 2008\MARIANO DIAZ Y CIA. pod. bancario.doc", "Abrir Documento")</f>
        <v>0</v>
      </c>
      <c r="D9415" t="s">
        <v>23500</v>
      </c>
      <c r="E9415" t="s">
        <v>31890</v>
      </c>
    </row>
    <row r="9416" spans="1:5">
      <c r="A9416" t="s">
        <v>6</v>
      </c>
      <c r="B9416" t="s">
        <v>9421</v>
      </c>
      <c r="C9416">
        <f>HYPERLINK("C:\Users\franc\OneDrive\Documentos\MALENTIN KARIME\CESION\RESPALDO LUIS DIAZ\PODERES 2008\MARIA ZEPEDA CORTES.doc", "Abrir Documento")</f>
        <v>0</v>
      </c>
      <c r="D9416" t="s">
        <v>23500</v>
      </c>
      <c r="E9416" t="s">
        <v>31891</v>
      </c>
    </row>
    <row r="9417" spans="1:5">
      <c r="A9417" t="s">
        <v>6</v>
      </c>
      <c r="B9417" t="s">
        <v>9422</v>
      </c>
      <c r="C9417">
        <f>HYPERLINK("C:\Users\franc\OneDrive\Documentos\MALENTIN KARIME\CESION\RESPALDO LUIS DIAZ\PODERES 2008\MARIA TAPIA V. con Sep.Bienes.doc", "Abrir Documento")</f>
        <v>0</v>
      </c>
      <c r="D9417" t="s">
        <v>23500</v>
      </c>
      <c r="E9417" t="s">
        <v>31892</v>
      </c>
    </row>
    <row r="9418" spans="1:5">
      <c r="A9418" t="s">
        <v>6</v>
      </c>
      <c r="B9418" t="s">
        <v>9423</v>
      </c>
      <c r="C9418">
        <f>HYPERLINK("C:\Users\franc\OneDrive\Documentos\MALENTIN KARIME\CESION\RESPALDO LUIS DIAZ\PODERES 2008\MARIA ROSA ANGELICA.doc", "Abrir Documento")</f>
        <v>0</v>
      </c>
      <c r="D9418" t="s">
        <v>23500</v>
      </c>
      <c r="E9418" t="s">
        <v>31893</v>
      </c>
    </row>
    <row r="9419" spans="1:5">
      <c r="A9419" t="s">
        <v>6</v>
      </c>
      <c r="B9419" t="s">
        <v>9424</v>
      </c>
      <c r="C9419">
        <f>HYPERLINK("C:\Users\franc\OneDrive\Documentos\MALENTIN KARIME\CESION\RESPALDO LUIS DIAZ\PODERES 2008\MARIA RAQUEL ALVAREZ.doc", "Abrir Documento")</f>
        <v>0</v>
      </c>
      <c r="D9419" t="s">
        <v>23500</v>
      </c>
      <c r="E9419" t="s">
        <v>31894</v>
      </c>
    </row>
    <row r="9420" spans="1:5">
      <c r="A9420" t="s">
        <v>6</v>
      </c>
      <c r="B9420" t="s">
        <v>9425</v>
      </c>
      <c r="C9420">
        <f>HYPERLINK("C:\Users\franc\OneDrive\Documentos\MALENTIN KARIME\CESION\RESPALDO LUIS DIAZ\PODERES 2008\MARIA MUÑOZ DIAZ. Cheques CAPEL.doc", "Abrir Documento")</f>
        <v>0</v>
      </c>
      <c r="D9420" t="s">
        <v>23500</v>
      </c>
      <c r="E9420" t="s">
        <v>31895</v>
      </c>
    </row>
    <row r="9421" spans="1:5">
      <c r="A9421" t="s">
        <v>6</v>
      </c>
      <c r="B9421" t="s">
        <v>9426</v>
      </c>
      <c r="C9421">
        <f>HYPERLINK("C:\Users\franc\OneDrive\Documentos\MALENTIN KARIME\CESION\RESPALDO LUIS DIAZ\PODERES 2008\MARIA MUNDACA MUNDACA vender St. Limarí.doc", "Abrir Documento")</f>
        <v>0</v>
      </c>
      <c r="D9421" t="s">
        <v>23500</v>
      </c>
      <c r="E9421" t="s">
        <v>31896</v>
      </c>
    </row>
    <row r="9422" spans="1:5">
      <c r="A9422" t="s">
        <v>6</v>
      </c>
      <c r="B9422" t="s">
        <v>9427</v>
      </c>
      <c r="C9422">
        <f>HYPERLINK("C:\Users\franc\OneDrive\Documentos\MALENTIN KARIME\CESION\RESPALDO LUIS DIAZ\PODERES 2008\MARIA LOPEZ VARAS Cta.Cte. Bco.Sant..doc", "Abrir Documento")</f>
        <v>0</v>
      </c>
      <c r="D9422" t="s">
        <v>23500</v>
      </c>
      <c r="E9422" t="s">
        <v>31897</v>
      </c>
    </row>
    <row r="9423" spans="1:5">
      <c r="A9423" t="s">
        <v>6</v>
      </c>
      <c r="B9423" t="s">
        <v>9428</v>
      </c>
      <c r="C9423">
        <f>HYPERLINK("C:\Users\franc\OneDrive\Documentos\MALENTIN KARIME\CESION\RESPALDO LUIS DIAZ\PODERES 2008\MARIA LAGOS OLEA.doc", "Abrir Documento")</f>
        <v>0</v>
      </c>
      <c r="D9423" t="s">
        <v>23500</v>
      </c>
      <c r="E9423" t="s">
        <v>31898</v>
      </c>
    </row>
    <row r="9424" spans="1:5">
      <c r="A9424" t="s">
        <v>6</v>
      </c>
      <c r="B9424" t="s">
        <v>9429</v>
      </c>
      <c r="C9424">
        <f>HYPERLINK("C:\Users\franc\OneDrive\Documentos\MALENTIN KARIME\CESION\RESPALDO LUIS DIAZ\PODERES 2008\MARIA INES NUÑEZ a PAMELA GOLDBAUM Y OTS..doc", "Abrir Documento")</f>
        <v>0</v>
      </c>
      <c r="D9424" t="s">
        <v>23500</v>
      </c>
      <c r="E9424" t="s">
        <v>31899</v>
      </c>
    </row>
    <row r="9425" spans="1:5">
      <c r="A9425" t="s">
        <v>6</v>
      </c>
      <c r="B9425" t="s">
        <v>9430</v>
      </c>
      <c r="C9425">
        <f>HYPERLINK("C:\Users\franc\OneDrive\Documentos\MALENTIN KARIME\CESION\RESPALDO LUIS DIAZ\PODERES 2008\MARIA CORRAL EGUILUZ a A. SABIONCELLO.doc", "Abrir Documento")</f>
        <v>0</v>
      </c>
      <c r="D9425" t="s">
        <v>23500</v>
      </c>
      <c r="E9425" t="s">
        <v>31900</v>
      </c>
    </row>
    <row r="9426" spans="1:5">
      <c r="A9426" t="s">
        <v>6</v>
      </c>
      <c r="B9426" t="s">
        <v>9431</v>
      </c>
      <c r="C9426">
        <f>HYPERLINK("C:\Users\franc\OneDrive\Documentos\MALENTIN KARIME\CESION\RESPALDO LUIS DIAZ\PODERES 2008\MARIA BERNARDITA ASUNCION.doc", "Abrir Documento")</f>
        <v>0</v>
      </c>
      <c r="D9426" t="s">
        <v>23500</v>
      </c>
      <c r="E9426" t="s">
        <v>31901</v>
      </c>
    </row>
    <row r="9427" spans="1:5">
      <c r="A9427" t="s">
        <v>6</v>
      </c>
      <c r="B9427" t="s">
        <v>9432</v>
      </c>
      <c r="C9427">
        <f>HYPERLINK("C:\Users\franc\OneDrive\Documentos\MALENTIN KARIME\CESION\RESPALDO LUIS DIAZ\PODERES 2008\MARGOT CARVAJAL M. Y OTS. Vender.doc", "Abrir Documento")</f>
        <v>0</v>
      </c>
      <c r="D9427" t="s">
        <v>23500</v>
      </c>
      <c r="E9427" t="s">
        <v>31902</v>
      </c>
    </row>
    <row r="9428" spans="1:5">
      <c r="A9428" t="s">
        <v>6</v>
      </c>
      <c r="B9428" t="s">
        <v>9433</v>
      </c>
      <c r="C9428">
        <f>HYPERLINK("C:\Users\franc\OneDrive\Documentos\MALENTIN KARIME\CESION\RESPALDO LUIS DIAZ\PODERES 2008\MARGOT CARVAJAL M. Y OTS. II.doc", "Abrir Documento")</f>
        <v>0</v>
      </c>
      <c r="D9428" t="s">
        <v>23500</v>
      </c>
      <c r="E9428" t="s">
        <v>31903</v>
      </c>
    </row>
    <row r="9429" spans="1:5">
      <c r="A9429" t="s">
        <v>6</v>
      </c>
      <c r="B9429" t="s">
        <v>9434</v>
      </c>
      <c r="C9429">
        <f>HYPERLINK("C:\Users\franc\OneDrive\Documentos\MALENTIN KARIME\CESION\RESPALDO LUIS DIAZ\PODERES 2008\MARGARITA SANTANA.doc", "Abrir Documento")</f>
        <v>0</v>
      </c>
      <c r="D9429" t="s">
        <v>23500</v>
      </c>
      <c r="E9429" t="s">
        <v>31904</v>
      </c>
    </row>
    <row r="9430" spans="1:5">
      <c r="A9430" t="s">
        <v>6</v>
      </c>
      <c r="B9430" t="s">
        <v>9435</v>
      </c>
      <c r="C9430">
        <f>HYPERLINK("C:\Users\franc\OneDrive\Documentos\MALENTIN KARIME\CESION\RESPALDO LUIS DIAZ\PODERES 2008\MARCIA PEREZ R. Aut. a cónyuge vender.doc", "Abrir Documento")</f>
        <v>0</v>
      </c>
      <c r="D9430" t="s">
        <v>23500</v>
      </c>
      <c r="E9430" t="s">
        <v>31905</v>
      </c>
    </row>
    <row r="9431" spans="1:5">
      <c r="A9431" t="s">
        <v>6</v>
      </c>
      <c r="B9431" t="s">
        <v>9436</v>
      </c>
      <c r="C9431">
        <f>HYPERLINK("C:\Users\franc\OneDrive\Documentos\MALENTIN KARIME\CESION\RESPALDO LUIS DIAZ\PODERES 2008\MARCELO JOFRE A. A GMO. ARAYA.doc", "Abrir Documento")</f>
        <v>0</v>
      </c>
      <c r="D9431" t="s">
        <v>23500</v>
      </c>
      <c r="E9431" t="s">
        <v>31906</v>
      </c>
    </row>
    <row r="9432" spans="1:5">
      <c r="A9432" t="s">
        <v>6</v>
      </c>
      <c r="B9432" t="s">
        <v>9437</v>
      </c>
      <c r="C9432">
        <f>HYPERLINK("C:\Users\franc\OneDrive\Documentos\MALENTIN KARIME\CESION\RESPALDO LUIS DIAZ\PODERES 2008\MANUELA RODRIGUEZ R. vender drchos..doc", "Abrir Documento")</f>
        <v>0</v>
      </c>
      <c r="D9432" t="s">
        <v>23500</v>
      </c>
      <c r="E9432" t="s">
        <v>31907</v>
      </c>
    </row>
    <row r="9433" spans="1:5">
      <c r="A9433" t="s">
        <v>6</v>
      </c>
      <c r="B9433" t="s">
        <v>9438</v>
      </c>
      <c r="C9433">
        <f>HYPERLINK("C:\Users\franc\OneDrive\Documentos\MALENTIN KARIME\CESION\RESPALDO LUIS DIAZ\PODERES 2008\MANUEL VARGAS F. Chq. Panulcillo.doc", "Abrir Documento")</f>
        <v>0</v>
      </c>
      <c r="D9433" t="s">
        <v>23500</v>
      </c>
      <c r="E9433" t="s">
        <v>31908</v>
      </c>
    </row>
    <row r="9434" spans="1:5">
      <c r="A9434" t="s">
        <v>6</v>
      </c>
      <c r="B9434" t="s">
        <v>9439</v>
      </c>
      <c r="C9434">
        <f>HYPERLINK("C:\Users\franc\OneDrive\Documentos\MALENTIN KARIME\CESION\RESPALDO LUIS DIAZ\PODERES 2008\MANUEL SEGURA C. Vender.doc", "Abrir Documento")</f>
        <v>0</v>
      </c>
      <c r="D9434" t="s">
        <v>23500</v>
      </c>
      <c r="E9434" t="s">
        <v>31909</v>
      </c>
    </row>
    <row r="9435" spans="1:5">
      <c r="A9435" t="s">
        <v>6</v>
      </c>
      <c r="B9435" t="s">
        <v>9440</v>
      </c>
      <c r="C9435">
        <f>HYPERLINK("C:\Users\franc\OneDrive\Documentos\MALENTIN KARIME\CESION\RESPALDO LUIS DIAZ\PODERES 2008\MANUEL ROMAN CARVAJAL Chq.Panulcillo.doc", "Abrir Documento")</f>
        <v>0</v>
      </c>
      <c r="D9435" t="s">
        <v>23500</v>
      </c>
      <c r="E9435" t="s">
        <v>31910</v>
      </c>
    </row>
    <row r="9436" spans="1:5">
      <c r="A9436" t="s">
        <v>6</v>
      </c>
      <c r="B9436" t="s">
        <v>9441</v>
      </c>
      <c r="C9436">
        <f>HYPERLINK("C:\Users\franc\OneDrive\Documentos\MALENTIN KARIME\CESION\RESPALDO LUIS DIAZ\PODERES 2008\MANUEL ROBLES C.  Dep. a Plazo.doc", "Abrir Documento")</f>
        <v>0</v>
      </c>
      <c r="D9436" t="s">
        <v>23500</v>
      </c>
      <c r="E9436" t="s">
        <v>31911</v>
      </c>
    </row>
    <row r="9437" spans="1:5">
      <c r="A9437" t="s">
        <v>6</v>
      </c>
      <c r="B9437" t="s">
        <v>9442</v>
      </c>
      <c r="C9437">
        <f>HYPERLINK("C:\Users\franc\OneDrive\Documentos\MALENTIN KARIME\CESION\RESPALDO LUIS DIAZ\PODERES 2008\MANUEL BRAVO M. Chq.Panulcillo.doc", "Abrir Documento")</f>
        <v>0</v>
      </c>
      <c r="D9437" t="s">
        <v>23500</v>
      </c>
      <c r="E9437" t="s">
        <v>31912</v>
      </c>
    </row>
    <row r="9438" spans="1:5">
      <c r="A9438" t="s">
        <v>6</v>
      </c>
      <c r="B9438" t="s">
        <v>9443</v>
      </c>
      <c r="C9438">
        <f>HYPERLINK("C:\Users\franc\OneDrive\Documentos\MALENTIN KARIME\CESION\RESPALDO LUIS DIAZ\PODERES 2008\MANTENCION Y C. MINERA LTD. Revocac..doc", "Abrir Documento")</f>
        <v>0</v>
      </c>
      <c r="D9438" t="s">
        <v>23500</v>
      </c>
      <c r="E9438" t="s">
        <v>31913</v>
      </c>
    </row>
    <row r="9439" spans="1:5">
      <c r="A9439" t="s">
        <v>6</v>
      </c>
      <c r="B9439" t="s">
        <v>9444</v>
      </c>
      <c r="C9439">
        <f>HYPERLINK("C:\Users\franc\OneDrive\Documentos\MALENTIN KARIME\CESION\RESPALDO LUIS DIAZ\PODERES 2008\MANTENCION MINERA a R. ZUÑIGA.doc", "Abrir Documento")</f>
        <v>0</v>
      </c>
      <c r="D9439" t="s">
        <v>23500</v>
      </c>
      <c r="E9439" t="s">
        <v>31914</v>
      </c>
    </row>
    <row r="9440" spans="1:5">
      <c r="A9440" t="s">
        <v>6</v>
      </c>
      <c r="B9440" t="s">
        <v>9445</v>
      </c>
      <c r="C9440">
        <f>HYPERLINK("C:\Users\franc\OneDrive\Documentos\MALENTIN KARIME\CESION\RESPALDO LUIS DIAZ\PODERES 2008\MAMERTO MORENO MORENO Autoriz..doc", "Abrir Documento")</f>
        <v>0</v>
      </c>
      <c r="D9440" t="s">
        <v>23500</v>
      </c>
      <c r="E9440" t="s">
        <v>31915</v>
      </c>
    </row>
    <row r="9441" spans="1:5">
      <c r="A9441" t="s">
        <v>6</v>
      </c>
      <c r="B9441" t="s">
        <v>9446</v>
      </c>
      <c r="C9441">
        <f>HYPERLINK("C:\Users\franc\OneDrive\Documentos\MALENTIN KARIME\CESION\RESPALDO LUIS DIAZ\PODERES 2008\MACARENA CONTRERAS ALFARO.doc", "Abrir Documento")</f>
        <v>0</v>
      </c>
      <c r="D9441" t="s">
        <v>23500</v>
      </c>
      <c r="E9441" t="s">
        <v>31916</v>
      </c>
    </row>
    <row r="9442" spans="1:5">
      <c r="A9442" t="s">
        <v>6</v>
      </c>
      <c r="B9442" t="s">
        <v>9447</v>
      </c>
      <c r="C9442">
        <f>HYPERLINK("C:\Users\franc\OneDrive\Documentos\MALENTIN KARIME\CESION\RESPALDO LUIS DIAZ\PODERES 2008\Ma. ANGELICA CARMONA P. Cta.Cte.doc", "Abrir Documento")</f>
        <v>0</v>
      </c>
      <c r="D9442" t="s">
        <v>23500</v>
      </c>
      <c r="E9442" t="s">
        <v>31917</v>
      </c>
    </row>
    <row r="9443" spans="1:5">
      <c r="A9443" t="s">
        <v>6</v>
      </c>
      <c r="B9443" t="s">
        <v>9448</v>
      </c>
      <c r="C9443">
        <f>HYPERLINK("C:\Users\franc\OneDrive\Documentos\MALENTIN KARIME\CESION\RESPALDO LUIS DIAZ\PODERES 2008\LUZMIRA GOMILA E.I.R.L. Santander.doc", "Abrir Documento")</f>
        <v>0</v>
      </c>
      <c r="D9443" t="s">
        <v>23500</v>
      </c>
      <c r="E9443" t="s">
        <v>31918</v>
      </c>
    </row>
    <row r="9444" spans="1:5">
      <c r="A9444" t="s">
        <v>6</v>
      </c>
      <c r="B9444" t="s">
        <v>9449</v>
      </c>
      <c r="C9444">
        <f>HYPERLINK("C:\Users\franc\OneDrive\Documentos\MALENTIN KARIME\CESION\RESPALDO LUIS DIAZ\PODERES 2008\LUZ CORRAL RAVILET Adm.Cta.Cte.doc", "Abrir Documento")</f>
        <v>0</v>
      </c>
      <c r="D9444" t="s">
        <v>23500</v>
      </c>
      <c r="E9444" t="s">
        <v>31919</v>
      </c>
    </row>
    <row r="9445" spans="1:5">
      <c r="A9445" t="s">
        <v>6</v>
      </c>
      <c r="B9445" t="s">
        <v>9450</v>
      </c>
      <c r="C9445">
        <f>HYPERLINK("C:\Users\franc\OneDrive\Documentos\MALENTIN KARIME\CESION\RESPALDO LUIS DIAZ\PODERES 2008\LUZ ALVAREZ JIMENEZ (Minuta).doc", "Abrir Documento")</f>
        <v>0</v>
      </c>
      <c r="D9445" t="s">
        <v>23500</v>
      </c>
      <c r="E9445" t="s">
        <v>31920</v>
      </c>
    </row>
    <row r="9446" spans="1:5">
      <c r="A9446" t="s">
        <v>6</v>
      </c>
      <c r="B9446" t="s">
        <v>9451</v>
      </c>
      <c r="C9446">
        <f>HYPERLINK("C:\Users\franc\OneDrive\Documentos\MALENTIN KARIME\CESION\RESPALDO LUIS DIAZ\PODERES 2008\LUIS ROJAS ALUCEMA Y OTS.doc", "Abrir Documento")</f>
        <v>0</v>
      </c>
      <c r="D9446" t="s">
        <v>23500</v>
      </c>
      <c r="E9446" t="s">
        <v>31921</v>
      </c>
    </row>
    <row r="9447" spans="1:5">
      <c r="A9447" t="s">
        <v>6</v>
      </c>
      <c r="B9447" t="s">
        <v>9452</v>
      </c>
      <c r="C9447">
        <f>HYPERLINK("C:\Users\franc\OneDrive\Documentos\MALENTIN KARIME\CESION\RESPALDO LUIS DIAZ\PODERES 2008\LUIS OLIVARES C. Aut. Cóny. Vender.doc", "Abrir Documento")</f>
        <v>0</v>
      </c>
      <c r="D9447" t="s">
        <v>23500</v>
      </c>
      <c r="E9447" t="s">
        <v>31922</v>
      </c>
    </row>
    <row r="9448" spans="1:5">
      <c r="A9448" t="s">
        <v>6</v>
      </c>
      <c r="B9448" t="s">
        <v>9453</v>
      </c>
      <c r="C9448">
        <f>HYPERLINK("C:\Users\franc\OneDrive\Documentos\MALENTIN KARIME\CESION\RESPALDO LUIS DIAZ\PODERES 2008\LUIS GUERRERO Cobro Pensión.doc", "Abrir Documento")</f>
        <v>0</v>
      </c>
      <c r="D9448" t="s">
        <v>23500</v>
      </c>
      <c r="E9448" t="s">
        <v>31923</v>
      </c>
    </row>
    <row r="9449" spans="1:5">
      <c r="A9449" t="s">
        <v>6</v>
      </c>
      <c r="B9449" t="s">
        <v>9454</v>
      </c>
      <c r="C9449">
        <f>HYPERLINK("C:\Users\franc\OneDrive\Documentos\MALENTIN KARIME\CESION\RESPALDO LUIS DIAZ\PODERES 2008\LUIS CORTES JOFRE a SELIM DABED.doc", "Abrir Documento")</f>
        <v>0</v>
      </c>
      <c r="D9449" t="s">
        <v>23500</v>
      </c>
      <c r="E9449" t="s">
        <v>31924</v>
      </c>
    </row>
    <row r="9450" spans="1:5">
      <c r="A9450" t="s">
        <v>6</v>
      </c>
      <c r="B9450" t="s">
        <v>9455</v>
      </c>
      <c r="C9450">
        <f>HYPERLINK("C:\Users\franc\OneDrive\Documentos\MALENTIN KARIME\CESION\RESPALDO LUIS DIAZ\PODERES 2008\LUIS CORTES C. Bco.Desarr.CAPEL.doc", "Abrir Documento")</f>
        <v>0</v>
      </c>
      <c r="D9450" t="s">
        <v>23500</v>
      </c>
      <c r="E9450" t="s">
        <v>31925</v>
      </c>
    </row>
    <row r="9451" spans="1:5">
      <c r="A9451" t="s">
        <v>6</v>
      </c>
      <c r="B9451" t="s">
        <v>9456</v>
      </c>
      <c r="C9451">
        <f>HYPERLINK("C:\Users\franc\OneDrive\Documentos\MALENTIN KARIME\CESION\RESPALDO LUIS DIAZ\PODERES 2008\LUIS CONTRERAS PEZO Aut.Cóny.Comprar.doc", "Abrir Documento")</f>
        <v>0</v>
      </c>
      <c r="D9451" t="s">
        <v>23500</v>
      </c>
      <c r="E9451" t="s">
        <v>31926</v>
      </c>
    </row>
    <row r="9452" spans="1:5">
      <c r="A9452" t="s">
        <v>6</v>
      </c>
      <c r="B9452" t="s">
        <v>9457</v>
      </c>
      <c r="C9452">
        <f>HYPERLINK("C:\Users\franc\OneDrive\Documentos\MALENTIN KARIME\CESION\RESPALDO LUIS DIAZ\PODERES 2008\LUIS BRAVO C. Chq.Panulcillo.doc", "Abrir Documento")</f>
        <v>0</v>
      </c>
      <c r="D9452" t="s">
        <v>23500</v>
      </c>
      <c r="E9452" t="s">
        <v>31927</v>
      </c>
    </row>
    <row r="9453" spans="1:5">
      <c r="A9453" t="s">
        <v>6</v>
      </c>
      <c r="B9453" t="s">
        <v>9458</v>
      </c>
      <c r="C9453">
        <f>HYPERLINK("C:\Users\franc\OneDrive\Documentos\MALENTIN KARIME\CESION\RESPALDO LUIS DIAZ\PODERES 2008\LUIS ARAYA ALFARO Aut.Vender Cóny.doc", "Abrir Documento")</f>
        <v>0</v>
      </c>
      <c r="D9453" t="s">
        <v>23500</v>
      </c>
      <c r="E9453" t="s">
        <v>31928</v>
      </c>
    </row>
    <row r="9454" spans="1:5">
      <c r="A9454" t="s">
        <v>6</v>
      </c>
      <c r="B9454" t="s">
        <v>9459</v>
      </c>
      <c r="C9454">
        <f>HYPERLINK("C:\Users\franc\OneDrive\Documentos\MALENTIN KARIME\CESION\RESPALDO LUIS DIAZ\PODERES 2008\LORENZO ARAYA COFRE Chq.Panulcillo y Pensiones.doc", "Abrir Documento")</f>
        <v>0</v>
      </c>
      <c r="D9454" t="s">
        <v>23500</v>
      </c>
      <c r="E9454" t="s">
        <v>31929</v>
      </c>
    </row>
    <row r="9455" spans="1:5">
      <c r="A9455" t="s">
        <v>6</v>
      </c>
      <c r="B9455" t="s">
        <v>9460</v>
      </c>
      <c r="C9455">
        <f>HYPERLINK("C:\Users\franc\OneDrive\Documentos\MALENTIN KARIME\CESION\RESPALDO LUIS DIAZ\PODERES 2008\LINO BRAVO U. Chq. Panulcillo.doc", "Abrir Documento")</f>
        <v>0</v>
      </c>
      <c r="D9455" t="s">
        <v>23500</v>
      </c>
      <c r="E9455" t="s">
        <v>31930</v>
      </c>
    </row>
    <row r="9456" spans="1:5">
      <c r="A9456" t="s">
        <v>6</v>
      </c>
      <c r="B9456" t="s">
        <v>9461</v>
      </c>
      <c r="C9456">
        <f>HYPERLINK("C:\Users\franc\OneDrive\Documentos\MALENTIN KARIME\CESION\RESPALDO LUIS DIAZ\PODERES 2008\LATIN A. COPPER a JAMES HARRISON Y OTS..doc", "Abrir Documento")</f>
        <v>0</v>
      </c>
      <c r="D9456" t="s">
        <v>23500</v>
      </c>
      <c r="E9456" t="s">
        <v>31931</v>
      </c>
    </row>
    <row r="9457" spans="1:5">
      <c r="A9457" t="s">
        <v>6</v>
      </c>
      <c r="B9457" t="s">
        <v>9462</v>
      </c>
      <c r="C9457">
        <f>HYPERLINK("C:\Users\franc\OneDrive\Documentos\MALENTIN KARIME\CESION\RESPALDO LUIS DIAZ\PODERES 2008\KRUGUER ZEPEDA PIZARRO Vender Drchos..doc", "Abrir Documento")</f>
        <v>0</v>
      </c>
      <c r="D9457" t="s">
        <v>23500</v>
      </c>
      <c r="E9457" t="s">
        <v>31932</v>
      </c>
    </row>
    <row r="9458" spans="1:5">
      <c r="A9458" t="s">
        <v>6</v>
      </c>
      <c r="B9458" t="s">
        <v>9463</v>
      </c>
      <c r="C9458">
        <f>HYPERLINK("C:\Users\franc\OneDrive\Documentos\MALENTIN KARIME\CESION\RESPALDO LUIS DIAZ\PODERES 2008\KARL CONRADS A. Vender Acc.CAPEL.doc", "Abrir Documento")</f>
        <v>0</v>
      </c>
      <c r="D9458" t="s">
        <v>23500</v>
      </c>
      <c r="E9458" t="s">
        <v>31933</v>
      </c>
    </row>
    <row r="9459" spans="1:5">
      <c r="A9459" t="s">
        <v>6</v>
      </c>
      <c r="B9459" t="s">
        <v>9464</v>
      </c>
      <c r="C9459">
        <f>HYPERLINK("C:\Users\franc\OneDrive\Documentos\MALENTIN KARIME\CESION\RESPALDO LUIS DIAZ\PODERES 2008\KAREN BALCAZAR PIZARRO.doc", "Abrir Documento")</f>
        <v>0</v>
      </c>
      <c r="D9459" t="s">
        <v>23500</v>
      </c>
      <c r="E9459" t="s">
        <v>31934</v>
      </c>
    </row>
    <row r="9460" spans="1:5">
      <c r="A9460" t="s">
        <v>6</v>
      </c>
      <c r="B9460" t="s">
        <v>9465</v>
      </c>
      <c r="C9460">
        <f>HYPERLINK("C:\Users\franc\OneDrive\Documentos\MALENTIN KARIME\CESION\RESPALDO LUIS DIAZ\PODERES 2008\JULIO TORRES A. Mandato.doc", "Abrir Documento")</f>
        <v>0</v>
      </c>
      <c r="D9460" t="s">
        <v>23500</v>
      </c>
      <c r="E9460" t="s">
        <v>31935</v>
      </c>
    </row>
    <row r="9461" spans="1:5">
      <c r="A9461" t="s">
        <v>6</v>
      </c>
      <c r="B9461" t="s">
        <v>9466</v>
      </c>
      <c r="C9461">
        <f>HYPERLINK("C:\Users\franc\OneDrive\Documentos\MALENTIN KARIME\CESION\RESPALDO LUIS DIAZ\PODERES 2008\JULIO TORRES A. Alzar Hip. y Prohib..doc", "Abrir Documento")</f>
        <v>0</v>
      </c>
      <c r="D9461" t="s">
        <v>23500</v>
      </c>
      <c r="E9461" t="s">
        <v>31936</v>
      </c>
    </row>
    <row r="9462" spans="1:5">
      <c r="A9462" t="s">
        <v>6</v>
      </c>
      <c r="B9462" t="s">
        <v>9467</v>
      </c>
      <c r="C9462">
        <f>HYPERLINK("C:\Users\franc\OneDrive\Documentos\MALENTIN KARIME\CESION\RESPALDO LUIS DIAZ\PODERES 2008\JULIO TORRES A. Adm.Soc.Cony.doc", "Abrir Documento")</f>
        <v>0</v>
      </c>
      <c r="D9462" t="s">
        <v>23500</v>
      </c>
      <c r="E9462" t="s">
        <v>31937</v>
      </c>
    </row>
    <row r="9463" spans="1:5">
      <c r="A9463" t="s">
        <v>6</v>
      </c>
      <c r="B9463" t="s">
        <v>9468</v>
      </c>
      <c r="C9463">
        <f>HYPERLINK("C:\Users\franc\OneDrive\Documentos\MALENTIN KARIME\CESION\RESPALDO LUIS DIAZ\PODERES 2008\JULIO TORRES A. Adm.Soc.Cony. Vender.doc", "Abrir Documento")</f>
        <v>0</v>
      </c>
      <c r="D9463" t="s">
        <v>23500</v>
      </c>
      <c r="E9463" t="s">
        <v>31938</v>
      </c>
    </row>
    <row r="9464" spans="1:5">
      <c r="A9464" t="s">
        <v>6</v>
      </c>
      <c r="B9464" t="s">
        <v>9469</v>
      </c>
      <c r="C9464">
        <f>HYPERLINK("C:\Users\franc\OneDrive\Documentos\MALENTIN KARIME\CESION\RESPALDO LUIS DIAZ\PODERES 2008\JULIO MONTERO R. Poder Privado.doc", "Abrir Documento")</f>
        <v>0</v>
      </c>
      <c r="D9464" t="s">
        <v>23500</v>
      </c>
      <c r="E9464" t="s">
        <v>31939</v>
      </c>
    </row>
    <row r="9465" spans="1:5">
      <c r="A9465" t="s">
        <v>6</v>
      </c>
      <c r="B9465" t="s">
        <v>9470</v>
      </c>
      <c r="C9465">
        <f>HYPERLINK("C:\Users\franc\OneDrive\Documentos\MALENTIN KARIME\CESION\RESPALDO LUIS DIAZ\PODERES 2008\JULIA TABORGA G. Adm.Soc.Cony.doc", "Abrir Documento")</f>
        <v>0</v>
      </c>
      <c r="D9465" t="s">
        <v>23500</v>
      </c>
      <c r="E9465" t="s">
        <v>31940</v>
      </c>
    </row>
    <row r="9466" spans="1:5">
      <c r="A9466" t="s">
        <v>6</v>
      </c>
      <c r="B9466" t="s">
        <v>9471</v>
      </c>
      <c r="C9466">
        <f>HYPERLINK("C:\Users\franc\OneDrive\Documentos\MALENTIN KARIME\CESION\RESPALDO LUIS DIAZ\PODERES 2008\JULIA ARAYA ARACENA. Mandato.doc", "Abrir Documento")</f>
        <v>0</v>
      </c>
      <c r="D9466" t="s">
        <v>23500</v>
      </c>
      <c r="E9466" t="s">
        <v>31941</v>
      </c>
    </row>
    <row r="9467" spans="1:5">
      <c r="A9467" t="s">
        <v>6</v>
      </c>
      <c r="B9467" t="s">
        <v>9472</v>
      </c>
      <c r="C9467">
        <f>HYPERLINK("C:\Users\franc\OneDrive\Documentos\MALENTIN KARIME\CESION\RESPALDO LUIS DIAZ\PODERES 2008\JUANA VALDIVIA C. Y OTS. Mand.Adm..doc", "Abrir Documento")</f>
        <v>0</v>
      </c>
      <c r="D9467" t="s">
        <v>23500</v>
      </c>
      <c r="E9467" t="s">
        <v>31942</v>
      </c>
    </row>
    <row r="9468" spans="1:5">
      <c r="A9468" t="s">
        <v>6</v>
      </c>
      <c r="B9468" t="s">
        <v>9473</v>
      </c>
      <c r="C9468">
        <f>HYPERLINK("C:\Users\franc\OneDrive\Documentos\MALENTIN KARIME\CESION\RESPALDO LUIS DIAZ\PODERES 2008\JUANA SANTANDER R. Y OTS. vender.doc", "Abrir Documento")</f>
        <v>0</v>
      </c>
      <c r="D9468" t="s">
        <v>23500</v>
      </c>
      <c r="E9468" t="s">
        <v>31943</v>
      </c>
    </row>
    <row r="9469" spans="1:5">
      <c r="A9469" t="s">
        <v>6</v>
      </c>
      <c r="B9469" t="s">
        <v>9474</v>
      </c>
      <c r="C9469">
        <f>HYPERLINK("C:\Users\franc\OneDrive\Documentos\MALENTIN KARIME\CESION\RESPALDO LUIS DIAZ\PODERES 2008\JUANA ENCINA PAREDES.doc", "Abrir Documento")</f>
        <v>0</v>
      </c>
      <c r="D9469" t="s">
        <v>23500</v>
      </c>
      <c r="E9469" t="s">
        <v>31944</v>
      </c>
    </row>
    <row r="9470" spans="1:5">
      <c r="A9470" t="s">
        <v>6</v>
      </c>
      <c r="B9470" t="s">
        <v>9475</v>
      </c>
      <c r="C9470">
        <f>HYPERLINK("C:\Users\franc\OneDrive\Documentos\MALENTIN KARIME\CESION\RESPALDO LUIS DIAZ\PODERES 2008\JUANA ALFARO MALDONADO vender.doc", "Abrir Documento")</f>
        <v>0</v>
      </c>
      <c r="D9470" t="s">
        <v>23500</v>
      </c>
      <c r="E9470" t="s">
        <v>31945</v>
      </c>
    </row>
    <row r="9471" spans="1:5">
      <c r="A9471" t="s">
        <v>6</v>
      </c>
      <c r="B9471" t="s">
        <v>9476</v>
      </c>
      <c r="C9471">
        <f>HYPERLINK("C:\Users\franc\OneDrive\Documentos\MALENTIN KARIME\CESION\RESPALDO LUIS DIAZ\PODERES 2008\JUANA ALFARO M. Maestranza -vender.doc", "Abrir Documento")</f>
        <v>0</v>
      </c>
      <c r="D9471" t="s">
        <v>23500</v>
      </c>
      <c r="E9471" t="s">
        <v>31946</v>
      </c>
    </row>
    <row r="9472" spans="1:5">
      <c r="A9472" t="s">
        <v>6</v>
      </c>
      <c r="B9472" t="s">
        <v>9477</v>
      </c>
      <c r="C9472">
        <f>HYPERLINK("C:\Users\franc\OneDrive\Documentos\MALENTIN KARIME\CESION\RESPALDO LUIS DIAZ\PODERES 2008\JUAN SANTELICES LUCERO.doc", "Abrir Documento")</f>
        <v>0</v>
      </c>
      <c r="D9472" t="s">
        <v>23500</v>
      </c>
      <c r="E9472" t="s">
        <v>31947</v>
      </c>
    </row>
    <row r="9473" spans="1:5">
      <c r="A9473" t="s">
        <v>6</v>
      </c>
      <c r="B9473" t="s">
        <v>9478</v>
      </c>
      <c r="C9473">
        <f>HYPERLINK("C:\Users\franc\OneDrive\Documentos\MALENTIN KARIME\CESION\RESPALDO LUIS DIAZ\PODERES 2008\JUAN MICHEA TELLO Ch.Capel.doc", "Abrir Documento")</f>
        <v>0</v>
      </c>
      <c r="D9473" t="s">
        <v>23500</v>
      </c>
      <c r="E9473" t="s">
        <v>31948</v>
      </c>
    </row>
    <row r="9474" spans="1:5">
      <c r="A9474" t="s">
        <v>6</v>
      </c>
      <c r="B9474" t="s">
        <v>9479</v>
      </c>
      <c r="C9474">
        <f>HYPERLINK("C:\Users\franc\OneDrive\Documentos\MALENTIN KARIME\CESION\RESPALDO LUIS DIAZ\PODERES 2008\JUAN DIAZ R. Y OTS a ISMAEL DIAZ Provida.doc", "Abrir Documento")</f>
        <v>0</v>
      </c>
      <c r="D9474" t="s">
        <v>23500</v>
      </c>
      <c r="E9474" t="s">
        <v>31949</v>
      </c>
    </row>
    <row r="9475" spans="1:5">
      <c r="A9475" t="s">
        <v>6</v>
      </c>
      <c r="B9475" t="s">
        <v>9480</v>
      </c>
      <c r="C9475">
        <f>HYPERLINK("C:\Users\franc\OneDrive\Documentos\MALENTIN KARIME\CESION\RESPALDO LUIS DIAZ\PODERES 2008\JUAN CONTRERAS Chq. Capel.doc", "Abrir Documento")</f>
        <v>0</v>
      </c>
      <c r="D9475" t="s">
        <v>23500</v>
      </c>
      <c r="E9475" t="s">
        <v>31950</v>
      </c>
    </row>
    <row r="9476" spans="1:5">
      <c r="A9476" t="s">
        <v>6</v>
      </c>
      <c r="B9476" t="s">
        <v>9481</v>
      </c>
      <c r="C9476">
        <f>HYPERLINK("C:\Users\franc\OneDrive\Documentos\MALENTIN KARIME\CESION\RESPALDO LUIS DIAZ\PODERES 2008\JUAN ALAMO MIRANDA a JAIME ALAMO.doc", "Abrir Documento")</f>
        <v>0</v>
      </c>
      <c r="D9476" t="s">
        <v>23500</v>
      </c>
      <c r="E9476" t="s">
        <v>31951</v>
      </c>
    </row>
    <row r="9477" spans="1:5">
      <c r="A9477" t="s">
        <v>6</v>
      </c>
      <c r="B9477" t="s">
        <v>9482</v>
      </c>
      <c r="C9477">
        <f>HYPERLINK("C:\Users\franc\OneDrive\Documentos\MALENTIN KARIME\CESION\RESPALDO LUIS DIAZ\PODERES 2008\JOYCE TAPIA NAREA Y OT..doc", "Abrir Documento")</f>
        <v>0</v>
      </c>
      <c r="D9477" t="s">
        <v>23500</v>
      </c>
      <c r="E9477" t="s">
        <v>31952</v>
      </c>
    </row>
    <row r="9478" spans="1:5">
      <c r="A9478" t="s">
        <v>6</v>
      </c>
      <c r="B9478" t="s">
        <v>9483</v>
      </c>
      <c r="C9478">
        <f>HYPERLINK("C:\Users\franc\OneDrive\Documentos\MALENTIN KARIME\CESION\RESPALDO LUIS DIAZ\PODERES 2008\JOSEFA JAIME C. Poder Resciliar.doc", "Abrir Documento")</f>
        <v>0</v>
      </c>
      <c r="D9478" t="s">
        <v>23500</v>
      </c>
      <c r="E9478" t="s">
        <v>31953</v>
      </c>
    </row>
    <row r="9479" spans="1:5">
      <c r="A9479" t="s">
        <v>6</v>
      </c>
      <c r="B9479" t="s">
        <v>9484</v>
      </c>
      <c r="C9479">
        <f>HYPERLINK("C:\Users\franc\OneDrive\Documentos\MALENTIN KARIME\CESION\RESPALDO LUIS DIAZ\PODERES 2008\JOSE YAÑEZ NUÑEZ a A. SABIONCELLO Comprar.doc", "Abrir Documento")</f>
        <v>0</v>
      </c>
      <c r="D9479" t="s">
        <v>23500</v>
      </c>
      <c r="E9479" t="s">
        <v>31954</v>
      </c>
    </row>
    <row r="9480" spans="1:5">
      <c r="A9480" t="s">
        <v>6</v>
      </c>
      <c r="B9480" t="s">
        <v>9485</v>
      </c>
      <c r="C9480">
        <f>HYPERLINK("C:\Users\franc\OneDrive\Documentos\MALENTIN KARIME\CESION\RESPALDO LUIS DIAZ\PODERES 2008\JOSE GALLEGUILLOS A. Chq. Panulcillo.doc", "Abrir Documento")</f>
        <v>0</v>
      </c>
      <c r="D9480" t="s">
        <v>23500</v>
      </c>
      <c r="E9480" t="s">
        <v>31955</v>
      </c>
    </row>
    <row r="9481" spans="1:5">
      <c r="A9481" t="s">
        <v>6</v>
      </c>
      <c r="B9481" t="s">
        <v>9486</v>
      </c>
      <c r="C9481">
        <f>HYPERLINK("C:\Users\franc\OneDrive\Documentos\MALENTIN KARIME\CESION\RESPALDO LUIS DIAZ\PODERES 2008\JOSE CORTES CORTES Cques.Bco.Chile.doc", "Abrir Documento")</f>
        <v>0</v>
      </c>
      <c r="D9481" t="s">
        <v>23500</v>
      </c>
      <c r="E9481" t="s">
        <v>31956</v>
      </c>
    </row>
    <row r="9482" spans="1:5">
      <c r="A9482" t="s">
        <v>6</v>
      </c>
      <c r="B9482" t="s">
        <v>9487</v>
      </c>
      <c r="C9482">
        <f>HYPERLINK("C:\Users\franc\OneDrive\Documentos\MALENTIN KARIME\CESION\RESPALDO LUIS DIAZ\PODERES 2008\JOSE CODOCEO A. cobro Los Héroes.doc", "Abrir Documento")</f>
        <v>0</v>
      </c>
      <c r="D9482" t="s">
        <v>23500</v>
      </c>
      <c r="E9482" t="s">
        <v>31957</v>
      </c>
    </row>
    <row r="9483" spans="1:5">
      <c r="A9483" t="s">
        <v>6</v>
      </c>
      <c r="B9483" t="s">
        <v>9488</v>
      </c>
      <c r="C9483">
        <f>HYPERLINK("C:\Users\franc\OneDrive\Documentos\MALENTIN KARIME\CESION\RESPALDO LUIS DIAZ\PODERES 2008\JOSE AGUILERA CASTILLO.doc", "Abrir Documento")</f>
        <v>0</v>
      </c>
      <c r="D9483" t="s">
        <v>23500</v>
      </c>
      <c r="E9483" t="s">
        <v>31958</v>
      </c>
    </row>
    <row r="9484" spans="1:5">
      <c r="A9484" t="s">
        <v>6</v>
      </c>
      <c r="B9484" t="s">
        <v>9489</v>
      </c>
      <c r="C9484">
        <f>HYPERLINK("C:\Users\franc\OneDrive\Documentos\MALENTIN KARIME\CESION\RESPALDO LUIS DIAZ\PODERES 2008\JORGELINA ROJAS Acuerdo, Mutuo y Mand..doc", "Abrir Documento")</f>
        <v>0</v>
      </c>
      <c r="D9484" t="s">
        <v>23500</v>
      </c>
      <c r="E9484" t="s">
        <v>31959</v>
      </c>
    </row>
    <row r="9485" spans="1:5">
      <c r="A9485" t="s">
        <v>6</v>
      </c>
      <c r="B9485" t="s">
        <v>9490</v>
      </c>
      <c r="C9485">
        <f>HYPERLINK("C:\Users\franc\OneDrive\Documentos\MALENTIN KARIME\CESION\RESPALDO LUIS DIAZ\PODERES 2008\JORGE RIVERA B. otros hered..doc", "Abrir Documento")</f>
        <v>0</v>
      </c>
      <c r="D9485" t="s">
        <v>23500</v>
      </c>
      <c r="E9485" t="s">
        <v>31960</v>
      </c>
    </row>
    <row r="9486" spans="1:5">
      <c r="A9486" t="s">
        <v>6</v>
      </c>
      <c r="B9486" t="s">
        <v>9491</v>
      </c>
      <c r="C9486">
        <f>HYPERLINK("C:\Users\franc\OneDrive\Documentos\MALENTIN KARIME\CESION\RESPALDO LUIS DIAZ\PODERES 2008\JORGE RAMIREZ R. a SELIM DABED.doc", "Abrir Documento")</f>
        <v>0</v>
      </c>
      <c r="D9486" t="s">
        <v>23500</v>
      </c>
      <c r="E9486" t="s">
        <v>31961</v>
      </c>
    </row>
    <row r="9487" spans="1:5">
      <c r="A9487" t="s">
        <v>6</v>
      </c>
      <c r="B9487" t="s">
        <v>9492</v>
      </c>
      <c r="C9487">
        <f>HYPERLINK("C:\Users\franc\OneDrive\Documentos\MALENTIN KARIME\CESION\RESPALDO LUIS DIAZ\PODERES 2008\JORGE RAMIREZ R. a S. DABED.doc", "Abrir Documento")</f>
        <v>0</v>
      </c>
      <c r="D9487" t="s">
        <v>23500</v>
      </c>
      <c r="E9487" t="s">
        <v>31962</v>
      </c>
    </row>
    <row r="9488" spans="1:5">
      <c r="A9488" t="s">
        <v>6</v>
      </c>
      <c r="B9488" t="s">
        <v>9493</v>
      </c>
      <c r="C9488">
        <f>HYPERLINK("C:\Users\franc\OneDrive\Documentos\MALENTIN KARIME\CESION\RESPALDO LUIS DIAZ\PODERES 2008\JORGE RAMIREZ R. a S. DABED IV.doc", "Abrir Documento")</f>
        <v>0</v>
      </c>
      <c r="D9488" t="s">
        <v>23500</v>
      </c>
      <c r="E9488" t="s">
        <v>31963</v>
      </c>
    </row>
    <row r="9489" spans="1:5">
      <c r="A9489" t="s">
        <v>6</v>
      </c>
      <c r="B9489" t="s">
        <v>9494</v>
      </c>
      <c r="C9489">
        <f>HYPERLINK("C:\Users\franc\OneDrive\Documentos\MALENTIN KARIME\CESION\RESPALDO LUIS DIAZ\PODERES 2008\JORGE RAMIREZ R. a S. DABED III.doc", "Abrir Documento")</f>
        <v>0</v>
      </c>
      <c r="D9489" t="s">
        <v>23500</v>
      </c>
      <c r="E9489" t="s">
        <v>31964</v>
      </c>
    </row>
    <row r="9490" spans="1:5">
      <c r="A9490" t="s">
        <v>6</v>
      </c>
      <c r="B9490" t="s">
        <v>9495</v>
      </c>
      <c r="C9490">
        <f>HYPERLINK("C:\Users\franc\OneDrive\Documentos\MALENTIN KARIME\CESION\RESPALDO LUIS DIAZ\PODERES 2008\JORGE RAMIREZ R. a S. DABED  V.doc", "Abrir Documento")</f>
        <v>0</v>
      </c>
      <c r="D9490" t="s">
        <v>23500</v>
      </c>
      <c r="E9490" t="s">
        <v>31965</v>
      </c>
    </row>
    <row r="9491" spans="1:5">
      <c r="A9491" t="s">
        <v>6</v>
      </c>
      <c r="B9491" t="s">
        <v>9496</v>
      </c>
      <c r="C9491">
        <f>HYPERLINK("C:\Users\franc\OneDrive\Documentos\MALENTIN KARIME\CESION\RESPALDO LUIS DIAZ\PODERES 2008\JORGE MIRANDA VEGA Vender Drchos..doc", "Abrir Documento")</f>
        <v>0</v>
      </c>
      <c r="D9491" t="s">
        <v>23500</v>
      </c>
      <c r="E9491" t="s">
        <v>31966</v>
      </c>
    </row>
    <row r="9492" spans="1:5">
      <c r="A9492" t="s">
        <v>6</v>
      </c>
      <c r="B9492" t="s">
        <v>9497</v>
      </c>
      <c r="C9492">
        <f>HYPERLINK("C:\Users\franc\OneDrive\Documentos\MALENTIN KARIME\CESION\RESPALDO LUIS DIAZ\PODERES 2008\JORGE GUERRERO V. E.I.R.L. Panulcillo.doc", "Abrir Documento")</f>
        <v>0</v>
      </c>
      <c r="D9492" t="s">
        <v>23500</v>
      </c>
      <c r="E9492" t="s">
        <v>31967</v>
      </c>
    </row>
    <row r="9493" spans="1:5">
      <c r="A9493" t="s">
        <v>6</v>
      </c>
      <c r="B9493" t="s">
        <v>9498</v>
      </c>
      <c r="C9493">
        <f>HYPERLINK("C:\Users\franc\OneDrive\Documentos\MALENTIN KARIME\CESION\RESPALDO LUIS DIAZ\PODERES 2008\JORGE GONZALEZ DIAZ Aut. a cónyuge.doc", "Abrir Documento")</f>
        <v>0</v>
      </c>
      <c r="D9493" t="s">
        <v>23500</v>
      </c>
      <c r="E9493" t="s">
        <v>31968</v>
      </c>
    </row>
    <row r="9494" spans="1:5">
      <c r="A9494" t="s">
        <v>6</v>
      </c>
      <c r="B9494" t="s">
        <v>9499</v>
      </c>
      <c r="C9494">
        <f>HYPERLINK("C:\Users\franc\OneDrive\Documentos\MALENTIN KARIME\CESION\RESPALDO LUIS DIAZ\PODERES 2008\JORGE CUEVAS V. Minuta vender.doc", "Abrir Documento")</f>
        <v>0</v>
      </c>
      <c r="D9494" t="s">
        <v>23500</v>
      </c>
      <c r="E9494" t="s">
        <v>31969</v>
      </c>
    </row>
    <row r="9495" spans="1:5">
      <c r="A9495" t="s">
        <v>6</v>
      </c>
      <c r="B9495" t="s">
        <v>9500</v>
      </c>
      <c r="C9495">
        <f>HYPERLINK("C:\Users\franc\OneDrive\Documentos\MALENTIN KARIME\CESION\RESPALDO LUIS DIAZ\PODERES 2008\JORGE CONTRERAS Aut. Cóny. Vender.doc", "Abrir Documento")</f>
        <v>0</v>
      </c>
      <c r="D9495" t="s">
        <v>23500</v>
      </c>
      <c r="E9495" t="s">
        <v>31970</v>
      </c>
    </row>
    <row r="9496" spans="1:5">
      <c r="A9496" t="s">
        <v>6</v>
      </c>
      <c r="B9496" t="s">
        <v>9501</v>
      </c>
      <c r="C9496">
        <f>HYPERLINK("C:\Users\franc\OneDrive\Documentos\MALENTIN KARIME\CESION\RESPALDO LUIS DIAZ\PODERES 2008\JORGE ASTUDILLO J. Chq. Panulc.doc", "Abrir Documento")</f>
        <v>0</v>
      </c>
      <c r="D9496" t="s">
        <v>23500</v>
      </c>
      <c r="E9496" t="s">
        <v>31971</v>
      </c>
    </row>
    <row r="9497" spans="1:5">
      <c r="A9497" t="s">
        <v>6</v>
      </c>
      <c r="B9497" t="s">
        <v>9502</v>
      </c>
      <c r="C9497">
        <f>HYPERLINK("C:\Users\franc\OneDrive\Documentos\MALENTIN KARIME\CESION\RESPALDO LUIS DIAZ\PODERES 2008\JOHN RAPKOCH a JUAN JIMENEZ.doc", "Abrir Documento")</f>
        <v>0</v>
      </c>
      <c r="D9497" t="s">
        <v>23500</v>
      </c>
      <c r="E9497" t="s">
        <v>31972</v>
      </c>
    </row>
    <row r="9498" spans="1:5">
      <c r="A9498" t="s">
        <v>6</v>
      </c>
      <c r="B9498" t="s">
        <v>9503</v>
      </c>
      <c r="C9498">
        <f>HYPERLINK("C:\Users\franc\OneDrive\Documentos\MALENTIN KARIME\CESION\RESPALDO LUIS DIAZ\PODERES 2008\JEANETTE SARMIENTO (cheque enami).doc", "Abrir Documento")</f>
        <v>0</v>
      </c>
      <c r="D9498" t="s">
        <v>23500</v>
      </c>
      <c r="E9498" t="s">
        <v>31973</v>
      </c>
    </row>
    <row r="9499" spans="1:5">
      <c r="A9499" t="s">
        <v>6</v>
      </c>
      <c r="B9499" t="s">
        <v>9504</v>
      </c>
      <c r="C9499">
        <f>HYPERLINK("C:\Users\franc\OneDrive\Documentos\MALENTIN KARIME\CESION\RESPALDO LUIS DIAZ\PODERES 2008\JAIME RENCORET V. Drchos.Hered..doc", "Abrir Documento")</f>
        <v>0</v>
      </c>
      <c r="D9499" t="s">
        <v>23500</v>
      </c>
      <c r="E9499" t="s">
        <v>31974</v>
      </c>
    </row>
    <row r="9500" spans="1:5">
      <c r="A9500" t="s">
        <v>6</v>
      </c>
      <c r="B9500" t="s">
        <v>9505</v>
      </c>
      <c r="C9500">
        <f>HYPERLINK("C:\Users\franc\OneDrive\Documentos\MALENTIN KARIME\CESION\RESPALDO LUIS DIAZ\PODERES 2008\JAIME MONDACA BOU.doc", "Abrir Documento")</f>
        <v>0</v>
      </c>
      <c r="D9500" t="s">
        <v>23500</v>
      </c>
      <c r="E9500" t="s">
        <v>31975</v>
      </c>
    </row>
    <row r="9501" spans="1:5">
      <c r="A9501" t="s">
        <v>6</v>
      </c>
      <c r="B9501" t="s">
        <v>9506</v>
      </c>
      <c r="C9501">
        <f>HYPERLINK("C:\Users\franc\OneDrive\Documentos\MALENTIN KARIME\CESION\RESPALDO LUIS DIAZ\PODERES 2008\J.C. POBLETE V. vender con Sep.Bienes.doc", "Abrir Documento")</f>
        <v>0</v>
      </c>
      <c r="D9501" t="s">
        <v>23500</v>
      </c>
      <c r="E9501" t="s">
        <v>31976</v>
      </c>
    </row>
    <row r="9502" spans="1:5">
      <c r="A9502" t="s">
        <v>6</v>
      </c>
      <c r="B9502" t="s">
        <v>9507</v>
      </c>
      <c r="C9502">
        <f>HYPERLINK("C:\Users\franc\OneDrive\Documentos\MALENTIN KARIME\CESION\RESPALDO LUIS DIAZ\PODERES 2008\IVAN RAMIREZ ARAYA.doc", "Abrir Documento")</f>
        <v>0</v>
      </c>
      <c r="D9502" t="s">
        <v>23500</v>
      </c>
      <c r="E9502" t="s">
        <v>31977</v>
      </c>
    </row>
    <row r="9503" spans="1:5">
      <c r="A9503" t="s">
        <v>6</v>
      </c>
      <c r="B9503" t="s">
        <v>9508</v>
      </c>
      <c r="C9503">
        <f>HYPERLINK("C:\Users\franc\OneDrive\Documentos\MALENTIN KARIME\CESION\RESPALDO LUIS DIAZ\PODERES 2008\ISMELDA ARAYA V. Y OTS. Cheq CAPEL.doc", "Abrir Documento")</f>
        <v>0</v>
      </c>
      <c r="D9503" t="s">
        <v>23500</v>
      </c>
      <c r="E9503" t="s">
        <v>31978</v>
      </c>
    </row>
    <row r="9504" spans="1:5">
      <c r="A9504" t="s">
        <v>6</v>
      </c>
      <c r="B9504" t="s">
        <v>9509</v>
      </c>
      <c r="C9504">
        <f>HYPERLINK("C:\Users\franc\OneDrive\Documentos\MALENTIN KARIME\CESION\RESPALDO LUIS DIAZ\PODERES 2008\INPROCOL LTDA. a SELIM DABED.doc", "Abrir Documento")</f>
        <v>0</v>
      </c>
      <c r="D9504" t="s">
        <v>23500</v>
      </c>
      <c r="E9504" t="s">
        <v>31979</v>
      </c>
    </row>
    <row r="9505" spans="1:5">
      <c r="A9505" t="s">
        <v>6</v>
      </c>
      <c r="B9505" t="s">
        <v>9510</v>
      </c>
      <c r="C9505">
        <f>HYPERLINK("C:\Users\franc\OneDrive\Documentos\MALENTIN KARIME\CESION\RESPALDO LUIS DIAZ\PODERES 2008\INPROCOL LTD. a SELIM DABED.doc", "Abrir Documento")</f>
        <v>0</v>
      </c>
      <c r="D9505" t="s">
        <v>23500</v>
      </c>
      <c r="E9505" t="s">
        <v>31980</v>
      </c>
    </row>
    <row r="9506" spans="1:5">
      <c r="A9506" t="s">
        <v>6</v>
      </c>
      <c r="B9506" t="s">
        <v>9511</v>
      </c>
      <c r="C9506">
        <f>HYPERLINK("C:\Users\franc\OneDrive\Documentos\MALENTIN KARIME\CESION\RESPALDO LUIS DIAZ\PODERES 2008\INPROCOL LTD. a SELIM DABED VII.doc", "Abrir Documento")</f>
        <v>0</v>
      </c>
      <c r="D9506" t="s">
        <v>23500</v>
      </c>
      <c r="E9506" t="s">
        <v>31981</v>
      </c>
    </row>
    <row r="9507" spans="1:5">
      <c r="A9507" t="s">
        <v>6</v>
      </c>
      <c r="B9507" t="s">
        <v>9512</v>
      </c>
      <c r="C9507">
        <f>HYPERLINK("C:\Users\franc\OneDrive\Documentos\MALENTIN KARIME\CESION\RESPALDO LUIS DIAZ\PODERES 2008\INPROCOL LTD. a SELIM DABED VI.doc", "Abrir Documento")</f>
        <v>0</v>
      </c>
      <c r="D9507" t="s">
        <v>23500</v>
      </c>
      <c r="E9507" t="s">
        <v>31982</v>
      </c>
    </row>
    <row r="9508" spans="1:5">
      <c r="A9508" t="s">
        <v>6</v>
      </c>
      <c r="B9508" t="s">
        <v>9513</v>
      </c>
      <c r="C9508">
        <f>HYPERLINK("C:\Users\franc\OneDrive\Documentos\MALENTIN KARIME\CESION\RESPALDO LUIS DIAZ\PODERES 2008\INPROCOL LTD. a SELIM DABED V.doc", "Abrir Documento")</f>
        <v>0</v>
      </c>
      <c r="D9508" t="s">
        <v>23500</v>
      </c>
      <c r="E9508" t="s">
        <v>31983</v>
      </c>
    </row>
    <row r="9509" spans="1:5">
      <c r="A9509" t="s">
        <v>6</v>
      </c>
      <c r="B9509" t="s">
        <v>9514</v>
      </c>
      <c r="C9509">
        <f>HYPERLINK("C:\Users\franc\OneDrive\Documentos\MALENTIN KARIME\CESION\RESPALDO LUIS DIAZ\PODERES 2008\INPROCOL LTD. a SELIM DABED Revocac..doc", "Abrir Documento")</f>
        <v>0</v>
      </c>
      <c r="D9509" t="s">
        <v>23500</v>
      </c>
      <c r="E9509" t="s">
        <v>31984</v>
      </c>
    </row>
    <row r="9510" spans="1:5">
      <c r="A9510" t="s">
        <v>6</v>
      </c>
      <c r="B9510" t="s">
        <v>9515</v>
      </c>
      <c r="C9510">
        <f>HYPERLINK("C:\Users\franc\OneDrive\Documentos\MALENTIN KARIME\CESION\RESPALDO LUIS DIAZ\PODERES 2008\INPROCOL LTD. a SELIM DABED IV.doc", "Abrir Documento")</f>
        <v>0</v>
      </c>
      <c r="D9510" t="s">
        <v>23500</v>
      </c>
      <c r="E9510" t="s">
        <v>31985</v>
      </c>
    </row>
    <row r="9511" spans="1:5">
      <c r="A9511" t="s">
        <v>6</v>
      </c>
      <c r="B9511" t="s">
        <v>9516</v>
      </c>
      <c r="C9511">
        <f>HYPERLINK("C:\Users\franc\OneDrive\Documentos\MALENTIN KARIME\CESION\RESPALDO LUIS DIAZ\PODERES 2008\INPROCOL LTD. a SELIM DABED III.doc", "Abrir Documento")</f>
        <v>0</v>
      </c>
      <c r="D9511" t="s">
        <v>23500</v>
      </c>
      <c r="E9511" t="s">
        <v>31986</v>
      </c>
    </row>
    <row r="9512" spans="1:5">
      <c r="A9512" t="s">
        <v>6</v>
      </c>
      <c r="B9512" t="s">
        <v>9517</v>
      </c>
      <c r="C9512">
        <f>HYPERLINK("C:\Users\franc\OneDrive\Documentos\MALENTIN KARIME\CESION\RESPALDO LUIS DIAZ\PODERES 2008\INPROCOL LTD. a SELIM DABED II.doc", "Abrir Documento")</f>
        <v>0</v>
      </c>
      <c r="D9512" t="s">
        <v>23500</v>
      </c>
      <c r="E9512" t="s">
        <v>31987</v>
      </c>
    </row>
    <row r="9513" spans="1:5">
      <c r="A9513" t="s">
        <v>6</v>
      </c>
      <c r="B9513" t="s">
        <v>9518</v>
      </c>
      <c r="C9513">
        <f>HYPERLINK("C:\Users\franc\OneDrive\Documentos\MALENTIN KARIME\CESION\RESPALDO LUIS DIAZ\PODERES 2008\INPROCOL LTD. a SELIM DABED I.doc", "Abrir Documento")</f>
        <v>0</v>
      </c>
      <c r="D9513" t="s">
        <v>23500</v>
      </c>
      <c r="E9513" t="s">
        <v>31988</v>
      </c>
    </row>
    <row r="9514" spans="1:5">
      <c r="A9514" t="s">
        <v>6</v>
      </c>
      <c r="B9514" t="s">
        <v>9519</v>
      </c>
      <c r="C9514">
        <f>HYPERLINK("C:\Users\franc\OneDrive\Documentos\MALENTIN KARIME\CESION\RESPALDO LUIS DIAZ\PODERES 2008\INMOB. RIVERA Y PARRA Cobrar Bco.Chile.doc", "Abrir Documento")</f>
        <v>0</v>
      </c>
      <c r="D9514" t="s">
        <v>23500</v>
      </c>
      <c r="E9514" t="s">
        <v>31989</v>
      </c>
    </row>
    <row r="9515" spans="1:5">
      <c r="A9515" t="s">
        <v>6</v>
      </c>
      <c r="B9515" t="s">
        <v>9520</v>
      </c>
      <c r="C9515">
        <f>HYPERLINK("C:\Users\franc\OneDrive\Documentos\MALENTIN KARIME\CESION\RESPALDO LUIS DIAZ\PODERES 2008\INGRID EBNER.doc", "Abrir Documento")</f>
        <v>0</v>
      </c>
      <c r="D9515" t="s">
        <v>23500</v>
      </c>
      <c r="E9515" t="s">
        <v>31990</v>
      </c>
    </row>
    <row r="9516" spans="1:5">
      <c r="A9516" t="s">
        <v>6</v>
      </c>
      <c r="B9516" t="s">
        <v>9521</v>
      </c>
      <c r="C9516">
        <f>HYPERLINK("C:\Users\franc\OneDrive\Documentos\MALENTIN KARIME\CESION\RESPALDO LUIS DIAZ\PODERES 2008\INES VARAS CARMONA Y OTS..doc", "Abrir Documento")</f>
        <v>0</v>
      </c>
      <c r="D9516" t="s">
        <v>23500</v>
      </c>
      <c r="E9516" t="s">
        <v>31991</v>
      </c>
    </row>
    <row r="9517" spans="1:5">
      <c r="A9517" t="s">
        <v>6</v>
      </c>
      <c r="B9517" t="s">
        <v>9522</v>
      </c>
      <c r="C9517">
        <f>HYPERLINK("C:\Users\franc\OneDrive\Documentos\MALENTIN KARIME\CESION\RESPALDO LUIS DIAZ\PODERES 2008\INES CONTRERAS.doc", "Abrir Documento")</f>
        <v>0</v>
      </c>
      <c r="D9517" t="s">
        <v>23500</v>
      </c>
      <c r="E9517" t="s">
        <v>31992</v>
      </c>
    </row>
    <row r="9518" spans="1:5">
      <c r="A9518" t="s">
        <v>6</v>
      </c>
      <c r="B9518" t="s">
        <v>9523</v>
      </c>
      <c r="C9518">
        <f>HYPERLINK("C:\Users\franc\OneDrive\Documentos\MALENTIN KARIME\CESION\RESPALDO LUIS DIAZ\PODERES 2008\HUGO TAPIA ANGEL Aut. a cónyuge.doc", "Abrir Documento")</f>
        <v>0</v>
      </c>
      <c r="D9518" t="s">
        <v>23500</v>
      </c>
      <c r="E9518" t="s">
        <v>31993</v>
      </c>
    </row>
    <row r="9519" spans="1:5">
      <c r="A9519" t="s">
        <v>6</v>
      </c>
      <c r="B9519" t="s">
        <v>9524</v>
      </c>
      <c r="C9519">
        <f>HYPERLINK("C:\Users\franc\OneDrive\Documentos\MALENTIN KARIME\CESION\RESPALDO LUIS DIAZ\PODERES 2008\HUGO PINTO ZEPEDA Cta.Cte. BCO.SANTANDER.doc", "Abrir Documento")</f>
        <v>0</v>
      </c>
      <c r="D9519" t="s">
        <v>23500</v>
      </c>
      <c r="E9519" t="s">
        <v>31994</v>
      </c>
    </row>
    <row r="9520" spans="1:5">
      <c r="A9520" t="s">
        <v>6</v>
      </c>
      <c r="B9520" t="s">
        <v>9525</v>
      </c>
      <c r="C9520">
        <f>HYPERLINK("C:\Users\franc\OneDrive\Documentos\MALENTIN KARIME\CESION\RESPALDO LUIS DIAZ\PODERES 2008\HUGO CAMPUSANO P. Chq.Panulcillo.doc", "Abrir Documento")</f>
        <v>0</v>
      </c>
      <c r="D9520" t="s">
        <v>23500</v>
      </c>
      <c r="E9520" t="s">
        <v>31995</v>
      </c>
    </row>
    <row r="9521" spans="1:5">
      <c r="A9521" t="s">
        <v>6</v>
      </c>
      <c r="B9521" t="s">
        <v>9526</v>
      </c>
      <c r="C9521">
        <f>HYPERLINK("C:\Users\franc\OneDrive\Documentos\MALENTIN KARIME\CESION\RESPALDO LUIS DIAZ\PODERES 2008\HUGO BUGUEÑO Cta.Cte BcoChile.doc", "Abrir Documento")</f>
        <v>0</v>
      </c>
      <c r="D9521" t="s">
        <v>23500</v>
      </c>
      <c r="E9521" t="s">
        <v>31996</v>
      </c>
    </row>
    <row r="9522" spans="1:5">
      <c r="A9522" t="s">
        <v>6</v>
      </c>
      <c r="B9522" t="s">
        <v>9527</v>
      </c>
      <c r="C9522">
        <f>HYPERLINK("C:\Users\franc\OneDrive\Documentos\MALENTIN KARIME\CESION\RESPALDO LUIS DIAZ\PODERES 2008\HNOS. PROHENS FIGARI.doc", "Abrir Documento")</f>
        <v>0</v>
      </c>
      <c r="D9522" t="s">
        <v>23500</v>
      </c>
      <c r="E9522" t="s">
        <v>31997</v>
      </c>
    </row>
    <row r="9523" spans="1:5">
      <c r="A9523" t="s">
        <v>6</v>
      </c>
      <c r="B9523" t="s">
        <v>9528</v>
      </c>
      <c r="C9523">
        <f>HYPERLINK("C:\Users\franc\OneDrive\Documentos\MALENTIN KARIME\CESION\RESPALDO LUIS DIAZ\PODERES 2008\HILDA VIDELA TELLO Y OTRO Vender.doc", "Abrir Documento")</f>
        <v>0</v>
      </c>
      <c r="D9523" t="s">
        <v>23500</v>
      </c>
      <c r="E9523" t="s">
        <v>31998</v>
      </c>
    </row>
    <row r="9524" spans="1:5">
      <c r="A9524" t="s">
        <v>6</v>
      </c>
      <c r="B9524" t="s">
        <v>9529</v>
      </c>
      <c r="C9524">
        <f>HYPERLINK("C:\Users\franc\OneDrive\Documentos\MALENTIN KARIME\CESION\RESPALDO LUIS DIAZ\PODERES 2008\HILDA ANJEL C. Chq.Panulcillo.doc", "Abrir Documento")</f>
        <v>0</v>
      </c>
      <c r="D9524" t="s">
        <v>23500</v>
      </c>
      <c r="E9524" t="s">
        <v>31999</v>
      </c>
    </row>
    <row r="9525" spans="1:5">
      <c r="A9525" t="s">
        <v>6</v>
      </c>
      <c r="B9525" t="s">
        <v>9530</v>
      </c>
      <c r="C9525">
        <f>HYPERLINK("C:\Users\franc\OneDrive\Documentos\MALENTIN KARIME\CESION\RESPALDO LUIS DIAZ\PODERES 2008\HERNAN MONDACA Y OTRO vender.doc", "Abrir Documento")</f>
        <v>0</v>
      </c>
      <c r="D9525" t="s">
        <v>23500</v>
      </c>
      <c r="E9525" t="s">
        <v>32000</v>
      </c>
    </row>
    <row r="9526" spans="1:5">
      <c r="A9526" t="s">
        <v>6</v>
      </c>
      <c r="B9526" t="s">
        <v>9531</v>
      </c>
      <c r="C9526">
        <f>HYPERLINK("C:\Users\franc\OneDrive\Documentos\MALENTIN KARIME\CESION\RESPALDO LUIS DIAZ\PODERES 2008\HERNAN FIGUEROA PINTO Y OT.doc", "Abrir Documento")</f>
        <v>0</v>
      </c>
      <c r="D9526" t="s">
        <v>23500</v>
      </c>
      <c r="E9526" t="s">
        <v>32001</v>
      </c>
    </row>
    <row r="9527" spans="1:5">
      <c r="A9527" t="s">
        <v>6</v>
      </c>
      <c r="B9527" t="s">
        <v>9532</v>
      </c>
      <c r="C9527">
        <f>HYPERLINK("C:\Users\franc\OneDrive\Documentos\MALENTIN KARIME\CESION\RESPALDO LUIS DIAZ\PODERES 2008\GUSTAVO BARRAZA J. Ratificación.doc", "Abrir Documento")</f>
        <v>0</v>
      </c>
      <c r="D9527" t="s">
        <v>23500</v>
      </c>
      <c r="E9527" t="s">
        <v>32002</v>
      </c>
    </row>
    <row r="9528" spans="1:5">
      <c r="A9528" t="s">
        <v>6</v>
      </c>
      <c r="B9528" t="s">
        <v>9533</v>
      </c>
      <c r="C9528">
        <f>HYPERLINK("C:\Users\franc\OneDrive\Documentos\MALENTIN KARIME\CESION\RESPALDO LUIS DIAZ\PODERES 2008\GUILLMINA ARAYA C. Aut. a cónyuge vender.doc", "Abrir Documento")</f>
        <v>0</v>
      </c>
      <c r="D9528" t="s">
        <v>23500</v>
      </c>
      <c r="E9528" t="s">
        <v>32003</v>
      </c>
    </row>
    <row r="9529" spans="1:5">
      <c r="A9529" t="s">
        <v>6</v>
      </c>
      <c r="B9529" t="s">
        <v>9534</v>
      </c>
      <c r="C9529">
        <f>HYPERLINK("C:\Users\franc\OneDrive\Documentos\MALENTIN KARIME\CESION\RESPALDO LUIS DIAZ\PODERES 2008\GUILE CODOCEO G. Vender Mina.doc", "Abrir Documento")</f>
        <v>0</v>
      </c>
      <c r="D9529" t="s">
        <v>23500</v>
      </c>
      <c r="E9529" t="s">
        <v>32004</v>
      </c>
    </row>
    <row r="9530" spans="1:5">
      <c r="A9530" t="s">
        <v>6</v>
      </c>
      <c r="B9530" t="s">
        <v>9535</v>
      </c>
      <c r="C9530">
        <f>HYPERLINK("C:\Users\franc\OneDrive\Documentos\MALENTIN KARIME\CESION\RESPALDO LUIS DIAZ\PODERES 2008\GUIDO ADAOS ESQUIVEL Cheques CAPEL.doc", "Abrir Documento")</f>
        <v>0</v>
      </c>
      <c r="D9530" t="s">
        <v>23500</v>
      </c>
      <c r="E9530" t="s">
        <v>32005</v>
      </c>
    </row>
    <row r="9531" spans="1:5">
      <c r="A9531" t="s">
        <v>6</v>
      </c>
      <c r="B9531" t="s">
        <v>9536</v>
      </c>
      <c r="C9531">
        <f>HYPERLINK("C:\Users\franc\OneDrive\Documentos\MALENTIN KARIME\CESION\RESPALDO LUIS DIAZ\PODERES 2008\GUADALUPE ROBLES L. Chques y V.V..doc", "Abrir Documento")</f>
        <v>0</v>
      </c>
      <c r="D9531" t="s">
        <v>23500</v>
      </c>
      <c r="E9531" t="s">
        <v>32006</v>
      </c>
    </row>
    <row r="9532" spans="1:5">
      <c r="A9532" t="s">
        <v>6</v>
      </c>
      <c r="B9532" t="s">
        <v>9537</v>
      </c>
      <c r="C9532">
        <f>HYPERLINK("C:\Users\franc\OneDrive\Documentos\MALENTIN KARIME\CESION\RESPALDO LUIS DIAZ\PODERES 2008\GMO. PIZARRO ARAYA Revocación.doc", "Abrir Documento")</f>
        <v>0</v>
      </c>
      <c r="D9532" t="s">
        <v>23500</v>
      </c>
      <c r="E9532" t="s">
        <v>32007</v>
      </c>
    </row>
    <row r="9533" spans="1:5">
      <c r="A9533" t="s">
        <v>6</v>
      </c>
      <c r="B9533" t="s">
        <v>9538</v>
      </c>
      <c r="C9533">
        <f>HYPERLINK("C:\Users\franc\OneDrive\Documentos\MALENTIN KARIME\CESION\RESPALDO LUIS DIAZ\PODERES 2008\GMO. CONTRERAS C. Y OTS. Mandato Adm..doc", "Abrir Documento")</f>
        <v>0</v>
      </c>
      <c r="D9533" t="s">
        <v>23500</v>
      </c>
      <c r="E9533" t="s">
        <v>32008</v>
      </c>
    </row>
    <row r="9534" spans="1:5">
      <c r="A9534" t="s">
        <v>6</v>
      </c>
      <c r="B9534" t="s">
        <v>9539</v>
      </c>
      <c r="C9534">
        <f>HYPERLINK("C:\Users\franc\OneDrive\Documentos\MALENTIN KARIME\CESION\RESPALDO LUIS DIAZ\PODERES 2008\GLORIA ESPINOZA a W. HONORES Vender.doc", "Abrir Documento")</f>
        <v>0</v>
      </c>
      <c r="D9534" t="s">
        <v>23500</v>
      </c>
      <c r="E9534" t="s">
        <v>32009</v>
      </c>
    </row>
    <row r="9535" spans="1:5">
      <c r="A9535" t="s">
        <v>6</v>
      </c>
      <c r="B9535" t="s">
        <v>9540</v>
      </c>
      <c r="C9535">
        <f>HYPERLINK("C:\Users\franc\OneDrive\Documentos\MALENTIN KARIME\CESION\RESPALDO LUIS DIAZ\PODERES 2008\GIULIETTA LANCELLOTTI.doc", "Abrir Documento")</f>
        <v>0</v>
      </c>
      <c r="D9535" t="s">
        <v>23500</v>
      </c>
      <c r="E9535" t="s">
        <v>32010</v>
      </c>
    </row>
    <row r="9536" spans="1:5">
      <c r="A9536" t="s">
        <v>6</v>
      </c>
      <c r="B9536" t="s">
        <v>9541</v>
      </c>
      <c r="C9536">
        <f>HYPERLINK("C:\Users\franc\OneDrive\Documentos\MALENTIN KARIME\CESION\RESPALDO LUIS DIAZ\PODERES 2008\GILBERTO.doc", "Abrir Documento")</f>
        <v>0</v>
      </c>
      <c r="D9536" t="s">
        <v>23500</v>
      </c>
      <c r="E9536" t="s">
        <v>32011</v>
      </c>
    </row>
    <row r="9537" spans="1:5">
      <c r="A9537" t="s">
        <v>6</v>
      </c>
      <c r="B9537" t="s">
        <v>9542</v>
      </c>
      <c r="C9537">
        <f>HYPERLINK("C:\Users\franc\OneDrive\Documentos\MALENTIN KARIME\CESION\RESPALDO LUIS DIAZ\PODERES 2008\GILBERTO PIZARRO Pensión Credich..doc", "Abrir Documento")</f>
        <v>0</v>
      </c>
      <c r="D9537" t="s">
        <v>23500</v>
      </c>
      <c r="E9537" t="s">
        <v>32012</v>
      </c>
    </row>
    <row r="9538" spans="1:5">
      <c r="A9538" t="s">
        <v>6</v>
      </c>
      <c r="B9538" t="s">
        <v>9543</v>
      </c>
      <c r="C9538">
        <f>HYPERLINK("C:\Users\franc\OneDrive\Documentos\MALENTIN KARIME\CESION\RESPALDO LUIS DIAZ\PODERES 2008\GERMAN PEÑAFIEL G. Cta.Cte. BCO.CHILE.doc", "Abrir Documento")</f>
        <v>0</v>
      </c>
      <c r="D9538" t="s">
        <v>23500</v>
      </c>
      <c r="E9538" t="s">
        <v>32013</v>
      </c>
    </row>
    <row r="9539" spans="1:5">
      <c r="A9539" t="s">
        <v>6</v>
      </c>
      <c r="B9539" t="s">
        <v>9544</v>
      </c>
      <c r="C9539">
        <f>HYPERLINK("C:\Users\franc\OneDrive\Documentos\MALENTIN KARIME\CESION\RESPALDO LUIS DIAZ\PODERES 2008\GABY PIZARRO G. Y OTS. Cheques CAPEL.doc", "Abrir Documento")</f>
        <v>0</v>
      </c>
      <c r="D9539" t="s">
        <v>23500</v>
      </c>
      <c r="E9539" t="s">
        <v>32014</v>
      </c>
    </row>
    <row r="9540" spans="1:5">
      <c r="A9540" t="s">
        <v>6</v>
      </c>
      <c r="B9540" t="s">
        <v>9545</v>
      </c>
      <c r="C9540">
        <f>HYPERLINK("C:\Users\franc\OneDrive\Documentos\MALENTIN KARIME\CESION\RESPALDO LUIS DIAZ\PODERES 2008\GABY CARMONA G. Y OTS. Mand. Adm..doc", "Abrir Documento")</f>
        <v>0</v>
      </c>
      <c r="D9540" t="s">
        <v>23500</v>
      </c>
      <c r="E9540" t="s">
        <v>32015</v>
      </c>
    </row>
    <row r="9541" spans="1:5">
      <c r="A9541" t="s">
        <v>6</v>
      </c>
      <c r="B9541" t="s">
        <v>9546</v>
      </c>
      <c r="C9541">
        <f>HYPERLINK("C:\Users\franc\OneDrive\Documentos\MALENTIN KARIME\CESION\RESPALDO LUIS DIAZ\PODERES 2008\FLORENTINA CORTES B. Vender Drchos..doc", "Abrir Documento")</f>
        <v>0</v>
      </c>
      <c r="D9541" t="s">
        <v>23500</v>
      </c>
      <c r="E9541" t="s">
        <v>32016</v>
      </c>
    </row>
    <row r="9542" spans="1:5">
      <c r="A9542" t="s">
        <v>6</v>
      </c>
      <c r="B9542" t="s">
        <v>9547</v>
      </c>
      <c r="C9542">
        <f>HYPERLINK("C:\Users\franc\OneDrive\Documentos\MALENTIN KARIME\CESION\RESPALDO LUIS DIAZ\PODERES 2008\FELIX MORENO T. Aut.Cóny.Vender.doc", "Abrir Documento")</f>
        <v>0</v>
      </c>
      <c r="D9542" t="s">
        <v>23500</v>
      </c>
      <c r="E9542" t="s">
        <v>32017</v>
      </c>
    </row>
    <row r="9543" spans="1:5">
      <c r="A9543" t="s">
        <v>6</v>
      </c>
      <c r="B9543" t="s">
        <v>9548</v>
      </c>
      <c r="C9543">
        <f>HYPERLINK("C:\Users\franc\OneDrive\Documentos\MALENTIN KARIME\CESION\RESPALDO LUIS DIAZ\PODERES 2008\FDO. DURRUTY A. Adm. y Vender Veh.doc", "Abrir Documento")</f>
        <v>0</v>
      </c>
      <c r="D9543" t="s">
        <v>23500</v>
      </c>
      <c r="E9543" t="s">
        <v>32018</v>
      </c>
    </row>
    <row r="9544" spans="1:5">
      <c r="A9544" t="s">
        <v>6</v>
      </c>
      <c r="B9544" t="s">
        <v>9549</v>
      </c>
      <c r="C9544">
        <f>HYPERLINK("C:\Users\franc\OneDrive\Documentos\MALENTIN KARIME\CESION\RESPALDO LUIS DIAZ\PODERES 2008\FCO.MORALESYCIA.ESP.doc", "Abrir Documento")</f>
        <v>0</v>
      </c>
      <c r="D9544" t="s">
        <v>23500</v>
      </c>
      <c r="E9544" t="s">
        <v>32019</v>
      </c>
    </row>
    <row r="9545" spans="1:5">
      <c r="A9545" t="s">
        <v>6</v>
      </c>
      <c r="B9545" t="s">
        <v>9550</v>
      </c>
      <c r="C9545">
        <f>HYPERLINK("C:\Users\franc\OneDrive\Documentos\MALENTIN KARIME\CESION\RESPALDO LUIS DIAZ\PODERES 2008\FCO. MORALES Y CIA..doc", "Abrir Documento")</f>
        <v>0</v>
      </c>
      <c r="D9545" t="s">
        <v>23500</v>
      </c>
      <c r="E9545" t="s">
        <v>32020</v>
      </c>
    </row>
    <row r="9546" spans="1:5">
      <c r="A9546" t="s">
        <v>6</v>
      </c>
      <c r="B9546" t="s">
        <v>9551</v>
      </c>
      <c r="C9546">
        <f>HYPERLINK("C:\Users\franc\OneDrive\Documentos\MALENTIN KARIME\CESION\RESPALDO LUIS DIAZ\PODERES 2008\FCA. PASTEN ANGEL Y OTS. Cheques CAPEL.doc", "Abrir Documento")</f>
        <v>0</v>
      </c>
      <c r="D9546" t="s">
        <v>23500</v>
      </c>
      <c r="E9546" t="s">
        <v>32021</v>
      </c>
    </row>
    <row r="9547" spans="1:5">
      <c r="A9547" t="s">
        <v>6</v>
      </c>
      <c r="B9547" t="s">
        <v>9552</v>
      </c>
      <c r="C9547">
        <f>HYPERLINK("C:\Users\franc\OneDrive\Documentos\MALENTIN KARIME\CESION\RESPALDO LUIS DIAZ\PODERES 2008\FATME DAIRE ARAYA Y Ot.doc", "Abrir Documento")</f>
        <v>0</v>
      </c>
      <c r="D9547" t="s">
        <v>23500</v>
      </c>
      <c r="E9547" t="s">
        <v>32022</v>
      </c>
    </row>
    <row r="9548" spans="1:5">
      <c r="A9548" t="s">
        <v>6</v>
      </c>
      <c r="B9548" t="s">
        <v>9553</v>
      </c>
      <c r="C9548">
        <f>HYPERLINK("C:\Users\franc\OneDrive\Documentos\MALENTIN KARIME\CESION\RESPALDO LUIS DIAZ\PODERES 2008\ESTRELLA OLMOS B. vender Mina.doc", "Abrir Documento")</f>
        <v>0</v>
      </c>
      <c r="D9548" t="s">
        <v>23500</v>
      </c>
      <c r="E9548" t="s">
        <v>32023</v>
      </c>
    </row>
    <row r="9549" spans="1:5">
      <c r="A9549" t="s">
        <v>6</v>
      </c>
      <c r="B9549" t="s">
        <v>9554</v>
      </c>
      <c r="C9549">
        <f>HYPERLINK("C:\Users\franc\OneDrive\Documentos\MALENTIN KARIME\CESION\RESPALDO LUIS DIAZ\PODERES 2008\ESTER CARIO VIVANCO a A. SABIONCELLO.doc", "Abrir Documento")</f>
        <v>0</v>
      </c>
      <c r="D9549" t="s">
        <v>23500</v>
      </c>
      <c r="E9549" t="s">
        <v>32024</v>
      </c>
    </row>
    <row r="9550" spans="1:5">
      <c r="A9550" t="s">
        <v>6</v>
      </c>
      <c r="B9550" t="s">
        <v>9555</v>
      </c>
      <c r="C9550">
        <f>HYPERLINK("C:\Users\franc\OneDrive\Documentos\MALENTIN KARIME\CESION\RESPALDO LUIS DIAZ\PODERES 2008\ESTELA JULIO PIÑONES y ots Acc.Mras.doc", "Abrir Documento")</f>
        <v>0</v>
      </c>
      <c r="D9550" t="s">
        <v>23500</v>
      </c>
      <c r="E9550" t="s">
        <v>32025</v>
      </c>
    </row>
    <row r="9551" spans="1:5">
      <c r="A9551" t="s">
        <v>6</v>
      </c>
      <c r="B9551" t="s">
        <v>9556</v>
      </c>
      <c r="C9551">
        <f>HYPERLINK("C:\Users\franc\OneDrive\Documentos\MALENTIN KARIME\CESION\RESPALDO LUIS DIAZ\PODERES 2008\ESTEBAN INOSTROZA MULET.doc", "Abrir Documento")</f>
        <v>0</v>
      </c>
      <c r="D9551" t="s">
        <v>23500</v>
      </c>
      <c r="E9551" t="s">
        <v>32026</v>
      </c>
    </row>
    <row r="9552" spans="1:5">
      <c r="A9552" t="s">
        <v>6</v>
      </c>
      <c r="B9552" t="s">
        <v>9557</v>
      </c>
      <c r="C9552">
        <f>HYPERLINK("C:\Users\franc\OneDrive\Documentos\MALENTIN KARIME\CESION\RESPALDO LUIS DIAZ\PODERES 2008\ESTEBAN INOSTROZA Cta.Cte. BCO.CHILE.doc", "Abrir Documento")</f>
        <v>0</v>
      </c>
      <c r="D9552" t="s">
        <v>23500</v>
      </c>
      <c r="E9552" t="s">
        <v>32027</v>
      </c>
    </row>
    <row r="9553" spans="1:5">
      <c r="A9553" t="s">
        <v>6</v>
      </c>
      <c r="B9553" t="s">
        <v>9558</v>
      </c>
      <c r="C9553">
        <f>HYPERLINK("C:\Users\franc\OneDrive\Documentos\MALENTIN KARIME\CESION\RESPALDO LUIS DIAZ\PODERES 2008\ERMELINDA RUIZ Vender Drchos..doc", "Abrir Documento")</f>
        <v>0</v>
      </c>
      <c r="D9553" t="s">
        <v>23500</v>
      </c>
      <c r="E9553" t="s">
        <v>32028</v>
      </c>
    </row>
    <row r="9554" spans="1:5">
      <c r="A9554" t="s">
        <v>6</v>
      </c>
      <c r="B9554" t="s">
        <v>9559</v>
      </c>
      <c r="C9554">
        <f>HYPERLINK("C:\Users\franc\OneDrive\Documentos\MALENTIN KARIME\CESION\RESPALDO LUIS DIAZ\PODERES 2008\ENRIQUE CORTES PIÑONES. Vender Dchos.doc", "Abrir Documento")</f>
        <v>0</v>
      </c>
      <c r="D9554" t="s">
        <v>23500</v>
      </c>
      <c r="E9554" t="s">
        <v>32029</v>
      </c>
    </row>
    <row r="9555" spans="1:5">
      <c r="A9555" t="s">
        <v>6</v>
      </c>
      <c r="B9555" t="s">
        <v>9560</v>
      </c>
      <c r="C9555">
        <f>HYPERLINK("C:\Users\franc\OneDrive\Documentos\MALENTIN KARIME\CESION\RESPALDO LUIS DIAZ\PODERES 2008\ENCABEZADO NOTARIO.doc", "Abrir Documento")</f>
        <v>0</v>
      </c>
      <c r="D9555" t="s">
        <v>23500</v>
      </c>
      <c r="E9555" t="s">
        <v>32030</v>
      </c>
    </row>
    <row r="9556" spans="1:5">
      <c r="A9556" t="s">
        <v>6</v>
      </c>
      <c r="B9556" t="s">
        <v>9561</v>
      </c>
      <c r="C9556">
        <f>HYPERLINK("C:\Users\franc\OneDrive\Documentos\MALENTIN KARIME\CESION\RESPALDO LUIS DIAZ\PODERES 2008\ELVIRA CARMONA S. y otra. Vender.doc", "Abrir Documento")</f>
        <v>0</v>
      </c>
      <c r="D9556" t="s">
        <v>23500</v>
      </c>
      <c r="E9556" t="s">
        <v>32031</v>
      </c>
    </row>
    <row r="9557" spans="1:5">
      <c r="A9557" t="s">
        <v>6</v>
      </c>
      <c r="B9557" t="s">
        <v>9562</v>
      </c>
      <c r="C9557">
        <f>HYPERLINK("C:\Users\franc\OneDrive\Documentos\MALENTIN KARIME\CESION\RESPALDO LUIS DIAZ\PODERES 2008\ELSA BASCUÑAN A. Vender Mina.doc", "Abrir Documento")</f>
        <v>0</v>
      </c>
      <c r="D9557" t="s">
        <v>23500</v>
      </c>
      <c r="E9557" t="s">
        <v>32032</v>
      </c>
    </row>
    <row r="9558" spans="1:5">
      <c r="A9558" t="s">
        <v>6</v>
      </c>
      <c r="B9558" t="s">
        <v>9563</v>
      </c>
      <c r="C9558">
        <f>HYPERLINK("C:\Users\franc\OneDrive\Documentos\MALENTIN KARIME\CESION\RESPALDO LUIS DIAZ\PODERES 2008\ELBA CARMONA SANCHEZ Vender.doc", "Abrir Documento")</f>
        <v>0</v>
      </c>
      <c r="D9558" t="s">
        <v>23500</v>
      </c>
      <c r="E9558" t="s">
        <v>32033</v>
      </c>
    </row>
    <row r="9559" spans="1:5">
      <c r="A9559" t="s">
        <v>6</v>
      </c>
      <c r="B9559" t="s">
        <v>9564</v>
      </c>
      <c r="C9559">
        <f>HYPERLINK("C:\Users\franc\OneDrive\Documentos\MALENTIN KARIME\CESION\RESPALDO LUIS DIAZ\PODERES 2008\EDO. ROJAS ELGUETA Aut. a cónyuge.doc", "Abrir Documento")</f>
        <v>0</v>
      </c>
      <c r="D9559" t="s">
        <v>23500</v>
      </c>
      <c r="E9559" t="s">
        <v>32034</v>
      </c>
    </row>
    <row r="9560" spans="1:5">
      <c r="A9560" t="s">
        <v>6</v>
      </c>
      <c r="B9560" t="s">
        <v>9565</v>
      </c>
      <c r="C9560">
        <f>HYPERLINK("C:\Users\franc\OneDrive\Documentos\MALENTIN KARIME\CESION\RESPALDO LUIS DIAZ\PODERES 2008\EDO. IBARRA GONZALEZ.doc", "Abrir Documento")</f>
        <v>0</v>
      </c>
      <c r="D9560" t="s">
        <v>23500</v>
      </c>
      <c r="E9560" t="s">
        <v>32035</v>
      </c>
    </row>
    <row r="9561" spans="1:5">
      <c r="A9561" t="s">
        <v>6</v>
      </c>
      <c r="B9561" t="s">
        <v>9566</v>
      </c>
      <c r="C9561">
        <f>HYPERLINK("C:\Users\franc\OneDrive\Documentos\MALENTIN KARIME\CESION\RESPALDO LUIS DIAZ\PODERES 2008\EDITH GALLARDO TAPIA Vender.doc", "Abrir Documento")</f>
        <v>0</v>
      </c>
      <c r="D9561" t="s">
        <v>23500</v>
      </c>
      <c r="E9561" t="s">
        <v>32036</v>
      </c>
    </row>
    <row r="9562" spans="1:5">
      <c r="A9562" t="s">
        <v>6</v>
      </c>
      <c r="B9562" t="s">
        <v>9567</v>
      </c>
      <c r="C9562">
        <f>HYPERLINK("C:\Users\franc\OneDrive\Documentos\MALENTIN KARIME\CESION\RESPALDO LUIS DIAZ\PODERES 2008\DORIS LARENAS G. para Arrendar.doc", "Abrir Documento")</f>
        <v>0</v>
      </c>
      <c r="D9562" t="s">
        <v>23500</v>
      </c>
      <c r="E9562" t="s">
        <v>32037</v>
      </c>
    </row>
    <row r="9563" spans="1:5">
      <c r="A9563" t="s">
        <v>6</v>
      </c>
      <c r="B9563" t="s">
        <v>9568</v>
      </c>
      <c r="C9563">
        <f>HYPERLINK("C:\Users\franc\OneDrive\Documentos\MALENTIN KARIME\CESION\RESPALDO LUIS DIAZ\PODERES 2008\DIONISIO ALVAREZ C. Y OTRO.doc", "Abrir Documento")</f>
        <v>0</v>
      </c>
      <c r="D9563" t="s">
        <v>23500</v>
      </c>
      <c r="E9563" t="s">
        <v>32038</v>
      </c>
    </row>
    <row r="9564" spans="1:5">
      <c r="A9564" t="s">
        <v>6</v>
      </c>
      <c r="B9564" t="s">
        <v>9569</v>
      </c>
      <c r="C9564">
        <f>HYPERLINK("C:\Users\franc\OneDrive\Documentos\MALENTIN KARIME\CESION\RESPALDO LUIS DIAZ\PODERES 2008\DICAVE LTDA. Cta.Cte. Santander.doc", "Abrir Documento")</f>
        <v>0</v>
      </c>
      <c r="D9564" t="s">
        <v>23500</v>
      </c>
      <c r="E9564" t="s">
        <v>32039</v>
      </c>
    </row>
    <row r="9565" spans="1:5">
      <c r="A9565" t="s">
        <v>6</v>
      </c>
      <c r="B9565" t="s">
        <v>9570</v>
      </c>
      <c r="C9565">
        <f>HYPERLINK("C:\Users\franc\OneDrive\Documentos\MALENTIN KARIME\CESION\RESPALDO LUIS DIAZ\PODERES 2008\DICAVE LTDA. a DIOMEDES CRUZ.doc", "Abrir Documento")</f>
        <v>0</v>
      </c>
      <c r="D9565" t="s">
        <v>23500</v>
      </c>
      <c r="E9565" t="s">
        <v>32040</v>
      </c>
    </row>
    <row r="9566" spans="1:5">
      <c r="A9566" t="s">
        <v>6</v>
      </c>
      <c r="B9566" t="s">
        <v>9571</v>
      </c>
      <c r="C9566">
        <f>HYPERLINK("C:\Users\franc\OneDrive\Documentos\MALENTIN KARIME\CESION\RESPALDO LUIS DIAZ\PODERES 2008\DELIA GUZMAN O. Aut. cónyuge vender.doc", "Abrir Documento")</f>
        <v>0</v>
      </c>
      <c r="D9566" t="s">
        <v>23500</v>
      </c>
      <c r="E9566" t="s">
        <v>32041</v>
      </c>
    </row>
    <row r="9567" spans="1:5">
      <c r="A9567" t="s">
        <v>6</v>
      </c>
      <c r="B9567" t="s">
        <v>9572</v>
      </c>
      <c r="C9567">
        <f>HYPERLINK("C:\Users\franc\OneDrive\Documentos\MALENTIN KARIME\CESION\RESPALDO LUIS DIAZ\PODERES 2008\DANIELA TRONCOSO Y OTRO p.p..doc", "Abrir Documento")</f>
        <v>0</v>
      </c>
      <c r="D9567" t="s">
        <v>23500</v>
      </c>
      <c r="E9567" t="s">
        <v>32042</v>
      </c>
    </row>
    <row r="9568" spans="1:5">
      <c r="A9568" t="s">
        <v>6</v>
      </c>
      <c r="B9568" t="s">
        <v>9573</v>
      </c>
      <c r="C9568">
        <f>HYPERLINK("C:\Users\franc\OneDrive\Documentos\MALENTIN KARIME\CESION\RESPALDO LUIS DIAZ\PODERES 2008\DANIELA TRONCOSO Y OT.doc", "Abrir Documento")</f>
        <v>0</v>
      </c>
      <c r="D9568" t="s">
        <v>23500</v>
      </c>
      <c r="E9568" t="s">
        <v>32043</v>
      </c>
    </row>
    <row r="9569" spans="1:5">
      <c r="A9569" t="s">
        <v>6</v>
      </c>
      <c r="B9569" t="s">
        <v>9574</v>
      </c>
      <c r="C9569">
        <f>HYPERLINK("C:\Users\franc\OneDrive\Documentos\MALENTIN KARIME\CESION\RESPALDO LUIS DIAZ\PODERES 2008\DANIEL RODRIGUEZ vender agua cóny..doc", "Abrir Documento")</f>
        <v>0</v>
      </c>
      <c r="D9569" t="s">
        <v>23500</v>
      </c>
      <c r="E9569" t="s">
        <v>32044</v>
      </c>
    </row>
    <row r="9570" spans="1:5">
      <c r="A9570" t="s">
        <v>6</v>
      </c>
      <c r="B9570" t="s">
        <v>9575</v>
      </c>
      <c r="C9570">
        <f>HYPERLINK("C:\Users\franc\OneDrive\Documentos\MALENTIN KARIME\CESION\RESPALDO LUIS DIAZ\PODERES 2008\CRISTIAN ITURRA SOBARZO.doc", "Abrir Documento")</f>
        <v>0</v>
      </c>
      <c r="D9570" t="s">
        <v>23500</v>
      </c>
      <c r="E9570" t="s">
        <v>32045</v>
      </c>
    </row>
    <row r="9571" spans="1:5">
      <c r="A9571" t="s">
        <v>6</v>
      </c>
      <c r="B9571" t="s">
        <v>9576</v>
      </c>
      <c r="C9571">
        <f>HYPERLINK("C:\Users\franc\OneDrive\Documentos\MALENTIN KARIME\CESION\RESPALDO LUIS DIAZ\PODERES 2008\CRISTIAN CUELLO ASCUETA.doc", "Abrir Documento")</f>
        <v>0</v>
      </c>
      <c r="D9571" t="s">
        <v>23500</v>
      </c>
      <c r="E9571" t="s">
        <v>32046</v>
      </c>
    </row>
    <row r="9572" spans="1:5">
      <c r="A9572" t="s">
        <v>6</v>
      </c>
      <c r="B9572" t="s">
        <v>9577</v>
      </c>
      <c r="C9572">
        <f>HYPERLINK("C:\Users\franc\OneDrive\Documentos\MALENTIN KARIME\CESION\RESPALDO LUIS DIAZ\PODERES 2008\CRISTIAN CASTILLO R. y Ots Dchos Hered.doc", "Abrir Documento")</f>
        <v>0</v>
      </c>
      <c r="D9572" t="s">
        <v>23500</v>
      </c>
      <c r="E9572" t="s">
        <v>32047</v>
      </c>
    </row>
    <row r="9573" spans="1:5">
      <c r="A9573" t="s">
        <v>6</v>
      </c>
      <c r="B9573" t="s">
        <v>9578</v>
      </c>
      <c r="C9573">
        <f>HYPERLINK("C:\Users\franc\OneDrive\Documentos\MALENTIN KARIME\CESION\RESPALDO LUIS DIAZ\PODERES 2008\COVALSA S.A. a JAIME NUÑEZ.doc", "Abrir Documento")</f>
        <v>0</v>
      </c>
      <c r="D9573" t="s">
        <v>23500</v>
      </c>
      <c r="E9573" t="s">
        <v>32048</v>
      </c>
    </row>
    <row r="9574" spans="1:5">
      <c r="A9574" t="s">
        <v>6</v>
      </c>
      <c r="B9574" t="s">
        <v>9579</v>
      </c>
      <c r="C9574">
        <f>HYPERLINK("C:\Users\franc\OneDrive\Documentos\MALENTIN KARIME\CESION\RESPALDO LUIS DIAZ\PODERES 2008\COVALSA CENTER a CLAUDIA G. Y.doc", "Abrir Documento")</f>
        <v>0</v>
      </c>
      <c r="D9574" t="s">
        <v>23500</v>
      </c>
      <c r="E9574" t="s">
        <v>32049</v>
      </c>
    </row>
    <row r="9575" spans="1:5">
      <c r="A9575" t="s">
        <v>6</v>
      </c>
      <c r="B9575" t="s">
        <v>9580</v>
      </c>
      <c r="C9575">
        <f>HYPERLINK("C:\Users\franc\OneDrive\Documentos\MALENTIN KARIME\CESION\RESPALDO LUIS DIAZ\PODERES 2008\COVALSA CENTER a CLAUDIA G. Y OTROS.doc", "Abrir Documento")</f>
        <v>0</v>
      </c>
      <c r="D9575" t="s">
        <v>23500</v>
      </c>
      <c r="E9575" t="s">
        <v>32050</v>
      </c>
    </row>
    <row r="9576" spans="1:5">
      <c r="A9576" t="s">
        <v>6</v>
      </c>
      <c r="B9576" t="s">
        <v>9581</v>
      </c>
      <c r="C9576">
        <f>HYPERLINK("C:\Users\franc\OneDrive\Documentos\MALENTIN KARIME\CESION\RESPALDO LUIS DIAZ\PODERES 2008\CONSTR. GUILLAVE LTD. a S. DABED.doc", "Abrir Documento")</f>
        <v>0</v>
      </c>
      <c r="D9576" t="s">
        <v>23500</v>
      </c>
      <c r="E9576" t="s">
        <v>32051</v>
      </c>
    </row>
    <row r="9577" spans="1:5">
      <c r="A9577" t="s">
        <v>6</v>
      </c>
      <c r="B9577" t="s">
        <v>9582</v>
      </c>
      <c r="C9577">
        <f>HYPERLINK("C:\Users\franc\OneDrive\Documentos\MALENTIN KARIME\CESION\RESPALDO LUIS DIAZ\PODERES 2008\COMAT LTDA. término de sociedad.doc", "Abrir Documento")</f>
        <v>0</v>
      </c>
      <c r="D9577" t="s">
        <v>23500</v>
      </c>
      <c r="E9577" t="s">
        <v>32052</v>
      </c>
    </row>
    <row r="9578" spans="1:5">
      <c r="A9578" t="s">
        <v>6</v>
      </c>
      <c r="B9578" t="s">
        <v>9583</v>
      </c>
      <c r="C9578">
        <f>HYPERLINK("C:\Users\franc\OneDrive\Documentos\MALENTIN KARIME\CESION\RESPALDO LUIS DIAZ\PODERES 2008\CLARISA CORTES P. Vender Dchos Hered..doc", "Abrir Documento")</f>
        <v>0</v>
      </c>
      <c r="D9578" t="s">
        <v>23500</v>
      </c>
      <c r="E9578" t="s">
        <v>32053</v>
      </c>
    </row>
    <row r="9579" spans="1:5">
      <c r="A9579" t="s">
        <v>6</v>
      </c>
      <c r="B9579" t="s">
        <v>9584</v>
      </c>
      <c r="C9579">
        <f>HYPERLINK("C:\Users\franc\OneDrive\Documentos\MALENTIN KARIME\CESION\RESPALDO LUIS DIAZ\PODERES 2008\CLARA CONEJEROS R. Mandato.doc", "Abrir Documento")</f>
        <v>0</v>
      </c>
      <c r="D9579" t="s">
        <v>23500</v>
      </c>
      <c r="E9579" t="s">
        <v>32054</v>
      </c>
    </row>
    <row r="9580" spans="1:5">
      <c r="A9580" t="s">
        <v>6</v>
      </c>
      <c r="B9580" t="s">
        <v>9585</v>
      </c>
      <c r="C9580">
        <f>HYPERLINK("C:\Users\franc\OneDrive\Documentos\MALENTIN KARIME\CESION\RESPALDO LUIS DIAZ\PODERES 2008\CIA. MINERA PUNITAQUI.doc", "Abrir Documento")</f>
        <v>0</v>
      </c>
      <c r="D9580" t="s">
        <v>23500</v>
      </c>
      <c r="E9580" t="s">
        <v>32055</v>
      </c>
    </row>
    <row r="9581" spans="1:5">
      <c r="A9581" t="s">
        <v>6</v>
      </c>
      <c r="B9581" t="s">
        <v>9586</v>
      </c>
      <c r="C9581">
        <f>HYPERLINK("C:\Users\franc\OneDrive\Documentos\MALENTIN KARIME\CESION\RESPALDO LUIS DIAZ\PODERES 2008\CIA. MINERA PUNITAQUI SCM.doc", "Abrir Documento")</f>
        <v>0</v>
      </c>
      <c r="D9581" t="s">
        <v>23500</v>
      </c>
      <c r="E9581" t="s">
        <v>32056</v>
      </c>
    </row>
    <row r="9582" spans="1:5">
      <c r="A9582" t="s">
        <v>6</v>
      </c>
      <c r="B9582" t="s">
        <v>9587</v>
      </c>
      <c r="C9582">
        <f>HYPERLINK("C:\Users\franc\OneDrive\Documentos\MALENTIN KARIME\CESION\RESPALDO LUIS DIAZ\PODERES 2008\CIA. MINERA PUNITAQUI Delegac..doc", "Abrir Documento")</f>
        <v>0</v>
      </c>
      <c r="D9582" t="s">
        <v>23500</v>
      </c>
      <c r="E9582" t="s">
        <v>32057</v>
      </c>
    </row>
    <row r="9583" spans="1:5">
      <c r="A9583" t="s">
        <v>6</v>
      </c>
      <c r="B9583" t="s">
        <v>9588</v>
      </c>
      <c r="C9583">
        <f>HYPERLINK("C:\Users\franc\OneDrive\Documentos\MALENTIN KARIME\CESION\RESPALDO LUIS DIAZ\PODERES 2008\CIA. MINERA POTRERILLOS a D. CRUZ.doc", "Abrir Documento")</f>
        <v>0</v>
      </c>
      <c r="D9583" t="s">
        <v>23500</v>
      </c>
      <c r="E9583" t="s">
        <v>32058</v>
      </c>
    </row>
    <row r="9584" spans="1:5">
      <c r="A9584" t="s">
        <v>6</v>
      </c>
      <c r="B9584" t="s">
        <v>9589</v>
      </c>
      <c r="C9584">
        <f>HYPERLINK("C:\Users\franc\OneDrive\Documentos\MALENTIN KARIME\CESION\RESPALDO LUIS DIAZ\PODERES 2008\CIA. MINERA DEMETRIO TELLO.doc", "Abrir Documento")</f>
        <v>0</v>
      </c>
      <c r="D9584" t="s">
        <v>23500</v>
      </c>
      <c r="E9584" t="s">
        <v>32059</v>
      </c>
    </row>
    <row r="9585" spans="1:5">
      <c r="A9585" t="s">
        <v>6</v>
      </c>
      <c r="B9585" t="s">
        <v>9590</v>
      </c>
      <c r="C9585">
        <f>HYPERLINK("C:\Users\franc\OneDrive\Documentos\MALENTIN KARIME\CESION\RESPALDO LUIS DIAZ\PODERES 2008\CHARLES JACOBSTHAL Talonarios.doc", "Abrir Documento")</f>
        <v>0</v>
      </c>
      <c r="D9585" t="s">
        <v>23500</v>
      </c>
      <c r="E9585" t="s">
        <v>32060</v>
      </c>
    </row>
    <row r="9586" spans="1:5">
      <c r="A9586" t="s">
        <v>6</v>
      </c>
      <c r="B9586" t="s">
        <v>9591</v>
      </c>
      <c r="C9586">
        <f>HYPERLINK("C:\Users\franc\OneDrive\Documentos\MALENTIN KARIME\CESION\RESPALDO LUIS DIAZ\PODERES 2008\CESAR ROBLES ESPINOZA (B.CHile).doc", "Abrir Documento")</f>
        <v>0</v>
      </c>
      <c r="D9586" t="s">
        <v>23500</v>
      </c>
      <c r="E9586" t="s">
        <v>32061</v>
      </c>
    </row>
    <row r="9587" spans="1:5">
      <c r="A9587" t="s">
        <v>6</v>
      </c>
      <c r="B9587" t="s">
        <v>9592</v>
      </c>
      <c r="C9587">
        <f>HYPERLINK("C:\Users\franc\OneDrive\Documentos\MALENTIN KARIME\CESION\RESPALDO LUIS DIAZ\PODERES 2008\CESAR MIRANDA Chq. Capel.doc", "Abrir Documento")</f>
        <v>0</v>
      </c>
      <c r="D9587" t="s">
        <v>23500</v>
      </c>
      <c r="E9587" t="s">
        <v>32062</v>
      </c>
    </row>
    <row r="9588" spans="1:5">
      <c r="A9588" t="s">
        <v>6</v>
      </c>
      <c r="B9588" t="s">
        <v>9593</v>
      </c>
      <c r="C9588">
        <f>HYPERLINK("C:\Users\franc\OneDrive\Documentos\MALENTIN KARIME\CESION\RESPALDO LUIS DIAZ\PODERES 2008\CESAR MELO MELO. Cobrar SEJ..doc", "Abrir Documento")</f>
        <v>0</v>
      </c>
      <c r="D9588" t="s">
        <v>23500</v>
      </c>
      <c r="E9588" t="s">
        <v>32063</v>
      </c>
    </row>
    <row r="9589" spans="1:5">
      <c r="A9589" t="s">
        <v>6</v>
      </c>
      <c r="B9589" t="s">
        <v>9594</v>
      </c>
      <c r="C9589">
        <f>HYPERLINK("C:\Users\franc\OneDrive\Documentos\MALENTIN KARIME\CESION\RESPALDO LUIS DIAZ\PODERES 2008\CEGECAP LTDA. a CAROLA BARRAZA.doc", "Abrir Documento")</f>
        <v>0</v>
      </c>
      <c r="D9589" t="s">
        <v>23500</v>
      </c>
      <c r="E9589" t="s">
        <v>32064</v>
      </c>
    </row>
    <row r="9590" spans="1:5">
      <c r="A9590" t="s">
        <v>6</v>
      </c>
      <c r="B9590" t="s">
        <v>9595</v>
      </c>
      <c r="C9590">
        <f>HYPERLINK("C:\Users\franc\OneDrive\Documentos\MALENTIN KARIME\CESION\RESPALDO LUIS DIAZ\PODERES 2008\CECILIA MICHEA TAPIA Vender.doc", "Abrir Documento")</f>
        <v>0</v>
      </c>
      <c r="D9590" t="s">
        <v>23500</v>
      </c>
      <c r="E9590" t="s">
        <v>32065</v>
      </c>
    </row>
    <row r="9591" spans="1:5">
      <c r="A9591" t="s">
        <v>6</v>
      </c>
      <c r="B9591" t="s">
        <v>9596</v>
      </c>
      <c r="C9591">
        <f>HYPERLINK("C:\Users\franc\OneDrive\Documentos\MALENTIN KARIME\CESION\RESPALDO LUIS DIAZ\PODERES 2008\CAROLINA GONZALEZ R. Y OTS. Cheque CAPEL.doc", "Abrir Documento")</f>
        <v>0</v>
      </c>
      <c r="D9591" t="s">
        <v>23500</v>
      </c>
      <c r="E9591" t="s">
        <v>32066</v>
      </c>
    </row>
    <row r="9592" spans="1:5">
      <c r="A9592" t="s">
        <v>6</v>
      </c>
      <c r="B9592" t="s">
        <v>9597</v>
      </c>
      <c r="C9592">
        <f>HYPERLINK("C:\Users\franc\OneDrive\Documentos\MALENTIN KARIME\CESION\RESPALDO LUIS DIAZ\PODERES 2008\CAROLINA CASTILLO C. para Comprar.doc", "Abrir Documento")</f>
        <v>0</v>
      </c>
      <c r="D9592" t="s">
        <v>23500</v>
      </c>
      <c r="E9592" t="s">
        <v>32067</v>
      </c>
    </row>
    <row r="9593" spans="1:5">
      <c r="A9593" t="s">
        <v>6</v>
      </c>
      <c r="B9593" t="s">
        <v>9598</v>
      </c>
      <c r="C9593">
        <f>HYPERLINK("C:\Users\franc\OneDrive\Documentos\MALENTIN KARIME\CESION\RESPALDO LUIS DIAZ\PODERES 2008\CARMEN ROJAS V. Y OTS. Cheq CAPEL.doc", "Abrir Documento")</f>
        <v>0</v>
      </c>
      <c r="D9593" t="s">
        <v>23500</v>
      </c>
      <c r="E9593" t="s">
        <v>32068</v>
      </c>
    </row>
    <row r="9594" spans="1:5">
      <c r="A9594" t="s">
        <v>6</v>
      </c>
      <c r="B9594" t="s">
        <v>9599</v>
      </c>
      <c r="C9594">
        <f>HYPERLINK("C:\Users\franc\OneDrive\Documentos\MALENTIN KARIME\CESION\RESPALDO LUIS DIAZ\PODERES 2008\CARMEN ORDENES ZULETA Corporación.doc", "Abrir Documento")</f>
        <v>0</v>
      </c>
      <c r="D9594" t="s">
        <v>23500</v>
      </c>
      <c r="E9594" t="s">
        <v>32069</v>
      </c>
    </row>
    <row r="9595" spans="1:5">
      <c r="A9595" t="s">
        <v>6</v>
      </c>
      <c r="B9595" t="s">
        <v>9600</v>
      </c>
      <c r="C9595">
        <f>HYPERLINK("C:\Users\franc\OneDrive\Documentos\MALENTIN KARIME\CESION\RESPALDO LUIS DIAZ\PODERES 2008\CARMEN ARAYA V. Y OTRA Adm. Indiviso.doc", "Abrir Documento")</f>
        <v>0</v>
      </c>
      <c r="D9595" t="s">
        <v>23500</v>
      </c>
      <c r="E9595" t="s">
        <v>32070</v>
      </c>
    </row>
    <row r="9596" spans="1:5">
      <c r="A9596" t="s">
        <v>6</v>
      </c>
      <c r="B9596" t="s">
        <v>9601</v>
      </c>
      <c r="C9596">
        <f>HYPERLINK("C:\Users\franc\OneDrive\Documentos\MALENTIN KARIME\CESION\RESPALDO LUIS DIAZ\PODERES 2008\CARLOS URBINA M. CTA.CTE..doc", "Abrir Documento")</f>
        <v>0</v>
      </c>
      <c r="D9596" t="s">
        <v>23500</v>
      </c>
      <c r="E9596" t="s">
        <v>32071</v>
      </c>
    </row>
    <row r="9597" spans="1:5">
      <c r="A9597" t="s">
        <v>6</v>
      </c>
      <c r="B9597" t="s">
        <v>9602</v>
      </c>
      <c r="C9597">
        <f>HYPERLINK("C:\Users\franc\OneDrive\Documentos\MALENTIN KARIME\CESION\RESPALDO LUIS DIAZ\PODERES 2008\CARLOS TREVERTON Y OT. a FIDEL TREVERTON.doc", "Abrir Documento")</f>
        <v>0</v>
      </c>
      <c r="D9597" t="s">
        <v>23500</v>
      </c>
      <c r="E9597" t="s">
        <v>32072</v>
      </c>
    </row>
    <row r="9598" spans="1:5">
      <c r="A9598" t="s">
        <v>6</v>
      </c>
      <c r="B9598" t="s">
        <v>9603</v>
      </c>
      <c r="C9598">
        <f>HYPERLINK("C:\Users\franc\OneDrive\Documentos\MALENTIN KARIME\CESION\RESPALDO LUIS DIAZ\PODERES 2008\CARLOS RAFFO J. Y OTRO Revoc..doc", "Abrir Documento")</f>
        <v>0</v>
      </c>
      <c r="D9598" t="s">
        <v>23500</v>
      </c>
      <c r="E9598" t="s">
        <v>32073</v>
      </c>
    </row>
    <row r="9599" spans="1:5">
      <c r="A9599" t="s">
        <v>6</v>
      </c>
      <c r="B9599" t="s">
        <v>9604</v>
      </c>
      <c r="C9599">
        <f>HYPERLINK("C:\Users\franc\OneDrive\Documentos\MALENTIN KARIME\CESION\RESPALDO LUIS DIAZ\PODERES 2008\CARLOS PONCE GARCIA Vender Mina.doc", "Abrir Documento")</f>
        <v>0</v>
      </c>
      <c r="D9599" t="s">
        <v>23500</v>
      </c>
      <c r="E9599" t="s">
        <v>32074</v>
      </c>
    </row>
    <row r="9600" spans="1:5">
      <c r="A9600" t="s">
        <v>6</v>
      </c>
      <c r="B9600" t="s">
        <v>9605</v>
      </c>
      <c r="C9600">
        <f>HYPERLINK("C:\Users\franc\OneDrive\Documentos\MALENTIN KARIME\CESION\RESPALDO LUIS DIAZ\PODERES 2008\CARLOS CARVAJAL CH. Cheqs CAPEL voz y voto.doc", "Abrir Documento")</f>
        <v>0</v>
      </c>
      <c r="D9600" t="s">
        <v>23500</v>
      </c>
      <c r="E9600" t="s">
        <v>32075</v>
      </c>
    </row>
    <row r="9601" spans="1:5">
      <c r="A9601" t="s">
        <v>6</v>
      </c>
      <c r="B9601" t="s">
        <v>9606</v>
      </c>
      <c r="C9601">
        <f>HYPERLINK("C:\Users\franc\OneDrive\Documentos\MALENTIN KARIME\CESION\RESPALDO LUIS DIAZ\PODERES 2008\BLAS ARAYA SIERRA.doc", "Abrir Documento")</f>
        <v>0</v>
      </c>
      <c r="D9601" t="s">
        <v>23500</v>
      </c>
      <c r="E9601" t="s">
        <v>32076</v>
      </c>
    </row>
    <row r="9602" spans="1:5">
      <c r="A9602" t="s">
        <v>6</v>
      </c>
      <c r="B9602" t="s">
        <v>9607</v>
      </c>
      <c r="C9602">
        <f>HYPERLINK("C:\Users\franc\OneDrive\Documentos\MALENTIN KARIME\CESION\RESPALDO LUIS DIAZ\PODERES 2008\BLANCA VALDES C. Mandato.doc", "Abrir Documento")</f>
        <v>0</v>
      </c>
      <c r="D9602" t="s">
        <v>23500</v>
      </c>
      <c r="E9602" t="s">
        <v>32077</v>
      </c>
    </row>
    <row r="9603" spans="1:5">
      <c r="A9603" t="s">
        <v>6</v>
      </c>
      <c r="B9603" t="s">
        <v>9608</v>
      </c>
      <c r="C9603">
        <f>HYPERLINK("C:\Users\franc\OneDrive\Documentos\MALENTIN KARIME\CESION\RESPALDO LUIS DIAZ\PODERES 2008\BERNARDO MUÑOZ CORTES Chq. Capel.doc", "Abrir Documento")</f>
        <v>0</v>
      </c>
      <c r="D9603" t="s">
        <v>23500</v>
      </c>
      <c r="E9603" t="s">
        <v>32078</v>
      </c>
    </row>
    <row r="9604" spans="1:5">
      <c r="A9604" t="s">
        <v>6</v>
      </c>
      <c r="B9604" t="s">
        <v>9609</v>
      </c>
      <c r="C9604">
        <f>HYPERLINK("C:\Users\franc\OneDrive\Documentos\MALENTIN KARIME\CESION\RESPALDO LUIS DIAZ\PODERES 2008\BERNARDO MUÑOZ C. Chq. Capel.doc", "Abrir Documento")</f>
        <v>0</v>
      </c>
      <c r="D9604" t="s">
        <v>23500</v>
      </c>
      <c r="E9604" t="s">
        <v>32079</v>
      </c>
    </row>
    <row r="9605" spans="1:5">
      <c r="A9605" t="s">
        <v>6</v>
      </c>
      <c r="B9605" t="s">
        <v>9610</v>
      </c>
      <c r="C9605">
        <f>HYPERLINK("C:\Users\franc\OneDrive\Documentos\MALENTIN KARIME\CESION\RESPALDO LUIS DIAZ\PODERES 2008\BERNARDO ESCOBAR S. Y OTS. vender.doc", "Abrir Documento")</f>
        <v>0</v>
      </c>
      <c r="D9605" t="s">
        <v>23500</v>
      </c>
      <c r="E9605" t="s">
        <v>32080</v>
      </c>
    </row>
    <row r="9606" spans="1:5">
      <c r="A9606" t="s">
        <v>6</v>
      </c>
      <c r="B9606" t="s">
        <v>9611</v>
      </c>
      <c r="C9606">
        <f>HYPERLINK("C:\Users\franc\OneDrive\Documentos\MALENTIN KARIME\CESION\RESPALDO LUIS DIAZ\PODERES 2008\BERNARDO ANGEL C. Y OTS. a M. INES NUÑEZ.doc", "Abrir Documento")</f>
        <v>0</v>
      </c>
      <c r="D9606" t="s">
        <v>23500</v>
      </c>
      <c r="E9606" t="s">
        <v>32081</v>
      </c>
    </row>
    <row r="9607" spans="1:5">
      <c r="A9607" t="s">
        <v>6</v>
      </c>
      <c r="B9607" t="s">
        <v>9612</v>
      </c>
      <c r="C9607">
        <f>HYPERLINK("C:\Users\franc\OneDrive\Documentos\MALENTIN KARIME\CESION\RESPALDO LUIS DIAZ\PODERES 2008\AUGUSTO GARCIA P. Y OT. a XIMENA GARCIA.doc", "Abrir Documento")</f>
        <v>0</v>
      </c>
      <c r="D9607" t="s">
        <v>23500</v>
      </c>
      <c r="E9607" t="s">
        <v>32082</v>
      </c>
    </row>
    <row r="9608" spans="1:5">
      <c r="A9608" t="s">
        <v>6</v>
      </c>
      <c r="B9608" t="s">
        <v>9613</v>
      </c>
      <c r="C9608">
        <f>HYPERLINK("C:\Users\franc\OneDrive\Documentos\MALENTIN KARIME\CESION\RESPALDO LUIS DIAZ\PODERES 2008\ARTURO VALENZUELA VEGA Vender.doc", "Abrir Documento")</f>
        <v>0</v>
      </c>
      <c r="D9608" t="s">
        <v>23500</v>
      </c>
      <c r="E9608" t="s">
        <v>32083</v>
      </c>
    </row>
    <row r="9609" spans="1:5">
      <c r="A9609" t="s">
        <v>6</v>
      </c>
      <c r="B9609" t="s">
        <v>9614</v>
      </c>
      <c r="C9609">
        <f>HYPERLINK("C:\Users\franc\OneDrive\Documentos\MALENTIN KARIME\CESION\RESPALDO LUIS DIAZ\PODERES 2008\ARTURO GONZALEZ M. y otra.doc", "Abrir Documento")</f>
        <v>0</v>
      </c>
      <c r="D9609" t="s">
        <v>23500</v>
      </c>
      <c r="E9609" t="s">
        <v>32084</v>
      </c>
    </row>
    <row r="9610" spans="1:5">
      <c r="A9610" t="s">
        <v>6</v>
      </c>
      <c r="B9610" t="s">
        <v>9615</v>
      </c>
      <c r="C9610">
        <f>HYPERLINK("C:\Users\franc\OneDrive\Documentos\MALENTIN KARIME\CESION\RESPALDO LUIS DIAZ\PODERES 2008\ARTURO BAEZ C. Firmar Soc..doc", "Abrir Documento")</f>
        <v>0</v>
      </c>
      <c r="D9610" t="s">
        <v>23500</v>
      </c>
      <c r="E9610" t="s">
        <v>32085</v>
      </c>
    </row>
    <row r="9611" spans="1:5">
      <c r="A9611" t="s">
        <v>6</v>
      </c>
      <c r="B9611" t="s">
        <v>9616</v>
      </c>
      <c r="C9611">
        <f>HYPERLINK("C:\Users\franc\OneDrive\Documentos\MALENTIN KARIME\CESION\RESPALDO LUIS DIAZ\PODERES 2008\ARTEMIO ALVARADO C..doc", "Abrir Documento")</f>
        <v>0</v>
      </c>
      <c r="D9611" t="s">
        <v>23500</v>
      </c>
      <c r="E9611" t="s">
        <v>32086</v>
      </c>
    </row>
    <row r="9612" spans="1:5">
      <c r="A9612" t="s">
        <v>6</v>
      </c>
      <c r="B9612" t="s">
        <v>9617</v>
      </c>
      <c r="C9612">
        <f>HYPERLINK("C:\Users\franc\OneDrive\Documentos\MALENTIN KARIME\CESION\RESPALDO LUIS DIAZ\PODERES 2008\ARMANDO DIAZ Chq. CAPEL.doc", "Abrir Documento")</f>
        <v>0</v>
      </c>
      <c r="D9612" t="s">
        <v>23500</v>
      </c>
      <c r="E9612" t="s">
        <v>32087</v>
      </c>
    </row>
    <row r="9613" spans="1:5">
      <c r="A9613" t="s">
        <v>6</v>
      </c>
      <c r="B9613" t="s">
        <v>9618</v>
      </c>
      <c r="C9613">
        <f>HYPERLINK("C:\Users\franc\OneDrive\Documentos\MALENTIN KARIME\CESION\RESPALDO LUIS DIAZ\PODERES 2008\ARISMENIA DEL C. ROJAS vender.doc", "Abrir Documento")</f>
        <v>0</v>
      </c>
      <c r="D9613" t="s">
        <v>23500</v>
      </c>
      <c r="E9613" t="s">
        <v>32088</v>
      </c>
    </row>
    <row r="9614" spans="1:5">
      <c r="A9614" t="s">
        <v>6</v>
      </c>
      <c r="B9614" t="s">
        <v>9619</v>
      </c>
      <c r="C9614">
        <f>HYPERLINK("C:\Users\franc\OneDrive\Documentos\MALENTIN KARIME\CESION\RESPALDO LUIS DIAZ\PODERES 2008\ANJELINA TREVERTON a HENIO CONTRERAS.doc", "Abrir Documento")</f>
        <v>0</v>
      </c>
      <c r="D9614" t="s">
        <v>23500</v>
      </c>
      <c r="E9614" t="s">
        <v>32089</v>
      </c>
    </row>
    <row r="9615" spans="1:5">
      <c r="A9615" t="s">
        <v>6</v>
      </c>
      <c r="B9615" t="s">
        <v>9620</v>
      </c>
      <c r="C9615">
        <f>HYPERLINK("C:\Users\franc\OneDrive\Documentos\MALENTIN KARIME\CESION\RESPALDO LUIS DIAZ\PODERES 2008\ANGEL CASTILLO C. Chq.Panulcillo.doc", "Abrir Documento")</f>
        <v>0</v>
      </c>
      <c r="D9615" t="s">
        <v>23500</v>
      </c>
      <c r="E9615" t="s">
        <v>32090</v>
      </c>
    </row>
    <row r="9616" spans="1:5">
      <c r="A9616" t="s">
        <v>6</v>
      </c>
      <c r="B9616" t="s">
        <v>9621</v>
      </c>
      <c r="C9616">
        <f>HYPERLINK("C:\Users\franc\OneDrive\Documentos\MALENTIN KARIME\CESION\RESPALDO LUIS DIAZ\PODERES 2008\ANDRES FUENTEALBA S. modificar sociedad.doc", "Abrir Documento")</f>
        <v>0</v>
      </c>
      <c r="D9616" t="s">
        <v>23500</v>
      </c>
      <c r="E9616" t="s">
        <v>32091</v>
      </c>
    </row>
    <row r="9617" spans="1:5">
      <c r="A9617" t="s">
        <v>6</v>
      </c>
      <c r="B9617" t="s">
        <v>9622</v>
      </c>
      <c r="C9617">
        <f>HYPERLINK("C:\Users\franc\OneDrive\Documentos\MALENTIN KARIME\CESION\RESPALDO LUIS DIAZ\PODERES 2008\ANDRES FUENTEALBA Modif. Soc. y Vender Acc..doc", "Abrir Documento")</f>
        <v>0</v>
      </c>
      <c r="D9617" t="s">
        <v>23500</v>
      </c>
      <c r="E9617" t="s">
        <v>32092</v>
      </c>
    </row>
    <row r="9618" spans="1:5">
      <c r="A9618" t="s">
        <v>6</v>
      </c>
      <c r="B9618" t="s">
        <v>9623</v>
      </c>
      <c r="C9618">
        <f>HYPERLINK("C:\Users\franc\OneDrive\Documentos\MALENTIN KARIME\CESION\RESPALDO LUIS DIAZ\PODERES 2008\ANA OSORIO GODOY a SELIM DABED.doc", "Abrir Documento")</f>
        <v>0</v>
      </c>
      <c r="D9618" t="s">
        <v>23500</v>
      </c>
      <c r="E9618" t="s">
        <v>32093</v>
      </c>
    </row>
    <row r="9619" spans="1:5">
      <c r="A9619" t="s">
        <v>6</v>
      </c>
      <c r="B9619" t="s">
        <v>9624</v>
      </c>
      <c r="C9619">
        <f>HYPERLINK("C:\Users\franc\OneDrive\Documentos\MALENTIN KARIME\CESION\RESPALDO LUIS DIAZ\PODERES 2008\ANA MARIA OSORIO a S. DABED.doc", "Abrir Documento")</f>
        <v>0</v>
      </c>
      <c r="D9619" t="s">
        <v>23500</v>
      </c>
      <c r="E9619" t="s">
        <v>32094</v>
      </c>
    </row>
    <row r="9620" spans="1:5">
      <c r="A9620" t="s">
        <v>6</v>
      </c>
      <c r="B9620" t="s">
        <v>9625</v>
      </c>
      <c r="C9620">
        <f>HYPERLINK("C:\Users\franc\OneDrive\Documentos\MALENTIN KARIME\CESION\RESPALDO LUIS DIAZ\PODERES 2008\ANA MARIA OSORIO a S. DABED 2010.doc", "Abrir Documento")</f>
        <v>0</v>
      </c>
      <c r="D9620" t="s">
        <v>23500</v>
      </c>
      <c r="E9620" t="s">
        <v>32095</v>
      </c>
    </row>
    <row r="9621" spans="1:5">
      <c r="A9621" t="s">
        <v>6</v>
      </c>
      <c r="B9621" t="s">
        <v>9626</v>
      </c>
      <c r="C9621">
        <f>HYPERLINK("C:\Users\franc\OneDrive\Documentos\MALENTIN KARIME\CESION\RESPALDO LUIS DIAZ\PODERES 2008\ANA MARIA BOU E.I.R.L. Mand. Adm..doc", "Abrir Documento")</f>
        <v>0</v>
      </c>
      <c r="D9621" t="s">
        <v>23500</v>
      </c>
      <c r="E9621" t="s">
        <v>32096</v>
      </c>
    </row>
    <row r="9622" spans="1:5">
      <c r="A9622" t="s">
        <v>6</v>
      </c>
      <c r="B9622" t="s">
        <v>9627</v>
      </c>
      <c r="C9622">
        <f>HYPERLINK("C:\Users\franc\OneDrive\Documentos\MALENTIN KARIME\CESION\RESPALDO LUIS DIAZ\PODERES 2008\ANA CISTERNAS Vender IV-2.doc", "Abrir Documento")</f>
        <v>0</v>
      </c>
      <c r="D9622" t="s">
        <v>23500</v>
      </c>
      <c r="E9622" t="s">
        <v>32097</v>
      </c>
    </row>
    <row r="9623" spans="1:5">
      <c r="A9623" t="s">
        <v>6</v>
      </c>
      <c r="B9623" t="s">
        <v>9628</v>
      </c>
      <c r="C9623">
        <f>HYPERLINK("C:\Users\franc\OneDrive\Documentos\MALENTIN KARIME\CESION\RESPALDO LUIS DIAZ\PODERES 2008\AMINTA ROJAS M. Mand. Adm..doc", "Abrir Documento")</f>
        <v>0</v>
      </c>
      <c r="D9623" t="s">
        <v>23500</v>
      </c>
      <c r="E9623" t="s">
        <v>32098</v>
      </c>
    </row>
    <row r="9624" spans="1:5">
      <c r="A9624" t="s">
        <v>6</v>
      </c>
      <c r="B9624" t="s">
        <v>9629</v>
      </c>
      <c r="C9624">
        <f>HYPERLINK("C:\Users\franc\OneDrive\Documentos\MALENTIN KARIME\CESION\RESPALDO LUIS DIAZ\PODERES 2008\AMADOR DIAZ E. Aut. a cónyuge.doc", "Abrir Documento")</f>
        <v>0</v>
      </c>
      <c r="D9624" t="s">
        <v>23500</v>
      </c>
      <c r="E9624" t="s">
        <v>32099</v>
      </c>
    </row>
    <row r="9625" spans="1:5">
      <c r="A9625" t="s">
        <v>6</v>
      </c>
      <c r="B9625" t="s">
        <v>9630</v>
      </c>
      <c r="C9625">
        <f>HYPERLINK("C:\Users\franc\OneDrive\Documentos\MALENTIN KARIME\CESION\RESPALDO LUIS DIAZ\PODERES 2008\ALICIA CUEVAS SCH. a SELIM DABED.doc", "Abrir Documento")</f>
        <v>0</v>
      </c>
      <c r="D9625" t="s">
        <v>23500</v>
      </c>
      <c r="E9625" t="s">
        <v>32100</v>
      </c>
    </row>
    <row r="9626" spans="1:5">
      <c r="A9626" t="s">
        <v>6</v>
      </c>
      <c r="B9626" t="s">
        <v>9631</v>
      </c>
      <c r="C9626">
        <f>HYPERLINK("C:\Users\franc\OneDrive\Documentos\MALENTIN KARIME\CESION\RESPALDO LUIS DIAZ\PODERES 2008\ALICIA CUEVAS SCH. a S. DABED IV.doc", "Abrir Documento")</f>
        <v>0</v>
      </c>
      <c r="D9626" t="s">
        <v>23500</v>
      </c>
      <c r="E9626" t="s">
        <v>32101</v>
      </c>
    </row>
    <row r="9627" spans="1:5">
      <c r="A9627" t="s">
        <v>6</v>
      </c>
      <c r="B9627" t="s">
        <v>9632</v>
      </c>
      <c r="C9627">
        <f>HYPERLINK("C:\Users\franc\OneDrive\Documentos\MALENTIN KARIME\CESION\RESPALDO LUIS DIAZ\PODERES 2008\ALICIA CUEVAS SCH. a S. DABED III.doc", "Abrir Documento")</f>
        <v>0</v>
      </c>
      <c r="D9627" t="s">
        <v>23500</v>
      </c>
      <c r="E9627" t="s">
        <v>32102</v>
      </c>
    </row>
    <row r="9628" spans="1:5">
      <c r="A9628" t="s">
        <v>6</v>
      </c>
      <c r="B9628" t="s">
        <v>9633</v>
      </c>
      <c r="C9628">
        <f>HYPERLINK("C:\Users\franc\OneDrive\Documentos\MALENTIN KARIME\CESION\RESPALDO LUIS DIAZ\PODERES 2008\ALICIA CUEVAS S. a SELIM DABED.doc", "Abrir Documento")</f>
        <v>0</v>
      </c>
      <c r="D9628" t="s">
        <v>23500</v>
      </c>
      <c r="E9628" t="s">
        <v>32103</v>
      </c>
    </row>
    <row r="9629" spans="1:5">
      <c r="A9629" t="s">
        <v>6</v>
      </c>
      <c r="B9629" t="s">
        <v>9634</v>
      </c>
      <c r="C9629">
        <f>HYPERLINK("C:\Users\franc\OneDrive\Documentos\MALENTIN KARIME\CESION\RESPALDO LUIS DIAZ\PODERES 2008\ALICIA CUEVAS a JORGE RAMIREZ.doc", "Abrir Documento")</f>
        <v>0</v>
      </c>
      <c r="D9629" t="s">
        <v>23500</v>
      </c>
      <c r="E9629" t="s">
        <v>32104</v>
      </c>
    </row>
    <row r="9630" spans="1:5">
      <c r="A9630" t="s">
        <v>6</v>
      </c>
      <c r="B9630" t="s">
        <v>9635</v>
      </c>
      <c r="C9630">
        <f>HYPERLINK("C:\Users\franc\OneDrive\Documentos\MALENTIN KARIME\CESION\RESPALDO LUIS DIAZ\PODERES 2008\ALEJANDRO ORTIZ O. Chq.Panulcillo.doc", "Abrir Documento")</f>
        <v>0</v>
      </c>
      <c r="D9630" t="s">
        <v>23500</v>
      </c>
      <c r="E9630" t="s">
        <v>32105</v>
      </c>
    </row>
    <row r="9631" spans="1:5">
      <c r="A9631" t="s">
        <v>6</v>
      </c>
      <c r="B9631" t="s">
        <v>9636</v>
      </c>
      <c r="C9631">
        <f>HYPERLINK("C:\Users\franc\OneDrive\Documentos\MALENTIN KARIME\CESION\RESPALDO LUIS DIAZ\PODERES 2008\ALDO EGAÑA L. a HUGO VEGA S.I.I..doc", "Abrir Documento")</f>
        <v>0</v>
      </c>
      <c r="D9631" t="s">
        <v>23500</v>
      </c>
      <c r="E9631" t="s">
        <v>32106</v>
      </c>
    </row>
    <row r="9632" spans="1:5">
      <c r="A9632" t="s">
        <v>6</v>
      </c>
      <c r="B9632" t="s">
        <v>9637</v>
      </c>
      <c r="C9632">
        <f>HYPERLINK("C:\Users\franc\OneDrive\Documentos\MALENTIN KARIME\CESION\RESPALDO LUIS DIAZ\PODERES 2008\AGRONOBLE S.A. a JUAN JIMENEZ.doc", "Abrir Documento")</f>
        <v>0</v>
      </c>
      <c r="D9632" t="s">
        <v>23500</v>
      </c>
      <c r="E9632" t="s">
        <v>32107</v>
      </c>
    </row>
    <row r="9633" spans="1:5">
      <c r="A9633" t="s">
        <v>6</v>
      </c>
      <c r="B9633" t="s">
        <v>9638</v>
      </c>
      <c r="C9633">
        <f>HYPERLINK("C:\Users\franc\OneDrive\Documentos\MALENTIN KARIME\CESION\RESPALDO LUIS DIAZ\PODERES 2008\AGRIC. SAN LORENZO.doc", "Abrir Documento")</f>
        <v>0</v>
      </c>
      <c r="D9633" t="s">
        <v>23500</v>
      </c>
      <c r="E9633" t="s">
        <v>32108</v>
      </c>
    </row>
    <row r="9634" spans="1:5">
      <c r="A9634" t="s">
        <v>6</v>
      </c>
      <c r="B9634" t="s">
        <v>9639</v>
      </c>
      <c r="C9634">
        <f>HYPERLINK("C:\Users\franc\OneDrive\Documentos\MALENTIN KARIME\CESION\RESPALDO LUIS DIAZ\PODERES 2008\AGRIC. GONAGRO a JESUS CHIRINO.doc", "Abrir Documento")</f>
        <v>0</v>
      </c>
      <c r="D9634" t="s">
        <v>23500</v>
      </c>
      <c r="E9634" t="s">
        <v>32109</v>
      </c>
    </row>
    <row r="9635" spans="1:5">
      <c r="A9635" t="s">
        <v>6</v>
      </c>
      <c r="B9635" t="s">
        <v>9640</v>
      </c>
      <c r="C9635">
        <f>HYPERLINK("C:\Users\franc\OneDrive\Documentos\MALENTIN KARIME\CESION\RESPALDO LUIS DIAZ\PODERES 2008\AGR. MAPAL LTDA. a LUIS ASENJO Revocación.doc", "Abrir Documento")</f>
        <v>0</v>
      </c>
      <c r="D9635" t="s">
        <v>23500</v>
      </c>
      <c r="E9635" t="s">
        <v>32110</v>
      </c>
    </row>
    <row r="9636" spans="1:5">
      <c r="A9636" t="s">
        <v>6</v>
      </c>
      <c r="B9636" t="s">
        <v>9641</v>
      </c>
      <c r="C9636">
        <f>HYPERLINK("C:\Users\franc\OneDrive\Documentos\MALENTIN KARIME\CESION\RESPALDO LUIS DIAZ\PODERES 2008\AGAPITO CASTILLO Revocacion.doc", "Abrir Documento")</f>
        <v>0</v>
      </c>
      <c r="D9636" t="s">
        <v>23500</v>
      </c>
      <c r="E9636" t="s">
        <v>32111</v>
      </c>
    </row>
    <row r="9637" spans="1:5">
      <c r="A9637" t="s">
        <v>6</v>
      </c>
      <c r="B9637" t="s">
        <v>9642</v>
      </c>
      <c r="C9637">
        <f>HYPERLINK("C:\Users\franc\OneDrive\Documentos\MALENTIN KARIME\CESION\RESPALDO LUIS DIAZ\PODERES 2008\ADOLFO GUERRERO Vender Mina.doc", "Abrir Documento")</f>
        <v>0</v>
      </c>
      <c r="D9637" t="s">
        <v>23500</v>
      </c>
      <c r="E9637" t="s">
        <v>32112</v>
      </c>
    </row>
    <row r="9638" spans="1:5">
      <c r="A9638" t="s">
        <v>6</v>
      </c>
      <c r="B9638" t="s">
        <v>9643</v>
      </c>
      <c r="C9638">
        <f>HYPERLINK("C:\Users\franc\OneDrive\Documentos\MALENTIN KARIME\CESION\RESPALDO LUIS DIAZ\PODERES 2008\ADOLFO GUERRERO A. Vender Mina.doc", "Abrir Documento")</f>
        <v>0</v>
      </c>
      <c r="D9638" t="s">
        <v>23500</v>
      </c>
      <c r="E9638" t="s">
        <v>32113</v>
      </c>
    </row>
    <row r="9639" spans="1:5">
      <c r="A9639" t="s">
        <v>6</v>
      </c>
      <c r="B9639" t="s">
        <v>9644</v>
      </c>
      <c r="C9639">
        <f>HYPERLINK("C:\Users\franc\OneDrive\Documentos\MALENTIN KARIME\CESION\RESPALDO LUIS DIAZ\PODERES 2008\ADELA RAMIREZ R. Vender Mina.doc", "Abrir Documento")</f>
        <v>0</v>
      </c>
      <c r="D9639" t="s">
        <v>23500</v>
      </c>
      <c r="E9639" t="s">
        <v>32114</v>
      </c>
    </row>
    <row r="9640" spans="1:5">
      <c r="A9640" t="s">
        <v>6</v>
      </c>
      <c r="B9640" t="s">
        <v>9645</v>
      </c>
      <c r="C9640">
        <f>HYPERLINK("C:\Users\franc\OneDrive\Documentos\MALENTIN KARIME\CESION\RESPALDO LUIS DIAZ\PODERES 2008\ABIGAIL OLIVARES Y OTRA Vender.doc", "Abrir Documento")</f>
        <v>0</v>
      </c>
      <c r="D9640" t="s">
        <v>23500</v>
      </c>
      <c r="E9640" t="s">
        <v>32115</v>
      </c>
    </row>
    <row r="9641" spans="1:5">
      <c r="A9641" t="s">
        <v>6</v>
      </c>
      <c r="B9641" t="s">
        <v>9646</v>
      </c>
      <c r="C9641">
        <f>HYPERLINK("C:\Users\franc\OneDrive\Documentos\MALENTIN KARIME\CESION\RESPALDO LUIS DIAZ\Mis documentos\VARIOS 2006\YOYITA PRIMERA.REC.doc", "Abrir Documento")</f>
        <v>0</v>
      </c>
      <c r="D9641" t="s">
        <v>23500</v>
      </c>
      <c r="E9641" t="s">
        <v>32116</v>
      </c>
    </row>
    <row r="9642" spans="1:5">
      <c r="A9642" t="s">
        <v>6</v>
      </c>
      <c r="B9642" t="s">
        <v>9647</v>
      </c>
      <c r="C9642">
        <f>HYPERLINK("C:\Users\franc\OneDrive\Documentos\MALENTIN KARIME\CESION\RESPALDO LUIS DIAZ\Mis documentos\VARIOS 2006\VISTA HERMOSA.doc", "Abrir Documento")</f>
        <v>0</v>
      </c>
      <c r="D9642" t="s">
        <v>23500</v>
      </c>
      <c r="E9642" t="s">
        <v>32117</v>
      </c>
    </row>
    <row r="9643" spans="1:5">
      <c r="A9643" t="s">
        <v>6</v>
      </c>
      <c r="B9643" t="s">
        <v>9648</v>
      </c>
      <c r="C9643">
        <f>HYPERLINK("C:\Users\franc\OneDrive\Documentos\MALENTIN KARIME\CESION\RESPALDO LUIS DIAZ\Mis documentos\VARIOS 2006\VIGORENA.doc", "Abrir Documento")</f>
        <v>0</v>
      </c>
      <c r="D9643" t="s">
        <v>23500</v>
      </c>
      <c r="E9643" t="s">
        <v>32118</v>
      </c>
    </row>
    <row r="9644" spans="1:5">
      <c r="A9644" t="s">
        <v>6</v>
      </c>
      <c r="B9644" t="s">
        <v>9649</v>
      </c>
      <c r="C9644">
        <f>HYPERLINK("C:\Users\franc\OneDrive\Documentos\MALENTIN KARIME\CESION\RESPALDO LUIS DIAZ\Mis documentos\VARIOS 2006\VIGORENA 1-5.doc", "Abrir Documento")</f>
        <v>0</v>
      </c>
      <c r="D9644" t="s">
        <v>23500</v>
      </c>
      <c r="E9644" t="s">
        <v>32119</v>
      </c>
    </row>
    <row r="9645" spans="1:5">
      <c r="A9645" t="s">
        <v>6</v>
      </c>
      <c r="B9645" t="s">
        <v>9650</v>
      </c>
      <c r="C9645">
        <f>HYPERLINK("C:\Users\franc\OneDrive\Documentos\MALENTIN KARIME\CESION\RESPALDO LUIS DIAZ\Mis documentos\VARIOS 2006\VICTORIA.doc", "Abrir Documento")</f>
        <v>0</v>
      </c>
      <c r="D9645" t="s">
        <v>23500</v>
      </c>
      <c r="E9645" t="s">
        <v>32120</v>
      </c>
    </row>
    <row r="9646" spans="1:5">
      <c r="A9646" t="s">
        <v>6</v>
      </c>
      <c r="B9646" t="s">
        <v>9651</v>
      </c>
      <c r="C9646">
        <f>HYPERLINK("C:\Users\franc\OneDrive\Documentos\MALENTIN KARIME\CESION\RESPALDO LUIS DIAZ\Mis documentos\VARIOS 2006\TRICOLOR.doc", "Abrir Documento")</f>
        <v>0</v>
      </c>
      <c r="D9646" t="s">
        <v>23500</v>
      </c>
      <c r="E9646" t="s">
        <v>32121</v>
      </c>
    </row>
    <row r="9647" spans="1:5">
      <c r="A9647" t="s">
        <v>6</v>
      </c>
      <c r="B9647" t="s">
        <v>9652</v>
      </c>
      <c r="C9647">
        <f>HYPERLINK("C:\Users\franc\OneDrive\Documentos\MALENTIN KARIME\CESION\RESPALDO LUIS DIAZ\Mis documentos\VARIOS 2006\TRES CRUCES.doc", "Abrir Documento")</f>
        <v>0</v>
      </c>
      <c r="D9647" t="s">
        <v>23500</v>
      </c>
      <c r="E9647" t="s">
        <v>32122</v>
      </c>
    </row>
    <row r="9648" spans="1:5">
      <c r="A9648" t="s">
        <v>6</v>
      </c>
      <c r="B9648" t="s">
        <v>9653</v>
      </c>
      <c r="C9648">
        <f>HYPERLINK("C:\Users\franc\OneDrive\Documentos\MALENTIN KARIME\CESION\RESPALDO LUIS DIAZ\Mis documentos\VARIOS 2006\TRES AMIGOS.doc", "Abrir Documento")</f>
        <v>0</v>
      </c>
      <c r="D9648" t="s">
        <v>23500</v>
      </c>
      <c r="E9648" t="s">
        <v>32123</v>
      </c>
    </row>
    <row r="9649" spans="1:5">
      <c r="A9649" t="s">
        <v>6</v>
      </c>
      <c r="B9649" t="s">
        <v>9654</v>
      </c>
      <c r="C9649">
        <f>HYPERLINK("C:\Users\franc\OneDrive\Documentos\MALENTIN KARIME\CESION\RESPALDO LUIS DIAZ\Mis documentos\VARIOS 2006\TESORO.doc", "Abrir Documento")</f>
        <v>0</v>
      </c>
      <c r="D9649" t="s">
        <v>23500</v>
      </c>
      <c r="E9649" t="s">
        <v>32124</v>
      </c>
    </row>
    <row r="9650" spans="1:5">
      <c r="A9650" t="s">
        <v>6</v>
      </c>
      <c r="B9650" t="s">
        <v>9655</v>
      </c>
      <c r="C9650">
        <f>HYPERLINK("C:\Users\franc\OneDrive\Documentos\MALENTIN KARIME\CESION\RESPALDO LUIS DIAZ\Mis documentos\VARIOS 2006\SOLEDAD.MAN.doc", "Abrir Documento")</f>
        <v>0</v>
      </c>
      <c r="D9650" t="s">
        <v>23500</v>
      </c>
      <c r="E9650" t="s">
        <v>32125</v>
      </c>
    </row>
    <row r="9651" spans="1:5">
      <c r="A9651" t="s">
        <v>6</v>
      </c>
      <c r="B9651" t="s">
        <v>9656</v>
      </c>
      <c r="C9651">
        <f>HYPERLINK("C:\Users\franc\OneDrive\Documentos\MALENTIN KARIME\CESION\RESPALDO LUIS DIAZ\Mis documentos\VARIOS 2006\SOLEDAD.doc", "Abrir Documento")</f>
        <v>0</v>
      </c>
      <c r="D9651" t="s">
        <v>23500</v>
      </c>
      <c r="E9651" t="s">
        <v>32126</v>
      </c>
    </row>
    <row r="9652" spans="1:5">
      <c r="A9652" t="s">
        <v>6</v>
      </c>
      <c r="B9652" t="s">
        <v>9657</v>
      </c>
      <c r="C9652">
        <f>HYPERLINK("C:\Users\franc\OneDrive\Documentos\MALENTIN KARIME\CESION\RESPALDO LUIS DIAZ\Mis documentos\VARIOS 2006\SOLEDAD UNO AL SIETE.doc", "Abrir Documento")</f>
        <v>0</v>
      </c>
      <c r="D9652" t="s">
        <v>23500</v>
      </c>
      <c r="E9652" t="s">
        <v>32127</v>
      </c>
    </row>
    <row r="9653" spans="1:5">
      <c r="A9653" t="s">
        <v>6</v>
      </c>
      <c r="B9653" t="s">
        <v>9658</v>
      </c>
      <c r="C9653">
        <f>HYPERLINK("C:\Users\franc\OneDrive\Documentos\MALENTIN KARIME\CESION\RESPALDO LUIS DIAZ\Mis documentos\VARIOS 2006\SOCAVON.doc", "Abrir Documento")</f>
        <v>0</v>
      </c>
      <c r="D9653" t="s">
        <v>23500</v>
      </c>
      <c r="E9653" t="s">
        <v>32128</v>
      </c>
    </row>
    <row r="9654" spans="1:5">
      <c r="A9654" t="s">
        <v>6</v>
      </c>
      <c r="B9654" t="s">
        <v>9659</v>
      </c>
      <c r="C9654">
        <f>HYPERLINK("C:\Users\franc\OneDrive\Documentos\MALENTIN KARIME\CESION\RESPALDO LUIS DIAZ\Mis documentos\VARIOS 2006\SILVIA.doc", "Abrir Documento")</f>
        <v>0</v>
      </c>
      <c r="D9654" t="s">
        <v>23500</v>
      </c>
      <c r="E9654" t="s">
        <v>32129</v>
      </c>
    </row>
    <row r="9655" spans="1:5">
      <c r="A9655" t="s">
        <v>6</v>
      </c>
      <c r="B9655" t="s">
        <v>9660</v>
      </c>
      <c r="C9655">
        <f>HYPERLINK("C:\Users\franc\OneDrive\Documentos\MALENTIN KARIME\CESION\RESPALDO LUIS DIAZ\Mis documentos\VARIOS 2006\SANTO VESPILIA.doc", "Abrir Documento")</f>
        <v>0</v>
      </c>
      <c r="D9655" t="s">
        <v>23500</v>
      </c>
      <c r="E9655" t="s">
        <v>32130</v>
      </c>
    </row>
    <row r="9656" spans="1:5">
      <c r="A9656" t="s">
        <v>6</v>
      </c>
      <c r="B9656" t="s">
        <v>9661</v>
      </c>
      <c r="C9656">
        <f>HYPERLINK("C:\Users\franc\OneDrive\Documentos\MALENTIN KARIME\CESION\RESPALDO LUIS DIAZ\Mis documentos\VARIOS 2006\SANTAANA.MAN.doc", "Abrir Documento")</f>
        <v>0</v>
      </c>
      <c r="D9656" t="s">
        <v>23500</v>
      </c>
      <c r="E9656" t="s">
        <v>32131</v>
      </c>
    </row>
    <row r="9657" spans="1:5">
      <c r="A9657" t="s">
        <v>6</v>
      </c>
      <c r="B9657" t="s">
        <v>9662</v>
      </c>
      <c r="C9657">
        <f>HYPERLINK("C:\Users\franc\OneDrive\Documentos\MALENTIN KARIME\CESION\RESPALDO LUIS DIAZ\Mis documentos\VARIOS 2006\SANTA TERESITA.doc", "Abrir Documento")</f>
        <v>0</v>
      </c>
      <c r="D9657" t="s">
        <v>23500</v>
      </c>
      <c r="E9657" t="s">
        <v>32132</v>
      </c>
    </row>
    <row r="9658" spans="1:5">
      <c r="A9658" t="s">
        <v>6</v>
      </c>
      <c r="B9658" t="s">
        <v>9663</v>
      </c>
      <c r="C9658">
        <f>HYPERLINK("C:\Users\franc\OneDrive\Documentos\MALENTIN KARIME\CESION\RESPALDO LUIS DIAZ\Mis documentos\VARIOS 2006\SANTA TERESA.doc", "Abrir Documento")</f>
        <v>0</v>
      </c>
      <c r="D9658" t="s">
        <v>23500</v>
      </c>
      <c r="E9658" t="s">
        <v>32133</v>
      </c>
    </row>
    <row r="9659" spans="1:5">
      <c r="A9659" t="s">
        <v>6</v>
      </c>
      <c r="B9659" t="s">
        <v>9664</v>
      </c>
      <c r="C9659">
        <f>HYPERLINK("C:\Users\franc\OneDrive\Documentos\MALENTIN KARIME\CESION\RESPALDO LUIS DIAZ\Mis documentos\VARIOS 2006\SANTA TERESA 1-5.doc", "Abrir Documento")</f>
        <v>0</v>
      </c>
      <c r="D9659" t="s">
        <v>23500</v>
      </c>
      <c r="E9659" t="s">
        <v>32134</v>
      </c>
    </row>
    <row r="9660" spans="1:5">
      <c r="A9660" t="s">
        <v>6</v>
      </c>
      <c r="B9660" t="s">
        <v>9665</v>
      </c>
      <c r="C9660">
        <f>HYPERLINK("C:\Users\franc\OneDrive\Documentos\MALENTIN KARIME\CESION\RESPALDO LUIS DIAZ\Mis documentos\VARIOS 2006\SANTA MARIA.doc", "Abrir Documento")</f>
        <v>0</v>
      </c>
      <c r="D9660" t="s">
        <v>23500</v>
      </c>
      <c r="E9660" t="s">
        <v>32135</v>
      </c>
    </row>
    <row r="9661" spans="1:5">
      <c r="A9661" t="s">
        <v>6</v>
      </c>
      <c r="B9661" t="s">
        <v>9666</v>
      </c>
      <c r="C9661">
        <f>HYPERLINK("C:\Users\franc\OneDrive\Documentos\MALENTIN KARIME\CESION\RESPALDO LUIS DIAZ\Mis documentos\VARIOS 2006\SANTA LUCIA.doc", "Abrir Documento")</f>
        <v>0</v>
      </c>
      <c r="D9661" t="s">
        <v>23500</v>
      </c>
      <c r="E9661" t="s">
        <v>32136</v>
      </c>
    </row>
    <row r="9662" spans="1:5">
      <c r="A9662" t="s">
        <v>6</v>
      </c>
      <c r="B9662" t="s">
        <v>9667</v>
      </c>
      <c r="C9662">
        <f>HYPERLINK("C:\Users\franc\OneDrive\Documentos\MALENTIN KARIME\CESION\RESPALDO LUIS DIAZ\Mis documentos\VARIOS 2006\SANTA JUANITA.doc", "Abrir Documento")</f>
        <v>0</v>
      </c>
      <c r="D9662" t="s">
        <v>23500</v>
      </c>
      <c r="E9662" t="s">
        <v>32137</v>
      </c>
    </row>
    <row r="9663" spans="1:5">
      <c r="A9663" t="s">
        <v>6</v>
      </c>
      <c r="B9663" t="s">
        <v>9668</v>
      </c>
      <c r="C9663">
        <f>HYPERLINK("C:\Users\franc\OneDrive\Documentos\MALENTIN KARIME\CESION\RESPALDO LUIS DIAZ\Mis documentos\VARIOS 2006\SANTA ISABEL.doc", "Abrir Documento")</f>
        <v>0</v>
      </c>
      <c r="D9663" t="s">
        <v>23500</v>
      </c>
      <c r="E9663" t="s">
        <v>32138</v>
      </c>
    </row>
    <row r="9664" spans="1:5">
      <c r="A9664" t="s">
        <v>6</v>
      </c>
      <c r="B9664" t="s">
        <v>9669</v>
      </c>
      <c r="C9664">
        <f>HYPERLINK("C:\Users\franc\OneDrive\Documentos\MALENTIN KARIME\CESION\RESPALDO LUIS DIAZ\Mis documentos\VARIOS 2006\SANTA FRANCISCA.MAN.doc", "Abrir Documento")</f>
        <v>0</v>
      </c>
      <c r="D9664" t="s">
        <v>23500</v>
      </c>
      <c r="E9664" t="s">
        <v>32139</v>
      </c>
    </row>
    <row r="9665" spans="1:5">
      <c r="A9665" t="s">
        <v>6</v>
      </c>
      <c r="B9665" t="s">
        <v>9670</v>
      </c>
      <c r="C9665">
        <f>HYPERLINK("C:\Users\franc\OneDrive\Documentos\MALENTIN KARIME\CESION\RESPALDO LUIS DIAZ\Mis documentos\VARIOS 2006\SANTA EVA UNO AL CINCO.doc", "Abrir Documento")</f>
        <v>0</v>
      </c>
      <c r="D9665" t="s">
        <v>23500</v>
      </c>
      <c r="E9665" t="s">
        <v>32140</v>
      </c>
    </row>
    <row r="9666" spans="1:5">
      <c r="A9666" t="s">
        <v>6</v>
      </c>
      <c r="B9666" t="s">
        <v>9671</v>
      </c>
      <c r="C9666">
        <f>HYPERLINK("C:\Users\franc\OneDrive\Documentos\MALENTIN KARIME\CESION\RESPALDO LUIS DIAZ\Mis documentos\VARIOS 2006\SANTA ESPERANZA.doc", "Abrir Documento")</f>
        <v>0</v>
      </c>
      <c r="D9666" t="s">
        <v>23500</v>
      </c>
      <c r="E9666" t="s">
        <v>32141</v>
      </c>
    </row>
    <row r="9667" spans="1:5">
      <c r="A9667" t="s">
        <v>6</v>
      </c>
      <c r="B9667" t="s">
        <v>9672</v>
      </c>
      <c r="C9667">
        <f>HYPERLINK("C:\Users\franc\OneDrive\Documentos\MALENTIN KARIME\CESION\RESPALDO LUIS DIAZ\Mis documentos\VARIOS 2006\SANTA CECILIA.doc", "Abrir Documento")</f>
        <v>0</v>
      </c>
      <c r="D9667" t="s">
        <v>23500</v>
      </c>
      <c r="E9667" t="s">
        <v>32142</v>
      </c>
    </row>
    <row r="9668" spans="1:5">
      <c r="A9668" t="s">
        <v>6</v>
      </c>
      <c r="B9668" t="s">
        <v>9673</v>
      </c>
      <c r="C9668">
        <f>HYPERLINK("C:\Users\franc\OneDrive\Documentos\MALENTIN KARIME\CESION\RESPALDO LUIS DIAZ\Mis documentos\VARIOS 2006\SANTA ANA2.MAN.doc", "Abrir Documento")</f>
        <v>0</v>
      </c>
      <c r="D9668" t="s">
        <v>23500</v>
      </c>
      <c r="E9668" t="s">
        <v>32143</v>
      </c>
    </row>
    <row r="9669" spans="1:5">
      <c r="A9669" t="s">
        <v>6</v>
      </c>
      <c r="B9669" t="s">
        <v>9674</v>
      </c>
      <c r="C9669">
        <f>HYPERLINK("C:\Users\franc\OneDrive\Documentos\MALENTIN KARIME\CESION\RESPALDO LUIS DIAZ\Mis documentos\VARIOS 2006\SANTA AMALIA.doc", "Abrir Documento")</f>
        <v>0</v>
      </c>
      <c r="D9669" t="s">
        <v>23500</v>
      </c>
      <c r="E9669" t="s">
        <v>32144</v>
      </c>
    </row>
    <row r="9670" spans="1:5">
      <c r="A9670" t="s">
        <v>6</v>
      </c>
      <c r="B9670" t="s">
        <v>9675</v>
      </c>
      <c r="C9670">
        <f>HYPERLINK("C:\Users\franc\OneDrive\Documentos\MALENTIN KARIME\CESION\RESPALDO LUIS DIAZ\Mis documentos\VARIOS 2006\SAN VALENTIN.doc", "Abrir Documento")</f>
        <v>0</v>
      </c>
      <c r="D9670" t="s">
        <v>23500</v>
      </c>
      <c r="E9670" t="s">
        <v>32145</v>
      </c>
    </row>
    <row r="9671" spans="1:5">
      <c r="A9671" t="s">
        <v>6</v>
      </c>
      <c r="B9671" t="s">
        <v>9676</v>
      </c>
      <c r="C9671">
        <f>HYPERLINK("C:\Users\franc\OneDrive\Documentos\MALENTIN KARIME\CESION\RESPALDO LUIS DIAZ\Mis documentos\VARIOS 2006\SAN VALENTIN Rectif..doc", "Abrir Documento")</f>
        <v>0</v>
      </c>
      <c r="D9671" t="s">
        <v>23500</v>
      </c>
      <c r="E9671" t="s">
        <v>32146</v>
      </c>
    </row>
    <row r="9672" spans="1:5">
      <c r="A9672" t="s">
        <v>6</v>
      </c>
      <c r="B9672" t="s">
        <v>9677</v>
      </c>
      <c r="C9672">
        <f>HYPERLINK("C:\Users\franc\OneDrive\Documentos\MALENTIN KARIME\CESION\RESPALDO LUIS DIAZ\Mis documentos\VARIOS 2006\SAN LORENZO.REC.doc", "Abrir Documento")</f>
        <v>0</v>
      </c>
      <c r="D9672" t="s">
        <v>23500</v>
      </c>
      <c r="E9672" t="s">
        <v>32147</v>
      </c>
    </row>
    <row r="9673" spans="1:5">
      <c r="A9673" t="s">
        <v>6</v>
      </c>
      <c r="B9673" t="s">
        <v>9678</v>
      </c>
      <c r="C9673">
        <f>HYPERLINK("C:\Users\franc\OneDrive\Documentos\MALENTIN KARIME\CESION\RESPALDO LUIS DIAZ\Mis documentos\VARIOS 2006\SAN IGNACIO TRES.doc", "Abrir Documento")</f>
        <v>0</v>
      </c>
      <c r="D9673" t="s">
        <v>23500</v>
      </c>
      <c r="E9673" t="s">
        <v>32148</v>
      </c>
    </row>
    <row r="9674" spans="1:5">
      <c r="A9674" t="s">
        <v>6</v>
      </c>
      <c r="B9674" t="s">
        <v>9679</v>
      </c>
      <c r="C9674">
        <f>HYPERLINK("C:\Users\franc\OneDrive\Documentos\MALENTIN KARIME\CESION\RESPALDO LUIS DIAZ\Mis documentos\VARIOS 2006\SAN IGNACIO DOS.doc", "Abrir Documento")</f>
        <v>0</v>
      </c>
      <c r="D9674" t="s">
        <v>23500</v>
      </c>
      <c r="E9674" t="s">
        <v>32149</v>
      </c>
    </row>
    <row r="9675" spans="1:5">
      <c r="A9675" t="s">
        <v>6</v>
      </c>
      <c r="B9675" t="s">
        <v>9680</v>
      </c>
      <c r="C9675">
        <f>HYPERLINK("C:\Users\franc\OneDrive\Documentos\MALENTIN KARIME\CESION\RESPALDO LUIS DIAZ\Mis documentos\VARIOS 2006\SAN IGNACIO CUATRO.doc", "Abrir Documento")</f>
        <v>0</v>
      </c>
      <c r="D9675" t="s">
        <v>23500</v>
      </c>
      <c r="E9675" t="s">
        <v>32150</v>
      </c>
    </row>
    <row r="9676" spans="1:5">
      <c r="A9676" t="s">
        <v>6</v>
      </c>
      <c r="B9676" t="s">
        <v>9681</v>
      </c>
      <c r="C9676">
        <f>HYPERLINK("C:\Users\franc\OneDrive\Documentos\MALENTIN KARIME\CESION\RESPALDO LUIS DIAZ\Mis documentos\VARIOS 2006\SAN FRANCISCO.MAN.doc", "Abrir Documento")</f>
        <v>0</v>
      </c>
      <c r="D9676" t="s">
        <v>23500</v>
      </c>
      <c r="E9676" t="s">
        <v>32151</v>
      </c>
    </row>
    <row r="9677" spans="1:5">
      <c r="A9677" t="s">
        <v>6</v>
      </c>
      <c r="B9677" t="s">
        <v>9682</v>
      </c>
      <c r="C9677">
        <f>HYPERLINK("C:\Users\franc\OneDrive\Documentos\MALENTIN KARIME\CESION\RESPALDO LUIS DIAZ\Mis documentos\VARIOS 2006\SAN FRANCISCO.doc", "Abrir Documento")</f>
        <v>0</v>
      </c>
      <c r="D9677" t="s">
        <v>23500</v>
      </c>
      <c r="E9677" t="s">
        <v>32152</v>
      </c>
    </row>
    <row r="9678" spans="1:5">
      <c r="A9678" t="s">
        <v>6</v>
      </c>
      <c r="B9678" t="s">
        <v>9683</v>
      </c>
      <c r="C9678">
        <f>HYPERLINK("C:\Users\franc\OneDrive\Documentos\MALENTIN KARIME\CESION\RESPALDO LUIS DIAZ\Mis documentos\VARIOS 2006\REGALONA.doc", "Abrir Documento")</f>
        <v>0</v>
      </c>
      <c r="D9678" t="s">
        <v>23500</v>
      </c>
      <c r="E9678" t="s">
        <v>32153</v>
      </c>
    </row>
    <row r="9679" spans="1:5">
      <c r="A9679" t="s">
        <v>6</v>
      </c>
      <c r="B9679" t="s">
        <v>9684</v>
      </c>
      <c r="C9679">
        <f>HYPERLINK("C:\Users\franc\OneDrive\Documentos\MALENTIN KARIME\CESION\RESPALDO LUIS DIAZ\Mis documentos\VARIOS 2006\RECREO.MAN.doc", "Abrir Documento")</f>
        <v>0</v>
      </c>
      <c r="D9679" t="s">
        <v>23500</v>
      </c>
      <c r="E9679" t="s">
        <v>32154</v>
      </c>
    </row>
    <row r="9680" spans="1:5">
      <c r="A9680" t="s">
        <v>6</v>
      </c>
      <c r="B9680" t="s">
        <v>9685</v>
      </c>
      <c r="C9680">
        <f>HYPERLINK("C:\Users\franc\OneDrive\Documentos\MALENTIN KARIME\CESION\RESPALDO LUIS DIAZ\Mis documentos\VARIOS 2006\RANGO.doc", "Abrir Documento")</f>
        <v>0</v>
      </c>
      <c r="D9680" t="s">
        <v>23500</v>
      </c>
      <c r="E9680" t="s">
        <v>32155</v>
      </c>
    </row>
    <row r="9681" spans="1:5">
      <c r="A9681" t="s">
        <v>6</v>
      </c>
      <c r="B9681" t="s">
        <v>9686</v>
      </c>
      <c r="C9681">
        <f>HYPERLINK("C:\Users\franc\OneDrive\Documentos\MALENTIN KARIME\CESION\RESPALDO LUIS DIAZ\Mis documentos\VARIOS 2006\RANGO II.doc", "Abrir Documento")</f>
        <v>0</v>
      </c>
      <c r="D9681" t="s">
        <v>23500</v>
      </c>
      <c r="E9681" t="s">
        <v>32156</v>
      </c>
    </row>
    <row r="9682" spans="1:5">
      <c r="A9682" t="s">
        <v>6</v>
      </c>
      <c r="B9682" t="s">
        <v>9687</v>
      </c>
      <c r="C9682">
        <f>HYPERLINK("C:\Users\franc\OneDrive\Documentos\MALENTIN KARIME\CESION\RESPALDO LUIS DIAZ\Mis documentos\VARIOS 2006\RANGO II 1-20.doc", "Abrir Documento")</f>
        <v>0</v>
      </c>
      <c r="D9682" t="s">
        <v>23500</v>
      </c>
      <c r="E9682" t="s">
        <v>32157</v>
      </c>
    </row>
    <row r="9683" spans="1:5">
      <c r="A9683" t="s">
        <v>6</v>
      </c>
      <c r="B9683" t="s">
        <v>9688</v>
      </c>
      <c r="C9683">
        <f>HYPERLINK("C:\Users\franc\OneDrive\Documentos\MALENTIN KARIME\CESION\RESPALDO LUIS DIAZ\Mis documentos\VARIOS 2006\QDA. LOS LILENES.doc", "Abrir Documento")</f>
        <v>0</v>
      </c>
      <c r="D9683" t="s">
        <v>23500</v>
      </c>
      <c r="E9683" t="s">
        <v>32158</v>
      </c>
    </row>
    <row r="9684" spans="1:5">
      <c r="A9684" t="s">
        <v>6</v>
      </c>
      <c r="B9684" t="s">
        <v>9689</v>
      </c>
      <c r="C9684">
        <f>HYPERLINK("C:\Users\franc\OneDrive\Documentos\MALENTIN KARIME\CESION\RESPALDO LUIS DIAZ\Mis documentos\VARIOS 2006\PUNTA COLORADA.doc", "Abrir Documento")</f>
        <v>0</v>
      </c>
      <c r="D9684" t="s">
        <v>23500</v>
      </c>
      <c r="E9684" t="s">
        <v>32159</v>
      </c>
    </row>
    <row r="9685" spans="1:5">
      <c r="A9685" t="s">
        <v>6</v>
      </c>
      <c r="B9685" t="s">
        <v>9690</v>
      </c>
      <c r="C9685">
        <f>HYPERLINK("C:\Users\franc\OneDrive\Documentos\MALENTIN KARIME\CESION\RESPALDO LUIS DIAZ\Mis documentos\VARIOS 2006\PUNTA ALTA TRES.doc", "Abrir Documento")</f>
        <v>0</v>
      </c>
      <c r="D9685" t="s">
        <v>23500</v>
      </c>
      <c r="E9685" t="s">
        <v>32160</v>
      </c>
    </row>
    <row r="9686" spans="1:5">
      <c r="A9686" t="s">
        <v>6</v>
      </c>
      <c r="B9686" t="s">
        <v>9691</v>
      </c>
      <c r="C9686">
        <f>HYPERLINK("C:\Users\franc\OneDrive\Documentos\MALENTIN KARIME\CESION\RESPALDO LUIS DIAZ\Mis documentos\VARIOS 2006\PUNTA ALTA DOS.doc", "Abrir Documento")</f>
        <v>0</v>
      </c>
      <c r="D9686" t="s">
        <v>23500</v>
      </c>
      <c r="E9686" t="s">
        <v>32161</v>
      </c>
    </row>
    <row r="9687" spans="1:5">
      <c r="A9687" t="s">
        <v>6</v>
      </c>
      <c r="B9687" t="s">
        <v>9692</v>
      </c>
      <c r="C9687">
        <f>HYPERLINK("C:\Users\franc\OneDrive\Documentos\MALENTIN KARIME\CESION\RESPALDO LUIS DIAZ\Mis documentos\VARIOS 2006\PUNTA ALTA CUATRO.doc", "Abrir Documento")</f>
        <v>0</v>
      </c>
      <c r="D9687" t="s">
        <v>23500</v>
      </c>
      <c r="E9687" t="s">
        <v>32162</v>
      </c>
    </row>
    <row r="9688" spans="1:5">
      <c r="A9688" t="s">
        <v>6</v>
      </c>
      <c r="B9688" t="s">
        <v>9693</v>
      </c>
      <c r="C9688">
        <f>HYPERLINK("C:\Users\franc\OneDrive\Documentos\MALENTIN KARIME\CESION\RESPALDO LUIS DIAZ\Mis documentos\VARIOS 2006\PUNTA ALTA CINCO.doc", "Abrir Documento")</f>
        <v>0</v>
      </c>
      <c r="D9688" t="s">
        <v>23500</v>
      </c>
      <c r="E9688" t="s">
        <v>32163</v>
      </c>
    </row>
    <row r="9689" spans="1:5">
      <c r="A9689" t="s">
        <v>6</v>
      </c>
      <c r="B9689" t="s">
        <v>9694</v>
      </c>
      <c r="C9689">
        <f>HYPERLINK("C:\Users\franc\OneDrive\Documentos\MALENTIN KARIME\CESION\RESPALDO LUIS DIAZ\Mis documentos\VARIOS 2006\PORVENIR.doc", "Abrir Documento")</f>
        <v>0</v>
      </c>
      <c r="D9689" t="s">
        <v>23500</v>
      </c>
      <c r="E9689" t="s">
        <v>32164</v>
      </c>
    </row>
    <row r="9690" spans="1:5">
      <c r="A9690" t="s">
        <v>6</v>
      </c>
      <c r="B9690" t="s">
        <v>9695</v>
      </c>
      <c r="C9690">
        <f>HYPERLINK("C:\Users\franc\OneDrive\Documentos\MALENTIN KARIME\CESION\RESPALDO LUIS DIAZ\Mis documentos\VARIOS 2006\PERLA 1 AL 5 Rec..doc", "Abrir Documento")</f>
        <v>0</v>
      </c>
      <c r="D9690" t="s">
        <v>23500</v>
      </c>
      <c r="E9690" t="s">
        <v>32165</v>
      </c>
    </row>
    <row r="9691" spans="1:5">
      <c r="A9691" t="s">
        <v>6</v>
      </c>
      <c r="B9691" t="s">
        <v>9696</v>
      </c>
      <c r="C9691">
        <f>HYPERLINK("C:\Users\franc\OneDrive\Documentos\MALENTIN KARIME\CESION\RESPALDO LUIS DIAZ\Mis documentos\VARIOS 2006\PEDESTAL.doc", "Abrir Documento")</f>
        <v>0</v>
      </c>
      <c r="D9691" t="s">
        <v>23500</v>
      </c>
      <c r="E9691" t="s">
        <v>32166</v>
      </c>
    </row>
    <row r="9692" spans="1:5">
      <c r="A9692" t="s">
        <v>6</v>
      </c>
      <c r="B9692" t="s">
        <v>9697</v>
      </c>
      <c r="C9692">
        <f>HYPERLINK("C:\Users\franc\OneDrive\Documentos\MALENTIN KARIME\CESION\RESPALDO LUIS DIAZ\Mis documentos\VARIOS 2006\NUEVA ESPERANZA.doc", "Abrir Documento")</f>
        <v>0</v>
      </c>
      <c r="D9692" t="s">
        <v>23500</v>
      </c>
      <c r="E9692" t="s">
        <v>32167</v>
      </c>
    </row>
    <row r="9693" spans="1:5">
      <c r="A9693" t="s">
        <v>6</v>
      </c>
      <c r="B9693" t="s">
        <v>9698</v>
      </c>
      <c r="C9693">
        <f>HYPERLINK("C:\Users\franc\OneDrive\Documentos\MALENTIN KARIME\CESION\RESPALDO LUIS DIAZ\Mis documentos\VARIOS 2006\NEGRA ESTER.MAN.doc", "Abrir Documento")</f>
        <v>0</v>
      </c>
      <c r="D9693" t="s">
        <v>23500</v>
      </c>
      <c r="E9693" t="s">
        <v>32168</v>
      </c>
    </row>
    <row r="9694" spans="1:5">
      <c r="A9694" t="s">
        <v>6</v>
      </c>
      <c r="B9694" t="s">
        <v>9699</v>
      </c>
      <c r="C9694">
        <f>HYPERLINK("C:\Users\franc\OneDrive\Documentos\MALENTIN KARIME\CESION\RESPALDO LUIS DIAZ\Mis documentos\VARIOS 2006\MONO BLANCO.doc", "Abrir Documento")</f>
        <v>0</v>
      </c>
      <c r="D9694" t="s">
        <v>23500</v>
      </c>
      <c r="E9694" t="s">
        <v>32169</v>
      </c>
    </row>
    <row r="9695" spans="1:5">
      <c r="A9695" t="s">
        <v>6</v>
      </c>
      <c r="B9695" t="s">
        <v>9700</v>
      </c>
      <c r="C9695">
        <f>HYPERLINK("C:\Users\franc\OneDrive\Documentos\MALENTIN KARIME\CESION\RESPALDO LUIS DIAZ\Mis documentos\VARIOS 2006\MOLLE I.doc", "Abrir Documento")</f>
        <v>0</v>
      </c>
      <c r="D9695" t="s">
        <v>23500</v>
      </c>
      <c r="E9695" t="s">
        <v>32170</v>
      </c>
    </row>
    <row r="9696" spans="1:5">
      <c r="A9696" t="s">
        <v>6</v>
      </c>
      <c r="B9696" t="s">
        <v>9701</v>
      </c>
      <c r="C9696">
        <f>HYPERLINK("C:\Users\franc\OneDrive\Documentos\MALENTIN KARIME\CESION\RESPALDO LUIS DIAZ\Mis documentos\VARIOS 2006\MINAORTIGA.MAN.doc", "Abrir Documento")</f>
        <v>0</v>
      </c>
      <c r="D9696" t="s">
        <v>23500</v>
      </c>
      <c r="E9696" t="s">
        <v>32171</v>
      </c>
    </row>
    <row r="9697" spans="1:5">
      <c r="A9697" t="s">
        <v>6</v>
      </c>
      <c r="B9697" t="s">
        <v>9702</v>
      </c>
      <c r="C9697">
        <f>HYPERLINK("C:\Users\franc\OneDrive\Documentos\MALENTIN KARIME\CESION\RESPALDO LUIS DIAZ\Mis documentos\VARIOS 2006\MINAESTRELLA.MAN.doc", "Abrir Documento")</f>
        <v>0</v>
      </c>
      <c r="D9697" t="s">
        <v>23500</v>
      </c>
      <c r="E9697" t="s">
        <v>32172</v>
      </c>
    </row>
    <row r="9698" spans="1:5">
      <c r="A9698" t="s">
        <v>6</v>
      </c>
      <c r="B9698" t="s">
        <v>9703</v>
      </c>
      <c r="C9698">
        <f>HYPERLINK("C:\Users\franc\OneDrive\Documentos\MALENTIN KARIME\CESION\RESPALDO LUIS DIAZ\Mis documentos\VARIOS 2006\MINACAROL.MAN.doc", "Abrir Documento")</f>
        <v>0</v>
      </c>
      <c r="D9698" t="s">
        <v>23500</v>
      </c>
      <c r="E9698" t="s">
        <v>32173</v>
      </c>
    </row>
    <row r="9699" spans="1:5">
      <c r="A9699" t="s">
        <v>6</v>
      </c>
      <c r="B9699" t="s">
        <v>9704</v>
      </c>
      <c r="C9699">
        <f>HYPERLINK("C:\Users\franc\OneDrive\Documentos\MALENTIN KARIME\CESION\RESPALDO LUIS DIAZ\Mis documentos\VARIOS 2006\MINA VICTORIA 1-10 Rectif..doc", "Abrir Documento")</f>
        <v>0</v>
      </c>
      <c r="D9699" t="s">
        <v>23500</v>
      </c>
      <c r="E9699" t="s">
        <v>32174</v>
      </c>
    </row>
    <row r="9700" spans="1:5">
      <c r="A9700" t="s">
        <v>6</v>
      </c>
      <c r="B9700" t="s">
        <v>9705</v>
      </c>
      <c r="C9700">
        <f>HYPERLINK("C:\Users\franc\OneDrive\Documentos\MALENTIN KARIME\CESION\RESPALDO LUIS DIAZ\Mis documentos\VARIOS 2006\MINA VETARRON.doc", "Abrir Documento")</f>
        <v>0</v>
      </c>
      <c r="D9700" t="s">
        <v>23500</v>
      </c>
      <c r="E9700" t="s">
        <v>32175</v>
      </c>
    </row>
    <row r="9701" spans="1:5">
      <c r="A9701" t="s">
        <v>6</v>
      </c>
      <c r="B9701" t="s">
        <v>9706</v>
      </c>
      <c r="C9701">
        <f>HYPERLINK("C:\Users\franc\OneDrive\Documentos\MALENTIN KARIME\CESION\RESPALDO LUIS DIAZ\Mis documentos\VARIOS 2006\MINA VERDE.doc", "Abrir Documento")</f>
        <v>0</v>
      </c>
      <c r="D9701" t="s">
        <v>23500</v>
      </c>
      <c r="E9701" t="s">
        <v>32176</v>
      </c>
    </row>
    <row r="9702" spans="1:5">
      <c r="A9702" t="s">
        <v>6</v>
      </c>
      <c r="B9702" t="s">
        <v>9707</v>
      </c>
      <c r="C9702">
        <f>HYPERLINK("C:\Users\franc\OneDrive\Documentos\MALENTIN KARIME\CESION\RESPALDO LUIS DIAZ\Mis documentos\VARIOS 2006\MINA TACORA.doc", "Abrir Documento")</f>
        <v>0</v>
      </c>
      <c r="D9702" t="s">
        <v>23500</v>
      </c>
      <c r="E9702" t="s">
        <v>32177</v>
      </c>
    </row>
    <row r="9703" spans="1:5">
      <c r="A9703" t="s">
        <v>6</v>
      </c>
      <c r="B9703" t="s">
        <v>9708</v>
      </c>
      <c r="C9703">
        <f>HYPERLINK("C:\Users\franc\OneDrive\Documentos\MALENTIN KARIME\CESION\RESPALDO LUIS DIAZ\Mis documentos\VARIOS 2006\MINA SANTA TERESA.MAN.doc", "Abrir Documento")</f>
        <v>0</v>
      </c>
      <c r="D9703" t="s">
        <v>23500</v>
      </c>
      <c r="E9703" t="s">
        <v>32178</v>
      </c>
    </row>
    <row r="9704" spans="1:5">
      <c r="A9704" t="s">
        <v>6</v>
      </c>
      <c r="B9704" t="s">
        <v>9709</v>
      </c>
      <c r="C9704">
        <f>HYPERLINK("C:\Users\franc\OneDrive\Documentos\MALENTIN KARIME\CESION\RESPALDO LUIS DIAZ\Mis documentos\VARIOS 2006\MINA SAN LUIS.doc", "Abrir Documento")</f>
        <v>0</v>
      </c>
      <c r="D9704" t="s">
        <v>23500</v>
      </c>
      <c r="E9704" t="s">
        <v>32179</v>
      </c>
    </row>
    <row r="9705" spans="1:5">
      <c r="A9705" t="s">
        <v>6</v>
      </c>
      <c r="B9705" t="s">
        <v>9710</v>
      </c>
      <c r="C9705">
        <f>HYPERLINK("C:\Users\franc\OneDrive\Documentos\MALENTIN KARIME\CESION\RESPALDO LUIS DIAZ\Mis documentos\VARIOS 2006\MINA SAN LUIS II.doc", "Abrir Documento")</f>
        <v>0</v>
      </c>
      <c r="D9705" t="s">
        <v>23500</v>
      </c>
      <c r="E9705" t="s">
        <v>32180</v>
      </c>
    </row>
    <row r="9706" spans="1:5">
      <c r="A9706" t="s">
        <v>6</v>
      </c>
      <c r="B9706" t="s">
        <v>9711</v>
      </c>
      <c r="C9706">
        <f>HYPERLINK("C:\Users\franc\OneDrive\Documentos\MALENTIN KARIME\CESION\RESPALDO LUIS DIAZ\Mis documentos\VARIOS 2006\MINA SAN FABIAN.doc", "Abrir Documento")</f>
        <v>0</v>
      </c>
      <c r="D9706" t="s">
        <v>23500</v>
      </c>
      <c r="E9706" t="s">
        <v>32181</v>
      </c>
    </row>
    <row r="9707" spans="1:5">
      <c r="A9707" t="s">
        <v>6</v>
      </c>
      <c r="B9707" t="s">
        <v>9712</v>
      </c>
      <c r="C9707">
        <f>HYPERLINK("C:\Users\franc\OneDrive\Documentos\MALENTIN KARIME\CESION\RESPALDO LUIS DIAZ\Mis documentos\VARIOS 2006\MINA SAN ANTONIO.doc", "Abrir Documento")</f>
        <v>0</v>
      </c>
      <c r="D9707" t="s">
        <v>23500</v>
      </c>
      <c r="E9707" t="s">
        <v>32182</v>
      </c>
    </row>
    <row r="9708" spans="1:5">
      <c r="A9708" t="s">
        <v>6</v>
      </c>
      <c r="B9708" t="s">
        <v>9713</v>
      </c>
      <c r="C9708">
        <f>HYPERLINK("C:\Users\franc\OneDrive\Documentos\MALENTIN KARIME\CESION\RESPALDO LUIS DIAZ\Mis documentos\VARIOS 2006\MINA ROSARIO.doc", "Abrir Documento")</f>
        <v>0</v>
      </c>
      <c r="D9708" t="s">
        <v>23500</v>
      </c>
      <c r="E9708" t="s">
        <v>32183</v>
      </c>
    </row>
    <row r="9709" spans="1:5">
      <c r="A9709" t="s">
        <v>6</v>
      </c>
      <c r="B9709" t="s">
        <v>9714</v>
      </c>
      <c r="C9709">
        <f>HYPERLINK("C:\Users\franc\OneDrive\Documentos\MALENTIN KARIME\CESION\RESPALDO LUIS DIAZ\Mis documentos\VARIOS 2006\MINA ROSARIO 1-20.doc", "Abrir Documento")</f>
        <v>0</v>
      </c>
      <c r="D9709" t="s">
        <v>23500</v>
      </c>
      <c r="E9709" t="s">
        <v>32184</v>
      </c>
    </row>
    <row r="9710" spans="1:5">
      <c r="A9710" t="s">
        <v>6</v>
      </c>
      <c r="B9710" t="s">
        <v>9715</v>
      </c>
      <c r="C9710">
        <f>HYPERLINK("C:\Users\franc\OneDrive\Documentos\MALENTIN KARIME\CESION\RESPALDO LUIS DIAZ\Mis documentos\VARIOS 2006\MINA REYES.doc", "Abrir Documento")</f>
        <v>0</v>
      </c>
      <c r="D9710" t="s">
        <v>23500</v>
      </c>
      <c r="E9710" t="s">
        <v>32185</v>
      </c>
    </row>
    <row r="9711" spans="1:5">
      <c r="A9711" t="s">
        <v>6</v>
      </c>
      <c r="B9711" t="s">
        <v>9716</v>
      </c>
      <c r="C9711">
        <f>HYPERLINK("C:\Users\franc\OneDrive\Documentos\MALENTIN KARIME\CESION\RESPALDO LUIS DIAZ\Mis documentos\VARIOS 2006\MINA QUEBRADA EL PERAL.doc", "Abrir Documento")</f>
        <v>0</v>
      </c>
      <c r="D9711" t="s">
        <v>23500</v>
      </c>
      <c r="E9711" t="s">
        <v>32186</v>
      </c>
    </row>
    <row r="9712" spans="1:5">
      <c r="A9712" t="s">
        <v>6</v>
      </c>
      <c r="B9712" t="s">
        <v>9717</v>
      </c>
      <c r="C9712">
        <f>HYPERLINK("C:\Users\franc\OneDrive\Documentos\MALENTIN KARIME\CESION\RESPALDO LUIS DIAZ\Mis documentos\VARIOS 2006\MINA PUESTA DE SOL.doc", "Abrir Documento")</f>
        <v>0</v>
      </c>
      <c r="D9712" t="s">
        <v>23500</v>
      </c>
      <c r="E9712" t="s">
        <v>32187</v>
      </c>
    </row>
    <row r="9713" spans="1:5">
      <c r="A9713" t="s">
        <v>6</v>
      </c>
      <c r="B9713" t="s">
        <v>9718</v>
      </c>
      <c r="C9713">
        <f>HYPERLINK("C:\Users\franc\OneDrive\Documentos\MALENTIN KARIME\CESION\RESPALDO LUIS DIAZ\Mis documentos\VARIOS 2006\MINA ODISEA.doc", "Abrir Documento")</f>
        <v>0</v>
      </c>
      <c r="D9713" t="s">
        <v>23500</v>
      </c>
      <c r="E9713" t="s">
        <v>32188</v>
      </c>
    </row>
    <row r="9714" spans="1:5">
      <c r="A9714" t="s">
        <v>6</v>
      </c>
      <c r="B9714" t="s">
        <v>9719</v>
      </c>
      <c r="C9714">
        <f>HYPERLINK("C:\Users\franc\OneDrive\Documentos\MALENTIN KARIME\CESION\RESPALDO LUIS DIAZ\Mis documentos\VARIOS 2006\MINA LOS AMIGOS.doc", "Abrir Documento")</f>
        <v>0</v>
      </c>
      <c r="D9714" t="s">
        <v>23500</v>
      </c>
      <c r="E9714" t="s">
        <v>32189</v>
      </c>
    </row>
    <row r="9715" spans="1:5">
      <c r="A9715" t="s">
        <v>6</v>
      </c>
      <c r="B9715" t="s">
        <v>9720</v>
      </c>
      <c r="C9715">
        <f>HYPERLINK("C:\Users\franc\OneDrive\Documentos\MALENTIN KARIME\CESION\RESPALDO LUIS DIAZ\Mis documentos\VARIOS 2006\MINA LAS VALLAS.doc", "Abrir Documento")</f>
        <v>0</v>
      </c>
      <c r="D9715" t="s">
        <v>23500</v>
      </c>
      <c r="E9715" t="s">
        <v>32190</v>
      </c>
    </row>
    <row r="9716" spans="1:5">
      <c r="A9716" t="s">
        <v>6</v>
      </c>
      <c r="B9716" t="s">
        <v>9721</v>
      </c>
      <c r="C9716">
        <f>HYPERLINK("C:\Users\franc\OneDrive\Documentos\MALENTIN KARIME\CESION\RESPALDO LUIS DIAZ\Mis documentos\VARIOS 2006\MINA LAS MOLLACAS.doc", "Abrir Documento")</f>
        <v>0</v>
      </c>
      <c r="D9716" t="s">
        <v>23500</v>
      </c>
      <c r="E9716" t="s">
        <v>32191</v>
      </c>
    </row>
    <row r="9717" spans="1:5">
      <c r="A9717" t="s">
        <v>6</v>
      </c>
      <c r="B9717" t="s">
        <v>9722</v>
      </c>
      <c r="C9717">
        <f>HYPERLINK("C:\Users\franc\OneDrive\Documentos\MALENTIN KARIME\CESION\RESPALDO LUIS DIAZ\Mis documentos\VARIOS 2006\MINA LA VETA II.doc", "Abrir Documento")</f>
        <v>0</v>
      </c>
      <c r="D9717" t="s">
        <v>23500</v>
      </c>
      <c r="E9717" t="s">
        <v>32192</v>
      </c>
    </row>
    <row r="9718" spans="1:5">
      <c r="A9718" t="s">
        <v>6</v>
      </c>
      <c r="B9718" t="s">
        <v>9723</v>
      </c>
      <c r="C9718">
        <f>HYPERLINK("C:\Users\franc\OneDrive\Documentos\MALENTIN KARIME\CESION\RESPALDO LUIS DIAZ\Mis documentos\VARIOS 2006\MINA LA SUREÑA.doc", "Abrir Documento")</f>
        <v>0</v>
      </c>
      <c r="D9718" t="s">
        <v>23500</v>
      </c>
      <c r="E9718" t="s">
        <v>32193</v>
      </c>
    </row>
    <row r="9719" spans="1:5">
      <c r="A9719" t="s">
        <v>6</v>
      </c>
      <c r="B9719" t="s">
        <v>9724</v>
      </c>
      <c r="C9719">
        <f>HYPERLINK("C:\Users\franc\OneDrive\Documentos\MALENTIN KARIME\CESION\RESPALDO LUIS DIAZ\Mis documentos\VARIOS 2006\MINA LA SUERTE.MAN.doc", "Abrir Documento")</f>
        <v>0</v>
      </c>
      <c r="D9719" t="s">
        <v>23500</v>
      </c>
      <c r="E9719" t="s">
        <v>32194</v>
      </c>
    </row>
    <row r="9720" spans="1:5">
      <c r="A9720" t="s">
        <v>6</v>
      </c>
      <c r="B9720" t="s">
        <v>9725</v>
      </c>
      <c r="C9720">
        <f>HYPERLINK("C:\Users\franc\OneDrive\Documentos\MALENTIN KARIME\CESION\RESPALDO LUIS DIAZ\Mis documentos\VARIOS 2006\MINA LA SUERTE.doc", "Abrir Documento")</f>
        <v>0</v>
      </c>
      <c r="D9720" t="s">
        <v>23500</v>
      </c>
      <c r="E9720" t="s">
        <v>32195</v>
      </c>
    </row>
    <row r="9721" spans="1:5">
      <c r="A9721" t="s">
        <v>6</v>
      </c>
      <c r="B9721" t="s">
        <v>9726</v>
      </c>
      <c r="C9721">
        <f>HYPERLINK("C:\Users\franc\OneDrive\Documentos\MALENTIN KARIME\CESION\RESPALDO LUIS DIAZ\Mis documentos\VARIOS 2006\MINA LA SAN LORENZO.doc", "Abrir Documento")</f>
        <v>0</v>
      </c>
      <c r="D9721" t="s">
        <v>23500</v>
      </c>
      <c r="E9721" t="s">
        <v>32196</v>
      </c>
    </row>
    <row r="9722" spans="1:5">
      <c r="A9722" t="s">
        <v>6</v>
      </c>
      <c r="B9722" t="s">
        <v>9727</v>
      </c>
      <c r="C9722">
        <f>HYPERLINK("C:\Users\franc\OneDrive\Documentos\MALENTIN KARIME\CESION\RESPALDO LUIS DIAZ\Mis documentos\VARIOS 2006\MINA LA QUINA.doc", "Abrir Documento")</f>
        <v>0</v>
      </c>
      <c r="D9722" t="s">
        <v>23500</v>
      </c>
      <c r="E9722" t="s">
        <v>32197</v>
      </c>
    </row>
    <row r="9723" spans="1:5">
      <c r="A9723" t="s">
        <v>6</v>
      </c>
      <c r="B9723" t="s">
        <v>9728</v>
      </c>
      <c r="C9723">
        <f>HYPERLINK("C:\Users\franc\OneDrive\Documentos\MALENTIN KARIME\CESION\RESPALDO LUIS DIAZ\Mis documentos\VARIOS 2006\MINA LA PORRITA.doc", "Abrir Documento")</f>
        <v>0</v>
      </c>
      <c r="D9723" t="s">
        <v>23500</v>
      </c>
      <c r="E9723" t="s">
        <v>32198</v>
      </c>
    </row>
    <row r="9724" spans="1:5">
      <c r="A9724" t="s">
        <v>6</v>
      </c>
      <c r="B9724" t="s">
        <v>9729</v>
      </c>
      <c r="C9724">
        <f>HYPERLINK("C:\Users\franc\OneDrive\Documentos\MALENTIN KARIME\CESION\RESPALDO LUIS DIAZ\Mis documentos\VARIOS 2006\MINA LA PIMIENTA2.MAN.doc", "Abrir Documento")</f>
        <v>0</v>
      </c>
      <c r="D9724" t="s">
        <v>23500</v>
      </c>
      <c r="E9724" t="s">
        <v>32199</v>
      </c>
    </row>
    <row r="9725" spans="1:5">
      <c r="A9725" t="s">
        <v>6</v>
      </c>
      <c r="B9725" t="s">
        <v>9730</v>
      </c>
      <c r="C9725">
        <f>HYPERLINK("C:\Users\franc\OneDrive\Documentos\MALENTIN KARIME\CESION\RESPALDO LUIS DIAZ\Mis documentos\VARIOS 2006\MINA LA PIMIENTA.MAN.doc", "Abrir Documento")</f>
        <v>0</v>
      </c>
      <c r="D9725" t="s">
        <v>23500</v>
      </c>
      <c r="E9725" t="s">
        <v>32200</v>
      </c>
    </row>
    <row r="9726" spans="1:5">
      <c r="A9726" t="s">
        <v>6</v>
      </c>
      <c r="B9726" t="s">
        <v>9731</v>
      </c>
      <c r="C9726">
        <f>HYPERLINK("C:\Users\franc\OneDrive\Documentos\MALENTIN KARIME\CESION\RESPALDO LUIS DIAZ\Mis documentos\VARIOS 2006\MINA LA ORTIGA.doc", "Abrir Documento")</f>
        <v>0</v>
      </c>
      <c r="D9726" t="s">
        <v>23500</v>
      </c>
      <c r="E9726" t="s">
        <v>32201</v>
      </c>
    </row>
    <row r="9727" spans="1:5">
      <c r="A9727" t="s">
        <v>6</v>
      </c>
      <c r="B9727" t="s">
        <v>9732</v>
      </c>
      <c r="C9727">
        <f>HYPERLINK("C:\Users\franc\OneDrive\Documentos\MALENTIN KARIME\CESION\RESPALDO LUIS DIAZ\Mis documentos\VARIOS 2006\MINA LA MURIENTA.doc", "Abrir Documento")</f>
        <v>0</v>
      </c>
      <c r="D9727" t="s">
        <v>23500</v>
      </c>
      <c r="E9727" t="s">
        <v>32202</v>
      </c>
    </row>
    <row r="9728" spans="1:5">
      <c r="A9728" t="s">
        <v>6</v>
      </c>
      <c r="B9728" t="s">
        <v>9733</v>
      </c>
      <c r="C9728">
        <f>HYPERLINK("C:\Users\franc\OneDrive\Documentos\MALENTIN KARIME\CESION\RESPALDO LUIS DIAZ\Mis documentos\VARIOS 2006\MINA LA MURIENTA III.doc", "Abrir Documento")</f>
        <v>0</v>
      </c>
      <c r="D9728" t="s">
        <v>23500</v>
      </c>
      <c r="E9728" t="s">
        <v>32203</v>
      </c>
    </row>
    <row r="9729" spans="1:5">
      <c r="A9729" t="s">
        <v>6</v>
      </c>
      <c r="B9729" t="s">
        <v>9734</v>
      </c>
      <c r="C9729">
        <f>HYPERLINK("C:\Users\franc\OneDrive\Documentos\MALENTIN KARIME\CESION\RESPALDO LUIS DIAZ\Mis documentos\VARIOS 2006\MINA LA MONTOZA.doc", "Abrir Documento")</f>
        <v>0</v>
      </c>
      <c r="D9729" t="s">
        <v>23500</v>
      </c>
      <c r="E9729" t="s">
        <v>32204</v>
      </c>
    </row>
    <row r="9730" spans="1:5">
      <c r="A9730" t="s">
        <v>6</v>
      </c>
      <c r="B9730" t="s">
        <v>9735</v>
      </c>
      <c r="C9730">
        <f>HYPERLINK("C:\Users\franc\OneDrive\Documentos\MALENTIN KARIME\CESION\RESPALDO LUIS DIAZ\Mis documentos\VARIOS 2006\MINA LA JUANITA.doc", "Abrir Documento")</f>
        <v>0</v>
      </c>
      <c r="D9730" t="s">
        <v>23500</v>
      </c>
      <c r="E9730" t="s">
        <v>32205</v>
      </c>
    </row>
    <row r="9731" spans="1:5">
      <c r="A9731" t="s">
        <v>6</v>
      </c>
      <c r="B9731" t="s">
        <v>9736</v>
      </c>
      <c r="C9731">
        <f>HYPERLINK("C:\Users\franc\OneDrive\Documentos\MALENTIN KARIME\CESION\RESPALDO LUIS DIAZ\Mis documentos\VARIOS 2006\MINA LA FLORITA.doc", "Abrir Documento")</f>
        <v>0</v>
      </c>
      <c r="D9731" t="s">
        <v>23500</v>
      </c>
      <c r="E9731" t="s">
        <v>32206</v>
      </c>
    </row>
    <row r="9732" spans="1:5">
      <c r="A9732" t="s">
        <v>6</v>
      </c>
      <c r="B9732" t="s">
        <v>9737</v>
      </c>
      <c r="C9732">
        <f>HYPERLINK("C:\Users\franc\OneDrive\Documentos\MALENTIN KARIME\CESION\RESPALDO LUIS DIAZ\Mis documentos\VARIOS 2006\MINA LA DUDA.doc", "Abrir Documento")</f>
        <v>0</v>
      </c>
      <c r="D9732" t="s">
        <v>23500</v>
      </c>
      <c r="E9732" t="s">
        <v>32207</v>
      </c>
    </row>
    <row r="9733" spans="1:5">
      <c r="A9733" t="s">
        <v>6</v>
      </c>
      <c r="B9733" t="s">
        <v>9738</v>
      </c>
      <c r="C9733">
        <f>HYPERLINK("C:\Users\franc\OneDrive\Documentos\MALENTIN KARIME\CESION\RESPALDO LUIS DIAZ\Mis documentos\VARIOS 2006\MINA LA DOS AMIGOS.doc", "Abrir Documento")</f>
        <v>0</v>
      </c>
      <c r="D9733" t="s">
        <v>23500</v>
      </c>
      <c r="E9733" t="s">
        <v>32208</v>
      </c>
    </row>
    <row r="9734" spans="1:5">
      <c r="A9734" t="s">
        <v>6</v>
      </c>
      <c r="B9734" t="s">
        <v>9739</v>
      </c>
      <c r="C9734">
        <f>HYPERLINK("C:\Users\franc\OneDrive\Documentos\MALENTIN KARIME\CESION\RESPALDO LUIS DIAZ\Mis documentos\VARIOS 2006\MINA LA DESPRECIADA.doc", "Abrir Documento")</f>
        <v>0</v>
      </c>
      <c r="D9734" t="s">
        <v>23500</v>
      </c>
      <c r="E9734" t="s">
        <v>32209</v>
      </c>
    </row>
    <row r="9735" spans="1:5">
      <c r="A9735" t="s">
        <v>6</v>
      </c>
      <c r="B9735" t="s">
        <v>9740</v>
      </c>
      <c r="C9735">
        <f>HYPERLINK("C:\Users\franc\OneDrive\Documentos\MALENTIN KARIME\CESION\RESPALDO LUIS DIAZ\Mis documentos\VARIOS 2006\MINA LA DESPRECIADA 1-5.doc", "Abrir Documento")</f>
        <v>0</v>
      </c>
      <c r="D9735" t="s">
        <v>23500</v>
      </c>
      <c r="E9735" t="s">
        <v>32210</v>
      </c>
    </row>
    <row r="9736" spans="1:5">
      <c r="A9736" t="s">
        <v>6</v>
      </c>
      <c r="B9736" t="s">
        <v>9741</v>
      </c>
      <c r="C9736">
        <f>HYPERLINK("C:\Users\franc\OneDrive\Documentos\MALENTIN KARIME\CESION\RESPALDO LUIS DIAZ\Mis documentos\VARIOS 2006\MINA LA DE REPENTE.doc", "Abrir Documento")</f>
        <v>0</v>
      </c>
      <c r="D9736" t="s">
        <v>23500</v>
      </c>
      <c r="E9736" t="s">
        <v>32211</v>
      </c>
    </row>
    <row r="9737" spans="1:5">
      <c r="A9737" t="s">
        <v>6</v>
      </c>
      <c r="B9737" t="s">
        <v>9742</v>
      </c>
      <c r="C9737">
        <f>HYPERLINK("C:\Users\franc\OneDrive\Documentos\MALENTIN KARIME\CESION\RESPALDO LUIS DIAZ\Mis documentos\VARIOS 2006\MINA LA CHASCONA.doc", "Abrir Documento")</f>
        <v>0</v>
      </c>
      <c r="D9737" t="s">
        <v>23500</v>
      </c>
      <c r="E9737" t="s">
        <v>32212</v>
      </c>
    </row>
    <row r="9738" spans="1:5">
      <c r="A9738" t="s">
        <v>6</v>
      </c>
      <c r="B9738" t="s">
        <v>9743</v>
      </c>
      <c r="C9738">
        <f>HYPERLINK("C:\Users\franc\OneDrive\Documentos\MALENTIN KARIME\CESION\RESPALDO LUIS DIAZ\Mis documentos\VARIOS 2006\MINA LA ATUTEMA.doc", "Abrir Documento")</f>
        <v>0</v>
      </c>
      <c r="D9738" t="s">
        <v>23500</v>
      </c>
      <c r="E9738" t="s">
        <v>32213</v>
      </c>
    </row>
    <row r="9739" spans="1:5">
      <c r="A9739" t="s">
        <v>6</v>
      </c>
      <c r="B9739" t="s">
        <v>9744</v>
      </c>
      <c r="C9739">
        <f>HYPERLINK("C:\Users\franc\OneDrive\Documentos\MALENTIN KARIME\CESION\RESPALDO LUIS DIAZ\Mis documentos\VARIOS 2006\MINA JULIA.doc", "Abrir Documento")</f>
        <v>0</v>
      </c>
      <c r="D9739" t="s">
        <v>23500</v>
      </c>
      <c r="E9739" t="s">
        <v>32214</v>
      </c>
    </row>
    <row r="9740" spans="1:5">
      <c r="A9740" t="s">
        <v>6</v>
      </c>
      <c r="B9740" t="s">
        <v>9745</v>
      </c>
      <c r="C9740">
        <f>HYPERLINK("C:\Users\franc\OneDrive\Documentos\MALENTIN KARIME\CESION\RESPALDO LUIS DIAZ\Mis documentos\VARIOS 2006\MINA JUANITA.doc", "Abrir Documento")</f>
        <v>0</v>
      </c>
      <c r="D9740" t="s">
        <v>23500</v>
      </c>
      <c r="E9740" t="s">
        <v>32215</v>
      </c>
    </row>
    <row r="9741" spans="1:5">
      <c r="A9741" t="s">
        <v>6</v>
      </c>
      <c r="B9741" t="s">
        <v>9746</v>
      </c>
      <c r="C9741">
        <f>HYPERLINK("C:\Users\franc\OneDrive\Documentos\MALENTIN KARIME\CESION\RESPALDO LUIS DIAZ\Mis documentos\VARIOS 2006\MINA ESPERANZA.doc", "Abrir Documento")</f>
        <v>0</v>
      </c>
      <c r="D9741" t="s">
        <v>23500</v>
      </c>
      <c r="E9741" t="s">
        <v>32216</v>
      </c>
    </row>
    <row r="9742" spans="1:5">
      <c r="A9742" t="s">
        <v>6</v>
      </c>
      <c r="B9742" t="s">
        <v>9747</v>
      </c>
      <c r="C9742">
        <f>HYPERLINK("C:\Users\franc\OneDrive\Documentos\MALENTIN KARIME\CESION\RESPALDO LUIS DIAZ\Mis documentos\VARIOS 2006\MINA EL ROSARIO.doc", "Abrir Documento")</f>
        <v>0</v>
      </c>
      <c r="D9742" t="s">
        <v>23500</v>
      </c>
      <c r="E9742" t="s">
        <v>32217</v>
      </c>
    </row>
    <row r="9743" spans="1:5">
      <c r="A9743" t="s">
        <v>6</v>
      </c>
      <c r="B9743" t="s">
        <v>9748</v>
      </c>
      <c r="C9743">
        <f>HYPERLINK("C:\Users\franc\OneDrive\Documentos\MALENTIN KARIME\CESION\RESPALDO LUIS DIAZ\Mis documentos\VARIOS 2006\MINA EL RINCON.doc", "Abrir Documento")</f>
        <v>0</v>
      </c>
      <c r="D9743" t="s">
        <v>23500</v>
      </c>
      <c r="E9743" t="s">
        <v>32218</v>
      </c>
    </row>
    <row r="9744" spans="1:5">
      <c r="A9744" t="s">
        <v>6</v>
      </c>
      <c r="B9744" t="s">
        <v>9749</v>
      </c>
      <c r="C9744">
        <f>HYPERLINK("C:\Users\franc\OneDrive\Documentos\MALENTIN KARIME\CESION\RESPALDO LUIS DIAZ\Mis documentos\VARIOS 2006\MINA EL POZO.MAN.doc", "Abrir Documento")</f>
        <v>0</v>
      </c>
      <c r="D9744" t="s">
        <v>23500</v>
      </c>
      <c r="E9744" t="s">
        <v>32219</v>
      </c>
    </row>
    <row r="9745" spans="1:5">
      <c r="A9745" t="s">
        <v>6</v>
      </c>
      <c r="B9745" t="s">
        <v>9750</v>
      </c>
      <c r="C9745">
        <f>HYPERLINK("C:\Users\franc\OneDrive\Documentos\MALENTIN KARIME\CESION\RESPALDO LUIS DIAZ\Mis documentos\VARIOS 2006\MINA EL PIMIENTO.doc", "Abrir Documento")</f>
        <v>0</v>
      </c>
      <c r="D9745" t="s">
        <v>23500</v>
      </c>
      <c r="E9745" t="s">
        <v>32220</v>
      </c>
    </row>
    <row r="9746" spans="1:5">
      <c r="A9746" t="s">
        <v>6</v>
      </c>
      <c r="B9746" t="s">
        <v>9751</v>
      </c>
      <c r="C9746">
        <f>HYPERLINK("C:\Users\franc\OneDrive\Documentos\MALENTIN KARIME\CESION\RESPALDO LUIS DIAZ\Mis documentos\VARIOS 2006\MINA EL DURAZNO.doc", "Abrir Documento")</f>
        <v>0</v>
      </c>
      <c r="D9746" t="s">
        <v>23500</v>
      </c>
      <c r="E9746" t="s">
        <v>32221</v>
      </c>
    </row>
    <row r="9747" spans="1:5">
      <c r="A9747" t="s">
        <v>6</v>
      </c>
      <c r="B9747" t="s">
        <v>9752</v>
      </c>
      <c r="C9747">
        <f>HYPERLINK("C:\Users\franc\OneDrive\Documentos\MALENTIN KARIME\CESION\RESPALDO LUIS DIAZ\Mis documentos\VARIOS 2006\MINA EL BARRANCO.doc", "Abrir Documento")</f>
        <v>0</v>
      </c>
      <c r="D9747" t="s">
        <v>23500</v>
      </c>
      <c r="E9747" t="s">
        <v>32222</v>
      </c>
    </row>
    <row r="9748" spans="1:5">
      <c r="A9748" t="s">
        <v>6</v>
      </c>
      <c r="B9748" t="s">
        <v>9753</v>
      </c>
      <c r="C9748">
        <f>HYPERLINK("C:\Users\franc\OneDrive\Documentos\MALENTIN KARIME\CESION\RESPALDO LUIS DIAZ\Mis documentos\VARIOS 2006\MINA EL BARRANCO II.doc", "Abrir Documento")</f>
        <v>0</v>
      </c>
      <c r="D9748" t="s">
        <v>23500</v>
      </c>
      <c r="E9748" t="s">
        <v>32223</v>
      </c>
    </row>
    <row r="9749" spans="1:5">
      <c r="A9749" t="s">
        <v>6</v>
      </c>
      <c r="B9749" t="s">
        <v>9754</v>
      </c>
      <c r="C9749">
        <f>HYPERLINK("C:\Users\franc\OneDrive\Documentos\MALENTIN KARIME\CESION\RESPALDO LUIS DIAZ\Mis documentos\VARIOS 2006\MINA CRISTAL.doc", "Abrir Documento")</f>
        <v>0</v>
      </c>
      <c r="D9749" t="s">
        <v>23500</v>
      </c>
      <c r="E9749" t="s">
        <v>32224</v>
      </c>
    </row>
    <row r="9750" spans="1:5">
      <c r="A9750" t="s">
        <v>6</v>
      </c>
      <c r="B9750" t="s">
        <v>9755</v>
      </c>
      <c r="C9750">
        <f>HYPERLINK("C:\Users\franc\OneDrive\Documentos\MALENTIN KARIME\CESION\RESPALDO LUIS DIAZ\Mis documentos\VARIOS 2006\MINA COLORADA CHICA.doc", "Abrir Documento")</f>
        <v>0</v>
      </c>
      <c r="D9750" t="s">
        <v>23500</v>
      </c>
      <c r="E9750" t="s">
        <v>32225</v>
      </c>
    </row>
    <row r="9751" spans="1:5">
      <c r="A9751" t="s">
        <v>6</v>
      </c>
      <c r="B9751" t="s">
        <v>9756</v>
      </c>
      <c r="C9751">
        <f>HYPERLINK("C:\Users\franc\OneDrive\Documentos\MALENTIN KARIME\CESION\RESPALDO LUIS DIAZ\Mis documentos\VARIOS 2006\MINA CARRIZAL.doc", "Abrir Documento")</f>
        <v>0</v>
      </c>
      <c r="D9751" t="s">
        <v>23500</v>
      </c>
      <c r="E9751" t="s">
        <v>32226</v>
      </c>
    </row>
    <row r="9752" spans="1:5">
      <c r="A9752" t="s">
        <v>6</v>
      </c>
      <c r="B9752" t="s">
        <v>9757</v>
      </c>
      <c r="C9752">
        <f>HYPERLINK("C:\Users\franc\OneDrive\Documentos\MALENTIN KARIME\CESION\RESPALDO LUIS DIAZ\Mis documentos\VARIOS 2006\MINA CARMEN.doc", "Abrir Documento")</f>
        <v>0</v>
      </c>
      <c r="D9752" t="s">
        <v>23500</v>
      </c>
      <c r="E9752" t="s">
        <v>32227</v>
      </c>
    </row>
    <row r="9753" spans="1:5">
      <c r="A9753" t="s">
        <v>6</v>
      </c>
      <c r="B9753" t="s">
        <v>9758</v>
      </c>
      <c r="C9753">
        <f>HYPERLINK("C:\Users\franc\OneDrive\Documentos\MALENTIN KARIME\CESION\RESPALDO LUIS DIAZ\Mis documentos\VARIOS 2006\MINA BLANCA.doc", "Abrir Documento")</f>
        <v>0</v>
      </c>
      <c r="D9753" t="s">
        <v>23500</v>
      </c>
      <c r="E9753" t="s">
        <v>32228</v>
      </c>
    </row>
    <row r="9754" spans="1:5">
      <c r="A9754" t="s">
        <v>6</v>
      </c>
      <c r="B9754" t="s">
        <v>9759</v>
      </c>
      <c r="C9754">
        <f>HYPERLINK("C:\Users\franc\OneDrive\Documentos\MALENTIN KARIME\CESION\RESPALDO LUIS DIAZ\Mis documentos\VARIOS 2006\MINA ANDALUZ.doc", "Abrir Documento")</f>
        <v>0</v>
      </c>
      <c r="D9754" t="s">
        <v>23500</v>
      </c>
      <c r="E9754" t="s">
        <v>32229</v>
      </c>
    </row>
    <row r="9755" spans="1:5">
      <c r="A9755" t="s">
        <v>6</v>
      </c>
      <c r="B9755" t="s">
        <v>9760</v>
      </c>
      <c r="C9755">
        <f>HYPERLINK("C:\Users\franc\OneDrive\Documentos\MALENTIN KARIME\CESION\RESPALDO LUIS DIAZ\Mis documentos\VARIOS 2006\MINA ANAIS.doc", "Abrir Documento")</f>
        <v>0</v>
      </c>
      <c r="D9755" t="s">
        <v>23500</v>
      </c>
      <c r="E9755" t="s">
        <v>32230</v>
      </c>
    </row>
    <row r="9756" spans="1:5">
      <c r="A9756" t="s">
        <v>6</v>
      </c>
      <c r="B9756" t="s">
        <v>9761</v>
      </c>
      <c r="C9756">
        <f>HYPERLINK("C:\Users\franc\OneDrive\Documentos\MALENTIN KARIME\CESION\RESPALDO LUIS DIAZ\Mis documentos\VARIOS 2006\MICERINO.doc", "Abrir Documento")</f>
        <v>0</v>
      </c>
      <c r="D9756" t="s">
        <v>23500</v>
      </c>
      <c r="E9756" t="s">
        <v>32231</v>
      </c>
    </row>
    <row r="9757" spans="1:5">
      <c r="A9757" t="s">
        <v>6</v>
      </c>
      <c r="B9757" t="s">
        <v>9762</v>
      </c>
      <c r="C9757">
        <f>HYPERLINK("C:\Users\franc\OneDrive\Documentos\MALENTIN KARIME\CESION\RESPALDO LUIS DIAZ\Mis documentos\VARIOS 2006\MARIA LUISA.doc", "Abrir Documento")</f>
        <v>0</v>
      </c>
      <c r="D9757" t="s">
        <v>23500</v>
      </c>
      <c r="E9757" t="s">
        <v>32232</v>
      </c>
    </row>
    <row r="9758" spans="1:5">
      <c r="A9758" t="s">
        <v>6</v>
      </c>
      <c r="B9758" t="s">
        <v>9763</v>
      </c>
      <c r="C9758">
        <f>HYPERLINK("C:\Users\franc\OneDrive\Documentos\MALENTIN KARIME\CESION\RESPALDO LUIS DIAZ\Mis documentos\VARIOS 2006\MADREDEDIOS.MAN.doc", "Abrir Documento")</f>
        <v>0</v>
      </c>
      <c r="D9758" t="s">
        <v>23500</v>
      </c>
      <c r="E9758" t="s">
        <v>32233</v>
      </c>
    </row>
    <row r="9759" spans="1:5">
      <c r="A9759" t="s">
        <v>6</v>
      </c>
      <c r="B9759" t="s">
        <v>9764</v>
      </c>
      <c r="C9759">
        <f>HYPERLINK("C:\Users\franc\OneDrive\Documentos\MALENTIN KARIME\CESION\RESPALDO LUIS DIAZ\Mis documentos\VARIOS 2006\LUCERO V.doc", "Abrir Documento")</f>
        <v>0</v>
      </c>
      <c r="D9759" t="s">
        <v>23500</v>
      </c>
      <c r="E9759" t="s">
        <v>32234</v>
      </c>
    </row>
    <row r="9760" spans="1:5">
      <c r="A9760" t="s">
        <v>6</v>
      </c>
      <c r="B9760" t="s">
        <v>9765</v>
      </c>
      <c r="C9760">
        <f>HYPERLINK("C:\Users\franc\OneDrive\Documentos\MALENTIN KARIME\CESION\RESPALDO LUIS DIAZ\Mis documentos\VARIOS 2006\LOS TRES AMIGOS Rec..doc", "Abrir Documento")</f>
        <v>0</v>
      </c>
      <c r="D9760" t="s">
        <v>23500</v>
      </c>
      <c r="E9760" t="s">
        <v>32235</v>
      </c>
    </row>
    <row r="9761" spans="1:5">
      <c r="A9761" t="s">
        <v>6</v>
      </c>
      <c r="B9761" t="s">
        <v>9766</v>
      </c>
      <c r="C9761">
        <f>HYPERLINK("C:\Users\franc\OneDrive\Documentos\MALENTIN KARIME\CESION\RESPALDO LUIS DIAZ\Mis documentos\VARIOS 2006\LOS MAITENES.doc", "Abrir Documento")</f>
        <v>0</v>
      </c>
      <c r="D9761" t="s">
        <v>23500</v>
      </c>
      <c r="E9761" t="s">
        <v>32236</v>
      </c>
    </row>
    <row r="9762" spans="1:5">
      <c r="A9762" t="s">
        <v>6</v>
      </c>
      <c r="B9762" t="s">
        <v>9767</v>
      </c>
      <c r="C9762">
        <f>HYPERLINK("C:\Users\franc\OneDrive\Documentos\MALENTIN KARIME\CESION\RESPALDO LUIS DIAZ\Mis documentos\VARIOS 2006\LOS IBACACHES.doc", "Abrir Documento")</f>
        <v>0</v>
      </c>
      <c r="D9762" t="s">
        <v>23500</v>
      </c>
      <c r="E9762" t="s">
        <v>32237</v>
      </c>
    </row>
    <row r="9763" spans="1:5">
      <c r="A9763" t="s">
        <v>6</v>
      </c>
      <c r="B9763" t="s">
        <v>9768</v>
      </c>
      <c r="C9763">
        <f>HYPERLINK("C:\Users\franc\OneDrive\Documentos\MALENTIN KARIME\CESION\RESPALDO LUIS DIAZ\Mis documentos\VARIOS 2006\LOS ELIAS.doc", "Abrir Documento")</f>
        <v>0</v>
      </c>
      <c r="D9763" t="s">
        <v>23500</v>
      </c>
      <c r="E9763" t="s">
        <v>32238</v>
      </c>
    </row>
    <row r="9764" spans="1:5">
      <c r="A9764" t="s">
        <v>6</v>
      </c>
      <c r="B9764" t="s">
        <v>9769</v>
      </c>
      <c r="C9764">
        <f>HYPERLINK("C:\Users\franc\OneDrive\Documentos\MALENTIN KARIME\CESION\RESPALDO LUIS DIAZ\Mis documentos\VARIOS 2006\LOS DOS HNOS.doc", "Abrir Documento")</f>
        <v>0</v>
      </c>
      <c r="D9764" t="s">
        <v>23500</v>
      </c>
      <c r="E9764" t="s">
        <v>32239</v>
      </c>
    </row>
    <row r="9765" spans="1:5">
      <c r="A9765" t="s">
        <v>6</v>
      </c>
      <c r="B9765" t="s">
        <v>9770</v>
      </c>
      <c r="C9765">
        <f>HYPERLINK("C:\Users\franc\OneDrive\Documentos\MALENTIN KARIME\CESION\RESPALDO LUIS DIAZ\Mis documentos\VARIOS 2006\LOS DOS HERMANOS.doc", "Abrir Documento")</f>
        <v>0</v>
      </c>
      <c r="D9765" t="s">
        <v>23500</v>
      </c>
      <c r="E9765" t="s">
        <v>32240</v>
      </c>
    </row>
    <row r="9766" spans="1:5">
      <c r="A9766" t="s">
        <v>6</v>
      </c>
      <c r="B9766" t="s">
        <v>9771</v>
      </c>
      <c r="C9766">
        <f>HYPERLINK("C:\Users\franc\OneDrive\Documentos\MALENTIN KARIME\CESION\RESPALDO LUIS DIAZ\Mis documentos\VARIOS 2006\LOS DOS AMIGOS 1-5 Rectif..doc", "Abrir Documento")</f>
        <v>0</v>
      </c>
      <c r="D9766" t="s">
        <v>23500</v>
      </c>
      <c r="E9766" t="s">
        <v>32241</v>
      </c>
    </row>
    <row r="9767" spans="1:5">
      <c r="A9767" t="s">
        <v>6</v>
      </c>
      <c r="B9767" t="s">
        <v>9772</v>
      </c>
      <c r="C9767">
        <f>HYPERLINK("C:\Users\franc\OneDrive\Documentos\MALENTIN KARIME\CESION\RESPALDO LUIS DIAZ\Mis documentos\VARIOS 2006\LOS BUITRES.doc", "Abrir Documento")</f>
        <v>0</v>
      </c>
      <c r="D9767" t="s">
        <v>23500</v>
      </c>
      <c r="E9767" t="s">
        <v>32242</v>
      </c>
    </row>
    <row r="9768" spans="1:5">
      <c r="A9768" t="s">
        <v>6</v>
      </c>
      <c r="B9768" t="s">
        <v>9773</v>
      </c>
      <c r="C9768">
        <f>HYPERLINK("C:\Users\franc\OneDrive\Documentos\MALENTIN KARIME\CESION\RESPALDO LUIS DIAZ\Mis documentos\VARIOS 2006\LOS BORRACHOS.doc", "Abrir Documento")</f>
        <v>0</v>
      </c>
      <c r="D9768" t="s">
        <v>23500</v>
      </c>
      <c r="E9768" t="s">
        <v>32243</v>
      </c>
    </row>
    <row r="9769" spans="1:5">
      <c r="A9769" t="s">
        <v>6</v>
      </c>
      <c r="B9769" t="s">
        <v>9774</v>
      </c>
      <c r="C9769">
        <f>HYPERLINK("C:\Users\franc\OneDrive\Documentos\MALENTIN KARIME\CESION\RESPALDO LUIS DIAZ\Mis documentos\VARIOS 2006\LOS 7 MACHOS.doc", "Abrir Documento")</f>
        <v>0</v>
      </c>
      <c r="D9769" t="s">
        <v>23500</v>
      </c>
      <c r="E9769" t="s">
        <v>32244</v>
      </c>
    </row>
    <row r="9770" spans="1:5">
      <c r="A9770" t="s">
        <v>6</v>
      </c>
      <c r="B9770" t="s">
        <v>9775</v>
      </c>
      <c r="C9770">
        <f>HYPERLINK("C:\Users\franc\OneDrive\Documentos\MALENTIN KARIME\CESION\RESPALDO LUIS DIAZ\Mis documentos\VARIOS 2006\LOS 4 TORDOS.doc", "Abrir Documento")</f>
        <v>0</v>
      </c>
      <c r="D9770" t="s">
        <v>23500</v>
      </c>
      <c r="E9770" t="s">
        <v>32245</v>
      </c>
    </row>
    <row r="9771" spans="1:5">
      <c r="A9771" t="s">
        <v>6</v>
      </c>
      <c r="B9771" t="s">
        <v>9776</v>
      </c>
      <c r="C9771">
        <f>HYPERLINK("C:\Users\franc\OneDrive\Documentos\MALENTIN KARIME\CESION\RESPALDO LUIS DIAZ\Mis documentos\VARIOS 2006\LOS 3 CACHORROS.doc", "Abrir Documento")</f>
        <v>0</v>
      </c>
      <c r="D9771" t="s">
        <v>23500</v>
      </c>
      <c r="E9771" t="s">
        <v>32246</v>
      </c>
    </row>
    <row r="9772" spans="1:5">
      <c r="A9772" t="s">
        <v>6</v>
      </c>
      <c r="B9772" t="s">
        <v>9777</v>
      </c>
      <c r="C9772">
        <f>HYPERLINK("C:\Users\franc\OneDrive\Documentos\MALENTIN KARIME\CESION\RESPALDO LUIS DIAZ\Mis documentos\VARIOS 2006\LOS 2 AMIGOS.MAN.doc", "Abrir Documento")</f>
        <v>0</v>
      </c>
      <c r="D9772" t="s">
        <v>23500</v>
      </c>
      <c r="E9772" t="s">
        <v>32247</v>
      </c>
    </row>
    <row r="9773" spans="1:5">
      <c r="A9773" t="s">
        <v>6</v>
      </c>
      <c r="B9773" t="s">
        <v>9778</v>
      </c>
      <c r="C9773">
        <f>HYPERLINK("C:\Users\franc\OneDrive\Documentos\MALENTIN KARIME\CESION\RESPALDO LUIS DIAZ\Mis documentos\VARIOS 2006\LOGO.doc", "Abrir Documento")</f>
        <v>0</v>
      </c>
      <c r="D9773" t="s">
        <v>23500</v>
      </c>
      <c r="E9773" t="s">
        <v>32248</v>
      </c>
    </row>
    <row r="9774" spans="1:5">
      <c r="A9774" t="s">
        <v>6</v>
      </c>
      <c r="B9774" t="s">
        <v>9779</v>
      </c>
      <c r="C9774">
        <f>HYPERLINK("C:\Users\franc\OneDrive\Documentos\MALENTIN KARIME\CESION\RESPALDO LUIS DIAZ\Mis documentos\VARIOS 2006\LECHUZA BLANCA SEGUNDA.doc", "Abrir Documento")</f>
        <v>0</v>
      </c>
      <c r="D9774" t="s">
        <v>23500</v>
      </c>
      <c r="E9774" t="s">
        <v>32249</v>
      </c>
    </row>
    <row r="9775" spans="1:5">
      <c r="A9775" t="s">
        <v>6</v>
      </c>
      <c r="B9775" t="s">
        <v>9780</v>
      </c>
      <c r="C9775">
        <f>HYPERLINK("C:\Users\franc\OneDrive\Documentos\MALENTIN KARIME\CESION\RESPALDO LUIS DIAZ\Mis documentos\VARIOS 2006\LAS ÑIPITAS.doc", "Abrir Documento")</f>
        <v>0</v>
      </c>
      <c r="D9775" t="s">
        <v>23500</v>
      </c>
      <c r="E9775" t="s">
        <v>32250</v>
      </c>
    </row>
    <row r="9776" spans="1:5">
      <c r="A9776" t="s">
        <v>6</v>
      </c>
      <c r="B9776" t="s">
        <v>9781</v>
      </c>
      <c r="C9776">
        <f>HYPERLINK("C:\Users\franc\OneDrive\Documentos\MALENTIN KARIME\CESION\RESPALDO LUIS DIAZ\Mis documentos\VARIOS 2006\LAS TRES MARIAS UNA AL VEINTE.doc", "Abrir Documento")</f>
        <v>0</v>
      </c>
      <c r="D9776" t="s">
        <v>23500</v>
      </c>
      <c r="E9776" t="s">
        <v>32251</v>
      </c>
    </row>
    <row r="9777" spans="1:5">
      <c r="A9777" t="s">
        <v>6</v>
      </c>
      <c r="B9777" t="s">
        <v>9782</v>
      </c>
      <c r="C9777">
        <f>HYPERLINK("C:\Users\franc\OneDrive\Documentos\MALENTIN KARIME\CESION\RESPALDO LUIS DIAZ\Mis documentos\VARIOS 2006\LAS PERDICES.doc", "Abrir Documento")</f>
        <v>0</v>
      </c>
      <c r="D9777" t="s">
        <v>23500</v>
      </c>
      <c r="E9777" t="s">
        <v>32252</v>
      </c>
    </row>
    <row r="9778" spans="1:5">
      <c r="A9778" t="s">
        <v>6</v>
      </c>
      <c r="B9778" t="s">
        <v>9783</v>
      </c>
      <c r="C9778">
        <f>HYPERLINK("C:\Users\franc\OneDrive\Documentos\MALENTIN KARIME\CESION\RESPALDO LUIS DIAZ\Mis documentos\VARIOS 2006\LAS MORAS.doc", "Abrir Documento")</f>
        <v>0</v>
      </c>
      <c r="D9778" t="s">
        <v>23500</v>
      </c>
      <c r="E9778" t="s">
        <v>32253</v>
      </c>
    </row>
    <row r="9779" spans="1:5">
      <c r="A9779" t="s">
        <v>6</v>
      </c>
      <c r="B9779" t="s">
        <v>9784</v>
      </c>
      <c r="C9779">
        <f>HYPERLINK("C:\Users\franc\OneDrive\Documentos\MALENTIN KARIME\CESION\RESPALDO LUIS DIAZ\Mis documentos\VARIOS 2006\LAS MOLLACAS UNO.doc", "Abrir Documento")</f>
        <v>0</v>
      </c>
      <c r="D9779" t="s">
        <v>23500</v>
      </c>
      <c r="E9779" t="s">
        <v>32254</v>
      </c>
    </row>
    <row r="9780" spans="1:5">
      <c r="A9780" t="s">
        <v>6</v>
      </c>
      <c r="B9780" t="s">
        <v>9785</v>
      </c>
      <c r="C9780">
        <f>HYPERLINK("C:\Users\franc\OneDrive\Documentos\MALENTIN KARIME\CESION\RESPALDO LUIS DIAZ\Mis documentos\VARIOS 2006\LAS DOCE CABRAS.doc", "Abrir Documento")</f>
        <v>0</v>
      </c>
      <c r="D9780" t="s">
        <v>23500</v>
      </c>
      <c r="E9780" t="s">
        <v>32255</v>
      </c>
    </row>
    <row r="9781" spans="1:5">
      <c r="A9781" t="s">
        <v>6</v>
      </c>
      <c r="B9781" t="s">
        <v>9786</v>
      </c>
      <c r="C9781">
        <f>HYPERLINK("C:\Users\franc\OneDrive\Documentos\MALENTIN KARIME\CESION\RESPALDO LUIS DIAZ\Mis documentos\VARIOS 2006\LAS BRUJAS.doc", "Abrir Documento")</f>
        <v>0</v>
      </c>
      <c r="D9781" t="s">
        <v>23500</v>
      </c>
      <c r="E9781" t="s">
        <v>32256</v>
      </c>
    </row>
    <row r="9782" spans="1:5">
      <c r="A9782" t="s">
        <v>6</v>
      </c>
      <c r="B9782" t="s">
        <v>9787</v>
      </c>
      <c r="C9782">
        <f>HYPERLINK("C:\Users\franc\OneDrive\Documentos\MALENTIN KARIME\CESION\RESPALDO LUIS DIAZ\Mis documentos\VARIOS 2006\LAREINA.MAN.doc", "Abrir Documento")</f>
        <v>0</v>
      </c>
      <c r="D9782" t="s">
        <v>23500</v>
      </c>
      <c r="E9782" t="s">
        <v>32257</v>
      </c>
    </row>
    <row r="9783" spans="1:5">
      <c r="A9783" t="s">
        <v>6</v>
      </c>
      <c r="B9783" t="s">
        <v>9788</v>
      </c>
      <c r="C9783">
        <f>HYPERLINK("C:\Users\franc\OneDrive\Documentos\MALENTIN KARIME\CESION\RESPALDO LUIS DIAZ\Mis documentos\VARIOS 2006\LAPODEROSA.MAN.doc", "Abrir Documento")</f>
        <v>0</v>
      </c>
      <c r="D9783" t="s">
        <v>23500</v>
      </c>
      <c r="E9783" t="s">
        <v>32258</v>
      </c>
    </row>
    <row r="9784" spans="1:5">
      <c r="A9784" t="s">
        <v>6</v>
      </c>
      <c r="B9784" t="s">
        <v>9789</v>
      </c>
      <c r="C9784">
        <f>HYPERLINK("C:\Users\franc\OneDrive\Documentos\MALENTIN KARIME\CESION\RESPALDO LUIS DIAZ\Mis documentos\VARIOS 2006\LAPALOMA3.MAN.doc", "Abrir Documento")</f>
        <v>0</v>
      </c>
      <c r="D9784" t="s">
        <v>23500</v>
      </c>
      <c r="E9784" t="s">
        <v>32259</v>
      </c>
    </row>
    <row r="9785" spans="1:5">
      <c r="A9785" t="s">
        <v>6</v>
      </c>
      <c r="B9785" t="s">
        <v>9790</v>
      </c>
      <c r="C9785">
        <f>HYPERLINK("C:\Users\franc\OneDrive\Documentos\MALENTIN KARIME\CESION\RESPALDO LUIS DIAZ\Mis documentos\VARIOS 2006\LAHUIRO.MAN.doc", "Abrir Documento")</f>
        <v>0</v>
      </c>
      <c r="D9785" t="s">
        <v>23500</v>
      </c>
      <c r="E9785" t="s">
        <v>32260</v>
      </c>
    </row>
    <row r="9786" spans="1:5">
      <c r="A9786" t="s">
        <v>6</v>
      </c>
      <c r="B9786" t="s">
        <v>9791</v>
      </c>
      <c r="C9786">
        <f>HYPERLINK("C:\Users\franc\OneDrive\Documentos\MALENTIN KARIME\CESION\RESPALDO LUIS DIAZ\Mis documentos\VARIOS 2006\LAESPERANZA.MAN.doc", "Abrir Documento")</f>
        <v>0</v>
      </c>
      <c r="D9786" t="s">
        <v>23500</v>
      </c>
      <c r="E9786" t="s">
        <v>32261</v>
      </c>
    </row>
    <row r="9787" spans="1:5">
      <c r="A9787" t="s">
        <v>6</v>
      </c>
      <c r="B9787" t="s">
        <v>9792</v>
      </c>
      <c r="C9787">
        <f>HYPERLINK("C:\Users\franc\OneDrive\Documentos\MALENTIN KARIME\CESION\RESPALDO LUIS DIAZ\Mis documentos\VARIOS 2006\LACANELILLA.MAN.doc", "Abrir Documento")</f>
        <v>0</v>
      </c>
      <c r="D9787" t="s">
        <v>23500</v>
      </c>
      <c r="E9787" t="s">
        <v>32262</v>
      </c>
    </row>
    <row r="9788" spans="1:5">
      <c r="A9788" t="s">
        <v>6</v>
      </c>
      <c r="B9788" t="s">
        <v>9793</v>
      </c>
      <c r="C9788">
        <f>HYPERLINK("C:\Users\franc\OneDrive\Documentos\MALENTIN KARIME\CESION\RESPALDO LUIS DIAZ\Mis documentos\VARIOS 2006\LA YINA.doc", "Abrir Documento")</f>
        <v>0</v>
      </c>
      <c r="D9788" t="s">
        <v>23500</v>
      </c>
      <c r="E9788" t="s">
        <v>32263</v>
      </c>
    </row>
    <row r="9789" spans="1:5">
      <c r="A9789" t="s">
        <v>6</v>
      </c>
      <c r="B9789" t="s">
        <v>9794</v>
      </c>
      <c r="C9789">
        <f>HYPERLINK("C:\Users\franc\OneDrive\Documentos\MALENTIN KARIME\CESION\RESPALDO LUIS DIAZ\Mis documentos\VARIOS 2006\LA VID INMORTAL.doc", "Abrir Documento")</f>
        <v>0</v>
      </c>
      <c r="D9789" t="s">
        <v>23500</v>
      </c>
      <c r="E9789" t="s">
        <v>32264</v>
      </c>
    </row>
    <row r="9790" spans="1:5">
      <c r="A9790" t="s">
        <v>6</v>
      </c>
      <c r="B9790" t="s">
        <v>9795</v>
      </c>
      <c r="C9790">
        <f>HYPERLINK("C:\Users\franc\OneDrive\Documentos\MALENTIN KARIME\CESION\RESPALDO LUIS DIAZ\Mis documentos\VARIOS 2006\LA VICTORIA.doc", "Abrir Documento")</f>
        <v>0</v>
      </c>
      <c r="D9790" t="s">
        <v>23500</v>
      </c>
      <c r="E9790" t="s">
        <v>32265</v>
      </c>
    </row>
    <row r="9791" spans="1:5">
      <c r="A9791" t="s">
        <v>6</v>
      </c>
      <c r="B9791" t="s">
        <v>9796</v>
      </c>
      <c r="C9791">
        <f>HYPERLINK("C:\Users\franc\OneDrive\Documentos\MALENTIN KARIME\CESION\RESPALDO LUIS DIAZ\Mis documentos\VARIOS 2006\LA VEGA.MAN.doc", "Abrir Documento")</f>
        <v>0</v>
      </c>
      <c r="D9791" t="s">
        <v>23500</v>
      </c>
      <c r="E9791" t="s">
        <v>32266</v>
      </c>
    </row>
    <row r="9792" spans="1:5">
      <c r="A9792" t="s">
        <v>6</v>
      </c>
      <c r="B9792" t="s">
        <v>9797</v>
      </c>
      <c r="C9792">
        <f>HYPERLINK("C:\Users\franc\OneDrive\Documentos\MALENTIN KARIME\CESION\RESPALDO LUIS DIAZ\Mis documentos\VARIOS 2006\LA VEGA SECA.doc", "Abrir Documento")</f>
        <v>0</v>
      </c>
      <c r="D9792" t="s">
        <v>23500</v>
      </c>
      <c r="E9792" t="s">
        <v>32267</v>
      </c>
    </row>
    <row r="9793" spans="1:5">
      <c r="A9793" t="s">
        <v>6</v>
      </c>
      <c r="B9793" t="s">
        <v>9798</v>
      </c>
      <c r="C9793">
        <f>HYPERLINK("C:\Users\franc\OneDrive\Documentos\MALENTIN KARIME\CESION\RESPALDO LUIS DIAZ\Mis documentos\VARIOS 2006\LA UNION.doc", "Abrir Documento")</f>
        <v>0</v>
      </c>
      <c r="D9793" t="s">
        <v>23500</v>
      </c>
      <c r="E9793" t="s">
        <v>32268</v>
      </c>
    </row>
    <row r="9794" spans="1:5">
      <c r="A9794" t="s">
        <v>6</v>
      </c>
      <c r="B9794" t="s">
        <v>9799</v>
      </c>
      <c r="C9794">
        <f>HYPERLINK("C:\Users\franc\OneDrive\Documentos\MALENTIN KARIME\CESION\RESPALDO LUIS DIAZ\Mis documentos\VARIOS 2006\LA UNION 1-10.doc", "Abrir Documento")</f>
        <v>0</v>
      </c>
      <c r="D9794" t="s">
        <v>23500</v>
      </c>
      <c r="E9794" t="s">
        <v>32269</v>
      </c>
    </row>
    <row r="9795" spans="1:5">
      <c r="A9795" t="s">
        <v>6</v>
      </c>
      <c r="B9795" t="s">
        <v>9800</v>
      </c>
      <c r="C9795">
        <f>HYPERLINK("C:\Users\franc\OneDrive\Documentos\MALENTIN KARIME\CESION\RESPALDO LUIS DIAZ\Mis documentos\VARIOS 2006\LA SOLITARIA.doc", "Abrir Documento")</f>
        <v>0</v>
      </c>
      <c r="D9795" t="s">
        <v>23500</v>
      </c>
      <c r="E9795" t="s">
        <v>32270</v>
      </c>
    </row>
    <row r="9796" spans="1:5">
      <c r="A9796" t="s">
        <v>6</v>
      </c>
      <c r="B9796" t="s">
        <v>9801</v>
      </c>
      <c r="C9796">
        <f>HYPERLINK("C:\Users\franc\OneDrive\Documentos\MALENTIN KARIME\CESION\RESPALDO LUIS DIAZ\Mis documentos\VARIOS 2006\LA SOCORRO DOS Rectif..doc", "Abrir Documento")</f>
        <v>0</v>
      </c>
      <c r="D9796" t="s">
        <v>23500</v>
      </c>
      <c r="E9796" t="s">
        <v>32271</v>
      </c>
    </row>
    <row r="9797" spans="1:5">
      <c r="A9797" t="s">
        <v>6</v>
      </c>
      <c r="B9797" t="s">
        <v>9802</v>
      </c>
      <c r="C9797">
        <f>HYPERLINK("C:\Users\franc\OneDrive\Documentos\MALENTIN KARIME\CESION\RESPALDO LUIS DIAZ\Mis documentos\VARIOS 2006\LA SAN JAVIER.MAN.doc", "Abrir Documento")</f>
        <v>0</v>
      </c>
      <c r="D9797" t="s">
        <v>23500</v>
      </c>
      <c r="E9797" t="s">
        <v>32272</v>
      </c>
    </row>
    <row r="9798" spans="1:5">
      <c r="A9798" t="s">
        <v>6</v>
      </c>
      <c r="B9798" t="s">
        <v>9803</v>
      </c>
      <c r="C9798">
        <f>HYPERLINK("C:\Users\franc\OneDrive\Documentos\MALENTIN KARIME\CESION\RESPALDO LUIS DIAZ\Mis documentos\VARIOS 2006\LA SALVACION.doc", "Abrir Documento")</f>
        <v>0</v>
      </c>
      <c r="D9798" t="s">
        <v>23500</v>
      </c>
      <c r="E9798" t="s">
        <v>32273</v>
      </c>
    </row>
    <row r="9799" spans="1:5">
      <c r="A9799" t="s">
        <v>6</v>
      </c>
      <c r="B9799" t="s">
        <v>9804</v>
      </c>
      <c r="C9799">
        <f>HYPERLINK("C:\Users\franc\OneDrive\Documentos\MALENTIN KARIME\CESION\RESPALDO LUIS DIAZ\Mis documentos\VARIOS 2006\LA SACRIFICIO.doc", "Abrir Documento")</f>
        <v>0</v>
      </c>
      <c r="D9799" t="s">
        <v>23500</v>
      </c>
      <c r="E9799" t="s">
        <v>32274</v>
      </c>
    </row>
    <row r="9800" spans="1:5">
      <c r="A9800" t="s">
        <v>6</v>
      </c>
      <c r="B9800" t="s">
        <v>9805</v>
      </c>
      <c r="C9800">
        <f>HYPERLINK("C:\Users\franc\OneDrive\Documentos\MALENTIN KARIME\CESION\RESPALDO LUIS DIAZ\Mis documentos\VARIOS 2006\LA RUBIA.doc", "Abrir Documento")</f>
        <v>0</v>
      </c>
      <c r="D9800" t="s">
        <v>23500</v>
      </c>
      <c r="E9800" t="s">
        <v>32275</v>
      </c>
    </row>
    <row r="9801" spans="1:5">
      <c r="A9801" t="s">
        <v>6</v>
      </c>
      <c r="B9801" t="s">
        <v>9806</v>
      </c>
      <c r="C9801">
        <f>HYPERLINK("C:\Users\franc\OneDrive\Documentos\MALENTIN KARIME\CESION\RESPALDO LUIS DIAZ\Mis documentos\VARIOS 2006\LA RON DORADO. Rectif..doc", "Abrir Documento")</f>
        <v>0</v>
      </c>
      <c r="D9801" t="s">
        <v>23500</v>
      </c>
      <c r="E9801" t="s">
        <v>32276</v>
      </c>
    </row>
    <row r="9802" spans="1:5">
      <c r="A9802" t="s">
        <v>6</v>
      </c>
      <c r="B9802" t="s">
        <v>9807</v>
      </c>
      <c r="C9802">
        <f>HYPERLINK("C:\Users\franc\OneDrive\Documentos\MALENTIN KARIME\CESION\RESPALDO LUIS DIAZ\Mis documentos\VARIOS 2006\LA RIQUEZA.doc", "Abrir Documento")</f>
        <v>0</v>
      </c>
      <c r="D9802" t="s">
        <v>23500</v>
      </c>
      <c r="E9802" t="s">
        <v>32277</v>
      </c>
    </row>
    <row r="9803" spans="1:5">
      <c r="A9803" t="s">
        <v>6</v>
      </c>
      <c r="B9803" t="s">
        <v>9808</v>
      </c>
      <c r="C9803">
        <f>HYPERLINK("C:\Users\franc\OneDrive\Documentos\MALENTIN KARIME\CESION\RESPALDO LUIS DIAZ\Mis documentos\VARIOS 2006\LA REINA.doc", "Abrir Documento")</f>
        <v>0</v>
      </c>
      <c r="D9803" t="s">
        <v>23500</v>
      </c>
      <c r="E9803" t="s">
        <v>32278</v>
      </c>
    </row>
    <row r="9804" spans="1:5">
      <c r="A9804" t="s">
        <v>6</v>
      </c>
      <c r="B9804" t="s">
        <v>9809</v>
      </c>
      <c r="C9804">
        <f>HYPERLINK("C:\Users\franc\OneDrive\Documentos\MALENTIN KARIME\CESION\RESPALDO LUIS DIAZ\Mis documentos\VARIOS 2006\LA REGALO.doc", "Abrir Documento")</f>
        <v>0</v>
      </c>
      <c r="D9804" t="s">
        <v>23500</v>
      </c>
      <c r="E9804" t="s">
        <v>32279</v>
      </c>
    </row>
    <row r="9805" spans="1:5">
      <c r="A9805" t="s">
        <v>6</v>
      </c>
      <c r="B9805" t="s">
        <v>9810</v>
      </c>
      <c r="C9805">
        <f>HYPERLINK("C:\Users\franc\OneDrive\Documentos\MALENTIN KARIME\CESION\RESPALDO LUIS DIAZ\Mis documentos\VARIOS 2006\LA RECUPERADA.doc", "Abrir Documento")</f>
        <v>0</v>
      </c>
      <c r="D9805" t="s">
        <v>23500</v>
      </c>
      <c r="E9805" t="s">
        <v>32280</v>
      </c>
    </row>
    <row r="9806" spans="1:5">
      <c r="A9806" t="s">
        <v>6</v>
      </c>
      <c r="B9806" t="s">
        <v>9811</v>
      </c>
      <c r="C9806">
        <f>HYPERLINK("C:\Users\franc\OneDrive\Documentos\MALENTIN KARIME\CESION\RESPALDO LUIS DIAZ\Mis documentos\VARIOS 2006\LA RECUERDO  UNO AL 10.doc", "Abrir Documento")</f>
        <v>0</v>
      </c>
      <c r="D9806" t="s">
        <v>23500</v>
      </c>
      <c r="E9806" t="s">
        <v>32281</v>
      </c>
    </row>
    <row r="9807" spans="1:5">
      <c r="A9807" t="s">
        <v>6</v>
      </c>
      <c r="B9807" t="s">
        <v>9812</v>
      </c>
      <c r="C9807">
        <f>HYPERLINK("C:\Users\franc\OneDrive\Documentos\MALENTIN KARIME\CESION\RESPALDO LUIS DIAZ\Mis documentos\VARIOS 2006\LA QUEMADA BAJA.doc", "Abrir Documento")</f>
        <v>0</v>
      </c>
      <c r="D9807" t="s">
        <v>23500</v>
      </c>
      <c r="E9807" t="s">
        <v>32282</v>
      </c>
    </row>
    <row r="9808" spans="1:5">
      <c r="A9808" t="s">
        <v>6</v>
      </c>
      <c r="B9808" t="s">
        <v>9813</v>
      </c>
      <c r="C9808">
        <f>HYPERLINK("C:\Users\franc\OneDrive\Documentos\MALENTIN KARIME\CESION\RESPALDO LUIS DIAZ\Mis documentos\VARIOS 2006\LA QUEMADA ALTO.doc", "Abrir Documento")</f>
        <v>0</v>
      </c>
      <c r="D9808" t="s">
        <v>23500</v>
      </c>
      <c r="E9808" t="s">
        <v>32283</v>
      </c>
    </row>
    <row r="9809" spans="1:5">
      <c r="A9809" t="s">
        <v>6</v>
      </c>
      <c r="B9809" t="s">
        <v>9814</v>
      </c>
      <c r="C9809">
        <f>HYPERLINK("C:\Users\franc\OneDrive\Documentos\MALENTIN KARIME\CESION\RESPALDO LUIS DIAZ\Mis documentos\VARIOS 2006\LA QDA. DE LAS POZAS.doc", "Abrir Documento")</f>
        <v>0</v>
      </c>
      <c r="D9809" t="s">
        <v>23500</v>
      </c>
      <c r="E9809" t="s">
        <v>32284</v>
      </c>
    </row>
    <row r="9810" spans="1:5">
      <c r="A9810" t="s">
        <v>6</v>
      </c>
      <c r="B9810" t="s">
        <v>9815</v>
      </c>
      <c r="C9810">
        <f>HYPERLINK("C:\Users\franc\OneDrive\Documentos\MALENTIN KARIME\CESION\RESPALDO LUIS DIAZ\Mis documentos\VARIOS 2006\LA PULPICA.doc", "Abrir Documento")</f>
        <v>0</v>
      </c>
      <c r="D9810" t="s">
        <v>23500</v>
      </c>
      <c r="E9810" t="s">
        <v>32285</v>
      </c>
    </row>
    <row r="9811" spans="1:5">
      <c r="A9811" t="s">
        <v>6</v>
      </c>
      <c r="B9811" t="s">
        <v>9816</v>
      </c>
      <c r="C9811">
        <f>HYPERLINK("C:\Users\franc\OneDrive\Documentos\MALENTIN KARIME\CESION\RESPALDO LUIS DIAZ\Mis documentos\VARIOS 2006\LA PRIMA.MAN.doc", "Abrir Documento")</f>
        <v>0</v>
      </c>
      <c r="D9811" t="s">
        <v>23500</v>
      </c>
      <c r="E9811" t="s">
        <v>32286</v>
      </c>
    </row>
    <row r="9812" spans="1:5">
      <c r="A9812" t="s">
        <v>6</v>
      </c>
      <c r="B9812" t="s">
        <v>9817</v>
      </c>
      <c r="C9812">
        <f>HYPERLINK("C:\Users\franc\OneDrive\Documentos\MALENTIN KARIME\CESION\RESPALDO LUIS DIAZ\Mis documentos\VARIOS 2006\LA PORVENIR.doc", "Abrir Documento")</f>
        <v>0</v>
      </c>
      <c r="D9812" t="s">
        <v>23500</v>
      </c>
      <c r="E9812" t="s">
        <v>32287</v>
      </c>
    </row>
    <row r="9813" spans="1:5">
      <c r="A9813" t="s">
        <v>6</v>
      </c>
      <c r="B9813" t="s">
        <v>9818</v>
      </c>
      <c r="C9813">
        <f>HYPERLINK("C:\Users\franc\OneDrive\Documentos\MALENTIN KARIME\CESION\RESPALDO LUIS DIAZ\Mis documentos\VARIOS 2006\LA PORFIADA.doc", "Abrir Documento")</f>
        <v>0</v>
      </c>
      <c r="D9813" t="s">
        <v>23500</v>
      </c>
      <c r="E9813" t="s">
        <v>32288</v>
      </c>
    </row>
    <row r="9814" spans="1:5">
      <c r="A9814" t="s">
        <v>6</v>
      </c>
      <c r="B9814" t="s">
        <v>9819</v>
      </c>
      <c r="C9814">
        <f>HYPERLINK("C:\Users\franc\OneDrive\Documentos\MALENTIN KARIME\CESION\RESPALDO LUIS DIAZ\Mis documentos\VARIOS 2006\LA PODEROZA.doc", "Abrir Documento")</f>
        <v>0</v>
      </c>
      <c r="D9814" t="s">
        <v>23500</v>
      </c>
      <c r="E9814" t="s">
        <v>32289</v>
      </c>
    </row>
    <row r="9815" spans="1:5">
      <c r="A9815" t="s">
        <v>6</v>
      </c>
      <c r="B9815" t="s">
        <v>9820</v>
      </c>
      <c r="C9815">
        <f>HYPERLINK("C:\Users\franc\OneDrive\Documentos\MALENTIN KARIME\CESION\RESPALDO LUIS DIAZ\Mis documentos\VARIOS 2006\LA PERLA.doc", "Abrir Documento")</f>
        <v>0</v>
      </c>
      <c r="D9815" t="s">
        <v>23500</v>
      </c>
      <c r="E9815" t="s">
        <v>32290</v>
      </c>
    </row>
    <row r="9816" spans="1:5">
      <c r="A9816" t="s">
        <v>6</v>
      </c>
      <c r="B9816" t="s">
        <v>9821</v>
      </c>
      <c r="C9816">
        <f>HYPERLINK("C:\Users\franc\OneDrive\Documentos\MALENTIN KARIME\CESION\RESPALDO LUIS DIAZ\Mis documentos\VARIOS 2006\LA PERDIDA.doc", "Abrir Documento")</f>
        <v>0</v>
      </c>
      <c r="D9816" t="s">
        <v>23500</v>
      </c>
      <c r="E9816" t="s">
        <v>32291</v>
      </c>
    </row>
    <row r="9817" spans="1:5">
      <c r="A9817" t="s">
        <v>6</v>
      </c>
      <c r="B9817" t="s">
        <v>9822</v>
      </c>
      <c r="C9817">
        <f>HYPERLINK("C:\Users\franc\OneDrive\Documentos\MALENTIN KARIME\CESION\RESPALDO LUIS DIAZ\Mis documentos\VARIOS 2006\LA PANCHITA.doc", "Abrir Documento")</f>
        <v>0</v>
      </c>
      <c r="D9817" t="s">
        <v>23500</v>
      </c>
      <c r="E9817" t="s">
        <v>32292</v>
      </c>
    </row>
    <row r="9818" spans="1:5">
      <c r="A9818" t="s">
        <v>6</v>
      </c>
      <c r="B9818" t="s">
        <v>9823</v>
      </c>
      <c r="C9818">
        <f>HYPERLINK("C:\Users\franc\OneDrive\Documentos\MALENTIN KARIME\CESION\RESPALDO LUIS DIAZ\Mis documentos\VARIOS 2006\LA PALOMA5.MAN.doc", "Abrir Documento")</f>
        <v>0</v>
      </c>
      <c r="D9818" t="s">
        <v>23500</v>
      </c>
      <c r="E9818" t="s">
        <v>32293</v>
      </c>
    </row>
    <row r="9819" spans="1:5">
      <c r="A9819" t="s">
        <v>6</v>
      </c>
      <c r="B9819" t="s">
        <v>9824</v>
      </c>
      <c r="C9819">
        <f>HYPERLINK("C:\Users\franc\OneDrive\Documentos\MALENTIN KARIME\CESION\RESPALDO LUIS DIAZ\Mis documentos\VARIOS 2006\LA NUEVA ESPERANZA.MAN.doc", "Abrir Documento")</f>
        <v>0</v>
      </c>
      <c r="D9819" t="s">
        <v>23500</v>
      </c>
      <c r="E9819" t="s">
        <v>32294</v>
      </c>
    </row>
    <row r="9820" spans="1:5">
      <c r="A9820" t="s">
        <v>6</v>
      </c>
      <c r="B9820" t="s">
        <v>9825</v>
      </c>
      <c r="C9820">
        <f>HYPERLINK("C:\Users\franc\OneDrive\Documentos\MALENTIN KARIME\CESION\RESPALDO LUIS DIAZ\Mis documentos\VARIOS 2006\LA NOVIA.doc", "Abrir Documento")</f>
        <v>0</v>
      </c>
      <c r="D9820" t="s">
        <v>23500</v>
      </c>
      <c r="E9820" t="s">
        <v>32295</v>
      </c>
    </row>
    <row r="9821" spans="1:5">
      <c r="A9821" t="s">
        <v>6</v>
      </c>
      <c r="B9821" t="s">
        <v>9826</v>
      </c>
      <c r="C9821">
        <f>HYPERLINK("C:\Users\franc\OneDrive\Documentos\MALENTIN KARIME\CESION\RESPALDO LUIS DIAZ\Mis documentos\VARIOS 2006\LA NEGRITA.doc", "Abrir Documento")</f>
        <v>0</v>
      </c>
      <c r="D9821" t="s">
        <v>23500</v>
      </c>
      <c r="E9821" t="s">
        <v>32296</v>
      </c>
    </row>
    <row r="9822" spans="1:5">
      <c r="A9822" t="s">
        <v>6</v>
      </c>
      <c r="B9822" t="s">
        <v>9827</v>
      </c>
      <c r="C9822">
        <f>HYPERLINK("C:\Users\franc\OneDrive\Documentos\MALENTIN KARIME\CESION\RESPALDO LUIS DIAZ\Mis documentos\VARIOS 2006\LA NEGRITA UTM.doc", "Abrir Documento")</f>
        <v>0</v>
      </c>
      <c r="D9822" t="s">
        <v>23500</v>
      </c>
      <c r="E9822" t="s">
        <v>32297</v>
      </c>
    </row>
    <row r="9823" spans="1:5">
      <c r="A9823" t="s">
        <v>6</v>
      </c>
      <c r="B9823" t="s">
        <v>9828</v>
      </c>
      <c r="C9823">
        <f>HYPERLINK("C:\Users\franc\OneDrive\Documentos\MALENTIN KARIME\CESION\RESPALDO LUIS DIAZ\Mis documentos\VARIOS 2006\LA NEGRA BUENA.doc", "Abrir Documento")</f>
        <v>0</v>
      </c>
      <c r="D9823" t="s">
        <v>23500</v>
      </c>
      <c r="E9823" t="s">
        <v>32298</v>
      </c>
    </row>
    <row r="9824" spans="1:5">
      <c r="A9824" t="s">
        <v>6</v>
      </c>
      <c r="B9824" t="s">
        <v>9829</v>
      </c>
      <c r="C9824">
        <f>HYPERLINK("C:\Users\franc\OneDrive\Documentos\MALENTIN KARIME\CESION\RESPALDO LUIS DIAZ\Mis documentos\VARIOS 2006\LA MORENA.doc", "Abrir Documento")</f>
        <v>0</v>
      </c>
      <c r="D9824" t="s">
        <v>23500</v>
      </c>
      <c r="E9824" t="s">
        <v>32299</v>
      </c>
    </row>
    <row r="9825" spans="1:5">
      <c r="A9825" t="s">
        <v>6</v>
      </c>
      <c r="B9825" t="s">
        <v>9830</v>
      </c>
      <c r="C9825">
        <f>HYPERLINK("C:\Users\franc\OneDrive\Documentos\MALENTIN KARIME\CESION\RESPALDO LUIS DIAZ\Mis documentos\VARIOS 2006\LA MIRAMAR.doc", "Abrir Documento")</f>
        <v>0</v>
      </c>
      <c r="D9825" t="s">
        <v>23500</v>
      </c>
      <c r="E9825" t="s">
        <v>32300</v>
      </c>
    </row>
    <row r="9826" spans="1:5">
      <c r="A9826" t="s">
        <v>6</v>
      </c>
      <c r="B9826" t="s">
        <v>9831</v>
      </c>
      <c r="C9826">
        <f>HYPERLINK("C:\Users\franc\OneDrive\Documentos\MALENTIN KARIME\CESION\RESPALDO LUIS DIAZ\Mis documentos\VARIOS 2006\LA MARLENE.doc", "Abrir Documento")</f>
        <v>0</v>
      </c>
      <c r="D9826" t="s">
        <v>23500</v>
      </c>
      <c r="E9826" t="s">
        <v>32301</v>
      </c>
    </row>
    <row r="9827" spans="1:5">
      <c r="A9827" t="s">
        <v>6</v>
      </c>
      <c r="B9827" t="s">
        <v>9832</v>
      </c>
      <c r="C9827">
        <f>HYPERLINK("C:\Users\franc\OneDrive\Documentos\MALENTIN KARIME\CESION\RESPALDO LUIS DIAZ\Mis documentos\VARIOS 2006\LA MARIPOSA.MAN.doc", "Abrir Documento")</f>
        <v>0</v>
      </c>
      <c r="D9827" t="s">
        <v>23500</v>
      </c>
      <c r="E9827" t="s">
        <v>32302</v>
      </c>
    </row>
    <row r="9828" spans="1:5">
      <c r="A9828" t="s">
        <v>6</v>
      </c>
      <c r="B9828" t="s">
        <v>9833</v>
      </c>
      <c r="C9828">
        <f>HYPERLINK("C:\Users\franc\OneDrive\Documentos\MALENTIN KARIME\CESION\RESPALDO LUIS DIAZ\Mis documentos\VARIOS 2006\LA MARAVILLA.doc", "Abrir Documento")</f>
        <v>0</v>
      </c>
      <c r="D9828" t="s">
        <v>23500</v>
      </c>
      <c r="E9828" t="s">
        <v>32303</v>
      </c>
    </row>
    <row r="9829" spans="1:5">
      <c r="A9829" t="s">
        <v>6</v>
      </c>
      <c r="B9829" t="s">
        <v>9834</v>
      </c>
      <c r="C9829">
        <f>HYPERLINK("C:\Users\franc\OneDrive\Documentos\MALENTIN KARIME\CESION\RESPALDO LUIS DIAZ\Mis documentos\VARIOS 2006\LA MALVADA.doc", "Abrir Documento")</f>
        <v>0</v>
      </c>
      <c r="D9829" t="s">
        <v>23500</v>
      </c>
      <c r="E9829" t="s">
        <v>32304</v>
      </c>
    </row>
    <row r="9830" spans="1:5">
      <c r="A9830" t="s">
        <v>6</v>
      </c>
      <c r="B9830" t="s">
        <v>9835</v>
      </c>
      <c r="C9830">
        <f>HYPERLINK("C:\Users\franc\OneDrive\Documentos\MALENTIN KARIME\CESION\RESPALDO LUIS DIAZ\Mis documentos\VARIOS 2006\LA LUCERO.doc", "Abrir Documento")</f>
        <v>0</v>
      </c>
      <c r="D9830" t="s">
        <v>23500</v>
      </c>
      <c r="E9830" t="s">
        <v>32305</v>
      </c>
    </row>
    <row r="9831" spans="1:5">
      <c r="A9831" t="s">
        <v>6</v>
      </c>
      <c r="B9831" t="s">
        <v>9836</v>
      </c>
      <c r="C9831">
        <f>HYPERLINK("C:\Users\franc\OneDrive\Documentos\MALENTIN KARIME\CESION\RESPALDO LUIS DIAZ\Mis documentos\VARIOS 2006\LA LLORONA.doc", "Abrir Documento")</f>
        <v>0</v>
      </c>
      <c r="D9831" t="s">
        <v>23500</v>
      </c>
      <c r="E9831" t="s">
        <v>32306</v>
      </c>
    </row>
    <row r="9832" spans="1:5">
      <c r="A9832" t="s">
        <v>6</v>
      </c>
      <c r="B9832" t="s">
        <v>9837</v>
      </c>
      <c r="C9832">
        <f>HYPERLINK("C:\Users\franc\OneDrive\Documentos\MALENTIN KARIME\CESION\RESPALDO LUIS DIAZ\Mis documentos\VARIOS 2006\LA LECHUZA.MAN.doc", "Abrir Documento")</f>
        <v>0</v>
      </c>
      <c r="D9832" t="s">
        <v>23500</v>
      </c>
      <c r="E9832" t="s">
        <v>32307</v>
      </c>
    </row>
    <row r="9833" spans="1:5">
      <c r="A9833" t="s">
        <v>6</v>
      </c>
      <c r="B9833" t="s">
        <v>9838</v>
      </c>
      <c r="C9833">
        <f>HYPERLINK("C:\Users\franc\OneDrive\Documentos\MALENTIN KARIME\CESION\RESPALDO LUIS DIAZ\Mis documentos\VARIOS 2006\LA INDIA.doc", "Abrir Documento")</f>
        <v>0</v>
      </c>
      <c r="D9833" t="s">
        <v>23500</v>
      </c>
      <c r="E9833" t="s">
        <v>32308</v>
      </c>
    </row>
    <row r="9834" spans="1:5">
      <c r="A9834" t="s">
        <v>6</v>
      </c>
      <c r="B9834" t="s">
        <v>9839</v>
      </c>
      <c r="C9834">
        <f>HYPERLINK("C:\Users\franc\OneDrive\Documentos\MALENTIN KARIME\CESION\RESPALDO LUIS DIAZ\Mis documentos\VARIOS 2006\LA HUANACA.doc", "Abrir Documento")</f>
        <v>0</v>
      </c>
      <c r="D9834" t="s">
        <v>23500</v>
      </c>
      <c r="E9834" t="s">
        <v>32309</v>
      </c>
    </row>
    <row r="9835" spans="1:5">
      <c r="A9835" t="s">
        <v>6</v>
      </c>
      <c r="B9835" t="s">
        <v>9840</v>
      </c>
      <c r="C9835">
        <f>HYPERLINK("C:\Users\franc\OneDrive\Documentos\MALENTIN KARIME\CESION\RESPALDO LUIS DIAZ\Mis documentos\VARIOS 2006\LA HIGUERITA.doc", "Abrir Documento")</f>
        <v>0</v>
      </c>
      <c r="D9835" t="s">
        <v>23500</v>
      </c>
      <c r="E9835" t="s">
        <v>32310</v>
      </c>
    </row>
    <row r="9836" spans="1:5">
      <c r="A9836" t="s">
        <v>6</v>
      </c>
      <c r="B9836" t="s">
        <v>9841</v>
      </c>
      <c r="C9836">
        <f>HYPERLINK("C:\Users\franc\OneDrive\Documentos\MALENTIN KARIME\CESION\RESPALDO LUIS DIAZ\Mis documentos\VARIOS 2006\LA HERENCIA.doc", "Abrir Documento")</f>
        <v>0</v>
      </c>
      <c r="D9836" t="s">
        <v>23500</v>
      </c>
      <c r="E9836" t="s">
        <v>32311</v>
      </c>
    </row>
    <row r="9837" spans="1:5">
      <c r="A9837" t="s">
        <v>6</v>
      </c>
      <c r="B9837" t="s">
        <v>9842</v>
      </c>
      <c r="C9837">
        <f>HYPERLINK("C:\Users\franc\OneDrive\Documentos\MALENTIN KARIME\CESION\RESPALDO LUIS DIAZ\Mis documentos\VARIOS 2006\LA FRANCESCA.doc", "Abrir Documento")</f>
        <v>0</v>
      </c>
      <c r="D9837" t="s">
        <v>23500</v>
      </c>
      <c r="E9837" t="s">
        <v>32312</v>
      </c>
    </row>
    <row r="9838" spans="1:5">
      <c r="A9838" t="s">
        <v>6</v>
      </c>
      <c r="B9838" t="s">
        <v>9843</v>
      </c>
      <c r="C9838">
        <f>HYPERLINK("C:\Users\franc\OneDrive\Documentos\MALENTIN KARIME\CESION\RESPALDO LUIS DIAZ\Mis documentos\VARIOS 2006\LA FORTUNA.doc", "Abrir Documento")</f>
        <v>0</v>
      </c>
      <c r="D9838" t="s">
        <v>23500</v>
      </c>
      <c r="E9838" t="s">
        <v>32313</v>
      </c>
    </row>
    <row r="9839" spans="1:5">
      <c r="A9839" t="s">
        <v>6</v>
      </c>
      <c r="B9839" t="s">
        <v>9844</v>
      </c>
      <c r="C9839">
        <f>HYPERLINK("C:\Users\franc\OneDrive\Documentos\MALENTIN KARIME\CESION\RESPALDO LUIS DIAZ\Mis documentos\VARIOS 2006\LA FORTUNA 1-20.doc", "Abrir Documento")</f>
        <v>0</v>
      </c>
      <c r="D9839" t="s">
        <v>23500</v>
      </c>
      <c r="E9839" t="s">
        <v>32314</v>
      </c>
    </row>
    <row r="9840" spans="1:5">
      <c r="A9840" t="s">
        <v>6</v>
      </c>
      <c r="B9840" t="s">
        <v>9845</v>
      </c>
      <c r="C9840">
        <f>HYPERLINK("C:\Users\franc\OneDrive\Documentos\MALENTIN KARIME\CESION\RESPALDO LUIS DIAZ\Mis documentos\VARIOS 2006\LA FORTUNA 1-10.doc", "Abrir Documento")</f>
        <v>0</v>
      </c>
      <c r="D9840" t="s">
        <v>23500</v>
      </c>
      <c r="E9840" t="s">
        <v>32315</v>
      </c>
    </row>
    <row r="9841" spans="1:5">
      <c r="A9841" t="s">
        <v>6</v>
      </c>
      <c r="B9841" t="s">
        <v>9846</v>
      </c>
      <c r="C9841">
        <f>HYPERLINK("C:\Users\franc\OneDrive\Documentos\MALENTIN KARIME\CESION\RESPALDO LUIS DIAZ\Mis documentos\VARIOS 2006\LA FORTUNA 1 AL 20.doc", "Abrir Documento")</f>
        <v>0</v>
      </c>
      <c r="D9841" t="s">
        <v>23500</v>
      </c>
      <c r="E9841" t="s">
        <v>32316</v>
      </c>
    </row>
    <row r="9842" spans="1:5">
      <c r="A9842" t="s">
        <v>6</v>
      </c>
      <c r="B9842" t="s">
        <v>9847</v>
      </c>
      <c r="C9842">
        <f>HYPERLINK("C:\Users\franc\OneDrive\Documentos\MALENTIN KARIME\CESION\RESPALDO LUIS DIAZ\Mis documentos\VARIOS 2006\LA ESPERANZA UNO.doc", "Abrir Documento")</f>
        <v>0</v>
      </c>
      <c r="D9842" t="s">
        <v>23500</v>
      </c>
      <c r="E9842" t="s">
        <v>32317</v>
      </c>
    </row>
    <row r="9843" spans="1:5">
      <c r="A9843" t="s">
        <v>6</v>
      </c>
      <c r="B9843" t="s">
        <v>9848</v>
      </c>
      <c r="C9843">
        <f>HYPERLINK("C:\Users\franc\OneDrive\Documentos\MALENTIN KARIME\CESION\RESPALDO LUIS DIAZ\Mis documentos\VARIOS 2006\LA ESPERANZA 1-10.doc", "Abrir Documento")</f>
        <v>0</v>
      </c>
      <c r="D9843" t="s">
        <v>23500</v>
      </c>
      <c r="E9843" t="s">
        <v>32318</v>
      </c>
    </row>
    <row r="9844" spans="1:5">
      <c r="A9844" t="s">
        <v>6</v>
      </c>
      <c r="B9844" t="s">
        <v>9849</v>
      </c>
      <c r="C9844">
        <f>HYPERLINK("C:\Users\franc\OneDrive\Documentos\MALENTIN KARIME\CESION\RESPALDO LUIS DIAZ\Mis documentos\VARIOS 2006\LA ESCONDIDAII.MAN.doc", "Abrir Documento")</f>
        <v>0</v>
      </c>
      <c r="D9844" t="s">
        <v>23500</v>
      </c>
      <c r="E9844" t="s">
        <v>32319</v>
      </c>
    </row>
    <row r="9845" spans="1:5">
      <c r="A9845" t="s">
        <v>6</v>
      </c>
      <c r="B9845" t="s">
        <v>9850</v>
      </c>
      <c r="C9845">
        <f>HYPERLINK("C:\Users\franc\OneDrive\Documentos\MALENTIN KARIME\CESION\RESPALDO LUIS DIAZ\Mis documentos\VARIOS 2006\LA ESCONDIDA.doc", "Abrir Documento")</f>
        <v>0</v>
      </c>
      <c r="D9845" t="s">
        <v>23500</v>
      </c>
      <c r="E9845" t="s">
        <v>32320</v>
      </c>
    </row>
    <row r="9846" spans="1:5">
      <c r="A9846" t="s">
        <v>6</v>
      </c>
      <c r="B9846" t="s">
        <v>9851</v>
      </c>
      <c r="C9846">
        <f>HYPERLINK("C:\Users\franc\OneDrive\Documentos\MALENTIN KARIME\CESION\RESPALDO LUIS DIAZ\Mis documentos\VARIOS 2006\LA DESPRECIADA.MAN.doc", "Abrir Documento")</f>
        <v>0</v>
      </c>
      <c r="D9846" t="s">
        <v>23500</v>
      </c>
      <c r="E9846" t="s">
        <v>32321</v>
      </c>
    </row>
    <row r="9847" spans="1:5">
      <c r="A9847" t="s">
        <v>6</v>
      </c>
      <c r="B9847" t="s">
        <v>9852</v>
      </c>
      <c r="C9847">
        <f>HYPERLINK("C:\Users\franc\OneDrive\Documentos\MALENTIN KARIME\CESION\RESPALDO LUIS DIAZ\Mis documentos\VARIOS 2006\LA DESPRECIADA.doc", "Abrir Documento")</f>
        <v>0</v>
      </c>
      <c r="D9847" t="s">
        <v>23500</v>
      </c>
      <c r="E9847" t="s">
        <v>32322</v>
      </c>
    </row>
    <row r="9848" spans="1:5">
      <c r="A9848" t="s">
        <v>6</v>
      </c>
      <c r="B9848" t="s">
        <v>9853</v>
      </c>
      <c r="C9848">
        <f>HYPERLINK("C:\Users\franc\OneDrive\Documentos\MALENTIN KARIME\CESION\RESPALDO LUIS DIAZ\Mis documentos\VARIOS 2006\LA DESPRECIADA 1-5.MAN.doc", "Abrir Documento")</f>
        <v>0</v>
      </c>
      <c r="D9848" t="s">
        <v>23500</v>
      </c>
      <c r="E9848" t="s">
        <v>32323</v>
      </c>
    </row>
    <row r="9849" spans="1:5">
      <c r="A9849" t="s">
        <v>6</v>
      </c>
      <c r="B9849" t="s">
        <v>9854</v>
      </c>
      <c r="C9849">
        <f>HYPERLINK("C:\Users\franc\OneDrive\Documentos\MALENTIN KARIME\CESION\RESPALDO LUIS DIAZ\Mis documentos\VARIOS 2006\LA DESPRECIADA 1-20.doc", "Abrir Documento")</f>
        <v>0</v>
      </c>
      <c r="D9849" t="s">
        <v>23500</v>
      </c>
      <c r="E9849" t="s">
        <v>32324</v>
      </c>
    </row>
    <row r="9850" spans="1:5">
      <c r="A9850" t="s">
        <v>6</v>
      </c>
      <c r="B9850" t="s">
        <v>9855</v>
      </c>
      <c r="C9850">
        <f>HYPERLINK("C:\Users\franc\OneDrive\Documentos\MALENTIN KARIME\CESION\RESPALDO LUIS DIAZ\Mis documentos\VARIOS 2006\LA DESPRECIADA 1-10.doc", "Abrir Documento")</f>
        <v>0</v>
      </c>
      <c r="D9850" t="s">
        <v>23500</v>
      </c>
      <c r="E9850" t="s">
        <v>32325</v>
      </c>
    </row>
    <row r="9851" spans="1:5">
      <c r="A9851" t="s">
        <v>6</v>
      </c>
      <c r="B9851" t="s">
        <v>9856</v>
      </c>
      <c r="C9851">
        <f>HYPERLINK("C:\Users\franc\OneDrive\Documentos\MALENTIN KARIME\CESION\RESPALDO LUIS DIAZ\Mis documentos\VARIOS 2006\LA DESPRECIADA 1 AL 5.doc", "Abrir Documento")</f>
        <v>0</v>
      </c>
      <c r="D9851" t="s">
        <v>23500</v>
      </c>
      <c r="E9851" t="s">
        <v>32326</v>
      </c>
    </row>
    <row r="9852" spans="1:5">
      <c r="A9852" t="s">
        <v>6</v>
      </c>
      <c r="B9852" t="s">
        <v>9857</v>
      </c>
      <c r="C9852">
        <f>HYPERLINK("C:\Users\franc\OneDrive\Documentos\MALENTIN KARIME\CESION\RESPALDO LUIS DIAZ\Mis documentos\VARIOS 2006\LA DESPRECIADA 1 AL 5 Man.doc", "Abrir Documento")</f>
        <v>0</v>
      </c>
      <c r="D9852" t="s">
        <v>23500</v>
      </c>
      <c r="E9852" t="s">
        <v>32327</v>
      </c>
    </row>
    <row r="9853" spans="1:5">
      <c r="A9853" t="s">
        <v>6</v>
      </c>
      <c r="B9853" t="s">
        <v>9858</v>
      </c>
      <c r="C9853">
        <f>HYPERLINK("C:\Users\franc\OneDrive\Documentos\MALENTIN KARIME\CESION\RESPALDO LUIS DIAZ\Mis documentos\VARIOS 2006\LA DESPRECIADA 1 AL 20.doc", "Abrir Documento")</f>
        <v>0</v>
      </c>
      <c r="D9853" t="s">
        <v>23500</v>
      </c>
      <c r="E9853" t="s">
        <v>32328</v>
      </c>
    </row>
    <row r="9854" spans="1:5">
      <c r="A9854" t="s">
        <v>6</v>
      </c>
      <c r="B9854" t="s">
        <v>9859</v>
      </c>
      <c r="C9854">
        <f>HYPERLINK("C:\Users\franc\OneDrive\Documentos\MALENTIN KARIME\CESION\RESPALDO LUIS DIAZ\Mis documentos\VARIOS 2006\LA CUESTA.doc", "Abrir Documento")</f>
        <v>0</v>
      </c>
      <c r="D9854" t="s">
        <v>23500</v>
      </c>
      <c r="E9854" t="s">
        <v>32329</v>
      </c>
    </row>
    <row r="9855" spans="1:5">
      <c r="A9855" t="s">
        <v>6</v>
      </c>
      <c r="B9855" t="s">
        <v>9860</v>
      </c>
      <c r="C9855">
        <f>HYPERLINK("C:\Users\franc\OneDrive\Documentos\MALENTIN KARIME\CESION\RESPALDO LUIS DIAZ\Mis documentos\VARIOS 2006\LA CUBANITA.doc", "Abrir Documento")</f>
        <v>0</v>
      </c>
      <c r="D9855" t="s">
        <v>23500</v>
      </c>
      <c r="E9855" t="s">
        <v>32330</v>
      </c>
    </row>
    <row r="9856" spans="1:5">
      <c r="A9856" t="s">
        <v>6</v>
      </c>
      <c r="B9856" t="s">
        <v>9861</v>
      </c>
      <c r="C9856">
        <f>HYPERLINK("C:\Users\franc\OneDrive\Documentos\MALENTIN KARIME\CESION\RESPALDO LUIS DIAZ\Mis documentos\VARIOS 2006\LA CRUCERO.doc", "Abrir Documento")</f>
        <v>0</v>
      </c>
      <c r="D9856" t="s">
        <v>23500</v>
      </c>
      <c r="E9856" t="s">
        <v>32331</v>
      </c>
    </row>
    <row r="9857" spans="1:5">
      <c r="A9857" t="s">
        <v>6</v>
      </c>
      <c r="B9857" t="s">
        <v>9862</v>
      </c>
      <c r="C9857">
        <f>HYPERLINK("C:\Users\franc\OneDrive\Documentos\MALENTIN KARIME\CESION\RESPALDO LUIS DIAZ\Mis documentos\VARIOS 2006\LA CREA.doc", "Abrir Documento")</f>
        <v>0</v>
      </c>
      <c r="D9857" t="s">
        <v>23500</v>
      </c>
      <c r="E9857" t="s">
        <v>32332</v>
      </c>
    </row>
    <row r="9858" spans="1:5">
      <c r="A9858" t="s">
        <v>6</v>
      </c>
      <c r="B9858" t="s">
        <v>9863</v>
      </c>
      <c r="C9858">
        <f>HYPERLINK("C:\Users\franc\OneDrive\Documentos\MALENTIN KARIME\CESION\RESPALDO LUIS DIAZ\Mis documentos\VARIOS 2006\LA COLMENA.doc", "Abrir Documento")</f>
        <v>0</v>
      </c>
      <c r="D9858" t="s">
        <v>23500</v>
      </c>
      <c r="E9858" t="s">
        <v>32333</v>
      </c>
    </row>
    <row r="9859" spans="1:5">
      <c r="A9859" t="s">
        <v>6</v>
      </c>
      <c r="B9859" t="s">
        <v>9864</v>
      </c>
      <c r="C9859">
        <f>HYPERLINK("C:\Users\franc\OneDrive\Documentos\MALENTIN KARIME\CESION\RESPALDO LUIS DIAZ\Mis documentos\VARIOS 2006\LA CHICOCA.doc", "Abrir Documento")</f>
        <v>0</v>
      </c>
      <c r="D9859" t="s">
        <v>23500</v>
      </c>
      <c r="E9859" t="s">
        <v>32334</v>
      </c>
    </row>
    <row r="9860" spans="1:5">
      <c r="A9860" t="s">
        <v>6</v>
      </c>
      <c r="B9860" t="s">
        <v>9865</v>
      </c>
      <c r="C9860">
        <f>HYPERLINK("C:\Users\franc\OneDrive\Documentos\MALENTIN KARIME\CESION\RESPALDO LUIS DIAZ\Mis documentos\VARIOS 2006\LA CHICA DOS.doc", "Abrir Documento")</f>
        <v>0</v>
      </c>
      <c r="D9860" t="s">
        <v>23500</v>
      </c>
      <c r="E9860" t="s">
        <v>32335</v>
      </c>
    </row>
    <row r="9861" spans="1:5">
      <c r="A9861" t="s">
        <v>6</v>
      </c>
      <c r="B9861" t="s">
        <v>9866</v>
      </c>
      <c r="C9861">
        <f>HYPERLINK("C:\Users\franc\OneDrive\Documentos\MALENTIN KARIME\CESION\RESPALDO LUIS DIAZ\Mis documentos\VARIOS 2006\LA CENIZA.doc", "Abrir Documento")</f>
        <v>0</v>
      </c>
      <c r="D9861" t="s">
        <v>23500</v>
      </c>
      <c r="E9861" t="s">
        <v>32336</v>
      </c>
    </row>
    <row r="9862" spans="1:5">
      <c r="A9862" t="s">
        <v>6</v>
      </c>
      <c r="B9862" t="s">
        <v>9867</v>
      </c>
      <c r="C9862">
        <f>HYPERLINK("C:\Users\franc\OneDrive\Documentos\MALENTIN KARIME\CESION\RESPALDO LUIS DIAZ\Mis documentos\VARIOS 2006\LA CARRIZALINA.doc", "Abrir Documento")</f>
        <v>0</v>
      </c>
      <c r="D9862" t="s">
        <v>23500</v>
      </c>
      <c r="E9862" t="s">
        <v>32337</v>
      </c>
    </row>
    <row r="9863" spans="1:5">
      <c r="A9863" t="s">
        <v>6</v>
      </c>
      <c r="B9863" t="s">
        <v>9868</v>
      </c>
      <c r="C9863">
        <f>HYPERLINK("C:\Users\franc\OneDrive\Documentos\MALENTIN KARIME\CESION\RESPALDO LUIS DIAZ\Mis documentos\VARIOS 2006\LA CARIÑITO.MAN.doc", "Abrir Documento")</f>
        <v>0</v>
      </c>
      <c r="D9863" t="s">
        <v>23500</v>
      </c>
      <c r="E9863" t="s">
        <v>32338</v>
      </c>
    </row>
    <row r="9864" spans="1:5">
      <c r="A9864" t="s">
        <v>6</v>
      </c>
      <c r="B9864" t="s">
        <v>9869</v>
      </c>
      <c r="C9864">
        <f>HYPERLINK("C:\Users\franc\OneDrive\Documentos\MALENTIN KARIME\CESION\RESPALDO LUIS DIAZ\Mis documentos\VARIOS 2006\LA CANELILLA.doc", "Abrir Documento")</f>
        <v>0</v>
      </c>
      <c r="D9864" t="s">
        <v>23500</v>
      </c>
      <c r="E9864" t="s">
        <v>32339</v>
      </c>
    </row>
    <row r="9865" spans="1:5">
      <c r="A9865" t="s">
        <v>6</v>
      </c>
      <c r="B9865" t="s">
        <v>9870</v>
      </c>
      <c r="C9865">
        <f>HYPERLINK("C:\Users\franc\OneDrive\Documentos\MALENTIN KARIME\CESION\RESPALDO LUIS DIAZ\Mis documentos\VARIOS 2006\LA CALETA DE COBRE.doc", "Abrir Documento")</f>
        <v>0</v>
      </c>
      <c r="D9865" t="s">
        <v>23500</v>
      </c>
      <c r="E9865" t="s">
        <v>32340</v>
      </c>
    </row>
    <row r="9866" spans="1:5">
      <c r="A9866" t="s">
        <v>6</v>
      </c>
      <c r="B9866" t="s">
        <v>9871</v>
      </c>
      <c r="C9866">
        <f>HYPERLINK("C:\Users\franc\OneDrive\Documentos\MALENTIN KARIME\CESION\RESPALDO LUIS DIAZ\Mis documentos\VARIOS 2006\LA BLANCA.doc", "Abrir Documento")</f>
        <v>0</v>
      </c>
      <c r="D9866" t="s">
        <v>23500</v>
      </c>
      <c r="E9866" t="s">
        <v>32341</v>
      </c>
    </row>
    <row r="9867" spans="1:5">
      <c r="A9867" t="s">
        <v>6</v>
      </c>
      <c r="B9867" t="s">
        <v>9872</v>
      </c>
      <c r="C9867">
        <f>HYPERLINK("C:\Users\franc\OneDrive\Documentos\MALENTIN KARIME\CESION\RESPALDO LUIS DIAZ\Mis documentos\VARIOS 2006\LA BLANCA II.doc", "Abrir Documento")</f>
        <v>0</v>
      </c>
      <c r="D9867" t="s">
        <v>23500</v>
      </c>
      <c r="E9867" t="s">
        <v>32342</v>
      </c>
    </row>
    <row r="9868" spans="1:5">
      <c r="A9868" t="s">
        <v>6</v>
      </c>
      <c r="B9868" t="s">
        <v>9873</v>
      </c>
      <c r="C9868">
        <f>HYPERLINK("C:\Users\franc\OneDrive\Documentos\MALENTIN KARIME\CESION\RESPALDO LUIS DIAZ\Mis documentos\VARIOS 2006\LA BLANCA 1 - 5.doc", "Abrir Documento")</f>
        <v>0</v>
      </c>
      <c r="D9868" t="s">
        <v>23500</v>
      </c>
      <c r="E9868" t="s">
        <v>32343</v>
      </c>
    </row>
    <row r="9869" spans="1:5">
      <c r="A9869" t="s">
        <v>6</v>
      </c>
      <c r="B9869" t="s">
        <v>9874</v>
      </c>
      <c r="C9869">
        <f>HYPERLINK("C:\Users\franc\OneDrive\Documentos\MALENTIN KARIME\CESION\RESPALDO LUIS DIAZ\Mis documentos\VARIOS 2006\LA BENDICION.doc", "Abrir Documento")</f>
        <v>0</v>
      </c>
      <c r="D9869" t="s">
        <v>23500</v>
      </c>
      <c r="E9869" t="s">
        <v>32344</v>
      </c>
    </row>
    <row r="9870" spans="1:5">
      <c r="A9870" t="s">
        <v>6</v>
      </c>
      <c r="B9870" t="s">
        <v>9875</v>
      </c>
      <c r="C9870">
        <f>HYPERLINK("C:\Users\franc\OneDrive\Documentos\MALENTIN KARIME\CESION\RESPALDO LUIS DIAZ\Mis documentos\VARIOS 2006\LA ATUTEMA.MAN.doc", "Abrir Documento")</f>
        <v>0</v>
      </c>
      <c r="D9870" t="s">
        <v>23500</v>
      </c>
      <c r="E9870" t="s">
        <v>32345</v>
      </c>
    </row>
    <row r="9871" spans="1:5">
      <c r="A9871" t="s">
        <v>6</v>
      </c>
      <c r="B9871" t="s">
        <v>9876</v>
      </c>
      <c r="C9871">
        <f>HYPERLINK("C:\Users\franc\OneDrive\Documentos\MALENTIN KARIME\CESION\RESPALDO LUIS DIAZ\Mis documentos\VARIOS 2006\LA AMOLANA PRIMERA.doc", "Abrir Documento")</f>
        <v>0</v>
      </c>
      <c r="D9871" t="s">
        <v>23500</v>
      </c>
      <c r="E9871" t="s">
        <v>32346</v>
      </c>
    </row>
    <row r="9872" spans="1:5">
      <c r="A9872" t="s">
        <v>6</v>
      </c>
      <c r="B9872" t="s">
        <v>9877</v>
      </c>
      <c r="C9872">
        <f>HYPERLINK("C:\Users\franc\OneDrive\Documentos\MALENTIN KARIME\CESION\RESPALDO LUIS DIAZ\Mis documentos\VARIOS 2006\LA ALEJANA.doc", "Abrir Documento")</f>
        <v>0</v>
      </c>
      <c r="D9872" t="s">
        <v>23500</v>
      </c>
      <c r="E9872" t="s">
        <v>32347</v>
      </c>
    </row>
    <row r="9873" spans="1:5">
      <c r="A9873" t="s">
        <v>6</v>
      </c>
      <c r="B9873" t="s">
        <v>9878</v>
      </c>
      <c r="C9873">
        <f>HYPERLINK("C:\Users\franc\OneDrive\Documentos\MALENTIN KARIME\CESION\RESPALDO LUIS DIAZ\Mis documentos\VARIOS 2006\LA ALEJANA SEGUNDA.doc", "Abrir Documento")</f>
        <v>0</v>
      </c>
      <c r="D9873" t="s">
        <v>23500</v>
      </c>
      <c r="E9873" t="s">
        <v>32348</v>
      </c>
    </row>
    <row r="9874" spans="1:5">
      <c r="A9874" t="s">
        <v>6</v>
      </c>
      <c r="B9874" t="s">
        <v>9879</v>
      </c>
      <c r="C9874">
        <f>HYPERLINK("C:\Users\franc\OneDrive\Documentos\MALENTIN KARIME\CESION\RESPALDO LUIS DIAZ\Mis documentos\VARIOS 2006\LA ABANDONADA.MAN.doc", "Abrir Documento")</f>
        <v>0</v>
      </c>
      <c r="D9874" t="s">
        <v>23500</v>
      </c>
      <c r="E9874" t="s">
        <v>32349</v>
      </c>
    </row>
    <row r="9875" spans="1:5">
      <c r="A9875" t="s">
        <v>6</v>
      </c>
      <c r="B9875" t="s">
        <v>9880</v>
      </c>
      <c r="C9875">
        <f>HYPERLINK("C:\Users\franc\OneDrive\Documentos\MALENTIN KARIME\CESION\RESPALDO LUIS DIAZ\Mis documentos\VARIOS 2006\KINO.doc", "Abrir Documento")</f>
        <v>0</v>
      </c>
      <c r="D9875" t="s">
        <v>23500</v>
      </c>
      <c r="E9875" t="s">
        <v>32350</v>
      </c>
    </row>
    <row r="9876" spans="1:5">
      <c r="A9876" t="s">
        <v>6</v>
      </c>
      <c r="B9876" t="s">
        <v>9881</v>
      </c>
      <c r="C9876">
        <f>HYPERLINK("C:\Users\franc\OneDrive\Documentos\MALENTIN KARIME\CESION\RESPALDO LUIS DIAZ\Mis documentos\VARIOS 2006\IRMITA III.doc", "Abrir Documento")</f>
        <v>0</v>
      </c>
      <c r="D9876" t="s">
        <v>23500</v>
      </c>
      <c r="E9876" t="s">
        <v>32351</v>
      </c>
    </row>
    <row r="9877" spans="1:5">
      <c r="A9877" t="s">
        <v>6</v>
      </c>
      <c r="B9877" t="s">
        <v>9882</v>
      </c>
      <c r="C9877">
        <f>HYPERLINK("C:\Users\franc\OneDrive\Documentos\MALENTIN KARIME\CESION\RESPALDO LUIS DIAZ\Mis documentos\VARIOS 2006\HUEVILES 1 AL 20.doc", "Abrir Documento")</f>
        <v>0</v>
      </c>
      <c r="D9877" t="s">
        <v>23500</v>
      </c>
      <c r="E9877" t="s">
        <v>32352</v>
      </c>
    </row>
    <row r="9878" spans="1:5">
      <c r="A9878" t="s">
        <v>6</v>
      </c>
      <c r="B9878" t="s">
        <v>9883</v>
      </c>
      <c r="C9878">
        <f>HYPERLINK("C:\Users\franc\OneDrive\Documentos\MALENTIN KARIME\CESION\RESPALDO LUIS DIAZ\Mis documentos\VARIOS 2006\GUAYACAN.doc", "Abrir Documento")</f>
        <v>0</v>
      </c>
      <c r="D9878" t="s">
        <v>23500</v>
      </c>
      <c r="E9878" t="s">
        <v>32353</v>
      </c>
    </row>
    <row r="9879" spans="1:5">
      <c r="A9879" t="s">
        <v>6</v>
      </c>
      <c r="B9879" t="s">
        <v>9884</v>
      </c>
      <c r="C9879">
        <f>HYPERLINK("C:\Users\franc\OneDrive\Documentos\MALENTIN KARIME\CESION\RESPALDO LUIS DIAZ\Mis documentos\VARIOS 2006\GRICELL.doc", "Abrir Documento")</f>
        <v>0</v>
      </c>
      <c r="D9879" t="s">
        <v>23500</v>
      </c>
      <c r="E9879" t="s">
        <v>32354</v>
      </c>
    </row>
    <row r="9880" spans="1:5">
      <c r="A9880" t="s">
        <v>6</v>
      </c>
      <c r="B9880" t="s">
        <v>9885</v>
      </c>
      <c r="C9880">
        <f>HYPERLINK("C:\Users\franc\OneDrive\Documentos\MALENTIN KARIME\CESION\RESPALDO LUIS DIAZ\Mis documentos\VARIOS 2006\FORTUNA.doc", "Abrir Documento")</f>
        <v>0</v>
      </c>
      <c r="D9880" t="s">
        <v>23500</v>
      </c>
      <c r="E9880" t="s">
        <v>32355</v>
      </c>
    </row>
    <row r="9881" spans="1:5">
      <c r="A9881" t="s">
        <v>6</v>
      </c>
      <c r="B9881" t="s">
        <v>9886</v>
      </c>
      <c r="C9881">
        <f>HYPERLINK("C:\Users\franc\OneDrive\Documentos\MALENTIN KARIME\CESION\RESPALDO LUIS DIAZ\Mis documentos\VARIOS 2006\FLOR DE LAS FLORES.MAN.doc", "Abrir Documento")</f>
        <v>0</v>
      </c>
      <c r="D9881" t="s">
        <v>23500</v>
      </c>
      <c r="E9881" t="s">
        <v>32356</v>
      </c>
    </row>
    <row r="9882" spans="1:5">
      <c r="A9882" t="s">
        <v>6</v>
      </c>
      <c r="B9882" t="s">
        <v>9887</v>
      </c>
      <c r="C9882">
        <f>HYPERLINK("C:\Users\franc\OneDrive\Documentos\MALENTIN KARIME\CESION\RESPALDO LUIS DIAZ\Mis documentos\VARIOS 2006\EXTRACTO MENSURA.doc", "Abrir Documento")</f>
        <v>0</v>
      </c>
      <c r="D9882" t="s">
        <v>23500</v>
      </c>
      <c r="E9882" t="s">
        <v>32357</v>
      </c>
    </row>
    <row r="9883" spans="1:5">
      <c r="A9883" t="s">
        <v>6</v>
      </c>
      <c r="B9883" t="s">
        <v>9888</v>
      </c>
      <c r="C9883">
        <f>HYPERLINK("C:\Users\franc\OneDrive\Documentos\MALENTIN KARIME\CESION\RESPALDO LUIS DIAZ\Mis documentos\VARIOS 2006\ESPERANZA.doc", "Abrir Documento")</f>
        <v>0</v>
      </c>
      <c r="D9883" t="s">
        <v>23500</v>
      </c>
      <c r="E9883" t="s">
        <v>32358</v>
      </c>
    </row>
    <row r="9884" spans="1:5">
      <c r="A9884" t="s">
        <v>6</v>
      </c>
      <c r="B9884" t="s">
        <v>9889</v>
      </c>
      <c r="C9884">
        <f>HYPERLINK("C:\Users\franc\OneDrive\Documentos\MALENTIN KARIME\CESION\RESPALDO LUIS DIAZ\Mis documentos\VARIOS 2006\ESPERANZA TRES.doc", "Abrir Documento")</f>
        <v>0</v>
      </c>
      <c r="D9884" t="s">
        <v>23500</v>
      </c>
      <c r="E9884" t="s">
        <v>32359</v>
      </c>
    </row>
    <row r="9885" spans="1:5">
      <c r="A9885" t="s">
        <v>6</v>
      </c>
      <c r="B9885" t="s">
        <v>9890</v>
      </c>
      <c r="C9885">
        <f>HYPERLINK("C:\Users\franc\OneDrive\Documentos\MALENTIN KARIME\CESION\RESPALDO LUIS DIAZ\Mis documentos\VARIOS 2006\ESPERANZA DOS.doc", "Abrir Documento")</f>
        <v>0</v>
      </c>
      <c r="D9885" t="s">
        <v>23500</v>
      </c>
      <c r="E9885" t="s">
        <v>32360</v>
      </c>
    </row>
    <row r="9886" spans="1:5">
      <c r="A9886" t="s">
        <v>6</v>
      </c>
      <c r="B9886" t="s">
        <v>9891</v>
      </c>
      <c r="C9886">
        <f>HYPERLINK("C:\Users\franc\OneDrive\Documentos\MALENTIN KARIME\CESION\RESPALDO LUIS DIAZ\Mis documentos\VARIOS 2006\ESCORIALES.doc", "Abrir Documento")</f>
        <v>0</v>
      </c>
      <c r="D9886" t="s">
        <v>23500</v>
      </c>
      <c r="E9886" t="s">
        <v>32361</v>
      </c>
    </row>
    <row r="9887" spans="1:5">
      <c r="A9887" t="s">
        <v>6</v>
      </c>
      <c r="B9887" t="s">
        <v>9892</v>
      </c>
      <c r="C9887">
        <f>HYPERLINK("C:\Users\franc\OneDrive\Documentos\MALENTIN KARIME\CESION\RESPALDO LUIS DIAZ\Mis documentos\VARIOS 2006\ESCONDIDA TERCERA.doc", "Abrir Documento")</f>
        <v>0</v>
      </c>
      <c r="D9887" t="s">
        <v>23500</v>
      </c>
      <c r="E9887" t="s">
        <v>32362</v>
      </c>
    </row>
    <row r="9888" spans="1:5">
      <c r="A9888" t="s">
        <v>6</v>
      </c>
      <c r="B9888" t="s">
        <v>9893</v>
      </c>
      <c r="C9888">
        <f>HYPERLINK("C:\Users\franc\OneDrive\Documentos\MALENTIN KARIME\CESION\RESPALDO LUIS DIAZ\Mis documentos\VARIOS 2006\ENCUENTRO 1-20 Rectif..doc", "Abrir Documento")</f>
        <v>0</v>
      </c>
      <c r="D9888" t="s">
        <v>23500</v>
      </c>
      <c r="E9888" t="s">
        <v>32363</v>
      </c>
    </row>
    <row r="9889" spans="1:5">
      <c r="A9889" t="s">
        <v>6</v>
      </c>
      <c r="B9889" t="s">
        <v>9894</v>
      </c>
      <c r="C9889">
        <f>HYPERLINK("C:\Users\franc\OneDrive\Documentos\MALENTIN KARIME\CESION\RESPALDO LUIS DIAZ\Mis documentos\VARIOS 2006\EL PECHEN.doc", "Abrir Documento")</f>
        <v>0</v>
      </c>
      <c r="D9889" t="s">
        <v>23500</v>
      </c>
      <c r="E9889" t="s">
        <v>32364</v>
      </c>
    </row>
    <row r="9890" spans="1:5">
      <c r="A9890" t="s">
        <v>6</v>
      </c>
      <c r="B9890" t="s">
        <v>9895</v>
      </c>
      <c r="C9890">
        <f>HYPERLINK("C:\Users\franc\OneDrive\Documentos\MALENTIN KARIME\CESION\RESPALDO LUIS DIAZ\Mis documentos\VARIOS 2006\EL MAURO.MAN.doc", "Abrir Documento")</f>
        <v>0</v>
      </c>
      <c r="D9890" t="s">
        <v>23500</v>
      </c>
      <c r="E9890" t="s">
        <v>32365</v>
      </c>
    </row>
    <row r="9891" spans="1:5">
      <c r="A9891" t="s">
        <v>6</v>
      </c>
      <c r="B9891" t="s">
        <v>9896</v>
      </c>
      <c r="C9891">
        <f>HYPERLINK("C:\Users\franc\OneDrive\Documentos\MALENTIN KARIME\CESION\RESPALDO LUIS DIAZ\Mis documentos\VARIOS 2006\EL MANTO.doc", "Abrir Documento")</f>
        <v>0</v>
      </c>
      <c r="D9891" t="s">
        <v>23500</v>
      </c>
      <c r="E9891" t="s">
        <v>32366</v>
      </c>
    </row>
    <row r="9892" spans="1:5">
      <c r="A9892" t="s">
        <v>6</v>
      </c>
      <c r="B9892" t="s">
        <v>9897</v>
      </c>
      <c r="C9892">
        <f>HYPERLINK("C:\Users\franc\OneDrive\Documentos\MALENTIN KARIME\CESION\RESPALDO LUIS DIAZ\Mis documentos\VARIOS 2006\EL MAITEN.doc", "Abrir Documento")</f>
        <v>0</v>
      </c>
      <c r="D9892" t="s">
        <v>23500</v>
      </c>
      <c r="E9892" t="s">
        <v>32367</v>
      </c>
    </row>
    <row r="9893" spans="1:5">
      <c r="A9893" t="s">
        <v>6</v>
      </c>
      <c r="B9893" t="s">
        <v>9898</v>
      </c>
      <c r="C9893">
        <f>HYPERLINK("C:\Users\franc\OneDrive\Documentos\MALENTIN KARIME\CESION\RESPALDO LUIS DIAZ\Mis documentos\VARIOS 2006\EL HOYO DEL TECO.doc", "Abrir Documento")</f>
        <v>0</v>
      </c>
      <c r="D9893" t="s">
        <v>23500</v>
      </c>
      <c r="E9893" t="s">
        <v>32368</v>
      </c>
    </row>
    <row r="9894" spans="1:5">
      <c r="A9894" t="s">
        <v>6</v>
      </c>
      <c r="B9894" t="s">
        <v>9899</v>
      </c>
      <c r="C9894">
        <f>HYPERLINK("C:\Users\franc\OneDrive\Documentos\MALENTIN KARIME\CESION\RESPALDO LUIS DIAZ\Mis documentos\VARIOS 2006\EL ESPINO.doc", "Abrir Documento")</f>
        <v>0</v>
      </c>
      <c r="D9894" t="s">
        <v>23500</v>
      </c>
      <c r="E9894" t="s">
        <v>32369</v>
      </c>
    </row>
    <row r="9895" spans="1:5">
      <c r="A9895" t="s">
        <v>6</v>
      </c>
      <c r="B9895" t="s">
        <v>9900</v>
      </c>
      <c r="C9895">
        <f>HYPERLINK("C:\Users\franc\OneDrive\Documentos\MALENTIN KARIME\CESION\RESPALDO LUIS DIAZ\Mis documentos\VARIOS 2006\EL DORADO 4 Ext.doc", "Abrir Documento")</f>
        <v>0</v>
      </c>
      <c r="D9895" t="s">
        <v>23500</v>
      </c>
      <c r="E9895" t="s">
        <v>32370</v>
      </c>
    </row>
    <row r="9896" spans="1:5">
      <c r="A9896" t="s">
        <v>6</v>
      </c>
      <c r="B9896" t="s">
        <v>9901</v>
      </c>
      <c r="C9896">
        <f>HYPERLINK("C:\Users\franc\OneDrive\Documentos\MALENTIN KARIME\CESION\RESPALDO LUIS DIAZ\Mis documentos\VARIOS 2006\EL DORADO 2. Ext.doc", "Abrir Documento")</f>
        <v>0</v>
      </c>
      <c r="D9896" t="s">
        <v>23500</v>
      </c>
      <c r="E9896" t="s">
        <v>32371</v>
      </c>
    </row>
    <row r="9897" spans="1:5">
      <c r="A9897" t="s">
        <v>6</v>
      </c>
      <c r="B9897" t="s">
        <v>9902</v>
      </c>
      <c r="C9897">
        <f>HYPERLINK("C:\Users\franc\OneDrive\Documentos\MALENTIN KARIME\CESION\RESPALDO LUIS DIAZ\Mis documentos\VARIOS 2006\EL COBRE.doc", "Abrir Documento")</f>
        <v>0</v>
      </c>
      <c r="D9897" t="s">
        <v>23500</v>
      </c>
      <c r="E9897" t="s">
        <v>32372</v>
      </c>
    </row>
    <row r="9898" spans="1:5">
      <c r="A9898" t="s">
        <v>6</v>
      </c>
      <c r="B9898" t="s">
        <v>9903</v>
      </c>
      <c r="C9898">
        <f>HYPERLINK("C:\Users\franc\OneDrive\Documentos\MALENTIN KARIME\CESION\RESPALDO LUIS DIAZ\Mis documentos\VARIOS 2006\EL CASTILLO.doc", "Abrir Documento")</f>
        <v>0</v>
      </c>
      <c r="D9898" t="s">
        <v>23500</v>
      </c>
      <c r="E9898" t="s">
        <v>32373</v>
      </c>
    </row>
    <row r="9899" spans="1:5">
      <c r="A9899" t="s">
        <v>6</v>
      </c>
      <c r="B9899" t="s">
        <v>9904</v>
      </c>
      <c r="C9899">
        <f>HYPERLINK("C:\Users\franc\OneDrive\Documentos\MALENTIN KARIME\CESION\RESPALDO LUIS DIAZ\Mis documentos\VARIOS 2006\EL BRUJO.MAN.doc", "Abrir Documento")</f>
        <v>0</v>
      </c>
      <c r="D9899" t="s">
        <v>23500</v>
      </c>
      <c r="E9899" t="s">
        <v>32374</v>
      </c>
    </row>
    <row r="9900" spans="1:5">
      <c r="A9900" t="s">
        <v>6</v>
      </c>
      <c r="B9900" t="s">
        <v>9905</v>
      </c>
      <c r="C9900">
        <f>HYPERLINK("C:\Users\franc\OneDrive\Documentos\MALENTIN KARIME\CESION\RESPALDO LUIS DIAZ\Mis documentos\VARIOS 2006\DOS AMIGOS.doc", "Abrir Documento")</f>
        <v>0</v>
      </c>
      <c r="D9900" t="s">
        <v>23500</v>
      </c>
      <c r="E9900" t="s">
        <v>32375</v>
      </c>
    </row>
    <row r="9901" spans="1:5">
      <c r="A9901" t="s">
        <v>6</v>
      </c>
      <c r="B9901" t="s">
        <v>9906</v>
      </c>
      <c r="C9901">
        <f>HYPERLINK("C:\Users\franc\OneDrive\Documentos\MALENTIN KARIME\CESION\RESPALDO LUIS DIAZ\Mis documentos\VARIOS 2006\DESCUBRIMIENTOS.AUT.doc", "Abrir Documento")</f>
        <v>0</v>
      </c>
      <c r="D9901" t="s">
        <v>23500</v>
      </c>
      <c r="E9901" t="s">
        <v>32376</v>
      </c>
    </row>
    <row r="9902" spans="1:5">
      <c r="A9902" t="s">
        <v>6</v>
      </c>
      <c r="B9902" t="s">
        <v>9907</v>
      </c>
      <c r="C9902">
        <f>HYPERLINK("C:\Users\franc\OneDrive\Documentos\MALENTIN KARIME\CESION\RESPALDO LUIS DIAZ\Mis documentos\VARIOS 2006\DESCUBRIDORA NUEVA.doc", "Abrir Documento")</f>
        <v>0</v>
      </c>
      <c r="D9902" t="s">
        <v>23500</v>
      </c>
      <c r="E9902" t="s">
        <v>32377</v>
      </c>
    </row>
    <row r="9903" spans="1:5">
      <c r="A9903" t="s">
        <v>6</v>
      </c>
      <c r="B9903" t="s">
        <v>9908</v>
      </c>
      <c r="C9903">
        <f>HYPERLINK("C:\Users\franc\OneDrive\Documentos\MALENTIN KARIME\CESION\RESPALDO LUIS DIAZ\Mis documentos\VARIOS 2006\DELICIA.MAN.doc", "Abrir Documento")</f>
        <v>0</v>
      </c>
      <c r="D9903" t="s">
        <v>23500</v>
      </c>
      <c r="E9903" t="s">
        <v>32378</v>
      </c>
    </row>
    <row r="9904" spans="1:5">
      <c r="A9904" t="s">
        <v>6</v>
      </c>
      <c r="B9904" t="s">
        <v>9909</v>
      </c>
      <c r="C9904">
        <f>HYPERLINK("C:\Users\franc\OneDrive\Documentos\MALENTIN KARIME\CESION\RESPALDO LUIS DIAZ\Mis documentos\VARIOS 2006\CUCHUFLETA.REC.doc", "Abrir Documento")</f>
        <v>0</v>
      </c>
      <c r="D9904" t="s">
        <v>23500</v>
      </c>
      <c r="E9904" t="s">
        <v>32379</v>
      </c>
    </row>
    <row r="9905" spans="1:5">
      <c r="A9905" t="s">
        <v>6</v>
      </c>
      <c r="B9905" t="s">
        <v>9910</v>
      </c>
      <c r="C9905">
        <f>HYPERLINK("C:\Users\franc\OneDrive\Documentos\MALENTIN KARIME\CESION\RESPALDO LUIS DIAZ\Mis documentos\VARIOS 2006\CRISTIANE.doc", "Abrir Documento")</f>
        <v>0</v>
      </c>
      <c r="D9905" t="s">
        <v>23500</v>
      </c>
      <c r="E9905" t="s">
        <v>32380</v>
      </c>
    </row>
    <row r="9906" spans="1:5">
      <c r="A9906" t="s">
        <v>6</v>
      </c>
      <c r="B9906" t="s">
        <v>9911</v>
      </c>
      <c r="C9906">
        <f>HYPERLINK("C:\Users\franc\OneDrive\Documentos\MALENTIN KARIME\CESION\RESPALDO LUIS DIAZ\Mis documentos\VARIOS 2006\COSITA.doc", "Abrir Documento")</f>
        <v>0</v>
      </c>
      <c r="D9906" t="s">
        <v>23500</v>
      </c>
      <c r="E9906" t="s">
        <v>32381</v>
      </c>
    </row>
    <row r="9907" spans="1:5">
      <c r="A9907" t="s">
        <v>6</v>
      </c>
      <c r="B9907" t="s">
        <v>9912</v>
      </c>
      <c r="C9907">
        <f>HYPERLINK("C:\Users\franc\OneDrive\Documentos\MALENTIN KARIME\CESION\RESPALDO LUIS DIAZ\Mis documentos\VARIOS 2006\CONSTANZA.REC.doc", "Abrir Documento")</f>
        <v>0</v>
      </c>
      <c r="D9907" t="s">
        <v>23500</v>
      </c>
      <c r="E9907" t="s">
        <v>32382</v>
      </c>
    </row>
    <row r="9908" spans="1:5">
      <c r="A9908" t="s">
        <v>6</v>
      </c>
      <c r="B9908" t="s">
        <v>9913</v>
      </c>
      <c r="C9908">
        <f>HYPERLINK("C:\Users\franc\OneDrive\Documentos\MALENTIN KARIME\CESION\RESPALDO LUIS DIAZ\Mis documentos\VARIOS 2006\CONSTANZA.MAN.doc", "Abrir Documento")</f>
        <v>0</v>
      </c>
      <c r="D9908" t="s">
        <v>23500</v>
      </c>
      <c r="E9908" t="s">
        <v>32383</v>
      </c>
    </row>
    <row r="9909" spans="1:5">
      <c r="A9909" t="s">
        <v>6</v>
      </c>
      <c r="B9909" t="s">
        <v>9914</v>
      </c>
      <c r="C9909">
        <f>HYPERLINK("C:\Users\franc\OneDrive\Documentos\MALENTIN KARIME\CESION\RESPALDO LUIS DIAZ\Mis documentos\VARIOS 2006\CITACION LUCITANIA.doc", "Abrir Documento")</f>
        <v>0</v>
      </c>
      <c r="D9909" t="s">
        <v>23500</v>
      </c>
      <c r="E9909" t="s">
        <v>32384</v>
      </c>
    </row>
    <row r="9910" spans="1:5">
      <c r="A9910" t="s">
        <v>6</v>
      </c>
      <c r="B9910" t="s">
        <v>9915</v>
      </c>
      <c r="C9910">
        <f>HYPERLINK("C:\Users\franc\OneDrive\Documentos\MALENTIN KARIME\CESION\RESPALDO LUIS DIAZ\Mis documentos\VARIOS 2006\CHACAYCITO.doc", "Abrir Documento")</f>
        <v>0</v>
      </c>
      <c r="D9910" t="s">
        <v>23500</v>
      </c>
      <c r="E9910" t="s">
        <v>32385</v>
      </c>
    </row>
    <row r="9911" spans="1:5">
      <c r="A9911" t="s">
        <v>6</v>
      </c>
      <c r="B9911" t="s">
        <v>9916</v>
      </c>
      <c r="C9911">
        <f>HYPERLINK("C:\Users\franc\OneDrive\Documentos\MALENTIN KARIME\CESION\RESPALDO LUIS DIAZ\Mis documentos\VARIOS 2006\CERROBLANCO.MAN.doc", "Abrir Documento")</f>
        <v>0</v>
      </c>
      <c r="D9911" t="s">
        <v>23500</v>
      </c>
      <c r="E9911" t="s">
        <v>32386</v>
      </c>
    </row>
    <row r="9912" spans="1:5">
      <c r="A9912" t="s">
        <v>6</v>
      </c>
      <c r="B9912" t="s">
        <v>9917</v>
      </c>
      <c r="C9912">
        <f>HYPERLINK("C:\Users\franc\OneDrive\Documentos\MALENTIN KARIME\CESION\RESPALDO LUIS DIAZ\Mis documentos\VARIOS 2006\CARMELITA.doc", "Abrir Documento")</f>
        <v>0</v>
      </c>
      <c r="D9912" t="s">
        <v>23500</v>
      </c>
      <c r="E9912" t="s">
        <v>32387</v>
      </c>
    </row>
    <row r="9913" spans="1:5">
      <c r="A9913" t="s">
        <v>6</v>
      </c>
      <c r="B9913" t="s">
        <v>9918</v>
      </c>
      <c r="C9913">
        <f>HYPERLINK("C:\Users\franc\OneDrive\Documentos\MALENTIN KARIME\CESION\RESPALDO LUIS DIAZ\Mis documentos\VARIOS 2006\CARMELITA Y EL ESPINO.doc", "Abrir Documento")</f>
        <v>0</v>
      </c>
      <c r="D9913" t="s">
        <v>23500</v>
      </c>
      <c r="E9913" t="s">
        <v>32388</v>
      </c>
    </row>
    <row r="9914" spans="1:5">
      <c r="A9914" t="s">
        <v>6</v>
      </c>
      <c r="B9914" t="s">
        <v>9919</v>
      </c>
      <c r="C9914">
        <f>HYPERLINK("C:\Users\franc\OneDrive\Documentos\MALENTIN KARIME\CESION\RESPALDO LUIS DIAZ\Mis documentos\VARIOS 2006\CARDITA UNO.doc", "Abrir Documento")</f>
        <v>0</v>
      </c>
      <c r="D9914" t="s">
        <v>23500</v>
      </c>
      <c r="E9914" t="s">
        <v>32389</v>
      </c>
    </row>
    <row r="9915" spans="1:5">
      <c r="A9915" t="s">
        <v>6</v>
      </c>
      <c r="B9915" t="s">
        <v>9920</v>
      </c>
      <c r="C9915">
        <f>HYPERLINK("C:\Users\franc\OneDrive\Documentos\MALENTIN KARIME\CESION\RESPALDO LUIS DIAZ\Mis documentos\VARIOS 2006\CANTA RANA.MAN.doc", "Abrir Documento")</f>
        <v>0</v>
      </c>
      <c r="D9915" t="s">
        <v>23500</v>
      </c>
      <c r="E9915" t="s">
        <v>32390</v>
      </c>
    </row>
    <row r="9916" spans="1:5">
      <c r="A9916" t="s">
        <v>6</v>
      </c>
      <c r="B9916" t="s">
        <v>9921</v>
      </c>
      <c r="C9916">
        <f>HYPERLINK("C:\Users\franc\OneDrive\Documentos\MALENTIN KARIME\CESION\RESPALDO LUIS DIAZ\Mis documentos\VARIOS 2006\BUENA SUERTE UNO AL VEINTE.doc", "Abrir Documento")</f>
        <v>0</v>
      </c>
      <c r="D9916" t="s">
        <v>23500</v>
      </c>
      <c r="E9916" t="s">
        <v>32391</v>
      </c>
    </row>
    <row r="9917" spans="1:5">
      <c r="A9917" t="s">
        <v>6</v>
      </c>
      <c r="B9917" t="s">
        <v>9922</v>
      </c>
      <c r="C9917">
        <f>HYPERLINK("C:\Users\franc\OneDrive\Documentos\MALENTIN KARIME\CESION\RESPALDO LUIS DIAZ\Mis documentos\VARIOS 2006\BLANCO Y NEGRO.doc", "Abrir Documento")</f>
        <v>0</v>
      </c>
      <c r="D9917" t="s">
        <v>23500</v>
      </c>
      <c r="E9917" t="s">
        <v>32392</v>
      </c>
    </row>
    <row r="9918" spans="1:5">
      <c r="A9918" t="s">
        <v>6</v>
      </c>
      <c r="B9918" t="s">
        <v>9923</v>
      </c>
      <c r="C9918">
        <f>HYPERLINK("C:\Users\franc\OneDrive\Documentos\MALENTIN KARIME\CESION\RESPALDO LUIS DIAZ\Mis documentos\VARIOS 2006\ALTO MOLLE.doc", "Abrir Documento")</f>
        <v>0</v>
      </c>
      <c r="D9918" t="s">
        <v>23500</v>
      </c>
      <c r="E9918" t="s">
        <v>32393</v>
      </c>
    </row>
    <row r="9919" spans="1:5">
      <c r="A9919" t="s">
        <v>6</v>
      </c>
      <c r="B9919" t="s">
        <v>9924</v>
      </c>
      <c r="C9919">
        <f>HYPERLINK("C:\Users\franc\OneDrive\Documentos\MALENTIN KARIME\CESION\RESPALDO LUIS DIAZ\Mis documentos\VARIOS 2006\ALTAMIRA LAS VINCHUCAS.doc", "Abrir Documento")</f>
        <v>0</v>
      </c>
      <c r="D9919" t="s">
        <v>23500</v>
      </c>
      <c r="E9919" t="s">
        <v>32394</v>
      </c>
    </row>
    <row r="9920" spans="1:5">
      <c r="A9920" t="s">
        <v>6</v>
      </c>
      <c r="B9920" t="s">
        <v>9925</v>
      </c>
      <c r="C9920">
        <f>HYPERLINK("C:\Users\franc\OneDrive\Documentos\MALENTIN KARIME\CESION\RESPALDO LUIS DIAZ\Mis documentos\VARIOS 2006\ALEJANDRA.doc", "Abrir Documento")</f>
        <v>0</v>
      </c>
      <c r="D9920" t="s">
        <v>23500</v>
      </c>
      <c r="E9920" t="s">
        <v>32395</v>
      </c>
    </row>
    <row r="9921" spans="1:5">
      <c r="A9921" t="s">
        <v>6</v>
      </c>
      <c r="B9921" t="s">
        <v>9926</v>
      </c>
      <c r="C9921">
        <f>HYPERLINK("C:\Users\franc\OneDrive\Documentos\MALENTIN KARIME\CESION\RESPALDO LUIS DIAZ\Mis documentos\VARIOS 2006\AGUA EL ESPINO.doc", "Abrir Documento")</f>
        <v>0</v>
      </c>
      <c r="D9921" t="s">
        <v>23500</v>
      </c>
      <c r="E9921" t="s">
        <v>32396</v>
      </c>
    </row>
    <row r="9922" spans="1:5">
      <c r="A9922" t="s">
        <v>6</v>
      </c>
      <c r="B9922" t="s">
        <v>9927</v>
      </c>
      <c r="C9922">
        <f>HYPERLINK("C:\Users\franc\OneDrive\Documentos\MALENTIN KARIME\CESION\RESPALDO LUIS DIAZ\Mis documentos\VARIOS 2006\AGUA DE LA ROSA.doc", "Abrir Documento")</f>
        <v>0</v>
      </c>
      <c r="D9922" t="s">
        <v>23500</v>
      </c>
      <c r="E9922" t="s">
        <v>32397</v>
      </c>
    </row>
    <row r="9923" spans="1:5">
      <c r="A9923" t="s">
        <v>6</v>
      </c>
      <c r="B9923" t="s">
        <v>9928</v>
      </c>
      <c r="C9923">
        <f>HYPERLINK("C:\Users\franc\OneDrive\Documentos\MALENTIN KARIME\CESION\RESPALDO LUIS DIAZ\Mis documentos\VARIOS 2006\ABANDONADA.doc", "Abrir Documento")</f>
        <v>0</v>
      </c>
      <c r="D9923" t="s">
        <v>23500</v>
      </c>
      <c r="E9923" t="s">
        <v>32398</v>
      </c>
    </row>
    <row r="9924" spans="1:5">
      <c r="A9924" t="s">
        <v>6</v>
      </c>
      <c r="B9924" t="s">
        <v>9929</v>
      </c>
      <c r="C9924">
        <f>HYPERLINK("C:\Users\franc\OneDrive\Documentos\MALENTIN KARIME\CESION\RESPALDO LUIS DIAZ\Mis documentos\VARIOS 2006\ABANDONADA 1-10.doc", "Abrir Documento")</f>
        <v>0</v>
      </c>
      <c r="D9924" t="s">
        <v>23500</v>
      </c>
      <c r="E9924" t="s">
        <v>32399</v>
      </c>
    </row>
    <row r="9925" spans="1:5">
      <c r="A9925" t="s">
        <v>6</v>
      </c>
      <c r="B9925" t="s">
        <v>9930</v>
      </c>
      <c r="C9925">
        <f>HYPERLINK("C:\Users\franc\OneDrive\Documentos\MALENTIN KARIME\CESION\RESPALDO LUIS DIAZ\Mis documentos\TATIANA HECKERSDORF\SERVIU.doc", "Abrir Documento")</f>
        <v>0</v>
      </c>
      <c r="D9925" t="s">
        <v>23500</v>
      </c>
      <c r="E9925" t="s">
        <v>32400</v>
      </c>
    </row>
    <row r="9926" spans="1:5">
      <c r="A9926" t="s">
        <v>6</v>
      </c>
      <c r="B9926" t="s">
        <v>9931</v>
      </c>
      <c r="C9926">
        <f>HYPERLINK("C:\Users\franc\OneDrive\Documentos\MALENTIN KARIME\CESION\RESPALDO LUIS DIAZ\Mis documentos\TATIANA HECKERSDORF\SERVIU.alfonso palta.doc", "Abrir Documento")</f>
        <v>0</v>
      </c>
      <c r="D9926" t="s">
        <v>23500</v>
      </c>
      <c r="E9926" t="s">
        <v>32401</v>
      </c>
    </row>
    <row r="9927" spans="1:5">
      <c r="A9927" t="s">
        <v>6</v>
      </c>
      <c r="B9927" t="s">
        <v>9932</v>
      </c>
      <c r="C9927">
        <f>HYPERLINK("C:\Users\franc\OneDrive\Documentos\MALENTIN KARIME\CESION\RESPALDO LUIS DIAZ\Mis documentos\TATIANA HECKERSDORF\SERVIU 2.doc", "Abrir Documento")</f>
        <v>0</v>
      </c>
      <c r="D9927" t="s">
        <v>23500</v>
      </c>
      <c r="E9927" t="s">
        <v>32402</v>
      </c>
    </row>
    <row r="9928" spans="1:5">
      <c r="A9928" t="s">
        <v>6</v>
      </c>
      <c r="B9928" t="s">
        <v>9933</v>
      </c>
      <c r="C9928">
        <f>HYPERLINK("C:\Users\franc\OneDrive\Documentos\MALENTIN KARIME\CESION\RESPALDO LUIS DIAZ\Mis documentos\TATIANA HECKERSDORF\revoca patricia julia - j polanco.doc", "Abrir Documento")</f>
        <v>0</v>
      </c>
      <c r="D9928" t="s">
        <v>23500</v>
      </c>
      <c r="E9928" t="s">
        <v>32403</v>
      </c>
    </row>
    <row r="9929" spans="1:5">
      <c r="A9929" t="s">
        <v>6</v>
      </c>
      <c r="B9929" t="s">
        <v>9934</v>
      </c>
      <c r="C9929">
        <f>HYPERLINK("C:\Users\franc\OneDrive\Documentos\MALENTIN KARIME\CESION\RESPALDO LUIS DIAZ\Mis documentos\TATIANA HECKERSDORF\revoca lucia donoso - j polanco.doc", "Abrir Documento")</f>
        <v>0</v>
      </c>
      <c r="D9929" t="s">
        <v>23500</v>
      </c>
      <c r="E9929" t="s">
        <v>32404</v>
      </c>
    </row>
    <row r="9930" spans="1:5">
      <c r="A9930" t="s">
        <v>6</v>
      </c>
      <c r="B9930" t="s">
        <v>9935</v>
      </c>
      <c r="C9930">
        <f>HYPERLINK("C:\Users\franc\OneDrive\Documentos\MALENTIN KARIME\CESION\RESPALDO LUIS DIAZ\Mis documentos\TATIANA HECKERSDORF\renta vitalicia - lucia donoso.doc", "Abrir Documento")</f>
        <v>0</v>
      </c>
      <c r="D9930" t="s">
        <v>23500</v>
      </c>
      <c r="E9930" t="s">
        <v>32405</v>
      </c>
    </row>
    <row r="9931" spans="1:5">
      <c r="A9931" t="s">
        <v>6</v>
      </c>
      <c r="B9931" t="s">
        <v>9936</v>
      </c>
      <c r="C9931">
        <f>HYPERLINK("C:\Users\franc\OneDrive\Documentos\MALENTIN KARIME\CESION\RESPALDO LUIS DIAZ\Mis documentos\TATIANA HECKERSDORF\PROT. RESOLUCION GOBERNACIÓN.doc", "Abrir Documento")</f>
        <v>0</v>
      </c>
      <c r="D9931" t="s">
        <v>23500</v>
      </c>
      <c r="E9931" t="s">
        <v>32406</v>
      </c>
    </row>
    <row r="9932" spans="1:5">
      <c r="A9932" t="s">
        <v>6</v>
      </c>
      <c r="B9932" t="s">
        <v>9937</v>
      </c>
      <c r="C9932">
        <f>HYPERLINK("C:\Users\franc\OneDrive\Documentos\MALENTIN KARIME\CESION\RESPALDO LUIS DIAZ\Mis documentos\TATIANA HECKERSDORF\PROT. ALCONES.doc", "Abrir Documento")</f>
        <v>0</v>
      </c>
      <c r="D9932" t="s">
        <v>23500</v>
      </c>
      <c r="E9932" t="s">
        <v>32407</v>
      </c>
    </row>
    <row r="9933" spans="1:5">
      <c r="A9933" t="s">
        <v>6</v>
      </c>
      <c r="B9933" t="s">
        <v>9938</v>
      </c>
      <c r="C9933">
        <f>HYPERLINK("C:\Users\franc\OneDrive\Documentos\MALENTIN KARIME\CESION\RESPALDO LUIS DIAZ\Mis documentos\TATIANA HECKERSDORF\PROT. ALCONES. asamblea doc.doc", "Abrir Documento")</f>
        <v>0</v>
      </c>
      <c r="D9933" t="s">
        <v>23500</v>
      </c>
      <c r="E9933" t="s">
        <v>32408</v>
      </c>
    </row>
    <row r="9934" spans="1:5">
      <c r="A9934" t="s">
        <v>6</v>
      </c>
      <c r="B9934" t="s">
        <v>9939</v>
      </c>
      <c r="C9934">
        <f>HYPERLINK("C:\Users\franc\OneDrive\Documentos\MALENTIN KARIME\CESION\RESPALDO LUIS DIAZ\Mis documentos\TATIANA HECKERSDORF\PARCELA 58 JUAN AGUSTIN.doc", "Abrir Documento")</f>
        <v>0</v>
      </c>
      <c r="D9934" t="s">
        <v>23500</v>
      </c>
      <c r="E9934" t="s">
        <v>32409</v>
      </c>
    </row>
    <row r="9935" spans="1:5">
      <c r="A9935" t="s">
        <v>6</v>
      </c>
      <c r="B9935" t="s">
        <v>9940</v>
      </c>
      <c r="C9935">
        <f>HYPERLINK("C:\Users\franc\OneDrive\Documentos\MALENTIN KARIME\CESION\RESPALDO LUIS DIAZ\Mis documentos\TATIANA HECKERSDORF\MODELO REVOCACION.doc", "Abrir Documento")</f>
        <v>0</v>
      </c>
      <c r="D9935" t="s">
        <v>23500</v>
      </c>
      <c r="E9935" t="s">
        <v>32410</v>
      </c>
    </row>
    <row r="9936" spans="1:5">
      <c r="A9936" t="s">
        <v>6</v>
      </c>
      <c r="B9936" t="s">
        <v>9941</v>
      </c>
      <c r="C9936">
        <f>HYPERLINK("C:\Users\franc\OneDrive\Documentos\MALENTIN KARIME\CESION\RESPALDO LUIS DIAZ\Mis documentos\TATIANA HECKERSDORF\MODELO NOTARIO SUPLENTE.doc", "Abrir Documento")</f>
        <v>0</v>
      </c>
      <c r="D9936" t="s">
        <v>23500</v>
      </c>
      <c r="E9936" t="s">
        <v>32411</v>
      </c>
    </row>
    <row r="9937" spans="1:5">
      <c r="A9937" t="s">
        <v>6</v>
      </c>
      <c r="B9937" t="s">
        <v>9942</v>
      </c>
      <c r="C9937">
        <f>HYPERLINK("C:\Users\franc\OneDrive\Documentos\MALENTIN KARIME\CESION\RESPALDO LUIS DIAZ\Mis documentos\TATIANA HECKERSDORF\MANDATO JUDICIAL.doc", "Abrir Documento")</f>
        <v>0</v>
      </c>
      <c r="D9937" t="s">
        <v>23500</v>
      </c>
      <c r="E9937" t="s">
        <v>32412</v>
      </c>
    </row>
    <row r="9938" spans="1:5">
      <c r="A9938" t="s">
        <v>6</v>
      </c>
      <c r="B9938" t="s">
        <v>9943</v>
      </c>
      <c r="C9938">
        <f>HYPERLINK("C:\Users\franc\OneDrive\Documentos\MALENTIN KARIME\CESION\RESPALDO LUIS DIAZ\Mis documentos\TATIANA HECKERSDORF\MANDATO ESPECIAL.doc", "Abrir Documento")</f>
        <v>0</v>
      </c>
      <c r="D9938" t="s">
        <v>23500</v>
      </c>
      <c r="E9938" t="s">
        <v>32413</v>
      </c>
    </row>
    <row r="9939" spans="1:5">
      <c r="A9939" t="s">
        <v>6</v>
      </c>
      <c r="B9939" t="s">
        <v>9944</v>
      </c>
      <c r="C9939">
        <f>HYPERLINK("C:\Users\franc\OneDrive\Documentos\MALENTIN KARIME\CESION\RESPALDO LUIS DIAZ\Mis documentos\TATIANA HECKERSDORF\MANDATO BANCO CHILE.doc", "Abrir Documento")</f>
        <v>0</v>
      </c>
      <c r="D9939" t="s">
        <v>23500</v>
      </c>
      <c r="E9939" t="s">
        <v>32414</v>
      </c>
    </row>
    <row r="9940" spans="1:5">
      <c r="A9940" t="s">
        <v>6</v>
      </c>
      <c r="B9940" t="s">
        <v>9945</v>
      </c>
      <c r="C9940">
        <f>HYPERLINK("C:\Users\franc\OneDrive\Documentos\MALENTIN KARIME\CESION\RESPALDO LUIS DIAZ\Mis documentos\TATIANA HECKERSDORF\lucia donoso - compra a veronica.doc", "Abrir Documento")</f>
        <v>0</v>
      </c>
      <c r="D9940" t="s">
        <v>23500</v>
      </c>
      <c r="E9940" t="s">
        <v>32415</v>
      </c>
    </row>
    <row r="9941" spans="1:5">
      <c r="A9941" t="s">
        <v>6</v>
      </c>
      <c r="B9941" t="s">
        <v>9946</v>
      </c>
      <c r="C9941">
        <f>HYPERLINK("C:\Users\franc\OneDrive\Documentos\MALENTIN KARIME\CESION\RESPALDO LUIS DIAZ\Mis documentos\TATIANA HECKERSDORF\Juan Araya Molina.alz prod.Lt 36, Hj 36.doc", "Abrir Documento")</f>
        <v>0</v>
      </c>
      <c r="D9941" t="s">
        <v>23500</v>
      </c>
      <c r="E9941" t="s">
        <v>32416</v>
      </c>
    </row>
    <row r="9942" spans="1:5">
      <c r="A9942" t="s">
        <v>6</v>
      </c>
      <c r="B9942" t="s">
        <v>9947</v>
      </c>
      <c r="C9942">
        <f>HYPERLINK("C:\Users\franc\OneDrive\Documentos\MALENTIN KARIME\CESION\RESPALDO LUIS DIAZ\Mis documentos\TATIANA HECKERSDORF\Juan Araya Molina.alz prod.doc", "Abrir Documento")</f>
        <v>0</v>
      </c>
      <c r="D9942" t="s">
        <v>23500</v>
      </c>
      <c r="E9942" t="s">
        <v>32417</v>
      </c>
    </row>
    <row r="9943" spans="1:5">
      <c r="A9943" t="s">
        <v>6</v>
      </c>
      <c r="B9943" t="s">
        <v>9948</v>
      </c>
      <c r="C9943">
        <f>HYPERLINK("C:\Users\franc\OneDrive\Documentos\MALENTIN KARIME\CESION\RESPALDO LUIS DIAZ\Mis documentos\TATIANA HECKERSDORF\Juan Araya Molina.alz prod Lt 58.doc", "Abrir Documento")</f>
        <v>0</v>
      </c>
      <c r="D9943" t="s">
        <v>23500</v>
      </c>
      <c r="E9943" t="s">
        <v>32418</v>
      </c>
    </row>
    <row r="9944" spans="1:5">
      <c r="A9944" t="s">
        <v>6</v>
      </c>
      <c r="B9944" t="s">
        <v>9949</v>
      </c>
      <c r="C9944">
        <f>HYPERLINK("C:\Users\franc\OneDrive\Documentos\MALENTIN KARIME\CESION\RESPALDO LUIS DIAZ\Mis documentos\TATIANA HECKERSDORF\IRMA CAMPUSANO ROJAS.doc", "Abrir Documento")</f>
        <v>0</v>
      </c>
      <c r="D9944" t="s">
        <v>23500</v>
      </c>
      <c r="E9944" t="s">
        <v>32419</v>
      </c>
    </row>
    <row r="9945" spans="1:5">
      <c r="A9945" t="s">
        <v>6</v>
      </c>
      <c r="B9945" t="s">
        <v>9950</v>
      </c>
      <c r="C9945">
        <f>HYPERLINK("C:\Users\franc\OneDrive\Documentos\MALENTIN KARIME\CESION\RESPALDO LUIS DIAZ\Mis documentos\TATIANA HECKERSDORF\FIRMAS.AUTORIZACION.doc", "Abrir Documento")</f>
        <v>0</v>
      </c>
      <c r="D9945" t="s">
        <v>23500</v>
      </c>
      <c r="E9945" t="s">
        <v>32420</v>
      </c>
    </row>
    <row r="9946" spans="1:5">
      <c r="A9946" t="s">
        <v>6</v>
      </c>
      <c r="B9946" t="s">
        <v>9951</v>
      </c>
      <c r="C9946">
        <f>HYPERLINK("C:\Users\franc\OneDrive\Documentos\MALENTIN KARIME\CESION\RESPALDO LUIS DIAZ\Mis documentos\TATIANA HECKERSDORF\FIRMA SERVIU AUT..doc", "Abrir Documento")</f>
        <v>0</v>
      </c>
      <c r="D9946" t="s">
        <v>23500</v>
      </c>
      <c r="E9946" t="s">
        <v>32421</v>
      </c>
    </row>
    <row r="9947" spans="1:5">
      <c r="A9947" t="s">
        <v>6</v>
      </c>
      <c r="B9947" t="s">
        <v>9952</v>
      </c>
      <c r="C9947">
        <f>HYPERLINK("C:\Users\franc\OneDrive\Documentos\MALENTIN KARIME\CESION\RESPALDO LUIS DIAZ\Mis documentos\TATIANA HECKERSDORF\DERECHO REAL.doc", "Abrir Documento")</f>
        <v>0</v>
      </c>
      <c r="D9947" t="s">
        <v>23500</v>
      </c>
      <c r="E9947" t="s">
        <v>32422</v>
      </c>
    </row>
    <row r="9948" spans="1:5">
      <c r="A9948" t="s">
        <v>6</v>
      </c>
      <c r="B9948" t="s">
        <v>9953</v>
      </c>
      <c r="C9948">
        <f>HYPERLINK("C:\Users\franc\OneDrive\Documentos\MALENTIN KARIME\CESION\RESPALDO LUIS DIAZ\Mis documentos\TATIANA HECKERSDORF\COPIAS.AUT.doc", "Abrir Documento")</f>
        <v>0</v>
      </c>
      <c r="D9948" t="s">
        <v>23500</v>
      </c>
      <c r="E9948" t="s">
        <v>32423</v>
      </c>
    </row>
    <row r="9949" spans="1:5">
      <c r="A9949" t="s">
        <v>6</v>
      </c>
      <c r="B9949" t="s">
        <v>9954</v>
      </c>
      <c r="C9949">
        <f>HYPERLINK("C:\Users\franc\OneDrive\Documentos\MALENTIN KARIME\CESION\RESPALDO LUIS DIAZ\Mis documentos\TATIANA HECKERSDORF\COPIAS AUTORIZ..doc", "Abrir Documento")</f>
        <v>0</v>
      </c>
      <c r="D9949" t="s">
        <v>23500</v>
      </c>
      <c r="E9949" t="s">
        <v>32424</v>
      </c>
    </row>
    <row r="9950" spans="1:5">
      <c r="A9950" t="s">
        <v>6</v>
      </c>
      <c r="B9950" t="s">
        <v>9955</v>
      </c>
      <c r="C9950">
        <f>HYPERLINK("C:\Users\franc\OneDrive\Documentos\MALENTIN KARIME\CESION\RESPALDO LUIS DIAZ\Mis documentos\TATIANA HECKERSDORF\COMITE AGUA P. CERRILLOS DE TAMAYA.doc", "Abrir Documento")</f>
        <v>0</v>
      </c>
      <c r="D9950" t="s">
        <v>23500</v>
      </c>
      <c r="E9950" t="s">
        <v>32425</v>
      </c>
    </row>
    <row r="9951" spans="1:5">
      <c r="A9951" t="s">
        <v>6</v>
      </c>
      <c r="B9951" t="s">
        <v>9956</v>
      </c>
      <c r="C9951">
        <f>HYPERLINK("C:\Users\franc\OneDrive\Documentos\MALENTIN KARIME\CESION\RESPALDO LUIS DIAZ\Mis documentos\TATIANA HECKERSDORF\AUTORIZACION FIRMA SERVIU.doc", "Abrir Documento")</f>
        <v>0</v>
      </c>
      <c r="D9951" t="s">
        <v>23500</v>
      </c>
      <c r="E9951" t="s">
        <v>32426</v>
      </c>
    </row>
    <row r="9952" spans="1:5">
      <c r="A9952" t="s">
        <v>6</v>
      </c>
      <c r="B9952" t="s">
        <v>9957</v>
      </c>
      <c r="C9952">
        <f>HYPERLINK("C:\Users\franc\OneDrive\Documentos\MALENTIN KARIME\CESION\RESPALDO LUIS DIAZ\Mis documentos\TATIANA HECKERSDORF\Atilano Cid y otra a Eliana Crespo.doc", "Abrir Documento")</f>
        <v>0</v>
      </c>
      <c r="D9952" t="s">
        <v>23500</v>
      </c>
      <c r="E9952" t="s">
        <v>32427</v>
      </c>
    </row>
    <row r="9953" spans="1:5">
      <c r="A9953" t="s">
        <v>6</v>
      </c>
      <c r="B9953" t="s">
        <v>9958</v>
      </c>
      <c r="C9953">
        <f>HYPERLINK("C:\Users\franc\OneDrive\Documentos\MALENTIN KARIME\CESION\RESPALDO LUIS DIAZ\Mis documentos\TATIANA HECKERSDORF\ARMANDO SALAMANCA.doc", "Abrir Documento")</f>
        <v>0</v>
      </c>
      <c r="D9953" t="s">
        <v>23500</v>
      </c>
      <c r="E9953" t="s">
        <v>32428</v>
      </c>
    </row>
    <row r="9954" spans="1:5">
      <c r="A9954" t="s">
        <v>6</v>
      </c>
      <c r="B9954" t="s">
        <v>9959</v>
      </c>
      <c r="C9954">
        <f>HYPERLINK("C:\Users\franc\OneDrive\Documentos\MALENTIN KARIME\CESION\RESPALDO LUIS DIAZ\Mis documentos\TATIANA HECKERSDORF\ANDREA DÍAZ GODOY.doc", "Abrir Documento")</f>
        <v>0</v>
      </c>
      <c r="D9954" t="s">
        <v>23500</v>
      </c>
      <c r="E9954" t="s">
        <v>32429</v>
      </c>
    </row>
    <row r="9955" spans="1:5">
      <c r="A9955" t="s">
        <v>6</v>
      </c>
      <c r="B9955" t="s">
        <v>9960</v>
      </c>
      <c r="C9955">
        <f>HYPERLINK("C:\Users\franc\OneDrive\Documentos\MALENTIN KARIME\CESION\RESPALDO LUIS DIAZ\Mis documentos\TATIANA HECKERSDORF\ALZAMIENTO SERVIU.doc", "Abrir Documento")</f>
        <v>0</v>
      </c>
      <c r="D9955" t="s">
        <v>23500</v>
      </c>
      <c r="E9955" t="s">
        <v>32430</v>
      </c>
    </row>
    <row r="9956" spans="1:5">
      <c r="A9956" t="s">
        <v>6</v>
      </c>
      <c r="B9956" t="s">
        <v>9961</v>
      </c>
      <c r="C9956">
        <f>HYPERLINK("C:\Users\franc\OneDrive\Documentos\MALENTIN KARIME\CESION\RESPALDO LUIS DIAZ\Mis documentos\TATIANA HECKERSDORF\Agustín Araya Molina.doc", "Abrir Documento")</f>
        <v>0</v>
      </c>
      <c r="D9956" t="s">
        <v>23500</v>
      </c>
      <c r="E9956" t="s">
        <v>32431</v>
      </c>
    </row>
    <row r="9957" spans="1:5">
      <c r="A9957" t="s">
        <v>6</v>
      </c>
      <c r="B9957" t="s">
        <v>9962</v>
      </c>
      <c r="C9957">
        <f>HYPERLINK("C:\Users\franc\OneDrive\Documentos\MALENTIN KARIME\CESION\RESPALDO LUIS DIAZ\Mis documentos\TATIANA HECKERSDORF\Agustín Araya Molina-Hj 36 y Lt 36.doc", "Abrir Documento")</f>
        <v>0</v>
      </c>
      <c r="D9957" t="s">
        <v>23500</v>
      </c>
      <c r="E9957" t="s">
        <v>32432</v>
      </c>
    </row>
    <row r="9958" spans="1:5">
      <c r="A9958" t="s">
        <v>6</v>
      </c>
      <c r="B9958" t="s">
        <v>9963</v>
      </c>
      <c r="C9958">
        <f>HYPERLINK("C:\Users\franc\OneDrive\Documentos\MALENTIN KARIME\CESION\RESPALDO LUIS DIAZ\Mis documentos\TATIANA HECKERSDORF\AGUSTIN ARAYA MOLINA.doc", "Abrir Documento")</f>
        <v>0</v>
      </c>
      <c r="D9958" t="s">
        <v>23500</v>
      </c>
      <c r="E9958" t="s">
        <v>32433</v>
      </c>
    </row>
    <row r="9959" spans="1:5">
      <c r="A9959" t="s">
        <v>6</v>
      </c>
      <c r="B9959" t="s">
        <v>9964</v>
      </c>
      <c r="C9959">
        <f>HYPERLINK("C:\Users\franc\OneDrive\Documentos\MALENTIN KARIME\CESION\RESPALDO LUIS DIAZ\Mis documentos\TATIANA HECKERSDORF\ACTA2.AUT.doc", "Abrir Documento")</f>
        <v>0</v>
      </c>
      <c r="D9959" t="s">
        <v>23500</v>
      </c>
      <c r="E9959" t="s">
        <v>32434</v>
      </c>
    </row>
    <row r="9960" spans="1:5">
      <c r="A9960" t="s">
        <v>6</v>
      </c>
      <c r="B9960" t="s">
        <v>9965</v>
      </c>
      <c r="C9960">
        <f>HYPERLINK("C:\Users\franc\OneDrive\Documentos\MALENTIN KARIME\CESION\RESPALDO LUIS DIAZ\Mis documentos\TATIANA HECKERSDORF\ACTA.AUT.doc", "Abrir Documento")</f>
        <v>0</v>
      </c>
      <c r="D9960" t="s">
        <v>23500</v>
      </c>
      <c r="E9960" t="s">
        <v>32435</v>
      </c>
    </row>
    <row r="9961" spans="1:5">
      <c r="A9961" t="s">
        <v>6</v>
      </c>
      <c r="B9961" t="s">
        <v>9966</v>
      </c>
      <c r="C9961">
        <f>HYPERLINK("C:\Users\franc\OneDrive\Documentos\MALENTIN KARIME\CESION\RESPALDO LUIS DIAZ\Mis documentos\Sobre.doc", "Abrir Documento")</f>
        <v>0</v>
      </c>
      <c r="D9961" t="s">
        <v>23500</v>
      </c>
      <c r="E9961" t="s">
        <v>32436</v>
      </c>
    </row>
    <row r="9962" spans="1:5">
      <c r="A9962" t="s">
        <v>6</v>
      </c>
      <c r="B9962" t="s">
        <v>9967</v>
      </c>
      <c r="C9962">
        <f>HYPERLINK("C:\Users\franc\OneDrive\Documentos\MALENTIN KARIME\CESION\RESPALDO LUIS DIAZ\Mis documentos\Sin efecto.doc", "Abrir Documento")</f>
        <v>0</v>
      </c>
      <c r="D9962" t="s">
        <v>23500</v>
      </c>
      <c r="E9962" t="s">
        <v>32437</v>
      </c>
    </row>
    <row r="9963" spans="1:5">
      <c r="A9963" t="s">
        <v>6</v>
      </c>
      <c r="B9963" t="s">
        <v>9968</v>
      </c>
      <c r="C9963">
        <f>HYPERLINK("C:\Users\franc\OneDrive\Documentos\MALENTIN KARIME\CESION\RESPALDO LUIS DIAZ\Mis documentos\PROPIEDAD MINAS AUT..doc", "Abrir Documento")</f>
        <v>0</v>
      </c>
      <c r="D9963" t="s">
        <v>23500</v>
      </c>
      <c r="E9963" t="s">
        <v>32438</v>
      </c>
    </row>
    <row r="9964" spans="1:5">
      <c r="A9964" t="s">
        <v>6</v>
      </c>
      <c r="B9964" t="s">
        <v>9969</v>
      </c>
      <c r="C9964">
        <f>HYPERLINK("C:\Users\franc\OneDrive\Documentos\MALENTIN KARIME\CESION\RESPALDO LUIS DIAZ\Mis documentos\PLANOS.AUT.doc", "Abrir Documento")</f>
        <v>0</v>
      </c>
      <c r="D9964" t="s">
        <v>23500</v>
      </c>
      <c r="E9964" t="s">
        <v>32439</v>
      </c>
    </row>
    <row r="9965" spans="1:5">
      <c r="A9965" t="s">
        <v>6</v>
      </c>
      <c r="B9965" t="s">
        <v>9970</v>
      </c>
      <c r="C9965">
        <f>HYPERLINK("C:\Users\franc\OneDrive\Documentos\MALENTIN KARIME\CESION\RESPALDO LUIS DIAZ\Mis documentos\PAGO IMPUESTO.doc", "Abrir Documento")</f>
        <v>0</v>
      </c>
      <c r="D9965" t="s">
        <v>23500</v>
      </c>
      <c r="E9965" t="s">
        <v>32440</v>
      </c>
    </row>
    <row r="9966" spans="1:5">
      <c r="A9966" t="s">
        <v>6</v>
      </c>
      <c r="B9966" t="s">
        <v>9971</v>
      </c>
      <c r="C9966">
        <f>HYPERLINK("C:\Users\franc\OneDrive\Documentos\MALENTIN KARIME\CESION\RESPALDO LUIS DIAZ\Mis documentos\NuevoDocumento de Microsoft Word.doc", "Abrir Documento")</f>
        <v>0</v>
      </c>
      <c r="D9966" t="s">
        <v>23500</v>
      </c>
      <c r="E9966" t="s">
        <v>32441</v>
      </c>
    </row>
    <row r="9967" spans="1:5">
      <c r="A9967" t="s">
        <v>6</v>
      </c>
      <c r="B9967" t="s">
        <v>9972</v>
      </c>
      <c r="C9967">
        <f>HYPERLINK("C:\Users\franc\OneDrive\Documentos\MALENTIN KARIME\CESION\RESPALDO LUIS DIAZ\Mis documentos\NOMBRES.doc", "Abrir Documento")</f>
        <v>0</v>
      </c>
      <c r="D9967" t="s">
        <v>23500</v>
      </c>
      <c r="E9967" t="s">
        <v>32442</v>
      </c>
    </row>
    <row r="9968" spans="1:5">
      <c r="A9968" t="s">
        <v>6</v>
      </c>
      <c r="B9968" t="s">
        <v>9973</v>
      </c>
      <c r="C9968">
        <f>HYPERLINK("C:\Users\franc\OneDrive\Documentos\MALENTIN KARIME\CESION\RESPALDO LUIS DIAZ\Mis documentos\MANIFESTACION.AUT.doc", "Abrir Documento")</f>
        <v>0</v>
      </c>
      <c r="D9968" t="s">
        <v>23500</v>
      </c>
      <c r="E9968" t="s">
        <v>32443</v>
      </c>
    </row>
    <row r="9969" spans="1:5">
      <c r="A9969" t="s">
        <v>6</v>
      </c>
      <c r="B9969" t="s">
        <v>9974</v>
      </c>
      <c r="C9969">
        <f>HYPERLINK("C:\Users\franc\OneDrive\Documentos\MALENTIN KARIME\CESION\RESPALDO LUIS DIAZ\Mis documentos\FIRMAS AUTORIZADAS Munic. Rio H..doc", "Abrir Documento")</f>
        <v>0</v>
      </c>
      <c r="D9969" t="s">
        <v>23500</v>
      </c>
      <c r="E9969" t="s">
        <v>32444</v>
      </c>
    </row>
    <row r="9970" spans="1:5">
      <c r="A9970" t="s">
        <v>6</v>
      </c>
      <c r="B9970" t="s">
        <v>9975</v>
      </c>
      <c r="C9970">
        <f>HYPERLINK("C:\Users\franc\OneDrive\Documentos\MALENTIN KARIME\CESION\RESPALDO LUIS DIAZ\Mis documentos\FIRMAS AUTORIZADAS III.doc", "Abrir Documento")</f>
        <v>0</v>
      </c>
      <c r="D9970" t="s">
        <v>23500</v>
      </c>
      <c r="E9970" t="s">
        <v>32445</v>
      </c>
    </row>
    <row r="9971" spans="1:5">
      <c r="A9971" t="s">
        <v>6</v>
      </c>
      <c r="B9971" t="s">
        <v>9976</v>
      </c>
      <c r="C9971">
        <f>HYPERLINK("C:\Users\franc\OneDrive\Documentos\MALENTIN KARIME\CESION\RESPALDO LUIS DIAZ\Mis documentos\FIRMAS AUTORIZADAS Dabed y Rosedama Ltda..doc", "Abrir Documento")</f>
        <v>0</v>
      </c>
      <c r="D9971" t="s">
        <v>23500</v>
      </c>
      <c r="E9971" t="s">
        <v>32446</v>
      </c>
    </row>
    <row r="9972" spans="1:5">
      <c r="A9972" t="s">
        <v>6</v>
      </c>
      <c r="B9972" t="s">
        <v>9977</v>
      </c>
      <c r="C9972">
        <f>HYPERLINK("C:\Users\franc\OneDrive\Documentos\MALENTIN KARIME\CESION\RESPALDO LUIS DIAZ\Mis documentos\FIRMAS AUTORIZADAS CIA. D. TELLO.doc", "Abrir Documento")</f>
        <v>0</v>
      </c>
      <c r="D9972" t="s">
        <v>23500</v>
      </c>
      <c r="E9972" t="s">
        <v>32447</v>
      </c>
    </row>
    <row r="9973" spans="1:5">
      <c r="A9973" t="s">
        <v>6</v>
      </c>
      <c r="B9973" t="s">
        <v>9978</v>
      </c>
      <c r="C9973">
        <f>HYPERLINK("C:\Users\franc\OneDrive\Documentos\MALENTIN KARIME\CESION\RESPALDO LUIS DIAZ\Mis documentos\FIRMAS AUTORIZADAS BANCO CHILE.doc", "Abrir Documento")</f>
        <v>0</v>
      </c>
      <c r="D9973" t="s">
        <v>23500</v>
      </c>
      <c r="E9973" t="s">
        <v>32448</v>
      </c>
    </row>
    <row r="9974" spans="1:5">
      <c r="A9974" t="s">
        <v>6</v>
      </c>
      <c r="B9974" t="s">
        <v>9979</v>
      </c>
      <c r="C9974">
        <f>HYPERLINK("C:\Users\franc\OneDrive\Documentos\MALENTIN KARIME\CESION\RESPALDO LUIS DIAZ\Mis documentos\FIRMAS AUTORIZADAS Arr..doc", "Abrir Documento")</f>
        <v>0</v>
      </c>
      <c r="D9974" t="s">
        <v>23500</v>
      </c>
      <c r="E9974" t="s">
        <v>32449</v>
      </c>
    </row>
    <row r="9975" spans="1:5">
      <c r="A9975" t="s">
        <v>6</v>
      </c>
      <c r="B9975" t="s">
        <v>9980</v>
      </c>
      <c r="C9975">
        <f>HYPERLINK("C:\Users\franc\OneDrive\Documentos\MALENTIN KARIME\CESION\RESPALDO LUIS DIAZ\Mis documentos\FIRMAS AUTORIZADAS 2.doc", "Abrir Documento")</f>
        <v>0</v>
      </c>
      <c r="D9975" t="s">
        <v>23500</v>
      </c>
      <c r="E9975" t="s">
        <v>32450</v>
      </c>
    </row>
    <row r="9976" spans="1:5">
      <c r="A9976" t="s">
        <v>6</v>
      </c>
      <c r="B9976" t="s">
        <v>9981</v>
      </c>
      <c r="C9976">
        <f>HYPERLINK("C:\Users\franc\OneDrive\Documentos\MALENTIN KARIME\CESION\RESPALDO LUIS DIAZ\Mis documentos\FIRMAS AUTORIZADAS 2 Represent..doc", "Abrir Documento")</f>
        <v>0</v>
      </c>
      <c r="D9976" t="s">
        <v>23500</v>
      </c>
      <c r="E9976" t="s">
        <v>32451</v>
      </c>
    </row>
    <row r="9977" spans="1:5">
      <c r="A9977" t="s">
        <v>6</v>
      </c>
      <c r="B9977" t="s">
        <v>9982</v>
      </c>
      <c r="C9977">
        <f>HYPERLINK("C:\Users\franc\OneDrive\Documentos\MALENTIN KARIME\CESION\RESPALDO LUIS DIAZ\Mis documentos\FIRMAS AUT. BANCO SANTANDER.doc", "Abrir Documento")</f>
        <v>0</v>
      </c>
      <c r="D9977" t="s">
        <v>23500</v>
      </c>
      <c r="E9977" t="s">
        <v>32452</v>
      </c>
    </row>
    <row r="9978" spans="1:5">
      <c r="A9978" t="s">
        <v>6</v>
      </c>
      <c r="B9978" t="s">
        <v>9983</v>
      </c>
      <c r="C9978">
        <f>HYPERLINK("C:\Users\franc\OneDrive\Documentos\MALENTIN KARIME\CESION\RESPALDO LUIS DIAZ\Mis documentos\FIRMA SERVIU.AUT.doc", "Abrir Documento")</f>
        <v>0</v>
      </c>
      <c r="D9978" t="s">
        <v>23500</v>
      </c>
      <c r="E9978" t="s">
        <v>32453</v>
      </c>
    </row>
    <row r="9979" spans="1:5">
      <c r="A9979" t="s">
        <v>6</v>
      </c>
      <c r="B9979" t="s">
        <v>9984</v>
      </c>
      <c r="C9979">
        <f>HYPERLINK("C:\Users\franc\OneDrive\Documentos\MALENTIN KARIME\CESION\RESPALDO LUIS DIAZ\Mis documentos\FIRMA SERVIU.Aut. Supl..doc", "Abrir Documento")</f>
        <v>0</v>
      </c>
      <c r="D9979" t="s">
        <v>23500</v>
      </c>
      <c r="E9979" t="s">
        <v>32454</v>
      </c>
    </row>
    <row r="9980" spans="1:5">
      <c r="A9980" t="s">
        <v>6</v>
      </c>
      <c r="B9980" t="s">
        <v>9985</v>
      </c>
      <c r="C9980">
        <f>HYPERLINK("C:\Users\franc\OneDrive\Documentos\MALENTIN KARIME\CESION\RESPALDO LUIS DIAZ\Mis documentos\FIRMA INDAP.AUT.doc", "Abrir Documento")</f>
        <v>0</v>
      </c>
      <c r="D9980" t="s">
        <v>23500</v>
      </c>
      <c r="E9980" t="s">
        <v>32455</v>
      </c>
    </row>
    <row r="9981" spans="1:5">
      <c r="A9981" t="s">
        <v>6</v>
      </c>
      <c r="B9981" t="s">
        <v>9986</v>
      </c>
      <c r="C9981">
        <f>HYPERLINK("C:\Users\franc\OneDrive\Documentos\MALENTIN KARIME\CESION\RESPALDO LUIS DIAZ\Mis documentos\FIRMA AUTORIZADA.doc", "Abrir Documento")</f>
        <v>0</v>
      </c>
      <c r="D9981" t="s">
        <v>23500</v>
      </c>
      <c r="E9981" t="s">
        <v>32456</v>
      </c>
    </row>
    <row r="9982" spans="1:5">
      <c r="A9982" t="s">
        <v>6</v>
      </c>
      <c r="B9982" t="s">
        <v>9987</v>
      </c>
      <c r="C9982">
        <f>HYPERLINK("C:\Users\franc\OneDrive\Documentos\MALENTIN KARIME\CESION\RESPALDO LUIS DIAZ\Mis documentos\FIRMA AUTORIZADA Sercotec.doc", "Abrir Documento")</f>
        <v>0</v>
      </c>
      <c r="D9982" t="s">
        <v>23500</v>
      </c>
      <c r="E9982" t="s">
        <v>32457</v>
      </c>
    </row>
    <row r="9983" spans="1:5">
      <c r="A9983" t="s">
        <v>6</v>
      </c>
      <c r="B9983" t="s">
        <v>9988</v>
      </c>
      <c r="C9983">
        <f>HYPERLINK("C:\Users\franc\OneDrive\Documentos\MALENTIN KARIME\CESION\RESPALDO LUIS DIAZ\Mis documentos\FIRMA AUTORIZADA Letra.doc", "Abrir Documento")</f>
        <v>0</v>
      </c>
      <c r="D9983" t="s">
        <v>23500</v>
      </c>
      <c r="E9983" t="s">
        <v>32458</v>
      </c>
    </row>
    <row r="9984" spans="1:5">
      <c r="A9984" t="s">
        <v>6</v>
      </c>
      <c r="B9984" t="s">
        <v>9989</v>
      </c>
      <c r="C9984">
        <f>HYPERLINK("C:\Users\franc\OneDrive\Documentos\MALENTIN KARIME\CESION\RESPALDO LUIS DIAZ\Mis documentos\FIRMA AUTORIZADA Fco. Corona.doc", "Abrir Documento")</f>
        <v>0</v>
      </c>
      <c r="D9984" t="s">
        <v>23500</v>
      </c>
      <c r="E9984" t="s">
        <v>32459</v>
      </c>
    </row>
    <row r="9985" spans="1:5">
      <c r="A9985" t="s">
        <v>6</v>
      </c>
      <c r="B9985" t="s">
        <v>9990</v>
      </c>
      <c r="C9985">
        <f>HYPERLINK("C:\Users\franc\OneDrive\Documentos\MALENTIN KARIME\CESION\RESPALDO LUIS DIAZ\Mis documentos\FIRMA AUTORIZADA BANCO CHILE.doc", "Abrir Documento")</f>
        <v>0</v>
      </c>
      <c r="D9985" t="s">
        <v>23500</v>
      </c>
      <c r="E9985" t="s">
        <v>32460</v>
      </c>
    </row>
    <row r="9986" spans="1:5">
      <c r="A9986" t="s">
        <v>6</v>
      </c>
      <c r="B9986" t="s">
        <v>9991</v>
      </c>
      <c r="C9986">
        <f>HYPERLINK("C:\Users\franc\OneDrive\Documentos\MALENTIN KARIME\CESION\RESPALDO LUIS DIAZ\Mis documentos\FIRMA AUTORIZ. p.p..doc", "Abrir Documento")</f>
        <v>0</v>
      </c>
      <c r="D9986" t="s">
        <v>23500</v>
      </c>
      <c r="E9986" t="s">
        <v>32461</v>
      </c>
    </row>
    <row r="9987" spans="1:5">
      <c r="A9987" t="s">
        <v>6</v>
      </c>
      <c r="B9987" t="s">
        <v>9992</v>
      </c>
      <c r="C9987">
        <f>HYPERLINK("C:\Users\franc\OneDrive\Documentos\MALENTIN KARIME\CESION\RESPALDO LUIS DIAZ\Mis documentos\FIRMA AUTORIZ. p.p. quien dice representar.doc", "Abrir Documento")</f>
        <v>0</v>
      </c>
      <c r="D9987" t="s">
        <v>23500</v>
      </c>
      <c r="E9987" t="s">
        <v>32462</v>
      </c>
    </row>
    <row r="9988" spans="1:5">
      <c r="A9988" t="s">
        <v>6</v>
      </c>
      <c r="B9988" t="s">
        <v>9993</v>
      </c>
      <c r="C9988">
        <f>HYPERLINK("C:\Users\franc\OneDrive\Documentos\MALENTIN KARIME\CESION\RESPALDO LUIS DIAZ\Mis documentos\FIRMA AUTORIZ. p.p. Personas CAPEL.doc", "Abrir Documento")</f>
        <v>0</v>
      </c>
      <c r="D9988" t="s">
        <v>23500</v>
      </c>
      <c r="E9988" t="s">
        <v>32463</v>
      </c>
    </row>
    <row r="9989" spans="1:5">
      <c r="A9989" t="s">
        <v>6</v>
      </c>
      <c r="B9989" t="s">
        <v>9994</v>
      </c>
      <c r="C9989">
        <f>HYPERLINK("C:\Users\franc\OneDrive\Documentos\MALENTIN KARIME\CESION\RESPALDO LUIS DIAZ\Mis documentos\FIRMA AUTORIZ. p.p. Alcalde R. H..doc", "Abrir Documento")</f>
        <v>0</v>
      </c>
      <c r="D9989" t="s">
        <v>23500</v>
      </c>
      <c r="E9989" t="s">
        <v>32464</v>
      </c>
    </row>
    <row r="9990" spans="1:5">
      <c r="A9990" t="s">
        <v>6</v>
      </c>
      <c r="B9990" t="s">
        <v>9995</v>
      </c>
      <c r="C9990">
        <f>HYPERLINK("C:\Users\franc\OneDrive\Documentos\MALENTIN KARIME\CESION\RESPALDO LUIS DIAZ\Mis documentos\FIRMA AUT. Y PAGO IMPTO..doc", "Abrir Documento")</f>
        <v>0</v>
      </c>
      <c r="D9990" t="s">
        <v>23500</v>
      </c>
      <c r="E9990" t="s">
        <v>32465</v>
      </c>
    </row>
    <row r="9991" spans="1:5">
      <c r="A9991" t="s">
        <v>6</v>
      </c>
      <c r="B9991" t="s">
        <v>9996</v>
      </c>
      <c r="C9991">
        <f>HYPERLINK("C:\Users\franc\OneDrive\Documentos\MALENTIN KARIME\CESION\RESPALDO LUIS DIAZ\Mis documentos\FIRMA AUT. PERSONERIA ANGOSTURA LTD..doc", "Abrir Documento")</f>
        <v>0</v>
      </c>
      <c r="D9991" t="s">
        <v>23500</v>
      </c>
      <c r="E9991" t="s">
        <v>32466</v>
      </c>
    </row>
    <row r="9992" spans="1:5">
      <c r="A9992" t="s">
        <v>6</v>
      </c>
      <c r="B9992" t="s">
        <v>9997</v>
      </c>
      <c r="C9992">
        <f>HYPERLINK("C:\Users\franc\OneDrive\Documentos\MALENTIN KARIME\CESION\RESPALDO LUIS DIAZ\Mis documentos\FIRMA AUT. CON PERSONERIA.doc", "Abrir Documento")</f>
        <v>0</v>
      </c>
      <c r="D9992" t="s">
        <v>23500</v>
      </c>
      <c r="E9992" t="s">
        <v>32467</v>
      </c>
    </row>
    <row r="9993" spans="1:5">
      <c r="A9993" t="s">
        <v>6</v>
      </c>
      <c r="B9993" t="s">
        <v>9998</v>
      </c>
      <c r="C9993">
        <f>HYPERLINK("C:\Users\franc\OneDrive\Documentos\MALENTIN KARIME\CESION\RESPALDO LUIS DIAZ\Mis documentos\ESCRITURA2.AUT.doc", "Abrir Documento")</f>
        <v>0</v>
      </c>
      <c r="D9993" t="s">
        <v>23500</v>
      </c>
      <c r="E9993" t="s">
        <v>32468</v>
      </c>
    </row>
    <row r="9994" spans="1:5">
      <c r="A9994" t="s">
        <v>6</v>
      </c>
      <c r="B9994" t="s">
        <v>9999</v>
      </c>
      <c r="C9994">
        <f>HYPERLINK("C:\Users\franc\OneDrive\Documentos\MALENTIN KARIME\CESION\RESPALDO LUIS DIAZ\Mis documentos\ESCRITURA.AUT.doc", "Abrir Documento")</f>
        <v>0</v>
      </c>
      <c r="D9994" t="s">
        <v>23500</v>
      </c>
      <c r="E9994" t="s">
        <v>32469</v>
      </c>
    </row>
    <row r="9995" spans="1:5">
      <c r="A9995" t="s">
        <v>6</v>
      </c>
      <c r="B9995" t="s">
        <v>10000</v>
      </c>
      <c r="C9995">
        <f>HYPERLINK("C:\Users\franc\OneDrive\Documentos\MALENTIN KARIME\CESION\RESPALDO LUIS DIAZ\Mis documentos\ESCRITURA AUT. Mandato Vigencia.doc", "Abrir Documento")</f>
        <v>0</v>
      </c>
      <c r="D9995" t="s">
        <v>23500</v>
      </c>
      <c r="E9995" t="s">
        <v>32470</v>
      </c>
    </row>
    <row r="9996" spans="1:5">
      <c r="A9996" t="s">
        <v>6</v>
      </c>
      <c r="B9996" t="s">
        <v>10001</v>
      </c>
      <c r="C9996">
        <f>HYPERLINK("C:\Users\franc\OneDrive\Documentos\MALENTIN KARIME\CESION\RESPALDO LUIS DIAZ\Mis documentos\ESCRITURA AUT. con Vigencia.doc", "Abrir Documento")</f>
        <v>0</v>
      </c>
      <c r="D9996" t="s">
        <v>23500</v>
      </c>
      <c r="E9996" t="s">
        <v>32471</v>
      </c>
    </row>
    <row r="9997" spans="1:5">
      <c r="A9997" t="s">
        <v>6</v>
      </c>
      <c r="B9997" t="s">
        <v>10002</v>
      </c>
      <c r="C9997">
        <f>HYPERLINK("C:\Users\franc\OneDrive\Documentos\MALENTIN KARIME\CESION\RESPALDO LUIS DIAZ\Mis documentos\DCTO. PROTOCOLIZ. Autorizado.doc", "Abrir Documento")</f>
        <v>0</v>
      </c>
      <c r="D9997" t="s">
        <v>23500</v>
      </c>
      <c r="E9997" t="s">
        <v>32472</v>
      </c>
    </row>
    <row r="9998" spans="1:5">
      <c r="A9998" t="s">
        <v>6</v>
      </c>
      <c r="B9998" t="s">
        <v>10003</v>
      </c>
      <c r="C9998">
        <f>HYPERLINK("C:\Users\franc\OneDrive\Documentos\MALENTIN KARIME\CESION\RESPALDO LUIS DIAZ\Mis documentos\COPIAS2.AUT.doc", "Abrir Documento")</f>
        <v>0</v>
      </c>
      <c r="D9998" t="s">
        <v>23500</v>
      </c>
      <c r="E9998" t="s">
        <v>32473</v>
      </c>
    </row>
    <row r="9999" spans="1:5">
      <c r="A9999" t="s">
        <v>6</v>
      </c>
      <c r="B9999" t="s">
        <v>10004</v>
      </c>
      <c r="C9999">
        <f>HYPERLINK("C:\Users\franc\OneDrive\Documentos\MALENTIN KARIME\CESION\RESPALDO LUIS DIAZ\Mis documentos\COPIA2.AUT.doc", "Abrir Documento")</f>
        <v>0</v>
      </c>
      <c r="D9999" t="s">
        <v>23500</v>
      </c>
      <c r="E9999" t="s">
        <v>32474</v>
      </c>
    </row>
    <row r="10000" spans="1:5">
      <c r="A10000" t="s">
        <v>6</v>
      </c>
      <c r="B10000" t="s">
        <v>10005</v>
      </c>
      <c r="C10000">
        <f>HYPERLINK("C:\Users\franc\OneDrive\Documentos\MALENTIN KARIME\CESION\RESPALDO LUIS DIAZ\Mis documentos\COPIA.AUT.doc", "Abrir Documento")</f>
        <v>0</v>
      </c>
      <c r="D10000" t="s">
        <v>23500</v>
      </c>
      <c r="E10000" t="s">
        <v>32475</v>
      </c>
    </row>
    <row r="10001" spans="1:5">
      <c r="A10001" t="s">
        <v>6</v>
      </c>
      <c r="B10001" t="s">
        <v>10006</v>
      </c>
      <c r="C10001">
        <f>HYPERLINK("C:\Users\franc\OneDrive\Documentos\MALENTIN KARIME\CESION\RESPALDO LUIS DIAZ\Mis documentos\CERTIFICO.doc", "Abrir Documento")</f>
        <v>0</v>
      </c>
      <c r="D10001" t="s">
        <v>23500</v>
      </c>
      <c r="E10001" t="s">
        <v>32476</v>
      </c>
    </row>
    <row r="10002" spans="1:5">
      <c r="A10002" t="s">
        <v>6</v>
      </c>
      <c r="B10002" t="s">
        <v>10007</v>
      </c>
      <c r="C10002">
        <f>HYPERLINK("C:\Users\franc\OneDrive\Documentos\MALENTIN KARIME\CESION\RESPALDO LUIS DIAZ\Mis documentos\CARTA CON LOGO.doc", "Abrir Documento")</f>
        <v>0</v>
      </c>
      <c r="D10002" t="s">
        <v>23500</v>
      </c>
      <c r="E10002" t="s">
        <v>32477</v>
      </c>
    </row>
    <row r="10003" spans="1:5">
      <c r="A10003" t="s">
        <v>6</v>
      </c>
      <c r="B10003" t="s">
        <v>10008</v>
      </c>
      <c r="C10003">
        <f>HYPERLINK("C:\Users\franc\OneDrive\Documentos\MALENTIN KARIME\CESION\RESPALDO LUIS DIAZ\Mis documentos\BANCO CHILE.doc", "Abrir Documento")</f>
        <v>0</v>
      </c>
      <c r="D10003" t="s">
        <v>23500</v>
      </c>
      <c r="E10003" t="s">
        <v>32478</v>
      </c>
    </row>
    <row r="10004" spans="1:5">
      <c r="A10004" t="s">
        <v>6</v>
      </c>
      <c r="B10004" t="s">
        <v>10009</v>
      </c>
      <c r="C10004">
        <f>HYPERLINK("C:\Users\franc\OneDrive\Documentos\MALENTIN KARIME\CESION\RESPALDO LUIS DIAZ\Mis documentos\AUTORIZ. DIGITO PULGAR.doc", "Abrir Documento")</f>
        <v>0</v>
      </c>
      <c r="D10004" t="s">
        <v>23500</v>
      </c>
      <c r="E10004" t="s">
        <v>32479</v>
      </c>
    </row>
    <row r="10005" spans="1:5">
      <c r="A10005" t="s">
        <v>6</v>
      </c>
      <c r="B10005" t="s">
        <v>10010</v>
      </c>
      <c r="C10005">
        <f>HYPERLINK("C:\Users\franc\OneDrive\Documentos\MALENTIN KARIME\CESION\RESPALDO LUIS DIAZ\Mis documentos\ACTAS. Autoriz..doc", "Abrir Documento")</f>
        <v>0</v>
      </c>
      <c r="D10005" t="s">
        <v>23500</v>
      </c>
      <c r="E10005" t="s">
        <v>32480</v>
      </c>
    </row>
    <row r="10006" spans="1:5">
      <c r="A10006" t="s">
        <v>6</v>
      </c>
      <c r="B10006" t="s">
        <v>10011</v>
      </c>
      <c r="C10006">
        <f>HYPERLINK("C:\Users\franc\OneDrive\Documentos\MALENTIN KARIME\CESION\RESPALDO LUIS DIAZ\Mis documentos\ACTA Autoriz. Anexa.doc", "Abrir Documento")</f>
        <v>0</v>
      </c>
      <c r="D10006" t="s">
        <v>23500</v>
      </c>
      <c r="E10006" t="s">
        <v>32481</v>
      </c>
    </row>
    <row r="10007" spans="1:5">
      <c r="A10007" t="s">
        <v>6</v>
      </c>
      <c r="B10007" t="s">
        <v>10012</v>
      </c>
      <c r="C10007">
        <f>HYPERLINK("C:\Users\franc\OneDrive\Documentos\MALENTIN KARIME\CESION\RESPALDO LUIS DIAZ\Sobre Solomon Ltda..doc", "Abrir Documento")</f>
        <v>0</v>
      </c>
      <c r="D10007" t="s">
        <v>23500</v>
      </c>
      <c r="E10007" t="s">
        <v>32482</v>
      </c>
    </row>
    <row r="10008" spans="1:5">
      <c r="A10008" t="s">
        <v>6</v>
      </c>
      <c r="B10008" t="s">
        <v>10013</v>
      </c>
      <c r="C10008">
        <f>HYPERLINK("C:\Users\franc\OneDrive\Documentos\MALENTIN KARIME\CESION\RESPALDO LUIS DIAZ\Sobre Francisco Corona.doc", "Abrir Documento")</f>
        <v>0</v>
      </c>
      <c r="D10008" t="s">
        <v>23500</v>
      </c>
      <c r="E10008" t="s">
        <v>32483</v>
      </c>
    </row>
    <row r="10009" spans="1:5">
      <c r="A10009" t="s">
        <v>6</v>
      </c>
      <c r="B10009" t="s">
        <v>10014</v>
      </c>
      <c r="C10009">
        <f>HYPERLINK("C:\Users\franc\OneDrive\Documentos\MALENTIN KARIME\CESION\RESPALDO LUIS DIAZ\Sobre Fco. Saavedra.doc", "Abrir Documento")</f>
        <v>0</v>
      </c>
      <c r="D10009" t="s">
        <v>23500</v>
      </c>
      <c r="E10009" t="s">
        <v>32484</v>
      </c>
    </row>
    <row r="10010" spans="1:5">
      <c r="A10010" t="s">
        <v>6</v>
      </c>
      <c r="B10010" t="s">
        <v>10015</v>
      </c>
      <c r="C10010">
        <f>HYPERLINK("C:\Users\franc\OneDrive\Documentos\MALENTIN KARIME\CESION\RESPALDO LUIS DIAZ\Sobre CIBERGESTION.doc", "Abrir Documento")</f>
        <v>0</v>
      </c>
      <c r="D10010" t="s">
        <v>23500</v>
      </c>
      <c r="E10010" t="s">
        <v>32485</v>
      </c>
    </row>
    <row r="10011" spans="1:5">
      <c r="A10011" t="s">
        <v>6</v>
      </c>
      <c r="B10011" t="s">
        <v>10016</v>
      </c>
      <c r="C10011">
        <f>HYPERLINK("C:\Users\franc\OneDrive\Documentos\MALENTIN KARIME\CESION\RESPALDO LUIS DIAZ\Sin efecto Certif. Medico.doc", "Abrir Documento")</f>
        <v>0</v>
      </c>
      <c r="D10011" t="s">
        <v>23500</v>
      </c>
      <c r="E10011" t="s">
        <v>32486</v>
      </c>
    </row>
    <row r="10012" spans="1:5">
      <c r="A10012" t="s">
        <v>6</v>
      </c>
      <c r="B10012" t="s">
        <v>10017</v>
      </c>
      <c r="C10012">
        <f>HYPERLINK("C:\Users\franc\OneDrive\Documentos\MALENTIN KARIME\CESION\RESPALDO LUIS DIAZ\PAGARE A PLAZO.doc", "Abrir Documento")</f>
        <v>0</v>
      </c>
      <c r="D10012" t="s">
        <v>23500</v>
      </c>
      <c r="E10012" t="s">
        <v>32487</v>
      </c>
    </row>
    <row r="10013" spans="1:5">
      <c r="A10013" t="s">
        <v>6</v>
      </c>
      <c r="B10013" t="s">
        <v>10018</v>
      </c>
      <c r="C10013">
        <f>HYPERLINK("C:\Users\franc\OneDrive\Documentos\MALENTIN KARIME\CESION\RESPALDO LUIS DIAZ\Firma a ruego.doc", "Abrir Documento")</f>
        <v>0</v>
      </c>
      <c r="D10013" t="s">
        <v>23500</v>
      </c>
      <c r="E10013" t="s">
        <v>32488</v>
      </c>
    </row>
    <row r="10014" spans="1:5">
      <c r="A10014" t="s">
        <v>6</v>
      </c>
      <c r="B10014" t="s">
        <v>10019</v>
      </c>
      <c r="C10014">
        <f>HYPERLINK("C:\Users\franc\OneDrive\Documentos\MALENTIN KARIME\CESION\RESPALDO LUIS DIAZ\DOCUMENTO AL MARGEN.doc", "Abrir Documento")</f>
        <v>0</v>
      </c>
      <c r="D10014" t="s">
        <v>23500</v>
      </c>
      <c r="E10014" t="s">
        <v>32489</v>
      </c>
    </row>
    <row r="10015" spans="1:5">
      <c r="A10015" t="s">
        <v>6</v>
      </c>
      <c r="B10015" t="s">
        <v>10020</v>
      </c>
      <c r="C10015">
        <f>HYPERLINK("C:\Users\franc\OneDrive\Documentos\MALENTIN KARIME\CESION\RESPALDO LUIS DIAZ\Carta SERCOTEC.doc", "Abrir Documento")</f>
        <v>0</v>
      </c>
      <c r="D10015" t="s">
        <v>23500</v>
      </c>
      <c r="E10015" t="s">
        <v>32490</v>
      </c>
    </row>
    <row r="10016" spans="1:5">
      <c r="A10016" t="s">
        <v>6</v>
      </c>
      <c r="B10016" t="s">
        <v>10021</v>
      </c>
      <c r="C10016">
        <f>HYPERLINK("C:\Users\franc\OneDrive\Documentos\MALENTIN KARIME\CESION\RESPALDO LUIS DIAZ\autorizac pagare.doc", "Abrir Documento")</f>
        <v>0</v>
      </c>
      <c r="D10016" t="s">
        <v>23500</v>
      </c>
      <c r="E10016" t="s">
        <v>32491</v>
      </c>
    </row>
    <row r="10017" spans="1:5">
      <c r="A10017" t="s">
        <v>6</v>
      </c>
      <c r="B10017" t="s">
        <v>10022</v>
      </c>
      <c r="C10017">
        <f>HYPERLINK("C:\Users\franc\OneDrive\Documentos\MALENTIN KARIME\CESION\HEREDITARIOS\2021\HUGO CORTES IBACACHE cesion maria ibacachedoc.doc", "Abrir Documento")</f>
        <v>0</v>
      </c>
      <c r="D10017" t="s">
        <v>23500</v>
      </c>
      <c r="E10017" t="s">
        <v>32492</v>
      </c>
    </row>
    <row r="10018" spans="1:5">
      <c r="A10018" t="s">
        <v>6</v>
      </c>
      <c r="B10018" t="s">
        <v>10023</v>
      </c>
      <c r="C10018">
        <f>HYPERLINK("C:\Users\franc\OneDrive\Documentos\MALENTIN KARIME\CESION\HEREDITARIOS\2021\HUGO CORTES IBACACHE cesion carlos cortes.doc", "Abrir Documento")</f>
        <v>0</v>
      </c>
      <c r="D10018" t="s">
        <v>23500</v>
      </c>
      <c r="E10018" t="s">
        <v>32493</v>
      </c>
    </row>
    <row r="10019" spans="1:5">
      <c r="A10019" t="s">
        <v>6</v>
      </c>
      <c r="B10019" t="s">
        <v>10024</v>
      </c>
      <c r="C10019">
        <f>HYPERLINK("C:\Users\franc\OneDrive\Documentos\MALENTIN KARIME\CESION\HEREDITARIOS\2017\SUCESION PIZARRO.doc", "Abrir Documento")</f>
        <v>0</v>
      </c>
      <c r="D10019" t="s">
        <v>23500</v>
      </c>
      <c r="E10019" t="s">
        <v>32494</v>
      </c>
    </row>
    <row r="10020" spans="1:5">
      <c r="A10020" t="s">
        <v>6</v>
      </c>
      <c r="B10020" t="s">
        <v>10025</v>
      </c>
      <c r="C10020">
        <f>HYPERLINK("C:\Users\franc\OneDrive\Documentos\MALENTIN KARIME\CESION\HEREDITARIOS\2017\SUCESION MARIN.doc", "Abrir Documento")</f>
        <v>0</v>
      </c>
      <c r="D10020" t="s">
        <v>23500</v>
      </c>
      <c r="E10020" t="s">
        <v>32495</v>
      </c>
    </row>
    <row r="10021" spans="1:5">
      <c r="A10021" t="s">
        <v>6</v>
      </c>
      <c r="B10021" t="s">
        <v>10026</v>
      </c>
      <c r="C10021">
        <f>HYPERLINK("C:\Users\franc\OneDrive\Documentos\MALENTIN KARIME\CESION\HEREDITARIOS\2017\SUCESION Cortes Arancibia 2018.doc", "Abrir Documento")</f>
        <v>0</v>
      </c>
      <c r="D10021" t="s">
        <v>23500</v>
      </c>
      <c r="E10021" t="s">
        <v>32496</v>
      </c>
    </row>
    <row r="10022" spans="1:5">
      <c r="A10022" t="s">
        <v>6</v>
      </c>
      <c r="B10022" t="s">
        <v>10027</v>
      </c>
      <c r="C10022">
        <f>HYPERLINK("C:\Users\franc\OneDrive\Documentos\MALENTIN KARIME\CESION\HEREDITARIOS\2017\MIGUEL URRUTIA ACUÑA y Nadia Soto Vallejos 2018.doc", "Abrir Documento")</f>
        <v>0</v>
      </c>
      <c r="D10022" t="s">
        <v>23500</v>
      </c>
      <c r="E10022" t="s">
        <v>32497</v>
      </c>
    </row>
    <row r="10023" spans="1:5">
      <c r="A10023" t="s">
        <v>6</v>
      </c>
      <c r="B10023" t="s">
        <v>10028</v>
      </c>
      <c r="C10023">
        <f>HYPERLINK("C:\Users\franc\OneDrive\Documentos\MALENTIN KARIME\CESION\HEREDITARIOS\2017\LAURA ROJAS VILLARROEL cesionaria 2018.doc", "Abrir Documento")</f>
        <v>0</v>
      </c>
      <c r="D10023" t="s">
        <v>23500</v>
      </c>
      <c r="E10023" t="s">
        <v>32498</v>
      </c>
    </row>
    <row r="10024" spans="1:5">
      <c r="A10024" t="s">
        <v>6</v>
      </c>
      <c r="B10024" t="s">
        <v>10029</v>
      </c>
      <c r="C10024">
        <f>HYPERLINK("C:\Users\franc\OneDrive\Documentos\MALENTIN KARIME\CESION\HEREDITARIOS\2017\ERIKA BERRIOS A JUANA CONTULIANO.doc", "Abrir Documento")</f>
        <v>0</v>
      </c>
      <c r="D10024" t="s">
        <v>23500</v>
      </c>
      <c r="E10024" t="s">
        <v>32499</v>
      </c>
    </row>
    <row r="10025" spans="1:5">
      <c r="A10025" t="s">
        <v>6</v>
      </c>
      <c r="B10025" t="s">
        <v>10030</v>
      </c>
      <c r="C10025">
        <f>HYPERLINK("C:\Users\franc\OneDrive\Documentos\MALENTIN KARIME\CESION\HEREDITARIOS\2017\ENRIQUE PEREZ A YORKA PEREZ 2018.doc", "Abrir Documento")</f>
        <v>0</v>
      </c>
      <c r="D10025" t="s">
        <v>23500</v>
      </c>
      <c r="E10025" t="s">
        <v>32500</v>
      </c>
    </row>
    <row r="10026" spans="1:5">
      <c r="A10026" t="s">
        <v>6</v>
      </c>
      <c r="B10026" t="s">
        <v>10031</v>
      </c>
      <c r="C10026">
        <f>HYPERLINK("C:\Users\franc\OneDrive\Documentos\MALENTIN KARIME\CESION\HEREDITARIOS\2017\DAVID DIAZ SILVA A Sandra Diaz Silva.doc", "Abrir Documento")</f>
        <v>0</v>
      </c>
      <c r="D10026" t="s">
        <v>23500</v>
      </c>
      <c r="E10026" t="s">
        <v>32501</v>
      </c>
    </row>
    <row r="10027" spans="1:5">
      <c r="A10027" t="s">
        <v>6</v>
      </c>
      <c r="B10027" t="s">
        <v>10032</v>
      </c>
      <c r="C10027">
        <f>HYPERLINK("C:\Users\franc\OneDrive\Documentos\MALENTIN KARIME\CESION\HEREDITARIOS\2017\CARLOS LORCA GUERRA.doc", "Abrir Documento")</f>
        <v>0</v>
      </c>
      <c r="D10027" t="s">
        <v>23500</v>
      </c>
      <c r="E10027" t="s">
        <v>32502</v>
      </c>
    </row>
    <row r="10028" spans="1:5">
      <c r="A10028" t="s">
        <v>6</v>
      </c>
      <c r="B10028" t="s">
        <v>10033</v>
      </c>
      <c r="C10028">
        <f>HYPERLINK("C:\Users\franc\OneDrive\Documentos\MALENTIN KARIME\CESION\HEREDITARIOS\2017\BELLA ALBANEZ A OLGA CORTES minuta.doc", "Abrir Documento")</f>
        <v>0</v>
      </c>
      <c r="D10028" t="s">
        <v>23500</v>
      </c>
      <c r="E10028" t="s">
        <v>32503</v>
      </c>
    </row>
    <row r="10029" spans="1:5">
      <c r="A10029" t="s">
        <v>6</v>
      </c>
      <c r="B10029" t="s">
        <v>10034</v>
      </c>
      <c r="C10029">
        <f>HYPERLINK("C:\Users\franc\OneDrive\Documentos\MALENTIN KARIME\CESION\HEREDITARIOS\2017\ANA ORTIZ GARCIA.doc", "Abrir Documento")</f>
        <v>0</v>
      </c>
      <c r="D10029" t="s">
        <v>23500</v>
      </c>
      <c r="E10029" t="s">
        <v>32504</v>
      </c>
    </row>
    <row r="10030" spans="1:5">
      <c r="A10030" t="s">
        <v>6</v>
      </c>
      <c r="B10030" t="s">
        <v>10035</v>
      </c>
      <c r="C10030">
        <f>HYPERLINK("C:\Users\franc\OneDrive\Documentos\MALENTIN KARIME\CESION\HEREDITARIOS\WILFREDO VALENCIA GODOY A Jovina Valencia Agosto 13.doc", "Abrir Documento")</f>
        <v>0</v>
      </c>
      <c r="D10030" t="s">
        <v>23500</v>
      </c>
      <c r="E10030" t="s">
        <v>32505</v>
      </c>
    </row>
    <row r="10031" spans="1:5">
      <c r="A10031" t="s">
        <v>6</v>
      </c>
      <c r="B10031" t="s">
        <v>10036</v>
      </c>
      <c r="C10031">
        <f>HYPERLINK("C:\Users\franc\OneDrive\Documentos\MALENTIN KARIME\CESION\HEREDITARIOS\SUCESION RIVERA RIVERA.doc", "Abrir Documento")</f>
        <v>0</v>
      </c>
      <c r="D10031" t="s">
        <v>23500</v>
      </c>
      <c r="E10031" t="s">
        <v>32506</v>
      </c>
    </row>
    <row r="10032" spans="1:5">
      <c r="A10032" t="s">
        <v>6</v>
      </c>
      <c r="B10032" t="s">
        <v>10037</v>
      </c>
      <c r="C10032">
        <f>HYPERLINK("C:\Users\franc\OneDrive\Documentos\MALENTIN KARIME\CESION\HEREDITARIOS\SUCESION PLAZA RIOS II Parte.doc", "Abrir Documento")</f>
        <v>0</v>
      </c>
      <c r="D10032" t="s">
        <v>23500</v>
      </c>
      <c r="E10032" t="s">
        <v>32507</v>
      </c>
    </row>
    <row r="10033" spans="1:5">
      <c r="A10033" t="s">
        <v>6</v>
      </c>
      <c r="B10033" t="s">
        <v>10038</v>
      </c>
      <c r="C10033">
        <f>HYPERLINK("C:\Users\franc\OneDrive\Documentos\MALENTIN KARIME\CESION\HEREDITARIOS\SUCESION PLAZA RIOS 2015.doc", "Abrir Documento")</f>
        <v>0</v>
      </c>
      <c r="D10033" t="s">
        <v>23500</v>
      </c>
      <c r="E10033" t="s">
        <v>32508</v>
      </c>
    </row>
    <row r="10034" spans="1:5">
      <c r="A10034" t="s">
        <v>6</v>
      </c>
      <c r="B10034" t="s">
        <v>10039</v>
      </c>
      <c r="C10034">
        <f>HYPERLINK("C:\Users\franc\OneDrive\Documentos\MALENTIN KARIME\CESION\HEREDITARIOS\sucesion JUVENALIA MAITA.doc", "Abrir Documento")</f>
        <v>0</v>
      </c>
      <c r="D10034" t="s">
        <v>23500</v>
      </c>
      <c r="E10034" t="s">
        <v>32509</v>
      </c>
    </row>
    <row r="10035" spans="1:5">
      <c r="A10035" t="s">
        <v>6</v>
      </c>
      <c r="B10035" t="s">
        <v>10040</v>
      </c>
      <c r="C10035">
        <f>HYPERLINK("C:\Users\franc\OneDrive\Documentos\MALENTIN KARIME\CESION\HEREDITARIOS\SUCESION CORTES CORTES 2015.doc", "Abrir Documento")</f>
        <v>0</v>
      </c>
      <c r="D10035" t="s">
        <v>23500</v>
      </c>
      <c r="E10035" t="s">
        <v>32510</v>
      </c>
    </row>
    <row r="10036" spans="1:5">
      <c r="A10036" t="s">
        <v>6</v>
      </c>
      <c r="B10036" t="s">
        <v>10041</v>
      </c>
      <c r="C10036">
        <f>HYPERLINK("C:\Users\franc\OneDrive\Documentos\MALENTIN KARIME\CESION\HEREDITARIOS\SUCESION CORTES CORTES 2015 poder.doc", "Abrir Documento")</f>
        <v>0</v>
      </c>
      <c r="D10036" t="s">
        <v>23500</v>
      </c>
      <c r="E10036" t="s">
        <v>32511</v>
      </c>
    </row>
    <row r="10037" spans="1:5">
      <c r="A10037" t="s">
        <v>6</v>
      </c>
      <c r="B10037" t="s">
        <v>10042</v>
      </c>
      <c r="C10037">
        <f>HYPERLINK("C:\Users\franc\OneDrive\Documentos\MALENTIN KARIME\CESION\HEREDITARIOS\RUTH PARRA MARIN.doc", "Abrir Documento")</f>
        <v>0</v>
      </c>
      <c r="D10037" t="s">
        <v>23500</v>
      </c>
      <c r="E10037" t="s">
        <v>32512</v>
      </c>
    </row>
    <row r="10038" spans="1:5">
      <c r="A10038" t="s">
        <v>6</v>
      </c>
      <c r="B10038" t="s">
        <v>10043</v>
      </c>
      <c r="C10038">
        <f>HYPERLINK("C:\Users\franc\OneDrive\Documentos\MALENTIN KARIME\CESION\HEREDITARIOS\RODRIGO RIVERA A AGUSTINA RIVERA minuta 2018.doc", "Abrir Documento")</f>
        <v>0</v>
      </c>
      <c r="D10038" t="s">
        <v>23500</v>
      </c>
      <c r="E10038" t="s">
        <v>32513</v>
      </c>
    </row>
    <row r="10039" spans="1:5">
      <c r="A10039" t="s">
        <v>6</v>
      </c>
      <c r="B10039" t="s">
        <v>10044</v>
      </c>
      <c r="C10039">
        <f>HYPERLINK("C:\Users\franc\OneDrive\Documentos\MALENTIN KARIME\CESION\HEREDITARIOS\RODRIGO RIVERA A AGUSTINA RIVERA minuta 2018 2.doc", "Abrir Documento")</f>
        <v>0</v>
      </c>
      <c r="D10039" t="s">
        <v>23500</v>
      </c>
      <c r="E10039" t="s">
        <v>32514</v>
      </c>
    </row>
    <row r="10040" spans="1:5">
      <c r="A10040" t="s">
        <v>6</v>
      </c>
      <c r="B10040" t="s">
        <v>10045</v>
      </c>
      <c r="C10040">
        <f>HYPERLINK("C:\Users\franc\OneDrive\Documentos\MALENTIN KARIME\CESION\HEREDITARIOS\PRIMITIVO CORTES A Ruben Cortes.doc", "Abrir Documento")</f>
        <v>0</v>
      </c>
      <c r="D10040" t="s">
        <v>23500</v>
      </c>
      <c r="E10040" t="s">
        <v>32515</v>
      </c>
    </row>
    <row r="10041" spans="1:5">
      <c r="A10041" t="s">
        <v>6</v>
      </c>
      <c r="B10041" t="s">
        <v>10046</v>
      </c>
      <c r="C10041">
        <f>HYPERLINK("C:\Users\franc\OneDrive\Documentos\MALENTIN KARIME\CESION\HEREDITARIOS\OSCAR CASTILLO ESPINOSA.doc", "Abrir Documento")</f>
        <v>0</v>
      </c>
      <c r="D10041" t="s">
        <v>23500</v>
      </c>
      <c r="E10041" t="s">
        <v>32516</v>
      </c>
    </row>
    <row r="10042" spans="1:5">
      <c r="A10042" t="s">
        <v>6</v>
      </c>
      <c r="B10042" t="s">
        <v>10047</v>
      </c>
      <c r="C10042">
        <f>HYPERLINK("C:\Users\franc\OneDrive\Documentos\MALENTIN KARIME\CESION\HEREDITARIOS\MARTA DIGNA SAGUA CORTES.doc", "Abrir Documento")</f>
        <v>0</v>
      </c>
      <c r="D10042" t="s">
        <v>23500</v>
      </c>
      <c r="E10042" t="s">
        <v>32517</v>
      </c>
    </row>
    <row r="10043" spans="1:5">
      <c r="A10043" t="s">
        <v>6</v>
      </c>
      <c r="B10043" t="s">
        <v>10048</v>
      </c>
      <c r="C10043">
        <f>HYPERLINK("C:\Users\franc\OneDrive\Documentos\MALENTIN KARIME\CESION\HEREDITARIOS\MARIA TAPIA CODOCEO A JESSICA DIAZ minuta.doc", "Abrir Documento")</f>
        <v>0</v>
      </c>
      <c r="D10043" t="s">
        <v>23500</v>
      </c>
      <c r="E10043" t="s">
        <v>32518</v>
      </c>
    </row>
    <row r="10044" spans="1:5">
      <c r="A10044" t="s">
        <v>6</v>
      </c>
      <c r="B10044" t="s">
        <v>10049</v>
      </c>
      <c r="C10044">
        <f>HYPERLINK("C:\Users\franc\OneDrive\Documentos\MALENTIN KARIME\CESION\HEREDITARIOS\LUISA CORTES VALENZUELA Minuta C. Ardiles.doc", "Abrir Documento")</f>
        <v>0</v>
      </c>
      <c r="D10044" t="s">
        <v>23500</v>
      </c>
      <c r="E10044" t="s">
        <v>32519</v>
      </c>
    </row>
    <row r="10045" spans="1:5">
      <c r="A10045" t="s">
        <v>6</v>
      </c>
      <c r="B10045" t="s">
        <v>10050</v>
      </c>
      <c r="C10045">
        <f>HYPERLINK("C:\Users\franc\OneDrive\Documentos\MALENTIN KARIME\CESION\HEREDITARIOS\ELIZABETH SEGOVIA Y OTRO.doc", "Abrir Documento")</f>
        <v>0</v>
      </c>
      <c r="D10045" t="s">
        <v>23500</v>
      </c>
      <c r="E10045" t="s">
        <v>32520</v>
      </c>
    </row>
    <row r="10046" spans="1:5">
      <c r="A10046" t="s">
        <v>6</v>
      </c>
      <c r="B10046" t="s">
        <v>10051</v>
      </c>
      <c r="C10046">
        <f>HYPERLINK("C:\Users\franc\OneDrive\Documentos\MALENTIN KARIME\CESION\HEREDITARIOS\CRUZ PIZARRO VEGA A JULIO GALLEGUILLOS.doc", "Abrir Documento")</f>
        <v>0</v>
      </c>
      <c r="D10046" t="s">
        <v>23500</v>
      </c>
      <c r="E10046" t="s">
        <v>32521</v>
      </c>
    </row>
    <row r="10047" spans="1:5">
      <c r="A10047" t="s">
        <v>6</v>
      </c>
      <c r="B10047" t="s">
        <v>10052</v>
      </c>
      <c r="C10047">
        <f>HYPERLINK("C:\Users\franc\OneDrive\Documentos\MALENTIN KARIME\CESION\HEREDITARIOS\BLANCA CARVAJAL A ROSA CARVAJAL2015.doc", "Abrir Documento")</f>
        <v>0</v>
      </c>
      <c r="D10047" t="s">
        <v>23500</v>
      </c>
      <c r="E10047" t="s">
        <v>32522</v>
      </c>
    </row>
    <row r="10048" spans="1:5">
      <c r="A10048" t="s">
        <v>6</v>
      </c>
      <c r="B10048" t="s">
        <v>10053</v>
      </c>
      <c r="C10048">
        <f>HYPERLINK("C:\Users\franc\OneDrive\Documentos\MALENTIN KARIME\CESION\HEREDITARIOS\AVELINA GAMBOA ROJAS.doc", "Abrir Documento")</f>
        <v>0</v>
      </c>
      <c r="D10048" t="s">
        <v>23500</v>
      </c>
      <c r="E10048" t="s">
        <v>32523</v>
      </c>
    </row>
    <row r="10049" spans="1:5">
      <c r="A10049" t="s">
        <v>6</v>
      </c>
      <c r="B10049" t="s">
        <v>10054</v>
      </c>
      <c r="C10049">
        <f>HYPERLINK("C:\Users\franc\OneDrive\Documentos\MALENTIN KARIME\CESION\HEREDITARIOS\ANA CORTES CORTES.doc", "Abrir Documento")</f>
        <v>0</v>
      </c>
      <c r="D10049" t="s">
        <v>23500</v>
      </c>
      <c r="E10049" t="s">
        <v>32524</v>
      </c>
    </row>
    <row r="10050" spans="1:5">
      <c r="A10050" t="s">
        <v>6</v>
      </c>
      <c r="B10050" t="s">
        <v>10055</v>
      </c>
      <c r="C10050">
        <f>HYPERLINK("C:\Users\franc\OneDrive\Documentos\MALENTIN KARIME\CESION\CDAD\VIRGINIA ALBANEZ A Gladys Cortes 2017.doc", "Abrir Documento")</f>
        <v>0</v>
      </c>
      <c r="D10050" t="s">
        <v>23500</v>
      </c>
      <c r="E10050" t="s">
        <v>32525</v>
      </c>
    </row>
    <row r="10051" spans="1:5">
      <c r="A10051" t="s">
        <v>6</v>
      </c>
      <c r="B10051" t="s">
        <v>10056</v>
      </c>
      <c r="C10051">
        <f>HYPERLINK("C:\Users\franc\OneDrive\Documentos\MALENTIN KARIME\CESION\CDAD\VICTOR MANUEL CARVAJAL conyuge CUARTO CAJON.doc", "Abrir Documento")</f>
        <v>0</v>
      </c>
      <c r="D10051" t="s">
        <v>23500</v>
      </c>
      <c r="E10051" t="s">
        <v>32526</v>
      </c>
    </row>
    <row r="10052" spans="1:5">
      <c r="A10052" t="s">
        <v>6</v>
      </c>
      <c r="B10052" t="s">
        <v>10057</v>
      </c>
      <c r="C10052">
        <f>HYPERLINK("C:\Users\franc\OneDrive\Documentos\MALENTIN KARIME\CESION\CDAD\VALENTIN CONTRERAS.doc", "Abrir Documento")</f>
        <v>0</v>
      </c>
      <c r="D10052" t="s">
        <v>23500</v>
      </c>
      <c r="E10052" t="s">
        <v>32527</v>
      </c>
    </row>
    <row r="10053" spans="1:5">
      <c r="A10053" t="s">
        <v>6</v>
      </c>
      <c r="B10053" t="s">
        <v>10058</v>
      </c>
      <c r="C10053">
        <f>HYPERLINK("C:\Users\franc\OneDrive\Documentos\MALENTIN KARIME\CESION\CDAD\VALENTIN CONTRERAS A ESTRELLA ARAYA 2018.doc", "Abrir Documento")</f>
        <v>0</v>
      </c>
      <c r="D10053" t="s">
        <v>23500</v>
      </c>
      <c r="E10053" t="s">
        <v>32528</v>
      </c>
    </row>
    <row r="10054" spans="1:5">
      <c r="A10054" t="s">
        <v>6</v>
      </c>
      <c r="B10054" t="s">
        <v>10059</v>
      </c>
      <c r="C10054">
        <f>HYPERLINK("C:\Users\franc\OneDrive\Documentos\MALENTIN KARIME\CESION\CDAD\VALENTIN CONTRERAS 2018.doc", "Abrir Documento")</f>
        <v>0</v>
      </c>
      <c r="D10054" t="s">
        <v>23500</v>
      </c>
      <c r="E10054" t="s">
        <v>32529</v>
      </c>
    </row>
    <row r="10055" spans="1:5">
      <c r="A10055" t="s">
        <v>6</v>
      </c>
      <c r="B10055" t="s">
        <v>10060</v>
      </c>
      <c r="C10055">
        <f>HYPERLINK("C:\Users\franc\OneDrive\Documentos\MALENTIN KARIME\CESION\CDAD\SUCESION ROJAS CISTERNAS.doc", "Abrir Documento")</f>
        <v>0</v>
      </c>
      <c r="D10055" t="s">
        <v>23500</v>
      </c>
      <c r="E10055" t="s">
        <v>32530</v>
      </c>
    </row>
    <row r="10056" spans="1:5">
      <c r="A10056" t="s">
        <v>6</v>
      </c>
      <c r="B10056" t="s">
        <v>10061</v>
      </c>
      <c r="C10056">
        <f>HYPERLINK("C:\Users\franc\OneDrive\Documentos\MALENTIN KARIME\CESION\CDAD\SUCESION GOMEZ BARRAZA Manquehua.doc", "Abrir Documento")</f>
        <v>0</v>
      </c>
      <c r="D10056" t="s">
        <v>23500</v>
      </c>
      <c r="E10056" t="s">
        <v>32531</v>
      </c>
    </row>
    <row r="10057" spans="1:5">
      <c r="A10057" t="s">
        <v>6</v>
      </c>
      <c r="B10057" t="s">
        <v>10062</v>
      </c>
      <c r="C10057">
        <f>HYPERLINK("C:\Users\franc\OneDrive\Documentos\MALENTIN KARIME\CESION\CDAD\SUCESION CORTES Ago 2017.doc", "Abrir Documento")</f>
        <v>0</v>
      </c>
      <c r="D10057" t="s">
        <v>23500</v>
      </c>
      <c r="E10057" t="s">
        <v>32532</v>
      </c>
    </row>
    <row r="10058" spans="1:5">
      <c r="A10058" t="s">
        <v>6</v>
      </c>
      <c r="B10058" t="s">
        <v>10063</v>
      </c>
      <c r="C10058">
        <f>HYPERLINK("C:\Users\franc\OneDrive\Documentos\MALENTIN KARIME\CESION\CDAD\SONIA CUELLO VARAS conyuge Punitaqui.doc", "Abrir Documento")</f>
        <v>0</v>
      </c>
      <c r="D10058" t="s">
        <v>23500</v>
      </c>
      <c r="E10058" t="s">
        <v>32533</v>
      </c>
    </row>
    <row r="10059" spans="1:5">
      <c r="A10059" t="s">
        <v>6</v>
      </c>
      <c r="B10059" t="s">
        <v>10064</v>
      </c>
      <c r="C10059">
        <f>HYPERLINK("C:\Users\franc\OneDrive\Documentos\MALENTIN KARIME\CESION\CDAD\SILVIA PIZARRO BURROES.doc", "Abrir Documento")</f>
        <v>0</v>
      </c>
      <c r="D10059" t="s">
        <v>23500</v>
      </c>
      <c r="E10059" t="s">
        <v>32534</v>
      </c>
    </row>
    <row r="10060" spans="1:5">
      <c r="A10060" t="s">
        <v>6</v>
      </c>
      <c r="B10060" t="s">
        <v>10065</v>
      </c>
      <c r="C10060">
        <f>HYPERLINK("C:\Users\franc\OneDrive\Documentos\MALENTIN KARIME\CESION\CDAD\SHEILA CARMEN OSSANDON ROJAS el altar.doc", "Abrir Documento")</f>
        <v>0</v>
      </c>
      <c r="D10060" t="s">
        <v>23500</v>
      </c>
      <c r="E10060" t="s">
        <v>32535</v>
      </c>
    </row>
    <row r="10061" spans="1:5">
      <c r="A10061" t="s">
        <v>6</v>
      </c>
      <c r="B10061" t="s">
        <v>10066</v>
      </c>
      <c r="C10061">
        <f>HYPERLINK("C:\Users\franc\OneDrive\Documentos\MALENTIN KARIME\CESION\CDAD\SANTOS OYARCE ARAYA.doc", "Abrir Documento")</f>
        <v>0</v>
      </c>
      <c r="D10061" t="s">
        <v>23500</v>
      </c>
      <c r="E10061" t="s">
        <v>32536</v>
      </c>
    </row>
    <row r="10062" spans="1:5">
      <c r="A10062" t="s">
        <v>6</v>
      </c>
      <c r="B10062" t="s">
        <v>10067</v>
      </c>
      <c r="C10062">
        <f>HYPERLINK("C:\Users\franc\OneDrive\Documentos\MALENTIN KARIME\CESION\CDAD\PEDRO PABLINO CARVAJAL CARVAJAL  conyuge CUARTO CAJON.doc", "Abrir Documento")</f>
        <v>0</v>
      </c>
      <c r="D10062" t="s">
        <v>23500</v>
      </c>
      <c r="E10062" t="s">
        <v>32537</v>
      </c>
    </row>
    <row r="10063" spans="1:5">
      <c r="A10063" t="s">
        <v>6</v>
      </c>
      <c r="B10063" t="s">
        <v>10068</v>
      </c>
      <c r="C10063">
        <f>HYPERLINK("C:\Users\franc\OneDrive\Documentos\MALENTIN KARIME\CESION\CDAD\PEDRO BRITO CASTILLO El altar.doc", "Abrir Documento")</f>
        <v>0</v>
      </c>
      <c r="D10063" t="s">
        <v>23500</v>
      </c>
      <c r="E10063" t="s">
        <v>32538</v>
      </c>
    </row>
    <row r="10064" spans="1:5">
      <c r="A10064" t="s">
        <v>6</v>
      </c>
      <c r="B10064" t="s">
        <v>10069</v>
      </c>
      <c r="C10064">
        <f>HYPERLINK("C:\Users\franc\OneDrive\Documentos\MALENTIN KARIME\CESION\CDAD\PATRICIA DORIA A RAUL DORIA 2021.doc", "Abrir Documento")</f>
        <v>0</v>
      </c>
      <c r="D10064" t="s">
        <v>23500</v>
      </c>
      <c r="E10064" t="s">
        <v>32539</v>
      </c>
    </row>
    <row r="10065" spans="1:5">
      <c r="A10065" t="s">
        <v>6</v>
      </c>
      <c r="B10065" t="s">
        <v>10070</v>
      </c>
      <c r="C10065">
        <f>HYPERLINK("C:\Users\franc\OneDrive\Documentos\MALENTIN KARIME\CESION\CDAD\MODELO CLAUDIO Cesion Comunidad.doc", "Abrir Documento")</f>
        <v>0</v>
      </c>
      <c r="D10065" t="s">
        <v>23500</v>
      </c>
      <c r="E10065" t="s">
        <v>32540</v>
      </c>
    </row>
    <row r="10066" spans="1:5">
      <c r="A10066" t="s">
        <v>6</v>
      </c>
      <c r="B10066" t="s">
        <v>10071</v>
      </c>
      <c r="C10066">
        <f>HYPERLINK("C:\Users\franc\OneDrive\Documentos\MALENTIN KARIME\CESION\CDAD\María Bruna  a Maria Ofelia Olivares2018.doc", "Abrir Documento")</f>
        <v>0</v>
      </c>
      <c r="D10066" t="s">
        <v>23500</v>
      </c>
      <c r="E10066" t="s">
        <v>32541</v>
      </c>
    </row>
    <row r="10067" spans="1:5">
      <c r="A10067" t="s">
        <v>6</v>
      </c>
      <c r="B10067" t="s">
        <v>10072</v>
      </c>
      <c r="C10067">
        <f>HYPERLINK("C:\Users\franc\OneDrive\Documentos\MALENTIN KARIME\CESION\CDAD\MARIA OLIVARES A María Bruna 2018.doc", "Abrir Documento")</f>
        <v>0</v>
      </c>
      <c r="D10067" t="s">
        <v>23500</v>
      </c>
      <c r="E10067" t="s">
        <v>32542</v>
      </c>
    </row>
    <row r="10068" spans="1:5">
      <c r="A10068" t="s">
        <v>6</v>
      </c>
      <c r="B10068" t="s">
        <v>10073</v>
      </c>
      <c r="C10068">
        <f>HYPERLINK("C:\Users\franc\OneDrive\Documentos\MALENTIN KARIME\CESION\CDAD\MANUEL LANAS COLLADO Potrerillo A.doc", "Abrir Documento")</f>
        <v>0</v>
      </c>
      <c r="D10068" t="s">
        <v>23500</v>
      </c>
      <c r="E10068" t="s">
        <v>32543</v>
      </c>
    </row>
    <row r="10069" spans="1:5">
      <c r="A10069" t="s">
        <v>6</v>
      </c>
      <c r="B10069" t="s">
        <v>10074</v>
      </c>
      <c r="C10069">
        <f>HYPERLINK("C:\Users\franc\OneDrive\Documentos\MALENTIN KARIME\CESION\CDAD\LUISA BARRAZA CASTRO a ADELMO BARRAZA.doc", "Abrir Documento")</f>
        <v>0</v>
      </c>
      <c r="D10069" t="s">
        <v>23500</v>
      </c>
      <c r="E10069" t="s">
        <v>32544</v>
      </c>
    </row>
    <row r="10070" spans="1:5">
      <c r="A10070" t="s">
        <v>6</v>
      </c>
      <c r="B10070" t="s">
        <v>10075</v>
      </c>
      <c r="C10070">
        <f>HYPERLINK("C:\Users\franc\OneDrive\Documentos\MALENTIN KARIME\CESION\CDAD\LUIS VEAS VEGA.doc", "Abrir Documento")</f>
        <v>0</v>
      </c>
      <c r="D10070" t="s">
        <v>23500</v>
      </c>
      <c r="E10070" t="s">
        <v>32545</v>
      </c>
    </row>
    <row r="10071" spans="1:5">
      <c r="A10071" t="s">
        <v>6</v>
      </c>
      <c r="B10071" t="s">
        <v>10076</v>
      </c>
      <c r="C10071">
        <f>HYPERLINK("C:\Users\franc\OneDrive\Documentos\MALENTIN KARIME\CESION\CDAD\KAREN LUTTGUES por poder.doc", "Abrir Documento")</f>
        <v>0</v>
      </c>
      <c r="D10071" t="s">
        <v>23500</v>
      </c>
      <c r="E10071" t="s">
        <v>32546</v>
      </c>
    </row>
    <row r="10072" spans="1:5">
      <c r="A10072" t="s">
        <v>6</v>
      </c>
      <c r="B10072" t="s">
        <v>10077</v>
      </c>
      <c r="C10072">
        <f>HYPERLINK("C:\Users\franc\OneDrive\Documentos\MALENTIN KARIME\CESION\CDAD\JULIO LUTTGUES MARTINEZ A Brayan Luttgues.doc", "Abrir Documento")</f>
        <v>0</v>
      </c>
      <c r="D10072" t="s">
        <v>23500</v>
      </c>
      <c r="E10072" t="s">
        <v>32547</v>
      </c>
    </row>
    <row r="10073" spans="1:5">
      <c r="A10073" t="s">
        <v>6</v>
      </c>
      <c r="B10073" t="s">
        <v>10078</v>
      </c>
      <c r="C10073">
        <f>HYPERLINK("C:\Users\franc\OneDrive\Documentos\MALENTIN KARIME\CESION\CDAD\JUAN ULLOA LOPEZ A YASSER ULLOA Los Trigos.doc", "Abrir Documento")</f>
        <v>0</v>
      </c>
      <c r="D10073" t="s">
        <v>23500</v>
      </c>
      <c r="E10073" t="s">
        <v>32548</v>
      </c>
    </row>
    <row r="10074" spans="1:5">
      <c r="A10074" t="s">
        <v>6</v>
      </c>
      <c r="B10074" t="s">
        <v>10079</v>
      </c>
      <c r="C10074">
        <f>HYPERLINK("C:\Users\franc\OneDrive\Documentos\MALENTIN KARIME\CESION\CDAD\JUAN ROJAS DIAZ.doc", "Abrir Documento")</f>
        <v>0</v>
      </c>
      <c r="D10074" t="s">
        <v>23500</v>
      </c>
      <c r="E10074" t="s">
        <v>32549</v>
      </c>
    </row>
    <row r="10075" spans="1:5">
      <c r="A10075" t="s">
        <v>6</v>
      </c>
      <c r="B10075" t="s">
        <v>10080</v>
      </c>
      <c r="C10075">
        <f>HYPERLINK("C:\Users\franc\OneDrive\Documentos\MALENTIN KARIME\CESION\CDAD\JUAN ROJAS DIAZ SUC autoc.doc", "Abrir Documento")</f>
        <v>0</v>
      </c>
      <c r="D10075" t="s">
        <v>23500</v>
      </c>
      <c r="E10075" t="s">
        <v>32550</v>
      </c>
    </row>
    <row r="10076" spans="1:5">
      <c r="A10076" t="s">
        <v>6</v>
      </c>
      <c r="B10076" t="s">
        <v>10081</v>
      </c>
      <c r="C10076">
        <f>HYPERLINK("C:\Users\franc\OneDrive\Documentos\MALENTIN KARIME\CESION\CDAD\JERMAN ACUÑA A JAVIER AROS.doc", "Abrir Documento")</f>
        <v>0</v>
      </c>
      <c r="D10076" t="s">
        <v>23500</v>
      </c>
      <c r="E10076" t="s">
        <v>32551</v>
      </c>
    </row>
    <row r="10077" spans="1:5">
      <c r="A10077" t="s">
        <v>6</v>
      </c>
      <c r="B10077" t="s">
        <v>10082</v>
      </c>
      <c r="C10077">
        <f>HYPERLINK("C:\Users\franc\OneDrive\Documentos\MALENTIN KARIME\CESION\CDAD\JEANETTE JOFRE VEAS Minuta Paty Alucema.doc", "Abrir Documento")</f>
        <v>0</v>
      </c>
      <c r="D10077" t="s">
        <v>23500</v>
      </c>
      <c r="E10077" t="s">
        <v>32552</v>
      </c>
    </row>
    <row r="10078" spans="1:5">
      <c r="A10078" t="s">
        <v>6</v>
      </c>
      <c r="B10078" t="s">
        <v>10083</v>
      </c>
      <c r="C10078">
        <f>HYPERLINK("C:\Users\franc\OneDrive\Documentos\MALENTIN KARIME\CESION\CDAD\JAIME CARMONA A NELSON HONORES Los Maitenes.doc", "Abrir Documento")</f>
        <v>0</v>
      </c>
      <c r="D10078" t="s">
        <v>23500</v>
      </c>
      <c r="E10078" t="s">
        <v>32553</v>
      </c>
    </row>
    <row r="10079" spans="1:5">
      <c r="A10079" t="s">
        <v>6</v>
      </c>
      <c r="B10079" t="s">
        <v>10084</v>
      </c>
      <c r="C10079">
        <f>HYPERLINK("C:\Users\franc\OneDrive\Documentos\MALENTIN KARIME\CESION\CDAD\HERMELINDO CORTES ARAYA 2018 y constancia.doc", "Abrir Documento")</f>
        <v>0</v>
      </c>
      <c r="D10079" t="s">
        <v>23500</v>
      </c>
      <c r="E10079" t="s">
        <v>32554</v>
      </c>
    </row>
    <row r="10080" spans="1:5">
      <c r="A10080" t="s">
        <v>6</v>
      </c>
      <c r="B10080" t="s">
        <v>10085</v>
      </c>
      <c r="C10080">
        <f>HYPERLINK("C:\Users\franc\OneDrive\Documentos\MALENTIN KARIME\CESION\CDAD\GUIDO CORTES A YIRLEN CERDA Potrerillo ALto.doc", "Abrir Documento")</f>
        <v>0</v>
      </c>
      <c r="D10080" t="s">
        <v>23500</v>
      </c>
      <c r="E10080" t="s">
        <v>32555</v>
      </c>
    </row>
    <row r="10081" spans="1:5">
      <c r="A10081" t="s">
        <v>6</v>
      </c>
      <c r="B10081" t="s">
        <v>10086</v>
      </c>
      <c r="C10081">
        <f>HYPERLINK("C:\Users\franc\OneDrive\Documentos\MALENTIN KARIME\CESION\CDAD\GUACOLDA MALUENDA GONZALEZ A Carlos Siles.doc", "Abrir Documento")</f>
        <v>0</v>
      </c>
      <c r="D10081" t="s">
        <v>23500</v>
      </c>
      <c r="E10081" t="s">
        <v>32556</v>
      </c>
    </row>
    <row r="10082" spans="1:5">
      <c r="A10082" t="s">
        <v>6</v>
      </c>
      <c r="B10082" t="s">
        <v>10087</v>
      </c>
      <c r="C10082">
        <f>HYPERLINK("C:\Users\franc\OneDrive\Documentos\MALENTIN KARIME\CESION\CDAD\Fresia Carvajal a Carlos Tello (fenandez veliz).doc", "Abrir Documento")</f>
        <v>0</v>
      </c>
      <c r="D10082" t="s">
        <v>23500</v>
      </c>
      <c r="E10082" t="s">
        <v>32557</v>
      </c>
    </row>
    <row r="10083" spans="1:5">
      <c r="A10083" t="s">
        <v>6</v>
      </c>
      <c r="B10083" t="s">
        <v>10088</v>
      </c>
      <c r="C10083">
        <f>HYPERLINK("C:\Users\franc\OneDrive\Documentos\MALENTIN KARIME\CESION\CDAD\ERMELINDA ASTUDILLO AGUILERA Con goce.doc", "Abrir Documento")</f>
        <v>0</v>
      </c>
      <c r="D10083" t="s">
        <v>23500</v>
      </c>
      <c r="E10083" t="s">
        <v>32558</v>
      </c>
    </row>
    <row r="10084" spans="1:5">
      <c r="A10084" t="s">
        <v>6</v>
      </c>
      <c r="B10084" t="s">
        <v>10089</v>
      </c>
      <c r="C10084">
        <f>HYPERLINK("C:\Users\franc\OneDrive\Documentos\MALENTIN KARIME\CESION\CDAD\ERMELINDA ASTUDILLO AGUILERA Con goce final.doc", "Abrir Documento")</f>
        <v>0</v>
      </c>
      <c r="D10084" t="s">
        <v>23500</v>
      </c>
      <c r="E10084" t="s">
        <v>32559</v>
      </c>
    </row>
    <row r="10085" spans="1:5">
      <c r="A10085" t="s">
        <v>6</v>
      </c>
      <c r="B10085" t="s">
        <v>10090</v>
      </c>
      <c r="C10085">
        <f>HYPERLINK("C:\Users\franc\OneDrive\Documentos\MALENTIN KARIME\CESION\CDAD\ELIANA OLIVARES A JAVIER OLIVARES 2017 Potrerillo Alto.doc", "Abrir Documento")</f>
        <v>0</v>
      </c>
      <c r="D10085" t="s">
        <v>23500</v>
      </c>
      <c r="E10085" t="s">
        <v>32560</v>
      </c>
    </row>
    <row r="10086" spans="1:5">
      <c r="A10086" t="s">
        <v>6</v>
      </c>
      <c r="B10086" t="s">
        <v>10091</v>
      </c>
      <c r="C10086">
        <f>HYPERLINK("C:\Users\franc\OneDrive\Documentos\MALENTIN KARIME\CESION\CDAD\DESSY EGAÑA VIDELA.doc", "Abrir Documento")</f>
        <v>0</v>
      </c>
      <c r="D10086" t="s">
        <v>23500</v>
      </c>
      <c r="E10086" t="s">
        <v>32561</v>
      </c>
    </row>
    <row r="10087" spans="1:5">
      <c r="A10087" t="s">
        <v>6</v>
      </c>
      <c r="B10087" t="s">
        <v>10092</v>
      </c>
      <c r="C10087">
        <f>HYPERLINK("C:\Users\franc\OneDrive\Documentos\MALENTIN KARIME\CESION\CDAD\DAVINA CAMPUSANO ALVARADO Y David Campusano El Durazno.doc", "Abrir Documento")</f>
        <v>0</v>
      </c>
      <c r="D10087" t="s">
        <v>23500</v>
      </c>
      <c r="E10087" t="s">
        <v>32562</v>
      </c>
    </row>
    <row r="10088" spans="1:5">
      <c r="A10088" t="s">
        <v>6</v>
      </c>
      <c r="B10088" t="s">
        <v>10093</v>
      </c>
      <c r="C10088">
        <f>HYPERLINK("C:\Users\franc\OneDrive\Documentos\MALENTIN KARIME\CESION\CDAD\CARLOS ACUÑA  VEGA Y RICARDO ACUÑA punitaqui.doc", "Abrir Documento")</f>
        <v>0</v>
      </c>
      <c r="D10088" t="s">
        <v>23500</v>
      </c>
      <c r="E10088" t="s">
        <v>32563</v>
      </c>
    </row>
    <row r="10089" spans="1:5">
      <c r="A10089" t="s">
        <v>6</v>
      </c>
      <c r="B10089" t="s">
        <v>10094</v>
      </c>
      <c r="C10089">
        <f>HYPERLINK("C:\Users\franc\OneDrive\Documentos\MALENTIN KARIME\CESION\CDAD\ANIBAL FLORES ARAYA Cuarto Cajón.doc", "Abrir Documento")</f>
        <v>0</v>
      </c>
      <c r="D10089" t="s">
        <v>23500</v>
      </c>
      <c r="E10089" t="s">
        <v>32564</v>
      </c>
    </row>
    <row r="10090" spans="1:5">
      <c r="A10090" t="s">
        <v>6</v>
      </c>
      <c r="B10090" t="s">
        <v>10095</v>
      </c>
      <c r="C10090">
        <f>HYPERLINK("C:\Users\franc\OneDrive\Documentos\MALENTIN KARIME\CESION\CDAD\ANGEL ERLINDA CARMEN PASTEN.doc", "Abrir Documento")</f>
        <v>0</v>
      </c>
      <c r="D10090" t="s">
        <v>23500</v>
      </c>
      <c r="E10090" t="s">
        <v>32565</v>
      </c>
    </row>
    <row r="10091" spans="1:5">
      <c r="A10091" t="s">
        <v>6</v>
      </c>
      <c r="B10091" t="s">
        <v>10096</v>
      </c>
      <c r="C10091">
        <f>HYPERLINK("C:\Users\franc\OneDrive\Documentos\MALENTIN KARIME\CESION\CDAD\AMANDA BARRAZA BARRAZA.doc", "Abrir Documento")</f>
        <v>0</v>
      </c>
      <c r="D10091" t="s">
        <v>23500</v>
      </c>
      <c r="E10091" t="s">
        <v>32566</v>
      </c>
    </row>
    <row r="10092" spans="1:5">
      <c r="A10092" t="s">
        <v>6</v>
      </c>
      <c r="B10092" t="s">
        <v>10097</v>
      </c>
      <c r="C10092">
        <f>HYPERLINK("C:\Users\franc\OneDrive\Documentos\MALENTIN KARIME\CESION\CDAD\AMANDA BARRAZA BARRAZA (Autoguardado).doc", "Abrir Documento")</f>
        <v>0</v>
      </c>
      <c r="D10092" t="s">
        <v>23500</v>
      </c>
      <c r="E10092" t="s">
        <v>32567</v>
      </c>
    </row>
    <row r="10093" spans="1:5">
      <c r="A10093" t="s">
        <v>6</v>
      </c>
      <c r="B10093" t="s">
        <v>10098</v>
      </c>
      <c r="C10093">
        <f>HYPERLINK("C:\Users\franc\OneDrive\Documentos\MALENTIN KARIME\CESION\CDAD\ALEX FIORENTINO A Nelson Vivanco.doc", "Abrir Documento")</f>
        <v>0</v>
      </c>
      <c r="D10093" t="s">
        <v>23500</v>
      </c>
      <c r="E10093" t="s">
        <v>32568</v>
      </c>
    </row>
    <row r="10094" spans="1:5">
      <c r="A10094" t="s">
        <v>6</v>
      </c>
      <c r="B10094" t="s">
        <v>10099</v>
      </c>
      <c r="C10094">
        <f>HYPERLINK("C:\Users\franc\OneDrive\Documentos\MALENTIN KARIME\CESION\CDAD\ADRIAN ARAYA VALDIVA A MARIA PIZARRO Cdad El Espinal.doc", "Abrir Documento")</f>
        <v>0</v>
      </c>
      <c r="D10094" t="s">
        <v>23500</v>
      </c>
      <c r="E10094" t="s">
        <v>32569</v>
      </c>
    </row>
    <row r="10095" spans="1:5">
      <c r="A10095" t="s">
        <v>6</v>
      </c>
      <c r="B10095" t="s">
        <v>10100</v>
      </c>
      <c r="C10095">
        <f>HYPERLINK("C:\Users\franc\OneDrive\Documentos\MALENTIN KARIME\CESION\PEDRO TORRES A RUBEN SIERRA.doc", "Abrir Documento")</f>
        <v>0</v>
      </c>
      <c r="D10095" t="s">
        <v>23500</v>
      </c>
      <c r="E10095" t="s">
        <v>32570</v>
      </c>
    </row>
    <row r="10096" spans="1:5">
      <c r="A10096" t="s">
        <v>6</v>
      </c>
      <c r="B10096" t="s">
        <v>10101</v>
      </c>
      <c r="C10096">
        <f>HYPERLINK("C:\Users\franc\OneDrive\Documentos\MALENTIN KARIME\CESION\PEDRO TORRES A RUBEN SIERRA Mandato.doc", "Abrir Documento")</f>
        <v>0</v>
      </c>
      <c r="D10096" t="s">
        <v>23500</v>
      </c>
      <c r="E10096" t="s">
        <v>32571</v>
      </c>
    </row>
    <row r="10097" spans="1:5">
      <c r="A10097" t="s">
        <v>6</v>
      </c>
      <c r="B10097" t="s">
        <v>10102</v>
      </c>
      <c r="C10097">
        <f>HYPERLINK("C:\Users\franc\OneDrive\Documentos\MALENTIN KARIME\CESION\PEDRO TORRES A RUBEN SIERRA Durruty.doc", "Abrir Documento")</f>
        <v>0</v>
      </c>
      <c r="D10097" t="s">
        <v>23500</v>
      </c>
      <c r="E10097" t="s">
        <v>32572</v>
      </c>
    </row>
    <row r="10098" spans="1:5">
      <c r="A10098" t="s">
        <v>6</v>
      </c>
      <c r="B10098" t="s">
        <v>10103</v>
      </c>
      <c r="C10098">
        <f>HYPERLINK("C:\Users\franc\OneDrive\Documentos\MALENTIN KARIME\CESION\GUILLERMO TORREALBA.doc", "Abrir Documento")</f>
        <v>0</v>
      </c>
      <c r="D10098" t="s">
        <v>23500</v>
      </c>
      <c r="E10098" t="s">
        <v>32573</v>
      </c>
    </row>
    <row r="10099" spans="1:5">
      <c r="A10099" t="s">
        <v>6</v>
      </c>
      <c r="B10099" t="s">
        <v>10104</v>
      </c>
      <c r="C10099">
        <f>HYPERLINK("C:\Users\franc\OneDrive\Documentos\MALENTIN KARIME\CESION\CONSTRUCTORA MUNDACA A CAROLINA ZAPATA Minuta Cesion Litigio.doc", "Abrir Documento")</f>
        <v>0</v>
      </c>
      <c r="D10099" t="s">
        <v>23500</v>
      </c>
      <c r="E10099" t="s">
        <v>32574</v>
      </c>
    </row>
    <row r="10100" spans="1:5">
      <c r="A10100" t="s">
        <v>6</v>
      </c>
      <c r="B10100" t="s">
        <v>10105</v>
      </c>
      <c r="C10100">
        <f>HYPERLINK("C:\Users\franc\OneDrive\Documentos\MALENTIN KARIME\CERRO CAMPANARIO\SOCIEDAD CERRO CAMPANARIODECLARACION.doc", "Abrir Documento")</f>
        <v>0</v>
      </c>
      <c r="D10100" t="s">
        <v>23500</v>
      </c>
      <c r="E10100" t="s">
        <v>32575</v>
      </c>
    </row>
    <row r="10101" spans="1:5">
      <c r="A10101" t="s">
        <v>6</v>
      </c>
      <c r="B10101" t="s">
        <v>10106</v>
      </c>
      <c r="C10101">
        <f>HYPERLINK("C:\Users\franc\OneDrive\Documentos\MALENTIN KARIME\CERRO CAMPANARIO\CV Molina de Higuera Araya Flores.doc II-2.doc", "Abrir Documento")</f>
        <v>0</v>
      </c>
      <c r="D10101" t="s">
        <v>23500</v>
      </c>
      <c r="E10101" t="s">
        <v>32576</v>
      </c>
    </row>
    <row r="10102" spans="1:5">
      <c r="A10102" t="s">
        <v>6</v>
      </c>
      <c r="B10102" t="s">
        <v>10107</v>
      </c>
      <c r="C10102">
        <f>HYPERLINK("C:\Users\franc\OneDrive\Documentos\MALENTIN KARIME\CDAD HUATULAME\MIRTO CORTES ROBLES.doc", "Abrir Documento")</f>
        <v>0</v>
      </c>
      <c r="D10102" t="s">
        <v>23500</v>
      </c>
      <c r="E10102" t="s">
        <v>32577</v>
      </c>
    </row>
    <row r="10103" spans="1:5">
      <c r="A10103" t="s">
        <v>6</v>
      </c>
      <c r="B10103" t="s">
        <v>10108</v>
      </c>
      <c r="C10103">
        <f>HYPERLINK("C:\Users\franc\OneDrive\Documentos\MALENTIN KARIME\CDAD HUATULAME\Autorizo la firma de don MATÍAS LUIS PABLO FERNANDEZ PLUSS.doc", "Abrir Documento")</f>
        <v>0</v>
      </c>
      <c r="D10103" t="s">
        <v>23500</v>
      </c>
      <c r="E10103" t="s">
        <v>32578</v>
      </c>
    </row>
    <row r="10104" spans="1:5">
      <c r="A10104" t="s">
        <v>6</v>
      </c>
      <c r="B10104" t="s">
        <v>10109</v>
      </c>
      <c r="C10104">
        <f>HYPERLINK("C:\Users\franc\OneDrive\Documentos\MALENTIN KARIME\CANCELACION\2021\HECTOR MALUENDA cancelacion.doc", "Abrir Documento")</f>
        <v>0</v>
      </c>
      <c r="D10104" t="s">
        <v>23500</v>
      </c>
      <c r="E10104" t="s">
        <v>32579</v>
      </c>
    </row>
    <row r="10105" spans="1:5">
      <c r="A10105" t="s">
        <v>6</v>
      </c>
      <c r="B10105" t="s">
        <v>10110</v>
      </c>
      <c r="C10105">
        <f>HYPERLINK("C:\Users\franc\OneDrive\Documentos\MALENTIN KARIME\CANCELACION\2021\ESTERMELINDA VALDIVIA Y 2 Ñ.doc", "Abrir Documento")</f>
        <v>0</v>
      </c>
      <c r="D10105" t="s">
        <v>23500</v>
      </c>
      <c r="E10105" t="s">
        <v>32580</v>
      </c>
    </row>
    <row r="10106" spans="1:5">
      <c r="A10106" t="s">
        <v>6</v>
      </c>
      <c r="B10106" t="s">
        <v>10111</v>
      </c>
      <c r="C10106">
        <f>HYPERLINK("C:\Users\franc\OneDrive\Documentos\MALENTIN KARIME\CANCELACION\2021\ESTERMELINDA VALDIVIA Y 2 N.doc", "Abrir Documento")</f>
        <v>0</v>
      </c>
      <c r="D10106" t="s">
        <v>23500</v>
      </c>
      <c r="E10106" t="s">
        <v>32581</v>
      </c>
    </row>
    <row r="10107" spans="1:5">
      <c r="A10107" t="s">
        <v>6</v>
      </c>
      <c r="B10107" t="s">
        <v>10112</v>
      </c>
      <c r="C10107">
        <f>HYPERLINK("C:\Users\franc\OneDrive\Documentos\MALENTIN KARIME\CANCELACION\2021\DEYSA  VERAGUA A Jorge Peñaloza.doc", "Abrir Documento")</f>
        <v>0</v>
      </c>
      <c r="D10107" t="s">
        <v>23500</v>
      </c>
      <c r="E10107" t="s">
        <v>32582</v>
      </c>
    </row>
    <row r="10108" spans="1:5">
      <c r="A10108" t="s">
        <v>6</v>
      </c>
      <c r="B10108" t="s">
        <v>10113</v>
      </c>
      <c r="C10108">
        <f>HYPERLINK("C:\Users\franc\OneDrive\Documentos\MALENTIN KARIME\CANCELACION\2014\WALDA GARCIA COFRE Cancelación.doc", "Abrir Documento")</f>
        <v>0</v>
      </c>
      <c r="D10108" t="s">
        <v>23500</v>
      </c>
      <c r="E10108" t="s">
        <v>32583</v>
      </c>
    </row>
    <row r="10109" spans="1:5">
      <c r="A10109" t="s">
        <v>6</v>
      </c>
      <c r="B10109" t="s">
        <v>10114</v>
      </c>
      <c r="C10109">
        <f>HYPERLINK("C:\Users\franc\OneDrive\Documentos\MALENTIN KARIME\CANCELACION\2014\SYLVIA ELENA ALVAREZ A Verónica Guerrero.doc", "Abrir Documento")</f>
        <v>0</v>
      </c>
      <c r="D10109" t="s">
        <v>23500</v>
      </c>
      <c r="E10109" t="s">
        <v>32584</v>
      </c>
    </row>
    <row r="10110" spans="1:5">
      <c r="A10110" t="s">
        <v>6</v>
      </c>
      <c r="B10110" t="s">
        <v>10115</v>
      </c>
      <c r="C10110">
        <f>HYPERLINK("C:\Users\franc\OneDrive\Documentos\MALENTIN KARIME\CANCELACION\2014\ISABEL OPAZO DONOSO Cancelación.doc", "Abrir Documento")</f>
        <v>0</v>
      </c>
      <c r="D10110" t="s">
        <v>23500</v>
      </c>
      <c r="E10110" t="s">
        <v>32585</v>
      </c>
    </row>
    <row r="10111" spans="1:5">
      <c r="A10111" t="s">
        <v>6</v>
      </c>
      <c r="B10111" t="s">
        <v>10116</v>
      </c>
      <c r="C10111">
        <f>HYPERLINK("C:\Users\franc\OneDrive\Documentos\MALENTIN KARIME\CANCELACION\2014\EDUARDO HERRERA MARQUEZ.doc", "Abrir Documento")</f>
        <v>0</v>
      </c>
      <c r="D10111" t="s">
        <v>23500</v>
      </c>
      <c r="E10111" t="s">
        <v>32586</v>
      </c>
    </row>
    <row r="10112" spans="1:5">
      <c r="A10112" t="s">
        <v>6</v>
      </c>
      <c r="B10112" t="s">
        <v>10117</v>
      </c>
      <c r="C10112">
        <f>HYPERLINK("C:\Users\franc\OneDrive\Documentos\MALENTIN KARIME\CANCELACION\2014\BELLA ALBANEZ Y OLGA CORTES cancelacion.doc", "Abrir Documento")</f>
        <v>0</v>
      </c>
      <c r="D10112" t="s">
        <v>23500</v>
      </c>
      <c r="E10112" t="s">
        <v>32587</v>
      </c>
    </row>
    <row r="10113" spans="1:5">
      <c r="A10113" t="s">
        <v>6</v>
      </c>
      <c r="B10113" t="s">
        <v>10118</v>
      </c>
      <c r="C10113">
        <f>HYPERLINK("C:\Users\franc\OneDrive\Documentos\MALENTIN KARIME\CANCELACION\SOCIEDAD AGRICOLA DIOGENES ROJAS Y CIA.doc", "Abrir Documento")</f>
        <v>0</v>
      </c>
      <c r="D10113" t="s">
        <v>23500</v>
      </c>
      <c r="E10113" t="s">
        <v>32588</v>
      </c>
    </row>
    <row r="10114" spans="1:5">
      <c r="A10114" t="s">
        <v>6</v>
      </c>
      <c r="B10114" t="s">
        <v>10119</v>
      </c>
      <c r="C10114">
        <f>HYPERLINK("C:\Users\franc\OneDrive\Documentos\MALENTIN KARIME\CANCELACION\RODRIGO ALCAYAGA ROMERO Cancelacion.doc", "Abrir Documento")</f>
        <v>0</v>
      </c>
      <c r="D10114" t="s">
        <v>23500</v>
      </c>
      <c r="E10114" t="s">
        <v>32589</v>
      </c>
    </row>
    <row r="10115" spans="1:5">
      <c r="A10115" t="s">
        <v>6</v>
      </c>
      <c r="B10115" t="s">
        <v>10120</v>
      </c>
      <c r="C10115">
        <f>HYPERLINK("C:\Users\franc\OneDrive\Documentos\MALENTIN KARIME\CANCELACION\RENATO PEÑAFIEL OLIVARES.doc", "Abrir Documento")</f>
        <v>0</v>
      </c>
      <c r="D10115" t="s">
        <v>23500</v>
      </c>
      <c r="E10115" t="s">
        <v>32590</v>
      </c>
    </row>
    <row r="10116" spans="1:5">
      <c r="A10116" t="s">
        <v>6</v>
      </c>
      <c r="B10116" t="s">
        <v>10121</v>
      </c>
      <c r="C10116">
        <f>HYPERLINK("C:\Users\franc\OneDrive\Documentos\MALENTIN KARIME\CANCELACION\PRISCILA ARAYA NARANJO.doc", "Abrir Documento")</f>
        <v>0</v>
      </c>
      <c r="D10116" t="s">
        <v>23500</v>
      </c>
      <c r="E10116" t="s">
        <v>32591</v>
      </c>
    </row>
    <row r="10117" spans="1:5">
      <c r="A10117" t="s">
        <v>6</v>
      </c>
      <c r="B10117" t="s">
        <v>10122</v>
      </c>
      <c r="C10117">
        <f>HYPERLINK("C:\Users\franc\OneDrive\Documentos\MALENTIN KARIME\CANCELACION\NOLVIA ALVARADO CORTES Cancelacion.doc", "Abrir Documento")</f>
        <v>0</v>
      </c>
      <c r="D10117" t="s">
        <v>23500</v>
      </c>
      <c r="E10117" t="s">
        <v>32592</v>
      </c>
    </row>
    <row r="10118" spans="1:5">
      <c r="A10118" t="s">
        <v>6</v>
      </c>
      <c r="B10118" t="s">
        <v>10123</v>
      </c>
      <c r="C10118">
        <f>HYPERLINK("C:\Users\franc\OneDrive\Documentos\MALENTIN KARIME\CANCELACION\MOISES VARAS RAMIREZ Cancelacion.doc", "Abrir Documento")</f>
        <v>0</v>
      </c>
      <c r="D10118" t="s">
        <v>23500</v>
      </c>
      <c r="E10118" t="s">
        <v>32593</v>
      </c>
    </row>
    <row r="10119" spans="1:5">
      <c r="A10119" t="s">
        <v>6</v>
      </c>
      <c r="B10119" t="s">
        <v>10124</v>
      </c>
      <c r="C10119">
        <f>HYPERLINK("C:\Users\franc\OneDrive\Documentos\MALENTIN KARIME\CANCELACION\MARIA ROJAS A PATRICIO CORTES.doc", "Abrir Documento")</f>
        <v>0</v>
      </c>
      <c r="D10119" t="s">
        <v>23500</v>
      </c>
      <c r="E10119" t="s">
        <v>32594</v>
      </c>
    </row>
    <row r="10120" spans="1:5">
      <c r="A10120" t="s">
        <v>6</v>
      </c>
      <c r="B10120" t="s">
        <v>10125</v>
      </c>
      <c r="C10120">
        <f>HYPERLINK("C:\Users\franc\OneDrive\Documentos\MALENTIN KARIME\CANCELACION\MARIA ANGELICA CLAUSSEN RODRIGUEZ.doc", "Abrir Documento")</f>
        <v>0</v>
      </c>
      <c r="D10120" t="s">
        <v>23500</v>
      </c>
      <c r="E10120" t="s">
        <v>32595</v>
      </c>
    </row>
    <row r="10121" spans="1:5">
      <c r="A10121" t="s">
        <v>6</v>
      </c>
      <c r="B10121" t="s">
        <v>10126</v>
      </c>
      <c r="C10121">
        <f>HYPERLINK("C:\Users\franc\OneDrive\Documentos\MALENTIN KARIME\CANCELACION\MARIA ANGEL ARTAL Cancelacion.doc", "Abrir Documento")</f>
        <v>0</v>
      </c>
      <c r="D10121" t="s">
        <v>23500</v>
      </c>
      <c r="E10121" t="s">
        <v>32596</v>
      </c>
    </row>
    <row r="10122" spans="1:5">
      <c r="A10122" t="s">
        <v>6</v>
      </c>
      <c r="B10122" t="s">
        <v>10127</v>
      </c>
      <c r="C10122">
        <f>HYPERLINK("C:\Users\franc\OneDrive\Documentos\MALENTIN KARIME\CANCELACION\MANUEL ROBLES ARAYA.doc", "Abrir Documento")</f>
        <v>0</v>
      </c>
      <c r="D10122" t="s">
        <v>23500</v>
      </c>
      <c r="E10122" t="s">
        <v>32597</v>
      </c>
    </row>
    <row r="10123" spans="1:5">
      <c r="A10123" t="s">
        <v>6</v>
      </c>
      <c r="B10123" t="s">
        <v>10128</v>
      </c>
      <c r="C10123">
        <f>HYPERLINK("C:\Users\franc\OneDrive\Documentos\MALENTIN KARIME\CANCELACION\JUAN SEGUNDO GONZALEZ ASENSI Cancelacion.doc", "Abrir Documento")</f>
        <v>0</v>
      </c>
      <c r="D10123" t="s">
        <v>23500</v>
      </c>
      <c r="E10123" t="s">
        <v>32598</v>
      </c>
    </row>
    <row r="10124" spans="1:5">
      <c r="A10124" t="s">
        <v>6</v>
      </c>
      <c r="B10124" t="s">
        <v>10129</v>
      </c>
      <c r="C10124">
        <f>HYPERLINK("C:\Users\franc\OneDrive\Documentos\MALENTIN KARIME\CANCELACION\JUAN ANTONIO ACUÑA CASTRO.doc", "Abrir Documento")</f>
        <v>0</v>
      </c>
      <c r="D10124" t="s">
        <v>23500</v>
      </c>
      <c r="E10124" t="s">
        <v>32599</v>
      </c>
    </row>
    <row r="10125" spans="1:5">
      <c r="A10125" t="s">
        <v>6</v>
      </c>
      <c r="B10125" t="s">
        <v>10130</v>
      </c>
      <c r="C10125">
        <f>HYPERLINK("C:\Users\franc\OneDrive\Documentos\MALENTIN KARIME\CANCELACION\ARNOLDO ARAYA PINOÑEZ Cancelacion.doc", "Abrir Documento")</f>
        <v>0</v>
      </c>
      <c r="D10125" t="s">
        <v>23500</v>
      </c>
      <c r="E10125" t="s">
        <v>32600</v>
      </c>
    </row>
    <row r="10126" spans="1:5">
      <c r="A10126" t="s">
        <v>6</v>
      </c>
      <c r="B10126" t="s">
        <v>10131</v>
      </c>
      <c r="C10126">
        <f>HYPERLINK("C:\Users\franc\OneDrive\Documentos\MALENTIN KARIME\CANCELACION\ANGELO CARVAJAL CARVAJAL.doc", "Abrir Documento")</f>
        <v>0</v>
      </c>
      <c r="D10126" t="s">
        <v>23500</v>
      </c>
      <c r="E10126" t="s">
        <v>32601</v>
      </c>
    </row>
    <row r="10127" spans="1:5">
      <c r="A10127" t="s">
        <v>6</v>
      </c>
      <c r="B10127" t="s">
        <v>10132</v>
      </c>
      <c r="C10127">
        <f>HYPERLINK("C:\Users\franc\OneDrive\Documentos\MALENTIN KARIME\CAJudicial\2021\ERIC MUNDACA ARAYA Corporacion.doc", "Abrir Documento")</f>
        <v>0</v>
      </c>
      <c r="D10127" t="s">
        <v>23500</v>
      </c>
      <c r="E10127" t="s">
        <v>32602</v>
      </c>
    </row>
    <row r="10128" spans="1:5">
      <c r="A10128" t="s">
        <v>6</v>
      </c>
      <c r="B10128" t="s">
        <v>10133</v>
      </c>
      <c r="C10128">
        <f>HYPERLINK("C:\Users\franc\OneDrive\Documentos\MALENTIN KARIME\CAJudicial\2018\SEGUNDO ORTEGA RAMIREZ 2018.docx", "Abrir Documento")</f>
        <v>0</v>
      </c>
      <c r="D10128" t="s">
        <v>23501</v>
      </c>
      <c r="E10128" t="s">
        <v>32603</v>
      </c>
    </row>
    <row r="10129" spans="1:5">
      <c r="A10129" t="s">
        <v>6</v>
      </c>
      <c r="B10129" t="s">
        <v>10134</v>
      </c>
      <c r="C10129">
        <f>HYPERLINK("C:\Users\franc\OneDrive\Documentos\MALENTIN KARIME\CAJudicial\2018\MILTA CASTILLO VEGA.doc", "Abrir Documento")</f>
        <v>0</v>
      </c>
      <c r="D10129" t="s">
        <v>23500</v>
      </c>
      <c r="E10129" t="s">
        <v>32604</v>
      </c>
    </row>
    <row r="10130" spans="1:5">
      <c r="A10130" t="s">
        <v>6</v>
      </c>
      <c r="B10130" t="s">
        <v>10135</v>
      </c>
      <c r="C10130">
        <f>HYPERLINK("C:\Users\franc\OneDrive\Documentos\MALENTIN KARIME\CAJudicial\2018\MANDATO especial  Adriana Lehuen- CORREGIDO (1).docx", "Abrir Documento")</f>
        <v>0</v>
      </c>
      <c r="D10130" t="s">
        <v>23501</v>
      </c>
      <c r="E10130" t="s">
        <v>32605</v>
      </c>
    </row>
    <row r="10131" spans="1:5">
      <c r="A10131" t="s">
        <v>6</v>
      </c>
      <c r="B10131" t="s">
        <v>10136</v>
      </c>
      <c r="C10131">
        <f>HYPERLINK("C:\Users\franc\OneDrive\Documentos\MALENTIN KARIME\CAJudicial\2018\ELENA BRICEÑO y CARLOS GONZALEZ Reduccion.doc", "Abrir Documento")</f>
        <v>0</v>
      </c>
      <c r="D10131" t="s">
        <v>23500</v>
      </c>
      <c r="E10131" t="s">
        <v>32606</v>
      </c>
    </row>
    <row r="10132" spans="1:5">
      <c r="A10132" t="s">
        <v>6</v>
      </c>
      <c r="B10132" t="s">
        <v>10137</v>
      </c>
      <c r="C10132">
        <f>HYPERLINK("C:\Users\franc\OneDrive\Documentos\MALENTIN KARIME\CAJudicial\2018\BRUNO TORRES TORRES Y OTRA.doc", "Abrir Documento")</f>
        <v>0</v>
      </c>
      <c r="D10132" t="s">
        <v>23500</v>
      </c>
      <c r="E10132" t="s">
        <v>32607</v>
      </c>
    </row>
    <row r="10133" spans="1:5">
      <c r="A10133" t="s">
        <v>6</v>
      </c>
      <c r="B10133" t="s">
        <v>10138</v>
      </c>
      <c r="C10133">
        <f>HYPERLINK("C:\Users\franc\OneDrive\Documentos\MALENTIN KARIME\CAJudicial\2017\MARIO CARVAJAL A Rodrigo Acevedo.doc", "Abrir Documento")</f>
        <v>0</v>
      </c>
      <c r="D10133" t="s">
        <v>23500</v>
      </c>
      <c r="E10133" t="s">
        <v>32608</v>
      </c>
    </row>
    <row r="10134" spans="1:5">
      <c r="A10134" t="s">
        <v>6</v>
      </c>
      <c r="B10134" t="s">
        <v>10139</v>
      </c>
      <c r="C10134">
        <f>HYPERLINK("C:\Users\franc\OneDrive\Documentos\MALENTIN KARIME\CAJudicial\2017\LUIS RIVERA CASTELLANOS 2017.doc", "Abrir Documento")</f>
        <v>0</v>
      </c>
      <c r="D10134" t="s">
        <v>23500</v>
      </c>
      <c r="E10134" t="s">
        <v>32609</v>
      </c>
    </row>
    <row r="10135" spans="1:5">
      <c r="A10135" t="s">
        <v>6</v>
      </c>
      <c r="B10135" t="s">
        <v>10140</v>
      </c>
      <c r="C10135">
        <f>HYPERLINK("C:\Users\franc\OneDrive\Documentos\MALENTIN KARIME\CAJudicial\2017\DAVID MILLA DE LA RIVERA Corp.doc", "Abrir Documento")</f>
        <v>0</v>
      </c>
      <c r="D10135" t="s">
        <v>23500</v>
      </c>
      <c r="E10135" t="s">
        <v>32610</v>
      </c>
    </row>
    <row r="10136" spans="1:5">
      <c r="A10136" t="s">
        <v>6</v>
      </c>
      <c r="B10136" t="s">
        <v>10141</v>
      </c>
      <c r="C10136">
        <f>HYPERLINK("C:\Users\franc\OneDrive\Documentos\MALENTIN KARIME\CAJudicial\2016\JESSENIA PEREZ VALENZUELA.doc", "Abrir Documento")</f>
        <v>0</v>
      </c>
      <c r="D10136" t="s">
        <v>23500</v>
      </c>
      <c r="E10136" t="s">
        <v>32611</v>
      </c>
    </row>
    <row r="10137" spans="1:5">
      <c r="A10137" t="s">
        <v>6</v>
      </c>
      <c r="B10137" t="s">
        <v>10142</v>
      </c>
      <c r="C10137">
        <f>HYPERLINK("C:\Users\franc\OneDrive\Documentos\MALENTIN KARIME\CAJudicial\2015\VIVIANA GALLARDO ARAYA Mandato.doc", "Abrir Documento")</f>
        <v>0</v>
      </c>
      <c r="D10137" t="s">
        <v>23500</v>
      </c>
      <c r="E10137" t="s">
        <v>32612</v>
      </c>
    </row>
    <row r="10138" spans="1:5">
      <c r="A10138" t="s">
        <v>6</v>
      </c>
      <c r="B10138" t="s">
        <v>10143</v>
      </c>
      <c r="C10138">
        <f>HYPERLINK("C:\Users\franc\OneDrive\Documentos\MALENTIN KARIME\CAJudicial\2015\SERGIO GALLEGUILLOS  Rectificacion.doc", "Abrir Documento")</f>
        <v>0</v>
      </c>
      <c r="D10138" t="s">
        <v>23500</v>
      </c>
      <c r="E10138" t="s">
        <v>32613</v>
      </c>
    </row>
    <row r="10139" spans="1:5">
      <c r="A10139" t="s">
        <v>6</v>
      </c>
      <c r="B10139" t="s">
        <v>10144</v>
      </c>
      <c r="C10139">
        <f>HYPERLINK("C:\Users\franc\OneDrive\Documentos\MALENTIN KARIME\CAJudicial\2015\SANDRA PEÑA NOLAN Agosto 15.doc", "Abrir Documento")</f>
        <v>0</v>
      </c>
      <c r="D10139" t="s">
        <v>23500</v>
      </c>
      <c r="E10139" t="s">
        <v>32614</v>
      </c>
    </row>
    <row r="10140" spans="1:5">
      <c r="A10140" t="s">
        <v>6</v>
      </c>
      <c r="B10140" t="s">
        <v>10145</v>
      </c>
      <c r="C10140">
        <f>HYPERLINK("C:\Users\franc\OneDrive\Documentos\MALENTIN KARIME\CAJudicial\2015\PEDRO PEREZ.doc", "Abrir Documento")</f>
        <v>0</v>
      </c>
      <c r="D10140" t="s">
        <v>23500</v>
      </c>
      <c r="E10140" t="s">
        <v>32615</v>
      </c>
    </row>
    <row r="10141" spans="1:5">
      <c r="A10141" t="s">
        <v>6</v>
      </c>
      <c r="B10141" t="s">
        <v>10146</v>
      </c>
      <c r="C10141">
        <f>HYPERLINK("C:\Users\franc\OneDrive\Documentos\MALENTIN KARIME\CAJudicial\2015\PATRICIA GALLEGUILLOS.doc", "Abrir Documento")</f>
        <v>0</v>
      </c>
      <c r="D10141" t="s">
        <v>23500</v>
      </c>
      <c r="E10141" t="s">
        <v>32616</v>
      </c>
    </row>
    <row r="10142" spans="1:5">
      <c r="A10142" t="s">
        <v>6</v>
      </c>
      <c r="B10142" t="s">
        <v>10147</v>
      </c>
      <c r="C10142">
        <f>HYPERLINK("C:\Users\franc\OneDrive\Documentos\MALENTIN KARIME\CAJudicial\2015\OSCAR FAVREAU Mandato Julio 15.docx", "Abrir Documento")</f>
        <v>0</v>
      </c>
      <c r="D10142" t="s">
        <v>23501</v>
      </c>
      <c r="E10142" t="s">
        <v>32617</v>
      </c>
    </row>
    <row r="10143" spans="1:5">
      <c r="A10143" t="s">
        <v>6</v>
      </c>
      <c r="B10143" t="s">
        <v>10148</v>
      </c>
      <c r="C10143">
        <f>HYPERLINK("C:\Users\franc\OneDrive\Documentos\MALENTIN KARIME\CAJudicial\2015\OSCAR FAVREAU BRITO MANDATO Julio 15.doc", "Abrir Documento")</f>
        <v>0</v>
      </c>
      <c r="D10143" t="s">
        <v>23500</v>
      </c>
      <c r="E10143" t="s">
        <v>32618</v>
      </c>
    </row>
    <row r="10144" spans="1:5">
      <c r="A10144" t="s">
        <v>6</v>
      </c>
      <c r="B10144" t="s">
        <v>10149</v>
      </c>
      <c r="C10144">
        <f>HYPERLINK("C:\Users\franc\OneDrive\Documentos\MALENTIN KARIME\CAJudicial\2015\ORNELLA GOMEZ TORRES.doc", "Abrir Documento")</f>
        <v>0</v>
      </c>
      <c r="D10144" t="s">
        <v>23500</v>
      </c>
      <c r="E10144" t="s">
        <v>32619</v>
      </c>
    </row>
    <row r="10145" spans="1:5">
      <c r="A10145" t="s">
        <v>6</v>
      </c>
      <c r="B10145" t="s">
        <v>10150</v>
      </c>
      <c r="C10145">
        <f>HYPERLINK("C:\Users\franc\OneDrive\Documentos\MALENTIN KARIME\CAJudicial\2015\MONICA ROJAS RIVERA Y CLAUDIA CORTES Transacción Oct 15.doc", "Abrir Documento")</f>
        <v>0</v>
      </c>
      <c r="D10145" t="s">
        <v>23500</v>
      </c>
      <c r="E10145" t="s">
        <v>32620</v>
      </c>
    </row>
    <row r="10146" spans="1:5">
      <c r="A10146" t="s">
        <v>6</v>
      </c>
      <c r="B10146" t="s">
        <v>10151</v>
      </c>
      <c r="C10146">
        <f>HYPERLINK("C:\Users\franc\OneDrive\Documentos\MALENTIN KARIME\CAJudicial\2015\MALVINA GODOY Nov.doc", "Abrir Documento")</f>
        <v>0</v>
      </c>
      <c r="D10146" t="s">
        <v>23500</v>
      </c>
      <c r="E10146" t="s">
        <v>32621</v>
      </c>
    </row>
    <row r="10147" spans="1:5">
      <c r="A10147" t="s">
        <v>6</v>
      </c>
      <c r="B10147" t="s">
        <v>10152</v>
      </c>
      <c r="C10147">
        <f>HYPERLINK("C:\Users\franc\OneDrive\Documentos\MALENTIN KARIME\CAJudicial\2015\KAREN HONORES Mandato.doc", "Abrir Documento")</f>
        <v>0</v>
      </c>
      <c r="D10147" t="s">
        <v>23500</v>
      </c>
      <c r="E10147" t="s">
        <v>32622</v>
      </c>
    </row>
    <row r="10148" spans="1:5">
      <c r="A10148" t="s">
        <v>6</v>
      </c>
      <c r="B10148" t="s">
        <v>10153</v>
      </c>
      <c r="C10148">
        <f>HYPERLINK("C:\Users\franc\OneDrive\Documentos\MALENTIN KARIME\CAJudicial\2015\JUAN RAMOS RAMOS Mandato 2015.doc", "Abrir Documento")</f>
        <v>0</v>
      </c>
      <c r="D10148" t="s">
        <v>23500</v>
      </c>
      <c r="E10148" t="s">
        <v>32623</v>
      </c>
    </row>
    <row r="10149" spans="1:5">
      <c r="A10149" t="s">
        <v>6</v>
      </c>
      <c r="B10149" t="s">
        <v>10154</v>
      </c>
      <c r="C10149">
        <f>HYPERLINK("C:\Users\franc\OneDrive\Documentos\MALENTIN KARIME\CAJudicial\2015\JUAN ARAYA ROJAS.doc", "Abrir Documento")</f>
        <v>0</v>
      </c>
      <c r="D10149" t="s">
        <v>23500</v>
      </c>
      <c r="E10149" t="s">
        <v>32624</v>
      </c>
    </row>
    <row r="10150" spans="1:5">
      <c r="A10150" t="s">
        <v>6</v>
      </c>
      <c r="B10150" t="s">
        <v>10155</v>
      </c>
      <c r="C10150">
        <f>HYPERLINK("C:\Users\franc\OneDrive\Documentos\MALENTIN KARIME\CAJudicial\2015\JOSE LUIS ANDRADE.doc", "Abrir Documento")</f>
        <v>0</v>
      </c>
      <c r="D10150" t="s">
        <v>23500</v>
      </c>
      <c r="E10150" t="s">
        <v>32625</v>
      </c>
    </row>
    <row r="10151" spans="1:5">
      <c r="A10151" t="s">
        <v>6</v>
      </c>
      <c r="B10151" t="s">
        <v>10156</v>
      </c>
      <c r="C10151">
        <f>HYPERLINK("C:\Users\franc\OneDrive\Documentos\MALENTIN KARIME\CAJudicial\2015\JOHANNA ARAYA RIVERA.doc", "Abrir Documento")</f>
        <v>0</v>
      </c>
      <c r="D10151" t="s">
        <v>23500</v>
      </c>
      <c r="E10151" t="s">
        <v>32626</v>
      </c>
    </row>
    <row r="10152" spans="1:5">
      <c r="A10152" t="s">
        <v>6</v>
      </c>
      <c r="B10152" t="s">
        <v>10157</v>
      </c>
      <c r="C10152">
        <f>HYPERLINK("C:\Users\franc\OneDrive\Documentos\MALENTIN KARIME\CAJudicial\2015\FREZIA VALDIVIA ROSAS.doc", "Abrir Documento")</f>
        <v>0</v>
      </c>
      <c r="D10152" t="s">
        <v>23500</v>
      </c>
      <c r="E10152" t="s">
        <v>32627</v>
      </c>
    </row>
    <row r="10153" spans="1:5">
      <c r="A10153" t="s">
        <v>6</v>
      </c>
      <c r="B10153" t="s">
        <v>10158</v>
      </c>
      <c r="C10153">
        <f>HYPERLINK("C:\Users\franc\OneDrive\Documentos\MALENTIN KARIME\CAJudicial\2015\ERNESTO CORTES CAMPUSANO.doc", "Abrir Documento")</f>
        <v>0</v>
      </c>
      <c r="D10153" t="s">
        <v>23500</v>
      </c>
      <c r="E10153" t="s">
        <v>32628</v>
      </c>
    </row>
    <row r="10154" spans="1:5">
      <c r="A10154" t="s">
        <v>6</v>
      </c>
      <c r="B10154" t="s">
        <v>10159</v>
      </c>
      <c r="C10154">
        <f>HYPERLINK("C:\Users\franc\OneDrive\Documentos\MALENTIN KARIME\CAJudicial\2015\CLAUDIA DAVILA A Eduardo Diaz.doc", "Abrir Documento")</f>
        <v>0</v>
      </c>
      <c r="D10154" t="s">
        <v>23500</v>
      </c>
      <c r="E10154" t="s">
        <v>32629</v>
      </c>
    </row>
    <row r="10155" spans="1:5">
      <c r="A10155" t="s">
        <v>6</v>
      </c>
      <c r="B10155" t="s">
        <v>10160</v>
      </c>
      <c r="C10155">
        <f>HYPERLINK("C:\Users\franc\OneDrive\Documentos\MALENTIN KARIME\CAJudicial\2015\BENILDA HENOTT.doc", "Abrir Documento")</f>
        <v>0</v>
      </c>
      <c r="D10155" t="s">
        <v>23500</v>
      </c>
      <c r="E10155" t="s">
        <v>32630</v>
      </c>
    </row>
    <row r="10156" spans="1:5">
      <c r="A10156" t="s">
        <v>6</v>
      </c>
      <c r="B10156" t="s">
        <v>10161</v>
      </c>
      <c r="C10156">
        <f>HYPERLINK("C:\Users\franc\OneDrive\Documentos\MALENTIN KARIME\CAJudicial\2014\VICTOR ASTUDILLO ROBLES Mandato.doc", "Abrir Documento")</f>
        <v>0</v>
      </c>
      <c r="D10156" t="s">
        <v>23500</v>
      </c>
      <c r="E10156" t="s">
        <v>32631</v>
      </c>
    </row>
    <row r="10157" spans="1:5">
      <c r="A10157" t="s">
        <v>6</v>
      </c>
      <c r="B10157" t="s">
        <v>10162</v>
      </c>
      <c r="C10157">
        <f>HYPERLINK("C:\Users\franc\OneDrive\Documentos\MALENTIN KARIME\CAJudicial\2014\SANDRA ROMERO YEVENES Diciemb.doc", "Abrir Documento")</f>
        <v>0</v>
      </c>
      <c r="D10157" t="s">
        <v>23500</v>
      </c>
      <c r="E10157" t="s">
        <v>32632</v>
      </c>
    </row>
    <row r="10158" spans="1:5">
      <c r="A10158" t="s">
        <v>6</v>
      </c>
      <c r="B10158" t="s">
        <v>10163</v>
      </c>
      <c r="C10158">
        <f>HYPERLINK("C:\Users\franc\OneDrive\Documentos\MALENTIN KARIME\CAJudicial\2014\SAMUEL CASTILLO CASTILLO Mandato.doc", "Abrir Documento")</f>
        <v>0</v>
      </c>
      <c r="D10158" t="s">
        <v>23500</v>
      </c>
      <c r="E10158" t="s">
        <v>32633</v>
      </c>
    </row>
    <row r="10159" spans="1:5">
      <c r="A10159" t="s">
        <v>6</v>
      </c>
      <c r="B10159" t="s">
        <v>10164</v>
      </c>
      <c r="C10159">
        <f>HYPERLINK("C:\Users\franc\OneDrive\Documentos\MALENTIN KARIME\CAJudicial\2014\ORNELLA CASTRO Mandato.doc", "Abrir Documento")</f>
        <v>0</v>
      </c>
      <c r="D10159" t="s">
        <v>23500</v>
      </c>
      <c r="E10159" t="s">
        <v>32634</v>
      </c>
    </row>
    <row r="10160" spans="1:5">
      <c r="A10160" t="s">
        <v>6</v>
      </c>
      <c r="B10160" t="s">
        <v>10165</v>
      </c>
      <c r="C10160">
        <f>HYPERLINK("C:\Users\franc\OneDrive\Documentos\MALENTIN KARIME\CAJudicial\2014\NELDA ARAYA CARVAJAL Mandato Divorcio Modelo.doc", "Abrir Documento")</f>
        <v>0</v>
      </c>
      <c r="D10160" t="s">
        <v>23500</v>
      </c>
      <c r="E10160" t="s">
        <v>32635</v>
      </c>
    </row>
    <row r="10161" spans="1:5">
      <c r="A10161" t="s">
        <v>6</v>
      </c>
      <c r="B10161" t="s">
        <v>10166</v>
      </c>
      <c r="C10161">
        <f>HYPERLINK("C:\Users\franc\OneDrive\Documentos\MALENTIN KARIME\CAJudicial\2014\MARIA TERESA CONTRERAS ESCOBAR Mandato.docx", "Abrir Documento")</f>
        <v>0</v>
      </c>
      <c r="D10161" t="s">
        <v>23501</v>
      </c>
      <c r="E10161" t="s">
        <v>32636</v>
      </c>
    </row>
    <row r="10162" spans="1:5">
      <c r="A10162" t="s">
        <v>6</v>
      </c>
      <c r="B10162" t="s">
        <v>10167</v>
      </c>
      <c r="C10162">
        <f>HYPERLINK("C:\Users\franc\OneDrive\Documentos\MALENTIN KARIME\CAJudicial\2014\MARIA ANDRADE A M Diaz Mandato.doc", "Abrir Documento")</f>
        <v>0</v>
      </c>
      <c r="D10162" t="s">
        <v>23500</v>
      </c>
      <c r="E10162" t="s">
        <v>32637</v>
      </c>
    </row>
    <row r="10163" spans="1:5">
      <c r="A10163" t="s">
        <v>6</v>
      </c>
      <c r="B10163" t="s">
        <v>10168</v>
      </c>
      <c r="C10163">
        <f>HYPERLINK("C:\Users\franc\OneDrive\Documentos\MALENTIN KARIME\CAJudicial\2014\JOSE CORTES CASTILLO Dic.doc", "Abrir Documento")</f>
        <v>0</v>
      </c>
      <c r="D10163" t="s">
        <v>23500</v>
      </c>
      <c r="E10163" t="s">
        <v>32638</v>
      </c>
    </row>
    <row r="10164" spans="1:5">
      <c r="A10164" t="s">
        <v>6</v>
      </c>
      <c r="B10164" t="s">
        <v>10169</v>
      </c>
      <c r="C10164">
        <f>HYPERLINK("C:\Users\franc\OneDrive\Documentos\MALENTIN KARIME\CAJudicial\2014\HUGO CORTES ROJAS Corporacion redacc not.doc", "Abrir Documento")</f>
        <v>0</v>
      </c>
      <c r="D10164" t="s">
        <v>23500</v>
      </c>
      <c r="E10164" t="s">
        <v>32639</v>
      </c>
    </row>
    <row r="10165" spans="1:5">
      <c r="A10165" t="s">
        <v>6</v>
      </c>
      <c r="B10165" t="s">
        <v>10170</v>
      </c>
      <c r="C10165">
        <f>HYPERLINK("C:\Users\franc\OneDrive\Documentos\MALENTIN KARIME\CAJudicial\2014\FRANCISCO JAVIER CASTILLO JOPIA Mandato 10.doc", "Abrir Documento")</f>
        <v>0</v>
      </c>
      <c r="D10165" t="s">
        <v>23500</v>
      </c>
      <c r="E10165" t="s">
        <v>32640</v>
      </c>
    </row>
    <row r="10166" spans="1:5">
      <c r="A10166" t="s">
        <v>6</v>
      </c>
      <c r="B10166" t="s">
        <v>10171</v>
      </c>
      <c r="C10166">
        <f>HYPERLINK("C:\Users\franc\OneDrive\Documentos\MALENTIN KARIME\CAJudicial\2014\ELENA PARRA BAHAMONDES.doc", "Abrir Documento")</f>
        <v>0</v>
      </c>
      <c r="D10166" t="s">
        <v>23500</v>
      </c>
      <c r="E10166" t="s">
        <v>32641</v>
      </c>
    </row>
    <row r="10167" spans="1:5">
      <c r="A10167" t="s">
        <v>6</v>
      </c>
      <c r="B10167" t="s">
        <v>10172</v>
      </c>
      <c r="C10167">
        <f>HYPERLINK("C:\Users\franc\OneDrive\Documentos\MALENTIN KARIME\CAJudicial\2014\DAYANA TELLO ALMENDARES Mjudicial.doc", "Abrir Documento")</f>
        <v>0</v>
      </c>
      <c r="D10167" t="s">
        <v>23500</v>
      </c>
      <c r="E10167" t="s">
        <v>32642</v>
      </c>
    </row>
    <row r="10168" spans="1:5">
      <c r="A10168" t="s">
        <v>6</v>
      </c>
      <c r="B10168" t="s">
        <v>10173</v>
      </c>
      <c r="C10168">
        <f>HYPERLINK("C:\Users\franc\OneDrive\Documentos\MALENTIN KARIME\CAJudicial\2014\CAMILO CRUZ C.doc", "Abrir Documento")</f>
        <v>0</v>
      </c>
      <c r="D10168" t="s">
        <v>23500</v>
      </c>
      <c r="E10168" t="s">
        <v>32643</v>
      </c>
    </row>
    <row r="10169" spans="1:5">
      <c r="A10169" t="s">
        <v>6</v>
      </c>
      <c r="B10169" t="s">
        <v>10174</v>
      </c>
      <c r="C10169">
        <f>HYPERLINK("C:\Users\franc\OneDrive\Documentos\MALENTIN KARIME\CAJudicial\YASNA CORTES LEMUS Octu 13.docx", "Abrir Documento")</f>
        <v>0</v>
      </c>
      <c r="D10169" t="s">
        <v>23501</v>
      </c>
      <c r="E10169" t="s">
        <v>32644</v>
      </c>
    </row>
    <row r="10170" spans="1:5">
      <c r="A10170" t="s">
        <v>6</v>
      </c>
      <c r="B10170" t="s">
        <v>10175</v>
      </c>
      <c r="C10170">
        <f>HYPERLINK("C:\Users\franc\OneDrive\Documentos\MALENTIN KARIME\CAJudicial\ROSA CONTRERAS CUELLO.doc", "Abrir Documento")</f>
        <v>0</v>
      </c>
      <c r="D10170" t="s">
        <v>23500</v>
      </c>
      <c r="E10170" t="s">
        <v>32645</v>
      </c>
    </row>
    <row r="10171" spans="1:5">
      <c r="A10171" t="s">
        <v>6</v>
      </c>
      <c r="B10171" t="s">
        <v>10176</v>
      </c>
      <c r="C10171">
        <f>HYPERLINK("C:\Users\franc\OneDrive\Documentos\MALENTIN KARIME\CAJudicial\RODRIGO PAYEROS.doc", "Abrir Documento")</f>
        <v>0</v>
      </c>
      <c r="D10171" t="s">
        <v>23500</v>
      </c>
      <c r="E10171" t="s">
        <v>32646</v>
      </c>
    </row>
    <row r="10172" spans="1:5">
      <c r="A10172" t="s">
        <v>6</v>
      </c>
      <c r="B10172" t="s">
        <v>10177</v>
      </c>
      <c r="C10172">
        <f>HYPERLINK("C:\Users\franc\OneDrive\Documentos\MALENTIN KARIME\CAJudicial\RODRIGO CASTILLO Mandato judicial.doc", "Abrir Documento")</f>
        <v>0</v>
      </c>
      <c r="D10172" t="s">
        <v>23500</v>
      </c>
      <c r="E10172" t="s">
        <v>32647</v>
      </c>
    </row>
    <row r="10173" spans="1:5">
      <c r="A10173" t="s">
        <v>6</v>
      </c>
      <c r="B10173" t="s">
        <v>10178</v>
      </c>
      <c r="C10173">
        <f>HYPERLINK("C:\Users\franc\OneDrive\Documentos\MALENTIN KARIME\CAJudicial\RICARDO ACOSTA Agosto 13.doc", "Abrir Documento")</f>
        <v>0</v>
      </c>
      <c r="D10173" t="s">
        <v>23500</v>
      </c>
      <c r="E10173" t="s">
        <v>32648</v>
      </c>
    </row>
    <row r="10174" spans="1:5">
      <c r="A10174" t="s">
        <v>6</v>
      </c>
      <c r="B10174" t="s">
        <v>10179</v>
      </c>
      <c r="C10174">
        <f>HYPERLINK("C:\Users\franc\OneDrive\Documentos\MALENTIN KARIME\CAJudicial\Renuncia Ganacialies georgina ramírez-1.doc", "Abrir Documento")</f>
        <v>0</v>
      </c>
      <c r="D10174" t="s">
        <v>23500</v>
      </c>
      <c r="E10174" t="s">
        <v>32649</v>
      </c>
    </row>
    <row r="10175" spans="1:5">
      <c r="A10175" t="s">
        <v>6</v>
      </c>
      <c r="B10175" t="s">
        <v>10180</v>
      </c>
      <c r="C10175">
        <f>HYPERLINK("C:\Users\franc\OneDrive\Documentos\MALENTIN KARIME\CAJudicial\NOLFA MARAMBIO CAYO  Liquidacion DIc 13.doc", "Abrir Documento")</f>
        <v>0</v>
      </c>
      <c r="D10175" t="s">
        <v>23500</v>
      </c>
      <c r="E10175" t="s">
        <v>32650</v>
      </c>
    </row>
    <row r="10176" spans="1:5">
      <c r="A10176" t="s">
        <v>6</v>
      </c>
      <c r="B10176" t="s">
        <v>10181</v>
      </c>
      <c r="C10176">
        <f>HYPERLINK("C:\Users\franc\OneDrive\Documentos\MALENTIN KARIME\CAJudicial\NOBELMO PIZARRO AVALOS.docx", "Abrir Documento")</f>
        <v>0</v>
      </c>
      <c r="D10176" t="s">
        <v>23501</v>
      </c>
      <c r="E10176" t="s">
        <v>32651</v>
      </c>
    </row>
    <row r="10177" spans="1:5">
      <c r="A10177" t="s">
        <v>6</v>
      </c>
      <c r="B10177" t="s">
        <v>10182</v>
      </c>
      <c r="C10177">
        <f>HYPERLINK("C:\Users\franc\OneDrive\Documentos\MALENTIN KARIME\CAJudicial\NANCY VALENCIA GUERRERO.doc", "Abrir Documento")</f>
        <v>0</v>
      </c>
      <c r="D10177" t="s">
        <v>23500</v>
      </c>
      <c r="E10177" t="s">
        <v>32652</v>
      </c>
    </row>
    <row r="10178" spans="1:5">
      <c r="A10178" t="s">
        <v>6</v>
      </c>
      <c r="B10178" t="s">
        <v>10183</v>
      </c>
      <c r="C10178">
        <f>HYPERLINK("C:\Users\franc\OneDrive\Documentos\MALENTIN KARIME\CAJudicial\MARICELA CASTILLO ROJAS Mandato Dic..doc", "Abrir Documento")</f>
        <v>0</v>
      </c>
      <c r="D10178" t="s">
        <v>23500</v>
      </c>
      <c r="E10178" t="s">
        <v>32653</v>
      </c>
    </row>
    <row r="10179" spans="1:5">
      <c r="A10179" t="s">
        <v>6</v>
      </c>
      <c r="B10179" t="s">
        <v>10184</v>
      </c>
      <c r="C10179">
        <f>HYPERLINK("C:\Users\franc\OneDrive\Documentos\MALENTIN KARIME\CAJudicial\MAGALY VALDIVIA VARAS.doc", "Abrir Documento")</f>
        <v>0</v>
      </c>
      <c r="D10179" t="s">
        <v>23500</v>
      </c>
      <c r="E10179" t="s">
        <v>32654</v>
      </c>
    </row>
    <row r="10180" spans="1:5">
      <c r="A10180" t="s">
        <v>6</v>
      </c>
      <c r="B10180" t="s">
        <v>10185</v>
      </c>
      <c r="C10180">
        <f>HYPERLINK("C:\Users\franc\OneDrive\Documentos\MALENTIN KARIME\CAJudicial\LUIS TABILO y Sandra Contreras Liquidacion Feb 14.doc", "Abrir Documento")</f>
        <v>0</v>
      </c>
      <c r="D10180" t="s">
        <v>23500</v>
      </c>
      <c r="E10180" t="s">
        <v>32655</v>
      </c>
    </row>
    <row r="10181" spans="1:5">
      <c r="A10181" t="s">
        <v>6</v>
      </c>
      <c r="B10181" t="s">
        <v>10186</v>
      </c>
      <c r="C10181">
        <f>HYPERLINK("C:\Users\franc\OneDrive\Documentos\MALENTIN KARIME\CAJudicial\LUCY PIZARRO GONZALEZ.doc", "Abrir Documento")</f>
        <v>0</v>
      </c>
      <c r="D10181" t="s">
        <v>23500</v>
      </c>
      <c r="E10181" t="s">
        <v>32656</v>
      </c>
    </row>
    <row r="10182" spans="1:5">
      <c r="A10182" t="s">
        <v>6</v>
      </c>
      <c r="B10182" t="s">
        <v>10187</v>
      </c>
      <c r="C10182">
        <f>HYPERLINK("C:\Users\franc\OneDrive\Documentos\MALENTIN KARIME\CAJudicial\Liquidacion sociedad conyugal sandra contreras alvarez corregida.doc", "Abrir Documento")</f>
        <v>0</v>
      </c>
      <c r="D10182" t="s">
        <v>23500</v>
      </c>
      <c r="E10182" t="s">
        <v>32657</v>
      </c>
    </row>
    <row r="10183" spans="1:5">
      <c r="A10183" t="s">
        <v>6</v>
      </c>
      <c r="B10183" t="s">
        <v>10188</v>
      </c>
      <c r="C10183">
        <f>HYPERLINK("C:\Users\franc\OneDrive\Documentos\MALENTIN KARIME\CAJudicial\JUAN MUÑOZ ARAYA Corporacion 2021.doc", "Abrir Documento")</f>
        <v>0</v>
      </c>
      <c r="D10183" t="s">
        <v>23500</v>
      </c>
      <c r="E10183" t="s">
        <v>32658</v>
      </c>
    </row>
    <row r="10184" spans="1:5">
      <c r="A10184" t="s">
        <v>6</v>
      </c>
      <c r="B10184" t="s">
        <v>10189</v>
      </c>
      <c r="C10184">
        <f>HYPERLINK("C:\Users\franc\OneDrive\Documentos\MALENTIN KARIME\CAJudicial\JACINTA ARAYA A NELSON MUÑOZ.doc", "Abrir Documento")</f>
        <v>0</v>
      </c>
      <c r="D10184" t="s">
        <v>23500</v>
      </c>
      <c r="E10184" t="s">
        <v>32659</v>
      </c>
    </row>
    <row r="10185" spans="1:5">
      <c r="A10185" t="s">
        <v>6</v>
      </c>
      <c r="B10185" t="s">
        <v>10190</v>
      </c>
      <c r="C10185">
        <f>HYPERLINK("C:\Users\franc\OneDrive\Documentos\MALENTIN KARIME\CAJudicial\GRINELDO TAPIA CANGANA Cesion Octubre 13.doc", "Abrir Documento")</f>
        <v>0</v>
      </c>
      <c r="D10185" t="s">
        <v>23500</v>
      </c>
      <c r="E10185" t="s">
        <v>32660</v>
      </c>
    </row>
    <row r="10186" spans="1:5">
      <c r="A10186" t="s">
        <v>6</v>
      </c>
      <c r="B10186" t="s">
        <v>10191</v>
      </c>
      <c r="C10186">
        <f>HYPERLINK("C:\Users\franc\OneDrive\Documentos\MALENTIN KARIME\CAJudicial\GRACIELA DIAZ 2020.docx", "Abrir Documento")</f>
        <v>0</v>
      </c>
      <c r="D10186" t="s">
        <v>23501</v>
      </c>
      <c r="E10186" t="s">
        <v>32661</v>
      </c>
    </row>
    <row r="10187" spans="1:5">
      <c r="A10187" t="s">
        <v>6</v>
      </c>
      <c r="B10187" t="s">
        <v>10192</v>
      </c>
      <c r="C10187">
        <f>HYPERLINK("C:\Users\franc\OneDrive\Documentos\MALENTIN KARIME\CAJudicial\GEORGINA RAMIREZRenuncia Ganacialies.doc", "Abrir Documento")</f>
        <v>0</v>
      </c>
      <c r="D10187" t="s">
        <v>23500</v>
      </c>
      <c r="E10187" t="s">
        <v>32662</v>
      </c>
    </row>
    <row r="10188" spans="1:5">
      <c r="A10188" t="s">
        <v>6</v>
      </c>
      <c r="B10188" t="s">
        <v>10193</v>
      </c>
      <c r="C10188">
        <f>HYPERLINK("C:\Users\franc\OneDrive\Documentos\MALENTIN KARIME\CAJudicial\ELVIS ALFARO GOMEZ Mandato Julio 2013.doc", "Abrir Documento")</f>
        <v>0</v>
      </c>
      <c r="D10188" t="s">
        <v>23500</v>
      </c>
      <c r="E10188" t="s">
        <v>32663</v>
      </c>
    </row>
    <row r="10189" spans="1:5">
      <c r="A10189" t="s">
        <v>6</v>
      </c>
      <c r="B10189" t="s">
        <v>10194</v>
      </c>
      <c r="C10189">
        <f>HYPERLINK("C:\Users\franc\OneDrive\Documentos\MALENTIN KARIME\CAJudicial\DAYSI ROJAS ROAJS.doc", "Abrir Documento")</f>
        <v>0</v>
      </c>
      <c r="D10189" t="s">
        <v>23500</v>
      </c>
      <c r="E10189" t="s">
        <v>32664</v>
      </c>
    </row>
    <row r="10190" spans="1:5">
      <c r="A10190" t="s">
        <v>6</v>
      </c>
      <c r="B10190" t="s">
        <v>10195</v>
      </c>
      <c r="C10190">
        <f>HYPERLINK("C:\Users\franc\OneDrive\Documentos\MALENTIN KARIME\CAJudicial\CESAR ESPINOSA PEÑA mandato Dic 13.doc", "Abrir Documento")</f>
        <v>0</v>
      </c>
      <c r="D10190" t="s">
        <v>23500</v>
      </c>
      <c r="E10190" t="s">
        <v>32665</v>
      </c>
    </row>
    <row r="10191" spans="1:5">
      <c r="A10191" t="s">
        <v>6</v>
      </c>
      <c r="B10191" t="s">
        <v>10196</v>
      </c>
      <c r="C10191">
        <f>HYPERLINK("C:\Users\franc\OneDrive\Documentos\MALENTIN KARIME\CAJudicial\CELINDA JERALDO ROJAS Agosto 13.doc", "Abrir Documento")</f>
        <v>0</v>
      </c>
      <c r="D10191" t="s">
        <v>23500</v>
      </c>
      <c r="E10191" t="s">
        <v>32666</v>
      </c>
    </row>
    <row r="10192" spans="1:5">
      <c r="A10192" t="s">
        <v>6</v>
      </c>
      <c r="B10192" t="s">
        <v>10197</v>
      </c>
      <c r="C10192">
        <f>HYPERLINK("C:\Users\franc\OneDrive\Documentos\MALENTIN KARIME\CAJudicial\CELINDA JERALDO ROJAS Agosto 13 correjido.doc", "Abrir Documento")</f>
        <v>0</v>
      </c>
      <c r="D10192" t="s">
        <v>23500</v>
      </c>
      <c r="E10192" t="s">
        <v>32667</v>
      </c>
    </row>
    <row r="10193" spans="1:5">
      <c r="A10193" t="s">
        <v>6</v>
      </c>
      <c r="B10193" t="s">
        <v>10198</v>
      </c>
      <c r="C10193">
        <f>HYPERLINK("C:\Users\franc\OneDrive\Documentos\MALENTIN KARIME\CAJudicial\CARLOS TAPIA CANGANA Cesion Octubre 13.doc", "Abrir Documento")</f>
        <v>0</v>
      </c>
      <c r="D10193" t="s">
        <v>23500</v>
      </c>
      <c r="E10193" t="s">
        <v>32668</v>
      </c>
    </row>
    <row r="10194" spans="1:5">
      <c r="A10194" t="s">
        <v>6</v>
      </c>
      <c r="B10194" t="s">
        <v>10199</v>
      </c>
      <c r="C10194">
        <f>HYPERLINK("C:\Users\franc\OneDrive\Documentos\MALENTIN KARIME\CAJudicial\CALOS BIRKNER SOLARI.docx", "Abrir Documento")</f>
        <v>0</v>
      </c>
      <c r="D10194" t="s">
        <v>23501</v>
      </c>
      <c r="E10194" t="s">
        <v>32669</v>
      </c>
    </row>
    <row r="10195" spans="1:5">
      <c r="A10195" t="s">
        <v>6</v>
      </c>
      <c r="B10195" t="s">
        <v>10200</v>
      </c>
      <c r="C10195">
        <f>HYPERLINK("C:\Users\franc\OneDrive\Documentos\MALENTIN KARIME\CAJudicial\BERTA GUERRERO AGUILERA.doc", "Abrir Documento")</f>
        <v>0</v>
      </c>
      <c r="D10195" t="s">
        <v>23500</v>
      </c>
      <c r="E10195" t="s">
        <v>32670</v>
      </c>
    </row>
    <row r="10196" spans="1:5">
      <c r="A10196" t="s">
        <v>6</v>
      </c>
      <c r="B10196" t="s">
        <v>10201</v>
      </c>
      <c r="C10196">
        <f>HYPERLINK("C:\Users\franc\OneDrive\Documentos\MALENTIN KARIME\CAJudicial\BENJAMIN ANGEL ROMERO.doc", "Abrir Documento")</f>
        <v>0</v>
      </c>
      <c r="D10196" t="s">
        <v>23500</v>
      </c>
      <c r="E10196" t="s">
        <v>32671</v>
      </c>
    </row>
    <row r="10197" spans="1:5">
      <c r="A10197" t="s">
        <v>6</v>
      </c>
      <c r="B10197" t="s">
        <v>10202</v>
      </c>
      <c r="C10197">
        <f>HYPERLINK("C:\Users\franc\OneDrive\Documentos\MALENTIN KARIME\BOMBEROS\melii\MELY\VARIOS\FOJAS.-.doc", "Abrir Documento")</f>
        <v>0</v>
      </c>
      <c r="D10197" t="s">
        <v>23500</v>
      </c>
      <c r="E10197" t="s">
        <v>32672</v>
      </c>
    </row>
    <row r="10198" spans="1:5">
      <c r="A10198" t="s">
        <v>6</v>
      </c>
      <c r="B10198" t="s">
        <v>10203</v>
      </c>
      <c r="C10198">
        <f>HYPERLINK("C:\Users\franc\OneDrive\Documentos\MALENTIN KARIME\BOMBEROS\melii\MELY\VARIOS\CARTA TESTAMENTO ABRIL-2014.doc", "Abrir Documento")</f>
        <v>0</v>
      </c>
      <c r="D10198" t="s">
        <v>23500</v>
      </c>
      <c r="E10198" t="s">
        <v>32673</v>
      </c>
    </row>
    <row r="10199" spans="1:5">
      <c r="A10199" t="s">
        <v>6</v>
      </c>
      <c r="B10199" t="s">
        <v>10204</v>
      </c>
      <c r="C10199">
        <f>HYPERLINK("C:\Users\franc\OneDrive\Documentos\MALENTIN KARIME\BOMBEROS\melii\MELY\VARIOS\CARTA ALZAMIENTO SERVIU- C. DE BIENES.doc", "Abrir Documento")</f>
        <v>0</v>
      </c>
      <c r="D10199" t="s">
        <v>23500</v>
      </c>
      <c r="E10199" t="s">
        <v>32674</v>
      </c>
    </row>
    <row r="10200" spans="1:5">
      <c r="A10200" t="s">
        <v>6</v>
      </c>
      <c r="B10200" t="s">
        <v>10205</v>
      </c>
      <c r="C10200">
        <f>HYPERLINK("C:\Users\franc\OneDrive\Documentos\MALENTIN KARIME\BOMBEROS\melii\MELY\VARIOS\Autr Firma COMPRAVENTA Y PROHIBICION S.I.SUBS. HABIT..doc", "Abrir Documento")</f>
        <v>0</v>
      </c>
      <c r="D10200" t="s">
        <v>23500</v>
      </c>
      <c r="E10200" t="s">
        <v>32675</v>
      </c>
    </row>
    <row r="10201" spans="1:5">
      <c r="A10201" t="s">
        <v>6</v>
      </c>
      <c r="B10201" t="s">
        <v>10206</v>
      </c>
      <c r="C10201">
        <f>HYPERLINK("C:\Users\franc\OneDrive\Documentos\MALENTIN KARIME\BOMBEROS\melii\MELY\VARIOS\Autr Firma COMPRAVENTA Y PROHIBICION S.I.SUBS. HABIT. CLEMENTE FUENTEALBA.doc", "Abrir Documento")</f>
        <v>0</v>
      </c>
      <c r="D10201" t="s">
        <v>23500</v>
      </c>
      <c r="E10201" t="s">
        <v>32676</v>
      </c>
    </row>
    <row r="10202" spans="1:5">
      <c r="A10202" t="s">
        <v>6</v>
      </c>
      <c r="B10202" t="s">
        <v>10207</v>
      </c>
      <c r="C10202">
        <f>HYPERLINK("C:\Users\franc\OneDrive\Documentos\MALENTIN KARIME\BOMBEROS\melii\MELY\VARIOS\AUTORIZACION ESCRITURAS CON VIGENCIA VERT..doc", "Abrir Documento")</f>
        <v>0</v>
      </c>
      <c r="D10202" t="s">
        <v>23500</v>
      </c>
      <c r="E10202" t="s">
        <v>32677</v>
      </c>
    </row>
    <row r="10203" spans="1:5">
      <c r="A10203" t="s">
        <v>6</v>
      </c>
      <c r="B10203" t="s">
        <v>10208</v>
      </c>
      <c r="C10203">
        <f>HYPERLINK("C:\Users\franc\OneDrive\Documentos\MALENTIN KARIME\BOMBEROS\melii\MELY\VARIOS\AUT. FIRMAS DECLARACION NO PARENTESCO.doc", "Abrir Documento")</f>
        <v>0</v>
      </c>
      <c r="D10203" t="s">
        <v>23500</v>
      </c>
      <c r="E10203" t="s">
        <v>32678</v>
      </c>
    </row>
    <row r="10204" spans="1:5">
      <c r="A10204" t="s">
        <v>6</v>
      </c>
      <c r="B10204" t="s">
        <v>10209</v>
      </c>
      <c r="C10204">
        <f>HYPERLINK("C:\Users\franc\OneDrive\Documentos\MALENTIN KARIME\BOMBEROS\melii\MELY\VARIOS\AUT. FIRMAS DECLARACION CLEMENTE FUENTEALBA.doc", "Abrir Documento")</f>
        <v>0</v>
      </c>
      <c r="D10204" t="s">
        <v>23500</v>
      </c>
      <c r="E10204" t="s">
        <v>32679</v>
      </c>
    </row>
    <row r="10205" spans="1:5">
      <c r="A10205" t="s">
        <v>6</v>
      </c>
      <c r="B10205" t="s">
        <v>10210</v>
      </c>
      <c r="C10205">
        <f>HYPERLINK("C:\Users\franc\OneDrive\Documentos\MALENTIN KARIME\BOMBEROS\melii\MELY\REDUCCION\COMUNIDAD ALCONES II.doc", "Abrir Documento")</f>
        <v>0</v>
      </c>
      <c r="D10205" t="s">
        <v>23500</v>
      </c>
      <c r="E10205" t="s">
        <v>32680</v>
      </c>
    </row>
    <row r="10206" spans="1:5">
      <c r="A10206" t="s">
        <v>6</v>
      </c>
      <c r="B10206" t="s">
        <v>10211</v>
      </c>
      <c r="C10206">
        <f>HYPERLINK("C:\Users\franc\OneDrive\Documentos\MALENTIN KARIME\BOMBEROS\melii\MELY\RECTIFICACIONES\RECTIFICATORIA WASHINGTON ALTAMIRANO.doc", "Abrir Documento")</f>
        <v>0</v>
      </c>
      <c r="D10206" t="s">
        <v>23500</v>
      </c>
      <c r="E10206" t="s">
        <v>32681</v>
      </c>
    </row>
    <row r="10207" spans="1:5">
      <c r="A10207" t="s">
        <v>6</v>
      </c>
      <c r="B10207" t="s">
        <v>10212</v>
      </c>
      <c r="C10207">
        <f>HYPERLINK("C:\Users\franc\OneDrive\Documentos\MALENTIN KARIME\BOMBEROS\melii\MELY\RECTIFICACIONES\ORIETA CISTERNAS PLAZA.doc", "Abrir Documento")</f>
        <v>0</v>
      </c>
      <c r="D10207" t="s">
        <v>23500</v>
      </c>
      <c r="E10207" t="s">
        <v>32682</v>
      </c>
    </row>
    <row r="10208" spans="1:5">
      <c r="A10208" t="s">
        <v>6</v>
      </c>
      <c r="B10208" t="s">
        <v>10213</v>
      </c>
      <c r="C10208">
        <f>HYPERLINK("C:\Users\franc\OneDrive\Documentos\MALENTIN KARIME\BOMBEROS\melii\MELY\RECTIFICACIONES\AGRICOLA SAN MARCOS S.A. COMERCIAL.doc", "Abrir Documento")</f>
        <v>0</v>
      </c>
      <c r="D10208" t="s">
        <v>23500</v>
      </c>
      <c r="E10208" t="s">
        <v>32683</v>
      </c>
    </row>
    <row r="10209" spans="1:5">
      <c r="A10209" t="s">
        <v>6</v>
      </c>
      <c r="B10209" t="s">
        <v>10214</v>
      </c>
      <c r="C10209">
        <f>HYPERLINK("C:\Users\franc\OneDrive\Documentos\MALENTIN KARIME\BOMBEROS\melii\MELY\PROTOCOLIZACIONES\PROP. PUBL. MUNICIPALIDAD\MODIFICACION CTTO\SOC. COM. MATCH POINT.doc", "Abrir Documento")</f>
        <v>0</v>
      </c>
      <c r="D10209" t="s">
        <v>23500</v>
      </c>
      <c r="E10209" t="s">
        <v>32684</v>
      </c>
    </row>
    <row r="10210" spans="1:5">
      <c r="A10210" t="s">
        <v>6</v>
      </c>
      <c r="B10210" t="s">
        <v>10215</v>
      </c>
      <c r="C10210">
        <f>HYPERLINK("C:\Users\franc\OneDrive\Documentos\MALENTIN KARIME\BOMBEROS\melii\MELY\PROTOCOLIZACIONES\JUNTA DE VECINOS N°26 HUATULAME.doc", "Abrir Documento")</f>
        <v>0</v>
      </c>
      <c r="D10210" t="s">
        <v>23500</v>
      </c>
      <c r="E10210" t="s">
        <v>32685</v>
      </c>
    </row>
    <row r="10211" spans="1:5">
      <c r="A10211" t="s">
        <v>6</v>
      </c>
      <c r="B10211" t="s">
        <v>10216</v>
      </c>
      <c r="C10211">
        <f>HYPERLINK("C:\Users\franc\OneDrive\Documentos\MALENTIN KARIME\BOMBEROS\melii\MELY\PROTOCOLIZACIONES\JAIRO MARTINEZ CUADRA.doc", "Abrir Documento")</f>
        <v>0</v>
      </c>
      <c r="D10211" t="s">
        <v>23500</v>
      </c>
      <c r="E10211" t="s">
        <v>32686</v>
      </c>
    </row>
    <row r="10212" spans="1:5">
      <c r="A10212" t="s">
        <v>6</v>
      </c>
      <c r="B10212" t="s">
        <v>10217</v>
      </c>
      <c r="C10212">
        <f>HYPERLINK("C:\Users\franc\OneDrive\Documentos\MALENTIN KARIME\BOMBEROS\melii\MELY\PROTOCOLIZACIONES\INVENTARIO ADOLFO LAY.doc", "Abrir Documento")</f>
        <v>0</v>
      </c>
      <c r="D10212" t="s">
        <v>23500</v>
      </c>
      <c r="E10212" t="s">
        <v>32687</v>
      </c>
    </row>
    <row r="10213" spans="1:5">
      <c r="A10213" t="s">
        <v>6</v>
      </c>
      <c r="B10213" t="s">
        <v>10218</v>
      </c>
      <c r="C10213">
        <f>HYPERLINK("C:\Users\franc\OneDrive\Documentos\MALENTIN KARIME\BOMBEROS\melii\MELY\PROTOCOLIZACIONES\IMPOR. Y EXPOR COMSAT LTDA..doc", "Abrir Documento")</f>
        <v>0</v>
      </c>
      <c r="D10213" t="s">
        <v>23500</v>
      </c>
      <c r="E10213" t="s">
        <v>32688</v>
      </c>
    </row>
    <row r="10214" spans="1:5">
      <c r="A10214" t="s">
        <v>6</v>
      </c>
      <c r="B10214" t="s">
        <v>10219</v>
      </c>
      <c r="C10214">
        <f>HYPERLINK("C:\Users\franc\OneDrive\Documentos\MALENTIN KARIME\BOMBEROS\melii\MELY\PROTOCOLIZACIONES\Hoja Anexa de Actas.doc", "Abrir Documento")</f>
        <v>0</v>
      </c>
      <c r="D10214" t="s">
        <v>23500</v>
      </c>
      <c r="E10214" t="s">
        <v>32689</v>
      </c>
    </row>
    <row r="10215" spans="1:5">
      <c r="A10215" t="s">
        <v>6</v>
      </c>
      <c r="B10215" t="s">
        <v>10220</v>
      </c>
      <c r="C10215">
        <f>HYPERLINK("C:\Users\franc\OneDrive\Documentos\MALENTIN KARIME\BOMBEROS\melii\MELY\PROTOCOLIZACIONES\FRANCISCO ZEPEDA RODRIGUEZ a FABIOLA VALENZUELA GARCIA (OVALLE-casado).doc", "Abrir Documento")</f>
        <v>0</v>
      </c>
      <c r="D10215" t="s">
        <v>23500</v>
      </c>
      <c r="E10215" t="s">
        <v>32690</v>
      </c>
    </row>
    <row r="10216" spans="1:5">
      <c r="A10216" t="s">
        <v>6</v>
      </c>
      <c r="B10216" t="s">
        <v>10221</v>
      </c>
      <c r="C10216">
        <f>HYPERLINK("C:\Users\franc\OneDrive\Documentos\MALENTIN KARIME\BOMBEROS\melii\MELY\PROTOCOLIZACIONES\FABIOLA VALENZUELA GARCIA.doc", "Abrir Documento")</f>
        <v>0</v>
      </c>
      <c r="D10216" t="s">
        <v>23500</v>
      </c>
      <c r="E10216" t="s">
        <v>32691</v>
      </c>
    </row>
    <row r="10217" spans="1:5">
      <c r="A10217" t="s">
        <v>6</v>
      </c>
      <c r="B10217" t="s">
        <v>10222</v>
      </c>
      <c r="C10217">
        <f>HYPERLINK("C:\Users\franc\OneDrive\Documentos\MALENTIN KARIME\BOMBEROS\melii\MELY\PROTOCOLIZACIONES\EDSON SEGOVIA CAMPOS.doc", "Abrir Documento")</f>
        <v>0</v>
      </c>
      <c r="D10217" t="s">
        <v>23500</v>
      </c>
      <c r="E10217" t="s">
        <v>32692</v>
      </c>
    </row>
    <row r="10218" spans="1:5">
      <c r="A10218" t="s">
        <v>6</v>
      </c>
      <c r="B10218" t="s">
        <v>10223</v>
      </c>
      <c r="C10218">
        <f>HYPERLINK("C:\Users\franc\OneDrive\Documentos\MALENTIN KARIME\BOMBEROS\melii\MELY\PROTOCOLIZACIONES\CVTA Y PROHIBICION CLEMENTE FUENTEALBA.doc", "Abrir Documento")</f>
        <v>0</v>
      </c>
      <c r="D10218" t="s">
        <v>23500</v>
      </c>
      <c r="E10218" t="s">
        <v>32693</v>
      </c>
    </row>
    <row r="10219" spans="1:5">
      <c r="A10219" t="s">
        <v>6</v>
      </c>
      <c r="B10219" t="s">
        <v>10224</v>
      </c>
      <c r="C10219">
        <f>HYPERLINK("C:\Users\franc\OneDrive\Documentos\MALENTIN KARIME\BOMBEROS\melii\MELY\PROTOCOLIZACIONES\CONSTRUCTORA SAN FERNANDO  modif. propuesta.doc", "Abrir Documento")</f>
        <v>0</v>
      </c>
      <c r="D10219" t="s">
        <v>23500</v>
      </c>
      <c r="E10219" t="s">
        <v>32694</v>
      </c>
    </row>
    <row r="10220" spans="1:5">
      <c r="A10220" t="s">
        <v>6</v>
      </c>
      <c r="B10220" t="s">
        <v>10225</v>
      </c>
      <c r="C10220">
        <f>HYPERLINK("C:\Users\franc\OneDrive\Documentos\MALENTIN KARIME\BOMBEROS\melii\MELY\PROTOCOLIZACIONES\COMUNIDAD LA COIPA.doc", "Abrir Documento")</f>
        <v>0</v>
      </c>
      <c r="D10220" t="s">
        <v>23500</v>
      </c>
      <c r="E10220" t="s">
        <v>32695</v>
      </c>
    </row>
    <row r="10221" spans="1:5">
      <c r="A10221" t="s">
        <v>6</v>
      </c>
      <c r="B10221" t="s">
        <v>10226</v>
      </c>
      <c r="C10221">
        <f>HYPERLINK("C:\Users\franc\OneDrive\Documentos\MALENTIN KARIME\BOMBEROS\melii\MELY\PROTOCOLIZACIONES\COMUNIDAD LA COIPA ACTA N°37.doc", "Abrir Documento")</f>
        <v>0</v>
      </c>
      <c r="D10221" t="s">
        <v>23500</v>
      </c>
      <c r="E10221" t="s">
        <v>32696</v>
      </c>
    </row>
    <row r="10222" spans="1:5">
      <c r="A10222" t="s">
        <v>6</v>
      </c>
      <c r="B10222" t="s">
        <v>10227</v>
      </c>
      <c r="C10222">
        <f>HYPERLINK("C:\Users\franc\OneDrive\Documentos\MALENTIN KARIME\BOMBEROS\melii\MELY\PROTOCOLIZACIONES\COMUNIDAD AGRICOLA LOS MAITENES DE SERON.doc", "Abrir Documento")</f>
        <v>0</v>
      </c>
      <c r="D10222" t="s">
        <v>23500</v>
      </c>
      <c r="E10222" t="s">
        <v>32697</v>
      </c>
    </row>
    <row r="10223" spans="1:5">
      <c r="A10223" t="s">
        <v>6</v>
      </c>
      <c r="B10223" t="s">
        <v>10228</v>
      </c>
      <c r="C10223">
        <f>HYPERLINK("C:\Users\franc\OneDrive\Documentos\MALENTIN KARIME\BOMBEROS\melii\MELY\PROTOCOLIZACIONES\COMITE DE A.P.R. LA TORRE Y LAS SOSSAS.doc", "Abrir Documento")</f>
        <v>0</v>
      </c>
      <c r="D10223" t="s">
        <v>23500</v>
      </c>
      <c r="E10223" t="s">
        <v>32698</v>
      </c>
    </row>
    <row r="10224" spans="1:5">
      <c r="A10224" t="s">
        <v>6</v>
      </c>
      <c r="B10224" t="s">
        <v>10229</v>
      </c>
      <c r="C10224">
        <f>HYPERLINK("C:\Users\franc\OneDrive\Documentos\MALENTIN KARIME\BOMBEROS\melii\MELY\PROTOCOLIZACIONES\CLUB DEPORTIVO DE RAYUELA OVALLE.doc", "Abrir Documento")</f>
        <v>0</v>
      </c>
      <c r="D10224" t="s">
        <v>23500</v>
      </c>
      <c r="E10224" t="s">
        <v>32699</v>
      </c>
    </row>
    <row r="10225" spans="1:5">
      <c r="A10225" t="s">
        <v>6</v>
      </c>
      <c r="B10225" t="s">
        <v>10230</v>
      </c>
      <c r="C10225">
        <f>HYPERLINK("C:\Users\franc\OneDrive\Documentos\MALENTIN KARIME\BOMBEROS\melii\MELY\PROTOCOLIZACIONES\certificacion C.F. PROTOCOLIZACION.doc", "Abrir Documento")</f>
        <v>0</v>
      </c>
      <c r="D10225" t="s">
        <v>23500</v>
      </c>
      <c r="E10225" t="s">
        <v>32700</v>
      </c>
    </row>
    <row r="10226" spans="1:5">
      <c r="A10226" t="s">
        <v>6</v>
      </c>
      <c r="B10226" t="s">
        <v>10231</v>
      </c>
      <c r="C10226">
        <f>HYPERLINK("C:\Users\franc\OneDrive\Documentos\MALENTIN KARIME\BOMBEROS\melii\MELY\PROTOCOLIZACIONES\certificacion C.F. PROTOCOLIZACION horizontal.doc", "Abrir Documento")</f>
        <v>0</v>
      </c>
      <c r="D10226" t="s">
        <v>23500</v>
      </c>
      <c r="E10226" t="s">
        <v>32701</v>
      </c>
    </row>
    <row r="10227" spans="1:5">
      <c r="A10227" t="s">
        <v>6</v>
      </c>
      <c r="B10227" t="s">
        <v>10232</v>
      </c>
      <c r="C10227">
        <f>HYPERLINK("C:\Users\franc\OneDrive\Documentos\MALENTIN KARIME\BOMBEROS\melii\MELY\PROTOCOLIZACIONES\certificacion C.F. PROTOCOLIZACION horizontal inferior.doc", "Abrir Documento")</f>
        <v>0</v>
      </c>
      <c r="D10227" t="s">
        <v>23500</v>
      </c>
      <c r="E10227" t="s">
        <v>32702</v>
      </c>
    </row>
    <row r="10228" spans="1:5">
      <c r="A10228" t="s">
        <v>6</v>
      </c>
      <c r="B10228" t="s">
        <v>10233</v>
      </c>
      <c r="C10228">
        <f>HYPERLINK("C:\Users\franc\OneDrive\Documentos\MALENTIN KARIME\BOMBEROS\melii\MELY\PROTOCOLIZACIONES\ASOC. GREMIAL TAXIS COLECT. RUTAPAL.doc", "Abrir Documento")</f>
        <v>0</v>
      </c>
      <c r="D10228" t="s">
        <v>23500</v>
      </c>
      <c r="E10228" t="s">
        <v>32703</v>
      </c>
    </row>
    <row r="10229" spans="1:5">
      <c r="A10229" t="s">
        <v>6</v>
      </c>
      <c r="B10229" t="s">
        <v>10234</v>
      </c>
      <c r="C10229">
        <f>HYPERLINK("C:\Users\franc\OneDrive\Documentos\MALENTIN KARIME\BOMBEROS\melii\MELY\PROMESAS\FERNANDO LOPEZ A DANILA BARRAZA.doc", "Abrir Documento")</f>
        <v>0</v>
      </c>
      <c r="D10229" t="s">
        <v>23500</v>
      </c>
      <c r="E10229" t="s">
        <v>32704</v>
      </c>
    </row>
    <row r="10230" spans="1:5">
      <c r="A10230" t="s">
        <v>6</v>
      </c>
      <c r="B10230" t="s">
        <v>10235</v>
      </c>
      <c r="C10230">
        <f>HYPERLINK("C:\Users\franc\OneDrive\Documentos\MALENTIN KARIME\BOMBEROS\melii\MELY\P.A.U\COMPLEMENTACION PATRICIA ALFARO.doc", "Abrir Documento")</f>
        <v>0</v>
      </c>
      <c r="D10230" t="s">
        <v>23500</v>
      </c>
      <c r="E10230" t="s">
        <v>32705</v>
      </c>
    </row>
    <row r="10231" spans="1:5">
      <c r="A10231" t="s">
        <v>6</v>
      </c>
      <c r="B10231" t="s">
        <v>10236</v>
      </c>
      <c r="C10231">
        <f>HYPERLINK("C:\Users\franc\OneDrive\Documentos\MALENTIN KARIME\BOMBEROS\melii\MELY\NOTAS AL MARGEN\RECT. ALZAMIENTO BCO ESTADO.doc", "Abrir Documento")</f>
        <v>0</v>
      </c>
      <c r="D10231" t="s">
        <v>23500</v>
      </c>
      <c r="E10231" t="s">
        <v>32706</v>
      </c>
    </row>
    <row r="10232" spans="1:5">
      <c r="A10232" t="s">
        <v>6</v>
      </c>
      <c r="B10232" t="s">
        <v>10237</v>
      </c>
      <c r="C10232">
        <f>HYPERLINK("C:\Users\franc\OneDrive\Documentos\MALENTIN KARIME\BOMBEROS\melii\MELY\NOTAS AL MARGEN\RECT. ALZAMIENTO BCO ESTADO matriz.doc", "Abrir Documento")</f>
        <v>0</v>
      </c>
      <c r="D10232" t="s">
        <v>23500</v>
      </c>
      <c r="E10232" t="s">
        <v>32707</v>
      </c>
    </row>
    <row r="10233" spans="1:5">
      <c r="A10233" t="s">
        <v>6</v>
      </c>
      <c r="B10233" t="s">
        <v>10238</v>
      </c>
      <c r="C10233">
        <f>HYPERLINK("C:\Users\franc\OneDrive\Documentos\MALENTIN KARIME\BOMBEROS\melii\MELY\NOTAS AL MARGEN\nota al margen matriz DE RECT.doc", "Abrir Documento")</f>
        <v>0</v>
      </c>
      <c r="D10233" t="s">
        <v>23500</v>
      </c>
      <c r="E10233" t="s">
        <v>32708</v>
      </c>
    </row>
    <row r="10234" spans="1:5">
      <c r="A10234" t="s">
        <v>6</v>
      </c>
      <c r="B10234" t="s">
        <v>10239</v>
      </c>
      <c r="C10234">
        <f>HYPERLINK("C:\Users\franc\OneDrive\Documentos\MALENTIN KARIME\BOMBEROS\melii\MELY\NOTAS AL MARGEN\nota al margen matriz DE MODIF. ACLARAC. Y RECTIF..doc", "Abrir Documento")</f>
        <v>0</v>
      </c>
      <c r="D10234" t="s">
        <v>23500</v>
      </c>
      <c r="E10234" t="s">
        <v>32709</v>
      </c>
    </row>
    <row r="10235" spans="1:5">
      <c r="A10235" t="s">
        <v>6</v>
      </c>
      <c r="B10235" t="s">
        <v>10240</v>
      </c>
      <c r="C10235">
        <f>HYPERLINK("C:\Users\franc\OneDrive\Documentos\MALENTIN KARIME\BOMBEROS\melii\MELY\NOTAS AL MARGEN\nota al margen matriz DE compl pau.doc", "Abrir Documento")</f>
        <v>0</v>
      </c>
      <c r="D10235" t="s">
        <v>23500</v>
      </c>
      <c r="E10235" t="s">
        <v>32710</v>
      </c>
    </row>
    <row r="10236" spans="1:5">
      <c r="A10236" t="s">
        <v>6</v>
      </c>
      <c r="B10236" t="s">
        <v>10241</v>
      </c>
      <c r="C10236">
        <f>HYPERLINK("C:\Users\franc\OneDrive\Documentos\MALENTIN KARIME\BOMBEROS\melii\MELY\NOTAS AL MARGEN\nota al margen matriz DE ACLARAC. Y RECTIF..doc", "Abrir Documento")</f>
        <v>0</v>
      </c>
      <c r="D10236" t="s">
        <v>23500</v>
      </c>
      <c r="E10236" t="s">
        <v>32711</v>
      </c>
    </row>
    <row r="10237" spans="1:5">
      <c r="A10237" t="s">
        <v>6</v>
      </c>
      <c r="B10237" t="s">
        <v>10242</v>
      </c>
      <c r="C10237">
        <f>HYPERLINK("C:\Users\franc\OneDrive\Documentos\MALENTIN KARIME\BOMBEROS\melii\MELY\NOTAS AL MARGEN\nota al margen de rect.doc", "Abrir Documento")</f>
        <v>0</v>
      </c>
      <c r="D10237" t="s">
        <v>23500</v>
      </c>
      <c r="E10237" t="s">
        <v>32712</v>
      </c>
    </row>
    <row r="10238" spans="1:5">
      <c r="A10238" t="s">
        <v>6</v>
      </c>
      <c r="B10238" t="s">
        <v>10243</v>
      </c>
      <c r="C10238">
        <f>HYPERLINK("C:\Users\franc\OneDrive\Documentos\MALENTIN KARIME\BOMBEROS\melii\MELY\NOTAS AL MARGEN\nota al margen de MODIF. ACLARAC. Y RECTIF..doc", "Abrir Documento")</f>
        <v>0</v>
      </c>
      <c r="D10238" t="s">
        <v>23500</v>
      </c>
      <c r="E10238" t="s">
        <v>32713</v>
      </c>
    </row>
    <row r="10239" spans="1:5">
      <c r="A10239" t="s">
        <v>6</v>
      </c>
      <c r="B10239" t="s">
        <v>10244</v>
      </c>
      <c r="C10239">
        <f>HYPERLINK("C:\Users\franc\OneDrive\Documentos\MALENTIN KARIME\BOMBEROS\melii\MELY\NOTAS AL MARGEN\nota al margen de compl PAU.doc", "Abrir Documento")</f>
        <v>0</v>
      </c>
      <c r="D10239" t="s">
        <v>23500</v>
      </c>
      <c r="E10239" t="s">
        <v>32714</v>
      </c>
    </row>
    <row r="10240" spans="1:5">
      <c r="A10240" t="s">
        <v>6</v>
      </c>
      <c r="B10240" t="s">
        <v>10245</v>
      </c>
      <c r="C10240">
        <f>HYPERLINK("C:\Users\franc\OneDrive\Documentos\MALENTIN KARIME\BOMBEROS\melii\MELY\NOTAS AL MARGEN\nota al margen de ACLARAC. Y RECTIF..doc", "Abrir Documento")</f>
        <v>0</v>
      </c>
      <c r="D10240" t="s">
        <v>23500</v>
      </c>
      <c r="E10240" t="s">
        <v>32715</v>
      </c>
    </row>
    <row r="10241" spans="1:5">
      <c r="A10241" t="s">
        <v>6</v>
      </c>
      <c r="B10241" t="s">
        <v>10246</v>
      </c>
      <c r="C10241">
        <f>HYPERLINK("C:\Users\franc\OneDrive\Documentos\MALENTIN KARIME\BOMBEROS\melii\MELY\MODELO NOTARIOS\PATRICIA ALFARO ULLOA.doc", "Abrir Documento")</f>
        <v>0</v>
      </c>
      <c r="D10241" t="s">
        <v>23500</v>
      </c>
      <c r="E10241" t="s">
        <v>32716</v>
      </c>
    </row>
    <row r="10242" spans="1:5">
      <c r="A10242" t="s">
        <v>6</v>
      </c>
      <c r="B10242" t="s">
        <v>10247</v>
      </c>
      <c r="C10242">
        <f>HYPERLINK("C:\Users\franc\OneDrive\Documentos\MALENTIN KARIME\BOMBEROS\melii\MELY\MODELO NOTARIOS\MODELO NOTARIO SUPLENTE.doc", "Abrir Documento")</f>
        <v>0</v>
      </c>
      <c r="D10242" t="s">
        <v>23500</v>
      </c>
      <c r="E10242" t="s">
        <v>32717</v>
      </c>
    </row>
    <row r="10243" spans="1:5">
      <c r="A10243" t="s">
        <v>6</v>
      </c>
      <c r="B10243" t="s">
        <v>10248</v>
      </c>
      <c r="C10243">
        <f>HYPERLINK("C:\Users\franc\OneDrive\Documentos\MALENTIN KARIME\BOMBEROS\melii\MELY\MODELO NOTARIOS\MODELO NOTARIO RCA.doc", "Abrir Documento")</f>
        <v>0</v>
      </c>
      <c r="D10243" t="s">
        <v>23500</v>
      </c>
      <c r="E10243" t="s">
        <v>32718</v>
      </c>
    </row>
    <row r="10244" spans="1:5">
      <c r="A10244" t="s">
        <v>6</v>
      </c>
      <c r="B10244" t="s">
        <v>10249</v>
      </c>
      <c r="C10244">
        <f>HYPERLINK("C:\Users\franc\OneDrive\Documentos\MALENTIN KARIME\BOMBEROS\melii\MELY\MODELO NOTARIOS\JOYCE RALLIN TAPIA.doc", "Abrir Documento")</f>
        <v>0</v>
      </c>
      <c r="D10244" t="s">
        <v>23500</v>
      </c>
      <c r="E10244" t="s">
        <v>32719</v>
      </c>
    </row>
    <row r="10245" spans="1:5">
      <c r="A10245" t="s">
        <v>6</v>
      </c>
      <c r="B10245" t="s">
        <v>10250</v>
      </c>
      <c r="C10245">
        <f>HYPERLINK("C:\Users\franc\OneDrive\Documentos\MALENTIN KARIME\BOMBEROS\melii\MELY\MODELO NOTARIOS\HERNAN PEREZ DUARTE.doc", "Abrir Documento")</f>
        <v>0</v>
      </c>
      <c r="D10245" t="s">
        <v>23500</v>
      </c>
      <c r="E10245" t="s">
        <v>32720</v>
      </c>
    </row>
    <row r="10246" spans="1:5">
      <c r="A10246" t="s">
        <v>6</v>
      </c>
      <c r="B10246" t="s">
        <v>10251</v>
      </c>
      <c r="C10246">
        <f>HYPERLINK("C:\Users\franc\OneDrive\Documentos\MALENTIN KARIME\BOMBEROS\melii\MELY\MODELO NOTARIOS\ANDREA RODRIGUEZ SUAZO.doc", "Abrir Documento")</f>
        <v>0</v>
      </c>
      <c r="D10246" t="s">
        <v>23500</v>
      </c>
      <c r="E10246" t="s">
        <v>32721</v>
      </c>
    </row>
    <row r="10247" spans="1:5">
      <c r="A10247" t="s">
        <v>6</v>
      </c>
      <c r="B10247" t="s">
        <v>10252</v>
      </c>
      <c r="C10247">
        <f>HYPERLINK("C:\Users\franc\OneDrive\Documentos\MALENTIN KARIME\BOMBEROS\melii\MELY\MANDATOS\SOLEDAD FARR\S.L.M.MINA SAN RAMON UNO DE SECTOR DE HUALLILLINGA.doc", "Abrir Documento")</f>
        <v>0</v>
      </c>
      <c r="D10247" t="s">
        <v>23500</v>
      </c>
      <c r="E10247" t="s">
        <v>32722</v>
      </c>
    </row>
    <row r="10248" spans="1:5">
      <c r="A10248" t="s">
        <v>6</v>
      </c>
      <c r="B10248" t="s">
        <v>10253</v>
      </c>
      <c r="C10248">
        <f>HYPERLINK("C:\Users\franc\OneDrive\Documentos\MALENTIN KARIME\BOMBEROS\melii\MELY\MANDATOS\SOLEDAD FARR\MAX  AGUIRRE ROJAS.doc", "Abrir Documento")</f>
        <v>0</v>
      </c>
      <c r="D10248" t="s">
        <v>23500</v>
      </c>
      <c r="E10248" t="s">
        <v>32723</v>
      </c>
    </row>
    <row r="10249" spans="1:5">
      <c r="A10249" t="s">
        <v>6</v>
      </c>
      <c r="B10249" t="s">
        <v>10254</v>
      </c>
      <c r="C10249">
        <f>HYPERLINK("C:\Users\franc\OneDrive\Documentos\MALENTIN KARIME\BOMBEROS\melii\MELY\MANDATOS\REVOCACION\COMUNIDAD AGRICOLA ALCONES.doc", "Abrir Documento")</f>
        <v>0</v>
      </c>
      <c r="D10249" t="s">
        <v>23500</v>
      </c>
      <c r="E10249" t="s">
        <v>32724</v>
      </c>
    </row>
    <row r="10250" spans="1:5">
      <c r="A10250" t="s">
        <v>6</v>
      </c>
      <c r="B10250" t="s">
        <v>10255</v>
      </c>
      <c r="C10250">
        <f>HYPERLINK("C:\Users\franc\OneDrive\Documentos\MALENTIN KARIME\BOMBEROS\melii\MELY\MANDATOS\MARIA ISABEL MALUENDA\BARBARA CORTES ROJAS.doc", "Abrir Documento")</f>
        <v>0</v>
      </c>
      <c r="D10250" t="s">
        <v>23500</v>
      </c>
      <c r="E10250" t="s">
        <v>32725</v>
      </c>
    </row>
    <row r="10251" spans="1:5">
      <c r="A10251" t="s">
        <v>6</v>
      </c>
      <c r="B10251" t="s">
        <v>10256</v>
      </c>
      <c r="C10251">
        <f>HYPERLINK("C:\Users\franc\OneDrive\Documentos\MALENTIN KARIME\BOMBEROS\melii\MELY\MANDATOS\MARCO JURIN RAKELA\ALEJANDRA ROBERTSON VEAS.doc", "Abrir Documento")</f>
        <v>0</v>
      </c>
      <c r="D10251" t="s">
        <v>23500</v>
      </c>
      <c r="E10251" t="s">
        <v>32726</v>
      </c>
    </row>
    <row r="10252" spans="1:5">
      <c r="A10252" t="s">
        <v>6</v>
      </c>
      <c r="B10252" t="s">
        <v>10257</v>
      </c>
      <c r="C10252">
        <f>HYPERLINK("C:\Users\franc\OneDrive\Documentos\MALENTIN KARIME\BOMBEROS\melii\MELY\MANDATOS\JUAN PABLO CORRAL\MANUEL LANAS NUÑEZ.doc", "Abrir Documento")</f>
        <v>0</v>
      </c>
      <c r="D10252" t="s">
        <v>23500</v>
      </c>
      <c r="E10252" t="s">
        <v>32727</v>
      </c>
    </row>
    <row r="10253" spans="1:5">
      <c r="A10253" t="s">
        <v>6</v>
      </c>
      <c r="B10253" t="s">
        <v>10258</v>
      </c>
      <c r="C10253">
        <f>HYPERLINK("C:\Users\franc\OneDrive\Documentos\MALENTIN KARIME\BOMBEROS\melii\MELY\MANDATOS\HERNAN PEREZ DUARTE\SERGIO ESCOBAR.doc", "Abrir Documento")</f>
        <v>0</v>
      </c>
      <c r="D10253" t="s">
        <v>23500</v>
      </c>
      <c r="E10253" t="s">
        <v>32728</v>
      </c>
    </row>
    <row r="10254" spans="1:5">
      <c r="A10254" t="s">
        <v>6</v>
      </c>
      <c r="B10254" t="s">
        <v>10259</v>
      </c>
      <c r="C10254">
        <f>HYPERLINK("C:\Users\franc\OneDrive\Documentos\MALENTIN KARIME\BOMBEROS\melii\MELY\MANDATOS\HERNAN PEREZ DUARTE\MAURICIO FABRES MEDINA.doc", "Abrir Documento")</f>
        <v>0</v>
      </c>
      <c r="D10254" t="s">
        <v>23500</v>
      </c>
      <c r="E10254" t="s">
        <v>32729</v>
      </c>
    </row>
    <row r="10255" spans="1:5">
      <c r="A10255" t="s">
        <v>6</v>
      </c>
      <c r="B10255" t="s">
        <v>10260</v>
      </c>
      <c r="C10255">
        <f>HYPERLINK("C:\Users\franc\OneDrive\Documentos\MALENTIN KARIME\BOMBEROS\melii\MELY\MANDATOS\HERNAN PEREZ DUARTE\HERNAN MALEBRAN.doc", "Abrir Documento")</f>
        <v>0</v>
      </c>
      <c r="D10255" t="s">
        <v>23500</v>
      </c>
      <c r="E10255" t="s">
        <v>32730</v>
      </c>
    </row>
    <row r="10256" spans="1:5">
      <c r="A10256" t="s">
        <v>6</v>
      </c>
      <c r="B10256" t="s">
        <v>10261</v>
      </c>
      <c r="C10256">
        <f>HYPERLINK("C:\Users\franc\OneDrive\Documentos\MALENTIN KARIME\BOMBEROS\melii\MELY\MANDATOS\CRISTIAN ZEPEDA RODRIGUEZ\VILA MONDACA SEGOBIA.doc", "Abrir Documento")</f>
        <v>0</v>
      </c>
      <c r="D10256" t="s">
        <v>23500</v>
      </c>
      <c r="E10256" t="s">
        <v>32731</v>
      </c>
    </row>
    <row r="10257" spans="1:5">
      <c r="A10257" t="s">
        <v>6</v>
      </c>
      <c r="B10257" t="s">
        <v>10262</v>
      </c>
      <c r="C10257">
        <f>HYPERLINK("C:\Users\franc\OneDrive\Documentos\MALENTIN KARIME\BOMBEROS\melii\MELY\MANDATOS\CLAUDIO ARDILES ARAYA\WILDA OSSANDON.docx", "Abrir Documento")</f>
        <v>0</v>
      </c>
      <c r="D10257" t="s">
        <v>23501</v>
      </c>
      <c r="E10257" t="s">
        <v>32732</v>
      </c>
    </row>
    <row r="10258" spans="1:5">
      <c r="A10258" t="s">
        <v>6</v>
      </c>
      <c r="B10258" t="s">
        <v>10263</v>
      </c>
      <c r="C10258">
        <f>HYPERLINK("C:\Users\franc\OneDrive\Documentos\MALENTIN KARIME\BOMBEROS\melii\MELY\MANDATOS\CAROLINA ADAOS VALENZUELA\MARCO ADAOS VALENZUELA.doc", "Abrir Documento")</f>
        <v>0</v>
      </c>
      <c r="D10258" t="s">
        <v>23500</v>
      </c>
      <c r="E10258" t="s">
        <v>32733</v>
      </c>
    </row>
    <row r="10259" spans="1:5">
      <c r="A10259" t="s">
        <v>6</v>
      </c>
      <c r="B10259" t="s">
        <v>10264</v>
      </c>
      <c r="C10259">
        <f>HYPERLINK("C:\Users\franc\OneDrive\Documentos\MALENTIN KARIME\BOMBEROS\melii\MELY\MANDATOS\ANDRES AGUILERA Y OTRO\CRISTIAN ROSAS RUIZ.doc", "Abrir Documento")</f>
        <v>0</v>
      </c>
      <c r="D10259" t="s">
        <v>23500</v>
      </c>
      <c r="E10259" t="s">
        <v>32734</v>
      </c>
    </row>
    <row r="10260" spans="1:5">
      <c r="A10260" t="s">
        <v>6</v>
      </c>
      <c r="B10260" t="s">
        <v>10265</v>
      </c>
      <c r="C10260">
        <f>HYPERLINK("C:\Users\franc\OneDrive\Documentos\MALENTIN KARIME\BOMBEROS\melii\MELY\MANDATOS\PABLO ALVAREZ LATORRE A FELIPE ALAMO BARRIOS.doc", "Abrir Documento")</f>
        <v>0</v>
      </c>
      <c r="D10260" t="s">
        <v>23500</v>
      </c>
      <c r="E10260" t="s">
        <v>32735</v>
      </c>
    </row>
    <row r="10261" spans="1:5">
      <c r="A10261" t="s">
        <v>6</v>
      </c>
      <c r="B10261" t="s">
        <v>10266</v>
      </c>
      <c r="C10261">
        <f>HYPERLINK("C:\Users\franc\OneDrive\Documentos\MALENTIN KARIME\BOMBEROS\melii\MELY\MANDATOS\MANDATO GENERAL.doc", "Abrir Documento")</f>
        <v>0</v>
      </c>
      <c r="D10261" t="s">
        <v>23500</v>
      </c>
      <c r="E10261" t="s">
        <v>32736</v>
      </c>
    </row>
    <row r="10262" spans="1:5">
      <c r="A10262" t="s">
        <v>6</v>
      </c>
      <c r="B10262" t="s">
        <v>10267</v>
      </c>
      <c r="C10262">
        <f>HYPERLINK("C:\Users\franc\OneDrive\Documentos\MALENTIN KARIME\BOMBEROS\melii\MELY\MANDATOS\MANDATO CARLO SILVA.doc", "Abrir Documento")</f>
        <v>0</v>
      </c>
      <c r="D10262" t="s">
        <v>23500</v>
      </c>
      <c r="E10262" t="s">
        <v>32737</v>
      </c>
    </row>
    <row r="10263" spans="1:5">
      <c r="A10263" t="s">
        <v>6</v>
      </c>
      <c r="B10263" t="s">
        <v>10268</v>
      </c>
      <c r="C10263">
        <f>HYPERLINK("C:\Users\franc\OneDrive\Documentos\MALENTIN KARIME\BOMBEROS\melii\MELY\DGA\JORGE CAMPOS MANQUEZ.doc", "Abrir Documento")</f>
        <v>0</v>
      </c>
      <c r="D10263" t="s">
        <v>23500</v>
      </c>
      <c r="E10263" t="s">
        <v>32738</v>
      </c>
    </row>
    <row r="10264" spans="1:5">
      <c r="A10264" t="s">
        <v>6</v>
      </c>
      <c r="B10264" t="s">
        <v>10269</v>
      </c>
      <c r="C10264">
        <f>HYPERLINK("C:\Users\franc\OneDrive\Documentos\MALENTIN KARIME\BOMBEROS\melii\MELY\DGA\GRIMALDINA VERGARA PEREZ.doc", "Abrir Documento")</f>
        <v>0</v>
      </c>
      <c r="D10264" t="s">
        <v>23500</v>
      </c>
      <c r="E10264" t="s">
        <v>32739</v>
      </c>
    </row>
    <row r="10265" spans="1:5">
      <c r="A10265" t="s">
        <v>6</v>
      </c>
      <c r="B10265" t="s">
        <v>10270</v>
      </c>
      <c r="C10265">
        <f>HYPERLINK("C:\Users\franc\OneDrive\Documentos\MALENTIN KARIME\BOMBEROS\melii\MELY\COMPRAVENTA\VTA DERECHOS COMUNIDAD.doc", "Abrir Documento")</f>
        <v>0</v>
      </c>
      <c r="D10265" t="s">
        <v>23500</v>
      </c>
      <c r="E10265" t="s">
        <v>32740</v>
      </c>
    </row>
    <row r="10266" spans="1:5">
      <c r="A10266" t="s">
        <v>6</v>
      </c>
      <c r="B10266" t="s">
        <v>10271</v>
      </c>
      <c r="C10266">
        <f>HYPERLINK("C:\Users\franc\OneDrive\Documentos\MALENTIN KARIME\BOMBEROS\melii\MELY\COMPRAVENTA\SABIONCELLO -- MALUENDA GALLARDO.doc", "Abrir Documento")</f>
        <v>0</v>
      </c>
      <c r="D10266" t="s">
        <v>23500</v>
      </c>
      <c r="E10266" t="s">
        <v>32741</v>
      </c>
    </row>
    <row r="10267" spans="1:5">
      <c r="A10267" t="s">
        <v>6</v>
      </c>
      <c r="B10267" t="s">
        <v>10272</v>
      </c>
      <c r="C10267">
        <f>HYPERLINK("C:\Users\franc\OneDrive\Documentos\MALENTIN KARIME\BOMBEROS\melii\MELY\COMPRAVENTA\HAYDEE ROJAS A JUAN ROBLES.doc", "Abrir Documento")</f>
        <v>0</v>
      </c>
      <c r="D10267" t="s">
        <v>23500</v>
      </c>
      <c r="E10267" t="s">
        <v>32742</v>
      </c>
    </row>
    <row r="10268" spans="1:5">
      <c r="A10268" t="s">
        <v>6</v>
      </c>
      <c r="B10268" t="s">
        <v>10273</v>
      </c>
      <c r="C10268">
        <f>HYPERLINK("C:\Users\franc\OneDrive\Documentos\MALENTIN KARIME\BOMBEROS\melii\MELY\COMPRAVENTA\CV VEGA VEGA.doc", "Abrir Documento")</f>
        <v>0</v>
      </c>
      <c r="D10268" t="s">
        <v>23500</v>
      </c>
      <c r="E10268" t="s">
        <v>32743</v>
      </c>
    </row>
    <row r="10269" spans="1:5">
      <c r="A10269" t="s">
        <v>6</v>
      </c>
      <c r="B10269" t="s">
        <v>10274</v>
      </c>
      <c r="C10269">
        <f>HYPERLINK("C:\Users\franc\OneDrive\Documentos\MALENTIN KARIME\BOMBEROS\melii\MELY\CESION DERECHOS HEREDITARIOS\FERNANDO SANCHES CESION DER. HERED..doc", "Abrir Documento")</f>
        <v>0</v>
      </c>
      <c r="D10269" t="s">
        <v>23500</v>
      </c>
      <c r="E10269" t="s">
        <v>32744</v>
      </c>
    </row>
    <row r="10270" spans="1:5">
      <c r="A10270" t="s">
        <v>6</v>
      </c>
      <c r="B10270" t="s">
        <v>10275</v>
      </c>
      <c r="C10270">
        <f>HYPERLINK("C:\Users\franc\OneDrive\Documentos\MALENTIN KARIME\BOMBEROS\melii\MELY\CESION DERECHOS HEREDITARIOS\BRENDA CORTES ALFARO CESION DE DER. HERED..doc", "Abrir Documento")</f>
        <v>0</v>
      </c>
      <c r="D10270" t="s">
        <v>23500</v>
      </c>
      <c r="E10270" t="s">
        <v>32745</v>
      </c>
    </row>
    <row r="10271" spans="1:5">
      <c r="A10271" t="s">
        <v>6</v>
      </c>
      <c r="B10271" t="s">
        <v>10276</v>
      </c>
      <c r="C10271">
        <f>HYPERLINK("C:\Users\franc\OneDrive\Documentos\MALENTIN KARIME\BOMBEROS\melii\MELY\CANCELACION PRECIO\CANCELACION DEMETRIO TELLO.doc", "Abrir Documento")</f>
        <v>0</v>
      </c>
      <c r="D10271" t="s">
        <v>23500</v>
      </c>
      <c r="E10271" t="s">
        <v>32746</v>
      </c>
    </row>
    <row r="10272" spans="1:5">
      <c r="A10272" t="s">
        <v>6</v>
      </c>
      <c r="B10272" t="s">
        <v>10277</v>
      </c>
      <c r="C10272">
        <f>HYPERLINK("C:\Users\franc\OneDrive\Documentos\MALENTIN KARIME\BOMBEROS\melii\MELY\ALZAMIENTOS\MIGUEL OSSA VICUÑA\II BIMESTRE\WLADIMIR CASTILLO NUÑEZ.doc", "Abrir Documento")</f>
        <v>0</v>
      </c>
      <c r="D10272" t="s">
        <v>23500</v>
      </c>
      <c r="E10272" t="s">
        <v>32747</v>
      </c>
    </row>
    <row r="10273" spans="1:5">
      <c r="A10273" t="s">
        <v>6</v>
      </c>
      <c r="B10273" t="s">
        <v>10278</v>
      </c>
      <c r="C10273">
        <f>HYPERLINK("C:\Users\franc\OneDrive\Documentos\MALENTIN KARIME\BOMBEROS\melii\MELY\ALZAMIENTOS\ALEJANDRO GYSLING POBLETE\III BIMESTRE\SERGIO SALINAS MANZANO.doc", "Abrir Documento")</f>
        <v>0</v>
      </c>
      <c r="D10273" t="s">
        <v>23500</v>
      </c>
      <c r="E10273" t="s">
        <v>32748</v>
      </c>
    </row>
    <row r="10274" spans="1:5">
      <c r="A10274" t="s">
        <v>6</v>
      </c>
      <c r="B10274" t="s">
        <v>10279</v>
      </c>
      <c r="C10274">
        <f>HYPERLINK("C:\Users\franc\OneDrive\Documentos\MALENTIN KARIME\BOMBEROS\melii\MELY\ALZAMIENTOS\ALEJANDRO GYSLING POBLETE\III BIMESTRE\KETTY VEGA JORQUERA.doc", "Abrir Documento")</f>
        <v>0</v>
      </c>
      <c r="D10274" t="s">
        <v>23500</v>
      </c>
      <c r="E10274" t="s">
        <v>32749</v>
      </c>
    </row>
    <row r="10275" spans="1:5">
      <c r="A10275" t="s">
        <v>6</v>
      </c>
      <c r="B10275" t="s">
        <v>10280</v>
      </c>
      <c r="C10275">
        <f>HYPERLINK("C:\Users\franc\OneDrive\Documentos\MALENTIN KARIME\BOMBEROS\melii\MELY\ALZAMIENTOS\ALEJANDRO GYSLING POBLETE\III BIMESTRE\GUILLERMO CLAVERIA GAETE.doc", "Abrir Documento")</f>
        <v>0</v>
      </c>
      <c r="D10275" t="s">
        <v>23500</v>
      </c>
      <c r="E10275" t="s">
        <v>32750</v>
      </c>
    </row>
    <row r="10276" spans="1:5">
      <c r="A10276" t="s">
        <v>6</v>
      </c>
      <c r="B10276" t="s">
        <v>10281</v>
      </c>
      <c r="C10276">
        <f>HYPERLINK("C:\Users\franc\OneDrive\Documentos\MALENTIN KARIME\BOMBEROS\melii\MELY\ALZAMIENTOS\ALEJANDRO GYSLING POBLETE\III BIMESTRE\ERICA DIAZ VELIZ.doc", "Abrir Documento")</f>
        <v>0</v>
      </c>
      <c r="D10276" t="s">
        <v>23500</v>
      </c>
      <c r="E10276" t="s">
        <v>32751</v>
      </c>
    </row>
    <row r="10277" spans="1:5">
      <c r="A10277" t="s">
        <v>6</v>
      </c>
      <c r="B10277" t="s">
        <v>10282</v>
      </c>
      <c r="C10277">
        <f>HYPERLINK("C:\Users\franc\OneDrive\Documentos\MALENTIN KARIME\BOMBEROS\melii\MELY\ALZAMIENTOS\ALEJANDRO GYSLING POBLETE\II BIMESTRE\VIVIANA ESCOBAR OLIVARES.doc", "Abrir Documento")</f>
        <v>0</v>
      </c>
      <c r="D10277" t="s">
        <v>23500</v>
      </c>
      <c r="E10277" t="s">
        <v>32752</v>
      </c>
    </row>
    <row r="10278" spans="1:5">
      <c r="A10278" t="s">
        <v>6</v>
      </c>
      <c r="B10278" t="s">
        <v>10283</v>
      </c>
      <c r="C10278">
        <f>HYPERLINK("C:\Users\franc\OneDrive\Documentos\MALENTIN KARIME\BOMBEROS\melii\MELY\ALZAMIENTOS\ALEJANDRO GYSLING POBLETE\II BIMESTRE\VIVIANA ARAYA VILLARROEL.doc", "Abrir Documento")</f>
        <v>0</v>
      </c>
      <c r="D10278" t="s">
        <v>23500</v>
      </c>
      <c r="E10278" t="s">
        <v>32753</v>
      </c>
    </row>
    <row r="10279" spans="1:5">
      <c r="A10279" t="s">
        <v>6</v>
      </c>
      <c r="B10279" t="s">
        <v>10284</v>
      </c>
      <c r="C10279">
        <f>HYPERLINK("C:\Users\franc\OneDrive\Documentos\MALENTIN KARIME\BOMBEROS\melii\MELY\ALZAMIENTOS\ALEJANDRO GYSLING POBLETE\II BIMESTRE\ULISES RIVADENEIRA CUEVAS.doc", "Abrir Documento")</f>
        <v>0</v>
      </c>
      <c r="D10279" t="s">
        <v>23500</v>
      </c>
      <c r="E10279" t="s">
        <v>32754</v>
      </c>
    </row>
    <row r="10280" spans="1:5">
      <c r="A10280" t="s">
        <v>6</v>
      </c>
      <c r="B10280" t="s">
        <v>10285</v>
      </c>
      <c r="C10280">
        <f>HYPERLINK("C:\Users\franc\OneDrive\Documentos\MALENTIN KARIME\BOMBEROS\melii\MELY\ALZAMIENTOS\ALEJANDRO GYSLING POBLETE\II BIMESTRE\SANDRA PIÑONES VALDIVIA.doc", "Abrir Documento")</f>
        <v>0</v>
      </c>
      <c r="D10280" t="s">
        <v>23500</v>
      </c>
      <c r="E10280" t="s">
        <v>32755</v>
      </c>
    </row>
    <row r="10281" spans="1:5">
      <c r="A10281" t="s">
        <v>6</v>
      </c>
      <c r="B10281" t="s">
        <v>10286</v>
      </c>
      <c r="C10281">
        <f>HYPERLINK("C:\Users\franc\OneDrive\Documentos\MALENTIN KARIME\BOMBEROS\melii\MELY\ALZAMIENTOS\ALEJANDRO GYSLING POBLETE\II BIMESTRE\ROSA ACOSTA VIDELA.doc", "Abrir Documento")</f>
        <v>0</v>
      </c>
      <c r="D10281" t="s">
        <v>23500</v>
      </c>
      <c r="E10281" t="s">
        <v>32756</v>
      </c>
    </row>
    <row r="10282" spans="1:5">
      <c r="A10282" t="s">
        <v>6</v>
      </c>
      <c r="B10282" t="s">
        <v>10287</v>
      </c>
      <c r="C10282">
        <f>HYPERLINK("C:\Users\franc\OneDrive\Documentos\MALENTIN KARIME\BOMBEROS\melii\MELY\ALZAMIENTOS\ALEJANDRO GYSLING POBLETE\II BIMESTRE\ROMELIO GALLEGUILLOS CORTES.doc", "Abrir Documento")</f>
        <v>0</v>
      </c>
      <c r="D10282" t="s">
        <v>23500</v>
      </c>
      <c r="E10282" t="s">
        <v>32757</v>
      </c>
    </row>
    <row r="10283" spans="1:5">
      <c r="A10283" t="s">
        <v>6</v>
      </c>
      <c r="B10283" t="s">
        <v>10288</v>
      </c>
      <c r="C10283">
        <f>HYPERLINK("C:\Users\franc\OneDrive\Documentos\MALENTIN KARIME\BOMBEROS\melii\MELY\ALZAMIENTOS\ALEJANDRO GYSLING POBLETE\II BIMESTRE\RODOLFO OLIVARES FREDES.doc", "Abrir Documento")</f>
        <v>0</v>
      </c>
      <c r="D10283" t="s">
        <v>23500</v>
      </c>
      <c r="E10283" t="s">
        <v>32758</v>
      </c>
    </row>
    <row r="10284" spans="1:5">
      <c r="A10284" t="s">
        <v>6</v>
      </c>
      <c r="B10284" t="s">
        <v>10289</v>
      </c>
      <c r="C10284">
        <f>HYPERLINK("C:\Users\franc\OneDrive\Documentos\MALENTIN KARIME\BOMBEROS\melii\MELY\ALZAMIENTOS\ALEJANDRO GYSLING POBLETE\II BIMESTRE\RAUL CARVAJAL CARVAJAL.doc", "Abrir Documento")</f>
        <v>0</v>
      </c>
      <c r="D10284" t="s">
        <v>23500</v>
      </c>
      <c r="E10284" t="s">
        <v>32759</v>
      </c>
    </row>
    <row r="10285" spans="1:5">
      <c r="A10285" t="s">
        <v>6</v>
      </c>
      <c r="B10285" t="s">
        <v>10290</v>
      </c>
      <c r="C10285">
        <f>HYPERLINK("C:\Users\franc\OneDrive\Documentos\MALENTIN KARIME\BOMBEROS\melii\MELY\ALZAMIENTOS\ALEJANDRO GYSLING POBLETE\II BIMESTRE\PATRICIA CARVAJAL BERRIOS.doc", "Abrir Documento")</f>
        <v>0</v>
      </c>
      <c r="D10285" t="s">
        <v>23500</v>
      </c>
      <c r="E10285" t="s">
        <v>32760</v>
      </c>
    </row>
    <row r="10286" spans="1:5">
      <c r="A10286" t="s">
        <v>6</v>
      </c>
      <c r="B10286" t="s">
        <v>10291</v>
      </c>
      <c r="C10286">
        <f>HYPERLINK("C:\Users\franc\OneDrive\Documentos\MALENTIN KARIME\BOMBEROS\melii\MELY\ALZAMIENTOS\ALEJANDRO GYSLING POBLETE\II BIMESTRE\OLGA ZEGERS SAN MARTIN.doc", "Abrir Documento")</f>
        <v>0</v>
      </c>
      <c r="D10286" t="s">
        <v>23500</v>
      </c>
      <c r="E10286" t="s">
        <v>32761</v>
      </c>
    </row>
    <row r="10287" spans="1:5">
      <c r="A10287" t="s">
        <v>6</v>
      </c>
      <c r="B10287" t="s">
        <v>10292</v>
      </c>
      <c r="C10287">
        <f>HYPERLINK("C:\Users\franc\OneDrive\Documentos\MALENTIN KARIME\BOMBEROS\melii\MELY\ALZAMIENTOS\ALEJANDRO GYSLING POBLETE\II BIMESTRE\NELIDA MUTARELLO VERGARA.doc", "Abrir Documento")</f>
        <v>0</v>
      </c>
      <c r="D10287" t="s">
        <v>23500</v>
      </c>
      <c r="E10287" t="s">
        <v>32762</v>
      </c>
    </row>
    <row r="10288" spans="1:5">
      <c r="A10288" t="s">
        <v>6</v>
      </c>
      <c r="B10288" t="s">
        <v>10293</v>
      </c>
      <c r="C10288">
        <f>HYPERLINK("C:\Users\franc\OneDrive\Documentos\MALENTIN KARIME\BOMBEROS\melii\MELY\ALZAMIENTOS\ALEJANDRO GYSLING POBLETE\II BIMESTRE\MISAEL SASSO RODRIGUEZ.doc", "Abrir Documento")</f>
        <v>0</v>
      </c>
      <c r="D10288" t="s">
        <v>23500</v>
      </c>
      <c r="E10288" t="s">
        <v>32763</v>
      </c>
    </row>
    <row r="10289" spans="1:5">
      <c r="A10289" t="s">
        <v>6</v>
      </c>
      <c r="B10289" t="s">
        <v>10294</v>
      </c>
      <c r="C10289">
        <f>HYPERLINK("C:\Users\franc\OneDrive\Documentos\MALENTIN KARIME\BOMBEROS\melii\MELY\ALZAMIENTOS\ALEJANDRO GYSLING POBLETE\II BIMESTRE\MAURICIO ARAYA GONZALEZ.doc", "Abrir Documento")</f>
        <v>0</v>
      </c>
      <c r="D10289" t="s">
        <v>23500</v>
      </c>
      <c r="E10289" t="s">
        <v>32764</v>
      </c>
    </row>
    <row r="10290" spans="1:5">
      <c r="A10290" t="s">
        <v>6</v>
      </c>
      <c r="B10290" t="s">
        <v>10295</v>
      </c>
      <c r="C10290">
        <f>HYPERLINK("C:\Users\franc\OneDrive\Documentos\MALENTIN KARIME\BOMBEROS\melii\MELY\ALZAMIENTOS\ALEJANDRO GYSLING POBLETE\II BIMESTRE\MARIA LEON  LUCO.doc", "Abrir Documento")</f>
        <v>0</v>
      </c>
      <c r="D10290" t="s">
        <v>23500</v>
      </c>
      <c r="E10290" t="s">
        <v>32765</v>
      </c>
    </row>
    <row r="10291" spans="1:5">
      <c r="A10291" t="s">
        <v>6</v>
      </c>
      <c r="B10291" t="s">
        <v>10296</v>
      </c>
      <c r="C10291">
        <f>HYPERLINK("C:\Users\franc\OneDrive\Documentos\MALENTIN KARIME\BOMBEROS\melii\MELY\ALZAMIENTOS\ALEJANDRO GYSLING POBLETE\II BIMESTRE\MARCO CARVAJAL ORTIZ.doc", "Abrir Documento")</f>
        <v>0</v>
      </c>
      <c r="D10291" t="s">
        <v>23500</v>
      </c>
      <c r="E10291" t="s">
        <v>32766</v>
      </c>
    </row>
    <row r="10292" spans="1:5">
      <c r="A10292" t="s">
        <v>6</v>
      </c>
      <c r="B10292" t="s">
        <v>10297</v>
      </c>
      <c r="C10292">
        <f>HYPERLINK("C:\Users\franc\OneDrive\Documentos\MALENTIN KARIME\BOMBEROS\melii\MELY\ALZAMIENTOS\ALEJANDRO GYSLING POBLETE\II BIMESTRE\MARCIA OLIVARES CAMUS.doc", "Abrir Documento")</f>
        <v>0</v>
      </c>
      <c r="D10292" t="s">
        <v>23500</v>
      </c>
      <c r="E10292" t="s">
        <v>32767</v>
      </c>
    </row>
    <row r="10293" spans="1:5">
      <c r="A10293" t="s">
        <v>6</v>
      </c>
      <c r="B10293" t="s">
        <v>10298</v>
      </c>
      <c r="C10293">
        <f>HYPERLINK("C:\Users\franc\OneDrive\Documentos\MALENTIN KARIME\BOMBEROS\melii\MELY\ALZAMIENTOS\ALEJANDRO GYSLING POBLETE\II BIMESTRE\MACARENA ZEPEDA AGUIRRE.doc", "Abrir Documento")</f>
        <v>0</v>
      </c>
      <c r="D10293" t="s">
        <v>23500</v>
      </c>
      <c r="E10293" t="s">
        <v>32768</v>
      </c>
    </row>
    <row r="10294" spans="1:5">
      <c r="A10294" t="s">
        <v>6</v>
      </c>
      <c r="B10294" t="s">
        <v>10299</v>
      </c>
      <c r="C10294">
        <f>HYPERLINK("C:\Users\franc\OneDrive\Documentos\MALENTIN KARIME\BOMBEROS\melii\MELY\ALZAMIENTOS\ALEJANDRO GYSLING POBLETE\II BIMESTRE\LUIS ALVAREZ JOPIA.doc", "Abrir Documento")</f>
        <v>0</v>
      </c>
      <c r="D10294" t="s">
        <v>23500</v>
      </c>
      <c r="E10294" t="s">
        <v>32769</v>
      </c>
    </row>
    <row r="10295" spans="1:5">
      <c r="A10295" t="s">
        <v>6</v>
      </c>
      <c r="B10295" t="s">
        <v>10300</v>
      </c>
      <c r="C10295">
        <f>HYPERLINK("C:\Users\franc\OneDrive\Documentos\MALENTIN KARIME\BOMBEROS\melii\MELY\ALZAMIENTOS\ALEJANDRO GYSLING POBLETE\II BIMESTRE\LAURA ASTUDILLO ROJAS.doc", "Abrir Documento")</f>
        <v>0</v>
      </c>
      <c r="D10295" t="s">
        <v>23500</v>
      </c>
      <c r="E10295" t="s">
        <v>32770</v>
      </c>
    </row>
    <row r="10296" spans="1:5">
      <c r="A10296" t="s">
        <v>6</v>
      </c>
      <c r="B10296" t="s">
        <v>10301</v>
      </c>
      <c r="C10296">
        <f>HYPERLINK("C:\Users\franc\OneDrive\Documentos\MALENTIN KARIME\BOMBEROS\melii\MELY\ALZAMIENTOS\ALEJANDRO GYSLING POBLETE\II BIMESTRE\JUAN ADAOS PIZARRO.doc", "Abrir Documento")</f>
        <v>0</v>
      </c>
      <c r="D10296" t="s">
        <v>23500</v>
      </c>
      <c r="E10296" t="s">
        <v>32771</v>
      </c>
    </row>
    <row r="10297" spans="1:5">
      <c r="A10297" t="s">
        <v>6</v>
      </c>
      <c r="B10297" t="s">
        <v>10302</v>
      </c>
      <c r="C10297">
        <f>HYPERLINK("C:\Users\franc\OneDrive\Documentos\MALENTIN KARIME\BOMBEROS\melii\MELY\ALZAMIENTOS\ALEJANDRO GYSLING POBLETE\II BIMESTRE\JOEL INOSTROZA SALAZAR.doc", "Abrir Documento")</f>
        <v>0</v>
      </c>
      <c r="D10297" t="s">
        <v>23500</v>
      </c>
      <c r="E10297" t="s">
        <v>32772</v>
      </c>
    </row>
    <row r="10298" spans="1:5">
      <c r="A10298" t="s">
        <v>6</v>
      </c>
      <c r="B10298" t="s">
        <v>10303</v>
      </c>
      <c r="C10298">
        <f>HYPERLINK("C:\Users\franc\OneDrive\Documentos\MALENTIN KARIME\BOMBEROS\melii\MELY\ALZAMIENTOS\ALEJANDRO GYSLING POBLETE\II BIMESTRE\IRENE ARACENA ARAYA.doc", "Abrir Documento")</f>
        <v>0</v>
      </c>
      <c r="D10298" t="s">
        <v>23500</v>
      </c>
      <c r="E10298" t="s">
        <v>32773</v>
      </c>
    </row>
    <row r="10299" spans="1:5">
      <c r="A10299" t="s">
        <v>6</v>
      </c>
      <c r="B10299" t="s">
        <v>10304</v>
      </c>
      <c r="C10299">
        <f>HYPERLINK("C:\Users\franc\OneDrive\Documentos\MALENTIN KARIME\BOMBEROS\melii\MELY\ALZAMIENTOS\ALEJANDRO GYSLING POBLETE\II BIMESTRE\HUMBERTO HERRERA GONZALEZ.doc", "Abrir Documento")</f>
        <v>0</v>
      </c>
      <c r="D10299" t="s">
        <v>23500</v>
      </c>
      <c r="E10299" t="s">
        <v>32774</v>
      </c>
    </row>
    <row r="10300" spans="1:5">
      <c r="A10300" t="s">
        <v>6</v>
      </c>
      <c r="B10300" t="s">
        <v>10305</v>
      </c>
      <c r="C10300">
        <f>HYPERLINK("C:\Users\franc\OneDrive\Documentos\MALENTIN KARIME\BOMBEROS\melii\MELY\ALZAMIENTOS\ALEJANDRO GYSLING POBLETE\II BIMESTRE\HECTOR VEGA CHACANA.doc", "Abrir Documento")</f>
        <v>0</v>
      </c>
      <c r="D10300" t="s">
        <v>23500</v>
      </c>
      <c r="E10300" t="s">
        <v>32775</v>
      </c>
    </row>
    <row r="10301" spans="1:5">
      <c r="A10301" t="s">
        <v>6</v>
      </c>
      <c r="B10301" t="s">
        <v>10306</v>
      </c>
      <c r="C10301">
        <f>HYPERLINK("C:\Users\franc\OneDrive\Documentos\MALENTIN KARIME\BOMBEROS\melii\MELY\ALZAMIENTOS\ALEJANDRO GYSLING POBLETE\II BIMESTRE\HECTOR ORLANDO GOMEZ.doc", "Abrir Documento")</f>
        <v>0</v>
      </c>
      <c r="D10301" t="s">
        <v>23500</v>
      </c>
      <c r="E10301" t="s">
        <v>32776</v>
      </c>
    </row>
    <row r="10302" spans="1:5">
      <c r="A10302" t="s">
        <v>6</v>
      </c>
      <c r="B10302" t="s">
        <v>10307</v>
      </c>
      <c r="C10302">
        <f>HYPERLINK("C:\Users\franc\OneDrive\Documentos\MALENTIN KARIME\BOMBEROS\melii\MELY\ALZAMIENTOS\ALEJANDRO GYSLING POBLETE\II BIMESTRE\CLAUDIA CARMONA ALVAREZ.doc", "Abrir Documento")</f>
        <v>0</v>
      </c>
      <c r="D10302" t="s">
        <v>23500</v>
      </c>
      <c r="E10302" t="s">
        <v>32777</v>
      </c>
    </row>
    <row r="10303" spans="1:5">
      <c r="A10303" t="s">
        <v>6</v>
      </c>
      <c r="B10303" t="s">
        <v>10308</v>
      </c>
      <c r="C10303">
        <f>HYPERLINK("C:\Users\franc\OneDrive\Documentos\MALENTIN KARIME\BOMBEROS\melii\MELY\ALZAMIENTOS\ALEJANDRO GYSLING POBLETE\II BIMESTRE\ALICIA CARVAJAL MOLINA.doc", "Abrir Documento")</f>
        <v>0</v>
      </c>
      <c r="D10303" t="s">
        <v>23500</v>
      </c>
      <c r="E10303" t="s">
        <v>32778</v>
      </c>
    </row>
    <row r="10304" spans="1:5">
      <c r="A10304" t="s">
        <v>6</v>
      </c>
      <c r="B10304" t="s">
        <v>10309</v>
      </c>
      <c r="C10304">
        <f>HYPERLINK("C:\Users\franc\OneDrive\Documentos\MALENTIN KARIME\BOMBEROS\melii\MELY\ALZAMIENTOS\RECTIFICACION ALZAMIENTO.doc", "Abrir Documento")</f>
        <v>0</v>
      </c>
      <c r="D10304" t="s">
        <v>23500</v>
      </c>
      <c r="E10304" t="s">
        <v>32779</v>
      </c>
    </row>
    <row r="10305" spans="1:5">
      <c r="A10305" t="s">
        <v>6</v>
      </c>
      <c r="B10305" t="s">
        <v>10310</v>
      </c>
      <c r="C10305">
        <f>HYPERLINK("C:\Users\franc\OneDrive\Documentos\MALENTIN KARIME\BOMBEROS\melii\MELY\ALZAMIENTOS\RECTIF. LUISA CORTES ASTUDILLO.doc", "Abrir Documento")</f>
        <v>0</v>
      </c>
      <c r="D10305" t="s">
        <v>23500</v>
      </c>
      <c r="E10305" t="s">
        <v>32780</v>
      </c>
    </row>
    <row r="10306" spans="1:5">
      <c r="A10306" t="s">
        <v>6</v>
      </c>
      <c r="B10306" t="s">
        <v>10311</v>
      </c>
      <c r="C10306">
        <f>HYPERLINK("C:\Users\franc\OneDrive\Documentos\MALENTIN KARIME\BOMBEROS\melii\MELY\PRORROGA Y RECTIFICACION ALEGRIA.doc", "Abrir Documento")</f>
        <v>0</v>
      </c>
      <c r="D10306" t="s">
        <v>23500</v>
      </c>
      <c r="E10306" t="s">
        <v>32781</v>
      </c>
    </row>
    <row r="10307" spans="1:5">
      <c r="A10307" t="s">
        <v>6</v>
      </c>
      <c r="B10307" t="s">
        <v>10312</v>
      </c>
      <c r="C10307">
        <f>HYPERLINK("C:\Users\franc\OneDrive\Documentos\MALENTIN KARIME\BOMBEROS\melii\MELY\PACTO DE DIVISION HEREDITARIOS.doc", "Abrir Documento")</f>
        <v>0</v>
      </c>
      <c r="D10307" t="s">
        <v>23500</v>
      </c>
      <c r="E10307" t="s">
        <v>32782</v>
      </c>
    </row>
    <row r="10308" spans="1:5">
      <c r="A10308" t="s">
        <v>6</v>
      </c>
      <c r="B10308" t="s">
        <v>10313</v>
      </c>
      <c r="C10308">
        <f>HYPERLINK("C:\Users\franc\OneDrive\Documentos\MALENTIN KARIME\BOMBEROS\melii\MELY\P A G A R É.doc", "Abrir Documento")</f>
        <v>0</v>
      </c>
      <c r="D10308" t="s">
        <v>23500</v>
      </c>
      <c r="E10308" t="s">
        <v>32783</v>
      </c>
    </row>
    <row r="10309" spans="1:5">
      <c r="A10309" t="s">
        <v>6</v>
      </c>
      <c r="B10309" t="s">
        <v>10314</v>
      </c>
      <c r="C10309">
        <f>HYPERLINK("C:\Users\franc\OneDrive\Documentos\MALENTIN KARIME\BOMBEROS\melii\MELY\OLGA BUGUEÑO MUÑOZ.doc", "Abrir Documento")</f>
        <v>0</v>
      </c>
      <c r="D10309" t="s">
        <v>23500</v>
      </c>
      <c r="E10309" t="s">
        <v>32784</v>
      </c>
    </row>
    <row r="10310" spans="1:5">
      <c r="A10310" t="s">
        <v>6</v>
      </c>
      <c r="B10310" t="s">
        <v>10315</v>
      </c>
      <c r="C10310">
        <f>HYPERLINK("C:\Users\franc\OneDrive\Documentos\MALENTIN KARIME\BOMBEROS\melii\MELY\DOMICILIO.doc", "Abrir Documento")</f>
        <v>0</v>
      </c>
      <c r="D10310" t="s">
        <v>23500</v>
      </c>
      <c r="E10310" t="s">
        <v>32785</v>
      </c>
    </row>
    <row r="10311" spans="1:5">
      <c r="A10311" t="s">
        <v>6</v>
      </c>
      <c r="B10311" t="s">
        <v>10316</v>
      </c>
      <c r="C10311">
        <f>HYPERLINK("C:\Users\franc\OneDrive\Documentos\MALENTIN KARIME\BOMBEROS\melii\MELY\DERECHO REAL DE USO COMUNIDAD.doc", "Abrir Documento")</f>
        <v>0</v>
      </c>
      <c r="D10311" t="s">
        <v>23500</v>
      </c>
      <c r="E10311" t="s">
        <v>32786</v>
      </c>
    </row>
    <row r="10312" spans="1:5">
      <c r="A10312" t="s">
        <v>6</v>
      </c>
      <c r="B10312" t="s">
        <v>10317</v>
      </c>
      <c r="C10312">
        <f>HYPERLINK("C:\Users\franc\OneDrive\Documentos\MALENTIN KARIME\BOMBEROS\melii\MELY\CONTRATO ARRENDAMIENTO Y APROV. DE AGUAS.doc", "Abrir Documento")</f>
        <v>0</v>
      </c>
      <c r="D10312" t="s">
        <v>23500</v>
      </c>
      <c r="E10312" t="s">
        <v>32787</v>
      </c>
    </row>
    <row r="10313" spans="1:5">
      <c r="A10313" t="s">
        <v>6</v>
      </c>
      <c r="B10313" t="s">
        <v>10318</v>
      </c>
      <c r="C10313">
        <f>HYPERLINK("C:\Users\franc\OneDrive\Documentos\MALENTIN KARIME\BOMBEROS\melii\MELY\COMPL. AGRIC. FUENSANTA LTDA A AGRIC. TRES CASAS LTDA.doc", "Abrir Documento")</f>
        <v>0</v>
      </c>
      <c r="D10313" t="s">
        <v>23500</v>
      </c>
      <c r="E10313" t="s">
        <v>32788</v>
      </c>
    </row>
    <row r="10314" spans="1:5">
      <c r="A10314" t="s">
        <v>6</v>
      </c>
      <c r="B10314" t="s">
        <v>10319</v>
      </c>
      <c r="C10314">
        <f>HYPERLINK("C:\Users\franc\OneDrive\Documentos\MALENTIN KARIME\BOMBEROS\melii\MELY\COM. AGRIC. PUNITAQUI-- NARANJO TABILO.doc", "Abrir Documento")</f>
        <v>0</v>
      </c>
      <c r="D10314" t="s">
        <v>23500</v>
      </c>
      <c r="E10314" t="s">
        <v>32789</v>
      </c>
    </row>
    <row r="10315" spans="1:5">
      <c r="A10315" t="s">
        <v>6</v>
      </c>
      <c r="B10315" t="s">
        <v>10320</v>
      </c>
      <c r="C10315">
        <f>HYPERLINK("C:\Users\franc\OneDrive\Documentos\MALENTIN KARIME\BOMBEROS\BOMBEROS 8º COMPAÑIA OVALLE  FS 82 v.doc", "Abrir Documento")</f>
        <v>0</v>
      </c>
      <c r="D10315" t="s">
        <v>23500</v>
      </c>
      <c r="E10315" t="s">
        <v>32790</v>
      </c>
    </row>
    <row r="10316" spans="1:5">
      <c r="A10316" t="s">
        <v>6</v>
      </c>
      <c r="B10316" t="s">
        <v>10321</v>
      </c>
      <c r="C10316">
        <f>HYPERLINK("C:\Users\franc\OneDrive\Documentos\MALENTIN KARIME\BOMBEROS\BOMBEROS 7º COMPAÑIA OVALLE  FS 89 v.doc", "Abrir Documento")</f>
        <v>0</v>
      </c>
      <c r="D10316" t="s">
        <v>23500</v>
      </c>
      <c r="E10316" t="s">
        <v>32791</v>
      </c>
    </row>
    <row r="10317" spans="1:5">
      <c r="A10317" t="s">
        <v>6</v>
      </c>
      <c r="B10317" t="s">
        <v>10322</v>
      </c>
      <c r="C10317">
        <f>HYPERLINK("C:\Users\franc\OneDrive\Documentos\MALENTIN KARIME\BOMBEROS\AUTORIZA COPIA.doc", "Abrir Documento")</f>
        <v>0</v>
      </c>
      <c r="D10317" t="s">
        <v>23500</v>
      </c>
      <c r="E10317" t="s">
        <v>32792</v>
      </c>
    </row>
    <row r="10318" spans="1:5">
      <c r="A10318" t="s">
        <v>6</v>
      </c>
      <c r="B10318" t="s">
        <v>10323</v>
      </c>
      <c r="C10318">
        <f>HYPERLINK("C:\Users\franc\OneDrive\Documentos\MALENTIN KARIME\BIENES MUEBLES\SILVIA CERDA MADRID a FRANCISCO TORREJON Bienes Muebles.doc", "Abrir Documento")</f>
        <v>0</v>
      </c>
      <c r="D10318" t="s">
        <v>23500</v>
      </c>
      <c r="E10318" t="s">
        <v>32793</v>
      </c>
    </row>
    <row r="10319" spans="1:5">
      <c r="A10319" t="s">
        <v>6</v>
      </c>
      <c r="B10319" t="s">
        <v>10324</v>
      </c>
      <c r="C10319">
        <f>HYPERLINK("C:\Users\franc\OneDrive\Documentos\MALENTIN KARIME\BIENES MUEBLES\Inventario[1].doc", "Abrir Documento")</f>
        <v>0</v>
      </c>
      <c r="D10319" t="s">
        <v>23500</v>
      </c>
      <c r="E10319" t="s">
        <v>32794</v>
      </c>
    </row>
    <row r="10320" spans="1:5">
      <c r="A10320" t="s">
        <v>6</v>
      </c>
      <c r="B10320" t="s">
        <v>10325</v>
      </c>
      <c r="C10320">
        <f>HYPERLINK("C:\Users\franc\OneDrive\Documentos\MALENTIN KARIME\BIENES MUEBLES\INVENTARIO MENAJE DE FAMILIA DEL SOLAR.doc", "Abrir Documento")</f>
        <v>0</v>
      </c>
      <c r="D10320" t="s">
        <v>23500</v>
      </c>
      <c r="E10320" t="s">
        <v>32795</v>
      </c>
    </row>
    <row r="10321" spans="1:5">
      <c r="A10321" t="s">
        <v>6</v>
      </c>
      <c r="B10321" t="s">
        <v>10326</v>
      </c>
      <c r="C10321">
        <f>HYPERLINK("C:\Users\franc\OneDrive\Documentos\MALENTIN KARIME\BIENES MUEBLES\EDUARDO SELEME con Leonardo Fredes.doc", "Abrir Documento")</f>
        <v>0</v>
      </c>
      <c r="D10321" t="s">
        <v>23500</v>
      </c>
      <c r="E10321" t="s">
        <v>32796</v>
      </c>
    </row>
    <row r="10322" spans="1:5">
      <c r="A10322" t="s">
        <v>6</v>
      </c>
      <c r="B10322" t="s">
        <v>10327</v>
      </c>
      <c r="C10322">
        <f>HYPERLINK("C:\Users\franc\OneDrive\Documentos\MALENTIN KARIME\BIENES MUEBLES\CRISTINA FUENTES A LUCY CORTES.doc", "Abrir Documento")</f>
        <v>0</v>
      </c>
      <c r="D10322" t="s">
        <v>23500</v>
      </c>
      <c r="E10322" t="s">
        <v>32797</v>
      </c>
    </row>
    <row r="10323" spans="1:5">
      <c r="A10323" t="s">
        <v>6</v>
      </c>
      <c r="B10323" t="s">
        <v>10328</v>
      </c>
      <c r="C10323">
        <f>HYPERLINK("C:\Users\franc\OneDrive\Documentos\MALENTIN KARIME\BIENES MUEBLES\ARTURO LAGUNA A ANGELINA GUZMAN.doc", "Abrir Documento")</f>
        <v>0</v>
      </c>
      <c r="D10323" t="s">
        <v>23500</v>
      </c>
      <c r="E10323" t="s">
        <v>32798</v>
      </c>
    </row>
    <row r="10324" spans="1:5">
      <c r="A10324" t="s">
        <v>6</v>
      </c>
      <c r="B10324" t="s">
        <v>10329</v>
      </c>
      <c r="C10324">
        <f>HYPERLINK("C:\Users\franc\OneDrive\Documentos\MALENTIN KARIME\BCI\CARLOS URETA CORTES Alz.doc", "Abrir Documento")</f>
        <v>0</v>
      </c>
      <c r="D10324" t="s">
        <v>23500</v>
      </c>
      <c r="E10324" t="s">
        <v>32799</v>
      </c>
    </row>
    <row r="10325" spans="1:5">
      <c r="A10325" t="s">
        <v>6</v>
      </c>
      <c r="B10325" t="s">
        <v>10330</v>
      </c>
      <c r="C10325">
        <f>HYPERLINK("C:\Users\franc\OneDrive\Documentos\MALENTIN KARIME\BANCO SCOTIABANK\HIPOTECA\RAMON LUNA Rectificacion.doc", "Abrir Documento")</f>
        <v>0</v>
      </c>
      <c r="D10325" t="s">
        <v>23500</v>
      </c>
      <c r="E10325" t="s">
        <v>32800</v>
      </c>
    </row>
    <row r="10326" spans="1:5">
      <c r="A10326" t="s">
        <v>6</v>
      </c>
      <c r="B10326" t="s">
        <v>10331</v>
      </c>
      <c r="C10326">
        <f>HYPERLINK("C:\Users\franc\OneDrive\Documentos\MALENTIN KARIME\BANCO SCOTIABANK\HIPOTECA\RAMON LUNA Rectificacion visto bueno BCI.doc", "Abrir Documento")</f>
        <v>0</v>
      </c>
      <c r="D10326" t="s">
        <v>23500</v>
      </c>
      <c r="E10326" t="s">
        <v>32801</v>
      </c>
    </row>
    <row r="10327" spans="1:5">
      <c r="A10327" t="s">
        <v>6</v>
      </c>
      <c r="B10327" t="s">
        <v>10332</v>
      </c>
      <c r="C10327">
        <f>HYPERLINK("C:\Users\franc\OneDrive\Documentos\MALENTIN KARIME\BANCO SCOTIABANK\HIPOTECA\RAMON LUNA instrucciones.doc", "Abrir Documento")</f>
        <v>0</v>
      </c>
      <c r="D10327" t="s">
        <v>23500</v>
      </c>
      <c r="E10327" t="s">
        <v>32802</v>
      </c>
    </row>
    <row r="10328" spans="1:5">
      <c r="A10328" t="s">
        <v>6</v>
      </c>
      <c r="B10328" t="s">
        <v>10333</v>
      </c>
      <c r="C10328">
        <f>HYPERLINK("C:\Users\franc\OneDrive\Documentos\MALENTIN KARIME\BANCO SCOTIABANK\HIPOTECA\RAMON LUNA escritura.doc", "Abrir Documento")</f>
        <v>0</v>
      </c>
      <c r="D10328" t="s">
        <v>23500</v>
      </c>
      <c r="E10328" t="s">
        <v>32803</v>
      </c>
    </row>
    <row r="10329" spans="1:5">
      <c r="A10329" t="s">
        <v>6</v>
      </c>
      <c r="B10329" t="s">
        <v>10334</v>
      </c>
      <c r="C10329">
        <f>HYPERLINK("C:\Users\franc\OneDrive\Documentos\MALENTIN KARIME\BANCO SCOTIABANK\HIPOTECA\RAMON LUNA escritura FINAL.doc", "Abrir Documento")</f>
        <v>0</v>
      </c>
      <c r="D10329" t="s">
        <v>23500</v>
      </c>
      <c r="E10329" t="s">
        <v>32804</v>
      </c>
    </row>
    <row r="10330" spans="1:5">
      <c r="A10330" t="s">
        <v>6</v>
      </c>
      <c r="B10330" t="s">
        <v>10335</v>
      </c>
      <c r="C10330">
        <f>HYPERLINK("C:\Users\franc\OneDrive\Documentos\MALENTIN KARIME\BANCO SCOTIABANK\HIPOTECA\RAMON LUNA escritura FINAL visto bueno.doc", "Abrir Documento")</f>
        <v>0</v>
      </c>
      <c r="D10330" t="s">
        <v>23500</v>
      </c>
      <c r="E10330" t="s">
        <v>32805</v>
      </c>
    </row>
    <row r="10331" spans="1:5">
      <c r="A10331" t="s">
        <v>6</v>
      </c>
      <c r="B10331" t="s">
        <v>10336</v>
      </c>
      <c r="C10331">
        <f>HYPERLINK("C:\Users\franc\OneDrive\Documentos\MALENTIN KARIME\BANCO SCOTIABANK\HIPOTECA\RAMON LUNA Abogado.doc", "Abrir Documento")</f>
        <v>0</v>
      </c>
      <c r="D10331" t="s">
        <v>23500</v>
      </c>
      <c r="E10331" t="s">
        <v>32806</v>
      </c>
    </row>
    <row r="10332" spans="1:5">
      <c r="A10332" t="s">
        <v>6</v>
      </c>
      <c r="B10332" t="s">
        <v>10337</v>
      </c>
      <c r="C10332">
        <f>HYPERLINK("C:\Users\franc\OneDrive\Documentos\MALENTIN KARIME\BANCO SCOTIABANK\AREA LEASING\Uberlinda Cortes Robles2017.doc", "Abrir Documento")</f>
        <v>0</v>
      </c>
      <c r="D10332" t="s">
        <v>23500</v>
      </c>
      <c r="E10332" t="s">
        <v>32807</v>
      </c>
    </row>
    <row r="10333" spans="1:5">
      <c r="A10333" t="s">
        <v>6</v>
      </c>
      <c r="B10333" t="s">
        <v>10338</v>
      </c>
      <c r="C10333">
        <f>HYPERLINK("C:\Users\franc\OneDrive\Documentos\MALENTIN KARIME\BANCO SCOTIABANK\AREA LEASING\CORMAR LTDA..doc", "Abrir Documento")</f>
        <v>0</v>
      </c>
      <c r="D10333" t="s">
        <v>23500</v>
      </c>
      <c r="E10333" t="s">
        <v>32808</v>
      </c>
    </row>
    <row r="10334" spans="1:5">
      <c r="A10334" t="s">
        <v>6</v>
      </c>
      <c r="B10334" t="s">
        <v>10339</v>
      </c>
      <c r="C10334">
        <f>HYPERLINK("C:\Users\franc\OneDrive\Documentos\MALENTIN KARIME\BANCO SCOTIABANK\VALLE TULAHUEN Prenda.doc", "Abrir Documento")</f>
        <v>0</v>
      </c>
      <c r="D10334" t="s">
        <v>23500</v>
      </c>
      <c r="E10334" t="s">
        <v>32809</v>
      </c>
    </row>
    <row r="10335" spans="1:5">
      <c r="A10335" t="s">
        <v>6</v>
      </c>
      <c r="B10335" t="s">
        <v>10340</v>
      </c>
      <c r="C10335">
        <f>HYPERLINK("C:\Users\franc\OneDrive\Documentos\MALENTIN KARIME\BANCO SCOTIABANK\TADEO CASTAÑON Alzamiento.doc", "Abrir Documento")</f>
        <v>0</v>
      </c>
      <c r="D10335" t="s">
        <v>23500</v>
      </c>
      <c r="E10335" t="s">
        <v>32810</v>
      </c>
    </row>
    <row r="10336" spans="1:5">
      <c r="A10336" t="s">
        <v>6</v>
      </c>
      <c r="B10336" t="s">
        <v>10341</v>
      </c>
      <c r="C10336">
        <f>HYPERLINK("C:\Users\franc\OneDrive\Documentos\MALENTIN KARIME\BANCO SCOTIABANK\SALVADOR CASTILLO HONORES Prenda Marzo.doc", "Abrir Documento")</f>
        <v>0</v>
      </c>
      <c r="D10336" t="s">
        <v>23500</v>
      </c>
      <c r="E10336" t="s">
        <v>32811</v>
      </c>
    </row>
    <row r="10337" spans="1:5">
      <c r="A10337" t="s">
        <v>6</v>
      </c>
      <c r="B10337" t="s">
        <v>10342</v>
      </c>
      <c r="C10337">
        <f>HYPERLINK("C:\Users\franc\OneDrive\Documentos\MALENTIN KARIME\BANCO SCOTIABANK\Pedro Muñoz Cisternas y otra.doc", "Abrir Documento")</f>
        <v>0</v>
      </c>
      <c r="D10337" t="s">
        <v>23500</v>
      </c>
      <c r="E10337" t="s">
        <v>32812</v>
      </c>
    </row>
    <row r="10338" spans="1:5">
      <c r="A10338" t="s">
        <v>6</v>
      </c>
      <c r="B10338" t="s">
        <v>10343</v>
      </c>
      <c r="C10338">
        <f>HYPERLINK("C:\Users\franc\OneDrive\Documentos\MALENTIN KARIME\BANCO SCOTIABANK\Pedro Muñoz Cisternas y otra C RESGUARDO.doc", "Abrir Documento")</f>
        <v>0</v>
      </c>
      <c r="D10338" t="s">
        <v>23500</v>
      </c>
      <c r="E10338" t="s">
        <v>32813</v>
      </c>
    </row>
    <row r="10339" spans="1:5">
      <c r="A10339" t="s">
        <v>6</v>
      </c>
      <c r="B10339" t="s">
        <v>10344</v>
      </c>
      <c r="C10339">
        <f>HYPERLINK("C:\Users\franc\OneDrive\Documentos\MALENTIN KARIME\BANCO SCOTIABANK\PABLO CORRAL RIVEROS.doc", "Abrir Documento")</f>
        <v>0</v>
      </c>
      <c r="D10339" t="s">
        <v>23500</v>
      </c>
      <c r="E10339" t="s">
        <v>32814</v>
      </c>
    </row>
    <row r="10340" spans="1:5">
      <c r="A10340" t="s">
        <v>6</v>
      </c>
      <c r="B10340" t="s">
        <v>10345</v>
      </c>
      <c r="C10340">
        <f>HYPERLINK("C:\Users\franc\OneDrive\Documentos\MALENTIN KARIME\BANCO SCOTIABANK\OGUER CAMPUSANO PINTO Prenda.doc", "Abrir Documento")</f>
        <v>0</v>
      </c>
      <c r="D10340" t="s">
        <v>23500</v>
      </c>
      <c r="E10340" t="s">
        <v>32815</v>
      </c>
    </row>
    <row r="10341" spans="1:5">
      <c r="A10341" t="s">
        <v>6</v>
      </c>
      <c r="B10341" t="s">
        <v>10346</v>
      </c>
      <c r="C10341">
        <f>HYPERLINK("C:\Users\franc\OneDrive\Documentos\MALENTIN KARIME\BANCO SCOTIABANK\modelo ALZAMIENTO 2013.doc", "Abrir Documento")</f>
        <v>0</v>
      </c>
      <c r="D10341" t="s">
        <v>23500</v>
      </c>
      <c r="E10341" t="s">
        <v>32816</v>
      </c>
    </row>
    <row r="10342" spans="1:5">
      <c r="A10342" t="s">
        <v>6</v>
      </c>
      <c r="B10342" t="s">
        <v>10347</v>
      </c>
      <c r="C10342">
        <f>HYPERLINK("C:\Users\franc\OneDrive\Documentos\MALENTIN KARIME\BANCO SCOTIABANK\MARIA HERNANDEZ ORELLANA Alza.doc", "Abrir Documento")</f>
        <v>0</v>
      </c>
      <c r="D10342" t="s">
        <v>23500</v>
      </c>
      <c r="E10342" t="s">
        <v>32817</v>
      </c>
    </row>
    <row r="10343" spans="1:5">
      <c r="A10343" t="s">
        <v>6</v>
      </c>
      <c r="B10343" t="s">
        <v>10348</v>
      </c>
      <c r="C10343">
        <f>HYPERLINK("C:\Users\franc\OneDrive\Documentos\MALENTIN KARIME\BANCO SCOTIABANK\JUAN DIAZ BUGUEÑO Alzamiento.doc", "Abrir Documento")</f>
        <v>0</v>
      </c>
      <c r="D10343" t="s">
        <v>23500</v>
      </c>
      <c r="E10343" t="s">
        <v>32818</v>
      </c>
    </row>
    <row r="10344" spans="1:5">
      <c r="A10344" t="s">
        <v>6</v>
      </c>
      <c r="B10344" t="s">
        <v>10349</v>
      </c>
      <c r="C10344">
        <f>HYPERLINK("C:\Users\franc\OneDrive\Documentos\MALENTIN KARIME\BANCO SCOTIABANK\GABRIEL JIMENEZ ROJAS.doc", "Abrir Documento")</f>
        <v>0</v>
      </c>
      <c r="D10344" t="s">
        <v>23500</v>
      </c>
      <c r="E10344" t="s">
        <v>32819</v>
      </c>
    </row>
    <row r="10345" spans="1:5">
      <c r="A10345" t="s">
        <v>6</v>
      </c>
      <c r="B10345" t="s">
        <v>10350</v>
      </c>
      <c r="C10345">
        <f>HYPERLINK("C:\Users\franc\OneDrive\Documentos\MALENTIN KARIME\BANCO SCOTIABANK\GABRIEL JIMENEZ ROJAS carta Resguardo.doc", "Abrir Documento")</f>
        <v>0</v>
      </c>
      <c r="D10345" t="s">
        <v>23500</v>
      </c>
      <c r="E10345" t="s">
        <v>32820</v>
      </c>
    </row>
    <row r="10346" spans="1:5">
      <c r="A10346" t="s">
        <v>6</v>
      </c>
      <c r="B10346" t="s">
        <v>10351</v>
      </c>
      <c r="C10346">
        <f>HYPERLINK("C:\Users\franc\OneDrive\Documentos\MALENTIN KARIME\BANCO SCOTIABANK\FITO MENDEZ Alzamiento.doc", "Abrir Documento")</f>
        <v>0</v>
      </c>
      <c r="D10346" t="s">
        <v>23500</v>
      </c>
      <c r="E10346" t="s">
        <v>32821</v>
      </c>
    </row>
    <row r="10347" spans="1:5">
      <c r="A10347" t="s">
        <v>6</v>
      </c>
      <c r="B10347" t="s">
        <v>10352</v>
      </c>
      <c r="C10347">
        <f>HYPERLINK("C:\Users\franc\OneDrive\Documentos\MALENTIN KARIME\BANCO SCOTIABANK\F 24BRIAN RIVAS.doc", "Abrir Documento")</f>
        <v>0</v>
      </c>
      <c r="D10347" t="s">
        <v>23500</v>
      </c>
      <c r="E10347" t="s">
        <v>32822</v>
      </c>
    </row>
    <row r="10348" spans="1:5">
      <c r="A10348" t="s">
        <v>6</v>
      </c>
      <c r="B10348" t="s">
        <v>10353</v>
      </c>
      <c r="C10348">
        <f>HYPERLINK("C:\Users\franc\OneDrive\Documentos\MALENTIN KARIME\BANCO SCOTIABANK\F 24 GABRIEL JIMENEZ.doc", "Abrir Documento")</f>
        <v>0</v>
      </c>
      <c r="D10348" t="s">
        <v>23500</v>
      </c>
      <c r="E10348" t="s">
        <v>32823</v>
      </c>
    </row>
    <row r="10349" spans="1:5">
      <c r="A10349" t="s">
        <v>6</v>
      </c>
      <c r="B10349" t="s">
        <v>10354</v>
      </c>
      <c r="C10349">
        <f>HYPERLINK("C:\Users\franc\OneDrive\Documentos\MALENTIN KARIME\BANCO SCOTIABANK\DOBLE M Y PEDRO MUNOZ Y OTRA.doc", "Abrir Documento")</f>
        <v>0</v>
      </c>
      <c r="D10349" t="s">
        <v>23500</v>
      </c>
      <c r="E10349" t="s">
        <v>32824</v>
      </c>
    </row>
    <row r="10350" spans="1:5">
      <c r="A10350" t="s">
        <v>6</v>
      </c>
      <c r="B10350" t="s">
        <v>10355</v>
      </c>
      <c r="C10350">
        <f>HYPERLINK("C:\Users\franc\OneDrive\Documentos\MALENTIN KARIME\BANCO SCOTIABANK\CRISTINA BARRAZA FLORES Prenda.doc", "Abrir Documento")</f>
        <v>0</v>
      </c>
      <c r="D10350" t="s">
        <v>23500</v>
      </c>
      <c r="E10350" t="s">
        <v>32825</v>
      </c>
    </row>
    <row r="10351" spans="1:5">
      <c r="A10351" t="s">
        <v>6</v>
      </c>
      <c r="B10351" t="s">
        <v>10356</v>
      </c>
      <c r="C10351">
        <f>HYPERLINK("C:\Users\franc\OneDrive\Documentos\MALENTIN KARIME\BANCO SCOTIABANK\CONSTRUCCIONES Y RIEGO S.A..doc", "Abrir Documento")</f>
        <v>0</v>
      </c>
      <c r="D10351" t="s">
        <v>23500</v>
      </c>
      <c r="E10351" t="s">
        <v>32826</v>
      </c>
    </row>
    <row r="10352" spans="1:5">
      <c r="A10352" t="s">
        <v>6</v>
      </c>
      <c r="B10352" t="s">
        <v>10357</v>
      </c>
      <c r="C10352">
        <f>HYPERLINK("C:\Users\franc\OneDrive\Documentos\MALENTIN KARIME\BANCO SCOTIABANK\CLARA CONEJEROS ROMERO Alza.doc", "Abrir Documento")</f>
        <v>0</v>
      </c>
      <c r="D10352" t="s">
        <v>23500</v>
      </c>
      <c r="E10352" t="s">
        <v>32827</v>
      </c>
    </row>
    <row r="10353" spans="1:5">
      <c r="A10353" t="s">
        <v>6</v>
      </c>
      <c r="B10353" t="s">
        <v>10358</v>
      </c>
      <c r="C10353">
        <f>HYPERLINK("C:\Users\franc\OneDrive\Documentos\MALENTIN KARIME\BANCO SCOTIABANK\ALICIA GALLEGUILLOS.doc", "Abrir Documento")</f>
        <v>0</v>
      </c>
      <c r="D10353" t="s">
        <v>23500</v>
      </c>
      <c r="E10353" t="s">
        <v>32828</v>
      </c>
    </row>
    <row r="10354" spans="1:5">
      <c r="A10354" t="s">
        <v>6</v>
      </c>
      <c r="B10354" t="s">
        <v>10359</v>
      </c>
      <c r="C10354">
        <f>HYPERLINK("C:\Users\franc\OneDrive\Documentos\MALENTIN KARIME\BANCO SCOTIABANK\AGROIND Y COMERC ALBERTO AGUIRRE Alzam.doc", "Abrir Documento")</f>
        <v>0</v>
      </c>
      <c r="D10354" t="s">
        <v>23500</v>
      </c>
      <c r="E10354" t="s">
        <v>32829</v>
      </c>
    </row>
    <row r="10355" spans="1:5">
      <c r="A10355" t="s">
        <v>6</v>
      </c>
      <c r="B10355" t="s">
        <v>10360</v>
      </c>
      <c r="C10355">
        <f>HYPERLINK("C:\Users\franc\OneDrive\Documentos\MALENTIN KARIME\BANCO SCOTIABANK\ABIGAIL SEGOVIA MIRANDA.doc", "Abrir Documento")</f>
        <v>0</v>
      </c>
      <c r="D10355" t="s">
        <v>23500</v>
      </c>
      <c r="E10355" t="s">
        <v>32830</v>
      </c>
    </row>
    <row r="10356" spans="1:5">
      <c r="A10356" t="s">
        <v>6</v>
      </c>
      <c r="B10356" t="s">
        <v>10361</v>
      </c>
      <c r="C10356">
        <f>HYPERLINK("C:\Users\franc\OneDrive\Documentos\MALENTIN KARIME\BANCO SANTANDER\2018\RODRIGO ROJAS ZEPEDA Cvta cambio y cambio del banco alzante.doc", "Abrir Documento")</f>
        <v>0</v>
      </c>
      <c r="D10356" t="s">
        <v>23500</v>
      </c>
      <c r="E10356" t="s">
        <v>32831</v>
      </c>
    </row>
    <row r="10357" spans="1:5">
      <c r="A10357" t="s">
        <v>6</v>
      </c>
      <c r="B10357" t="s">
        <v>10362</v>
      </c>
      <c r="C10357">
        <f>HYPERLINK("C:\Users\franc\OneDrive\Documentos\MALENTIN KARIME\BANCO SANTANDER\2018\RODRIGO ROJAS ZEPEDA Cvta cambio de agente.doc", "Abrir Documento")</f>
        <v>0</v>
      </c>
      <c r="D10357" t="s">
        <v>23500</v>
      </c>
      <c r="E10357" t="s">
        <v>32832</v>
      </c>
    </row>
    <row r="10358" spans="1:5">
      <c r="A10358" t="s">
        <v>6</v>
      </c>
      <c r="B10358" t="s">
        <v>10363</v>
      </c>
      <c r="C10358">
        <f>HYPERLINK("C:\Users\franc\OneDrive\Documentos\MALENTIN KARIME\BANCO SANTANDER\2018\RODRIGO ROJAS ZEPEDA Cvga.doc", "Abrir Documento")</f>
        <v>0</v>
      </c>
      <c r="D10358" t="s">
        <v>23500</v>
      </c>
      <c r="E10358" t="s">
        <v>32833</v>
      </c>
    </row>
    <row r="10359" spans="1:5">
      <c r="A10359" t="s">
        <v>6</v>
      </c>
      <c r="B10359" t="s">
        <v>10364</v>
      </c>
      <c r="C10359">
        <f>HYPERLINK("C:\Users\franc\OneDrive\Documentos\MALENTIN KARIME\BANCO SANTANDER\2018\ROBERTO PABLO MENESES GONZALEZ escritura FFGG (VR).doc", "Abrir Documento")</f>
        <v>0</v>
      </c>
      <c r="D10359" t="s">
        <v>23500</v>
      </c>
      <c r="E10359" t="s">
        <v>32834</v>
      </c>
    </row>
    <row r="10360" spans="1:5">
      <c r="A10360" t="s">
        <v>6</v>
      </c>
      <c r="B10360" t="s">
        <v>10365</v>
      </c>
      <c r="C10360">
        <f>HYPERLINK("C:\Users\franc\OneDrive\Documentos\MALENTIN KARIME\BANCO SANTANDER\2018\ROBERTO PABLO MENESES GONZALEZ escritura FFGG (VR) con cambios agente.doc", "Abrir Documento")</f>
        <v>0</v>
      </c>
      <c r="D10360" t="s">
        <v>23500</v>
      </c>
      <c r="E10360" t="s">
        <v>32835</v>
      </c>
    </row>
    <row r="10361" spans="1:5">
      <c r="A10361" t="s">
        <v>6</v>
      </c>
      <c r="B10361" t="s">
        <v>10366</v>
      </c>
      <c r="C10361">
        <f>HYPERLINK("C:\Users\franc\OneDrive\Documentos\MALENTIN KARIME\BANCO SANTANDER\2018\ROBERTO MENESES GONZALES  Vivienda (VR).doc", "Abrir Documento")</f>
        <v>0</v>
      </c>
      <c r="D10361" t="s">
        <v>23500</v>
      </c>
      <c r="E10361" t="s">
        <v>32836</v>
      </c>
    </row>
    <row r="10362" spans="1:5">
      <c r="A10362" t="s">
        <v>6</v>
      </c>
      <c r="B10362" t="s">
        <v>10367</v>
      </c>
      <c r="C10362">
        <f>HYPERLINK("C:\Users\franc\OneDrive\Documentos\MALENTIN KARIME\BANCO SANTANDER\2018\ROBERTO MENESES GONZALES  Vivienda (VR) cambio de agente.doc", "Abrir Documento")</f>
        <v>0</v>
      </c>
      <c r="D10362" t="s">
        <v>23500</v>
      </c>
      <c r="E10362" t="s">
        <v>32837</v>
      </c>
    </row>
    <row r="10363" spans="1:5">
      <c r="A10363" t="s">
        <v>6</v>
      </c>
      <c r="B10363" t="s">
        <v>10368</v>
      </c>
      <c r="C10363">
        <f>HYPERLINK("C:\Users\franc\OneDrive\Documentos\MALENTIN KARIME\BANCO SANTANDER\2018\Meneses Gonzalez, Roberto Pablo - Vivienda (VR).doc", "Abrir Documento")</f>
        <v>0</v>
      </c>
      <c r="D10363" t="s">
        <v>23500</v>
      </c>
      <c r="E10363" t="s">
        <v>32838</v>
      </c>
    </row>
    <row r="10364" spans="1:5">
      <c r="A10364" t="s">
        <v>6</v>
      </c>
      <c r="B10364" t="s">
        <v>10369</v>
      </c>
      <c r="C10364">
        <f>HYPERLINK("C:\Users\franc\OneDrive\Documentos\MALENTIN KARIME\BANCO SANTANDER\2018\Meneses Gonzalez, Roberto Pablo - FFGG (VR).doc", "Abrir Documento")</f>
        <v>0</v>
      </c>
      <c r="D10364" t="s">
        <v>23500</v>
      </c>
      <c r="E10364" t="s">
        <v>32839</v>
      </c>
    </row>
    <row r="10365" spans="1:5">
      <c r="A10365" t="s">
        <v>6</v>
      </c>
      <c r="B10365" t="s">
        <v>10370</v>
      </c>
      <c r="C10365">
        <f>HYPERLINK("C:\Users\franc\OneDrive\Documentos\MALENTIN KARIME\BANCO SANTANDER\2018\firma.doc", "Abrir Documento")</f>
        <v>0</v>
      </c>
      <c r="D10365" t="s">
        <v>23500</v>
      </c>
      <c r="E10365" t="s">
        <v>32840</v>
      </c>
    </row>
    <row r="10366" spans="1:5">
      <c r="A10366" t="s">
        <v>6</v>
      </c>
      <c r="B10366" t="s">
        <v>10371</v>
      </c>
      <c r="C10366">
        <f>HYPERLINK("C:\Users\franc\OneDrive\Documentos\MALENTIN KARIME\BANCO SANTANDER\2018\F 24 ALOJA.doc", "Abrir Documento")</f>
        <v>0</v>
      </c>
      <c r="D10366" t="s">
        <v>23500</v>
      </c>
      <c r="E10366" t="s">
        <v>32841</v>
      </c>
    </row>
    <row r="10367" spans="1:5">
      <c r="A10367" t="s">
        <v>6</v>
      </c>
      <c r="B10367" t="s">
        <v>10372</v>
      </c>
      <c r="C10367">
        <f>HYPERLINK("C:\Users\franc\OneDrive\Documentos\MALENTIN KARIME\BANCO SANTANDER\2018\BORRADOR. ALOJA EXPRESA SpA. 76.558.147-8.doc", "Abrir Documento")</f>
        <v>0</v>
      </c>
      <c r="D10367" t="s">
        <v>23500</v>
      </c>
      <c r="E10367" t="s">
        <v>32842</v>
      </c>
    </row>
    <row r="10368" spans="1:5">
      <c r="A10368" t="s">
        <v>6</v>
      </c>
      <c r="B10368" t="s">
        <v>10373</v>
      </c>
      <c r="C10368">
        <f>HYPERLINK("C:\Users\franc\OneDrive\Documentos\MALENTIN KARIME\BANCO SANTANDER\2018\ALOJA EXPRESS SPA.doc", "Abrir Documento")</f>
        <v>0</v>
      </c>
      <c r="D10368" t="s">
        <v>23500</v>
      </c>
      <c r="E10368" t="s">
        <v>32843</v>
      </c>
    </row>
    <row r="10369" spans="1:5">
      <c r="A10369" t="s">
        <v>6</v>
      </c>
      <c r="B10369" t="s">
        <v>10374</v>
      </c>
      <c r="C10369">
        <f>HYPERLINK("C:\Users\franc\OneDrive\Documentos\MALENTIN KARIME\BANCO SANTANDER\2017\VELIZ ADONES Carlos CIUDAD DEL ENCANTO I TASA FIJA SUBSIDIO.doc", "Abrir Documento")</f>
        <v>0</v>
      </c>
      <c r="D10369" t="s">
        <v>23500</v>
      </c>
      <c r="E10369" t="s">
        <v>32844</v>
      </c>
    </row>
    <row r="10370" spans="1:5">
      <c r="A10370" t="s">
        <v>6</v>
      </c>
      <c r="B10370" t="s">
        <v>10375</v>
      </c>
      <c r="C10370">
        <f>HYPERLINK("C:\Users\franc\OneDrive\Documentos\MALENTIN KARIME\BANCO SANTANDER\2017\Varas Segovia, Juan Ramon (VR).doc", "Abrir Documento")</f>
        <v>0</v>
      </c>
      <c r="D10370" t="s">
        <v>23500</v>
      </c>
      <c r="E10370" t="s">
        <v>32845</v>
      </c>
    </row>
    <row r="10371" spans="1:5">
      <c r="A10371" t="s">
        <v>6</v>
      </c>
      <c r="B10371" t="s">
        <v>10376</v>
      </c>
      <c r="C10371">
        <f>HYPERLINK("C:\Users\franc\OneDrive\Documentos\MALENTIN KARIME\BANCO SANTANDER\2017\TELLO URRUTIA Jessica CIUDAD DEL ENCANTO I TASA FIJA SUBSIDIO.doc", "Abrir Documento")</f>
        <v>0</v>
      </c>
      <c r="D10371" t="s">
        <v>23500</v>
      </c>
      <c r="E10371" t="s">
        <v>32846</v>
      </c>
    </row>
    <row r="10372" spans="1:5">
      <c r="A10372" t="s">
        <v>6</v>
      </c>
      <c r="B10372" t="s">
        <v>10377</v>
      </c>
      <c r="C10372">
        <f>HYPERLINK("C:\Users\franc\OneDrive\Documentos\MALENTIN KARIME\BANCO SANTANDER\2017\MARIO TAPIA A Inmobiliaria Limari.doc", "Abrir Documento")</f>
        <v>0</v>
      </c>
      <c r="D10372" t="s">
        <v>23500</v>
      </c>
      <c r="E10372" t="s">
        <v>32847</v>
      </c>
    </row>
    <row r="10373" spans="1:5">
      <c r="A10373" t="s">
        <v>6</v>
      </c>
      <c r="B10373" t="s">
        <v>10378</v>
      </c>
      <c r="C10373">
        <f>HYPERLINK("C:\Users\franc\OneDrive\Documentos\MALENTIN KARIME\BANCO SANTANDER\2017\JUAN VARAS SEGOVIA.doc", "Abrir Documento")</f>
        <v>0</v>
      </c>
      <c r="D10373" t="s">
        <v>23500</v>
      </c>
      <c r="E10373" t="s">
        <v>32848</v>
      </c>
    </row>
    <row r="10374" spans="1:5">
      <c r="A10374" t="s">
        <v>6</v>
      </c>
      <c r="B10374" t="s">
        <v>10379</v>
      </c>
      <c r="C10374">
        <f>HYPERLINK("C:\Users\franc\OneDrive\Documentos\MALENTIN KARIME\BANCO SANTANDER\2017\JESSICA TELLO URRUTIA Armas.doc", "Abrir Documento")</f>
        <v>0</v>
      </c>
      <c r="D10374" t="s">
        <v>23500</v>
      </c>
      <c r="E10374" t="s">
        <v>32849</v>
      </c>
    </row>
    <row r="10375" spans="1:5">
      <c r="A10375" t="s">
        <v>6</v>
      </c>
      <c r="B10375" t="s">
        <v>10380</v>
      </c>
      <c r="C10375">
        <f>HYPERLINK("C:\Users\franc\OneDrive\Documentos\MALENTIN KARIME\BANCO SANTANDER\2017\GUSTAVO POZO Escritura.doc", "Abrir Documento")</f>
        <v>0</v>
      </c>
      <c r="D10375" t="s">
        <v>23500</v>
      </c>
      <c r="E10375" t="s">
        <v>32850</v>
      </c>
    </row>
    <row r="10376" spans="1:5">
      <c r="A10376" t="s">
        <v>6</v>
      </c>
      <c r="B10376" t="s">
        <v>10381</v>
      </c>
      <c r="C10376">
        <f>HYPERLINK("C:\Users\franc\OneDrive\Documentos\MALENTIN KARIME\BANCO SANTANDER\2017\CVM tasa fija Jessica Tello-Inmob. Cuidad El Encanto I.pdf", "Abrir Documento")</f>
        <v>0</v>
      </c>
      <c r="D10376" t="s">
        <v>23500</v>
      </c>
      <c r="E10376" t="s">
        <v>32851</v>
      </c>
    </row>
    <row r="10377" spans="1:5">
      <c r="A10377" t="s">
        <v>6</v>
      </c>
      <c r="B10377" t="s">
        <v>10382</v>
      </c>
      <c r="C10377">
        <f>HYPERLINK("C:\Users\franc\OneDrive\Documentos\MALENTIN KARIME\BANCO SANTANDER\2017\CVM e Hipoteca Carlos Véliz - Inmob. Ciudad del Encanto I.pdf", "Abrir Documento")</f>
        <v>0</v>
      </c>
      <c r="D10377" t="s">
        <v>23500</v>
      </c>
      <c r="E10377" t="s">
        <v>32852</v>
      </c>
    </row>
    <row r="10378" spans="1:5">
      <c r="A10378" t="s">
        <v>6</v>
      </c>
      <c r="B10378" t="s">
        <v>10383</v>
      </c>
      <c r="C10378">
        <f>HYPERLINK("C:\Users\franc\OneDrive\Documentos\MALENTIN KARIME\BANCO SANTANDER\2016\PATRICIO E POLANCO DABED Alza.doc", "Abrir Documento")</f>
        <v>0</v>
      </c>
      <c r="D10378" t="s">
        <v>23500</v>
      </c>
      <c r="E10378" t="s">
        <v>32853</v>
      </c>
    </row>
    <row r="10379" spans="1:5">
      <c r="A10379" t="s">
        <v>6</v>
      </c>
      <c r="B10379" t="s">
        <v>10384</v>
      </c>
      <c r="C10379">
        <f>HYPERLINK("C:\Users\franc\OneDrive\Documentos\MALENTIN KARIME\BANCO SANTANDER\2016\JOSE RODRIGUEZ FLORES para visto bueno.doc", "Abrir Documento")</f>
        <v>0</v>
      </c>
      <c r="D10379" t="s">
        <v>23500</v>
      </c>
      <c r="E10379" t="s">
        <v>32854</v>
      </c>
    </row>
    <row r="10380" spans="1:5">
      <c r="A10380" t="s">
        <v>6</v>
      </c>
      <c r="B10380" t="s">
        <v>10385</v>
      </c>
      <c r="C10380">
        <f>HYPERLINK("C:\Users\franc\OneDrive\Documentos\MALENTIN KARIME\BANCO SANTANDER\2016\JOSE RODRIGUEZ FLORES Banco Santander.doc", "Abrir Documento")</f>
        <v>0</v>
      </c>
      <c r="D10380" t="s">
        <v>23500</v>
      </c>
      <c r="E10380" t="s">
        <v>32855</v>
      </c>
    </row>
    <row r="10381" spans="1:5">
      <c r="A10381" t="s">
        <v>6</v>
      </c>
      <c r="B10381" t="s">
        <v>10386</v>
      </c>
      <c r="C10381">
        <f>HYPERLINK("C:\Users\franc\OneDrive\Documentos\MALENTIN KARIME\BANCO SANTANDER\2015\RIO LIMARI Y Omar Carvajal.doc", "Abrir Documento")</f>
        <v>0</v>
      </c>
      <c r="D10381" t="s">
        <v>23500</v>
      </c>
      <c r="E10381" t="s">
        <v>32856</v>
      </c>
    </row>
    <row r="10382" spans="1:5">
      <c r="A10382" t="s">
        <v>6</v>
      </c>
      <c r="B10382" t="s">
        <v>10387</v>
      </c>
      <c r="C10382">
        <f>HYPERLINK("C:\Users\franc\OneDrive\Documentos\MALENTIN KARIME\BANCO SANTANDER\2015\RIO LIMARI Y Jorge Tello Aranda.doc", "Abrir Documento")</f>
        <v>0</v>
      </c>
      <c r="D10382" t="s">
        <v>23500</v>
      </c>
      <c r="E10382" t="s">
        <v>32857</v>
      </c>
    </row>
    <row r="10383" spans="1:5">
      <c r="A10383" t="s">
        <v>6</v>
      </c>
      <c r="B10383" t="s">
        <v>10388</v>
      </c>
      <c r="C10383">
        <f>HYPERLINK("C:\Users\franc\OneDrive\Documentos\MALENTIN KARIME\BANCO SANTANDER\2015\RIO LIMARI Y Bernardo Veliz.doc", "Abrir Documento")</f>
        <v>0</v>
      </c>
      <c r="D10383" t="s">
        <v>23500</v>
      </c>
      <c r="E10383" t="s">
        <v>32858</v>
      </c>
    </row>
    <row r="10384" spans="1:5">
      <c r="A10384" t="s">
        <v>6</v>
      </c>
      <c r="B10384" t="s">
        <v>10389</v>
      </c>
      <c r="C10384">
        <f>HYPERLINK("C:\Users\franc\OneDrive\Documentos\MALENTIN KARIME\BANCO SANTANDER\2015\RIO LIMARI modelo.doc", "Abrir Documento")</f>
        <v>0</v>
      </c>
      <c r="D10384" t="s">
        <v>23500</v>
      </c>
      <c r="E10384" t="s">
        <v>32859</v>
      </c>
    </row>
    <row r="10385" spans="1:5">
      <c r="A10385" t="s">
        <v>6</v>
      </c>
      <c r="B10385" t="s">
        <v>10390</v>
      </c>
      <c r="C10385">
        <f>HYPERLINK("C:\Users\franc\OneDrive\Documentos\MALENTIN KARIME\BANCO SANTANDER\2015\Omar Carvajal.doc", "Abrir Documento")</f>
        <v>0</v>
      </c>
      <c r="D10385" t="s">
        <v>23500</v>
      </c>
      <c r="E10385" t="s">
        <v>32860</v>
      </c>
    </row>
    <row r="10386" spans="1:5">
      <c r="A10386" t="s">
        <v>6</v>
      </c>
      <c r="B10386" t="s">
        <v>10391</v>
      </c>
      <c r="C10386">
        <f>HYPERLINK("C:\Users\franc\OneDrive\Documentos\MALENTIN KARIME\BANCO SANTANDER\2015\OMAR CARVAJAL Visto Bueno.doc", "Abrir Documento")</f>
        <v>0</v>
      </c>
      <c r="D10386" t="s">
        <v>23500</v>
      </c>
      <c r="E10386" t="s">
        <v>32861</v>
      </c>
    </row>
    <row r="10387" spans="1:5">
      <c r="A10387" t="s">
        <v>6</v>
      </c>
      <c r="B10387" t="s">
        <v>10392</v>
      </c>
      <c r="C10387">
        <f>HYPERLINK("C:\Users\franc\OneDrive\Documentos\MALENTIN KARIME\BANCO SANTANDER\2015\OMAR CARVAJAL JUNIO ESCRITURA.doc", "Abrir Documento")</f>
        <v>0</v>
      </c>
      <c r="D10387" t="s">
        <v>23500</v>
      </c>
      <c r="E10387" t="s">
        <v>32862</v>
      </c>
    </row>
    <row r="10388" spans="1:5">
      <c r="A10388" t="s">
        <v>6</v>
      </c>
      <c r="B10388" t="s">
        <v>10393</v>
      </c>
      <c r="C10388">
        <f>HYPERLINK("C:\Users\franc\OneDrive\Documentos\MALENTIN KARIME\BANCO SANTANDER\2015\OMAR CARVAJAL JUNIO ESCRITURA visto bueno.doc", "Abrir Documento")</f>
        <v>0</v>
      </c>
      <c r="D10388" t="s">
        <v>23500</v>
      </c>
      <c r="E10388" t="s">
        <v>32863</v>
      </c>
    </row>
    <row r="10389" spans="1:5">
      <c r="A10389" t="s">
        <v>6</v>
      </c>
      <c r="B10389" t="s">
        <v>10394</v>
      </c>
      <c r="C10389">
        <f>HYPERLINK("C:\Users\franc\OneDrive\Documentos\MALENTIN KARIME\BANCO SANTANDER\2015\OMAR CARVAJAL JUNIO Borrador.doc", "Abrir Documento")</f>
        <v>0</v>
      </c>
      <c r="D10389" t="s">
        <v>23500</v>
      </c>
      <c r="E10389" t="s">
        <v>32864</v>
      </c>
    </row>
    <row r="10390" spans="1:5">
      <c r="A10390" t="s">
        <v>6</v>
      </c>
      <c r="B10390" t="s">
        <v>10395</v>
      </c>
      <c r="C10390">
        <f>HYPERLINK("C:\Users\franc\OneDrive\Documentos\MALENTIN KARIME\BANCO SANTANDER\2015\OMAR CARVAJAL CASTRO Carta Resguardo 2015 Junio.doc", "Abrir Documento")</f>
        <v>0</v>
      </c>
      <c r="D10390" t="s">
        <v>23500</v>
      </c>
      <c r="E10390" t="s">
        <v>32865</v>
      </c>
    </row>
    <row r="10391" spans="1:5">
      <c r="A10391" t="s">
        <v>6</v>
      </c>
      <c r="B10391" t="s">
        <v>10396</v>
      </c>
      <c r="C10391">
        <f>HYPERLINK("C:\Users\franc\OneDrive\Documentos\MALENTIN KARIME\BANCO SANTANDER\2015\JORGE TELLO ARANDA  Visto Bueno.doc", "Abrir Documento")</f>
        <v>0</v>
      </c>
      <c r="D10391" t="s">
        <v>23500</v>
      </c>
      <c r="E10391" t="s">
        <v>32866</v>
      </c>
    </row>
    <row r="10392" spans="1:5">
      <c r="A10392" t="s">
        <v>6</v>
      </c>
      <c r="B10392" t="s">
        <v>10397</v>
      </c>
      <c r="C10392">
        <f>HYPERLINK("C:\Users\franc\OneDrive\Documentos\MALENTIN KARIME\BANCO SANTANDER\2015\JORGE TELLO ARANDA  Visto Bueno con Correcciones de regreso.doc", "Abrir Documento")</f>
        <v>0</v>
      </c>
      <c r="D10392" t="s">
        <v>23500</v>
      </c>
      <c r="E10392" t="s">
        <v>32867</v>
      </c>
    </row>
    <row r="10393" spans="1:5">
      <c r="A10393" t="s">
        <v>6</v>
      </c>
      <c r="B10393" t="s">
        <v>10398</v>
      </c>
      <c r="C10393">
        <f>HYPERLINK("C:\Users\franc\OneDrive\Documentos\MALENTIN KARIME\BANCO SANTANDER\2015\F 24 Jose Rodriguezdoc.doc", "Abrir Documento")</f>
        <v>0</v>
      </c>
      <c r="D10393" t="s">
        <v>23500</v>
      </c>
      <c r="E10393" t="s">
        <v>32868</v>
      </c>
    </row>
    <row r="10394" spans="1:5">
      <c r="A10394" t="s">
        <v>6</v>
      </c>
      <c r="B10394" t="s">
        <v>10399</v>
      </c>
      <c r="C10394">
        <f>HYPERLINK("C:\Users\franc\OneDrive\Documentos\MALENTIN KARIME\BANCO SANTANDER\2015\F 24 Jorge Tello.doc", "Abrir Documento")</f>
        <v>0</v>
      </c>
      <c r="D10394" t="s">
        <v>23500</v>
      </c>
      <c r="E10394" t="s">
        <v>32869</v>
      </c>
    </row>
    <row r="10395" spans="1:5">
      <c r="A10395" t="s">
        <v>6</v>
      </c>
      <c r="B10395" t="s">
        <v>10400</v>
      </c>
      <c r="C10395">
        <f>HYPERLINK("C:\Users\franc\OneDrive\Documentos\MALENTIN KARIME\BANCO SANTANDER\2015\F 24 Bernardo Veliz.doc", "Abrir Documento")</f>
        <v>0</v>
      </c>
      <c r="D10395" t="s">
        <v>23500</v>
      </c>
      <c r="E10395" t="s">
        <v>32870</v>
      </c>
    </row>
    <row r="10396" spans="1:5">
      <c r="A10396" t="s">
        <v>6</v>
      </c>
      <c r="B10396" t="s">
        <v>10401</v>
      </c>
      <c r="C10396">
        <f>HYPERLINK("C:\Users\franc\OneDrive\Documentos\MALENTIN KARIME\BANCO SANTANDER\2015\COVALSA Aclarcion hipoteca.doc", "Abrir Documento")</f>
        <v>0</v>
      </c>
      <c r="D10396" t="s">
        <v>23500</v>
      </c>
      <c r="E10396" t="s">
        <v>32871</v>
      </c>
    </row>
    <row r="10397" spans="1:5">
      <c r="A10397" t="s">
        <v>6</v>
      </c>
      <c r="B10397" t="s">
        <v>10402</v>
      </c>
      <c r="C10397">
        <f>HYPERLINK("C:\Users\franc\OneDrive\Documentos\MALENTIN KARIME\BANCO SANTANDER\2015\Carta Resguardo JORGE TELLO ARANDA.doc", "Abrir Documento")</f>
        <v>0</v>
      </c>
      <c r="D10397" t="s">
        <v>23500</v>
      </c>
      <c r="E10397" t="s">
        <v>32872</v>
      </c>
    </row>
    <row r="10398" spans="1:5">
      <c r="A10398" t="s">
        <v>6</v>
      </c>
      <c r="B10398" t="s">
        <v>10403</v>
      </c>
      <c r="C10398">
        <f>HYPERLINK("C:\Users\franc\OneDrive\Documentos\MALENTIN KARIME\BANCO SANTANDER\2015\Carta Resguardo BERNARDO VELIZ CASTRO.doc", "Abrir Documento")</f>
        <v>0</v>
      </c>
      <c r="D10398" t="s">
        <v>23500</v>
      </c>
      <c r="E10398" t="s">
        <v>32873</v>
      </c>
    </row>
    <row r="10399" spans="1:5">
      <c r="A10399" t="s">
        <v>6</v>
      </c>
      <c r="B10399" t="s">
        <v>10404</v>
      </c>
      <c r="C10399">
        <f>HYPERLINK("C:\Users\franc\OneDrive\Documentos\MALENTIN KARIME\BANCO SANTANDER\2015\CANTA RANA Y TALQUILLA Fianza 2015.doc", "Abrir Documento")</f>
        <v>0</v>
      </c>
      <c r="D10399" t="s">
        <v>23500</v>
      </c>
      <c r="E10399" t="s">
        <v>32874</v>
      </c>
    </row>
    <row r="10400" spans="1:5">
      <c r="A10400" t="s">
        <v>6</v>
      </c>
      <c r="B10400" t="s">
        <v>10405</v>
      </c>
      <c r="C10400">
        <f>HYPERLINK("C:\Users\franc\OneDrive\Documentos\MALENTIN KARIME\BANCO SANTANDER\2015\Bernardo Veliz.doc", "Abrir Documento")</f>
        <v>0</v>
      </c>
      <c r="D10400" t="s">
        <v>23500</v>
      </c>
      <c r="E10400" t="s">
        <v>32875</v>
      </c>
    </row>
    <row r="10401" spans="1:5">
      <c r="A10401" t="s">
        <v>6</v>
      </c>
      <c r="B10401" t="s">
        <v>10406</v>
      </c>
      <c r="C10401">
        <f>HYPERLINK("C:\Users\franc\OneDrive\Documentos\MALENTIN KARIME\BANCO SANTANDER\2015\BERNARDO VELIZ  Visto Bueno.doc", "Abrir Documento")</f>
        <v>0</v>
      </c>
      <c r="D10401" t="s">
        <v>23500</v>
      </c>
      <c r="E10401" t="s">
        <v>32876</v>
      </c>
    </row>
    <row r="10402" spans="1:5">
      <c r="A10402" t="s">
        <v>6</v>
      </c>
      <c r="B10402" t="s">
        <v>10407</v>
      </c>
      <c r="C10402">
        <f>HYPERLINK("C:\Users\franc\OneDrive\Documentos\MALENTIN KARIME\BANCO SANTANDER\2015\BERNARDO VELIZ  Visto Bueno correcciones de la abogada.doc", "Abrir Documento")</f>
        <v>0</v>
      </c>
      <c r="D10402" t="s">
        <v>23500</v>
      </c>
      <c r="E10402" t="s">
        <v>32877</v>
      </c>
    </row>
    <row r="10403" spans="1:5">
      <c r="A10403" t="s">
        <v>6</v>
      </c>
      <c r="B10403" t="s">
        <v>10408</v>
      </c>
      <c r="C10403">
        <f>HYPERLINK("C:\Users\franc\OneDrive\Documentos\MALENTIN KARIME\BANCO SANTANDER\2014\SERVICIOS Caffarena e.i.r.l. FIANZA Y CODEUDA SOLIDARIA  01.12.14.doc", "Abrir Documento")</f>
        <v>0</v>
      </c>
      <c r="D10403" t="s">
        <v>23500</v>
      </c>
      <c r="E10403" t="s">
        <v>32878</v>
      </c>
    </row>
    <row r="10404" spans="1:5">
      <c r="A10404" t="s">
        <v>6</v>
      </c>
      <c r="B10404" t="s">
        <v>10409</v>
      </c>
      <c r="C10404">
        <f>HYPERLINK("C:\Users\franc\OneDrive\Documentos\MALENTIN KARIME\BANCO SANTANDER\2014\ROBERTO VEGA ALCAYAGA LOTE 4.doc", "Abrir Documento")</f>
        <v>0</v>
      </c>
      <c r="D10404" t="s">
        <v>23500</v>
      </c>
      <c r="E10404" t="s">
        <v>32879</v>
      </c>
    </row>
    <row r="10405" spans="1:5">
      <c r="A10405" t="s">
        <v>6</v>
      </c>
      <c r="B10405" t="s">
        <v>10410</v>
      </c>
      <c r="C10405">
        <f>HYPERLINK("C:\Users\franc\OneDrive\Documentos\MALENTIN KARIME\BANCO SANTANDER\2014\personeria SANTANDER.doc", "Abrir Documento")</f>
        <v>0</v>
      </c>
      <c r="D10405" t="s">
        <v>23500</v>
      </c>
      <c r="E10405" t="s">
        <v>32880</v>
      </c>
    </row>
    <row r="10406" spans="1:5">
      <c r="A10406" t="s">
        <v>6</v>
      </c>
      <c r="B10406" t="s">
        <v>10411</v>
      </c>
      <c r="C10406">
        <f>HYPERLINK("C:\Users\franc\OneDrive\Documentos\MALENTIN KARIME\BANCO SANTANDER\2014\MARIA PEÑAFIEL SALAS Maria Ines.doc", "Abrir Documento")</f>
        <v>0</v>
      </c>
      <c r="D10406" t="s">
        <v>23500</v>
      </c>
      <c r="E10406" t="s">
        <v>32881</v>
      </c>
    </row>
    <row r="10407" spans="1:5">
      <c r="A10407" t="s">
        <v>6</v>
      </c>
      <c r="B10407" t="s">
        <v>10412</v>
      </c>
      <c r="C10407">
        <f>HYPERLINK("C:\Users\franc\OneDrive\Documentos\MALENTIN KARIME\BANCO SANTANDER\2014\LUIS PROHENS VILLALON Alzamiento Correjido.docx", "Abrir Documento")</f>
        <v>0</v>
      </c>
      <c r="D10407" t="s">
        <v>23501</v>
      </c>
      <c r="E10407" t="s">
        <v>32882</v>
      </c>
    </row>
    <row r="10408" spans="1:5">
      <c r="A10408" t="s">
        <v>6</v>
      </c>
      <c r="B10408" t="s">
        <v>10413</v>
      </c>
      <c r="C10408">
        <f>HYPERLINK("C:\Users\franc\OneDrive\Documentos\MALENTIN KARIME\BANCO SANTANDER\2014\JUAN OCIEL PORTILLA ALBURQUENQUE - FIANZA (1).doc", "Abrir Documento")</f>
        <v>0</v>
      </c>
      <c r="D10408" t="s">
        <v>23500</v>
      </c>
      <c r="E10408" t="s">
        <v>32883</v>
      </c>
    </row>
    <row r="10409" spans="1:5">
      <c r="A10409" t="s">
        <v>6</v>
      </c>
      <c r="B10409" t="s">
        <v>10414</v>
      </c>
      <c r="C10409">
        <f>HYPERLINK("C:\Users\franc\OneDrive\Documentos\MALENTIN KARIME\BANCO SANTANDER\2014\JUAN OCIEL PORTILLA ALBURQUENQUE - FIANZA (1) visto bueno.doc", "Abrir Documento")</f>
        <v>0</v>
      </c>
      <c r="D10409" t="s">
        <v>23500</v>
      </c>
      <c r="E10409" t="s">
        <v>32884</v>
      </c>
    </row>
    <row r="10410" spans="1:5">
      <c r="A10410" t="s">
        <v>6</v>
      </c>
      <c r="B10410" t="s">
        <v>10415</v>
      </c>
      <c r="C10410">
        <f>HYPERLINK("C:\Users\franc\OneDrive\Documentos\MALENTIN KARIME\BANCO SANTANDER\2014\HUGO ARAYA LARRAIN Maria Ines.doc", "Abrir Documento")</f>
        <v>0</v>
      </c>
      <c r="D10410" t="s">
        <v>23500</v>
      </c>
      <c r="E10410" t="s">
        <v>32885</v>
      </c>
    </row>
    <row r="10411" spans="1:5">
      <c r="A10411" t="s">
        <v>6</v>
      </c>
      <c r="B10411" t="s">
        <v>10416</v>
      </c>
      <c r="C10411">
        <f>HYPERLINK("C:\Users\franc\OneDrive\Documentos\MALENTIN KARIME\BANCO SANTANDER\2014\FIANZA Maria Paz Julio 14.doc", "Abrir Documento")</f>
        <v>0</v>
      </c>
      <c r="D10411" t="s">
        <v>23500</v>
      </c>
      <c r="E10411" t="s">
        <v>32886</v>
      </c>
    </row>
    <row r="10412" spans="1:5">
      <c r="A10412" t="s">
        <v>6</v>
      </c>
      <c r="B10412" t="s">
        <v>10417</v>
      </c>
      <c r="C10412">
        <f>HYPERLINK("C:\Users\franc\OneDrive\Documentos\MALENTIN KARIME\BANCO SANTANDER\2014\CLAUDIO CONTRERAS RAMIREZ, SUPERMERCADO Fianza Final Nueva.doc", "Abrir Documento")</f>
        <v>0</v>
      </c>
      <c r="D10412" t="s">
        <v>23500</v>
      </c>
      <c r="E10412" t="s">
        <v>32887</v>
      </c>
    </row>
    <row r="10413" spans="1:5">
      <c r="A10413" t="s">
        <v>6</v>
      </c>
      <c r="B10413" t="s">
        <v>10418</v>
      </c>
      <c r="C10413">
        <f>HYPERLINK("C:\Users\franc\OneDrive\Documentos\MALENTIN KARIME\BANCO SANTANDER\2014\CLAUDIO CONTRERAS RAMIREZ Supermercado y BANCO SANTADER Julio 14.doc", "Abrir Documento")</f>
        <v>0</v>
      </c>
      <c r="D10413" t="s">
        <v>23500</v>
      </c>
      <c r="E10413" t="s">
        <v>32888</v>
      </c>
    </row>
    <row r="10414" spans="1:5">
      <c r="A10414" t="s">
        <v>6</v>
      </c>
      <c r="B10414" t="s">
        <v>10419</v>
      </c>
      <c r="C10414">
        <f>HYPERLINK("C:\Users\franc\OneDrive\Documentos\MALENTIN KARIME\BANCO SANTANDER\2014\CLAUDIO CONTRERAS RAMIREZ Supermercado y BANCO SANTADER  NUEVA DE OCTUBRE.doc", "Abrir Documento")</f>
        <v>0</v>
      </c>
      <c r="D10414" t="s">
        <v>23500</v>
      </c>
      <c r="E10414" t="s">
        <v>32889</v>
      </c>
    </row>
    <row r="10415" spans="1:5">
      <c r="A10415" t="s">
        <v>6</v>
      </c>
      <c r="B10415" t="s">
        <v>10420</v>
      </c>
      <c r="C10415">
        <f>HYPERLINK("C:\Users\franc\OneDrive\Documentos\MALENTIN KARIME\BANCO SANTANDER\2014\CLAUDIO CONTRERAS RAMIREZ Supermercado NUEVA DE OCTUBRE.doc", "Abrir Documento")</f>
        <v>0</v>
      </c>
      <c r="D10415" t="s">
        <v>23500</v>
      </c>
      <c r="E10415" t="s">
        <v>32890</v>
      </c>
    </row>
    <row r="10416" spans="1:5">
      <c r="A10416" t="s">
        <v>6</v>
      </c>
      <c r="B10416" t="s">
        <v>10421</v>
      </c>
      <c r="C10416">
        <f>HYPERLINK("C:\Users\franc\OneDrive\Documentos\MALENTIN KARIME\BANCO SANTANDER\2014\CLAUDIO CONTRERAS RAMIREZ Fianza.doc", "Abrir Documento")</f>
        <v>0</v>
      </c>
      <c r="D10416" t="s">
        <v>23500</v>
      </c>
      <c r="E10416" t="s">
        <v>32891</v>
      </c>
    </row>
    <row r="10417" spans="1:5">
      <c r="A10417" t="s">
        <v>6</v>
      </c>
      <c r="B10417" t="s">
        <v>10422</v>
      </c>
      <c r="C10417">
        <f>HYPERLINK("C:\Users\franc\OneDrive\Documentos\MALENTIN KARIME\BANCO SANTANDER\2014\CARLOS ROJAS SALINAS  26.11.14 FIANZA.doc", "Abrir Documento")</f>
        <v>0</v>
      </c>
      <c r="D10417" t="s">
        <v>23500</v>
      </c>
      <c r="E10417" t="s">
        <v>32892</v>
      </c>
    </row>
    <row r="10418" spans="1:5">
      <c r="A10418" t="s">
        <v>6</v>
      </c>
      <c r="B10418" t="s">
        <v>10423</v>
      </c>
      <c r="C10418">
        <f>HYPERLINK("C:\Users\franc\OneDrive\Documentos\MALENTIN KARIME\BANCO SANTANDER\William Escobar FIANZA Y CODEUDA SOLIDARIA.doc", "Abrir Documento")</f>
        <v>0</v>
      </c>
      <c r="D10418" t="s">
        <v>23500</v>
      </c>
      <c r="E10418" t="s">
        <v>32893</v>
      </c>
    </row>
    <row r="10419" spans="1:5">
      <c r="A10419" t="s">
        <v>6</v>
      </c>
      <c r="B10419" t="s">
        <v>10424</v>
      </c>
      <c r="C10419">
        <f>HYPERLINK("C:\Users\franc\OneDrive\Documentos\MALENTIN KARIME\BANCO SANTANDER\ROBERTO VEGA ALCAYAGA Fianza Oct 13.doc", "Abrir Documento")</f>
        <v>0</v>
      </c>
      <c r="D10419" t="s">
        <v>23500</v>
      </c>
      <c r="E10419" t="s">
        <v>32894</v>
      </c>
    </row>
    <row r="10420" spans="1:5">
      <c r="A10420" t="s">
        <v>6</v>
      </c>
      <c r="B10420" t="s">
        <v>10425</v>
      </c>
      <c r="C10420">
        <f>HYPERLINK("C:\Users\franc\OneDrive\Documentos\MALENTIN KARIME\BANCO SANTANDER\PERSONERIAS BCI OVALLE 2012.doc", "Abrir Documento")</f>
        <v>0</v>
      </c>
      <c r="D10420" t="s">
        <v>23500</v>
      </c>
      <c r="E10420" t="s">
        <v>32895</v>
      </c>
    </row>
    <row r="10421" spans="1:5">
      <c r="A10421" t="s">
        <v>6</v>
      </c>
      <c r="B10421" t="s">
        <v>10426</v>
      </c>
      <c r="C10421">
        <f>HYPERLINK("C:\Users\franc\OneDrive\Documentos\MALENTIN KARIME\BANCO SANTANDER\PERSONERIAS   BCI    OVALLE 2014.doc", "Abrir Documento")</f>
        <v>0</v>
      </c>
      <c r="D10421" t="s">
        <v>23500</v>
      </c>
      <c r="E10421" t="s">
        <v>32896</v>
      </c>
    </row>
    <row r="10422" spans="1:5">
      <c r="A10422" t="s">
        <v>6</v>
      </c>
      <c r="B10422" t="s">
        <v>10427</v>
      </c>
      <c r="C10422">
        <f>HYPERLINK("C:\Users\franc\OneDrive\Documentos\MALENTIN KARIME\BANCO SANTANDER\PATRICIA ARAYA PIZARRO Fianza.doc", "Abrir Documento")</f>
        <v>0</v>
      </c>
      <c r="D10422" t="s">
        <v>23500</v>
      </c>
      <c r="E10422" t="s">
        <v>32897</v>
      </c>
    </row>
    <row r="10423" spans="1:5">
      <c r="A10423" t="s">
        <v>6</v>
      </c>
      <c r="B10423" t="s">
        <v>10428</v>
      </c>
      <c r="C10423">
        <f>HYPERLINK("C:\Users\franc\OneDrive\Documentos\MALENTIN KARIME\BANCO SANTANDER\minuta.doc", "Abrir Documento")</f>
        <v>0</v>
      </c>
      <c r="D10423" t="s">
        <v>23500</v>
      </c>
      <c r="E10423" t="s">
        <v>32898</v>
      </c>
    </row>
    <row r="10424" spans="1:5">
      <c r="A10424" t="s">
        <v>6</v>
      </c>
      <c r="B10424" t="s">
        <v>10429</v>
      </c>
      <c r="C10424">
        <f>HYPERLINK("C:\Users\franc\OneDrive\Documentos\MALENTIN KARIME\BANCO SANTANDER\MARIA INES Complementacion.doc", "Abrir Documento")</f>
        <v>0</v>
      </c>
      <c r="D10424" t="s">
        <v>23500</v>
      </c>
      <c r="E10424" t="s">
        <v>32899</v>
      </c>
    </row>
    <row r="10425" spans="1:5">
      <c r="A10425" t="s">
        <v>6</v>
      </c>
      <c r="B10425" t="s">
        <v>10430</v>
      </c>
      <c r="C10425">
        <f>HYPERLINK("C:\Users\franc\OneDrive\Documentos\MALENTIN KARIME\BANCO SANTANDER\MARIA INES Aclaracion Arriendo.doc", "Abrir Documento")</f>
        <v>0</v>
      </c>
      <c r="D10425" t="s">
        <v>23500</v>
      </c>
      <c r="E10425" t="s">
        <v>32900</v>
      </c>
    </row>
    <row r="10426" spans="1:5">
      <c r="A10426" t="s">
        <v>6</v>
      </c>
      <c r="B10426" t="s">
        <v>10431</v>
      </c>
      <c r="C10426">
        <f>HYPERLINK("C:\Users\franc\OneDrive\Documentos\MALENTIN KARIME\BANCO SANTANDER\JACQUELINE CASTRO Aclaracion M Ines.doc", "Abrir Documento")</f>
        <v>0</v>
      </c>
      <c r="D10426" t="s">
        <v>23500</v>
      </c>
      <c r="E10426" t="s">
        <v>32901</v>
      </c>
    </row>
    <row r="10427" spans="1:5">
      <c r="A10427" t="s">
        <v>6</v>
      </c>
      <c r="B10427" t="s">
        <v>10432</v>
      </c>
      <c r="C10427">
        <f>HYPERLINK("C:\Users\franc\OneDrive\Documentos\MALENTIN KARIME\BANCO SANTANDER\HUGO CORDOVA OYABAN HIPOTECA  visto bueno.doc", "Abrir Documento")</f>
        <v>0</v>
      </c>
      <c r="D10427" t="s">
        <v>23500</v>
      </c>
      <c r="E10427" t="s">
        <v>32902</v>
      </c>
    </row>
    <row r="10428" spans="1:5">
      <c r="A10428" t="s">
        <v>6</v>
      </c>
      <c r="B10428" t="s">
        <v>10433</v>
      </c>
      <c r="C10428">
        <f>HYPERLINK("C:\Users\franc\OneDrive\Documentos\MALENTIN KARIME\BANCO SANTANDER\HUGO CORDOVA OYABAN HIPOTECA  16.09.13.doc", "Abrir Documento")</f>
        <v>0</v>
      </c>
      <c r="D10428" t="s">
        <v>23500</v>
      </c>
      <c r="E10428" t="s">
        <v>32903</v>
      </c>
    </row>
    <row r="10429" spans="1:5">
      <c r="A10429" t="s">
        <v>6</v>
      </c>
      <c r="B10429" t="s">
        <v>10434</v>
      </c>
      <c r="C10429">
        <f>HYPERLINK("C:\Users\franc\OneDrive\Documentos\MALENTIN KARIME\BANCO SANTANDER\HIPOTECA  16.09.13.doc", "Abrir Documento")</f>
        <v>0</v>
      </c>
      <c r="D10429" t="s">
        <v>23500</v>
      </c>
      <c r="E10429" t="s">
        <v>32904</v>
      </c>
    </row>
    <row r="10430" spans="1:5">
      <c r="A10430" t="s">
        <v>6</v>
      </c>
      <c r="B10430" t="s">
        <v>10435</v>
      </c>
      <c r="C10430">
        <f>HYPERLINK("C:\Users\franc\OneDrive\Documentos\MALENTIN KARIME\BANCO SANTANDER\FRANCISCO RODRIGUEZ RODRIGUEZ.doc", "Abrir Documento")</f>
        <v>0</v>
      </c>
      <c r="D10430" t="s">
        <v>23500</v>
      </c>
      <c r="E10430" t="s">
        <v>32905</v>
      </c>
    </row>
    <row r="10431" spans="1:5">
      <c r="A10431" t="s">
        <v>6</v>
      </c>
      <c r="B10431" t="s">
        <v>10436</v>
      </c>
      <c r="C10431">
        <f>HYPERLINK("C:\Users\franc\OneDrive\Documentos\MALENTIN KARIME\BANCO SANTANDER\FRANCISCO JAVIER UBILLA MARTINEZ_FIANZA_Y_CODEUDA_SOLIDARIA (1)fnal.doc", "Abrir Documento")</f>
        <v>0</v>
      </c>
      <c r="D10431" t="s">
        <v>23500</v>
      </c>
      <c r="E10431" t="s">
        <v>32906</v>
      </c>
    </row>
    <row r="10432" spans="1:5">
      <c r="A10432" t="s">
        <v>6</v>
      </c>
      <c r="B10432" t="s">
        <v>10437</v>
      </c>
      <c r="C10432">
        <f>HYPERLINK("C:\Users\franc\OneDrive\Documentos\MALENTIN KARIME\BANCO SANTANDER\FRANCISCO JAVIER UBILLA MARTINEZ_FIANZA_Y_CODEUDA_SOLIDARIA (1)fnal revision.doc", "Abrir Documento")</f>
        <v>0</v>
      </c>
      <c r="D10432" t="s">
        <v>23500</v>
      </c>
      <c r="E10432" t="s">
        <v>32907</v>
      </c>
    </row>
    <row r="10433" spans="1:5">
      <c r="A10433" t="s">
        <v>6</v>
      </c>
      <c r="B10433" t="s">
        <v>10438</v>
      </c>
      <c r="C10433">
        <f>HYPERLINK("C:\Users\franc\OneDrive\Documentos\MALENTIN KARIME\BANCO SANTANDER\FRANCISCO JAVIER UBILLA MARTINEZ_FIANZA_Y_CODEUDA_SOLIDARIA (1).doc", "Abrir Documento")</f>
        <v>0</v>
      </c>
      <c r="D10433" t="s">
        <v>23500</v>
      </c>
      <c r="E10433" t="s">
        <v>32908</v>
      </c>
    </row>
    <row r="10434" spans="1:5">
      <c r="A10434" t="s">
        <v>6</v>
      </c>
      <c r="B10434" t="s">
        <v>10439</v>
      </c>
      <c r="C10434">
        <f>HYPERLINK("C:\Users\franc\OneDrive\Documentos\MALENTIN KARIME\BANCO SANTANDER\FIANZA Y CODEUDA SOLIDARIA 30.09.13.doc", "Abrir Documento")</f>
        <v>0</v>
      </c>
      <c r="D10434" t="s">
        <v>23500</v>
      </c>
      <c r="E10434" t="s">
        <v>32909</v>
      </c>
    </row>
    <row r="10435" spans="1:5">
      <c r="A10435" t="s">
        <v>6</v>
      </c>
      <c r="B10435" t="s">
        <v>10440</v>
      </c>
      <c r="C10435">
        <f>HYPERLINK("C:\Users\franc\OneDrive\Documentos\MALENTIN KARIME\BANCO SANTANDER\F24 Roberto Meneses Gonzalez.doc", "Abrir Documento")</f>
        <v>0</v>
      </c>
      <c r="D10435" t="s">
        <v>23500</v>
      </c>
      <c r="E10435" t="s">
        <v>32910</v>
      </c>
    </row>
    <row r="10436" spans="1:5">
      <c r="A10436" t="s">
        <v>6</v>
      </c>
      <c r="B10436" t="s">
        <v>10441</v>
      </c>
      <c r="C10436">
        <f>HYPERLINK("C:\Users\franc\OneDrive\Documentos\MALENTIN KARIME\BANCO SANTANDER\F24 Juan varas segovia.doc", "Abrir Documento")</f>
        <v>0</v>
      </c>
      <c r="D10436" t="s">
        <v>23500</v>
      </c>
      <c r="E10436" t="s">
        <v>32911</v>
      </c>
    </row>
    <row r="10437" spans="1:5">
      <c r="A10437" t="s">
        <v>6</v>
      </c>
      <c r="B10437" t="s">
        <v>10442</v>
      </c>
      <c r="C10437">
        <f>HYPERLINK("C:\Users\franc\OneDrive\Documentos\MALENTIN KARIME\BANCO SANTANDER\CONSTANZA DE LOS ANGELES eirl.doc", "Abrir Documento")</f>
        <v>0</v>
      </c>
      <c r="D10437" t="s">
        <v>23500</v>
      </c>
      <c r="E10437" t="s">
        <v>32912</v>
      </c>
    </row>
    <row r="10438" spans="1:5">
      <c r="A10438" t="s">
        <v>6</v>
      </c>
      <c r="B10438" t="s">
        <v>10443</v>
      </c>
      <c r="C10438">
        <f>HYPERLINK("C:\Users\franc\OneDrive\Documentos\MALENTIN KARIME\BANCO SANTANDER\CLAUDIO CONTRERAS RAMIREZ Fianza.doc", "Abrir Documento")</f>
        <v>0</v>
      </c>
      <c r="D10438" t="s">
        <v>23500</v>
      </c>
      <c r="E10438" t="s">
        <v>32913</v>
      </c>
    </row>
    <row r="10439" spans="1:5">
      <c r="A10439" t="s">
        <v>6</v>
      </c>
      <c r="B10439" t="s">
        <v>10444</v>
      </c>
      <c r="C10439">
        <f>HYPERLINK("C:\Users\franc\OneDrive\Documentos\MALENTIN KARIME\BANCO SANTANDER\AGRICOLA Y FRIGORIFICO SANTA ADRIANA prenda.doc", "Abrir Documento")</f>
        <v>0</v>
      </c>
      <c r="D10439" t="s">
        <v>23500</v>
      </c>
      <c r="E10439" t="s">
        <v>32914</v>
      </c>
    </row>
    <row r="10440" spans="1:5">
      <c r="A10440" t="s">
        <v>6</v>
      </c>
      <c r="B10440" t="s">
        <v>10445</v>
      </c>
      <c r="C10440">
        <f>HYPERLINK("C:\Users\franc\OneDrive\Documentos\MALENTIN KARIME\BANCO SANTANDER\AGRICOLA Y FRIGORIFICO SANTA ADRIANA instrucciones.doc", "Abrir Documento")</f>
        <v>0</v>
      </c>
      <c r="D10440" t="s">
        <v>23500</v>
      </c>
      <c r="E10440" t="s">
        <v>32915</v>
      </c>
    </row>
    <row r="10441" spans="1:5">
      <c r="A10441" t="s">
        <v>6</v>
      </c>
      <c r="B10441" t="s">
        <v>10446</v>
      </c>
      <c r="C10441">
        <f>HYPERLINK("C:\Users\franc\OneDrive\Documentos\MALENTIN KARIME\BANCO SANTANDER\AGRICOLA Y FRIGORIFICO SANTA ADRIANA Hipoteca.doc", "Abrir Documento")</f>
        <v>0</v>
      </c>
      <c r="D10441" t="s">
        <v>23500</v>
      </c>
      <c r="E10441" t="s">
        <v>32916</v>
      </c>
    </row>
    <row r="10442" spans="1:5">
      <c r="A10442" t="s">
        <v>6</v>
      </c>
      <c r="B10442" t="s">
        <v>10447</v>
      </c>
      <c r="C10442">
        <f>HYPERLINK("C:\Users\franc\OneDrive\Documentos\MALENTIN KARIME\BANCO SANTANDER\AGRICOLA Y FRIGORIFICO SANTA ADRIANA Hipoteca Aclaracion.doc", "Abrir Documento")</f>
        <v>0</v>
      </c>
      <c r="D10442" t="s">
        <v>23500</v>
      </c>
      <c r="E10442" t="s">
        <v>32917</v>
      </c>
    </row>
    <row r="10443" spans="1:5">
      <c r="A10443" t="s">
        <v>6</v>
      </c>
      <c r="B10443" t="s">
        <v>10448</v>
      </c>
      <c r="C10443">
        <f>HYPERLINK("C:\Users\franc\OneDrive\Documentos\MALENTIN KARIME\BANCO ESTADO\promesas\RIGOBERTO COLLAO ALANIZ.doc", "Abrir Documento")</f>
        <v>0</v>
      </c>
      <c r="D10443" t="s">
        <v>23500</v>
      </c>
      <c r="E10443" t="s">
        <v>32918</v>
      </c>
    </row>
    <row r="10444" spans="1:5">
      <c r="A10444" t="s">
        <v>6</v>
      </c>
      <c r="B10444" t="s">
        <v>10449</v>
      </c>
      <c r="C10444">
        <f>HYPERLINK("C:\Users\franc\OneDrive\Documentos\MALENTIN KARIME\BANCO ESTADO\promesas\PEDRO ANTONIO COLLAO ALANIZ.doc", "Abrir Documento")</f>
        <v>0</v>
      </c>
      <c r="D10444" t="s">
        <v>23500</v>
      </c>
      <c r="E10444" t="s">
        <v>32919</v>
      </c>
    </row>
    <row r="10445" spans="1:5">
      <c r="A10445" t="s">
        <v>6</v>
      </c>
      <c r="B10445" t="s">
        <v>10450</v>
      </c>
      <c r="C10445">
        <f>HYPERLINK("C:\Users\franc\OneDrive\Documentos\MALENTIN KARIME\BANCO ESTADO\promesas\LUIS ERNESTO COLLAO FLORES.doc", "Abrir Documento")</f>
        <v>0</v>
      </c>
      <c r="D10445" t="s">
        <v>23500</v>
      </c>
      <c r="E10445" t="s">
        <v>32920</v>
      </c>
    </row>
    <row r="10446" spans="1:5">
      <c r="A10446" t="s">
        <v>6</v>
      </c>
      <c r="B10446" t="s">
        <v>10451</v>
      </c>
      <c r="C10446">
        <f>HYPERLINK("C:\Users\franc\OneDrive\Documentos\MALENTIN KARIME\BANCO ESTADO\promesas\JUAN MAURICIO RAMÍREZ COLLAO.doc", "Abrir Documento")</f>
        <v>0</v>
      </c>
      <c r="D10446" t="s">
        <v>23500</v>
      </c>
      <c r="E10446" t="s">
        <v>32921</v>
      </c>
    </row>
    <row r="10447" spans="1:5">
      <c r="A10447" t="s">
        <v>6</v>
      </c>
      <c r="B10447" t="s">
        <v>10452</v>
      </c>
      <c r="C10447">
        <f>HYPERLINK("C:\Users\franc\OneDrive\Documentos\MALENTIN KARIME\BANCO ESTADO\promesas\HUGO ALBERTO COLLAO ALANIZ.doc", "Abrir Documento")</f>
        <v>0</v>
      </c>
      <c r="D10447" t="s">
        <v>23500</v>
      </c>
      <c r="E10447" t="s">
        <v>32922</v>
      </c>
    </row>
    <row r="10448" spans="1:5">
      <c r="A10448" t="s">
        <v>6</v>
      </c>
      <c r="B10448" t="s">
        <v>10453</v>
      </c>
      <c r="C10448">
        <f>HYPERLINK("C:\Users\franc\OneDrive\Documentos\MALENTIN KARIME\BANCO ESTADO\promesas\CHRISTIAN ERNESTO COLLAO VALENZUELA.doc", "Abrir Documento")</f>
        <v>0</v>
      </c>
      <c r="D10448" t="s">
        <v>23500</v>
      </c>
      <c r="E10448" t="s">
        <v>32923</v>
      </c>
    </row>
    <row r="10449" spans="1:5">
      <c r="A10449" t="s">
        <v>6</v>
      </c>
      <c r="B10449" t="s">
        <v>10454</v>
      </c>
      <c r="C10449">
        <f>HYPERLINK("C:\Users\franc\OneDrive\Documentos\MALENTIN KARIME\BANCO ESTADO\ALZAMIENTO\MARIO ARAYA VEGA Prenda Alz 2018.doc", "Abrir Documento")</f>
        <v>0</v>
      </c>
      <c r="D10449" t="s">
        <v>23500</v>
      </c>
      <c r="E10449" t="s">
        <v>32924</v>
      </c>
    </row>
    <row r="10450" spans="1:5">
      <c r="A10450" t="s">
        <v>6</v>
      </c>
      <c r="B10450" t="s">
        <v>10455</v>
      </c>
      <c r="C10450">
        <f>HYPERLINK("C:\Users\franc\OneDrive\Documentos\MALENTIN KARIME\BANCO ESTADO\ALZAMIENTO\LILIAN MIRANDA H.doc", "Abrir Documento")</f>
        <v>0</v>
      </c>
      <c r="D10450" t="s">
        <v>23500</v>
      </c>
      <c r="E10450" t="s">
        <v>32925</v>
      </c>
    </row>
    <row r="10451" spans="1:5">
      <c r="A10451" t="s">
        <v>6</v>
      </c>
      <c r="B10451" t="s">
        <v>10456</v>
      </c>
      <c r="C10451">
        <f>HYPERLINK("C:\Users\franc\OneDrive\Documentos\MALENTIN KARIME\BANCO ESTADO\ALZAMIENTO\GABRIEL PIZARRO PIZARRO nuevo2017.doc", "Abrir Documento")</f>
        <v>0</v>
      </c>
      <c r="D10451" t="s">
        <v>23500</v>
      </c>
      <c r="E10451" t="s">
        <v>32926</v>
      </c>
    </row>
    <row r="10452" spans="1:5">
      <c r="A10452" t="s">
        <v>6</v>
      </c>
      <c r="B10452" t="s">
        <v>10457</v>
      </c>
      <c r="C10452">
        <f>HYPERLINK("C:\Users\franc\OneDrive\Documentos\MALENTIN KARIME\BANCO ESTADO\ALZAMIENTO\GABRIEL PIZARRO PIZARRO 2017.doc", "Abrir Documento")</f>
        <v>0</v>
      </c>
      <c r="D10452" t="s">
        <v>23500</v>
      </c>
      <c r="E10452" t="s">
        <v>32927</v>
      </c>
    </row>
    <row r="10453" spans="1:5">
      <c r="A10453" t="s">
        <v>6</v>
      </c>
      <c r="B10453" t="s">
        <v>10458</v>
      </c>
      <c r="C10453">
        <f>HYPERLINK("C:\Users\franc\OneDrive\Documentos\MALENTIN KARIME\BANCO ESTADO\ALZAMIENTO\CHRISTIAN AGUIRRE BASULTO 2018.doc", "Abrir Documento")</f>
        <v>0</v>
      </c>
      <c r="D10453" t="s">
        <v>23500</v>
      </c>
      <c r="E10453" t="s">
        <v>32928</v>
      </c>
    </row>
    <row r="10454" spans="1:5">
      <c r="A10454" t="s">
        <v>6</v>
      </c>
      <c r="B10454" t="s">
        <v>10459</v>
      </c>
      <c r="C10454">
        <f>HYPERLINK("C:\Users\franc\OneDrive\Documentos\MALENTIN KARIME\BANCO ESTADO\ALZAMIENTO\ALINA ARDILES.doc", "Abrir Documento")</f>
        <v>0</v>
      </c>
      <c r="D10454" t="s">
        <v>23500</v>
      </c>
      <c r="E10454" t="s">
        <v>32929</v>
      </c>
    </row>
    <row r="10455" spans="1:5">
      <c r="A10455" t="s">
        <v>6</v>
      </c>
      <c r="B10455" t="s">
        <v>10460</v>
      </c>
      <c r="C10455">
        <f>HYPERLINK("C:\Users\franc\OneDrive\Documentos\MALENTIN KARIME\BANCO ESTADO\2012 DEPTO ESCRITURAS fata\NOTARIA 2009\YO\cmhtf hfpc.doc", "Abrir Documento")</f>
        <v>0</v>
      </c>
      <c r="D10455" t="s">
        <v>23500</v>
      </c>
      <c r="E10455" t="s">
        <v>32930</v>
      </c>
    </row>
    <row r="10456" spans="1:5">
      <c r="A10456" t="s">
        <v>6</v>
      </c>
      <c r="B10456" t="s">
        <v>10461</v>
      </c>
      <c r="C10456">
        <f>HYPERLINK("C:\Users\franc\OneDrive\Documentos\MALENTIN KARIME\BANCO ESTADO\2012 DEPTO ESCRITURAS fata\NOTARIA 2009\VTR\RICARDO RISI  TERMINO ARRIENDO.doc", "Abrir Documento")</f>
        <v>0</v>
      </c>
      <c r="D10456" t="s">
        <v>23500</v>
      </c>
      <c r="E10456" t="s">
        <v>32931</v>
      </c>
    </row>
    <row r="10457" spans="1:5">
      <c r="A10457" t="s">
        <v>6</v>
      </c>
      <c r="B10457" t="s">
        <v>10462</v>
      </c>
      <c r="C10457">
        <f>HYPERLINK("C:\Users\franc\OneDrive\Documentos\MALENTIN KARIME\BANCO ESTADO\2012 DEPTO ESCRITURAS fata\NOTARIA 2009\VTR\PODER ESPECIAL.doc", "Abrir Documento")</f>
        <v>0</v>
      </c>
      <c r="D10457" t="s">
        <v>23500</v>
      </c>
      <c r="E10457" t="s">
        <v>32932</v>
      </c>
    </row>
    <row r="10458" spans="1:5">
      <c r="A10458" t="s">
        <v>6</v>
      </c>
      <c r="B10458" t="s">
        <v>10463</v>
      </c>
      <c r="C10458">
        <f>HYPERLINK("C:\Users\franc\OneDrive\Documentos\MALENTIN KARIME\BANCO ESTADO\2012 DEPTO ESCRITURAS fata\NOTARIA 2009\VTR\DECLARACION.DOC", "Abrir Documento")</f>
        <v>0</v>
      </c>
      <c r="D10458" t="s">
        <v>23500</v>
      </c>
      <c r="E10458" t="s">
        <v>32933</v>
      </c>
    </row>
    <row r="10459" spans="1:5">
      <c r="A10459" t="s">
        <v>6</v>
      </c>
      <c r="B10459" t="s">
        <v>10464</v>
      </c>
      <c r="C10459">
        <f>HYPERLINK("C:\Users\franc\OneDrive\Documentos\MALENTIN KARIME\BANCO ESTADO\2012 DEPTO ESCRITURAS fata\NOTARIA 2009\VTR\ARRENDAMIENTO - COM. EL POTRERO.doc", "Abrir Documento")</f>
        <v>0</v>
      </c>
      <c r="D10459" t="s">
        <v>23500</v>
      </c>
      <c r="E10459" t="s">
        <v>32934</v>
      </c>
    </row>
    <row r="10460" spans="1:5">
      <c r="A10460" t="s">
        <v>6</v>
      </c>
      <c r="B10460" t="s">
        <v>10465</v>
      </c>
      <c r="C10460">
        <f>HYPERLINK("C:\Users\franc\OneDrive\Documentos\MALENTIN KARIME\BANCO ESTADO\2012 DEPTO ESCRITURAS fata\NOTARIA 2009\VIVACOP\SERGIO CANIHUANTE  PET.doc", "Abrir Documento")</f>
        <v>0</v>
      </c>
      <c r="D10460" t="s">
        <v>23500</v>
      </c>
      <c r="E10460" t="s">
        <v>32935</v>
      </c>
    </row>
    <row r="10461" spans="1:5">
      <c r="A10461" t="s">
        <v>6</v>
      </c>
      <c r="B10461" t="s">
        <v>10466</v>
      </c>
      <c r="C10461">
        <f>HYPERLINK("C:\Users\franc\OneDrive\Documentos\MALENTIN KARIME\BANCO ESTADO\2012 DEPTO ESCRITURAS fata\NOTARIA 2009\VIVACOP\OSCAR CORTES CORTES.doc", "Abrir Documento")</f>
        <v>0</v>
      </c>
      <c r="D10461" t="s">
        <v>23500</v>
      </c>
      <c r="E10461" t="s">
        <v>32936</v>
      </c>
    </row>
    <row r="10462" spans="1:5">
      <c r="A10462" t="s">
        <v>6</v>
      </c>
      <c r="B10462" t="s">
        <v>10467</v>
      </c>
      <c r="C10462">
        <f>HYPERLINK("C:\Users\franc\OneDrive\Documentos\MALENTIN KARIME\BANCO ESTADO\2012 DEPTO ESCRITURAS fata\NOTARIA 2009\VIVACOP\MARIA CONTRERAS VEGA.doc", "Abrir Documento")</f>
        <v>0</v>
      </c>
      <c r="D10462" t="s">
        <v>23500</v>
      </c>
      <c r="E10462" t="s">
        <v>32937</v>
      </c>
    </row>
    <row r="10463" spans="1:5">
      <c r="A10463" t="s">
        <v>6</v>
      </c>
      <c r="B10463" t="s">
        <v>10468</v>
      </c>
      <c r="C10463">
        <f>HYPERLINK("C:\Users\franc\OneDrive\Documentos\MALENTIN KARIME\BANCO ESTADO\2012 DEPTO ESCRITURAS fata\NOTARIA 2009\VERONICA FALCONE - TRINIDAD EXPORT\Yolanda -Parc1.doc", "Abrir Documento")</f>
        <v>0</v>
      </c>
      <c r="D10463" t="s">
        <v>23500</v>
      </c>
      <c r="E10463" t="s">
        <v>32938</v>
      </c>
    </row>
    <row r="10464" spans="1:5">
      <c r="A10464" t="s">
        <v>6</v>
      </c>
      <c r="B10464" t="s">
        <v>10469</v>
      </c>
      <c r="C10464">
        <f>HYPERLINK("C:\Users\franc\OneDrive\Documentos\MALENTIN KARIME\BANCO ESTADO\2012 DEPTO ESCRITURAS fata\NOTARIA 2009\VERONICA FALCONE - TRINIDAD EXPORT\Yolanda - Parc.doc", "Abrir Documento")</f>
        <v>0</v>
      </c>
      <c r="D10464" t="s">
        <v>23500</v>
      </c>
      <c r="E10464" t="s">
        <v>32939</v>
      </c>
    </row>
    <row r="10465" spans="1:5">
      <c r="A10465" t="s">
        <v>6</v>
      </c>
      <c r="B10465" t="s">
        <v>10470</v>
      </c>
      <c r="C10465">
        <f>HYPERLINK("C:\Users\franc\OneDrive\Documentos\MALENTIN KARIME\BANCO ESTADO\2012 DEPTO ESCRITURAS fata\NOTARIA 2009\VERONICA FALCONE - TRINIDAD EXPORT\Yolanda - Aguas Camarico.doc", "Abrir Documento")</f>
        <v>0</v>
      </c>
      <c r="D10465" t="s">
        <v>23500</v>
      </c>
      <c r="E10465" t="s">
        <v>32940</v>
      </c>
    </row>
    <row r="10466" spans="1:5">
      <c r="A10466" t="s">
        <v>6</v>
      </c>
      <c r="B10466" t="s">
        <v>10471</v>
      </c>
      <c r="C10466">
        <f>HYPERLINK("C:\Users\franc\OneDrive\Documentos\MALENTIN KARIME\BANCO ESTADO\2012 DEPTO ESCRITURAS fata\NOTARIA 2009\VERONICA FALCONE - TRINIDAD EXPORT\Victoria - Parc.dos.doc", "Abrir Documento")</f>
        <v>0</v>
      </c>
      <c r="D10466" t="s">
        <v>23500</v>
      </c>
      <c r="E10466" t="s">
        <v>32941</v>
      </c>
    </row>
    <row r="10467" spans="1:5">
      <c r="A10467" t="s">
        <v>6</v>
      </c>
      <c r="B10467" t="s">
        <v>10472</v>
      </c>
      <c r="C10467">
        <f>HYPERLINK("C:\Users\franc\OneDrive\Documentos\MALENTIN KARIME\BANCO ESTADO\2012 DEPTO ESCRITURAS fata\NOTARIA 2009\VERONICA FALCONE - TRINIDAD EXPORT\SOC. RALIN LIMITADA.doc", "Abrir Documento")</f>
        <v>0</v>
      </c>
      <c r="D10467" t="s">
        <v>23500</v>
      </c>
      <c r="E10467" t="s">
        <v>32942</v>
      </c>
    </row>
    <row r="10468" spans="1:5">
      <c r="A10468" t="s">
        <v>6</v>
      </c>
      <c r="B10468" t="s">
        <v>10473</v>
      </c>
      <c r="C10468">
        <f>HYPERLINK("C:\Users\franc\OneDrive\Documentos\MALENTIN KARIME\BANCO ESTADO\2012 DEPTO ESCRITURAS fata\NOTARIA 2009\VERONICA FALCONE - TRINIDAD EXPORT\San Jorge - Reserva.doc", "Abrir Documento")</f>
        <v>0</v>
      </c>
      <c r="D10468" t="s">
        <v>23500</v>
      </c>
      <c r="E10468" t="s">
        <v>32943</v>
      </c>
    </row>
    <row r="10469" spans="1:5">
      <c r="A10469" t="s">
        <v>6</v>
      </c>
      <c r="B10469" t="s">
        <v>10474</v>
      </c>
      <c r="C10469">
        <f>HYPERLINK("C:\Users\franc\OneDrive\Documentos\MALENTIN KARIME\BANCO ESTADO\2012 DEPTO ESCRITURAS fata\NOTARIA 2009\VERONICA FALCONE - TRINIDAD EXPORT\San Jorge - Parc.doc", "Abrir Documento")</f>
        <v>0</v>
      </c>
      <c r="D10469" t="s">
        <v>23500</v>
      </c>
      <c r="E10469" t="s">
        <v>32944</v>
      </c>
    </row>
    <row r="10470" spans="1:5">
      <c r="A10470" t="s">
        <v>6</v>
      </c>
      <c r="B10470" t="s">
        <v>10475</v>
      </c>
      <c r="C10470">
        <f>HYPERLINK("C:\Users\franc\OneDrive\Documentos\MALENTIN KARIME\BANCO ESTADO\2012 DEPTO ESCRITURAS fata\NOTARIA 2009\VERONICA FALCONE - TRINIDAD EXPORT\San Jorge - Aguas Cogot.doc", "Abrir Documento")</f>
        <v>0</v>
      </c>
      <c r="D10470" t="s">
        <v>23500</v>
      </c>
      <c r="E10470" t="s">
        <v>32945</v>
      </c>
    </row>
    <row r="10471" spans="1:5">
      <c r="A10471" t="s">
        <v>6</v>
      </c>
      <c r="B10471" t="s">
        <v>10476</v>
      </c>
      <c r="C10471">
        <f>HYPERLINK("C:\Users\franc\OneDrive\Documentos\MALENTIN KARIME\BANCO ESTADO\2012 DEPTO ESCRITURAS fata\NOTARIA 2009\VERONICA FALCONE - TRINIDAD EXPORT\Ralín  extracto psd.doc", "Abrir Documento")</f>
        <v>0</v>
      </c>
      <c r="D10471" t="s">
        <v>23500</v>
      </c>
      <c r="E10471" t="s">
        <v>32946</v>
      </c>
    </row>
    <row r="10472" spans="1:5">
      <c r="A10472" t="s">
        <v>6</v>
      </c>
      <c r="B10472" t="s">
        <v>10477</v>
      </c>
      <c r="C10472">
        <f>HYPERLINK("C:\Users\franc\OneDrive\Documentos\MALENTIN KARIME\BANCO ESTADO\2012 DEPTO ESCRITURAS fata\NOTARIA 2009\VERONICA FALCONE - TRINIDAD EXPORT\La Mireya - Parc.doc", "Abrir Documento")</f>
        <v>0</v>
      </c>
      <c r="D10472" t="s">
        <v>23500</v>
      </c>
      <c r="E10472" t="s">
        <v>32947</v>
      </c>
    </row>
    <row r="10473" spans="1:5">
      <c r="A10473" t="s">
        <v>6</v>
      </c>
      <c r="B10473" t="s">
        <v>10478</v>
      </c>
      <c r="C10473">
        <f>HYPERLINK("C:\Users\franc\OneDrive\Documentos\MALENTIN KARIME\BANCO ESTADO\2012 DEPTO ESCRITURAS fata\NOTARIA 2009\VERONICA CERDA\RECTIFICACION.doc", "Abrir Documento")</f>
        <v>0</v>
      </c>
      <c r="D10473" t="s">
        <v>23500</v>
      </c>
      <c r="E10473" t="s">
        <v>32948</v>
      </c>
    </row>
    <row r="10474" spans="1:5">
      <c r="A10474" t="s">
        <v>6</v>
      </c>
      <c r="B10474" t="s">
        <v>10479</v>
      </c>
      <c r="C10474">
        <f>HYPERLINK("C:\Users\franc\OneDrive\Documentos\MALENTIN KARIME\BANCO ESTADO\2012 DEPTO ESCRITURAS fata\NOTARIA 2009\VERONICA CERDA\BERNARDO LEON PARTICION}.doc", "Abrir Documento")</f>
        <v>0</v>
      </c>
      <c r="D10474" t="s">
        <v>23500</v>
      </c>
      <c r="E10474" t="s">
        <v>32949</v>
      </c>
    </row>
    <row r="10475" spans="1:5">
      <c r="A10475" t="s">
        <v>6</v>
      </c>
      <c r="B10475" t="s">
        <v>10480</v>
      </c>
      <c r="C10475">
        <f>HYPERLINK("C:\Users\franc\OneDrive\Documentos\MALENTIN KARIME\BANCO ESTADO\2012 DEPTO ESCRITURAS fata\NOTARIA 2009\VEHICULOS PRIVADOS\EDUARDO HERNANDEZ.doc", "Abrir Documento")</f>
        <v>0</v>
      </c>
      <c r="D10475" t="s">
        <v>23500</v>
      </c>
      <c r="E10475" t="s">
        <v>32950</v>
      </c>
    </row>
    <row r="10476" spans="1:5">
      <c r="A10476" t="s">
        <v>6</v>
      </c>
      <c r="B10476" t="s">
        <v>10481</v>
      </c>
      <c r="C10476">
        <f>HYPERLINK("C:\Users\franc\OneDrive\Documentos\MALENTIN KARIME\BANCO ESTADO\2012 DEPTO ESCRITURAS fata\NOTARIA 2009\VARIOS\WILSON GONZALEZ A JUAN CODOCEO.- JULIO 2010.doc", "Abrir Documento")</f>
        <v>0</v>
      </c>
      <c r="D10476" t="s">
        <v>23500</v>
      </c>
      <c r="E10476" t="s">
        <v>32951</v>
      </c>
    </row>
    <row r="10477" spans="1:5">
      <c r="A10477" t="s">
        <v>6</v>
      </c>
      <c r="B10477" t="s">
        <v>10482</v>
      </c>
      <c r="C10477">
        <f>HYPERLINK("C:\Users\franc\OneDrive\Documentos\MALENTIN KARIME\BANCO ESTADO\2012 DEPTO ESCRITURAS fata\NOTARIA 2009\VARIOS\VISITA OCULAR.doc", "Abrir Documento")</f>
        <v>0</v>
      </c>
      <c r="D10477" t="s">
        <v>23500</v>
      </c>
      <c r="E10477" t="s">
        <v>32952</v>
      </c>
    </row>
    <row r="10478" spans="1:5">
      <c r="A10478" t="s">
        <v>6</v>
      </c>
      <c r="B10478" t="s">
        <v>10483</v>
      </c>
      <c r="C10478">
        <f>HYPERLINK("C:\Users\franc\OneDrive\Documentos\MALENTIN KARIME\BANCO ESTADO\2012 DEPTO ESCRITURAS fata\NOTARIA 2009\VARIOS\venta nicho.doc", "Abrir Documento")</f>
        <v>0</v>
      </c>
      <c r="D10478" t="s">
        <v>23500</v>
      </c>
      <c r="E10478" t="s">
        <v>32953</v>
      </c>
    </row>
    <row r="10479" spans="1:5">
      <c r="A10479" t="s">
        <v>6</v>
      </c>
      <c r="B10479" t="s">
        <v>10484</v>
      </c>
      <c r="C10479">
        <f>HYPERLINK("C:\Users\franc\OneDrive\Documentos\MALENTIN KARIME\BANCO ESTADO\2012 DEPTO ESCRITURAS fata\NOTARIA 2009\VARIOS\VEHICULO FUERA PAIS.doc", "Abrir Documento")</f>
        <v>0</v>
      </c>
      <c r="D10479" t="s">
        <v>23500</v>
      </c>
      <c r="E10479" t="s">
        <v>32954</v>
      </c>
    </row>
    <row r="10480" spans="1:5">
      <c r="A10480" t="s">
        <v>6</v>
      </c>
      <c r="B10480" t="s">
        <v>10485</v>
      </c>
      <c r="C10480">
        <f>HYPERLINK("C:\Users\franc\OneDrive\Documentos\MALENTIN KARIME\BANCO ESTADO\2012 DEPTO ESCRITURAS fata\NOTARIA 2009\VARIOS\TIO LINO.doc", "Abrir Documento")</f>
        <v>0</v>
      </c>
      <c r="D10480" t="s">
        <v>23500</v>
      </c>
      <c r="E10480" t="s">
        <v>32955</v>
      </c>
    </row>
    <row r="10481" spans="1:5">
      <c r="A10481" t="s">
        <v>6</v>
      </c>
      <c r="B10481" t="s">
        <v>10486</v>
      </c>
      <c r="C10481">
        <f>HYPERLINK("C:\Users\franc\OneDrive\Documentos\MALENTIN KARIME\BANCO ESTADO\2012 DEPTO ESCRITURAS fata\NOTARIA 2009\VARIOS\testigo (firma).doc", "Abrir Documento")</f>
        <v>0</v>
      </c>
      <c r="D10481" t="s">
        <v>23500</v>
      </c>
      <c r="E10481" t="s">
        <v>32956</v>
      </c>
    </row>
    <row r="10482" spans="1:5">
      <c r="A10482" t="s">
        <v>6</v>
      </c>
      <c r="B10482" t="s">
        <v>10487</v>
      </c>
      <c r="C10482">
        <f>HYPERLINK("C:\Users\franc\OneDrive\Documentos\MALENTIN KARIME\BANCO ESTADO\2012 DEPTO ESCRITURAS fata\NOTARIA 2009\VARIOS\TERMINO ARRIENDOP.doc", "Abrir Documento")</f>
        <v>0</v>
      </c>
      <c r="D10482" t="s">
        <v>23500</v>
      </c>
      <c r="E10482" t="s">
        <v>32957</v>
      </c>
    </row>
    <row r="10483" spans="1:5">
      <c r="A10483" t="s">
        <v>6</v>
      </c>
      <c r="B10483" t="s">
        <v>10488</v>
      </c>
      <c r="C10483">
        <f>HYPERLINK("C:\Users\franc\OneDrive\Documentos\MALENTIN KARIME\BANCO ESTADO\2012 DEPTO ESCRITURAS fata\NOTARIA 2009\VARIOS\TASACION SOBRE ALIMENTOS.doc", "Abrir Documento")</f>
        <v>0</v>
      </c>
      <c r="D10483" t="s">
        <v>23500</v>
      </c>
      <c r="E10483" t="s">
        <v>32958</v>
      </c>
    </row>
    <row r="10484" spans="1:5">
      <c r="A10484" t="s">
        <v>6</v>
      </c>
      <c r="B10484" t="s">
        <v>10489</v>
      </c>
      <c r="C10484">
        <f>HYPERLINK("C:\Users\franc\OneDrive\Documentos\MALENTIN KARIME\BANCO ESTADO\2012 DEPTO ESCRITURAS fata\NOTARIA 2009\VARIOS\SUC. JUAN BAUTISTA (CONTROL PISQUERO).doc", "Abrir Documento")</f>
        <v>0</v>
      </c>
      <c r="D10484" t="s">
        <v>23500</v>
      </c>
      <c r="E10484" t="s">
        <v>32959</v>
      </c>
    </row>
    <row r="10485" spans="1:5">
      <c r="A10485" t="s">
        <v>6</v>
      </c>
      <c r="B10485" t="s">
        <v>10490</v>
      </c>
      <c r="C10485">
        <f>HYPERLINK("C:\Users\franc\OneDrive\Documentos\MALENTIN KARIME\BANCO ESTADO\2012 DEPTO ESCRITURAS fata\NOTARIA 2009\VARIOS\SUBARRIENDO MIGUEL TAPIA.doc", "Abrir Documento")</f>
        <v>0</v>
      </c>
      <c r="D10485" t="s">
        <v>23500</v>
      </c>
      <c r="E10485" t="s">
        <v>32960</v>
      </c>
    </row>
    <row r="10486" spans="1:5">
      <c r="A10486" t="s">
        <v>6</v>
      </c>
      <c r="B10486" t="s">
        <v>10491</v>
      </c>
      <c r="C10486">
        <f>HYPERLINK("C:\Users\franc\OneDrive\Documentos\MALENTIN KARIME\BANCO ESTADO\2012 DEPTO ESCRITURAS fata\NOTARIA 2009\VARIOS\SOLICITUD ALZAMIENTO PROH. SERVIU.doc", "Abrir Documento")</f>
        <v>0</v>
      </c>
      <c r="D10486" t="s">
        <v>23500</v>
      </c>
      <c r="E10486" t="s">
        <v>32961</v>
      </c>
    </row>
    <row r="10487" spans="1:5">
      <c r="A10487" t="s">
        <v>6</v>
      </c>
      <c r="B10487" t="s">
        <v>10492</v>
      </c>
      <c r="C10487">
        <f>HYPERLINK("C:\Users\franc\OneDrive\Documentos\MALENTIN KARIME\BANCO ESTADO\2012 DEPTO ESCRITURAS fata\NOTARIA 2009\VARIOS\SOCIEDAD DE HECHO.doc", "Abrir Documento")</f>
        <v>0</v>
      </c>
      <c r="D10487" t="s">
        <v>23500</v>
      </c>
      <c r="E10487" t="s">
        <v>32962</v>
      </c>
    </row>
    <row r="10488" spans="1:5">
      <c r="A10488" t="s">
        <v>6</v>
      </c>
      <c r="B10488" t="s">
        <v>10493</v>
      </c>
      <c r="C10488">
        <f>HYPERLINK("C:\Users\franc\OneDrive\Documentos\MALENTIN KARIME\BANCO ESTADO\2012 DEPTO ESCRITURAS fata\NOTARIA 2009\VARIOS\SOCIEDAD DE HECHO Cyntia.doc", "Abrir Documento")</f>
        <v>0</v>
      </c>
      <c r="D10488" t="s">
        <v>23500</v>
      </c>
      <c r="E10488" t="s">
        <v>32963</v>
      </c>
    </row>
    <row r="10489" spans="1:5">
      <c r="A10489" t="s">
        <v>6</v>
      </c>
      <c r="B10489" t="s">
        <v>10494</v>
      </c>
      <c r="C10489">
        <f>HYPERLINK("C:\Users\franc\OneDrive\Documentos\MALENTIN KARIME\BANCO ESTADO\2012 DEPTO ESCRITURAS fata\NOTARIA 2009\VARIOS\SOC. LA GREDA A INVERS. BOSMAN.doc", "Abrir Documento")</f>
        <v>0</v>
      </c>
      <c r="D10489" t="s">
        <v>23500</v>
      </c>
      <c r="E10489" t="s">
        <v>32964</v>
      </c>
    </row>
    <row r="10490" spans="1:5">
      <c r="A10490" t="s">
        <v>6</v>
      </c>
      <c r="B10490" t="s">
        <v>10495</v>
      </c>
      <c r="C10490">
        <f>HYPERLINK("C:\Users\franc\OneDrive\Documentos\MALENTIN KARIME\BANCO ESTADO\2012 DEPTO ESCRITURAS fata\NOTARIA 2009\VARIOS\SOBRE.doc", "Abrir Documento")</f>
        <v>0</v>
      </c>
      <c r="D10490" t="s">
        <v>23500</v>
      </c>
      <c r="E10490" t="s">
        <v>32965</v>
      </c>
    </row>
    <row r="10491" spans="1:5">
      <c r="A10491" t="s">
        <v>6</v>
      </c>
      <c r="B10491" t="s">
        <v>10496</v>
      </c>
      <c r="C10491">
        <f>HYPERLINK("C:\Users\franc\OneDrive\Documentos\MALENTIN KARIME\BANCO ESTADO\2012 DEPTO ESCRITURAS fata\NOTARIA 2009\VARIOS\SLM GRICELL A VICTOR VERGARA.doc", "Abrir Documento")</f>
        <v>0</v>
      </c>
      <c r="D10491" t="s">
        <v>23500</v>
      </c>
      <c r="E10491" t="s">
        <v>32966</v>
      </c>
    </row>
    <row r="10492" spans="1:5">
      <c r="A10492" t="s">
        <v>6</v>
      </c>
      <c r="B10492" t="s">
        <v>10497</v>
      </c>
      <c r="C10492">
        <f>HYPERLINK("C:\Users\franc\OneDrive\Documentos\MALENTIN KARIME\BANCO ESTADO\2012 DEPTO ESCRITURAS fata\NOTARIA 2009\VARIOS\SEPARACION BIENES.doc", "Abrir Documento")</f>
        <v>0</v>
      </c>
      <c r="D10492" t="s">
        <v>23500</v>
      </c>
      <c r="E10492" t="s">
        <v>32967</v>
      </c>
    </row>
    <row r="10493" spans="1:5">
      <c r="A10493" t="s">
        <v>6</v>
      </c>
      <c r="B10493" t="s">
        <v>10498</v>
      </c>
      <c r="C10493">
        <f>HYPERLINK("C:\Users\franc\OneDrive\Documentos\MALENTIN KARIME\BANCO ESTADO\2012 DEPTO ESCRITURAS fata\NOTARIA 2009\VARIOS\RESUMEN LIBRO.doc", "Abrir Documento")</f>
        <v>0</v>
      </c>
      <c r="D10493" t="s">
        <v>23500</v>
      </c>
      <c r="E10493" t="s">
        <v>32968</v>
      </c>
    </row>
    <row r="10494" spans="1:5">
      <c r="A10494" t="s">
        <v>6</v>
      </c>
      <c r="B10494" t="s">
        <v>10499</v>
      </c>
      <c r="C10494">
        <f>HYPERLINK("C:\Users\franc\OneDrive\Documentos\MALENTIN KARIME\BANCO ESTADO\2012 DEPTO ESCRITURAS fata\NOTARIA 2009\VARIOS\RESCILIACION CONTRATO DE ARRENDQMIENOT.doc", "Abrir Documento")</f>
        <v>0</v>
      </c>
      <c r="D10494" t="s">
        <v>23500</v>
      </c>
      <c r="E10494" t="s">
        <v>32969</v>
      </c>
    </row>
    <row r="10495" spans="1:5">
      <c r="A10495" t="s">
        <v>6</v>
      </c>
      <c r="B10495" t="s">
        <v>10500</v>
      </c>
      <c r="C10495">
        <f>HYPERLINK("C:\Users\franc\OneDrive\Documentos\MALENTIN KARIME\BANCO ESTADO\2012 DEPTO ESCRITURAS fata\NOTARIA 2009\VARIOS\RECIBO JANI.doc", "Abrir Documento")</f>
        <v>0</v>
      </c>
      <c r="D10495" t="s">
        <v>23500</v>
      </c>
      <c r="E10495" t="s">
        <v>32970</v>
      </c>
    </row>
    <row r="10496" spans="1:5">
      <c r="A10496" t="s">
        <v>6</v>
      </c>
      <c r="B10496" t="s">
        <v>10501</v>
      </c>
      <c r="C10496">
        <f>HYPERLINK("C:\Users\franc\OneDrive\Documentos\MALENTIN KARIME\BANCO ESTADO\2012 DEPTO ESCRITURAS fata\NOTARIA 2009\VARIOS\RECIBO INSTRUCCIONES.doc", "Abrir Documento")</f>
        <v>0</v>
      </c>
      <c r="D10496" t="s">
        <v>23500</v>
      </c>
      <c r="E10496" t="s">
        <v>32971</v>
      </c>
    </row>
    <row r="10497" spans="1:5">
      <c r="A10497" t="s">
        <v>6</v>
      </c>
      <c r="B10497" t="s">
        <v>10502</v>
      </c>
      <c r="C10497">
        <f>HYPERLINK("C:\Users\franc\OneDrive\Documentos\MALENTIN KARIME\BANCO ESTADO\2012 DEPTO ESCRITURAS fata\NOTARIA 2009\VARIOS\RECIBO DE DINERO.doc", "Abrir Documento")</f>
        <v>0</v>
      </c>
      <c r="D10497" t="s">
        <v>23500</v>
      </c>
      <c r="E10497" t="s">
        <v>32972</v>
      </c>
    </row>
    <row r="10498" spans="1:5">
      <c r="A10498" t="s">
        <v>6</v>
      </c>
      <c r="B10498" t="s">
        <v>10503</v>
      </c>
      <c r="C10498">
        <f>HYPERLINK("C:\Users\franc\OneDrive\Documentos\MALENTIN KARIME\BANCO ESTADO\2012 DEPTO ESCRITURAS fata\NOTARIA 2009\VARIOS\RECIBO DE DINERO ANDRES SUAREZ.doc", "Abrir Documento")</f>
        <v>0</v>
      </c>
      <c r="D10498" t="s">
        <v>23500</v>
      </c>
      <c r="E10498" t="s">
        <v>32973</v>
      </c>
    </row>
    <row r="10499" spans="1:5">
      <c r="A10499" t="s">
        <v>6</v>
      </c>
      <c r="B10499" t="s">
        <v>10504</v>
      </c>
      <c r="C10499">
        <f>HYPERLINK("C:\Users\franc\OneDrive\Documentos\MALENTIN KARIME\BANCO ESTADO\2012 DEPTO ESCRITURAS fata\NOTARIA 2009\VARIOS\RECIBO DE ARRIENDO.doc", "Abrir Documento")</f>
        <v>0</v>
      </c>
      <c r="D10499" t="s">
        <v>23500</v>
      </c>
      <c r="E10499" t="s">
        <v>32974</v>
      </c>
    </row>
    <row r="10500" spans="1:5">
      <c r="A10500" t="s">
        <v>6</v>
      </c>
      <c r="B10500" t="s">
        <v>10505</v>
      </c>
      <c r="C10500">
        <f>HYPERLINK("C:\Users\franc\OneDrive\Documentos\MALENTIN KARIME\BANCO ESTADO\2012 DEPTO ESCRITURAS fata\NOTARIA 2009\VARIOS\RALIN.doc", "Abrir Documento")</f>
        <v>0</v>
      </c>
      <c r="D10500" t="s">
        <v>23500</v>
      </c>
      <c r="E10500" t="s">
        <v>32975</v>
      </c>
    </row>
    <row r="10501" spans="1:5">
      <c r="A10501" t="s">
        <v>6</v>
      </c>
      <c r="B10501" t="s">
        <v>10506</v>
      </c>
      <c r="C10501">
        <f>HYPERLINK("C:\Users\franc\OneDrive\Documentos\MALENTIN KARIME\BANCO ESTADO\2012 DEPTO ESCRITURAS fata\NOTARIA 2009\VARIOS\PROTOCOLIZADO AUTORIZACION.doc", "Abrir Documento")</f>
        <v>0</v>
      </c>
      <c r="D10501" t="s">
        <v>23500</v>
      </c>
      <c r="E10501" t="s">
        <v>32976</v>
      </c>
    </row>
    <row r="10502" spans="1:5">
      <c r="A10502" t="s">
        <v>6</v>
      </c>
      <c r="B10502" t="s">
        <v>10507</v>
      </c>
      <c r="C10502">
        <f>HYPERLINK("C:\Users\franc\OneDrive\Documentos\MALENTIN KARIME\BANCO ESTADO\2012 DEPTO ESCRITURAS fata\NOTARIA 2009\VARIOS\PROTOCOLIZADO AUTORIZACION (LEGAJO.doc", "Abrir Documento")</f>
        <v>0</v>
      </c>
      <c r="D10502" t="s">
        <v>23500</v>
      </c>
      <c r="E10502" t="s">
        <v>32977</v>
      </c>
    </row>
    <row r="10503" spans="1:5">
      <c r="A10503" t="s">
        <v>6</v>
      </c>
      <c r="B10503" t="s">
        <v>10508</v>
      </c>
      <c r="C10503">
        <f>HYPERLINK("C:\Users\franc\OneDrive\Documentos\MALENTIN KARIME\BANCO ESTADO\2012 DEPTO ESCRITURAS fata\NOTARIA 2009\VARIOS\PODER SIMPLE.doc", "Abrir Documento")</f>
        <v>0</v>
      </c>
      <c r="D10503" t="s">
        <v>23500</v>
      </c>
      <c r="E10503" t="s">
        <v>32978</v>
      </c>
    </row>
    <row r="10504" spans="1:5">
      <c r="A10504" t="s">
        <v>6</v>
      </c>
      <c r="B10504" t="s">
        <v>10509</v>
      </c>
      <c r="C10504">
        <f>HYPERLINK("C:\Users\franc\OneDrive\Documentos\MALENTIN KARIME\BANCO ESTADO\2012 DEPTO ESCRITURAS fata\NOTARIA 2009\VARIOS\PODER SIMPLE Y AUTORIZACION.doc", "Abrir Documento")</f>
        <v>0</v>
      </c>
      <c r="D10504" t="s">
        <v>23500</v>
      </c>
      <c r="E10504" t="s">
        <v>32979</v>
      </c>
    </row>
    <row r="10505" spans="1:5">
      <c r="A10505" t="s">
        <v>6</v>
      </c>
      <c r="B10505" t="s">
        <v>10510</v>
      </c>
      <c r="C10505">
        <f>HYPERLINK("C:\Users\franc\OneDrive\Documentos\MALENTIN KARIME\BANCO ESTADO\2012 DEPTO ESCRITURAS fata\NOTARIA 2009\VARIOS\PODER SII PATRICIO PINTO Y OTROS.doc", "Abrir Documento")</f>
        <v>0</v>
      </c>
      <c r="D10505" t="s">
        <v>23500</v>
      </c>
      <c r="E10505" t="s">
        <v>32980</v>
      </c>
    </row>
    <row r="10506" spans="1:5">
      <c r="A10506" t="s">
        <v>6</v>
      </c>
      <c r="B10506" t="s">
        <v>10511</v>
      </c>
      <c r="C10506">
        <f>HYPERLINK("C:\Users\franc\OneDrive\Documentos\MALENTIN KARIME\BANCO ESTADO\2012 DEPTO ESCRITURAS fata\NOTARIA 2009\VARIOS\PODER SII carmen gloria pinto.doc", "Abrir Documento")</f>
        <v>0</v>
      </c>
      <c r="D10506" t="s">
        <v>23500</v>
      </c>
      <c r="E10506" t="s">
        <v>32981</v>
      </c>
    </row>
    <row r="10507" spans="1:5">
      <c r="A10507" t="s">
        <v>6</v>
      </c>
      <c r="B10507" t="s">
        <v>10512</v>
      </c>
      <c r="C10507">
        <f>HYPERLINK("C:\Users\franc\OneDrive\Documentos\MALENTIN KARIME\BANCO ESTADO\2012 DEPTO ESCRITURAS fata\NOTARIA 2009\VARIOS\PODER MINAS.doc", "Abrir Documento")</f>
        <v>0</v>
      </c>
      <c r="D10507" t="s">
        <v>23500</v>
      </c>
      <c r="E10507" t="s">
        <v>32982</v>
      </c>
    </row>
    <row r="10508" spans="1:5">
      <c r="A10508" t="s">
        <v>6</v>
      </c>
      <c r="B10508" t="s">
        <v>10513</v>
      </c>
      <c r="C10508">
        <f>HYPERLINK("C:\Users\franc\OneDrive\Documentos\MALENTIN KARIME\BANCO ESTADO\2012 DEPTO ESCRITURAS fata\NOTARIA 2009\VARIOS\PODER MARIO ARACENA.doc", "Abrir Documento")</f>
        <v>0</v>
      </c>
      <c r="D10508" t="s">
        <v>23500</v>
      </c>
      <c r="E10508" t="s">
        <v>32983</v>
      </c>
    </row>
    <row r="10509" spans="1:5">
      <c r="A10509" t="s">
        <v>6</v>
      </c>
      <c r="B10509" t="s">
        <v>10514</v>
      </c>
      <c r="C10509">
        <f>HYPERLINK("C:\Users\franc\OneDrive\Documentos\MALENTIN KARIME\BANCO ESTADO\2012 DEPTO ESCRITURAS fata\NOTARIA 2009\VARIOS\PODER  VENTA DE VEHICULO Cyntia.doc", "Abrir Documento")</f>
        <v>0</v>
      </c>
      <c r="D10509" t="s">
        <v>23500</v>
      </c>
      <c r="E10509" t="s">
        <v>32984</v>
      </c>
    </row>
    <row r="10510" spans="1:5">
      <c r="A10510" t="s">
        <v>6</v>
      </c>
      <c r="B10510" t="s">
        <v>10515</v>
      </c>
      <c r="C10510">
        <f>HYPERLINK("C:\Users\franc\OneDrive\Documentos\MALENTIN KARIME\BANCO ESTADO\2012 DEPTO ESCRITURAS fata\NOTARIA 2009\VARIOS\PERSONERIA BANCO SANTANDER.doc", "Abrir Documento")</f>
        <v>0</v>
      </c>
      <c r="D10510" t="s">
        <v>23500</v>
      </c>
      <c r="E10510" t="s">
        <v>32985</v>
      </c>
    </row>
    <row r="10511" spans="1:5">
      <c r="A10511" t="s">
        <v>6</v>
      </c>
      <c r="B10511" t="s">
        <v>10516</v>
      </c>
      <c r="C10511">
        <f>HYPERLINK("C:\Users\franc\OneDrive\Documentos\MALENTIN KARIME\BANCO ESTADO\2012 DEPTO ESCRITURAS fata\NOTARIA 2009\VARIOS\PERSONERIA BANCO CHILE.doc", "Abrir Documento")</f>
        <v>0</v>
      </c>
      <c r="D10511" t="s">
        <v>23500</v>
      </c>
      <c r="E10511" t="s">
        <v>32986</v>
      </c>
    </row>
    <row r="10512" spans="1:5">
      <c r="A10512" t="s">
        <v>6</v>
      </c>
      <c r="B10512" t="s">
        <v>10517</v>
      </c>
      <c r="C10512">
        <f>HYPERLINK("C:\Users\franc\OneDrive\Documentos\MALENTIN KARIME\BANCO ESTADO\2012 DEPTO ESCRITURAS fata\NOTARIA 2009\VARIOS\PATRICIO PINTO SOLO.doc", "Abrir Documento")</f>
        <v>0</v>
      </c>
      <c r="D10512" t="s">
        <v>23500</v>
      </c>
      <c r="E10512" t="s">
        <v>32987</v>
      </c>
    </row>
    <row r="10513" spans="1:5">
      <c r="A10513" t="s">
        <v>6</v>
      </c>
      <c r="B10513" t="s">
        <v>10518</v>
      </c>
      <c r="C10513">
        <f>HYPERLINK("C:\Users\franc\OneDrive\Documentos\MALENTIN KARIME\BANCO ESTADO\2012 DEPTO ESCRITURAS fata\NOTARIA 2009\VARIOS\PATRICIO PINTO AUTORIZACION.doc", "Abrir Documento")</f>
        <v>0</v>
      </c>
      <c r="D10513" t="s">
        <v>23500</v>
      </c>
      <c r="E10513" t="s">
        <v>32988</v>
      </c>
    </row>
    <row r="10514" spans="1:5">
      <c r="A10514" t="s">
        <v>6</v>
      </c>
      <c r="B10514" t="s">
        <v>10519</v>
      </c>
      <c r="C10514">
        <f>HYPERLINK("C:\Users\franc\OneDrive\Documentos\MALENTIN KARIME\BANCO ESTADO\2012 DEPTO ESCRITURAS fata\NOTARIA 2009\VARIOS\PAGO IMPUESTO MARUBENI.doc", "Abrir Documento")</f>
        <v>0</v>
      </c>
      <c r="D10514" t="s">
        <v>23500</v>
      </c>
      <c r="E10514" t="s">
        <v>32989</v>
      </c>
    </row>
    <row r="10515" spans="1:5">
      <c r="A10515" t="s">
        <v>6</v>
      </c>
      <c r="B10515" t="s">
        <v>10520</v>
      </c>
      <c r="C10515">
        <f>HYPERLINK("C:\Users\franc\OneDrive\Documentos\MALENTIN KARIME\BANCO ESTADO\2012 DEPTO ESCRITURAS fata\NOTARIA 2009\VARIOS\PAGARE TIO LINO.doc", "Abrir Documento")</f>
        <v>0</v>
      </c>
      <c r="D10515" t="s">
        <v>23500</v>
      </c>
      <c r="E10515" t="s">
        <v>32990</v>
      </c>
    </row>
    <row r="10516" spans="1:5">
      <c r="A10516" t="s">
        <v>6</v>
      </c>
      <c r="B10516" t="s">
        <v>10521</v>
      </c>
      <c r="C10516">
        <f>HYPERLINK("C:\Users\franc\OneDrive\Documentos\MALENTIN KARIME\BANCO ESTADO\2012 DEPTO ESCRITURAS fata\NOTARIA 2009\VARIOS\PAGARE ROXANA LARRONDO.doc", "Abrir Documento")</f>
        <v>0</v>
      </c>
      <c r="D10516" t="s">
        <v>23500</v>
      </c>
      <c r="E10516" t="s">
        <v>32991</v>
      </c>
    </row>
    <row r="10517" spans="1:5">
      <c r="A10517" t="s">
        <v>6</v>
      </c>
      <c r="B10517" t="s">
        <v>10522</v>
      </c>
      <c r="C10517">
        <f>HYPERLINK("C:\Users\franc\OneDrive\Documentos\MALENTIN KARIME\BANCO ESTADO\2012 DEPTO ESCRITURAS fata\NOTARIA 2009\VARIOS\PAGare modelo.doc", "Abrir Documento")</f>
        <v>0</v>
      </c>
      <c r="D10517" t="s">
        <v>23500</v>
      </c>
      <c r="E10517" t="s">
        <v>32992</v>
      </c>
    </row>
    <row r="10518" spans="1:5">
      <c r="A10518" t="s">
        <v>6</v>
      </c>
      <c r="B10518" t="s">
        <v>10523</v>
      </c>
      <c r="C10518">
        <f>HYPERLINK("C:\Users\franc\OneDrive\Documentos\MALENTIN KARIME\BANCO ESTADO\2012 DEPTO ESCRITURAS fata\NOTARIA 2009\VARIOS\PAGARE A PLAZO.doc", "Abrir Documento")</f>
        <v>0</v>
      </c>
      <c r="D10518" t="s">
        <v>23500</v>
      </c>
      <c r="E10518" t="s">
        <v>32993</v>
      </c>
    </row>
    <row r="10519" spans="1:5">
      <c r="A10519" t="s">
        <v>6</v>
      </c>
      <c r="B10519" t="s">
        <v>10524</v>
      </c>
      <c r="C10519">
        <f>HYPERLINK("C:\Users\franc\OneDrive\Documentos\MALENTIN KARIME\BANCO ESTADO\2012 DEPTO ESCRITURAS fata\NOTARIA 2009\VARIOS\PAGARE A LA VISTA.doc", "Abrir Documento")</f>
        <v>0</v>
      </c>
      <c r="D10519" t="s">
        <v>23500</v>
      </c>
      <c r="E10519" t="s">
        <v>32994</v>
      </c>
    </row>
    <row r="10520" spans="1:5">
      <c r="A10520" t="s">
        <v>6</v>
      </c>
      <c r="B10520" t="s">
        <v>10525</v>
      </c>
      <c r="C10520">
        <f>HYPERLINK("C:\Users\franc\OneDrive\Documentos\MALENTIN KARIME\BANCO ESTADO\2012 DEPTO ESCRITURAS fata\NOTARIA 2009\VARIOS\notificacion.doc", "Abrir Documento")</f>
        <v>0</v>
      </c>
      <c r="D10520" t="s">
        <v>23500</v>
      </c>
      <c r="E10520" t="s">
        <v>32995</v>
      </c>
    </row>
    <row r="10521" spans="1:5">
      <c r="A10521" t="s">
        <v>6</v>
      </c>
      <c r="B10521" t="s">
        <v>10526</v>
      </c>
      <c r="C10521">
        <f>HYPERLINK("C:\Users\franc\OneDrive\Documentos\MALENTIN KARIME\BANCO ESTADO\2012 DEPTO ESCRITURAS fata\NOTARIA 2009\VARIOS\notificacion LOGROS.doc", "Abrir Documento")</f>
        <v>0</v>
      </c>
      <c r="D10521" t="s">
        <v>23500</v>
      </c>
      <c r="E10521" t="s">
        <v>32996</v>
      </c>
    </row>
    <row r="10522" spans="1:5">
      <c r="A10522" t="s">
        <v>6</v>
      </c>
      <c r="B10522" t="s">
        <v>10527</v>
      </c>
      <c r="C10522">
        <f>HYPERLINK("C:\Users\franc\OneDrive\Documentos\MALENTIN KARIME\BANCO ESTADO\2012 DEPTO ESCRITURAS fata\NOTARIA 2009\VARIOS\notificacion 2.doc", "Abrir Documento")</f>
        <v>0</v>
      </c>
      <c r="D10522" t="s">
        <v>23500</v>
      </c>
      <c r="E10522" t="s">
        <v>32997</v>
      </c>
    </row>
    <row r="10523" spans="1:5">
      <c r="A10523" t="s">
        <v>6</v>
      </c>
      <c r="B10523" t="s">
        <v>10528</v>
      </c>
      <c r="C10523">
        <f>HYPERLINK("C:\Users\franc\OneDrive\Documentos\MALENTIN KARIME\BANCO ESTADO\2012 DEPTO ESCRITURAS fata\NOTARIA 2009\VARIOS\nota al margen.doc", "Abrir Documento")</f>
        <v>0</v>
      </c>
      <c r="D10523" t="s">
        <v>23500</v>
      </c>
      <c r="E10523" t="s">
        <v>32998</v>
      </c>
    </row>
    <row r="10524" spans="1:5">
      <c r="A10524" t="s">
        <v>6</v>
      </c>
      <c r="B10524" t="s">
        <v>10529</v>
      </c>
      <c r="C10524">
        <f>HYPERLINK("C:\Users\franc\OneDrive\Documentos\MALENTIN KARIME\BANCO ESTADO\2012 DEPTO ESCRITURAS fata\NOTARIA 2009\VARIOS\nota al margen RATIFICACION.doc", "Abrir Documento")</f>
        <v>0</v>
      </c>
      <c r="D10524" t="s">
        <v>23500</v>
      </c>
      <c r="E10524" t="s">
        <v>32999</v>
      </c>
    </row>
    <row r="10525" spans="1:5">
      <c r="A10525" t="s">
        <v>6</v>
      </c>
      <c r="B10525" t="s">
        <v>10530</v>
      </c>
      <c r="C10525">
        <f>HYPERLINK("C:\Users\franc\OneDrive\Documentos\MALENTIN KARIME\BANCO ESTADO\2012 DEPTO ESCRITURAS fata\NOTARIA 2009\VARIOS\nota al margen impuesto vehiculo.doc", "Abrir Documento")</f>
        <v>0</v>
      </c>
      <c r="D10525" t="s">
        <v>23500</v>
      </c>
      <c r="E10525" t="s">
        <v>33000</v>
      </c>
    </row>
    <row r="10526" spans="1:5">
      <c r="A10526" t="s">
        <v>6</v>
      </c>
      <c r="B10526" t="s">
        <v>10531</v>
      </c>
      <c r="C10526">
        <f>HYPERLINK("C:\Users\franc\OneDrive\Documentos\MALENTIN KARIME\BANCO ESTADO\2012 DEPTO ESCRITURAS fata\NOTARIA 2009\VARIOS\nota al margen 1.doc", "Abrir Documento")</f>
        <v>0</v>
      </c>
      <c r="D10526" t="s">
        <v>23500</v>
      </c>
      <c r="E10526" t="s">
        <v>33001</v>
      </c>
    </row>
    <row r="10527" spans="1:5">
      <c r="A10527" t="s">
        <v>6</v>
      </c>
      <c r="B10527" t="s">
        <v>10532</v>
      </c>
      <c r="C10527">
        <f>HYPERLINK("C:\Users\franc\OneDrive\Documentos\MALENTIN KARIME\BANCO ESTADO\2012 DEPTO ESCRITURAS fata\NOTARIA 2009\VARIOS\MODELO  FORMULARIO 24 MUTUO A LA VISTA.doc", "Abrir Documento")</f>
        <v>0</v>
      </c>
      <c r="D10527" t="s">
        <v>23500</v>
      </c>
      <c r="E10527" t="s">
        <v>33002</v>
      </c>
    </row>
    <row r="10528" spans="1:5">
      <c r="A10528" t="s">
        <v>6</v>
      </c>
      <c r="B10528" t="s">
        <v>10533</v>
      </c>
      <c r="C10528">
        <f>HYPERLINK("C:\Users\franc\OneDrive\Documentos\MALENTIN KARIME\BANCO ESTADO\2012 DEPTO ESCRITURAS fata\NOTARIA 2009\VARIOS\MODELO   FORMULARIO  24.doc", "Abrir Documento")</f>
        <v>0</v>
      </c>
      <c r="D10528" t="s">
        <v>23500</v>
      </c>
      <c r="E10528" t="s">
        <v>33003</v>
      </c>
    </row>
    <row r="10529" spans="1:5">
      <c r="A10529" t="s">
        <v>6</v>
      </c>
      <c r="B10529" t="s">
        <v>10534</v>
      </c>
      <c r="C10529">
        <f>HYPERLINK("C:\Users\franc\OneDrive\Documentos\MALENTIN KARIME\BANCO ESTADO\2012 DEPTO ESCRITURAS fata\NOTARIA 2009\VARIOS\MODELO   FORMULARIO  24 NORA.doc", "Abrir Documento")</f>
        <v>0</v>
      </c>
      <c r="D10529" t="s">
        <v>23500</v>
      </c>
      <c r="E10529" t="s">
        <v>33004</v>
      </c>
    </row>
    <row r="10530" spans="1:5">
      <c r="A10530" t="s">
        <v>6</v>
      </c>
      <c r="B10530" t="s">
        <v>10535</v>
      </c>
      <c r="C10530">
        <f>HYPERLINK("C:\Users\franc\OneDrive\Documentos\MALENTIN KARIME\BANCO ESTADO\2012 DEPTO ESCRITURAS fata\NOTARIA 2009\VARIOS\MODELO   FORMULARIO  24 MAURICIO.doc", "Abrir Documento")</f>
        <v>0</v>
      </c>
      <c r="D10530" t="s">
        <v>23500</v>
      </c>
      <c r="E10530" t="s">
        <v>33005</v>
      </c>
    </row>
    <row r="10531" spans="1:5">
      <c r="A10531" t="s">
        <v>6</v>
      </c>
      <c r="B10531" t="s">
        <v>10536</v>
      </c>
      <c r="C10531">
        <f>HYPERLINK("C:\Users\franc\OneDrive\Documentos\MALENTIN KARIME\BANCO ESTADO\2012 DEPTO ESCRITURAS fata\NOTARIA 2009\VARIOS\MODELO   FORMULARIO  24  TRES.doc", "Abrir Documento")</f>
        <v>0</v>
      </c>
      <c r="D10531" t="s">
        <v>23500</v>
      </c>
      <c r="E10531" t="s">
        <v>33006</v>
      </c>
    </row>
    <row r="10532" spans="1:5">
      <c r="A10532" t="s">
        <v>6</v>
      </c>
      <c r="B10532" t="s">
        <v>10537</v>
      </c>
      <c r="C10532">
        <f>HYPERLINK("C:\Users\franc\OneDrive\Documentos\MALENTIN KARIME\BANCO ESTADO\2012 DEPTO ESCRITURAS fata\NOTARIA 2009\VARIOS\MODELO   FORMULARIO  24  DOS.doc", "Abrir Documento")</f>
        <v>0</v>
      </c>
      <c r="D10532" t="s">
        <v>23500</v>
      </c>
      <c r="E10532" t="s">
        <v>33007</v>
      </c>
    </row>
    <row r="10533" spans="1:5">
      <c r="A10533" t="s">
        <v>6</v>
      </c>
      <c r="B10533" t="s">
        <v>10538</v>
      </c>
      <c r="C10533">
        <f>HYPERLINK("C:\Users\franc\OneDrive\Documentos\MALENTIN KARIME\BANCO ESTADO\2012 DEPTO ESCRITURAS fata\NOTARIA 2009\VARIOS\MIRIAM VILLALOBOS (DEC).doc", "Abrir Documento")</f>
        <v>0</v>
      </c>
      <c r="D10533" t="s">
        <v>23500</v>
      </c>
      <c r="E10533" t="s">
        <v>33008</v>
      </c>
    </row>
    <row r="10534" spans="1:5">
      <c r="A10534" t="s">
        <v>6</v>
      </c>
      <c r="B10534" t="s">
        <v>10539</v>
      </c>
      <c r="C10534">
        <f>HYPERLINK("C:\Users\franc\OneDrive\Documentos\MALENTIN KARIME\BANCO ESTADO\2012 DEPTO ESCRITURAS fata\NOTARIA 2009\VARIOS\Minuta Eliana Gomez Conservador Bienes Raíces.doc", "Abrir Documento")</f>
        <v>0</v>
      </c>
      <c r="D10534" t="s">
        <v>23500</v>
      </c>
      <c r="E10534" t="s">
        <v>33009</v>
      </c>
    </row>
    <row r="10535" spans="1:5">
      <c r="A10535" t="s">
        <v>6</v>
      </c>
      <c r="B10535" t="s">
        <v>10540</v>
      </c>
      <c r="C10535">
        <f>HYPERLINK("C:\Users\franc\OneDrive\Documentos\MALENTIN KARIME\BANCO ESTADO\2012 DEPTO ESCRITURAS fata\NOTARIA 2009\VARIOS\minuta al conservador.doc", "Abrir Documento")</f>
        <v>0</v>
      </c>
      <c r="D10535" t="s">
        <v>23500</v>
      </c>
      <c r="E10535" t="s">
        <v>33010</v>
      </c>
    </row>
    <row r="10536" spans="1:5">
      <c r="A10536" t="s">
        <v>6</v>
      </c>
      <c r="B10536" t="s">
        <v>10541</v>
      </c>
      <c r="C10536">
        <f>HYPERLINK("C:\Users\franc\OneDrive\Documentos\MALENTIN KARIME\BANCO ESTADO\2012 DEPTO ESCRITURAS fata\NOTARIA 2009\VARIOS\minuta al conservador VERANEO PACIFICO.doc", "Abrir Documento")</f>
        <v>0</v>
      </c>
      <c r="D10536" t="s">
        <v>23500</v>
      </c>
      <c r="E10536" t="s">
        <v>33011</v>
      </c>
    </row>
    <row r="10537" spans="1:5">
      <c r="A10537" t="s">
        <v>6</v>
      </c>
      <c r="B10537" t="s">
        <v>10542</v>
      </c>
      <c r="C10537">
        <f>HYPERLINK("C:\Users\franc\OneDrive\Documentos\MALENTIN KARIME\BANCO ESTADO\2012 DEPTO ESCRITURAS fata\NOTARIA 2009\VARIOS\minuta al conservador PEDRO BARRIOS.doc", "Abrir Documento")</f>
        <v>0</v>
      </c>
      <c r="D10537" t="s">
        <v>23500</v>
      </c>
      <c r="E10537" t="s">
        <v>33012</v>
      </c>
    </row>
    <row r="10538" spans="1:5">
      <c r="A10538" t="s">
        <v>6</v>
      </c>
      <c r="B10538" t="s">
        <v>10543</v>
      </c>
      <c r="C10538">
        <f>HYPERLINK("C:\Users\franc\OneDrive\Documentos\MALENTIN KARIME\BANCO ESTADO\2012 DEPTO ESCRITURAS fata\NOTARIA 2009\VARIOS\minuta al conservador ELDA ORTIZ PARDIÑA.doc", "Abrir Documento")</f>
        <v>0</v>
      </c>
      <c r="D10538" t="s">
        <v>23500</v>
      </c>
      <c r="E10538" t="s">
        <v>33013</v>
      </c>
    </row>
    <row r="10539" spans="1:5">
      <c r="A10539" t="s">
        <v>6</v>
      </c>
      <c r="B10539" t="s">
        <v>10544</v>
      </c>
      <c r="C10539">
        <f>HYPERLINK("C:\Users\franc\OneDrive\Documentos\MALENTIN KARIME\BANCO ESTADO\2012 DEPTO ESCRITURAS fata\NOTARIA 2009\VARIOS\minuta al conservador AGRICOLA ALIRO PINTO.doc", "Abrir Documento")</f>
        <v>0</v>
      </c>
      <c r="D10539" t="s">
        <v>23500</v>
      </c>
      <c r="E10539" t="s">
        <v>33014</v>
      </c>
    </row>
    <row r="10540" spans="1:5">
      <c r="A10540" t="s">
        <v>6</v>
      </c>
      <c r="B10540" t="s">
        <v>10545</v>
      </c>
      <c r="C10540">
        <f>HYPERLINK("C:\Users\franc\OneDrive\Documentos\MALENTIN KARIME\BANCO ESTADO\2012 DEPTO ESCRITURAS fata\NOTARIA 2009\VARIOS\MIGUEL TAPIA Y OTROS A JOSE M TELLO (RESCILIACION.doc", "Abrir Documento")</f>
        <v>0</v>
      </c>
      <c r="D10540" t="s">
        <v>23500</v>
      </c>
      <c r="E10540" t="s">
        <v>33015</v>
      </c>
    </row>
    <row r="10541" spans="1:5">
      <c r="A10541" t="s">
        <v>6</v>
      </c>
      <c r="B10541" t="s">
        <v>10546</v>
      </c>
      <c r="C10541">
        <f>HYPERLINK("C:\Users\franc\OneDrive\Documentos\MALENTIN KARIME\BANCO ESTADO\2012 DEPTO ESCRITURAS fata\NOTARIA 2009\VARIOS\MIGUEL SALINAS A WILSON SALINAS (ARRIENDO MINAS).doc", "Abrir Documento")</f>
        <v>0</v>
      </c>
      <c r="D10541" t="s">
        <v>23500</v>
      </c>
      <c r="E10541" t="s">
        <v>33016</v>
      </c>
    </row>
    <row r="10542" spans="1:5">
      <c r="A10542" t="s">
        <v>6</v>
      </c>
      <c r="B10542" t="s">
        <v>10547</v>
      </c>
      <c r="C10542">
        <f>HYPERLINK("C:\Users\franc\OneDrive\Documentos\MALENTIN KARIME\BANCO ESTADO\2012 DEPTO ESCRITURAS fata\NOTARIA 2009\VARIOS\MERCEDES PIZARRO A LUIS MUNDACA (CONTROL).doc", "Abrir Documento")</f>
        <v>0</v>
      </c>
      <c r="D10542" t="s">
        <v>23500</v>
      </c>
      <c r="E10542" t="s">
        <v>33017</v>
      </c>
    </row>
    <row r="10543" spans="1:5">
      <c r="A10543" t="s">
        <v>6</v>
      </c>
      <c r="B10543" t="s">
        <v>10548</v>
      </c>
      <c r="C10543">
        <f>HYPERLINK("C:\Users\franc\OneDrive\Documentos\MALENTIN KARIME\BANCO ESTADO\2012 DEPTO ESCRITURAS fata\NOTARIA 2009\VARIOS\MARLENE PIZARRO A AMIGO.doc", "Abrir Documento")</f>
        <v>0</v>
      </c>
      <c r="D10543" t="s">
        <v>23500</v>
      </c>
      <c r="E10543" t="s">
        <v>33018</v>
      </c>
    </row>
    <row r="10544" spans="1:5">
      <c r="A10544" t="s">
        <v>6</v>
      </c>
      <c r="B10544" t="s">
        <v>10549</v>
      </c>
      <c r="C10544">
        <f>HYPERLINK("C:\Users\franc\OneDrive\Documentos\MALENTIN KARIME\BANCO ESTADO\2012 DEPTO ESCRITURAS fata\NOTARIA 2009\VARIOS\MARIO RAMIREZ A JUAN CONTRATO OBRA.doc", "Abrir Documento")</f>
        <v>0</v>
      </c>
      <c r="D10544" t="s">
        <v>23500</v>
      </c>
      <c r="E10544" t="s">
        <v>33019</v>
      </c>
    </row>
    <row r="10545" spans="1:5">
      <c r="A10545" t="s">
        <v>6</v>
      </c>
      <c r="B10545" t="s">
        <v>10550</v>
      </c>
      <c r="C10545">
        <f>HYPERLINK("C:\Users\franc\OneDrive\Documentos\MALENTIN KARIME\BANCO ESTADO\2012 DEPTO ESCRITURAS fata\NOTARIA 2009\VARIOS\MARIO RAMIREZ A JUAN BARRAZA.doc", "Abrir Documento")</f>
        <v>0</v>
      </c>
      <c r="D10545" t="s">
        <v>23500</v>
      </c>
      <c r="E10545" t="s">
        <v>33020</v>
      </c>
    </row>
    <row r="10546" spans="1:5">
      <c r="A10546" t="s">
        <v>6</v>
      </c>
      <c r="B10546" t="s">
        <v>10551</v>
      </c>
      <c r="C10546">
        <f>HYPERLINK("C:\Users\franc\OneDrive\Documentos\MALENTIN KARIME\BANCO ESTADO\2012 DEPTO ESCRITURAS fata\NOTARIA 2009\VARIOS\maria barraza.doc", "Abrir Documento")</f>
        <v>0</v>
      </c>
      <c r="D10546" t="s">
        <v>23500</v>
      </c>
      <c r="E10546" t="s">
        <v>33021</v>
      </c>
    </row>
    <row r="10547" spans="1:5">
      <c r="A10547" t="s">
        <v>6</v>
      </c>
      <c r="B10547" t="s">
        <v>10552</v>
      </c>
      <c r="C10547">
        <f>HYPERLINK("C:\Users\franc\OneDrive\Documentos\MALENTIN KARIME\BANCO ESTADO\2012 DEPTO ESCRITURAS fata\NOTARIA 2009\VARIOS\MANUEL POZO.doc", "Abrir Documento")</f>
        <v>0</v>
      </c>
      <c r="D10547" t="s">
        <v>23500</v>
      </c>
      <c r="E10547" t="s">
        <v>33022</v>
      </c>
    </row>
    <row r="10548" spans="1:5">
      <c r="A10548" t="s">
        <v>6</v>
      </c>
      <c r="B10548" t="s">
        <v>10553</v>
      </c>
      <c r="C10548">
        <f>HYPERLINK("C:\Users\franc\OneDrive\Documentos\MALENTIN KARIME\BANCO ESTADO\2012 DEPTO ESCRITURAS fata\NOTARIA 2009\VARIOS\LUIS ARAYA A JUAN BARRAZA.- NOVIEMBRE 2010.doc", "Abrir Documento")</f>
        <v>0</v>
      </c>
      <c r="D10548" t="s">
        <v>23500</v>
      </c>
      <c r="E10548" t="s">
        <v>33023</v>
      </c>
    </row>
    <row r="10549" spans="1:5">
      <c r="A10549" t="s">
        <v>6</v>
      </c>
      <c r="B10549" t="s">
        <v>10554</v>
      </c>
      <c r="C10549">
        <f>HYPERLINK("C:\Users\franc\OneDrive\Documentos\MALENTIN KARIME\BANCO ESTADO\2012 DEPTO ESCRITURAS fata\NOTARIA 2009\VARIOS\LIMARI TRADING S.A. SII.doc", "Abrir Documento")</f>
        <v>0</v>
      </c>
      <c r="D10549" t="s">
        <v>23500</v>
      </c>
      <c r="E10549" t="s">
        <v>33024</v>
      </c>
    </row>
    <row r="10550" spans="1:5">
      <c r="A10550" t="s">
        <v>6</v>
      </c>
      <c r="B10550" t="s">
        <v>10555</v>
      </c>
      <c r="C10550">
        <f>HYPERLINK("C:\Users\franc\OneDrive\Documentos\MALENTIN KARIME\BANCO ESTADO\2012 DEPTO ESCRITURAS fata\NOTARIA 2009\VARIOS\LEY 19840 BCO ESTADO.doc", "Abrir Documento")</f>
        <v>0</v>
      </c>
      <c r="D10550" t="s">
        <v>23500</v>
      </c>
      <c r="E10550" t="s">
        <v>33025</v>
      </c>
    </row>
    <row r="10551" spans="1:5">
      <c r="A10551" t="s">
        <v>6</v>
      </c>
      <c r="B10551" t="s">
        <v>10556</v>
      </c>
      <c r="C10551">
        <f>HYPERLINK("C:\Users\franc\OneDrive\Documentos\MALENTIN KARIME\BANCO ESTADO\2012 DEPTO ESCRITURAS fata\NOTARIA 2009\VARIOS\JORGE QUIROZ AUT. SII.doc", "Abrir Documento")</f>
        <v>0</v>
      </c>
      <c r="D10551" t="s">
        <v>23500</v>
      </c>
      <c r="E10551" t="s">
        <v>33026</v>
      </c>
    </row>
    <row r="10552" spans="1:5">
      <c r="A10552" t="s">
        <v>6</v>
      </c>
      <c r="B10552" t="s">
        <v>10557</v>
      </c>
      <c r="C10552">
        <f>HYPERLINK("C:\Users\franc\OneDrive\Documentos\MALENTIN KARIME\BANCO ESTADO\2012 DEPTO ESCRITURAS fata\NOTARIA 2009\VARIOS\JORGE ARACENA.doc", "Abrir Documento")</f>
        <v>0</v>
      </c>
      <c r="D10552" t="s">
        <v>23500</v>
      </c>
      <c r="E10552" t="s">
        <v>33027</v>
      </c>
    </row>
    <row r="10553" spans="1:5">
      <c r="A10553" t="s">
        <v>6</v>
      </c>
      <c r="B10553" t="s">
        <v>10558</v>
      </c>
      <c r="C10553">
        <f>HYPERLINK("C:\Users\franc\OneDrive\Documentos\MALENTIN KARIME\BANCO ESTADO\2012 DEPTO ESCRITURAS fata\NOTARIA 2009\VARIOS\JORGE ARACENA  A LUIS CORTES (COPPELIA UNO).doc", "Abrir Documento")</f>
        <v>0</v>
      </c>
      <c r="D10553" t="s">
        <v>23500</v>
      </c>
      <c r="E10553" t="s">
        <v>33028</v>
      </c>
    </row>
    <row r="10554" spans="1:5">
      <c r="A10554" t="s">
        <v>6</v>
      </c>
      <c r="B10554" t="s">
        <v>10559</v>
      </c>
      <c r="C10554">
        <f>HYPERLINK("C:\Users\franc\OneDrive\Documentos\MALENTIN KARIME\BANCO ESTADO\2012 DEPTO ESCRITURAS fata\NOTARIA 2009\VARIOS\ISABEL ALDUNATE.doc", "Abrir Documento")</f>
        <v>0</v>
      </c>
      <c r="D10554" t="s">
        <v>23500</v>
      </c>
      <c r="E10554" t="s">
        <v>33029</v>
      </c>
    </row>
    <row r="10555" spans="1:5">
      <c r="A10555" t="s">
        <v>6</v>
      </c>
      <c r="B10555" t="s">
        <v>10560</v>
      </c>
      <c r="C10555">
        <f>HYPERLINK("C:\Users\franc\OneDrive\Documentos\MALENTIN KARIME\BANCO ESTADO\2012 DEPTO ESCRITURAS fata\NOTARIA 2009\VARIOS\IMPUESTO VEHICULO FINAL.doc", "Abrir Documento")</f>
        <v>0</v>
      </c>
      <c r="D10555" t="s">
        <v>23500</v>
      </c>
      <c r="E10555" t="s">
        <v>33030</v>
      </c>
    </row>
    <row r="10556" spans="1:5">
      <c r="A10556" t="s">
        <v>6</v>
      </c>
      <c r="B10556" t="s">
        <v>10561</v>
      </c>
      <c r="C10556">
        <f>HYPERLINK("C:\Users\franc\OneDrive\Documentos\MALENTIN KARIME\BANCO ESTADO\2012 DEPTO ESCRITURAS fata\NOTARIA 2009\VARIOS\impuesto margen izq.doc", "Abrir Documento")</f>
        <v>0</v>
      </c>
      <c r="D10556" t="s">
        <v>23500</v>
      </c>
      <c r="E10556" t="s">
        <v>33031</v>
      </c>
    </row>
    <row r="10557" spans="1:5">
      <c r="A10557" t="s">
        <v>6</v>
      </c>
      <c r="B10557" t="s">
        <v>10562</v>
      </c>
      <c r="C10557">
        <f>HYPERLINK("C:\Users\franc\OneDrive\Documentos\MALENTIN KARIME\BANCO ESTADO\2012 DEPTO ESCRITURAS fata\NOTARIA 2009\VARIOS\HUGO VALDIVIA.doc", "Abrir Documento")</f>
        <v>0</v>
      </c>
      <c r="D10557" t="s">
        <v>23500</v>
      </c>
      <c r="E10557" t="s">
        <v>33032</v>
      </c>
    </row>
    <row r="10558" spans="1:5">
      <c r="A10558" t="s">
        <v>6</v>
      </c>
      <c r="B10558" t="s">
        <v>10563</v>
      </c>
      <c r="C10558">
        <f>HYPERLINK("C:\Users\franc\OneDrive\Documentos\MALENTIN KARIME\BANCO ESTADO\2012 DEPTO ESCRITURAS fata\NOTARIA 2009\VARIOS\HOTELERA PLAZA TURISMO -  SII.doc", "Abrir Documento")</f>
        <v>0</v>
      </c>
      <c r="D10558" t="s">
        <v>23500</v>
      </c>
      <c r="E10558" t="s">
        <v>33033</v>
      </c>
    </row>
    <row r="10559" spans="1:5">
      <c r="A10559" t="s">
        <v>6</v>
      </c>
      <c r="B10559" t="s">
        <v>10564</v>
      </c>
      <c r="C10559">
        <f>HYPERLINK("C:\Users\franc\OneDrive\Documentos\MALENTIN KARIME\BANCO ESTADO\2012 DEPTO ESCRITURAS fata\NOTARIA 2009\VARIOS\HOTELERA AMERICAN  -  SII.doc", "Abrir Documento")</f>
        <v>0</v>
      </c>
      <c r="D10559" t="s">
        <v>23500</v>
      </c>
      <c r="E10559" t="s">
        <v>33034</v>
      </c>
    </row>
    <row r="10560" spans="1:5">
      <c r="A10560" t="s">
        <v>6</v>
      </c>
      <c r="B10560" t="s">
        <v>10565</v>
      </c>
      <c r="C10560">
        <f>HYPERLINK("C:\Users\franc\OneDrive\Documentos\MALENTIN KARIME\BANCO ESTADO\2012 DEPTO ESCRITURAS fata\NOTARIA 2009\VARIOS\HOJA INSCRIPCIONES.doc", "Abrir Documento")</f>
        <v>0</v>
      </c>
      <c r="D10560" t="s">
        <v>23500</v>
      </c>
      <c r="E10560" t="s">
        <v>33035</v>
      </c>
    </row>
    <row r="10561" spans="1:5">
      <c r="A10561" t="s">
        <v>6</v>
      </c>
      <c r="B10561" t="s">
        <v>10566</v>
      </c>
      <c r="C10561">
        <f>HYPERLINK("C:\Users\franc\OneDrive\Documentos\MALENTIN KARIME\BANCO ESTADO\2012 DEPTO ESCRITURAS fata\NOTARIA 2009\VARIOS\HOJA BANCO CORPBANCA.doc", "Abrir Documento")</f>
        <v>0</v>
      </c>
      <c r="D10561" t="s">
        <v>23500</v>
      </c>
      <c r="E10561" t="s">
        <v>33036</v>
      </c>
    </row>
    <row r="10562" spans="1:5">
      <c r="A10562" t="s">
        <v>6</v>
      </c>
      <c r="B10562" t="s">
        <v>10567</v>
      </c>
      <c r="C10562">
        <f>HYPERLINK("C:\Users\franc\OneDrive\Documentos\MALENTIN KARIME\BANCO ESTADO\2012 DEPTO ESCRITURAS fata\NOTARIA 2009\VARIOS\HIPOLITO JOPIA.doc", "Abrir Documento")</f>
        <v>0</v>
      </c>
      <c r="D10562" t="s">
        <v>23500</v>
      </c>
      <c r="E10562" t="s">
        <v>33037</v>
      </c>
    </row>
    <row r="10563" spans="1:5">
      <c r="A10563" t="s">
        <v>6</v>
      </c>
      <c r="B10563" t="s">
        <v>10568</v>
      </c>
      <c r="C10563">
        <f>HYPERLINK("C:\Users\franc\OneDrive\Documentos\MALENTIN KARIME\BANCO ESTADO\2012 DEPTO ESCRITURAS fata\NOTARIA 2009\VARIOS\GASTOS HERNAN.doc", "Abrir Documento")</f>
        <v>0</v>
      </c>
      <c r="D10563" t="s">
        <v>23500</v>
      </c>
      <c r="E10563" t="s">
        <v>33038</v>
      </c>
    </row>
    <row r="10564" spans="1:5">
      <c r="A10564" t="s">
        <v>6</v>
      </c>
      <c r="B10564" t="s">
        <v>10569</v>
      </c>
      <c r="C10564">
        <f>HYPERLINK("C:\Users\franc\OneDrive\Documentos\MALENTIN KARIME\BANCO ESTADO\2012 DEPTO ESCRITURAS fata\NOTARIA 2009\VARIOS\GABRIEL MORENO.doc", "Abrir Documento")</f>
        <v>0</v>
      </c>
      <c r="D10564" t="s">
        <v>23500</v>
      </c>
      <c r="E10564" t="s">
        <v>33039</v>
      </c>
    </row>
    <row r="10565" spans="1:5">
      <c r="A10565" t="s">
        <v>6</v>
      </c>
      <c r="B10565" t="s">
        <v>10570</v>
      </c>
      <c r="C10565">
        <f>HYPERLINK("C:\Users\franc\OneDrive\Documentos\MALENTIN KARIME\BANCO ESTADO\2012 DEPTO ESCRITURAS fata\NOTARIA 2009\VARIOS\GABRIEL MORENO DOS.doc", "Abrir Documento")</f>
        <v>0</v>
      </c>
      <c r="D10565" t="s">
        <v>23500</v>
      </c>
      <c r="E10565" t="s">
        <v>33040</v>
      </c>
    </row>
    <row r="10566" spans="1:5">
      <c r="A10566" t="s">
        <v>6</v>
      </c>
      <c r="B10566" t="s">
        <v>10571</v>
      </c>
      <c r="C10566">
        <f>HYPERLINK("C:\Users\franc\OneDrive\Documentos\MALENTIN KARIME\BANCO ESTADO\2012 DEPTO ESCRITURAS fata\NOTARIA 2009\VARIOS\fotos.doc", "Abrir Documento")</f>
        <v>0</v>
      </c>
      <c r="D10566" t="s">
        <v>23500</v>
      </c>
      <c r="E10566" t="s">
        <v>33041</v>
      </c>
    </row>
    <row r="10567" spans="1:5">
      <c r="A10567" t="s">
        <v>6</v>
      </c>
      <c r="B10567" t="s">
        <v>10572</v>
      </c>
      <c r="C10567">
        <f>HYPERLINK("C:\Users\franc\OneDrive\Documentos\MALENTIN KARIME\BANCO ESTADO\2012 DEPTO ESCRITURAS fata\NOTARIA 2009\VARIOS\Formulario para Testamentos[1].doc", "Abrir Documento")</f>
        <v>0</v>
      </c>
      <c r="D10567" t="s">
        <v>23500</v>
      </c>
      <c r="E10567" t="s">
        <v>33042</v>
      </c>
    </row>
    <row r="10568" spans="1:5">
      <c r="A10568" t="s">
        <v>6</v>
      </c>
      <c r="B10568" t="s">
        <v>10573</v>
      </c>
      <c r="C10568">
        <f>HYPERLINK("C:\Users\franc\OneDrive\Documentos\MALENTIN KARIME\BANCO ESTADO\2012 DEPTO ESCRITURAS fata\NOTARIA 2009\VARIOS\FIRMAS RENE MARIN.doc", "Abrir Documento")</f>
        <v>0</v>
      </c>
      <c r="D10568" t="s">
        <v>23500</v>
      </c>
      <c r="E10568" t="s">
        <v>33043</v>
      </c>
    </row>
    <row r="10569" spans="1:5">
      <c r="A10569" t="s">
        <v>6</v>
      </c>
      <c r="B10569" t="s">
        <v>10574</v>
      </c>
      <c r="C10569">
        <f>HYPERLINK("C:\Users\franc\OneDrive\Documentos\MALENTIN KARIME\BANCO ESTADO\2012 DEPTO ESCRITURAS fata\NOTARIA 2009\VARIOS\FIRMAS MARIA GODOY (MUNI) Y CONTRATISTA.doc", "Abrir Documento")</f>
        <v>0</v>
      </c>
      <c r="D10569" t="s">
        <v>23500</v>
      </c>
      <c r="E10569" t="s">
        <v>33044</v>
      </c>
    </row>
    <row r="10570" spans="1:5">
      <c r="A10570" t="s">
        <v>6</v>
      </c>
      <c r="B10570" t="s">
        <v>10575</v>
      </c>
      <c r="C10570">
        <f>HYPERLINK("C:\Users\franc\OneDrive\Documentos\MALENTIN KARIME\BANCO ESTADO\2012 DEPTO ESCRITURAS fata\NOTARIA 2009\VARIOS\FIRMAS E IMPUESTO.doc", "Abrir Documento")</f>
        <v>0</v>
      </c>
      <c r="D10570" t="s">
        <v>23500</v>
      </c>
      <c r="E10570" t="s">
        <v>33045</v>
      </c>
    </row>
    <row r="10571" spans="1:5">
      <c r="A10571" t="s">
        <v>6</v>
      </c>
      <c r="B10571" t="s">
        <v>10576</v>
      </c>
      <c r="C10571">
        <f>HYPERLINK("C:\Users\franc\OneDrive\Documentos\MALENTIN KARIME\BANCO ESTADO\2012 DEPTO ESCRITURAS fata\NOTARIA 2009\VARIOS\FINIQUITO COMPLETO.doc", "Abrir Documento")</f>
        <v>0</v>
      </c>
      <c r="D10571" t="s">
        <v>23500</v>
      </c>
      <c r="E10571" t="s">
        <v>33046</v>
      </c>
    </row>
    <row r="10572" spans="1:5">
      <c r="A10572" t="s">
        <v>6</v>
      </c>
      <c r="B10572" t="s">
        <v>10577</v>
      </c>
      <c r="C10572">
        <f>HYPERLINK("C:\Users\franc\OneDrive\Documentos\MALENTIN KARIME\BANCO ESTADO\2012 DEPTO ESCRITURAS fata\NOTARIA 2009\VARIOS\FCO. SAAVEDRA CARTA.doc", "Abrir Documento")</f>
        <v>0</v>
      </c>
      <c r="D10572" t="s">
        <v>23500</v>
      </c>
      <c r="E10572" t="s">
        <v>33047</v>
      </c>
    </row>
    <row r="10573" spans="1:5">
      <c r="A10573" t="s">
        <v>6</v>
      </c>
      <c r="B10573" t="s">
        <v>10578</v>
      </c>
      <c r="C10573">
        <f>HYPERLINK("C:\Users\franc\OneDrive\Documentos\MALENTIN KARIME\BANCO ESTADO\2012 DEPTO ESCRITURAS fata\NOTARIA 2009\VARIOS\ESCORIA.doc", "Abrir Documento")</f>
        <v>0</v>
      </c>
      <c r="D10573" t="s">
        <v>23500</v>
      </c>
      <c r="E10573" t="s">
        <v>33048</v>
      </c>
    </row>
    <row r="10574" spans="1:5">
      <c r="A10574" t="s">
        <v>6</v>
      </c>
      <c r="B10574" t="s">
        <v>10579</v>
      </c>
      <c r="C10574">
        <f>HYPERLINK("C:\Users\franc\OneDrive\Documentos\MALENTIN KARIME\BANCO ESTADO\2012 DEPTO ESCRITURAS fata\NOTARIA 2009\VARIOS\ENTREGA CHEQUES INSTRUCCIONES.doc", "Abrir Documento")</f>
        <v>0</v>
      </c>
      <c r="D10574" t="s">
        <v>23500</v>
      </c>
      <c r="E10574" t="s">
        <v>33049</v>
      </c>
    </row>
    <row r="10575" spans="1:5">
      <c r="A10575" t="s">
        <v>6</v>
      </c>
      <c r="B10575" t="s">
        <v>10580</v>
      </c>
      <c r="C10575">
        <f>HYPERLINK("C:\Users\franc\OneDrive\Documentos\MALENTIN KARIME\BANCO ESTADO\2012 DEPTO ESCRITURAS fata\NOTARIA 2009\VARIOS\ENAMI.doc", "Abrir Documento")</f>
        <v>0</v>
      </c>
      <c r="D10575" t="s">
        <v>23500</v>
      </c>
      <c r="E10575" t="s">
        <v>33050</v>
      </c>
    </row>
    <row r="10576" spans="1:5">
      <c r="A10576" t="s">
        <v>6</v>
      </c>
      <c r="B10576" t="s">
        <v>10581</v>
      </c>
      <c r="C10576">
        <f>HYPERLINK("C:\Users\franc\OneDrive\Documentos\MALENTIN KARIME\BANCO ESTADO\2012 DEPTO ESCRITURAS fata\NOTARIA 2009\VARIOS\El Notario que suscribe.doc", "Abrir Documento")</f>
        <v>0</v>
      </c>
      <c r="D10576" t="s">
        <v>23500</v>
      </c>
      <c r="E10576" t="s">
        <v>33051</v>
      </c>
    </row>
    <row r="10577" spans="1:5">
      <c r="A10577" t="s">
        <v>6</v>
      </c>
      <c r="B10577" t="s">
        <v>10582</v>
      </c>
      <c r="C10577">
        <f>HYPERLINK("C:\Users\franc\OneDrive\Documentos\MALENTIN KARIME\BANCO ESTADO\2012 DEPTO ESCRITURAS fata\NOTARIA 2009\VARIOS\EDGARDO SAUD SII.doc", "Abrir Documento")</f>
        <v>0</v>
      </c>
      <c r="D10577" t="s">
        <v>23500</v>
      </c>
      <c r="E10577" t="s">
        <v>33052</v>
      </c>
    </row>
    <row r="10578" spans="1:5">
      <c r="A10578" t="s">
        <v>6</v>
      </c>
      <c r="B10578" t="s">
        <v>10583</v>
      </c>
      <c r="C10578">
        <f>HYPERLINK("C:\Users\franc\OneDrive\Documentos\MALENTIN KARIME\BANCO ESTADO\2012 DEPTO ESCRITURAS fata\NOTARIA 2009\VARIOS\DORA VILLAR.doc", "Abrir Documento")</f>
        <v>0</v>
      </c>
      <c r="D10578" t="s">
        <v>23500</v>
      </c>
      <c r="E10578" t="s">
        <v>33053</v>
      </c>
    </row>
    <row r="10579" spans="1:5">
      <c r="A10579" t="s">
        <v>6</v>
      </c>
      <c r="B10579" t="s">
        <v>10584</v>
      </c>
      <c r="C10579">
        <f>HYPERLINK("C:\Users\franc\OneDrive\Documentos\MALENTIN KARIME\BANCO ESTADO\2012 DEPTO ESCRITURAS fata\NOTARIA 2009\VARIOS\DORA VILLAR A SOC. XENIT NOV. 2007.doc", "Abrir Documento")</f>
        <v>0</v>
      </c>
      <c r="D10579" t="s">
        <v>23500</v>
      </c>
      <c r="E10579" t="s">
        <v>33054</v>
      </c>
    </row>
    <row r="10580" spans="1:5">
      <c r="A10580" t="s">
        <v>6</v>
      </c>
      <c r="B10580" t="s">
        <v>10585</v>
      </c>
      <c r="C10580">
        <f>HYPERLINK("C:\Users\franc\OneDrive\Documentos\MALENTIN KARIME\BANCO ESTADO\2012 DEPTO ESCRITURAS fata\NOTARIA 2009\VARIOS\DORA VILLAR A PEDRO FIGUEROA.doc", "Abrir Documento")</f>
        <v>0</v>
      </c>
      <c r="D10580" t="s">
        <v>23500</v>
      </c>
      <c r="E10580" t="s">
        <v>33055</v>
      </c>
    </row>
    <row r="10581" spans="1:5">
      <c r="A10581" t="s">
        <v>6</v>
      </c>
      <c r="B10581" t="s">
        <v>10586</v>
      </c>
      <c r="C10581">
        <f>HYPERLINK("C:\Users\franc\OneDrive\Documentos\MALENTIN KARIME\BANCO ESTADO\2012 DEPTO ESCRITURAS fata\NOTARIA 2009\VARIOS\DORA VILLAR A ARNOLDO GONZALEZ.doc", "Abrir Documento")</f>
        <v>0</v>
      </c>
      <c r="D10581" t="s">
        <v>23500</v>
      </c>
      <c r="E10581" t="s">
        <v>33056</v>
      </c>
    </row>
    <row r="10582" spans="1:5">
      <c r="A10582" t="s">
        <v>6</v>
      </c>
      <c r="B10582" t="s">
        <v>10587</v>
      </c>
      <c r="C10582">
        <f>HYPERLINK("C:\Users\franc\OneDrive\Documentos\MALENTIN KARIME\BANCO ESTADO\2012 DEPTO ESCRITURAS fata\NOTARIA 2009\VARIOS\DORA VILLA A XENIT.doc", "Abrir Documento")</f>
        <v>0</v>
      </c>
      <c r="D10582" t="s">
        <v>23500</v>
      </c>
      <c r="E10582" t="s">
        <v>33057</v>
      </c>
    </row>
    <row r="10583" spans="1:5">
      <c r="A10583" t="s">
        <v>6</v>
      </c>
      <c r="B10583" t="s">
        <v>10588</v>
      </c>
      <c r="C10583">
        <f>HYPERLINK("C:\Users\franc\OneDrive\Documentos\MALENTIN KARIME\BANCO ESTADO\2012 DEPTO ESCRITURAS fata\NOTARIA 2009\VARIOS\Doc1.doc", "Abrir Documento")</f>
        <v>0</v>
      </c>
      <c r="D10583" t="s">
        <v>23500</v>
      </c>
      <c r="E10583" t="s">
        <v>33058</v>
      </c>
    </row>
    <row r="10584" spans="1:5">
      <c r="A10584" t="s">
        <v>6</v>
      </c>
      <c r="B10584" t="s">
        <v>10589</v>
      </c>
      <c r="C10584">
        <f>HYPERLINK("C:\Users\franc\OneDrive\Documentos\MALENTIN KARIME\BANCO ESTADO\2012 DEPTO ESCRITURAS fata\NOTARIA 2009\VARIOS\DECLARACION NO PARENTESCO.doc", "Abrir Documento")</f>
        <v>0</v>
      </c>
      <c r="D10584" t="s">
        <v>23500</v>
      </c>
      <c r="E10584" t="s">
        <v>33059</v>
      </c>
    </row>
    <row r="10585" spans="1:5">
      <c r="A10585" t="s">
        <v>6</v>
      </c>
      <c r="B10585" t="s">
        <v>10590</v>
      </c>
      <c r="C10585">
        <f>HYPERLINK("C:\Users\franc\OneDrive\Documentos\MALENTIN KARIME\BANCO ESTADO\2012 DEPTO ESCRITURAS fata\NOTARIA 2009\VARIOS\DECLARACION DE REPUDIO.doc", "Abrir Documento")</f>
        <v>0</v>
      </c>
      <c r="D10585" t="s">
        <v>23500</v>
      </c>
      <c r="E10585" t="s">
        <v>33060</v>
      </c>
    </row>
    <row r="10586" spans="1:5">
      <c r="A10586" t="s">
        <v>6</v>
      </c>
      <c r="B10586" t="s">
        <v>10591</v>
      </c>
      <c r="C10586">
        <f>HYPERLINK("C:\Users\franc\OneDrive\Documentos\MALENTIN KARIME\BANCO ESTADO\2012 DEPTO ESCRITURAS fata\NOTARIA 2009\VARIOS\DECLARACION art. 260.doc", "Abrir Documento")</f>
        <v>0</v>
      </c>
      <c r="D10586" t="s">
        <v>23500</v>
      </c>
      <c r="E10586" t="s">
        <v>33061</v>
      </c>
    </row>
    <row r="10587" spans="1:5">
      <c r="A10587" t="s">
        <v>6</v>
      </c>
      <c r="B10587" t="s">
        <v>10592</v>
      </c>
      <c r="C10587">
        <f>HYPERLINK("C:\Users\franc\OneDrive\Documentos\MALENTIN KARIME\BANCO ESTADO\2012 DEPTO ESCRITURAS fata\NOTARIA 2009\VARIOS\DECLARA SERVIU.doc", "Abrir Documento")</f>
        <v>0</v>
      </c>
      <c r="D10587" t="s">
        <v>23500</v>
      </c>
      <c r="E10587" t="s">
        <v>33062</v>
      </c>
    </row>
    <row r="10588" spans="1:5">
      <c r="A10588" t="s">
        <v>6</v>
      </c>
      <c r="B10588" t="s">
        <v>10593</v>
      </c>
      <c r="C10588">
        <f>HYPERLINK("C:\Users\franc\OneDrive\Documentos\MALENTIN KARIME\BANCO ESTADO\2012 DEPTO ESCRITURAS fata\NOTARIA 2009\VARIOS\DECLARA PRIVADA.doc", "Abrir Documento")</f>
        <v>0</v>
      </c>
      <c r="D10588" t="s">
        <v>23500</v>
      </c>
      <c r="E10588" t="s">
        <v>33063</v>
      </c>
    </row>
    <row r="10589" spans="1:5">
      <c r="A10589" t="s">
        <v>6</v>
      </c>
      <c r="B10589" t="s">
        <v>10594</v>
      </c>
      <c r="C10589">
        <f>HYPERLINK("C:\Users\franc\OneDrive\Documentos\MALENTIN KARIME\BANCO ESTADO\2012 DEPTO ESCRITURAS fata\NOTARIA 2009\VARIOS\DECLARA JUAN CARLOS COMUNIDAD ALCONES.doc", "Abrir Documento")</f>
        <v>0</v>
      </c>
      <c r="D10589" t="s">
        <v>23500</v>
      </c>
      <c r="E10589" t="s">
        <v>33064</v>
      </c>
    </row>
    <row r="10590" spans="1:5">
      <c r="A10590" t="s">
        <v>6</v>
      </c>
      <c r="B10590" t="s">
        <v>10595</v>
      </c>
      <c r="C10590">
        <f>HYPERLINK("C:\Users\franc\OneDrive\Documentos\MALENTIN KARIME\BANCO ESTADO\2012 DEPTO ESCRITURAS fata\NOTARIA 2009\VARIOS\DECLARA JUAN  (JAVIERA).doc", "Abrir Documento")</f>
        <v>0</v>
      </c>
      <c r="D10590" t="s">
        <v>23500</v>
      </c>
      <c r="E10590" t="s">
        <v>33065</v>
      </c>
    </row>
    <row r="10591" spans="1:5">
      <c r="A10591" t="s">
        <v>6</v>
      </c>
      <c r="B10591" t="s">
        <v>10596</v>
      </c>
      <c r="C10591">
        <f>HYPERLINK("C:\Users\franc\OneDrive\Documentos\MALENTIN KARIME\BANCO ESTADO\2012 DEPTO ESCRITURAS fata\NOTARIA 2009\VARIOS\DECLARA IVAN (MARIA).doc", "Abrir Documento")</f>
        <v>0</v>
      </c>
      <c r="D10591" t="s">
        <v>23500</v>
      </c>
      <c r="E10591" t="s">
        <v>33066</v>
      </c>
    </row>
    <row r="10592" spans="1:5">
      <c r="A10592" t="s">
        <v>6</v>
      </c>
      <c r="B10592" t="s">
        <v>10597</v>
      </c>
      <c r="C10592">
        <f>HYPERLINK("C:\Users\franc\OneDrive\Documentos\MALENTIN KARIME\BANCO ESTADO\2012 DEPTO ESCRITURAS fata\NOTARIA 2009\VARIOS\DECLARA 4.doc", "Abrir Documento")</f>
        <v>0</v>
      </c>
      <c r="D10592" t="s">
        <v>23500</v>
      </c>
      <c r="E10592" t="s">
        <v>33067</v>
      </c>
    </row>
    <row r="10593" spans="1:5">
      <c r="A10593" t="s">
        <v>6</v>
      </c>
      <c r="B10593" t="s">
        <v>10598</v>
      </c>
      <c r="C10593">
        <f>HYPERLINK("C:\Users\franc\OneDrive\Documentos\MALENTIN KARIME\BANCO ESTADO\2012 DEPTO ESCRITURAS fata\NOTARIA 2009\VARIOS\DEC SERVIU.doc", "Abrir Documento")</f>
        <v>0</v>
      </c>
      <c r="D10593" t="s">
        <v>23500</v>
      </c>
      <c r="E10593" t="s">
        <v>33068</v>
      </c>
    </row>
    <row r="10594" spans="1:5">
      <c r="A10594" t="s">
        <v>6</v>
      </c>
      <c r="B10594" t="s">
        <v>10599</v>
      </c>
      <c r="C10594">
        <f>HYPERLINK("C:\Users\franc\OneDrive\Documentos\MALENTIN KARIME\BANCO ESTADO\2012 DEPTO ESCRITURAS fata\NOTARIA 2009\VARIOS\DEC SERVIU  MAURICIO MARIN.doc", "Abrir Documento")</f>
        <v>0</v>
      </c>
      <c r="D10594" t="s">
        <v>23500</v>
      </c>
      <c r="E10594" t="s">
        <v>33069</v>
      </c>
    </row>
    <row r="10595" spans="1:5">
      <c r="A10595" t="s">
        <v>6</v>
      </c>
      <c r="B10595" t="s">
        <v>10600</v>
      </c>
      <c r="C10595">
        <f>HYPERLINK("C:\Users\franc\OneDrive\Documentos\MALENTIN KARIME\BANCO ESTADO\2012 DEPTO ESCRITURAS fata\NOTARIA 2009\VARIOS\CURRI.doc", "Abrir Documento")</f>
        <v>0</v>
      </c>
      <c r="D10595" t="s">
        <v>23500</v>
      </c>
      <c r="E10595" t="s">
        <v>33070</v>
      </c>
    </row>
    <row r="10596" spans="1:5">
      <c r="A10596" t="s">
        <v>6</v>
      </c>
      <c r="B10596" t="s">
        <v>10601</v>
      </c>
      <c r="C10596">
        <f>HYPERLINK("C:\Users\franc\OneDrive\Documentos\MALENTIN KARIME\BANCO ESTADO\2012 DEPTO ESCRITURAS fata\NOTARIA 2009\VARIOS\CURRI mio.doc", "Abrir Documento")</f>
        <v>0</v>
      </c>
      <c r="D10596" t="s">
        <v>23500</v>
      </c>
      <c r="E10596" t="s">
        <v>33071</v>
      </c>
    </row>
    <row r="10597" spans="1:5">
      <c r="A10597" t="s">
        <v>6</v>
      </c>
      <c r="B10597" t="s">
        <v>10602</v>
      </c>
      <c r="C10597">
        <f>HYPERLINK("C:\Users\franc\OneDrive\Documentos\MALENTIN KARIME\BANCO ESTADO\2012 DEPTO ESCRITURAS fata\NOTARIA 2009\VARIOS\CURRI mario.doc", "Abrir Documento")</f>
        <v>0</v>
      </c>
      <c r="D10597" t="s">
        <v>23500</v>
      </c>
      <c r="E10597" t="s">
        <v>33072</v>
      </c>
    </row>
    <row r="10598" spans="1:5">
      <c r="A10598" t="s">
        <v>6</v>
      </c>
      <c r="B10598" t="s">
        <v>10603</v>
      </c>
      <c r="C10598">
        <f>HYPERLINK("C:\Users\franc\OneDrive\Documentos\MALENTIN KARIME\BANCO ESTADO\2012 DEPTO ESCRITURAS fata\NOTARIA 2009\VARIOS\CURRI JUAN.doc", "Abrir Documento")</f>
        <v>0</v>
      </c>
      <c r="D10598" t="s">
        <v>23500</v>
      </c>
      <c r="E10598" t="s">
        <v>33073</v>
      </c>
    </row>
    <row r="10599" spans="1:5">
      <c r="A10599" t="s">
        <v>6</v>
      </c>
      <c r="B10599" t="s">
        <v>10604</v>
      </c>
      <c r="C10599">
        <f>HYPERLINK("C:\Users\franc\OneDrive\Documentos\MALENTIN KARIME\BANCO ESTADO\2012 DEPTO ESCRITURAS fata\NOTARIA 2009\VARIOS\CURRI ELLY.doc", "Abrir Documento")</f>
        <v>0</v>
      </c>
      <c r="D10599" t="s">
        <v>23500</v>
      </c>
      <c r="E10599" t="s">
        <v>33074</v>
      </c>
    </row>
    <row r="10600" spans="1:5">
      <c r="A10600" t="s">
        <v>6</v>
      </c>
      <c r="B10600" t="s">
        <v>10605</v>
      </c>
      <c r="C10600">
        <f>HYPERLINK("C:\Users\franc\OneDrive\Documentos\MALENTIN KARIME\BANCO ESTADO\2012 DEPTO ESCRITURAS fata\NOTARIA 2009\VARIOS\CURRI CAROLA.doc", "Abrir Documento")</f>
        <v>0</v>
      </c>
      <c r="D10600" t="s">
        <v>23500</v>
      </c>
      <c r="E10600" t="s">
        <v>33075</v>
      </c>
    </row>
    <row r="10601" spans="1:5">
      <c r="A10601" t="s">
        <v>6</v>
      </c>
      <c r="B10601" t="s">
        <v>10606</v>
      </c>
      <c r="C10601">
        <f>HYPERLINK("C:\Users\franc\OneDrive\Documentos\MALENTIN KARIME\BANCO ESTADO\2012 DEPTO ESCRITURAS fata\NOTARIA 2009\VARIOS\CURRI ALEJANDRO.doc", "Abrir Documento")</f>
        <v>0</v>
      </c>
      <c r="D10601" t="s">
        <v>23500</v>
      </c>
      <c r="E10601" t="s">
        <v>33076</v>
      </c>
    </row>
    <row r="10602" spans="1:5">
      <c r="A10602" t="s">
        <v>6</v>
      </c>
      <c r="B10602" t="s">
        <v>10607</v>
      </c>
      <c r="C10602">
        <f>HYPERLINK("C:\Users\franc\OneDrive\Documentos\MALENTIN KARIME\BANCO ESTADO\2012 DEPTO ESCRITURAS fata\NOTARIA 2009\VARIOS\CUENTA CONSTRUCTORA ARKON LTDA.doc", "Abrir Documento")</f>
        <v>0</v>
      </c>
      <c r="D10602" t="s">
        <v>23500</v>
      </c>
      <c r="E10602" t="s">
        <v>33077</v>
      </c>
    </row>
    <row r="10603" spans="1:5">
      <c r="A10603" t="s">
        <v>6</v>
      </c>
      <c r="B10603" t="s">
        <v>10608</v>
      </c>
      <c r="C10603">
        <f>HYPERLINK("C:\Users\franc\OneDrive\Documentos\MALENTIN KARIME\BANCO ESTADO\2012 DEPTO ESCRITURAS fata\NOTARIA 2009\VARIOS\COMPRAVENTA SOMBRA.doc", "Abrir Documento")</f>
        <v>0</v>
      </c>
      <c r="D10603" t="s">
        <v>23500</v>
      </c>
      <c r="E10603" t="s">
        <v>33078</v>
      </c>
    </row>
    <row r="10604" spans="1:5">
      <c r="A10604" t="s">
        <v>6</v>
      </c>
      <c r="B10604" t="s">
        <v>10609</v>
      </c>
      <c r="C10604">
        <f>HYPERLINK("C:\Users\franc\OneDrive\Documentos\MALENTIN KARIME\BANCO ESTADO\2012 DEPTO ESCRITURAS fata\NOTARIA 2009\VARIOS\COMODATO SOTAQUI.doc", "Abrir Documento")</f>
        <v>0</v>
      </c>
      <c r="D10604" t="s">
        <v>23500</v>
      </c>
      <c r="E10604" t="s">
        <v>33079</v>
      </c>
    </row>
    <row r="10605" spans="1:5">
      <c r="A10605" t="s">
        <v>6</v>
      </c>
      <c r="B10605" t="s">
        <v>10610</v>
      </c>
      <c r="C10605">
        <f>HYPERLINK("C:\Users\franc\OneDrive\Documentos\MALENTIN KARIME\BANCO ESTADO\2012 DEPTO ESCRITURAS fata\NOTARIA 2009\VARIOS\COMODATO FUNDINA.doc", "Abrir Documento")</f>
        <v>0</v>
      </c>
      <c r="D10605" t="s">
        <v>23500</v>
      </c>
      <c r="E10605" t="s">
        <v>33080</v>
      </c>
    </row>
    <row r="10606" spans="1:5">
      <c r="A10606" t="s">
        <v>6</v>
      </c>
      <c r="B10606" t="s">
        <v>10611</v>
      </c>
      <c r="C10606">
        <f>HYPERLINK("C:\Users\franc\OneDrive\Documentos\MALENTIN KARIME\BANCO ESTADO\2012 DEPTO ESCRITURAS fata\NOTARIA 2009\VARIOS\COMITE CAMPO LINDO.doc", "Abrir Documento")</f>
        <v>0</v>
      </c>
      <c r="D10606" t="s">
        <v>23500</v>
      </c>
      <c r="E10606" t="s">
        <v>33081</v>
      </c>
    </row>
    <row r="10607" spans="1:5">
      <c r="A10607" t="s">
        <v>6</v>
      </c>
      <c r="B10607" t="s">
        <v>10612</v>
      </c>
      <c r="C10607">
        <f>HYPERLINK("C:\Users\franc\OneDrive\Documentos\MALENTIN KARIME\BANCO ESTADO\2012 DEPTO ESCRITURAS fata\NOTARIA 2009\VARIOS\Colocó ante mí su impresión.doc", "Abrir Documento")</f>
        <v>0</v>
      </c>
      <c r="D10607" t="s">
        <v>23500</v>
      </c>
      <c r="E10607" t="s">
        <v>33082</v>
      </c>
    </row>
    <row r="10608" spans="1:5">
      <c r="A10608" t="s">
        <v>6</v>
      </c>
      <c r="B10608" t="s">
        <v>10613</v>
      </c>
      <c r="C10608">
        <f>HYPERLINK("C:\Users\franc\OneDrive\Documentos\MALENTIN KARIME\BANCO ESTADO\2012 DEPTO ESCRITURAS fata\NOTARIA 2009\VARIOS\CITACION.doc", "Abrir Documento")</f>
        <v>0</v>
      </c>
      <c r="D10608" t="s">
        <v>23500</v>
      </c>
      <c r="E10608" t="s">
        <v>33083</v>
      </c>
    </row>
    <row r="10609" spans="1:5">
      <c r="A10609" t="s">
        <v>6</v>
      </c>
      <c r="B10609" t="s">
        <v>10614</v>
      </c>
      <c r="C10609">
        <f>HYPERLINK("C:\Users\franc\OneDrive\Documentos\MALENTIN KARIME\BANCO ESTADO\2012 DEPTO ESCRITURAS fata\NOTARIA 2009\VARIOS\CERTIFICADO PRE ROLES.doc", "Abrir Documento")</f>
        <v>0</v>
      </c>
      <c r="D10609" t="s">
        <v>23500</v>
      </c>
      <c r="E10609" t="s">
        <v>33084</v>
      </c>
    </row>
    <row r="10610" spans="1:5">
      <c r="A10610" t="s">
        <v>6</v>
      </c>
      <c r="B10610" t="s">
        <v>10615</v>
      </c>
      <c r="C10610">
        <f>HYPERLINK("C:\Users\franc\OneDrive\Documentos\MALENTIN KARIME\BANCO ESTADO\2012 DEPTO ESCRITURAS fata\NOTARIA 2009\VARIOS\CERTIFICADO MATRIMONIO.doc", "Abrir Documento")</f>
        <v>0</v>
      </c>
      <c r="D10610" t="s">
        <v>23500</v>
      </c>
      <c r="E10610" t="s">
        <v>33085</v>
      </c>
    </row>
    <row r="10611" spans="1:5">
      <c r="A10611" t="s">
        <v>6</v>
      </c>
      <c r="B10611" t="s">
        <v>10616</v>
      </c>
      <c r="C10611">
        <f>HYPERLINK("C:\Users\franc\OneDrive\Documentos\MALENTIN KARIME\BANCO ESTADO\2012 DEPTO ESCRITURAS fata\NOTARIA 2009\VARIOS\CERTIFICADO JUAN CARLOS COMUNIDAD ALCONES.doc", "Abrir Documento")</f>
        <v>0</v>
      </c>
      <c r="D10611" t="s">
        <v>23500</v>
      </c>
      <c r="E10611" t="s">
        <v>33086</v>
      </c>
    </row>
    <row r="10612" spans="1:5">
      <c r="A10612" t="s">
        <v>6</v>
      </c>
      <c r="B10612" t="s">
        <v>10617</v>
      </c>
      <c r="C10612">
        <f>HYPERLINK("C:\Users\franc\OneDrive\Documentos\MALENTIN KARIME\BANCO ESTADO\2012 DEPTO ESCRITURAS fata\NOTARIA 2009\VARIOS\CERTIFICADO INDAP.doc", "Abrir Documento")</f>
        <v>0</v>
      </c>
      <c r="D10612" t="s">
        <v>23500</v>
      </c>
      <c r="E10612" t="s">
        <v>33087</v>
      </c>
    </row>
    <row r="10613" spans="1:5">
      <c r="A10613" t="s">
        <v>6</v>
      </c>
      <c r="B10613" t="s">
        <v>10618</v>
      </c>
      <c r="C10613">
        <f>HYPERLINK("C:\Users\franc\OneDrive\Documentos\MALENTIN KARIME\BANCO ESTADO\2012 DEPTO ESCRITURAS fata\NOTARIA 2009\VARIOS\CERTIFICADO COMUNERO (COM. ALCONES.doc", "Abrir Documento")</f>
        <v>0</v>
      </c>
      <c r="D10613" t="s">
        <v>23500</v>
      </c>
      <c r="E10613" t="s">
        <v>33088</v>
      </c>
    </row>
    <row r="10614" spans="1:5">
      <c r="A10614" t="s">
        <v>6</v>
      </c>
      <c r="B10614" t="s">
        <v>10619</v>
      </c>
      <c r="C10614">
        <f>HYPERLINK("C:\Users\franc\OneDrive\Documentos\MALENTIN KARIME\BANCO ESTADO\2012 DEPTO ESCRITURAS fata\NOTARIA 2009\VARIOS\CERTIFICA ACTAS COVALSA.doc", "Abrir Documento")</f>
        <v>0</v>
      </c>
      <c r="D10614" t="s">
        <v>23500</v>
      </c>
      <c r="E10614" t="s">
        <v>33089</v>
      </c>
    </row>
    <row r="10615" spans="1:5">
      <c r="A10615" t="s">
        <v>6</v>
      </c>
      <c r="B10615" t="s">
        <v>10620</v>
      </c>
      <c r="C10615">
        <f>HYPERLINK("C:\Users\franc\OneDrive\Documentos\MALENTIN KARIME\BANCO ESTADO\2012 DEPTO ESCRITURAS fata\NOTARIA 2009\VARIOS\CERTIFI. PROVISORIO.doc", "Abrir Documento")</f>
        <v>0</v>
      </c>
      <c r="D10615" t="s">
        <v>23500</v>
      </c>
      <c r="E10615" t="s">
        <v>33090</v>
      </c>
    </row>
    <row r="10616" spans="1:5">
      <c r="A10616" t="s">
        <v>6</v>
      </c>
      <c r="B10616" t="s">
        <v>10621</v>
      </c>
      <c r="C10616">
        <f>HYPERLINK("C:\Users\franc\OneDrive\Documentos\MALENTIN KARIME\BANCO ESTADO\2012 DEPTO ESCRITURAS fata\NOTARIA 2009\VARIOS\CERTIFI. AVALUO (INTERNET).doc", "Abrir Documento")</f>
        <v>0</v>
      </c>
      <c r="D10616" t="s">
        <v>23500</v>
      </c>
      <c r="E10616" t="s">
        <v>33091</v>
      </c>
    </row>
    <row r="10617" spans="1:5">
      <c r="A10617" t="s">
        <v>6</v>
      </c>
      <c r="B10617" t="s">
        <v>10622</v>
      </c>
      <c r="C10617">
        <f>HYPERLINK("C:\Users\franc\OneDrive\Documentos\MALENTIN KARIME\BANCO ESTADO\2012 DEPTO ESCRITURAS fata\NOTARIA 2009\VARIOS\CERTIFI NO REGISTRA DEUDA.doc", "Abrir Documento")</f>
        <v>0</v>
      </c>
      <c r="D10617" t="s">
        <v>23500</v>
      </c>
      <c r="E10617" t="s">
        <v>33092</v>
      </c>
    </row>
    <row r="10618" spans="1:5">
      <c r="A10618" t="s">
        <v>6</v>
      </c>
      <c r="B10618" t="s">
        <v>10623</v>
      </c>
      <c r="C10618">
        <f>HYPERLINK("C:\Users\franc\OneDrive\Documentos\MALENTIN KARIME\BANCO ESTADO\2012 DEPTO ESCRITURAS fata\NOTARIA 2009\VARIOS\CERTIFI DEUDA.doc", "Abrir Documento")</f>
        <v>0</v>
      </c>
      <c r="D10618" t="s">
        <v>23500</v>
      </c>
      <c r="E10618" t="s">
        <v>33093</v>
      </c>
    </row>
    <row r="10619" spans="1:5">
      <c r="A10619" t="s">
        <v>6</v>
      </c>
      <c r="B10619" t="s">
        <v>10624</v>
      </c>
      <c r="C10619">
        <f>HYPERLINK("C:\Users\franc\OneDrive\Documentos\MALENTIN KARIME\BANCO ESTADO\2012 DEPTO ESCRITURAS fata\NOTARIA 2009\VARIOS\certifc. ACTAS COVALSA.doc", "Abrir Documento")</f>
        <v>0</v>
      </c>
      <c r="D10619" t="s">
        <v>23500</v>
      </c>
      <c r="E10619" t="s">
        <v>33094</v>
      </c>
    </row>
    <row r="10620" spans="1:5">
      <c r="A10620" t="s">
        <v>6</v>
      </c>
      <c r="B10620" t="s">
        <v>10625</v>
      </c>
      <c r="C10620">
        <f>HYPERLINK("C:\Users\franc\OneDrive\Documentos\MALENTIN KARIME\BANCO ESTADO\2012 DEPTO ESCRITURAS fata\NOTARIA 2009\VARIOS\CARTA VERONICA VELIZ.doc", "Abrir Documento")</f>
        <v>0</v>
      </c>
      <c r="D10620" t="s">
        <v>23500</v>
      </c>
      <c r="E10620" t="s">
        <v>33095</v>
      </c>
    </row>
    <row r="10621" spans="1:5">
      <c r="A10621" t="s">
        <v>6</v>
      </c>
      <c r="B10621" t="s">
        <v>10626</v>
      </c>
      <c r="C10621">
        <f>HYPERLINK("C:\Users\franc\OneDrive\Documentos\MALENTIN KARIME\BANCO ESTADO\2012 DEPTO ESCRITURAS fata\NOTARIA 2009\VARIOS\CARTA TRIBUNAL.doc", "Abrir Documento")</f>
        <v>0</v>
      </c>
      <c r="D10621" t="s">
        <v>23500</v>
      </c>
      <c r="E10621" t="s">
        <v>33096</v>
      </c>
    </row>
    <row r="10622" spans="1:5">
      <c r="A10622" t="s">
        <v>6</v>
      </c>
      <c r="B10622" t="s">
        <v>10627</v>
      </c>
      <c r="C10622">
        <f>HYPERLINK("C:\Users\franc\OneDrive\Documentos\MALENTIN KARIME\BANCO ESTADO\2012 DEPTO ESCRITURAS fata\NOTARIA 2009\VARIOS\CARTA TESTAMENTOS.doc", "Abrir Documento")</f>
        <v>0</v>
      </c>
      <c r="D10622" t="s">
        <v>23500</v>
      </c>
      <c r="E10622" t="s">
        <v>33097</v>
      </c>
    </row>
    <row r="10623" spans="1:5">
      <c r="A10623" t="s">
        <v>6</v>
      </c>
      <c r="B10623" t="s">
        <v>10628</v>
      </c>
      <c r="C10623">
        <f>HYPERLINK("C:\Users\franc\OneDrive\Documentos\MALENTIN KARIME\BANCO ESTADO\2012 DEPTO ESCRITURAS fata\NOTARIA 2009\VARIOS\CARTA SOLOMON.doc", "Abrir Documento")</f>
        <v>0</v>
      </c>
      <c r="D10623" t="s">
        <v>23500</v>
      </c>
      <c r="E10623" t="s">
        <v>33098</v>
      </c>
    </row>
    <row r="10624" spans="1:5">
      <c r="A10624" t="s">
        <v>6</v>
      </c>
      <c r="B10624" t="s">
        <v>10629</v>
      </c>
      <c r="C10624">
        <f>HYPERLINK("C:\Users\franc\OneDrive\Documentos\MALENTIN KARIME\BANCO ESTADO\2012 DEPTO ESCRITURAS fata\NOTARIA 2009\VARIOS\CARTA SIMPLE.doc", "Abrir Documento")</f>
        <v>0</v>
      </c>
      <c r="D10624" t="s">
        <v>23500</v>
      </c>
      <c r="E10624" t="s">
        <v>33099</v>
      </c>
    </row>
    <row r="10625" spans="1:5">
      <c r="A10625" t="s">
        <v>6</v>
      </c>
      <c r="B10625" t="s">
        <v>10630</v>
      </c>
      <c r="C10625">
        <f>HYPERLINK("C:\Users\franc\OneDrive\Documentos\MALENTIN KARIME\BANCO ESTADO\2012 DEPTO ESCRITURAS fata\NOTARIA 2009\VARIOS\CARTA PODER.doc", "Abrir Documento")</f>
        <v>0</v>
      </c>
      <c r="D10625" t="s">
        <v>23500</v>
      </c>
      <c r="E10625" t="s">
        <v>33100</v>
      </c>
    </row>
    <row r="10626" spans="1:5">
      <c r="A10626" t="s">
        <v>6</v>
      </c>
      <c r="B10626" t="s">
        <v>10631</v>
      </c>
      <c r="C10626">
        <f>HYPERLINK("C:\Users\franc\OneDrive\Documentos\MALENTIN KARIME\BANCO ESTADO\2012 DEPTO ESCRITURAS fata\NOTARIA 2009\VARIOS\CARTA MARUBENI.doc", "Abrir Documento")</f>
        <v>0</v>
      </c>
      <c r="D10626" t="s">
        <v>23500</v>
      </c>
      <c r="E10626" t="s">
        <v>33101</v>
      </c>
    </row>
    <row r="10627" spans="1:5">
      <c r="A10627" t="s">
        <v>6</v>
      </c>
      <c r="B10627" t="s">
        <v>10632</v>
      </c>
      <c r="C10627">
        <f>HYPERLINK("C:\Users\franc\OneDrive\Documentos\MALENTIN KARIME\BANCO ESTADO\2012 DEPTO ESCRITURAS fata\NOTARIA 2009\VARIOS\CARTA JUZGADO.doc", "Abrir Documento")</f>
        <v>0</v>
      </c>
      <c r="D10627" t="s">
        <v>23500</v>
      </c>
      <c r="E10627" t="s">
        <v>33102</v>
      </c>
    </row>
    <row r="10628" spans="1:5">
      <c r="A10628" t="s">
        <v>6</v>
      </c>
      <c r="B10628" t="s">
        <v>10633</v>
      </c>
      <c r="C10628">
        <f>HYPERLINK("C:\Users\franc\OneDrive\Documentos\MALENTIN KARIME\BANCO ESTADO\2012 DEPTO ESCRITURAS fata\NOTARIA 2009\VARIOS\CARTA JORGE ARACENA.doc", "Abrir Documento")</f>
        <v>0</v>
      </c>
      <c r="D10628" t="s">
        <v>23500</v>
      </c>
      <c r="E10628" t="s">
        <v>33103</v>
      </c>
    </row>
    <row r="10629" spans="1:5">
      <c r="A10629" t="s">
        <v>6</v>
      </c>
      <c r="B10629" t="s">
        <v>10634</v>
      </c>
      <c r="C10629">
        <f>HYPERLINK("C:\Users\franc\OneDrive\Documentos\MALENTIN KARIME\BANCO ESTADO\2012 DEPTO ESCRITURAS fata\NOTARIA 2009\VARIOS\CARTA HERNAN.doc", "Abrir Documento")</f>
        <v>0</v>
      </c>
      <c r="D10629" t="s">
        <v>23500</v>
      </c>
      <c r="E10629" t="s">
        <v>33104</v>
      </c>
    </row>
    <row r="10630" spans="1:5">
      <c r="A10630" t="s">
        <v>6</v>
      </c>
      <c r="B10630" t="s">
        <v>10635</v>
      </c>
      <c r="C10630">
        <f>HYPERLINK("C:\Users\franc\OneDrive\Documentos\MALENTIN KARIME\BANCO ESTADO\2012 DEPTO ESCRITURAS fata\NOTARIA 2009\VARIOS\CARTA FRANCISCO SAAVEDRA.doc", "Abrir Documento")</f>
        <v>0</v>
      </c>
      <c r="D10630" t="s">
        <v>23500</v>
      </c>
      <c r="E10630" t="s">
        <v>33105</v>
      </c>
    </row>
    <row r="10631" spans="1:5">
      <c r="A10631" t="s">
        <v>6</v>
      </c>
      <c r="B10631" t="s">
        <v>10636</v>
      </c>
      <c r="C10631">
        <f>HYPERLINK("C:\Users\franc\OneDrive\Documentos\MALENTIN KARIME\BANCO ESTADO\2012 DEPTO ESCRITURAS fata\NOTARIA 2009\VARIOS\CARTA DIARIO.doc", "Abrir Documento")</f>
        <v>0</v>
      </c>
      <c r="D10631" t="s">
        <v>23500</v>
      </c>
      <c r="E10631" t="s">
        <v>33106</v>
      </c>
    </row>
    <row r="10632" spans="1:5">
      <c r="A10632" t="s">
        <v>6</v>
      </c>
      <c r="B10632" t="s">
        <v>10637</v>
      </c>
      <c r="C10632">
        <f>HYPERLINK("C:\Users\franc\OneDrive\Documentos\MALENTIN KARIME\BANCO ESTADO\2012 DEPTO ESCRITURAS fata\NOTARIA 2009\VARIOS\CARTA DE PRENDA SIN DESPLAZAMINETO 1.doc", "Abrir Documento")</f>
        <v>0</v>
      </c>
      <c r="D10632" t="s">
        <v>23500</v>
      </c>
      <c r="E10632" t="s">
        <v>33107</v>
      </c>
    </row>
    <row r="10633" spans="1:5">
      <c r="A10633" t="s">
        <v>6</v>
      </c>
      <c r="B10633" t="s">
        <v>10638</v>
      </c>
      <c r="C10633">
        <f>HYPERLINK("C:\Users\franc\OneDrive\Documentos\MALENTIN KARIME\BANCO ESTADO\2012 DEPTO ESCRITURAS fata\NOTARIA 2009\VARIOS\CARTA CORTE APELACIONES.doc", "Abrir Documento")</f>
        <v>0</v>
      </c>
      <c r="D10633" t="s">
        <v>23500</v>
      </c>
      <c r="E10633" t="s">
        <v>33108</v>
      </c>
    </row>
    <row r="10634" spans="1:5">
      <c r="A10634" t="s">
        <v>6</v>
      </c>
      <c r="B10634" t="s">
        <v>10639</v>
      </c>
      <c r="C10634">
        <f>HYPERLINK("C:\Users\franc\OneDrive\Documentos\MALENTIN KARIME\BANCO ESTADO\2012 DEPTO ESCRITURAS fata\NOTARIA 2009\VARIOS\CARTA ARCHIVERO JUDICIAL.doc", "Abrir Documento")</f>
        <v>0</v>
      </c>
      <c r="D10634" t="s">
        <v>23500</v>
      </c>
      <c r="E10634" t="s">
        <v>33109</v>
      </c>
    </row>
    <row r="10635" spans="1:5">
      <c r="A10635" t="s">
        <v>6</v>
      </c>
      <c r="B10635" t="s">
        <v>10640</v>
      </c>
      <c r="C10635">
        <f>HYPERLINK("C:\Users\franc\OneDrive\Documentos\MALENTIN KARIME\BANCO ESTADO\2012 DEPTO ESCRITURAS fata\NOTARIA 2009\VARIOS\CARTA 2.doc", "Abrir Documento")</f>
        <v>0</v>
      </c>
      <c r="D10635" t="s">
        <v>23500</v>
      </c>
      <c r="E10635" t="s">
        <v>33110</v>
      </c>
    </row>
    <row r="10636" spans="1:5">
      <c r="A10636" t="s">
        <v>6</v>
      </c>
      <c r="B10636" t="s">
        <v>10641</v>
      </c>
      <c r="C10636">
        <f>HYPERLINK("C:\Users\franc\OneDrive\Documentos\MALENTIN KARIME\BANCO ESTADO\2012 DEPTO ESCRITURAS fata\NOTARIA 2009\VARIOS\CARMENCITA BUGUEÑO.doc", "Abrir Documento")</f>
        <v>0</v>
      </c>
      <c r="D10636" t="s">
        <v>23500</v>
      </c>
      <c r="E10636" t="s">
        <v>33111</v>
      </c>
    </row>
    <row r="10637" spans="1:5">
      <c r="A10637" t="s">
        <v>6</v>
      </c>
      <c r="B10637" t="s">
        <v>10642</v>
      </c>
      <c r="C10637">
        <f>HYPERLINK("C:\Users\franc\OneDrive\Documentos\MALENTIN KARIME\BANCO ESTADO\2012 DEPTO ESCRITURAS fata\NOTARIA 2009\VARIOS\CARMEN PINTO AUTORIZACION SII.doc", "Abrir Documento")</f>
        <v>0</v>
      </c>
      <c r="D10637" t="s">
        <v>23500</v>
      </c>
      <c r="E10637" t="s">
        <v>33112</v>
      </c>
    </row>
    <row r="10638" spans="1:5">
      <c r="A10638" t="s">
        <v>6</v>
      </c>
      <c r="B10638" t="s">
        <v>10643</v>
      </c>
      <c r="C10638">
        <f>HYPERLINK("C:\Users\franc\OneDrive\Documentos\MALENTIN KARIME\BANCO ESTADO\2012 DEPTO ESCRITURAS fata\NOTARIA 2009\VARIOS\CARMEN PINTO A PATRICIO PINTO ARRIENDO.doc", "Abrir Documento")</f>
        <v>0</v>
      </c>
      <c r="D10638" t="s">
        <v>23500</v>
      </c>
      <c r="E10638" t="s">
        <v>33113</v>
      </c>
    </row>
    <row r="10639" spans="1:5">
      <c r="A10639" t="s">
        <v>6</v>
      </c>
      <c r="B10639" t="s">
        <v>10644</v>
      </c>
      <c r="C10639">
        <f>HYPERLINK("C:\Users\franc\OneDrive\Documentos\MALENTIN KARIME\BANCO ESTADO\2012 DEPTO ESCRITURAS fata\NOTARIA 2009\VARIOS\CALENDARIO DE VACACIONES 2008.doc", "Abrir Documento")</f>
        <v>0</v>
      </c>
      <c r="D10639" t="s">
        <v>23500</v>
      </c>
      <c r="E10639" t="s">
        <v>33114</v>
      </c>
    </row>
    <row r="10640" spans="1:5">
      <c r="A10640" t="s">
        <v>6</v>
      </c>
      <c r="B10640" t="s">
        <v>10645</v>
      </c>
      <c r="C10640">
        <f>HYPERLINK("C:\Users\franc\OneDrive\Documentos\MALENTIN KARIME\BANCO ESTADO\2012 DEPTO ESCRITURAS fata\NOTARIA 2009\VARIOS\BOLETAS PENDIENTES PAGO.doc", "Abrir Documento")</f>
        <v>0</v>
      </c>
      <c r="D10640" t="s">
        <v>23500</v>
      </c>
      <c r="E10640" t="s">
        <v>33115</v>
      </c>
    </row>
    <row r="10641" spans="1:5">
      <c r="A10641" t="s">
        <v>6</v>
      </c>
      <c r="B10641" t="s">
        <v>10646</v>
      </c>
      <c r="C10641">
        <f>HYPERLINK("C:\Users\franc\OneDrive\Documentos\MALENTIN KARIME\BANCO ESTADO\2012 DEPTO ESCRITURAS fata\NOTARIA 2009\VARIOS\AVISO PROMESA.doc", "Abrir Documento")</f>
        <v>0</v>
      </c>
      <c r="D10641" t="s">
        <v>23500</v>
      </c>
      <c r="E10641" t="s">
        <v>33116</v>
      </c>
    </row>
    <row r="10642" spans="1:5">
      <c r="A10642" t="s">
        <v>6</v>
      </c>
      <c r="B10642" t="s">
        <v>10647</v>
      </c>
      <c r="C10642">
        <f>HYPERLINK("C:\Users\franc\OneDrive\Documentos\MALENTIN KARIME\BANCO ESTADO\2012 DEPTO ESCRITURAS fata\NOTARIA 2009\VARIOS\AVISO PROMESA II.doc", "Abrir Documento")</f>
        <v>0</v>
      </c>
      <c r="D10642" t="s">
        <v>23500</v>
      </c>
      <c r="E10642" t="s">
        <v>33117</v>
      </c>
    </row>
    <row r="10643" spans="1:5">
      <c r="A10643" t="s">
        <v>6</v>
      </c>
      <c r="B10643" t="s">
        <v>10648</v>
      </c>
      <c r="C10643">
        <f>HYPERLINK("C:\Users\franc\OneDrive\Documentos\MALENTIN KARIME\BANCO ESTADO\2012 DEPTO ESCRITURAS fata\NOTARIA 2009\VARIOS\Autorizo la firma de don JOSE IVAN JUAREZ ECHEVERRIA.doc", "Abrir Documento")</f>
        <v>0</v>
      </c>
      <c r="D10643" t="s">
        <v>23500</v>
      </c>
      <c r="E10643" t="s">
        <v>33118</v>
      </c>
    </row>
    <row r="10644" spans="1:5">
      <c r="A10644" t="s">
        <v>6</v>
      </c>
      <c r="B10644" t="s">
        <v>10649</v>
      </c>
      <c r="C10644">
        <f>HYPERLINK("C:\Users\franc\OneDrive\Documentos\MALENTIN KARIME\BANCO ESTADO\2012 DEPTO ESCRITURAS fata\NOTARIA 2009\VARIOS\AUTORIZO FIRMA BCI.doc", "Abrir Documento")</f>
        <v>0</v>
      </c>
      <c r="D10644" t="s">
        <v>23500</v>
      </c>
      <c r="E10644" t="s">
        <v>33119</v>
      </c>
    </row>
    <row r="10645" spans="1:5">
      <c r="A10645" t="s">
        <v>6</v>
      </c>
      <c r="B10645" t="s">
        <v>10650</v>
      </c>
      <c r="C10645">
        <f>HYPERLINK("C:\Users\franc\OneDrive\Documentos\MALENTIN KARIME\BANCO ESTADO\2012 DEPTO ESCRITURAS fata\NOTARIA 2009\VARIOS\AUTORIZACION.doc", "Abrir Documento")</f>
        <v>0</v>
      </c>
      <c r="D10645" t="s">
        <v>23500</v>
      </c>
      <c r="E10645" t="s">
        <v>33120</v>
      </c>
    </row>
    <row r="10646" spans="1:5">
      <c r="A10646" t="s">
        <v>6</v>
      </c>
      <c r="B10646" t="s">
        <v>10651</v>
      </c>
      <c r="C10646">
        <f>HYPERLINK("C:\Users\franc\OneDrive\Documentos\MALENTIN KARIME\BANCO ESTADO\2012 DEPTO ESCRITURAS fata\NOTARIA 2009\VARIOS\AUTORIZACION propiedad minera.doc", "Abrir Documento")</f>
        <v>0</v>
      </c>
      <c r="D10646" t="s">
        <v>23500</v>
      </c>
      <c r="E10646" t="s">
        <v>33121</v>
      </c>
    </row>
    <row r="10647" spans="1:5">
      <c r="A10647" t="s">
        <v>6</v>
      </c>
      <c r="B10647" t="s">
        <v>10652</v>
      </c>
      <c r="C10647">
        <f>HYPERLINK("C:\Users\franc\OneDrive\Documentos\MALENTIN KARIME\BANCO ESTADO\2012 DEPTO ESCRITURAS fata\NOTARIA 2009\VARIOS\AUTORIZACION HANALI BARRANTES.doc", "Abrir Documento")</f>
        <v>0</v>
      </c>
      <c r="D10647" t="s">
        <v>23500</v>
      </c>
      <c r="E10647" t="s">
        <v>33122</v>
      </c>
    </row>
    <row r="10648" spans="1:5">
      <c r="A10648" t="s">
        <v>6</v>
      </c>
      <c r="B10648" t="s">
        <v>10653</v>
      </c>
      <c r="C10648">
        <f>HYPERLINK("C:\Users\franc\OneDrive\Documentos\MALENTIN KARIME\BANCO ESTADO\2012 DEPTO ESCRITURAS fata\NOTARIA 2009\VARIOS\AUTORIZACION firmas.doc", "Abrir Documento")</f>
        <v>0</v>
      </c>
      <c r="D10648" t="s">
        <v>23500</v>
      </c>
      <c r="E10648" t="s">
        <v>33123</v>
      </c>
    </row>
    <row r="10649" spans="1:5">
      <c r="A10649" t="s">
        <v>6</v>
      </c>
      <c r="B10649" t="s">
        <v>10654</v>
      </c>
      <c r="C10649">
        <f>HYPERLINK("C:\Users\franc\OneDrive\Documentos\MALENTIN KARIME\BANCO ESTADO\2012 DEPTO ESCRITURAS fata\NOTARIA 2009\VARIOS\AUTORIZACION FIRMA MARIA GODOY.doc", "Abrir Documento")</f>
        <v>0</v>
      </c>
      <c r="D10649" t="s">
        <v>23500</v>
      </c>
      <c r="E10649" t="s">
        <v>33124</v>
      </c>
    </row>
    <row r="10650" spans="1:5">
      <c r="A10650" t="s">
        <v>6</v>
      </c>
      <c r="B10650" t="s">
        <v>10655</v>
      </c>
      <c r="C10650">
        <f>HYPERLINK("C:\Users\franc\OneDrive\Documentos\MALENTIN KARIME\BANCO ESTADO\2012 DEPTO ESCRITURAS fata\NOTARIA 2009\VARIOS\AUTORIZACION FIRMA LIDIA ZAPATA MUNI.doc", "Abrir Documento")</f>
        <v>0</v>
      </c>
      <c r="D10650" t="s">
        <v>23500</v>
      </c>
      <c r="E10650" t="s">
        <v>33125</v>
      </c>
    </row>
    <row r="10651" spans="1:5">
      <c r="A10651" t="s">
        <v>6</v>
      </c>
      <c r="B10651" t="s">
        <v>10656</v>
      </c>
      <c r="C10651">
        <f>HYPERLINK("C:\Users\franc\OneDrive\Documentos\MALENTIN KARIME\BANCO ESTADO\2012 DEPTO ESCRITURAS fata\NOTARIA 2009\VARIOS\AUTORIZACION FIRMA ELIAS ALAMO SOC..doc", "Abrir Documento")</f>
        <v>0</v>
      </c>
      <c r="D10651" t="s">
        <v>23500</v>
      </c>
      <c r="E10651" t="s">
        <v>33126</v>
      </c>
    </row>
    <row r="10652" spans="1:5">
      <c r="A10652" t="s">
        <v>6</v>
      </c>
      <c r="B10652" t="s">
        <v>10657</v>
      </c>
      <c r="C10652">
        <f>HYPERLINK("C:\Users\franc\OneDrive\Documentos\MALENTIN KARIME\BANCO ESTADO\2012 DEPTO ESCRITURAS fata\NOTARIA 2009\VARIOS\AUTORIZACION firma  PATRICIO PINTO - AGRICOLA ALIRO PINTO.doc", "Abrir Documento")</f>
        <v>0</v>
      </c>
      <c r="D10652" t="s">
        <v>23500</v>
      </c>
      <c r="E10652" t="s">
        <v>33127</v>
      </c>
    </row>
    <row r="10653" spans="1:5">
      <c r="A10653" t="s">
        <v>6</v>
      </c>
      <c r="B10653" t="s">
        <v>10658</v>
      </c>
      <c r="C10653">
        <f>HYPERLINK("C:\Users\franc\OneDrive\Documentos\MALENTIN KARIME\BANCO ESTADO\2012 DEPTO ESCRITURAS fata\NOTARIA 2009\VARIOS\AUTORIZACION FINIQUITOS.doc", "Abrir Documento")</f>
        <v>0</v>
      </c>
      <c r="D10653" t="s">
        <v>23500</v>
      </c>
      <c r="E10653" t="s">
        <v>33128</v>
      </c>
    </row>
    <row r="10654" spans="1:5">
      <c r="A10654" t="s">
        <v>6</v>
      </c>
      <c r="B10654" t="s">
        <v>10659</v>
      </c>
      <c r="C10654">
        <f>HYPERLINK("C:\Users\franc\OneDrive\Documentos\MALENTIN KARIME\BANCO ESTADO\2012 DEPTO ESCRITURAS fata\NOTARIA 2009\VARIOS\AUTORIZACION ESCRITRUAS.doc", "Abrir Documento")</f>
        <v>0</v>
      </c>
      <c r="D10654" t="s">
        <v>23500</v>
      </c>
      <c r="E10654" t="s">
        <v>33129</v>
      </c>
    </row>
    <row r="10655" spans="1:5">
      <c r="A10655" t="s">
        <v>6</v>
      </c>
      <c r="B10655" t="s">
        <v>10660</v>
      </c>
      <c r="C10655">
        <f>HYPERLINK("C:\Users\franc\OneDrive\Documentos\MALENTIN KARIME\BANCO ESTADO\2012 DEPTO ESCRITURAS fata\NOTARIA 2009\VARIOS\AUTORIZACION ESCRITRUAS CON VIGENCIA.doc", "Abrir Documento")</f>
        <v>0</v>
      </c>
      <c r="D10655" t="s">
        <v>23500</v>
      </c>
      <c r="E10655" t="s">
        <v>33130</v>
      </c>
    </row>
    <row r="10656" spans="1:5">
      <c r="A10656" t="s">
        <v>6</v>
      </c>
      <c r="B10656" t="s">
        <v>10661</v>
      </c>
      <c r="C10656">
        <f>HYPERLINK("C:\Users\franc\OneDrive\Documentos\MALENTIN KARIME\BANCO ESTADO\2012 DEPTO ESCRITURAS fata\NOTARIA 2009\VARIOS\AUTORIZACION DIARIO.doc", "Abrir Documento")</f>
        <v>0</v>
      </c>
      <c r="D10656" t="s">
        <v>23500</v>
      </c>
      <c r="E10656" t="s">
        <v>33131</v>
      </c>
    </row>
    <row r="10657" spans="1:5">
      <c r="A10657" t="s">
        <v>6</v>
      </c>
      <c r="B10657" t="s">
        <v>10662</v>
      </c>
      <c r="C10657">
        <f>HYPERLINK("C:\Users\franc\OneDrive\Documentos\MALENTIN KARIME\BANCO ESTADO\2012 DEPTO ESCRITURAS fata\NOTARIA 2009\VARIOS\AUTORIZACION DIARIO digital.doc", "Abrir Documento")</f>
        <v>0</v>
      </c>
      <c r="D10657" t="s">
        <v>23500</v>
      </c>
      <c r="E10657" t="s">
        <v>33132</v>
      </c>
    </row>
    <row r="10658" spans="1:5">
      <c r="A10658" t="s">
        <v>6</v>
      </c>
      <c r="B10658" t="s">
        <v>10663</v>
      </c>
      <c r="C10658">
        <f>HYPERLINK("C:\Users\franc\OneDrive\Documentos\MALENTIN KARIME\BANCO ESTADO\2012 DEPTO ESCRITURAS fata\NOTARIA 2009\VARIOS\AUTORIZACION DESCUBRIMIENTO.doc", "Abrir Documento")</f>
        <v>0</v>
      </c>
      <c r="D10658" t="s">
        <v>23500</v>
      </c>
      <c r="E10658" t="s">
        <v>33133</v>
      </c>
    </row>
    <row r="10659" spans="1:5">
      <c r="A10659" t="s">
        <v>6</v>
      </c>
      <c r="B10659" t="s">
        <v>10664</v>
      </c>
      <c r="C10659">
        <f>HYPERLINK("C:\Users\franc\OneDrive\Documentos\MALENTIN KARIME\BANCO ESTADO\2012 DEPTO ESCRITURAS fata\NOTARIA 2009\VARIOS\AUTORIZACION DERECHO REAL DE USO (BS. NAC).doc", "Abrir Documento")</f>
        <v>0</v>
      </c>
      <c r="D10659" t="s">
        <v>23500</v>
      </c>
      <c r="E10659" t="s">
        <v>33134</v>
      </c>
    </row>
    <row r="10660" spans="1:5">
      <c r="A10660" t="s">
        <v>6</v>
      </c>
      <c r="B10660" t="s">
        <v>10665</v>
      </c>
      <c r="C10660">
        <f>HYPERLINK("C:\Users\franc\OneDrive\Documentos\MALENTIN KARIME\BANCO ESTADO\2012 DEPTO ESCRITURAS fata\NOTARIA 2009\VARIOS\AUTORIZACION COMUNERO (COM. ALCONES.doc", "Abrir Documento")</f>
        <v>0</v>
      </c>
      <c r="D10660" t="s">
        <v>23500</v>
      </c>
      <c r="E10660" t="s">
        <v>33135</v>
      </c>
    </row>
    <row r="10661" spans="1:5">
      <c r="A10661" t="s">
        <v>6</v>
      </c>
      <c r="B10661" t="s">
        <v>10666</v>
      </c>
      <c r="C10661">
        <f>HYPERLINK("C:\Users\franc\OneDrive\Documentos\MALENTIN KARIME\BANCO ESTADO\2012 DEPTO ESCRITURAS fata\NOTARIA 2009\VARIOS\AUTORIZACION  - DECLARACION.doc", "Abrir Documento")</f>
        <v>0</v>
      </c>
      <c r="D10661" t="s">
        <v>23500</v>
      </c>
      <c r="E10661" t="s">
        <v>33136</v>
      </c>
    </row>
    <row r="10662" spans="1:5">
      <c r="A10662" t="s">
        <v>6</v>
      </c>
      <c r="B10662" t="s">
        <v>10667</v>
      </c>
      <c r="C10662">
        <f>HYPERLINK("C:\Users\franc\OneDrive\Documentos\MALENTIN KARIME\BANCO ESTADO\2012 DEPTO ESCRITURAS fata\NOTARIA 2009\VARIOS\AUTORIZ. FIRMAS BDD.doc", "Abrir Documento")</f>
        <v>0</v>
      </c>
      <c r="D10662" t="s">
        <v>23500</v>
      </c>
      <c r="E10662" t="s">
        <v>33137</v>
      </c>
    </row>
    <row r="10663" spans="1:5">
      <c r="A10663" t="s">
        <v>6</v>
      </c>
      <c r="B10663" t="s">
        <v>10668</v>
      </c>
      <c r="C10663">
        <f>HYPERLINK("C:\Users\franc\OneDrive\Documentos\MALENTIN KARIME\BANCO ESTADO\2012 DEPTO ESCRITURAS fata\NOTARIA 2009\VARIOS\AUTORIZ. FIRMA PABLO MUÑOZ.doc", "Abrir Documento")</f>
        <v>0</v>
      </c>
      <c r="D10663" t="s">
        <v>23500</v>
      </c>
      <c r="E10663" t="s">
        <v>33138</v>
      </c>
    </row>
    <row r="10664" spans="1:5">
      <c r="A10664" t="s">
        <v>6</v>
      </c>
      <c r="B10664" t="s">
        <v>10669</v>
      </c>
      <c r="C10664">
        <f>HYPERLINK("C:\Users\franc\OneDrive\Documentos\MALENTIN KARIME\BANCO ESTADO\2012 DEPTO ESCRITURAS fata\NOTARIA 2009\VARIOS\AUTORIZ. FIRMA BASILIO AGUIRRE.doc", "Abrir Documento")</f>
        <v>0</v>
      </c>
      <c r="D10664" t="s">
        <v>23500</v>
      </c>
      <c r="E10664" t="s">
        <v>33139</v>
      </c>
    </row>
    <row r="10665" spans="1:5">
      <c r="A10665" t="s">
        <v>6</v>
      </c>
      <c r="B10665" t="s">
        <v>10670</v>
      </c>
      <c r="C10665">
        <f>HYPERLINK("C:\Users\franc\OneDrive\Documentos\MALENTIN KARIME\BANCO ESTADO\2012 DEPTO ESCRITURAS fata\NOTARIA 2009\VARIOS\AUTORIZ JULIO MONTERO.doc", "Abrir Documento")</f>
        <v>0</v>
      </c>
      <c r="D10665" t="s">
        <v>23500</v>
      </c>
      <c r="E10665" t="s">
        <v>33140</v>
      </c>
    </row>
    <row r="10666" spans="1:5">
      <c r="A10666" t="s">
        <v>6</v>
      </c>
      <c r="B10666" t="s">
        <v>10671</v>
      </c>
      <c r="C10666">
        <f>HYPERLINK("C:\Users\franc\OneDrive\Documentos\MALENTIN KARIME\BANCO ESTADO\2012 DEPTO ESCRITURAS fata\NOTARIA 2009\VARIOS\AUTORIZ FIRMA PROHENS.doc", "Abrir Documento")</f>
        <v>0</v>
      </c>
      <c r="D10666" t="s">
        <v>23500</v>
      </c>
      <c r="E10666" t="s">
        <v>33141</v>
      </c>
    </row>
    <row r="10667" spans="1:5">
      <c r="A10667" t="s">
        <v>6</v>
      </c>
      <c r="B10667" t="s">
        <v>10672</v>
      </c>
      <c r="C10667">
        <f>HYPERLINK("C:\Users\franc\OneDrive\Documentos\MALENTIN KARIME\BANCO ESTADO\2012 DEPTO ESCRITURAS fata\NOTARIA 2009\VARIOS\AUTORIZ FIRMA ALEXIS.doc", "Abrir Documento")</f>
        <v>0</v>
      </c>
      <c r="D10667" t="s">
        <v>23500</v>
      </c>
      <c r="E10667" t="s">
        <v>33142</v>
      </c>
    </row>
    <row r="10668" spans="1:5">
      <c r="A10668" t="s">
        <v>6</v>
      </c>
      <c r="B10668" t="s">
        <v>10673</v>
      </c>
      <c r="C10668">
        <f>HYPERLINK("C:\Users\franc\OneDrive\Documentos\MALENTIN KARIME\BANCO ESTADO\2012 DEPTO ESCRITURAS fata\NOTARIA 2009\VARIOS\AUTORIZ DESCUB MARGEN.doc", "Abrir Documento")</f>
        <v>0</v>
      </c>
      <c r="D10668" t="s">
        <v>23500</v>
      </c>
      <c r="E10668" t="s">
        <v>33143</v>
      </c>
    </row>
    <row r="10669" spans="1:5">
      <c r="A10669" t="s">
        <v>6</v>
      </c>
      <c r="B10669" t="s">
        <v>10674</v>
      </c>
      <c r="C10669">
        <f>HYPERLINK("C:\Users\franc\OneDrive\Documentos\MALENTIN KARIME\BANCO ESTADO\2012 DEPTO ESCRITURAS fata\NOTARIA 2009\VARIOS\AUTORIZ 2.doc", "Abrir Documento")</f>
        <v>0</v>
      </c>
      <c r="D10669" t="s">
        <v>23500</v>
      </c>
      <c r="E10669" t="s">
        <v>33144</v>
      </c>
    </row>
    <row r="10670" spans="1:5">
      <c r="A10670" t="s">
        <v>6</v>
      </c>
      <c r="B10670" t="s">
        <v>10675</v>
      </c>
      <c r="C10670">
        <f>HYPERLINK("C:\Users\franc\OneDrive\Documentos\MALENTIN KARIME\BANCO ESTADO\2012 DEPTO ESCRITURAS fata\NOTARIA 2009\VARIOS\AUDALO SOTO A ELIAS IBACACHE.doc", "Abrir Documento")</f>
        <v>0</v>
      </c>
      <c r="D10670" t="s">
        <v>23500</v>
      </c>
      <c r="E10670" t="s">
        <v>33145</v>
      </c>
    </row>
    <row r="10671" spans="1:5">
      <c r="A10671" t="s">
        <v>6</v>
      </c>
      <c r="B10671" t="s">
        <v>10676</v>
      </c>
      <c r="C10671">
        <f>HYPERLINK("C:\Users\franc\OneDrive\Documentos\MALENTIN KARIME\BANCO ESTADO\2012 DEPTO ESCRITURAS fata\NOTARIA 2009\VARIOS\ARRIENDO PATRICIO PINTO.doc", "Abrir Documento")</f>
        <v>0</v>
      </c>
      <c r="D10671" t="s">
        <v>23500</v>
      </c>
      <c r="E10671" t="s">
        <v>33146</v>
      </c>
    </row>
    <row r="10672" spans="1:5">
      <c r="A10672" t="s">
        <v>6</v>
      </c>
      <c r="B10672" t="s">
        <v>10677</v>
      </c>
      <c r="C10672">
        <f>HYPERLINK("C:\Users\franc\OneDrive\Documentos\MALENTIN KARIME\BANCO ESTADO\2012 DEPTO ESCRITURAS fata\NOTARIA 2009\VARIOS\ARRIENDO MINERO MIGUEL TAPIA.doc", "Abrir Documento")</f>
        <v>0</v>
      </c>
      <c r="D10672" t="s">
        <v>23500</v>
      </c>
      <c r="E10672" t="s">
        <v>33147</v>
      </c>
    </row>
    <row r="10673" spans="1:5">
      <c r="A10673" t="s">
        <v>6</v>
      </c>
      <c r="B10673" t="s">
        <v>10678</v>
      </c>
      <c r="C10673">
        <f>HYPERLINK("C:\Users\franc\OneDrive\Documentos\MALENTIN KARIME\BANCO ESTADO\2012 DEPTO ESCRITURAS fata\NOTARIA 2009\VARIOS\ARRIENDO MINERO MIGUEL TAPIA SAN MIGUEL 1-20.doc", "Abrir Documento")</f>
        <v>0</v>
      </c>
      <c r="D10673" t="s">
        <v>23500</v>
      </c>
      <c r="E10673" t="s">
        <v>33148</v>
      </c>
    </row>
    <row r="10674" spans="1:5">
      <c r="A10674" t="s">
        <v>6</v>
      </c>
      <c r="B10674" t="s">
        <v>10679</v>
      </c>
      <c r="C10674">
        <f>HYPERLINK("C:\Users\franc\OneDrive\Documentos\MALENTIN KARIME\BANCO ESTADO\2012 DEPTO ESCRITURAS fata\NOTARIA 2009\VARIOS\ARRIENDO MINERO BACHITO 1 AL 10.doc", "Abrir Documento")</f>
        <v>0</v>
      </c>
      <c r="D10674" t="s">
        <v>23500</v>
      </c>
      <c r="E10674" t="s">
        <v>33149</v>
      </c>
    </row>
    <row r="10675" spans="1:5">
      <c r="A10675" t="s">
        <v>6</v>
      </c>
      <c r="B10675" t="s">
        <v>10680</v>
      </c>
      <c r="C10675">
        <f>HYPERLINK("C:\Users\franc\OneDrive\Documentos\MALENTIN KARIME\BANCO ESTADO\2012 DEPTO ESCRITURAS fata\NOTARIA 2009\VARIOS\ARRIENDO MINERO BACHITO 1 AL 10 a PABLO DA COSTA MORALES.doc", "Abrir Documento")</f>
        <v>0</v>
      </c>
      <c r="D10675" t="s">
        <v>23500</v>
      </c>
      <c r="E10675" t="s">
        <v>33150</v>
      </c>
    </row>
    <row r="10676" spans="1:5">
      <c r="A10676" t="s">
        <v>6</v>
      </c>
      <c r="B10676" t="s">
        <v>10681</v>
      </c>
      <c r="C10676">
        <f>HYPERLINK("C:\Users\franc\OneDrive\Documentos\MALENTIN KARIME\BANCO ESTADO\2012 DEPTO ESCRITURAS fata\NOTARIA 2009\VARIOS\ARR. CASA COMPLETO NORITA.doc", "Abrir Documento")</f>
        <v>0</v>
      </c>
      <c r="D10676" t="s">
        <v>23500</v>
      </c>
      <c r="E10676" t="s">
        <v>33151</v>
      </c>
    </row>
    <row r="10677" spans="1:5">
      <c r="A10677" t="s">
        <v>6</v>
      </c>
      <c r="B10677" t="s">
        <v>10682</v>
      </c>
      <c r="C10677">
        <f>HYPERLINK("C:\Users\franc\OneDrive\Documentos\MALENTIN KARIME\BANCO ESTADO\2012 DEPTO ESCRITURAS fata\NOTARIA 2009\VARIOS\ARR. CASA COMPLETO JANI.doc", "Abrir Documento")</f>
        <v>0</v>
      </c>
      <c r="D10677" t="s">
        <v>23500</v>
      </c>
      <c r="E10677" t="s">
        <v>33152</v>
      </c>
    </row>
    <row r="10678" spans="1:5">
      <c r="A10678" t="s">
        <v>6</v>
      </c>
      <c r="B10678" t="s">
        <v>10683</v>
      </c>
      <c r="C10678">
        <f>HYPERLINK("C:\Users\franc\OneDrive\Documentos\MALENTIN KARIME\BANCO ESTADO\2012 DEPTO ESCRITURAS fata\NOTARIA 2009\VARIOS\ARR. CASA COMPLETO ANDRES.doc", "Abrir Documento")</f>
        <v>0</v>
      </c>
      <c r="D10678" t="s">
        <v>23500</v>
      </c>
      <c r="E10678" t="s">
        <v>33153</v>
      </c>
    </row>
    <row r="10679" spans="1:5">
      <c r="A10679" t="s">
        <v>6</v>
      </c>
      <c r="B10679" t="s">
        <v>10684</v>
      </c>
      <c r="C10679">
        <f>HYPERLINK("C:\Users\franc\OneDrive\Documentos\MALENTIN KARIME\BANCO ESTADO\2012 DEPTO ESCRITURAS fata\NOTARIA 2009\VARIOS\ANEXO  JUAN.doc", "Abrir Documento")</f>
        <v>0</v>
      </c>
      <c r="D10679" t="s">
        <v>23500</v>
      </c>
      <c r="E10679" t="s">
        <v>33154</v>
      </c>
    </row>
    <row r="10680" spans="1:5">
      <c r="A10680" t="s">
        <v>6</v>
      </c>
      <c r="B10680" t="s">
        <v>10685</v>
      </c>
      <c r="C10680">
        <f>HYPERLINK("C:\Users\franc\OneDrive\Documentos\MALENTIN KARIME\BANCO ESTADO\2012 DEPTO ESCRITURAS fata\NOTARIA 2009\VARIOS\ALEXIS DIAZ (SII).doc", "Abrir Documento")</f>
        <v>0</v>
      </c>
      <c r="D10680" t="s">
        <v>23500</v>
      </c>
      <c r="E10680" t="s">
        <v>33155</v>
      </c>
    </row>
    <row r="10681" spans="1:5">
      <c r="A10681" t="s">
        <v>6</v>
      </c>
      <c r="B10681" t="s">
        <v>10686</v>
      </c>
      <c r="C10681">
        <f>HYPERLINK("C:\Users\franc\OneDrive\Documentos\MALENTIN KARIME\BANCO ESTADO\2012 DEPTO ESCRITURAS fata\NOTARIA 2009\VARIOS\AGRICOLA LOS LEONES SII.doc", "Abrir Documento")</f>
        <v>0</v>
      </c>
      <c r="D10681" t="s">
        <v>23500</v>
      </c>
      <c r="E10681" t="s">
        <v>33156</v>
      </c>
    </row>
    <row r="10682" spans="1:5">
      <c r="A10682" t="s">
        <v>6</v>
      </c>
      <c r="B10682" t="s">
        <v>10687</v>
      </c>
      <c r="C10682">
        <f>HYPERLINK("C:\Users\franc\OneDrive\Documentos\MALENTIN KARIME\BANCO ESTADO\2012 DEPTO ESCRITURAS fata\NOTARIA 2009\VARIOS\AGREGA YASNA.doc", "Abrir Documento")</f>
        <v>0</v>
      </c>
      <c r="D10682" t="s">
        <v>23500</v>
      </c>
      <c r="E10682" t="s">
        <v>33157</v>
      </c>
    </row>
    <row r="10683" spans="1:5">
      <c r="A10683" t="s">
        <v>6</v>
      </c>
      <c r="B10683" t="s">
        <v>10688</v>
      </c>
      <c r="C10683">
        <f>HYPERLINK("C:\Users\franc\OneDrive\Documentos\MALENTIN KARIME\BANCO ESTADO\2012 DEPTO ESCRITURAS fata\NOTARIA 2009\VARIOS\AGREGA PATENTE MITSUI.doc", "Abrir Documento")</f>
        <v>0</v>
      </c>
      <c r="D10683" t="s">
        <v>23500</v>
      </c>
      <c r="E10683" t="s">
        <v>33158</v>
      </c>
    </row>
    <row r="10684" spans="1:5">
      <c r="A10684" t="s">
        <v>6</v>
      </c>
      <c r="B10684" t="s">
        <v>10689</v>
      </c>
      <c r="C10684">
        <f>HYPERLINK("C:\Users\franc\OneDrive\Documentos\MALENTIN KARIME\BANCO ESTADO\2012 DEPTO ESCRITURAS fata\NOTARIA 2009\VARIOS\AGREGA IMPUESTO.doc", "Abrir Documento")</f>
        <v>0</v>
      </c>
      <c r="D10684" t="s">
        <v>23500</v>
      </c>
      <c r="E10684" t="s">
        <v>33159</v>
      </c>
    </row>
    <row r="10685" spans="1:5">
      <c r="A10685" t="s">
        <v>6</v>
      </c>
      <c r="B10685" t="s">
        <v>10690</v>
      </c>
      <c r="C10685">
        <f>HYPERLINK("C:\Users\franc\OneDrive\Documentos\MALENTIN KARIME\BANCO ESTADO\2012 DEPTO ESCRITURAS fata\NOTARIA 2009\VARIOS\AGREGA IMPUESTO VEHICULO.doc", "Abrir Documento")</f>
        <v>0</v>
      </c>
      <c r="D10685" t="s">
        <v>23500</v>
      </c>
      <c r="E10685" t="s">
        <v>33160</v>
      </c>
    </row>
    <row r="10686" spans="1:5">
      <c r="A10686" t="s">
        <v>6</v>
      </c>
      <c r="B10686" t="s">
        <v>10691</v>
      </c>
      <c r="C10686">
        <f>HYPERLINK("C:\Users\franc\OneDrive\Documentos\MALENTIN KARIME\BANCO ESTADO\2012 DEPTO ESCRITURAS fata\NOTARIA 2009\VARIOS\AGREGA IMPUESTO PAGARE.doc", "Abrir Documento")</f>
        <v>0</v>
      </c>
      <c r="D10686" t="s">
        <v>23500</v>
      </c>
      <c r="E10686" t="s">
        <v>33161</v>
      </c>
    </row>
    <row r="10687" spans="1:5">
      <c r="A10687" t="s">
        <v>6</v>
      </c>
      <c r="B10687" t="s">
        <v>10692</v>
      </c>
      <c r="C10687">
        <f>HYPERLINK("C:\Users\franc\OneDrive\Documentos\MALENTIN KARIME\BANCO ESTADO\2012 DEPTO ESCRITURAS fata\NOTARIA 2009\VARIOS\AGREGA IMPUESTO MUTUO.doc", "Abrir Documento")</f>
        <v>0</v>
      </c>
      <c r="D10687" t="s">
        <v>23500</v>
      </c>
      <c r="E10687" t="s">
        <v>33162</v>
      </c>
    </row>
    <row r="10688" spans="1:5">
      <c r="A10688" t="s">
        <v>6</v>
      </c>
      <c r="B10688" t="s">
        <v>10693</v>
      </c>
      <c r="C10688">
        <f>HYPERLINK("C:\Users\franc\OneDrive\Documentos\MALENTIN KARIME\BANCO ESTADO\2012 DEPTO ESCRITURAS fata\NOTARIA 2009\VARIOS\AGREGA IMPUESTO MARUBENI.doc", "Abrir Documento")</f>
        <v>0</v>
      </c>
      <c r="D10688" t="s">
        <v>23500</v>
      </c>
      <c r="E10688" t="s">
        <v>33163</v>
      </c>
    </row>
    <row r="10689" spans="1:5">
      <c r="A10689" t="s">
        <v>6</v>
      </c>
      <c r="B10689" t="s">
        <v>10694</v>
      </c>
      <c r="C10689">
        <f>HYPERLINK("C:\Users\franc\OneDrive\Documentos\MALENTIN KARIME\BANCO ESTADO\2012 DEPTO ESCRITURAS fata\NOTARIA 2009\VARIOS\AGREGA IMPUESTO MARUBENI FINAL.doc", "Abrir Documento")</f>
        <v>0</v>
      </c>
      <c r="D10689" t="s">
        <v>23500</v>
      </c>
      <c r="E10689" t="s">
        <v>33164</v>
      </c>
    </row>
    <row r="10690" spans="1:5">
      <c r="A10690" t="s">
        <v>6</v>
      </c>
      <c r="B10690" t="s">
        <v>10695</v>
      </c>
      <c r="C10690">
        <f>HYPERLINK("C:\Users\franc\OneDrive\Documentos\MALENTIN KARIME\BANCO ESTADO\2012 DEPTO ESCRITURAS fata\NOTARIA 2009\VARIOS\AGREGA IMPUESTO enmendado.doc", "Abrir Documento")</f>
        <v>0</v>
      </c>
      <c r="D10690" t="s">
        <v>23500</v>
      </c>
      <c r="E10690" t="s">
        <v>33165</v>
      </c>
    </row>
    <row r="10691" spans="1:5">
      <c r="A10691" t="s">
        <v>6</v>
      </c>
      <c r="B10691" t="s">
        <v>10696</v>
      </c>
      <c r="C10691">
        <f>HYPERLINK("C:\Users\franc\OneDrive\Documentos\MALENTIN KARIME\BANCO ESTADO\2012 DEPTO ESCRITURAS fata\NOTARIA 2009\VARIOS\AGREGA IMPUESTO AL MARGEN.doc", "Abrir Documento")</f>
        <v>0</v>
      </c>
      <c r="D10691" t="s">
        <v>23500</v>
      </c>
      <c r="E10691" t="s">
        <v>33166</v>
      </c>
    </row>
    <row r="10692" spans="1:5">
      <c r="A10692" t="s">
        <v>6</v>
      </c>
      <c r="B10692" t="s">
        <v>10697</v>
      </c>
      <c r="C10692">
        <f>HYPERLINK("C:\Users\franc\OneDrive\Documentos\MALENTIN KARIME\BANCO ESTADO\2012 DEPTO ESCRITURAS fata\NOTARIA 2009\VARIOS\agrega dos.doc", "Abrir Documento")</f>
        <v>0</v>
      </c>
      <c r="D10692" t="s">
        <v>23500</v>
      </c>
      <c r="E10692" t="s">
        <v>33167</v>
      </c>
    </row>
    <row r="10693" spans="1:5">
      <c r="A10693" t="s">
        <v>6</v>
      </c>
      <c r="B10693" t="s">
        <v>10698</v>
      </c>
      <c r="C10693">
        <f>HYPERLINK("C:\Users\franc\OneDrive\Documentos\MALENTIN KARIME\BANCO ESTADO\2012 DEPTO ESCRITURAS fata\NOTARIA 2009\VARIOS\AGREGA CERTIFICADOS ULTIMOS.doc", "Abrir Documento")</f>
        <v>0</v>
      </c>
      <c r="D10693" t="s">
        <v>23500</v>
      </c>
      <c r="E10693" t="s">
        <v>33168</v>
      </c>
    </row>
    <row r="10694" spans="1:5">
      <c r="A10694" t="s">
        <v>6</v>
      </c>
      <c r="B10694" t="s">
        <v>10699</v>
      </c>
      <c r="C10694">
        <f>HYPERLINK("C:\Users\franc\OneDrive\Documentos\MALENTIN KARIME\BANCO ESTADO\2012 DEPTO ESCRITURAS fata\NOTARIA 2009\VARIOS\AGREGA CERTIFICADO.doc", "Abrir Documento")</f>
        <v>0</v>
      </c>
      <c r="D10694" t="s">
        <v>23500</v>
      </c>
      <c r="E10694" t="s">
        <v>33169</v>
      </c>
    </row>
    <row r="10695" spans="1:5">
      <c r="A10695" t="s">
        <v>6</v>
      </c>
      <c r="B10695" t="s">
        <v>10700</v>
      </c>
      <c r="C10695">
        <f>HYPERLINK("C:\Users\franc\OneDrive\Documentos\MALENTIN KARIME\BANCO ESTADO\2012 DEPTO ESCRITURAS fata\NOTARIA 2009\VARIOS\AGREGA CERTIFICADO PAGO CONTRIB..doc", "Abrir Documento")</f>
        <v>0</v>
      </c>
      <c r="D10695" t="s">
        <v>23500</v>
      </c>
      <c r="E10695" t="s">
        <v>33170</v>
      </c>
    </row>
    <row r="10696" spans="1:5">
      <c r="A10696" t="s">
        <v>6</v>
      </c>
      <c r="B10696" t="s">
        <v>10701</v>
      </c>
      <c r="C10696">
        <f>HYPERLINK("C:\Users\franc\OneDrive\Documentos\MALENTIN KARIME\BANCO ESTADO\2012 DEPTO ESCRITURAS fata\NOTARIA 2009\VARIOS\AGREGA CERTIFICADO matrimonio normal.doc", "Abrir Documento")</f>
        <v>0</v>
      </c>
      <c r="D10696" t="s">
        <v>23500</v>
      </c>
      <c r="E10696" t="s">
        <v>33171</v>
      </c>
    </row>
    <row r="10697" spans="1:5">
      <c r="A10697" t="s">
        <v>6</v>
      </c>
      <c r="B10697" t="s">
        <v>10702</v>
      </c>
      <c r="C10697">
        <f>HYPERLINK("C:\Users\franc\OneDrive\Documentos\MALENTIN KARIME\BANCO ESTADO\2012 DEPTO ESCRITURAS fata\NOTARIA 2009\VARIOS\AGREGA CERTIFICADO matrimonio internet.doc", "Abrir Documento")</f>
        <v>0</v>
      </c>
      <c r="D10697" t="s">
        <v>23500</v>
      </c>
      <c r="E10697" t="s">
        <v>33172</v>
      </c>
    </row>
    <row r="10698" spans="1:5">
      <c r="A10698" t="s">
        <v>6</v>
      </c>
      <c r="B10698" t="s">
        <v>10703</v>
      </c>
      <c r="C10698">
        <f>HYPERLINK("C:\Users\franc\OneDrive\Documentos\MALENTIN KARIME\BANCO ESTADO\2012 DEPTO ESCRITURAS fata\NOTARIA 2009\VARIOS\AGREGA CERTIFICADO 20130 BCO. SANTANDER.doc", "Abrir Documento")</f>
        <v>0</v>
      </c>
      <c r="D10698" t="s">
        <v>23500</v>
      </c>
      <c r="E10698" t="s">
        <v>33173</v>
      </c>
    </row>
    <row r="10699" spans="1:5">
      <c r="A10699" t="s">
        <v>6</v>
      </c>
      <c r="B10699" t="s">
        <v>10704</v>
      </c>
      <c r="C10699">
        <f>HYPERLINK("C:\Users\franc\OneDrive\Documentos\MALENTIN KARIME\BANCO ESTADO\2012 DEPTO ESCRITURAS fata\NOTARIA 2009\VARIOS\AGREGA CERTIFICADO  aguas ASOC. CANALISTAD.doc", "Abrir Documento")</f>
        <v>0</v>
      </c>
      <c r="D10699" t="s">
        <v>23500</v>
      </c>
      <c r="E10699" t="s">
        <v>33174</v>
      </c>
    </row>
    <row r="10700" spans="1:5">
      <c r="A10700" t="s">
        <v>6</v>
      </c>
      <c r="B10700" t="s">
        <v>10705</v>
      </c>
      <c r="C10700">
        <f>HYPERLINK("C:\Users\franc\OneDrive\Documentos\MALENTIN KARIME\BANCO ESTADO\2012 DEPTO ESCRITURAS fata\NOTARIA 2009\VARIOS\AGREGA certific.doc", "Abrir Documento")</f>
        <v>0</v>
      </c>
      <c r="D10700" t="s">
        <v>23500</v>
      </c>
      <c r="E10700" t="s">
        <v>33175</v>
      </c>
    </row>
    <row r="10701" spans="1:5">
      <c r="A10701" t="s">
        <v>6</v>
      </c>
      <c r="B10701" t="s">
        <v>10706</v>
      </c>
      <c r="C10701">
        <f>HYPERLINK("C:\Users\franc\OneDrive\Documentos\MALENTIN KARIME\BANCO ESTADO\2012 DEPTO ESCRITURAS fata\NOTARIA 2009\VARIOS\AGREGA CERTI. VEHICULO.doc", "Abrir Documento")</f>
        <v>0</v>
      </c>
      <c r="D10701" t="s">
        <v>23500</v>
      </c>
      <c r="E10701" t="s">
        <v>33176</v>
      </c>
    </row>
    <row r="10702" spans="1:5">
      <c r="A10702" t="s">
        <v>6</v>
      </c>
      <c r="B10702" t="s">
        <v>10707</v>
      </c>
      <c r="C10702">
        <f>HYPERLINK("C:\Users\franc\OneDrive\Documentos\MALENTIN KARIME\BANCO ESTADO\2012 DEPTO ESCRITURAS fata\NOTARIA 2009\VARIOS\AGREGA CERT. FORMULAIRO 30.doc", "Abrir Documento")</f>
        <v>0</v>
      </c>
      <c r="D10702" t="s">
        <v>23500</v>
      </c>
      <c r="E10702" t="s">
        <v>33177</v>
      </c>
    </row>
    <row r="10703" spans="1:5">
      <c r="A10703" t="s">
        <v>6</v>
      </c>
      <c r="B10703" t="s">
        <v>10708</v>
      </c>
      <c r="C10703">
        <f>HYPERLINK("C:\Users\franc\OneDrive\Documentos\MALENTIN KARIME\BANCO ESTADO\2012 DEPTO ESCRITURAS fata\NOTARIA 2009\VARIOS\ACUERDO REPARATORIO.doc", "Abrir Documento")</f>
        <v>0</v>
      </c>
      <c r="D10703" t="s">
        <v>23500</v>
      </c>
      <c r="E10703" t="s">
        <v>33178</v>
      </c>
    </row>
    <row r="10704" spans="1:5">
      <c r="A10704" t="s">
        <v>6</v>
      </c>
      <c r="B10704" t="s">
        <v>10709</v>
      </c>
      <c r="C10704">
        <f>HYPERLINK("C:\Users\franc\OneDrive\Documentos\MALENTIN KARIME\BANCO ESTADO\2012 DEPTO ESCRITURAS fata\NOTARIA 2009\VARIOS\ACTA VISITA.doc", "Abrir Documento")</f>
        <v>0</v>
      </c>
      <c r="D10704" t="s">
        <v>23500</v>
      </c>
      <c r="E10704" t="s">
        <v>33179</v>
      </c>
    </row>
    <row r="10705" spans="1:5">
      <c r="A10705" t="s">
        <v>6</v>
      </c>
      <c r="B10705" t="s">
        <v>10710</v>
      </c>
      <c r="C10705">
        <f>HYPERLINK("C:\Users\franc\OneDrive\Documentos\MALENTIN KARIME\BANCO ESTADO\2012 DEPTO ESCRITURAS fata\NOTARIA 2009\VARIOS\ACTA VISITA ANUAL.doc", "Abrir Documento")</f>
        <v>0</v>
      </c>
      <c r="D10705" t="s">
        <v>23500</v>
      </c>
      <c r="E10705" t="s">
        <v>33180</v>
      </c>
    </row>
    <row r="10706" spans="1:5">
      <c r="A10706" t="s">
        <v>6</v>
      </c>
      <c r="B10706" t="s">
        <v>10711</v>
      </c>
      <c r="C10706">
        <f>HYPERLINK("C:\Users\franc\OneDrive\Documentos\MALENTIN KARIME\BANCO ESTADO\2012 DEPTO ESCRITURAS fata\NOTARIA 2009\VALLECITO\MARIA ALUCEMA Y OTROS A ANDRES MORALES.doc", "Abrir Documento")</f>
        <v>0</v>
      </c>
      <c r="D10706" t="s">
        <v>23500</v>
      </c>
      <c r="E10706" t="s">
        <v>33181</v>
      </c>
    </row>
    <row r="10707" spans="1:5">
      <c r="A10707" t="s">
        <v>6</v>
      </c>
      <c r="B10707" t="s">
        <v>10712</v>
      </c>
      <c r="C10707">
        <f>HYPERLINK("C:\Users\franc\OneDrive\Documentos\MALENTIN KARIME\BANCO ESTADO\2012 DEPTO ESCRITURAS fata\NOTARIA 2009\VALLECITO\Instruc notario Fundo Vallecito.doc", "Abrir Documento")</f>
        <v>0</v>
      </c>
      <c r="D10707" t="s">
        <v>23500</v>
      </c>
      <c r="E10707" t="s">
        <v>33182</v>
      </c>
    </row>
    <row r="10708" spans="1:5">
      <c r="A10708" t="s">
        <v>6</v>
      </c>
      <c r="B10708" t="s">
        <v>10713</v>
      </c>
      <c r="C10708">
        <f>HYPERLINK("C:\Users\franc\OneDrive\Documentos\MALENTIN KARIME\BANCO ESTADO\2012 DEPTO ESCRITURAS fata\NOTARIA 2009\USUFRUCTO\LUIS PIZARRO ROJAS A VALENTINO.doc", "Abrir Documento")</f>
        <v>0</v>
      </c>
      <c r="D10708" t="s">
        <v>23500</v>
      </c>
      <c r="E10708" t="s">
        <v>33183</v>
      </c>
    </row>
    <row r="10709" spans="1:5">
      <c r="A10709" t="s">
        <v>6</v>
      </c>
      <c r="B10709" t="s">
        <v>10714</v>
      </c>
      <c r="C10709">
        <f>HYPERLINK("C:\Users\franc\OneDrive\Documentos\MALENTIN KARIME\BANCO ESTADO\2012 DEPTO ESCRITURAS fata\NOTARIA 2009\USUFRUCTO\HUGO VALDIVIA A SUS PADRES.doc", "Abrir Documento")</f>
        <v>0</v>
      </c>
      <c r="D10709" t="s">
        <v>23500</v>
      </c>
      <c r="E10709" t="s">
        <v>33184</v>
      </c>
    </row>
    <row r="10710" spans="1:5">
      <c r="A10710" t="s">
        <v>6</v>
      </c>
      <c r="B10710" t="s">
        <v>10715</v>
      </c>
      <c r="C10710">
        <f>HYPERLINK("C:\Users\franc\OneDrive\Documentos\MALENTIN KARIME\BANCO ESTADO\2012 DEPTO ESCRITURAS fata\NOTARIA 2009\USUFRUCTO\CRISTIAN ESQUIVEL.doc", "Abrir Documento")</f>
        <v>0</v>
      </c>
      <c r="D10710" t="s">
        <v>23500</v>
      </c>
      <c r="E10710" t="s">
        <v>33185</v>
      </c>
    </row>
    <row r="10711" spans="1:5">
      <c r="A10711" t="s">
        <v>6</v>
      </c>
      <c r="B10711" t="s">
        <v>10716</v>
      </c>
      <c r="C10711">
        <f>HYPERLINK("C:\Users\franc\OneDrive\Documentos\MALENTIN KARIME\BANCO ESTADO\2012 DEPTO ESCRITURAS fata\NOTARIA 2009\UNIFRUTTI\UNI AGRI SANTA ROSA JULIO 2009.doc", "Abrir Documento")</f>
        <v>0</v>
      </c>
      <c r="D10711" t="s">
        <v>23500</v>
      </c>
      <c r="E10711" t="s">
        <v>33186</v>
      </c>
    </row>
    <row r="10712" spans="1:5">
      <c r="A10712" t="s">
        <v>6</v>
      </c>
      <c r="B10712" t="s">
        <v>10717</v>
      </c>
      <c r="C10712">
        <f>HYPERLINK("C:\Users\franc\OneDrive\Documentos\MALENTIN KARIME\BANCO ESTADO\2012 DEPTO ESCRITURAS fata\NOTARIA 2009\UNIFRUTTI\UNI AGRI SANTA ROSA JULIO 2008.doc", "Abrir Documento")</f>
        <v>0</v>
      </c>
      <c r="D10712" t="s">
        <v>23500</v>
      </c>
      <c r="E10712" t="s">
        <v>33187</v>
      </c>
    </row>
    <row r="10713" spans="1:5">
      <c r="A10713" t="s">
        <v>6</v>
      </c>
      <c r="B10713" t="s">
        <v>10718</v>
      </c>
      <c r="C10713">
        <f>HYPERLINK("C:\Users\franc\OneDrive\Documentos\MALENTIN KARIME\BANCO ESTADO\2012 DEPTO ESCRITURAS fata\NOTARIA 2009\UNIFRUTTI\UNI AGRI NUEVA AURORA.doc", "Abrir Documento")</f>
        <v>0</v>
      </c>
      <c r="D10713" t="s">
        <v>23500</v>
      </c>
      <c r="E10713" t="s">
        <v>33188</v>
      </c>
    </row>
    <row r="10714" spans="1:5">
      <c r="A10714" t="s">
        <v>6</v>
      </c>
      <c r="B10714" t="s">
        <v>10719</v>
      </c>
      <c r="C10714">
        <f>HYPERLINK("C:\Users\franc\OneDrive\Documentos\MALENTIN KARIME\BANCO ESTADO\2012 DEPTO ESCRITURAS fata\NOTARIA 2009\UNIFRUTTI\UNI AGRI LAS REPRESAS.doc", "Abrir Documento")</f>
        <v>0</v>
      </c>
      <c r="D10714" t="s">
        <v>23500</v>
      </c>
      <c r="E10714" t="s">
        <v>33189</v>
      </c>
    </row>
    <row r="10715" spans="1:5">
      <c r="A10715" t="s">
        <v>6</v>
      </c>
      <c r="B10715" t="s">
        <v>10720</v>
      </c>
      <c r="C10715">
        <f>HYPERLINK("C:\Users\franc\OneDrive\Documentos\MALENTIN KARIME\BANCO ESTADO\2012 DEPTO ESCRITURAS fata\NOTARIA 2009\UNIFRUTTI\UNI AGRI EL TREBOL.doc", "Abrir Documento")</f>
        <v>0</v>
      </c>
      <c r="D10715" t="s">
        <v>23500</v>
      </c>
      <c r="E10715" t="s">
        <v>33190</v>
      </c>
    </row>
    <row r="10716" spans="1:5">
      <c r="A10716" t="s">
        <v>6</v>
      </c>
      <c r="B10716" t="s">
        <v>10721</v>
      </c>
      <c r="C10716">
        <f>HYPERLINK("C:\Users\franc\OneDrive\Documentos\MALENTIN KARIME\BANCO ESTADO\2012 DEPTO ESCRITURAS fata\NOTARIA 2009\UNIFRUTTI\SUC. ORDENES A UNIFRUTTI.doc", "Abrir Documento")</f>
        <v>0</v>
      </c>
      <c r="D10716" t="s">
        <v>23500</v>
      </c>
      <c r="E10716" t="s">
        <v>33191</v>
      </c>
    </row>
    <row r="10717" spans="1:5">
      <c r="A10717" t="s">
        <v>6</v>
      </c>
      <c r="B10717" t="s">
        <v>10722</v>
      </c>
      <c r="C10717">
        <f>HYPERLINK("C:\Users\franc\OneDrive\Documentos\MALENTIN KARIME\BANCO ESTADO\2012 DEPTO ESCRITURAS fata\NOTARIA 2009\UNIFRUTTI\SIBERIA  ABRIL 2009.doc", "Abrir Documento")</f>
        <v>0</v>
      </c>
      <c r="D10717" t="s">
        <v>23500</v>
      </c>
      <c r="E10717" t="s">
        <v>33192</v>
      </c>
    </row>
    <row r="10718" spans="1:5">
      <c r="A10718" t="s">
        <v>6</v>
      </c>
      <c r="B10718" t="s">
        <v>10723</v>
      </c>
      <c r="C10718">
        <f>HYPERLINK("C:\Users\franc\OneDrive\Documentos\MALENTIN KARIME\BANCO ESTADO\2012 DEPTO ESCRITURAS fata\NOTARIA 2009\UNIFRUTTI\NUEVA AURORA ABRIL 2009.doc", "Abrir Documento")</f>
        <v>0</v>
      </c>
      <c r="D10718" t="s">
        <v>23500</v>
      </c>
      <c r="E10718" t="s">
        <v>33193</v>
      </c>
    </row>
    <row r="10719" spans="1:5">
      <c r="A10719" t="s">
        <v>6</v>
      </c>
      <c r="B10719" t="s">
        <v>10724</v>
      </c>
      <c r="C10719">
        <f>HYPERLINK("C:\Users\franc\OneDrive\Documentos\MALENTIN KARIME\BANCO ESTADO\2012 DEPTO ESCRITURAS fata\NOTARIA 2009\UNIFRUTTI\LISTADO PAGO SUC. ORDENES.doc", "Abrir Documento")</f>
        <v>0</v>
      </c>
      <c r="D10719" t="s">
        <v>23500</v>
      </c>
      <c r="E10719" t="s">
        <v>33194</v>
      </c>
    </row>
    <row r="10720" spans="1:5">
      <c r="A10720" t="s">
        <v>6</v>
      </c>
      <c r="B10720" t="s">
        <v>10725</v>
      </c>
      <c r="C10720">
        <f>HYPERLINK("C:\Users\franc\OneDrive\Documentos\MALENTIN KARIME\BANCO ESTADO\2012 DEPTO ESCRITURAS fata\NOTARIA 2009\UNIFRUTTI\LAS REPRESAS  ABRIL 2009.doc", "Abrir Documento")</f>
        <v>0</v>
      </c>
      <c r="D10720" t="s">
        <v>23500</v>
      </c>
      <c r="E10720" t="s">
        <v>33195</v>
      </c>
    </row>
    <row r="10721" spans="1:5">
      <c r="A10721" t="s">
        <v>6</v>
      </c>
      <c r="B10721" t="s">
        <v>10726</v>
      </c>
      <c r="C10721">
        <f>HYPERLINK("C:\Users\franc\OneDrive\Documentos\MALENTIN KARIME\BANCO ESTADO\2012 DEPTO ESCRITURAS fata\NOTARIA 2009\UNIFRUTTI\LA COIPA  ABRIL 2009.doc", "Abrir Documento")</f>
        <v>0</v>
      </c>
      <c r="D10721" t="s">
        <v>23500</v>
      </c>
      <c r="E10721" t="s">
        <v>33196</v>
      </c>
    </row>
    <row r="10722" spans="1:5">
      <c r="A10722" t="s">
        <v>6</v>
      </c>
      <c r="B10722" t="s">
        <v>10727</v>
      </c>
      <c r="C10722">
        <f>HYPERLINK("C:\Users\franc\OneDrive\Documentos\MALENTIN KARIME\BANCO ESTADO\2012 DEPTO ESCRITURAS fata\NOTARIA 2009\UNIFRUTTI\JOSE ARACENA A UNIAGRI (AGUAS).doc", "Abrir Documento")</f>
        <v>0</v>
      </c>
      <c r="D10722" t="s">
        <v>23500</v>
      </c>
      <c r="E10722" t="s">
        <v>33197</v>
      </c>
    </row>
    <row r="10723" spans="1:5">
      <c r="A10723" t="s">
        <v>6</v>
      </c>
      <c r="B10723" t="s">
        <v>10728</v>
      </c>
      <c r="C10723">
        <f>HYPERLINK("C:\Users\franc\OneDrive\Documentos\MALENTIN KARIME\BANCO ESTADO\2012 DEPTO ESCRITURAS fata\NOTARIA 2009\UNIFRUTTI\INSTRUC. GLORIA CORTES.doc", "Abrir Documento")</f>
        <v>0</v>
      </c>
      <c r="D10723" t="s">
        <v>23500</v>
      </c>
      <c r="E10723" t="s">
        <v>33198</v>
      </c>
    </row>
    <row r="10724" spans="1:5">
      <c r="A10724" t="s">
        <v>6</v>
      </c>
      <c r="B10724" t="s">
        <v>10729</v>
      </c>
      <c r="C10724">
        <f>HYPERLINK("C:\Users\franc\OneDrive\Documentos\MALENTIN KARIME\BANCO ESTADO\2012 DEPTO ESCRITURAS fata\NOTARIA 2009\UNIFRUTTI\GLORIA CORTES A UNIAGRI (AGUAS).doc", "Abrir Documento")</f>
        <v>0</v>
      </c>
      <c r="D10724" t="s">
        <v>23500</v>
      </c>
      <c r="E10724" t="s">
        <v>33199</v>
      </c>
    </row>
    <row r="10725" spans="1:5">
      <c r="A10725" t="s">
        <v>6</v>
      </c>
      <c r="B10725" t="s">
        <v>10730</v>
      </c>
      <c r="C10725">
        <f>HYPERLINK("C:\Users\franc\OneDrive\Documentos\MALENTIN KARIME\BANCO ESTADO\2012 DEPTO ESCRITURAS fata\NOTARIA 2009\UNIFRUTTI\FUNDO SANTA ROSA ABRIL 2009.doc", "Abrir Documento")</f>
        <v>0</v>
      </c>
      <c r="D10725" t="s">
        <v>23500</v>
      </c>
      <c r="E10725" t="s">
        <v>33200</v>
      </c>
    </row>
    <row r="10726" spans="1:5">
      <c r="A10726" t="s">
        <v>6</v>
      </c>
      <c r="B10726" t="s">
        <v>10731</v>
      </c>
      <c r="C10726">
        <f>HYPERLINK("C:\Users\franc\OneDrive\Documentos\MALENTIN KARIME\BANCO ESTADO\2012 DEPTO ESCRITURAS fata\NOTARIA 2009\UNIFRUTTI\FUNDO CHACARILLAS ABRIL 2009 (2).doc", "Abrir Documento")</f>
        <v>0</v>
      </c>
      <c r="D10726" t="s">
        <v>23500</v>
      </c>
      <c r="E10726" t="s">
        <v>33201</v>
      </c>
    </row>
    <row r="10727" spans="1:5">
      <c r="A10727" t="s">
        <v>6</v>
      </c>
      <c r="B10727" t="s">
        <v>10732</v>
      </c>
      <c r="C10727">
        <f>HYPERLINK("C:\Users\franc\OneDrive\Documentos\MALENTIN KARIME\BANCO ESTADO\2012 DEPTO ESCRITURAS fata\NOTARIA 2009\UNIFRUTTI\fotos.doc", "Abrir Documento")</f>
        <v>0</v>
      </c>
      <c r="D10727" t="s">
        <v>23500</v>
      </c>
      <c r="E10727" t="s">
        <v>33202</v>
      </c>
    </row>
    <row r="10728" spans="1:5">
      <c r="A10728" t="s">
        <v>6</v>
      </c>
      <c r="B10728" t="s">
        <v>10733</v>
      </c>
      <c r="C10728">
        <f>HYPERLINK("C:\Users\franc\OneDrive\Documentos\MALENTIN KARIME\BANCO ESTADO\2012 DEPTO ESCRITURAS fata\NOTARIA 2009\UNIFRUTTI\foto (1).doc", "Abrir Documento")</f>
        <v>0</v>
      </c>
      <c r="D10728" t="s">
        <v>23500</v>
      </c>
      <c r="E10728" t="s">
        <v>33203</v>
      </c>
    </row>
    <row r="10729" spans="1:5">
      <c r="A10729" t="s">
        <v>6</v>
      </c>
      <c r="B10729" t="s">
        <v>10734</v>
      </c>
      <c r="C10729">
        <f>HYPERLINK("C:\Users\franc\OneDrive\Documentos\MALENTIN KARIME\BANCO ESTADO\2012 DEPTO ESCRITURAS fata\NOTARIA 2009\UNIFRUTTI\CHAÑARAL ALTO ABRIL 2009.doc", "Abrir Documento")</f>
        <v>0</v>
      </c>
      <c r="D10729" t="s">
        <v>23500</v>
      </c>
      <c r="E10729" t="s">
        <v>33204</v>
      </c>
    </row>
    <row r="10730" spans="1:5">
      <c r="A10730" t="s">
        <v>6</v>
      </c>
      <c r="B10730" t="s">
        <v>10735</v>
      </c>
      <c r="C10730">
        <f>HYPERLINK("C:\Users\franc\OneDrive\Documentos\MALENTIN KARIME\BANCO ESTADO\2012 DEPTO ESCRITURAS fata\NOTARIA 2009\UNIFRUTTI\CHACARILLAS JULIO 2009.doc", "Abrir Documento")</f>
        <v>0</v>
      </c>
      <c r="D10730" t="s">
        <v>23500</v>
      </c>
      <c r="E10730" t="s">
        <v>33205</v>
      </c>
    </row>
    <row r="10731" spans="1:5">
      <c r="A10731" t="s">
        <v>6</v>
      </c>
      <c r="B10731" t="s">
        <v>10736</v>
      </c>
      <c r="C10731">
        <f>HYPERLINK("C:\Users\franc\OneDrive\Documentos\MALENTIN KARIME\BANCO ESTADO\2012 DEPTO ESCRITURAS fata\NOTARIA 2009\UNIFRUTTI\CHACARILLAS ABRIL 2009.doc", "Abrir Documento")</f>
        <v>0</v>
      </c>
      <c r="D10731" t="s">
        <v>23500</v>
      </c>
      <c r="E10731" t="s">
        <v>33206</v>
      </c>
    </row>
    <row r="10732" spans="1:5">
      <c r="A10732" t="s">
        <v>6</v>
      </c>
      <c r="B10732" t="s">
        <v>10737</v>
      </c>
      <c r="C10732">
        <f>HYPERLINK("C:\Users\franc\OneDrive\Documentos\MALENTIN KARIME\BANCO ESTADO\2012 DEPTO ESCRITURAS fata\NOTARIA 2009\UNIFRUTTI\Carta-Instrucción-Compra-Aguas-OrdenesOK.doc", "Abrir Documento")</f>
        <v>0</v>
      </c>
      <c r="D10732" t="s">
        <v>23500</v>
      </c>
      <c r="E10732" t="s">
        <v>33207</v>
      </c>
    </row>
    <row r="10733" spans="1:5">
      <c r="A10733" t="s">
        <v>6</v>
      </c>
      <c r="B10733" t="s">
        <v>10738</v>
      </c>
      <c r="C10733">
        <f>HYPERLINK("C:\Users\franc\OneDrive\Documentos\MALENTIN KARIME\BANCO ESTADO\2012 DEPTO ESCRITURAS fata\NOTARIA 2009\UNIFRUTTI\Carta-Instrucción-Compra-Aguas-Corral.doc", "Abrir Documento")</f>
        <v>0</v>
      </c>
      <c r="D10733" t="s">
        <v>23500</v>
      </c>
      <c r="E10733" t="s">
        <v>33208</v>
      </c>
    </row>
    <row r="10734" spans="1:5">
      <c r="A10734" t="s">
        <v>6</v>
      </c>
      <c r="B10734" t="s">
        <v>10739</v>
      </c>
      <c r="C10734">
        <f>HYPERLINK("C:\Users\franc\OneDrive\Documentos\MALENTIN KARIME\BANCO ESTADO\2012 DEPTO ESCRITURAS fata\NOTARIA 2009\UNIFRUTTI\Carta-Instrucción-Compra-Aguas-Aracena.doc", "Abrir Documento")</f>
        <v>0</v>
      </c>
      <c r="D10734" t="s">
        <v>23500</v>
      </c>
      <c r="E10734" t="s">
        <v>33209</v>
      </c>
    </row>
    <row r="10735" spans="1:5">
      <c r="A10735" t="s">
        <v>6</v>
      </c>
      <c r="B10735" t="s">
        <v>10740</v>
      </c>
      <c r="C10735">
        <f>HYPERLINK("C:\Users\franc\OneDrive\Documentos\MALENTIN KARIME\BANCO ESTADO\2012 DEPTO ESCRITURAS fata\NOTARIA 2009\UNIFRUTTI\ANTONIO CORRAL MOREY (AGUAS).doc", "Abrir Documento")</f>
        <v>0</v>
      </c>
      <c r="D10735" t="s">
        <v>23500</v>
      </c>
      <c r="E10735" t="s">
        <v>33210</v>
      </c>
    </row>
    <row r="10736" spans="1:5">
      <c r="A10736" t="s">
        <v>6</v>
      </c>
      <c r="B10736" t="s">
        <v>10741</v>
      </c>
      <c r="C10736">
        <f>HYPERLINK("C:\Users\franc\OneDrive\Documentos\MALENTIN KARIME\BANCO ESTADO\2012 DEPTO ESCRITURAS fata\NOTARIA 2009\UNIFRUTTI\ACTAS UNIAGRI- CAMARICO.doc", "Abrir Documento")</f>
        <v>0</v>
      </c>
      <c r="D10736" t="s">
        <v>23500</v>
      </c>
      <c r="E10736" t="s">
        <v>33211</v>
      </c>
    </row>
    <row r="10737" spans="1:5">
      <c r="A10737" t="s">
        <v>6</v>
      </c>
      <c r="B10737" t="s">
        <v>10742</v>
      </c>
      <c r="C10737">
        <f>HYPERLINK("C:\Users\franc\OneDrive\Documentos\MALENTIN KARIME\BANCO ESTADO\2012 DEPTO ESCRITURAS fata\NOTARIA 2009\UNIFRUTTI\ACTAS UNI-AGRI.doc", "Abrir Documento")</f>
        <v>0</v>
      </c>
      <c r="D10737" t="s">
        <v>23500</v>
      </c>
      <c r="E10737" t="s">
        <v>33212</v>
      </c>
    </row>
    <row r="10738" spans="1:5">
      <c r="A10738" t="s">
        <v>6</v>
      </c>
      <c r="B10738" t="s">
        <v>10743</v>
      </c>
      <c r="C10738">
        <f>HYPERLINK("C:\Users\franc\OneDrive\Documentos\MALENTIN KARIME\BANCO ESTADO\2012 DEPTO ESCRITURAS fata\NOTARIA 2009\UNIFRUTTI\ACTAS UNI-AGRI NUEVA AURORA (2 CUARTELES).doc", "Abrir Documento")</f>
        <v>0</v>
      </c>
      <c r="D10738" t="s">
        <v>23500</v>
      </c>
      <c r="E10738" t="s">
        <v>33213</v>
      </c>
    </row>
    <row r="10739" spans="1:5">
      <c r="A10739" t="s">
        <v>6</v>
      </c>
      <c r="B10739" t="s">
        <v>10744</v>
      </c>
      <c r="C10739">
        <f>HYPERLINK("C:\Users\franc\OneDrive\Documentos\MALENTIN KARIME\BANCO ESTADO\2012 DEPTO ESCRITURAS fata\NOTARIA 2009\UNIFRUTTI\ACTAS UNI-AGRI LA ISLA.doc", "Abrir Documento")</f>
        <v>0</v>
      </c>
      <c r="D10739" t="s">
        <v>23500</v>
      </c>
      <c r="E10739" t="s">
        <v>33214</v>
      </c>
    </row>
    <row r="10740" spans="1:5">
      <c r="A10740" t="s">
        <v>6</v>
      </c>
      <c r="B10740" t="s">
        <v>10745</v>
      </c>
      <c r="C10740">
        <f>HYPERLINK("C:\Users\franc\OneDrive\Documentos\MALENTIN KARIME\BANCO ESTADO\2012 DEPTO ESCRITURAS fata\NOTARIA 2009\UNIFRUTTI\ACTAS UNI-AGRI LA CHACARILLA.doc", "Abrir Documento")</f>
        <v>0</v>
      </c>
      <c r="D10740" t="s">
        <v>23500</v>
      </c>
      <c r="E10740" t="s">
        <v>33215</v>
      </c>
    </row>
    <row r="10741" spans="1:5">
      <c r="A10741" t="s">
        <v>6</v>
      </c>
      <c r="B10741" t="s">
        <v>10746</v>
      </c>
      <c r="C10741">
        <f>HYPERLINK("C:\Users\franc\OneDrive\Documentos\MALENTIN KARIME\BANCO ESTADO\2012 DEPTO ESCRITURAS fata\NOTARIA 2009\UNIFRUTTI\ACTAS UNI-AGRI HUANILLA  MAYO 2008.doc", "Abrir Documento")</f>
        <v>0</v>
      </c>
      <c r="D10741" t="s">
        <v>23500</v>
      </c>
      <c r="E10741" t="s">
        <v>33216</v>
      </c>
    </row>
    <row r="10742" spans="1:5">
      <c r="A10742" t="s">
        <v>6</v>
      </c>
      <c r="B10742" t="s">
        <v>10747</v>
      </c>
      <c r="C10742">
        <f>HYPERLINK("C:\Users\franc\OneDrive\Documentos\MALENTIN KARIME\BANCO ESTADO\2012 DEPTO ESCRITURAS fata\NOTARIA 2009\UNIFRUTTI\ACTAS UNI-AGRI CHACARILLAS  MAYO 2008.doc", "Abrir Documento")</f>
        <v>0</v>
      </c>
      <c r="D10742" t="s">
        <v>23500</v>
      </c>
      <c r="E10742" t="s">
        <v>33217</v>
      </c>
    </row>
    <row r="10743" spans="1:5">
      <c r="A10743" t="s">
        <v>6</v>
      </c>
      <c r="B10743" t="s">
        <v>10748</v>
      </c>
      <c r="C10743">
        <f>HYPERLINK("C:\Users\franc\OneDrive\Documentos\MALENTIN KARIME\BANCO ESTADO\2012 DEPTO ESCRITURAS fata\NOTARIA 2009\UNIFRUTTI\ACTAS UNI-AGRI 3.doc", "Abrir Documento")</f>
        <v>0</v>
      </c>
      <c r="D10743" t="s">
        <v>23500</v>
      </c>
      <c r="E10743" t="s">
        <v>33218</v>
      </c>
    </row>
    <row r="10744" spans="1:5">
      <c r="A10744" t="s">
        <v>6</v>
      </c>
      <c r="B10744" t="s">
        <v>10749</v>
      </c>
      <c r="C10744">
        <f>HYPERLINK("C:\Users\franc\OneDrive\Documentos\MALENTIN KARIME\BANCO ESTADO\2012 DEPTO ESCRITURAS fata\NOTARIA 2009\UNIFRUTTI\ACTAS UNI-AGRI 2.doc", "Abrir Documento")</f>
        <v>0</v>
      </c>
      <c r="D10744" t="s">
        <v>23500</v>
      </c>
      <c r="E10744" t="s">
        <v>33219</v>
      </c>
    </row>
    <row r="10745" spans="1:5">
      <c r="A10745" t="s">
        <v>6</v>
      </c>
      <c r="B10745" t="s">
        <v>10750</v>
      </c>
      <c r="C10745">
        <f>HYPERLINK("C:\Users\franc\OneDrive\Documentos\MALENTIN KARIME\BANCO ESTADO\2012 DEPTO ESCRITURAS fata\NOTARIA 2009\UNIFRUTTI\ACTAS UNI-AGRI 09 05 2008.doc", "Abrir Documento")</f>
        <v>0</v>
      </c>
      <c r="D10745" t="s">
        <v>23500</v>
      </c>
      <c r="E10745" t="s">
        <v>33220</v>
      </c>
    </row>
    <row r="10746" spans="1:5">
      <c r="A10746" t="s">
        <v>6</v>
      </c>
      <c r="B10746" t="s">
        <v>10751</v>
      </c>
      <c r="C10746">
        <f>HYPERLINK("C:\Users\franc\OneDrive\Documentos\MALENTIN KARIME\BANCO ESTADO\2012 DEPTO ESCRITURAS fata\NOTARIA 2009\UNIFRUTTI\ACTAS UNI-AGRI  LA COIPA.doc", "Abrir Documento")</f>
        <v>0</v>
      </c>
      <c r="D10746" t="s">
        <v>23500</v>
      </c>
      <c r="E10746" t="s">
        <v>33221</v>
      </c>
    </row>
    <row r="10747" spans="1:5">
      <c r="A10747" t="s">
        <v>6</v>
      </c>
      <c r="B10747" t="s">
        <v>10752</v>
      </c>
      <c r="C10747">
        <f>HYPERLINK("C:\Users\franc\OneDrive\Documentos\MALENTIN KARIME\BANCO ESTADO\2012 DEPTO ESCRITURAS fata\NOTARIA 2009\UNIFRUTTI\ACTAS UNI-AGRI  6.doc", "Abrir Documento")</f>
        <v>0</v>
      </c>
      <c r="D10747" t="s">
        <v>23500</v>
      </c>
      <c r="E10747" t="s">
        <v>33222</v>
      </c>
    </row>
    <row r="10748" spans="1:5">
      <c r="A10748" t="s">
        <v>6</v>
      </c>
      <c r="B10748" t="s">
        <v>10753</v>
      </c>
      <c r="C10748">
        <f>HYPERLINK("C:\Users\franc\OneDrive\Documentos\MALENTIN KARIME\BANCO ESTADO\2012 DEPTO ESCRITURAS fata\NOTARIA 2009\UNIFRUTTI\ACTAS UNI-AGRI  5.doc", "Abrir Documento")</f>
        <v>0</v>
      </c>
      <c r="D10748" t="s">
        <v>23500</v>
      </c>
      <c r="E10748" t="s">
        <v>33223</v>
      </c>
    </row>
    <row r="10749" spans="1:5">
      <c r="A10749" t="s">
        <v>6</v>
      </c>
      <c r="B10749" t="s">
        <v>10754</v>
      </c>
      <c r="C10749">
        <f>HYPERLINK("C:\Users\franc\OneDrive\Documentos\MALENTIN KARIME\BANCO ESTADO\2012 DEPTO ESCRITURAS fata\NOTARIA 2009\UNIFRUTTI\ACTAS UNI-AGRI  4.doc", "Abrir Documento")</f>
        <v>0</v>
      </c>
      <c r="D10749" t="s">
        <v>23500</v>
      </c>
      <c r="E10749" t="s">
        <v>33224</v>
      </c>
    </row>
    <row r="10750" spans="1:5">
      <c r="A10750" t="s">
        <v>6</v>
      </c>
      <c r="B10750" t="s">
        <v>10755</v>
      </c>
      <c r="C10750">
        <f>HYPERLINK("C:\Users\franc\OneDrive\Documentos\MALENTIN KARIME\BANCO ESTADO\2012 DEPTO ESCRITURAS fata\NOTARIA 2009\UNIFRUTTI\ACTA PREDIO SANTA ROAS.doc", "Abrir Documento")</f>
        <v>0</v>
      </c>
      <c r="D10750" t="s">
        <v>23500</v>
      </c>
      <c r="E10750" t="s">
        <v>33225</v>
      </c>
    </row>
    <row r="10751" spans="1:5">
      <c r="A10751" t="s">
        <v>6</v>
      </c>
      <c r="B10751" t="s">
        <v>10756</v>
      </c>
      <c r="C10751">
        <f>HYPERLINK("C:\Users\franc\OneDrive\Documentos\MALENTIN KARIME\BANCO ESTADO\2012 DEPTO ESCRITURAS fata\NOTARIA 2009\UNIFRUTTI\ACTA PREDIO LAS REPRESAS.doc", "Abrir Documento")</f>
        <v>0</v>
      </c>
      <c r="D10751" t="s">
        <v>23500</v>
      </c>
      <c r="E10751" t="s">
        <v>33226</v>
      </c>
    </row>
    <row r="10752" spans="1:5">
      <c r="A10752" t="s">
        <v>6</v>
      </c>
      <c r="B10752" t="s">
        <v>10757</v>
      </c>
      <c r="C10752">
        <f>HYPERLINK("C:\Users\franc\OneDrive\Documentos\MALENTIN KARIME\BANCO ESTADO\2012 DEPTO ESCRITURAS fata\NOTARIA 2009\UNIFRUTTI\ACTA PREDIO LAS REPRESAS JULIO 2009.doc", "Abrir Documento")</f>
        <v>0</v>
      </c>
      <c r="D10752" t="s">
        <v>23500</v>
      </c>
      <c r="E10752" t="s">
        <v>33227</v>
      </c>
    </row>
    <row r="10753" spans="1:5">
      <c r="A10753" t="s">
        <v>6</v>
      </c>
      <c r="B10753" t="s">
        <v>10758</v>
      </c>
      <c r="C10753">
        <f>HYPERLINK("C:\Users\franc\OneDrive\Documentos\MALENTIN KARIME\BANCO ESTADO\2012 DEPTO ESCRITURAS fata\NOTARIA 2009\UNIFRUTTI\ACTA PREDIO CHACARILLAS.doc", "Abrir Documento")</f>
        <v>0</v>
      </c>
      <c r="D10753" t="s">
        <v>23500</v>
      </c>
      <c r="E10753" t="s">
        <v>33228</v>
      </c>
    </row>
    <row r="10754" spans="1:5">
      <c r="A10754" t="s">
        <v>6</v>
      </c>
      <c r="B10754" t="s">
        <v>10759</v>
      </c>
      <c r="C10754">
        <f>HYPERLINK("C:\Users\franc\OneDrive\Documentos\MALENTIN KARIME\BANCO ESTADO\2012 DEPTO ESCRITURAS fata\NOTARIA 2009\UNIFRUTTI\ACTA LA COIPA SECTORES 11, 12 Y 13.doc", "Abrir Documento")</f>
        <v>0</v>
      </c>
      <c r="D10754" t="s">
        <v>23500</v>
      </c>
      <c r="E10754" t="s">
        <v>33229</v>
      </c>
    </row>
    <row r="10755" spans="1:5">
      <c r="A10755" t="s">
        <v>6</v>
      </c>
      <c r="B10755" t="s">
        <v>10760</v>
      </c>
      <c r="C10755">
        <f>HYPERLINK("C:\Users\franc\OneDrive\Documentos\MALENTIN KARIME\BANCO ESTADO\2012 DEPTO ESCRITURAS fata\NOTARIA 2009\UNIFRUTTI\ACTA HUANILLA CUARTELES 21,23, 24 Y 25.doc", "Abrir Documento")</f>
        <v>0</v>
      </c>
      <c r="D10755" t="s">
        <v>23500</v>
      </c>
      <c r="E10755" t="s">
        <v>33230</v>
      </c>
    </row>
    <row r="10756" spans="1:5">
      <c r="A10756" t="s">
        <v>6</v>
      </c>
      <c r="B10756" t="s">
        <v>10761</v>
      </c>
      <c r="C10756">
        <f>HYPERLINK("C:\Users\franc\OneDrive\Documentos\MALENTIN KARIME\BANCO ESTADO\2012 DEPTO ESCRITURAS fata\NOTARIA 2009\UNIFRUTTI\ACTA FUNDO PREDIO TUQUI  NOVIEMBRE 2008.doc", "Abrir Documento")</f>
        <v>0</v>
      </c>
      <c r="D10756" t="s">
        <v>23500</v>
      </c>
      <c r="E10756" t="s">
        <v>33231</v>
      </c>
    </row>
    <row r="10757" spans="1:5">
      <c r="A10757" t="s">
        <v>6</v>
      </c>
      <c r="B10757" t="s">
        <v>10762</v>
      </c>
      <c r="C10757">
        <f>HYPERLINK("C:\Users\franc\OneDrive\Documentos\MALENTIN KARIME\BANCO ESTADO\2012 DEPTO ESCRITURAS fata\NOTARIA 2009\UNIFRUTTI\ACTA FUNDO NUEVA AURORA (AGOSTO 2008).doc", "Abrir Documento")</f>
        <v>0</v>
      </c>
      <c r="D10757" t="s">
        <v>23500</v>
      </c>
      <c r="E10757" t="s">
        <v>33232</v>
      </c>
    </row>
    <row r="10758" spans="1:5">
      <c r="A10758" t="s">
        <v>6</v>
      </c>
      <c r="B10758" t="s">
        <v>10763</v>
      </c>
      <c r="C10758">
        <f>HYPERLINK("C:\Users\franc\OneDrive\Documentos\MALENTIN KARIME\BANCO ESTADO\2012 DEPTO ESCRITURAS fata\NOTARIA 2009\UNIFRUTTI\ACTA EL TREBOL.doc", "Abrir Documento")</f>
        <v>0</v>
      </c>
      <c r="D10758" t="s">
        <v>23500</v>
      </c>
      <c r="E10758" t="s">
        <v>33233</v>
      </c>
    </row>
    <row r="10759" spans="1:5">
      <c r="A10759" t="s">
        <v>6</v>
      </c>
      <c r="B10759" t="s">
        <v>10764</v>
      </c>
      <c r="C10759">
        <f>HYPERLINK("C:\Users\franc\OneDrive\Documentos\MALENTIN KARIME\BANCO ESTADO\2012 DEPTO ESCRITURAS fata\NOTARIA 2009\UNIFRUTTI\ACTA CITRICOS  CLEMENTINAS.doc", "Abrir Documento")</f>
        <v>0</v>
      </c>
      <c r="D10759" t="s">
        <v>23500</v>
      </c>
      <c r="E10759" t="s">
        <v>33234</v>
      </c>
    </row>
    <row r="10760" spans="1:5">
      <c r="A10760" t="s">
        <v>6</v>
      </c>
      <c r="B10760" t="s">
        <v>10765</v>
      </c>
      <c r="C10760">
        <f>HYPERLINK("C:\Users\franc\OneDrive\Documentos\MALENTIN KARIME\BANCO ESTADO\2012 DEPTO ESCRITURAS fata\NOTARIA 2009\UNIFRUTTI\ACTA CITRICOS  CLEMENTINAS (7,8,9,10.doc", "Abrir Documento")</f>
        <v>0</v>
      </c>
      <c r="D10760" t="s">
        <v>23500</v>
      </c>
      <c r="E10760" t="s">
        <v>33235</v>
      </c>
    </row>
    <row r="10761" spans="1:5">
      <c r="A10761" t="s">
        <v>6</v>
      </c>
      <c r="B10761" t="s">
        <v>10766</v>
      </c>
      <c r="C10761">
        <f>HYPERLINK("C:\Users\franc\OneDrive\Documentos\MALENTIN KARIME\BANCO ESTADO\2012 DEPTO ESCRITURAS fata\NOTARIA 2009\UNIFRUTTI\ACTA CAMARICO.doc", "Abrir Documento")</f>
        <v>0</v>
      </c>
      <c r="D10761" t="s">
        <v>23500</v>
      </c>
      <c r="E10761" t="s">
        <v>33236</v>
      </c>
    </row>
    <row r="10762" spans="1:5">
      <c r="A10762" t="s">
        <v>6</v>
      </c>
      <c r="B10762" t="s">
        <v>10767</v>
      </c>
      <c r="C10762">
        <f>HYPERLINK("C:\Users\franc\OneDrive\Documentos\MALENTIN KARIME\BANCO ESTADO\2012 DEPTO ESCRITURAS fata\NOTARIA 2009\UNIFRUTTI\ACTA 2.doc", "Abrir Documento")</f>
        <v>0</v>
      </c>
      <c r="D10762" t="s">
        <v>23500</v>
      </c>
      <c r="E10762" t="s">
        <v>33237</v>
      </c>
    </row>
    <row r="10763" spans="1:5">
      <c r="A10763" t="s">
        <v>6</v>
      </c>
      <c r="B10763" t="s">
        <v>10768</v>
      </c>
      <c r="C10763">
        <f>HYPERLINK("C:\Users\franc\OneDrive\Documentos\MALENTIN KARIME\BANCO ESTADO\2012 DEPTO ESCRITURAS fata\NOTARIA 2009\TRANSACCION\TOMAS CERDA A MARNIE DINAMARCA.doc", "Abrir Documento")</f>
        <v>0</v>
      </c>
      <c r="D10763" t="s">
        <v>23500</v>
      </c>
      <c r="E10763" t="s">
        <v>33238</v>
      </c>
    </row>
    <row r="10764" spans="1:5">
      <c r="A10764" t="s">
        <v>6</v>
      </c>
      <c r="B10764" t="s">
        <v>10769</v>
      </c>
      <c r="C10764">
        <f>HYPERLINK("C:\Users\franc\OneDrive\Documentos\MALENTIN KARIME\BANCO ESTADO\2012 DEPTO ESCRITURAS fata\NOTARIA 2009\TRANSACCION\PEDRO OLIVARES BCO.doc", "Abrir Documento")</f>
        <v>0</v>
      </c>
      <c r="D10764" t="s">
        <v>23500</v>
      </c>
      <c r="E10764" t="s">
        <v>33239</v>
      </c>
    </row>
    <row r="10765" spans="1:5">
      <c r="A10765" t="s">
        <v>6</v>
      </c>
      <c r="B10765" t="s">
        <v>10770</v>
      </c>
      <c r="C10765">
        <f>HYPERLINK("C:\Users\franc\OneDrive\Documentos\MALENTIN KARIME\BANCO ESTADO\2012 DEPTO ESCRITURAS fata\NOTARIA 2009\TRANSACCION\MODELO TRANSACCION.doc", "Abrir Documento")</f>
        <v>0</v>
      </c>
      <c r="D10765" t="s">
        <v>23500</v>
      </c>
      <c r="E10765" t="s">
        <v>33240</v>
      </c>
    </row>
    <row r="10766" spans="1:5">
      <c r="A10766" t="s">
        <v>6</v>
      </c>
      <c r="B10766" t="s">
        <v>10771</v>
      </c>
      <c r="C10766">
        <f>HYPERLINK("C:\Users\franc\OneDrive\Documentos\MALENTIN KARIME\BANCO ESTADO\2012 DEPTO ESCRITURAS fata\NOTARIA 2009\TRANSACCION\CONSUELO CALDERON A PABLO DANKE.doc", "Abrir Documento")</f>
        <v>0</v>
      </c>
      <c r="D10766" t="s">
        <v>23500</v>
      </c>
      <c r="E10766" t="s">
        <v>33241</v>
      </c>
    </row>
    <row r="10767" spans="1:5">
      <c r="A10767" t="s">
        <v>6</v>
      </c>
      <c r="B10767" t="s">
        <v>10772</v>
      </c>
      <c r="C10767">
        <f>HYPERLINK("C:\Users\franc\OneDrive\Documentos\MALENTIN KARIME\BANCO ESTADO\2012 DEPTO ESCRITURAS fata\NOTARIA 2009\TESTAMENTOS\SATURNINO CAQUEO TRONCOSO.doc", "Abrir Documento")</f>
        <v>0</v>
      </c>
      <c r="D10767" t="s">
        <v>23500</v>
      </c>
      <c r="E10767" t="s">
        <v>33242</v>
      </c>
    </row>
    <row r="10768" spans="1:5">
      <c r="A10768" t="s">
        <v>6</v>
      </c>
      <c r="B10768" t="s">
        <v>10773</v>
      </c>
      <c r="C10768">
        <f>HYPERLINK("C:\Users\franc\OneDrive\Documentos\MALENTIN KARIME\BANCO ESTADO\2012 DEPTO ESCRITURAS fata\NOTARIA 2009\TESTAMENTOS\MODELO.doc", "Abrir Documento")</f>
        <v>0</v>
      </c>
      <c r="D10768" t="s">
        <v>23500</v>
      </c>
      <c r="E10768" t="s">
        <v>33243</v>
      </c>
    </row>
    <row r="10769" spans="1:5">
      <c r="A10769" t="s">
        <v>6</v>
      </c>
      <c r="B10769" t="s">
        <v>10774</v>
      </c>
      <c r="C10769">
        <f>HYPERLINK("C:\Users\franc\OneDrive\Documentos\MALENTIN KARIME\BANCO ESTADO\2012 DEPTO ESCRITURAS fata\NOTARIA 2009\TESTAMENTOS\MODELO TESTAMENTO.doc", "Abrir Documento")</f>
        <v>0</v>
      </c>
      <c r="D10769" t="s">
        <v>23500</v>
      </c>
      <c r="E10769" t="s">
        <v>33244</v>
      </c>
    </row>
    <row r="10770" spans="1:5">
      <c r="A10770" t="s">
        <v>6</v>
      </c>
      <c r="B10770" t="s">
        <v>10775</v>
      </c>
      <c r="C10770">
        <f>HYPERLINK("C:\Users\franc\OneDrive\Documentos\MALENTIN KARIME\BANCO ESTADO\2012 DEPTO ESCRITURAS fata\NOTARIA 2009\TESTAMENTOS\LUISA SEGURA.doc", "Abrir Documento")</f>
        <v>0</v>
      </c>
      <c r="D10770" t="s">
        <v>23500</v>
      </c>
      <c r="E10770" t="s">
        <v>33245</v>
      </c>
    </row>
    <row r="10771" spans="1:5">
      <c r="A10771" t="s">
        <v>6</v>
      </c>
      <c r="B10771" t="s">
        <v>10776</v>
      </c>
      <c r="C10771">
        <f>HYPERLINK("C:\Users\franc\OneDrive\Documentos\MALENTIN KARIME\BANCO ESTADO\2012 DEPTO ESCRITURAS fata\NOTARIA 2009\TESTAMENTOS\ELENA OGALDE ARAYA.doc", "Abrir Documento")</f>
        <v>0</v>
      </c>
      <c r="D10771" t="s">
        <v>23500</v>
      </c>
      <c r="E10771" t="s">
        <v>33246</v>
      </c>
    </row>
    <row r="10772" spans="1:5">
      <c r="A10772" t="s">
        <v>6</v>
      </c>
      <c r="B10772" t="s">
        <v>10777</v>
      </c>
      <c r="C10772">
        <f>HYPERLINK("C:\Users\franc\OneDrive\Documentos\MALENTIN KARIME\BANCO ESTADO\2012 DEPTO ESCRITURAS fata\NOTARIA 2009\TESTAMENTOS\BELLA GARCIA.doc", "Abrir Documento")</f>
        <v>0</v>
      </c>
      <c r="D10772" t="s">
        <v>23500</v>
      </c>
      <c r="E10772" t="s">
        <v>33247</v>
      </c>
    </row>
    <row r="10773" spans="1:5">
      <c r="A10773" t="s">
        <v>6</v>
      </c>
      <c r="B10773" t="s">
        <v>10778</v>
      </c>
      <c r="C10773">
        <f>HYPERLINK("C:\Users\franc\OneDrive\Documentos\MALENTIN KARIME\BANCO ESTADO\2012 DEPTO ESCRITURAS fata\NOTARIA 2009\TESTAMENTOS\ANA RUTH ROJAS  JIMENEZ.doc", "Abrir Documento")</f>
        <v>0</v>
      </c>
      <c r="D10773" t="s">
        <v>23500</v>
      </c>
      <c r="E10773" t="s">
        <v>33248</v>
      </c>
    </row>
    <row r="10774" spans="1:5">
      <c r="A10774" t="s">
        <v>6</v>
      </c>
      <c r="B10774" t="s">
        <v>10779</v>
      </c>
      <c r="C10774">
        <f>HYPERLINK("C:\Users\franc\OneDrive\Documentos\MALENTIN KARIME\BANCO ESTADO\2012 DEPTO ESCRITURAS fata\NOTARIA 2009\SUMINISTRO AGUA\INMOBILIAIRA RENACER A JOSE MIGUEL ZEPEDA.doc", "Abrir Documento")</f>
        <v>0</v>
      </c>
      <c r="D10774" t="s">
        <v>23500</v>
      </c>
      <c r="E10774" t="s">
        <v>33249</v>
      </c>
    </row>
    <row r="10775" spans="1:5">
      <c r="A10775" t="s">
        <v>6</v>
      </c>
      <c r="B10775" t="s">
        <v>10780</v>
      </c>
      <c r="C10775">
        <f>HYPERLINK("C:\Users\franc\OneDrive\Documentos\MALENTIN KARIME\BANCO ESTADO\2012 DEPTO ESCRITURAS fata\NOTARIA 2009\SOCIEDAD DE HECHO\FUAD ALAMO.doc", "Abrir Documento")</f>
        <v>0</v>
      </c>
      <c r="D10775" t="s">
        <v>23500</v>
      </c>
      <c r="E10775" t="s">
        <v>33250</v>
      </c>
    </row>
    <row r="10776" spans="1:5">
      <c r="A10776" t="s">
        <v>6</v>
      </c>
      <c r="B10776" t="s">
        <v>10781</v>
      </c>
      <c r="C10776">
        <f>HYPERLINK("C:\Users\franc\OneDrive\Documentos\MALENTIN KARIME\BANCO ESTADO\2012 DEPTO ESCRITURAS fata\NOTARIA 2009\SOCIEDAD\SOLEDAD FARR TAPIA Y OTRA.doc", "Abrir Documento")</f>
        <v>0</v>
      </c>
      <c r="D10776" t="s">
        <v>23500</v>
      </c>
      <c r="E10776" t="s">
        <v>33251</v>
      </c>
    </row>
    <row r="10777" spans="1:5">
      <c r="A10777" t="s">
        <v>6</v>
      </c>
      <c r="B10777" t="s">
        <v>10782</v>
      </c>
      <c r="C10777">
        <f>HYPERLINK("C:\Users\franc\OneDrive\Documentos\MALENTIN KARIME\BANCO ESTADO\2012 DEPTO ESCRITURAS fata\NOTARIA 2009\SOCIEDAD\SOCIEDAD OVALLE.doc", "Abrir Documento")</f>
        <v>0</v>
      </c>
      <c r="D10777" t="s">
        <v>23500</v>
      </c>
      <c r="E10777" t="s">
        <v>33252</v>
      </c>
    </row>
    <row r="10778" spans="1:5">
      <c r="A10778" t="s">
        <v>6</v>
      </c>
      <c r="B10778" t="s">
        <v>10783</v>
      </c>
      <c r="C10778">
        <f>HYPERLINK("C:\Users\franc\OneDrive\Documentos\MALENTIN KARIME\BANCO ESTADO\2012 DEPTO ESCRITURAS fata\NOTARIA 2009\SOCIEDAD\SOCIEDAD ORTIZ Y DIAZ LTDA. EXTRACTO.doc", "Abrir Documento")</f>
        <v>0</v>
      </c>
      <c r="D10778" t="s">
        <v>23500</v>
      </c>
      <c r="E10778" t="s">
        <v>33253</v>
      </c>
    </row>
    <row r="10779" spans="1:5">
      <c r="A10779" t="s">
        <v>6</v>
      </c>
      <c r="B10779" t="s">
        <v>10784</v>
      </c>
      <c r="C10779">
        <f>HYPERLINK("C:\Users\franc\OneDrive\Documentos\MALENTIN KARIME\BANCO ESTADO\2012 DEPTO ESCRITURAS fata\NOTARIA 2009\SOCIEDAD\SOC. VILLA AMANECER.doc", "Abrir Documento")</f>
        <v>0</v>
      </c>
      <c r="D10779" t="s">
        <v>23500</v>
      </c>
      <c r="E10779" t="s">
        <v>33254</v>
      </c>
    </row>
    <row r="10780" spans="1:5">
      <c r="A10780" t="s">
        <v>6</v>
      </c>
      <c r="B10780" t="s">
        <v>10785</v>
      </c>
      <c r="C10780">
        <f>HYPERLINK("C:\Users\franc\OneDrive\Documentos\MALENTIN KARIME\BANCO ESTADO\2012 DEPTO ESCRITURAS fata\NOTARIA 2009\SOCIEDAD\SOC. OVASER (NIÑOS BANCO).doc", "Abrir Documento")</f>
        <v>0</v>
      </c>
      <c r="D10780" t="s">
        <v>23500</v>
      </c>
      <c r="E10780" t="s">
        <v>33255</v>
      </c>
    </row>
    <row r="10781" spans="1:5">
      <c r="A10781" t="s">
        <v>6</v>
      </c>
      <c r="B10781" t="s">
        <v>10786</v>
      </c>
      <c r="C10781">
        <f>HYPERLINK("C:\Users\franc\OneDrive\Documentos\MALENTIN KARIME\BANCO ESTADO\2012 DEPTO ESCRITURAS fata\NOTARIA 2009\SOCIEDAD\SOC. HNOS MILLAHUALA.doc", "Abrir Documento")</f>
        <v>0</v>
      </c>
      <c r="D10781" t="s">
        <v>23500</v>
      </c>
      <c r="E10781" t="s">
        <v>33256</v>
      </c>
    </row>
    <row r="10782" spans="1:5">
      <c r="A10782" t="s">
        <v>6</v>
      </c>
      <c r="B10782" t="s">
        <v>10787</v>
      </c>
      <c r="C10782">
        <f>HYPERLINK("C:\Users\franc\OneDrive\Documentos\MALENTIN KARIME\BANCO ESTADO\2012 DEPTO ESCRITURAS fata\NOTARIA 2009\SOCIEDAD\SOC. DESARROLLO Y CAPAC. LABORAL (JOSE HERNANDEZ).doc", "Abrir Documento")</f>
        <v>0</v>
      </c>
      <c r="D10782" t="s">
        <v>23500</v>
      </c>
      <c r="E10782" t="s">
        <v>33257</v>
      </c>
    </row>
    <row r="10783" spans="1:5">
      <c r="A10783" t="s">
        <v>6</v>
      </c>
      <c r="B10783" t="s">
        <v>10788</v>
      </c>
      <c r="C10783">
        <f>HYPERLINK("C:\Users\franc\OneDrive\Documentos\MALENTIN KARIME\BANCO ESTADO\2012 DEPTO ESCRITURAS fata\NOTARIA 2009\SOCIEDAD\SOC. DESARROLLO Y CAP. LABORAL EXTRACTO.doc", "Abrir Documento")</f>
        <v>0</v>
      </c>
      <c r="D10783" t="s">
        <v>23500</v>
      </c>
      <c r="E10783" t="s">
        <v>33258</v>
      </c>
    </row>
    <row r="10784" spans="1:5">
      <c r="A10784" t="s">
        <v>6</v>
      </c>
      <c r="B10784" t="s">
        <v>10789</v>
      </c>
      <c r="C10784">
        <f>HYPERLINK("C:\Users\franc\OneDrive\Documentos\MALENTIN KARIME\BANCO ESTADO\2012 DEPTO ESCRITURAS fata\NOTARIA 2009\SOCIEDAD\RODRIGO BRAVO Y CIA. LTDA..doc", "Abrir Documento")</f>
        <v>0</v>
      </c>
      <c r="D10784" t="s">
        <v>23500</v>
      </c>
      <c r="E10784" t="s">
        <v>33259</v>
      </c>
    </row>
    <row r="10785" spans="1:5">
      <c r="A10785" t="s">
        <v>6</v>
      </c>
      <c r="B10785" t="s">
        <v>10790</v>
      </c>
      <c r="C10785">
        <f>HYPERLINK("C:\Users\franc\OneDrive\Documentos\MALENTIN KARIME\BANCO ESTADO\2012 DEPTO ESCRITURAS fata\NOTARIA 2009\SOCIEDAD\RODRIGO BRAVO EXTRACTO.doc", "Abrir Documento")</f>
        <v>0</v>
      </c>
      <c r="D10785" t="s">
        <v>23500</v>
      </c>
      <c r="E10785" t="s">
        <v>33260</v>
      </c>
    </row>
    <row r="10786" spans="1:5">
      <c r="A10786" t="s">
        <v>6</v>
      </c>
      <c r="B10786" t="s">
        <v>10791</v>
      </c>
      <c r="C10786">
        <f>HYPERLINK("C:\Users\franc\OneDrive\Documentos\MALENTIN KARIME\BANCO ESTADO\2012 DEPTO ESCRITURAS fata\NOTARIA 2009\SOCIEDAD\PICHASCA EXTRACTO.doc", "Abrir Documento")</f>
        <v>0</v>
      </c>
      <c r="D10786" t="s">
        <v>23500</v>
      </c>
      <c r="E10786" t="s">
        <v>33261</v>
      </c>
    </row>
    <row r="10787" spans="1:5">
      <c r="A10787" t="s">
        <v>6</v>
      </c>
      <c r="B10787" t="s">
        <v>10792</v>
      </c>
      <c r="C10787">
        <f>HYPERLINK("C:\Users\franc\OneDrive\Documentos\MALENTIN KARIME\BANCO ESTADO\2012 DEPTO ESCRITURAS fata\NOTARIA 2009\SOCIEDAD\OVATRUZ COMERCIAL.doc", "Abrir Documento")</f>
        <v>0</v>
      </c>
      <c r="D10787" t="s">
        <v>23500</v>
      </c>
      <c r="E10787" t="s">
        <v>33262</v>
      </c>
    </row>
    <row r="10788" spans="1:5">
      <c r="A10788" t="s">
        <v>6</v>
      </c>
      <c r="B10788" t="s">
        <v>10793</v>
      </c>
      <c r="C10788">
        <f>HYPERLINK("C:\Users\franc\OneDrive\Documentos\MALENTIN KARIME\BANCO ESTADO\2012 DEPTO ESCRITURAS fata\NOTARIA 2009\SOCIEDAD\MONICA GALLARDO E HIJOS (ROMELIO GAJARDO).doc", "Abrir Documento")</f>
        <v>0</v>
      </c>
      <c r="D10788" t="s">
        <v>23500</v>
      </c>
      <c r="E10788" t="s">
        <v>33263</v>
      </c>
    </row>
    <row r="10789" spans="1:5">
      <c r="A10789" t="s">
        <v>6</v>
      </c>
      <c r="B10789" t="s">
        <v>10794</v>
      </c>
      <c r="C10789">
        <f>HYPERLINK("C:\Users\franc\OneDrive\Documentos\MALENTIN KARIME\BANCO ESTADO\2012 DEPTO ESCRITURAS fata\NOTARIA 2009\SOCIEDAD\MODELO SOCIEDAD.doc", "Abrir Documento")</f>
        <v>0</v>
      </c>
      <c r="D10789" t="s">
        <v>23500</v>
      </c>
      <c r="E10789" t="s">
        <v>33264</v>
      </c>
    </row>
    <row r="10790" spans="1:5">
      <c r="A10790" t="s">
        <v>6</v>
      </c>
      <c r="B10790" t="s">
        <v>10795</v>
      </c>
      <c r="C10790">
        <f>HYPERLINK("C:\Users\franc\OneDrive\Documentos\MALENTIN KARIME\BANCO ESTADO\2012 DEPTO ESCRITURAS fata\NOTARIA 2009\SOCIEDAD\MODELO SOC. CONTRACTUAL MINERA.doc", "Abrir Documento")</f>
        <v>0</v>
      </c>
      <c r="D10790" t="s">
        <v>23500</v>
      </c>
      <c r="E10790" t="s">
        <v>33265</v>
      </c>
    </row>
    <row r="10791" spans="1:5">
      <c r="A10791" t="s">
        <v>6</v>
      </c>
      <c r="B10791" t="s">
        <v>10796</v>
      </c>
      <c r="C10791">
        <f>HYPERLINK("C:\Users\franc\OneDrive\Documentos\MALENTIN KARIME\BANCO ESTADO\2012 DEPTO ESCRITURAS fata\NOTARIA 2009\SOCIEDAD\MODELO SOC-.doc", "Abrir Documento")</f>
        <v>0</v>
      </c>
      <c r="D10791" t="s">
        <v>23500</v>
      </c>
      <c r="E10791" t="s">
        <v>33266</v>
      </c>
    </row>
    <row r="10792" spans="1:5">
      <c r="A10792" t="s">
        <v>6</v>
      </c>
      <c r="B10792" t="s">
        <v>10797</v>
      </c>
      <c r="C10792">
        <f>HYPERLINK("C:\Users\franc\OneDrive\Documentos\MALENTIN KARIME\BANCO ESTADO\2012 DEPTO ESCRITURAS fata\NOTARIA 2009\SOCIEDAD\MODELO EXTRACTO E.I.R.L.doc", "Abrir Documento")</f>
        <v>0</v>
      </c>
      <c r="D10792" t="s">
        <v>23500</v>
      </c>
      <c r="E10792" t="s">
        <v>33267</v>
      </c>
    </row>
    <row r="10793" spans="1:5">
      <c r="A10793" t="s">
        <v>6</v>
      </c>
      <c r="B10793" t="s">
        <v>10798</v>
      </c>
      <c r="C10793">
        <f>HYPERLINK("C:\Users\franc\OneDrive\Documentos\MALENTIN KARIME\BANCO ESTADO\2012 DEPTO ESCRITURAS fata\NOTARIA 2009\SOCIEDAD\LUIS CASTRO FRANCO E.I.R.L. (AB. AGUSTO CABRERA.doc", "Abrir Documento")</f>
        <v>0</v>
      </c>
      <c r="D10793" t="s">
        <v>23500</v>
      </c>
      <c r="E10793" t="s">
        <v>33268</v>
      </c>
    </row>
    <row r="10794" spans="1:5">
      <c r="A10794" t="s">
        <v>6</v>
      </c>
      <c r="B10794" t="s">
        <v>10799</v>
      </c>
      <c r="C10794">
        <f>HYPERLINK("C:\Users\franc\OneDrive\Documentos\MALENTIN KARIME\BANCO ESTADO\2012 DEPTO ESCRITURAS fata\NOTARIA 2009\SOCIEDAD\LUIS CASTRO FRANCO (RESCILIACION).doc", "Abrir Documento")</f>
        <v>0</v>
      </c>
      <c r="D10794" t="s">
        <v>23500</v>
      </c>
      <c r="E10794" t="s">
        <v>33269</v>
      </c>
    </row>
    <row r="10795" spans="1:5">
      <c r="A10795" t="s">
        <v>6</v>
      </c>
      <c r="B10795" t="s">
        <v>10800</v>
      </c>
      <c r="C10795">
        <f>HYPERLINK("C:\Users\franc\OneDrive\Documentos\MALENTIN KARIME\BANCO ESTADO\2012 DEPTO ESCRITURAS fata\NOTARIA 2009\SOCIEDAD\LIS CASTRO FRANCO - EXTRACTO.doc", "Abrir Documento")</f>
        <v>0</v>
      </c>
      <c r="D10795" t="s">
        <v>23500</v>
      </c>
      <c r="E10795" t="s">
        <v>33270</v>
      </c>
    </row>
    <row r="10796" spans="1:5">
      <c r="A10796" t="s">
        <v>6</v>
      </c>
      <c r="B10796" t="s">
        <v>10801</v>
      </c>
      <c r="C10796">
        <f>HYPERLINK("C:\Users\franc\OneDrive\Documentos\MALENTIN KARIME\BANCO ESTADO\2012 DEPTO ESCRITURAS fata\NOTARIA 2009\SOCIEDAD\JULIA CORTES.doc", "Abrir Documento")</f>
        <v>0</v>
      </c>
      <c r="D10796" t="s">
        <v>23500</v>
      </c>
      <c r="E10796" t="s">
        <v>33271</v>
      </c>
    </row>
    <row r="10797" spans="1:5">
      <c r="A10797" t="s">
        <v>6</v>
      </c>
      <c r="B10797" t="s">
        <v>10802</v>
      </c>
      <c r="C10797">
        <f>HYPERLINK("C:\Users\franc\OneDrive\Documentos\MALENTIN KARIME\BANCO ESTADO\2012 DEPTO ESCRITURAS fata\NOTARIA 2009\SOCIEDAD\JULIA CORTES EXTRACTO.doc", "Abrir Documento")</f>
        <v>0</v>
      </c>
      <c r="D10797" t="s">
        <v>23500</v>
      </c>
      <c r="E10797" t="s">
        <v>33272</v>
      </c>
    </row>
    <row r="10798" spans="1:5">
      <c r="A10798" t="s">
        <v>6</v>
      </c>
      <c r="B10798" t="s">
        <v>10803</v>
      </c>
      <c r="C10798">
        <f>HYPERLINK("C:\Users\franc\OneDrive\Documentos\MALENTIN KARIME\BANCO ESTADO\2012 DEPTO ESCRITURAS fata\NOTARIA 2009\SOCIEDAD\JULIA CORTES 2.doc", "Abrir Documento")</f>
        <v>0</v>
      </c>
      <c r="D10798" t="s">
        <v>23500</v>
      </c>
      <c r="E10798" t="s">
        <v>33273</v>
      </c>
    </row>
    <row r="10799" spans="1:5">
      <c r="A10799" t="s">
        <v>6</v>
      </c>
      <c r="B10799" t="s">
        <v>10804</v>
      </c>
      <c r="C10799">
        <f>HYPERLINK("C:\Users\franc\OneDrive\Documentos\MALENTIN KARIME\BANCO ESTADO\2012 DEPTO ESCRITURAS fata\NOTARIA 2009\SOCIEDAD\GERMAN GUZMAN.doc", "Abrir Documento")</f>
        <v>0</v>
      </c>
      <c r="D10799" t="s">
        <v>23500</v>
      </c>
      <c r="E10799" t="s">
        <v>33274</v>
      </c>
    </row>
    <row r="10800" spans="1:5">
      <c r="A10800" t="s">
        <v>6</v>
      </c>
      <c r="B10800" t="s">
        <v>10805</v>
      </c>
      <c r="C10800">
        <f>HYPERLINK("C:\Users\franc\OneDrive\Documentos\MALENTIN KARIME\BANCO ESTADO\2012 DEPTO ESCRITURAS fata\NOTARIA 2009\SOCIEDAD\GERMAN GUZMAN  EXTRACTO.doc", "Abrir Documento")</f>
        <v>0</v>
      </c>
      <c r="D10800" t="s">
        <v>23500</v>
      </c>
      <c r="E10800" t="s">
        <v>33275</v>
      </c>
    </row>
    <row r="10801" spans="1:5">
      <c r="A10801" t="s">
        <v>6</v>
      </c>
      <c r="B10801" t="s">
        <v>10806</v>
      </c>
      <c r="C10801">
        <f>HYPERLINK("C:\Users\franc\OneDrive\Documentos\MALENTIN KARIME\BANCO ESTADO\2012 DEPTO ESCRITURAS fata\NOTARIA 2009\SOCIEDAD\FORMA INVERSIONES.doc", "Abrir Documento")</f>
        <v>0</v>
      </c>
      <c r="D10801" t="s">
        <v>23500</v>
      </c>
      <c r="E10801" t="s">
        <v>33276</v>
      </c>
    </row>
    <row r="10802" spans="1:5">
      <c r="A10802" t="s">
        <v>6</v>
      </c>
      <c r="B10802" t="s">
        <v>10807</v>
      </c>
      <c r="C10802">
        <f>HYPERLINK("C:\Users\franc\OneDrive\Documentos\MALENTIN KARIME\BANCO ESTADO\2012 DEPTO ESCRITURAS fata\NOTARIA 2009\SOCIEDAD\EXTRACTOsociedad VILLA AMANECERok.doc", "Abrir Documento")</f>
        <v>0</v>
      </c>
      <c r="D10802" t="s">
        <v>23500</v>
      </c>
      <c r="E10802" t="s">
        <v>33277</v>
      </c>
    </row>
    <row r="10803" spans="1:5">
      <c r="A10803" t="s">
        <v>6</v>
      </c>
      <c r="B10803" t="s">
        <v>10808</v>
      </c>
      <c r="C10803">
        <f>HYPERLINK("C:\Users\franc\OneDrive\Documentos\MALENTIN KARIME\BANCO ESTADO\2012 DEPTO ESCRITURAS fata\NOTARIA 2009\SOCIEDAD\EXTRACTO SOCIEDAD ANCESTRAL DISEÑO LIMITADA.doc", "Abrir Documento")</f>
        <v>0</v>
      </c>
      <c r="D10803" t="s">
        <v>23500</v>
      </c>
      <c r="E10803" t="s">
        <v>33278</v>
      </c>
    </row>
    <row r="10804" spans="1:5">
      <c r="A10804" t="s">
        <v>6</v>
      </c>
      <c r="B10804" t="s">
        <v>10809</v>
      </c>
      <c r="C10804">
        <f>HYPERLINK("C:\Users\franc\OneDrive\Documentos\MALENTIN KARIME\BANCO ESTADO\2012 DEPTO ESCRITURAS fata\NOTARIA 2009\SOCIEDAD\EXTRACTO ROMELIO GAJARDO[1].doc", "Abrir Documento")</f>
        <v>0</v>
      </c>
      <c r="D10804" t="s">
        <v>23500</v>
      </c>
      <c r="E10804" t="s">
        <v>33279</v>
      </c>
    </row>
    <row r="10805" spans="1:5">
      <c r="A10805" t="s">
        <v>6</v>
      </c>
      <c r="B10805" t="s">
        <v>10810</v>
      </c>
      <c r="C10805">
        <f>HYPERLINK("C:\Users\franc\OneDrive\Documentos\MALENTIN KARIME\BANCO ESTADO\2012 DEPTO ESCRITURAS fata\NOTARIA 2009\SOCIEDAD\EXTRACTO niños banco.doc", "Abrir Documento")</f>
        <v>0</v>
      </c>
      <c r="D10805" t="s">
        <v>23500</v>
      </c>
      <c r="E10805" t="s">
        <v>33280</v>
      </c>
    </row>
    <row r="10806" spans="1:5">
      <c r="A10806" t="s">
        <v>6</v>
      </c>
      <c r="B10806" t="s">
        <v>10811</v>
      </c>
      <c r="C10806">
        <f>HYPERLINK("C:\Users\franc\OneDrive\Documentos\MALENTIN KARIME\BANCO ESTADO\2012 DEPTO ESCRITURAS fata\NOTARIA 2009\SOCIEDAD\EXTRACTO FORMA2.doc", "Abrir Documento")</f>
        <v>0</v>
      </c>
      <c r="D10806" t="s">
        <v>23500</v>
      </c>
      <c r="E10806" t="s">
        <v>33281</v>
      </c>
    </row>
    <row r="10807" spans="1:5">
      <c r="A10807" t="s">
        <v>6</v>
      </c>
      <c r="B10807" t="s">
        <v>10812</v>
      </c>
      <c r="C10807">
        <f>HYPERLINK("C:\Users\franc\OneDrive\Documentos\MALENTIN KARIME\BANCO ESTADO\2012 DEPTO ESCRITURAS fata\NOTARIA 2009\SOCIEDAD\extracto de espaciotrans limitada.doc", "Abrir Documento")</f>
        <v>0</v>
      </c>
      <c r="D10807" t="s">
        <v>23500</v>
      </c>
      <c r="E10807" t="s">
        <v>33282</v>
      </c>
    </row>
    <row r="10808" spans="1:5">
      <c r="A10808" t="s">
        <v>6</v>
      </c>
      <c r="B10808" t="s">
        <v>10813</v>
      </c>
      <c r="C10808">
        <f>HYPERLINK("C:\Users\franc\OneDrive\Documentos\MALENTIN KARIME\BANCO ESTADO\2012 DEPTO ESCRITURAS fata\NOTARIA 2009\SOCIEDAD\EXTRACTO CORNELIO PORTILLA.doc", "Abrir Documento")</f>
        <v>0</v>
      </c>
      <c r="D10808" t="s">
        <v>23500</v>
      </c>
      <c r="E10808" t="s">
        <v>33283</v>
      </c>
    </row>
    <row r="10809" spans="1:5">
      <c r="A10809" t="s">
        <v>6</v>
      </c>
      <c r="B10809" t="s">
        <v>10814</v>
      </c>
      <c r="C10809">
        <f>HYPERLINK("C:\Users\franc\OneDrive\Documentos\MALENTIN KARIME\BANCO ESTADO\2012 DEPTO ESCRITURAS fata\NOTARIA 2009\SOCIEDAD\ESPACIO TRANS  (BORIS MONARDEZ).doc", "Abrir Documento")</f>
        <v>0</v>
      </c>
      <c r="D10809" t="s">
        <v>23500</v>
      </c>
      <c r="E10809" t="s">
        <v>33284</v>
      </c>
    </row>
    <row r="10810" spans="1:5">
      <c r="A10810" t="s">
        <v>6</v>
      </c>
      <c r="B10810" t="s">
        <v>10815</v>
      </c>
      <c r="C10810">
        <f>HYPERLINK("C:\Users\franc\OneDrive\Documentos\MALENTIN KARIME\BANCO ESTADO\2012 DEPTO ESCRITURAS fata\NOTARIA 2009\SOCIEDAD\CORNELIO PORTILLA E.I.R.L..doc", "Abrir Documento")</f>
        <v>0</v>
      </c>
      <c r="D10810" t="s">
        <v>23500</v>
      </c>
      <c r="E10810" t="s">
        <v>33285</v>
      </c>
    </row>
    <row r="10811" spans="1:5">
      <c r="A10811" t="s">
        <v>6</v>
      </c>
      <c r="B10811" t="s">
        <v>10816</v>
      </c>
      <c r="C10811">
        <f>HYPERLINK("C:\Users\franc\OneDrive\Documentos\MALENTIN KARIME\BANCO ESTADO\2012 DEPTO ESCRITURAS fata\NOTARIA 2009\SOCIEDAD\CONSTITUCION DE SOC, LTDA. ZAVALA Y MONTALVAN.doc", "Abrir Documento")</f>
        <v>0</v>
      </c>
      <c r="D10811" t="s">
        <v>23500</v>
      </c>
      <c r="E10811" t="s">
        <v>33286</v>
      </c>
    </row>
    <row r="10812" spans="1:5">
      <c r="A10812" t="s">
        <v>6</v>
      </c>
      <c r="B10812" t="s">
        <v>10817</v>
      </c>
      <c r="C10812">
        <f>HYPERLINK("C:\Users\franc\OneDrive\Documentos\MALENTIN KARIME\BANCO ESTADO\2012 DEPTO ESCRITURAS fata\NOTARIA 2009\SOCIEDAD\COMERCIAL LAS TINAJAS EXTRACTO (MODIFICAC).doc", "Abrir Documento")</f>
        <v>0</v>
      </c>
      <c r="D10812" t="s">
        <v>23500</v>
      </c>
      <c r="E10812" t="s">
        <v>33287</v>
      </c>
    </row>
    <row r="10813" spans="1:5">
      <c r="A10813" t="s">
        <v>6</v>
      </c>
      <c r="B10813" t="s">
        <v>10818</v>
      </c>
      <c r="C10813">
        <f>HYPERLINK("C:\Users\franc\OneDrive\Documentos\MALENTIN KARIME\BANCO ESTADO\2012 DEPTO ESCRITURAS fata\NOTARIA 2009\SOCIEDAD\COMERCIAL LAS TINAJAS (MODIF. SOC).doc", "Abrir Documento")</f>
        <v>0</v>
      </c>
      <c r="D10813" t="s">
        <v>23500</v>
      </c>
      <c r="E10813" t="s">
        <v>33288</v>
      </c>
    </row>
    <row r="10814" spans="1:5">
      <c r="A10814" t="s">
        <v>6</v>
      </c>
      <c r="B10814" t="s">
        <v>10819</v>
      </c>
      <c r="C10814">
        <f>HYPERLINK("C:\Users\franc\OneDrive\Documentos\MALENTIN KARIME\BANCO ESTADO\2012 DEPTO ESCRITURAS fata\NOTARIA 2009\SOCIEDAD\BOSS CONSULTORES CIA LTDA  (BCO. PARIS.doc", "Abrir Documento")</f>
        <v>0</v>
      </c>
      <c r="D10814" t="s">
        <v>23500</v>
      </c>
      <c r="E10814" t="s">
        <v>33289</v>
      </c>
    </row>
    <row r="10815" spans="1:5">
      <c r="A10815" t="s">
        <v>6</v>
      </c>
      <c r="B10815" t="s">
        <v>10820</v>
      </c>
      <c r="C10815">
        <f>HYPERLINK("C:\Users\franc\OneDrive\Documentos\MALENTIN KARIME\BANCO ESTADO\2012 DEPTO ESCRITURAS fata\NOTARIA 2009\SOCIEDAD\ASESORIAS GEOMINERAS.doc", "Abrir Documento")</f>
        <v>0</v>
      </c>
      <c r="D10815" t="s">
        <v>23500</v>
      </c>
      <c r="E10815" t="s">
        <v>33290</v>
      </c>
    </row>
    <row r="10816" spans="1:5">
      <c r="A10816" t="s">
        <v>6</v>
      </c>
      <c r="B10816" t="s">
        <v>10821</v>
      </c>
      <c r="C10816">
        <f>HYPERLINK("C:\Users\franc\OneDrive\Documentos\MALENTIN KARIME\BANCO ESTADO\2012 DEPTO ESCRITURAS fata\NOTARIA 2009\SOCIEDAD\ANCESTRAL LTDA.doc", "Abrir Documento")</f>
        <v>0</v>
      </c>
      <c r="D10816" t="s">
        <v>23500</v>
      </c>
      <c r="E10816" t="s">
        <v>33291</v>
      </c>
    </row>
    <row r="10817" spans="1:5">
      <c r="A10817" t="s">
        <v>6</v>
      </c>
      <c r="B10817" t="s">
        <v>10822</v>
      </c>
      <c r="C10817">
        <f>HYPERLINK("C:\Users\franc\OneDrive\Documentos\MALENTIN KARIME\BANCO ESTADO\2012 DEPTO ESCRITURAS fata\NOTARIA 2009\SOCIEDAD\AGRICOLA SANTA MARTA EXTRACTO.doc", "Abrir Documento")</f>
        <v>0</v>
      </c>
      <c r="D10817" t="s">
        <v>23500</v>
      </c>
      <c r="E10817" t="s">
        <v>33292</v>
      </c>
    </row>
    <row r="10818" spans="1:5">
      <c r="A10818" t="s">
        <v>6</v>
      </c>
      <c r="B10818" t="s">
        <v>10823</v>
      </c>
      <c r="C10818">
        <f>HYPERLINK("C:\Users\franc\OneDrive\Documentos\MALENTIN KARIME\BANCO ESTADO\2012 DEPTO ESCRITURAS fata\NOTARIA 2009\SOC. VERANEO PACIFICO\RODRIGO CORTES OYANADEL.doc", "Abrir Documento")</f>
        <v>0</v>
      </c>
      <c r="D10818" t="s">
        <v>23500</v>
      </c>
      <c r="E10818" t="s">
        <v>33293</v>
      </c>
    </row>
    <row r="10819" spans="1:5">
      <c r="A10819" t="s">
        <v>6</v>
      </c>
      <c r="B10819" t="s">
        <v>10824</v>
      </c>
      <c r="C10819">
        <f>HYPERLINK("C:\Users\franc\OneDrive\Documentos\MALENTIN KARIME\BANCO ESTADO\2012 DEPTO ESCRITURAS fata\NOTARIA 2009\SOC. VERANEO PACIFICO\INES PIERATTINI A LUIS DONOSO.doc", "Abrir Documento")</f>
        <v>0</v>
      </c>
      <c r="D10819" t="s">
        <v>23500</v>
      </c>
      <c r="E10819" t="s">
        <v>33294</v>
      </c>
    </row>
    <row r="10820" spans="1:5">
      <c r="A10820" t="s">
        <v>6</v>
      </c>
      <c r="B10820" t="s">
        <v>10825</v>
      </c>
      <c r="C10820">
        <f>HYPERLINK("C:\Users\franc\OneDrive\Documentos\MALENTIN KARIME\BANCO ESTADO\2012 DEPTO ESCRITURAS fata\NOTARIA 2009\SOC. VERANEO PACIFICO\HUMBERTO DONOSO A JUAN TORRES E IRIS VEGA.doc", "Abrir Documento")</f>
        <v>0</v>
      </c>
      <c r="D10820" t="s">
        <v>23500</v>
      </c>
      <c r="E10820" t="s">
        <v>33295</v>
      </c>
    </row>
    <row r="10821" spans="1:5">
      <c r="A10821" t="s">
        <v>6</v>
      </c>
      <c r="B10821" t="s">
        <v>10826</v>
      </c>
      <c r="C10821">
        <f>HYPERLINK("C:\Users\franc\OneDrive\Documentos\MALENTIN KARIME\BANCO ESTADO\2012 DEPTO ESCRITURAS fata\NOTARIA 2009\SOC. VERANEO PACIFICO\HERMANOS ALVARADO PROMESA.doc", "Abrir Documento")</f>
        <v>0</v>
      </c>
      <c r="D10821" t="s">
        <v>23500</v>
      </c>
      <c r="E10821" t="s">
        <v>33296</v>
      </c>
    </row>
    <row r="10822" spans="1:5">
      <c r="A10822" t="s">
        <v>6</v>
      </c>
      <c r="B10822" t="s">
        <v>10827</v>
      </c>
      <c r="C10822">
        <f>HYPERLINK("C:\Users\franc\OneDrive\Documentos\MALENTIN KARIME\BANCO ESTADO\2012 DEPTO ESCRITURAS fata\NOTARIA 2009\SOC. VERANEO PACIFICO\HERMANOS ALVARADO COMPRAVENTA.doc", "Abrir Documento")</f>
        <v>0</v>
      </c>
      <c r="D10822" t="s">
        <v>23500</v>
      </c>
      <c r="E10822" t="s">
        <v>33297</v>
      </c>
    </row>
    <row r="10823" spans="1:5">
      <c r="A10823" t="s">
        <v>6</v>
      </c>
      <c r="B10823" t="s">
        <v>10828</v>
      </c>
      <c r="C10823">
        <f>HYPERLINK("C:\Users\franc\OneDrive\Documentos\MALENTIN KARIME\BANCO ESTADO\2012 DEPTO ESCRITURAS fata\NOTARIA 2009\SOC. VERANEO PACIFICO\HANALI BARRANTES (AGUAS) 2.doc", "Abrir Documento")</f>
        <v>0</v>
      </c>
      <c r="D10823" t="s">
        <v>23500</v>
      </c>
      <c r="E10823" t="s">
        <v>33298</v>
      </c>
    </row>
    <row r="10824" spans="1:5">
      <c r="A10824" t="s">
        <v>6</v>
      </c>
      <c r="B10824" t="s">
        <v>10829</v>
      </c>
      <c r="C10824">
        <f>HYPERLINK("C:\Users\franc\OneDrive\Documentos\MALENTIN KARIME\BANCO ESTADO\2012 DEPTO ESCRITURAS fata\NOTARIA 2009\SOC. VERANEO PACIFICO\HANALI BARRANTES (AGUAS) 1.doc", "Abrir Documento")</f>
        <v>0</v>
      </c>
      <c r="D10824" t="s">
        <v>23500</v>
      </c>
      <c r="E10824" t="s">
        <v>33299</v>
      </c>
    </row>
    <row r="10825" spans="1:5">
      <c r="A10825" t="s">
        <v>6</v>
      </c>
      <c r="B10825" t="s">
        <v>10830</v>
      </c>
      <c r="C10825">
        <f>HYPERLINK("C:\Users\franc\OneDrive\Documentos\MALENTIN KARIME\BANCO ESTADO\2012 DEPTO ESCRITURAS fata\NOTARIA 2009\SOC. VERANEO PACIFICO\FELIX SANTANDER.doc", "Abrir Documento")</f>
        <v>0</v>
      </c>
      <c r="D10825" t="s">
        <v>23500</v>
      </c>
      <c r="E10825" t="s">
        <v>33300</v>
      </c>
    </row>
    <row r="10826" spans="1:5">
      <c r="A10826" t="s">
        <v>6</v>
      </c>
      <c r="B10826" t="s">
        <v>10831</v>
      </c>
      <c r="C10826">
        <f>HYPERLINK("C:\Users\franc\OneDrive\Documentos\MALENTIN KARIME\BANCO ESTADO\2012 DEPTO ESCRITURAS fata\NOTARIA 2009\SOC. VERANEO PACIFICO\CARMEN DONOSO TELLO.doc", "Abrir Documento")</f>
        <v>0</v>
      </c>
      <c r="D10826" t="s">
        <v>23500</v>
      </c>
      <c r="E10826" t="s">
        <v>33301</v>
      </c>
    </row>
    <row r="10827" spans="1:5">
      <c r="A10827" t="s">
        <v>6</v>
      </c>
      <c r="B10827" t="s">
        <v>10832</v>
      </c>
      <c r="C10827">
        <f>HYPERLINK("C:\Users\franc\OneDrive\Documentos\MALENTIN KARIME\BANCO ESTADO\2012 DEPTO ESCRITURAS fata\NOTARIA 2009\SOC. VERANEO PACIFICO\CARLOS BARRA SOTO.doc", "Abrir Documento")</f>
        <v>0</v>
      </c>
      <c r="D10827" t="s">
        <v>23500</v>
      </c>
      <c r="E10827" t="s">
        <v>33302</v>
      </c>
    </row>
    <row r="10828" spans="1:5">
      <c r="A10828" t="s">
        <v>6</v>
      </c>
      <c r="B10828" t="s">
        <v>10833</v>
      </c>
      <c r="C10828">
        <f>HYPERLINK("C:\Users\franc\OneDrive\Documentos\MALENTIN KARIME\BANCO ESTADO\2012 DEPTO ESCRITURAS fata\NOTARIA 2009\SERGIO PERALTA\VISION ESTRATEGICA LTDA. (SOCIEDAD JULIO MONTERO).doc", "Abrir Documento")</f>
        <v>0</v>
      </c>
      <c r="D10828" t="s">
        <v>23500</v>
      </c>
      <c r="E10828" t="s">
        <v>33303</v>
      </c>
    </row>
    <row r="10829" spans="1:5">
      <c r="A10829" t="s">
        <v>6</v>
      </c>
      <c r="B10829" t="s">
        <v>10834</v>
      </c>
      <c r="C10829">
        <f>HYPERLINK("C:\Users\franc\OneDrive\Documentos\MALENTIN KARIME\BANCO ESTADO\2012 DEPTO ESCRITURAS fata\NOTARIA 2009\SERGIO PERALTA\RATIFICACION CLAUDIO FERNANDEZ}.doc", "Abrir Documento")</f>
        <v>0</v>
      </c>
      <c r="D10829" t="s">
        <v>23500</v>
      </c>
      <c r="E10829" t="s">
        <v>33304</v>
      </c>
    </row>
    <row r="10830" spans="1:5">
      <c r="A10830" t="s">
        <v>6</v>
      </c>
      <c r="B10830" t="s">
        <v>10835</v>
      </c>
      <c r="C10830">
        <f>HYPERLINK("C:\Users\franc\OneDrive\Documentos\MALENTIN KARIME\BANCO ESTADO\2012 DEPTO ESCRITURAS fata\NOTARIA 2009\SERGIO PERALTA\extractoMONTERO 2 ORGANISMO TEC 26-08-09[mejorado][1]UV-2[1].doc", "Abrir Documento")</f>
        <v>0</v>
      </c>
      <c r="D10830" t="s">
        <v>23500</v>
      </c>
      <c r="E10830" t="s">
        <v>33305</v>
      </c>
    </row>
    <row r="10831" spans="1:5">
      <c r="A10831" t="s">
        <v>6</v>
      </c>
      <c r="B10831" t="s">
        <v>10836</v>
      </c>
      <c r="C10831">
        <f>HYPERLINK("C:\Users\franc\OneDrive\Documentos\MALENTIN KARIME\BANCO ESTADO\2012 DEPTO ESCRITURAS fata\NOTARIA 2009\SERGIO PERALTA\extracto MONTERO UNO 28-08-09[mejorado][1]uv-2[1].doc", "Abrir Documento")</f>
        <v>0</v>
      </c>
      <c r="D10831" t="s">
        <v>23500</v>
      </c>
      <c r="E10831" t="s">
        <v>33306</v>
      </c>
    </row>
    <row r="10832" spans="1:5">
      <c r="A10832" t="s">
        <v>6</v>
      </c>
      <c r="B10832" t="s">
        <v>10837</v>
      </c>
      <c r="C10832">
        <f>HYPERLINK("C:\Users\franc\OneDrive\Documentos\MALENTIN KARIME\BANCO ESTADO\2012 DEPTO ESCRITURAS fata\NOTARIA 2009\SERGIO PERALTA\EMPRENDIMIENTO LIMITADA (SOCIEDAD JULIO MONTERO).doc", "Abrir Documento")</f>
        <v>0</v>
      </c>
      <c r="D10832" t="s">
        <v>23500</v>
      </c>
      <c r="E10832" t="s">
        <v>33307</v>
      </c>
    </row>
    <row r="10833" spans="1:5">
      <c r="A10833" t="s">
        <v>6</v>
      </c>
      <c r="B10833" t="s">
        <v>10838</v>
      </c>
      <c r="C10833">
        <f>HYPERLINK("C:\Users\franc\OneDrive\Documentos\MALENTIN KARIME\BANCO ESTADO\2012 DEPTO ESCRITURAS fata\NOTARIA 2009\SERGIO PERALTA\EGLANTINA MUNDACA (CESION DERECHOS).doc", "Abrir Documento")</f>
        <v>0</v>
      </c>
      <c r="D10833" t="s">
        <v>23500</v>
      </c>
      <c r="E10833" t="s">
        <v>33308</v>
      </c>
    </row>
    <row r="10834" spans="1:5">
      <c r="A10834" t="s">
        <v>6</v>
      </c>
      <c r="B10834" t="s">
        <v>10839</v>
      </c>
      <c r="C10834">
        <f>HYPERLINK("C:\Users\franc\OneDrive\Documentos\MALENTIN KARIME\BANCO ESTADO\2012 DEPTO ESCRITURAS fata\NOTARIA 2009\SERGIO PERALTA\CLAUDIA HENRIQUEZ A ARKON (CTTO. CONSTRUC).doc", "Abrir Documento")</f>
        <v>0</v>
      </c>
      <c r="D10834" t="s">
        <v>23500</v>
      </c>
      <c r="E10834" t="s">
        <v>33309</v>
      </c>
    </row>
    <row r="10835" spans="1:5">
      <c r="A10835" t="s">
        <v>6</v>
      </c>
      <c r="B10835" t="s">
        <v>10840</v>
      </c>
      <c r="C10835">
        <f>HYPERLINK("C:\Users\franc\OneDrive\Documentos\MALENTIN KARIME\BANCO ESTADO\2012 DEPTO ESCRITURAS fata\NOTARIA 2009\SERGIO PERALTA\CAROLINA CARVAJAL A SERGIO PERALTA (MANDATO JUDICIAL).doc", "Abrir Documento")</f>
        <v>0</v>
      </c>
      <c r="D10835" t="s">
        <v>23500</v>
      </c>
      <c r="E10835" t="s">
        <v>33310</v>
      </c>
    </row>
    <row r="10836" spans="1:5">
      <c r="A10836" t="s">
        <v>6</v>
      </c>
      <c r="B10836" t="s">
        <v>10841</v>
      </c>
      <c r="C10836">
        <f>HYPERLINK("C:\Users\franc\OneDrive\Documentos\MALENTIN KARIME\BANCO ESTADO\2012 DEPTO ESCRITURAS fata\NOTARIA 2009\SERGIO PERALTA\AMIGO DE DON RODRIGO.doc", "Abrir Documento")</f>
        <v>0</v>
      </c>
      <c r="D10836" t="s">
        <v>23500</v>
      </c>
      <c r="E10836" t="s">
        <v>33311</v>
      </c>
    </row>
    <row r="10837" spans="1:5">
      <c r="A10837" t="s">
        <v>6</v>
      </c>
      <c r="B10837" t="s">
        <v>10842</v>
      </c>
      <c r="C10837">
        <f>HYPERLINK("C:\Users\franc\OneDrive\Documentos\MALENTIN KARIME\BANCO ESTADO\2012 DEPTO ESCRITURAS fata\NOTARIA 2009\SERGIO GALLEGUILLOS\USUFRUCTO CARMENCITA BLANCO.doc", "Abrir Documento")</f>
        <v>0</v>
      </c>
      <c r="D10837" t="s">
        <v>23500</v>
      </c>
      <c r="E10837" t="s">
        <v>33312</v>
      </c>
    </row>
    <row r="10838" spans="1:5">
      <c r="A10838" t="s">
        <v>6</v>
      </c>
      <c r="B10838" t="s">
        <v>10843</v>
      </c>
      <c r="C10838">
        <f>HYPERLINK("C:\Users\franc\OneDrive\Documentos\MALENTIN KARIME\BANCO ESTADO\2012 DEPTO ESCRITURAS fata\NOTARIA 2009\SERGIO GALLEGUILLOS\BENERANDA MONARDEZ A ANA PINILLA (LULU).doc", "Abrir Documento")</f>
        <v>0</v>
      </c>
      <c r="D10838" t="s">
        <v>23500</v>
      </c>
      <c r="E10838" t="s">
        <v>33313</v>
      </c>
    </row>
    <row r="10839" spans="1:5">
      <c r="A10839" t="s">
        <v>6</v>
      </c>
      <c r="B10839" t="s">
        <v>10844</v>
      </c>
      <c r="C10839">
        <f>HYPERLINK("C:\Users\franc\OneDrive\Documentos\MALENTIN KARIME\BANCO ESTADO\2012 DEPTO ESCRITURAS fata\NOTARIA 2009\SEPARACION DE BIENES\RODOLFO ARAYA Y ELLY CORTES.doc", "Abrir Documento")</f>
        <v>0</v>
      </c>
      <c r="D10839" t="s">
        <v>23500</v>
      </c>
      <c r="E10839" t="s">
        <v>33314</v>
      </c>
    </row>
    <row r="10840" spans="1:5">
      <c r="A10840" t="s">
        <v>6</v>
      </c>
      <c r="B10840" t="s">
        <v>10845</v>
      </c>
      <c r="C10840">
        <f>HYPERLINK("C:\Users\franc\OneDrive\Documentos\MALENTIN KARIME\BANCO ESTADO\2012 DEPTO ESCRITURAS fata\NOTARIA 2009\SEPARACION DE BIENES\MIGUEL FARIAS Y JANET ARAYA.doc", "Abrir Documento")</f>
        <v>0</v>
      </c>
      <c r="D10840" t="s">
        <v>23500</v>
      </c>
      <c r="E10840" t="s">
        <v>33315</v>
      </c>
    </row>
    <row r="10841" spans="1:5">
      <c r="A10841" t="s">
        <v>6</v>
      </c>
      <c r="B10841" t="s">
        <v>10846</v>
      </c>
      <c r="C10841">
        <f>HYPERLINK("C:\Users\franc\OneDrive\Documentos\MALENTIN KARIME\BANCO ESTADO\2012 DEPTO ESCRITURAS fata\NOTARIA 2009\SEPARACION DE BIENES\EDGARDO SAUD Y ROSA CORTES.doc", "Abrir Documento")</f>
        <v>0</v>
      </c>
      <c r="D10841" t="s">
        <v>23500</v>
      </c>
      <c r="E10841" t="s">
        <v>33316</v>
      </c>
    </row>
    <row r="10842" spans="1:5">
      <c r="A10842" t="s">
        <v>6</v>
      </c>
      <c r="B10842" t="s">
        <v>10847</v>
      </c>
      <c r="C10842">
        <f>HYPERLINK("C:\Users\franc\OneDrive\Documentos\MALENTIN KARIME\BANCO ESTADO\2012 DEPTO ESCRITURAS fata\NOTARIA 2009\SAMUEL ROJO\HIPOTECA SAMUEL ROJO A ESSO.doc", "Abrir Documento")</f>
        <v>0</v>
      </c>
      <c r="D10842" t="s">
        <v>23500</v>
      </c>
      <c r="E10842" t="s">
        <v>33317</v>
      </c>
    </row>
    <row r="10843" spans="1:5">
      <c r="A10843" t="s">
        <v>6</v>
      </c>
      <c r="B10843" t="s">
        <v>10848</v>
      </c>
      <c r="C10843">
        <f>HYPERLINK("C:\Users\franc\OneDrive\Documentos\MALENTIN KARIME\BANCO ESTADO\2012 DEPTO ESCRITURAS fata\NOTARIA 2009\ROSITA DIAZ\WILMA BARRAZA  (JULIO).doc", "Abrir Documento")</f>
        <v>0</v>
      </c>
      <c r="D10843" t="s">
        <v>23500</v>
      </c>
      <c r="E10843" t="s">
        <v>33318</v>
      </c>
    </row>
    <row r="10844" spans="1:5">
      <c r="A10844" t="s">
        <v>6</v>
      </c>
      <c r="B10844" t="s">
        <v>10849</v>
      </c>
      <c r="C10844">
        <f>HYPERLINK("C:\Users\franc\OneDrive\Documentos\MALENTIN KARIME\BANCO ESTADO\2012 DEPTO ESCRITURAS fata\NOTARIA 2009\ROSITA DIAZ\VIOLETA MENA (JULIO).doc", "Abrir Documento")</f>
        <v>0</v>
      </c>
      <c r="D10844" t="s">
        <v>23500</v>
      </c>
      <c r="E10844" t="s">
        <v>33319</v>
      </c>
    </row>
    <row r="10845" spans="1:5">
      <c r="A10845" t="s">
        <v>6</v>
      </c>
      <c r="B10845" t="s">
        <v>10850</v>
      </c>
      <c r="C10845">
        <f>HYPERLINK("C:\Users\franc\OneDrive\Documentos\MALENTIN KARIME\BANCO ESTADO\2012 DEPTO ESCRITURAS fata\NOTARIA 2009\ROSITA DIAZ\VICTOR CORTES  (JULIO).doc", "Abrir Documento")</f>
        <v>0</v>
      </c>
      <c r="D10845" t="s">
        <v>23500</v>
      </c>
      <c r="E10845" t="s">
        <v>33320</v>
      </c>
    </row>
    <row r="10846" spans="1:5">
      <c r="A10846" t="s">
        <v>6</v>
      </c>
      <c r="B10846" t="s">
        <v>10851</v>
      </c>
      <c r="C10846">
        <f>HYPERLINK("C:\Users\franc\OneDrive\Documentos\MALENTIN KARIME\BANCO ESTADO\2012 DEPTO ESCRITURAS fata\NOTARIA 2009\ROSITA DIAZ\ULISES ROJAS  (JULIO).doc", "Abrir Documento")</f>
        <v>0</v>
      </c>
      <c r="D10846" t="s">
        <v>23500</v>
      </c>
      <c r="E10846" t="s">
        <v>33321</v>
      </c>
    </row>
    <row r="10847" spans="1:5">
      <c r="A10847" t="s">
        <v>6</v>
      </c>
      <c r="B10847" t="s">
        <v>10852</v>
      </c>
      <c r="C10847">
        <f>HYPERLINK("C:\Users\franc\OneDrive\Documentos\MALENTIN KARIME\BANCO ESTADO\2012 DEPTO ESCRITURAS fata\NOTARIA 2009\ROSITA DIAZ\SUSANA LEMUS.doc", "Abrir Documento")</f>
        <v>0</v>
      </c>
      <c r="D10847" t="s">
        <v>23500</v>
      </c>
      <c r="E10847" t="s">
        <v>33322</v>
      </c>
    </row>
    <row r="10848" spans="1:5">
      <c r="A10848" t="s">
        <v>6</v>
      </c>
      <c r="B10848" t="s">
        <v>10853</v>
      </c>
      <c r="C10848">
        <f>HYPERLINK("C:\Users\franc\OneDrive\Documentos\MALENTIN KARIME\BANCO ESTADO\2012 DEPTO ESCRITURAS fata\NOTARIA 2009\ROSITA DIAZ\SILVERIO CONTRERAS (JULIO).doc", "Abrir Documento")</f>
        <v>0</v>
      </c>
      <c r="D10848" t="s">
        <v>23500</v>
      </c>
      <c r="E10848" t="s">
        <v>33323</v>
      </c>
    </row>
    <row r="10849" spans="1:5">
      <c r="A10849" t="s">
        <v>6</v>
      </c>
      <c r="B10849" t="s">
        <v>10854</v>
      </c>
      <c r="C10849">
        <f>HYPERLINK("C:\Users\franc\OneDrive\Documentos\MALENTIN KARIME\BANCO ESTADO\2012 DEPTO ESCRITURAS fata\NOTARIA 2009\ROSITA DIAZ\SERGIO CORREA.doc", "Abrir Documento")</f>
        <v>0</v>
      </c>
      <c r="D10849" t="s">
        <v>23500</v>
      </c>
      <c r="E10849" t="s">
        <v>33324</v>
      </c>
    </row>
    <row r="10850" spans="1:5">
      <c r="A10850" t="s">
        <v>6</v>
      </c>
      <c r="B10850" t="s">
        <v>10855</v>
      </c>
      <c r="C10850">
        <f>HYPERLINK("C:\Users\franc\OneDrive\Documentos\MALENTIN KARIME\BANCO ESTADO\2012 DEPTO ESCRITURAS fata\NOTARIA 2009\ROSITA DIAZ\SERGIO CARVAJAL PONCE  (JULIO).doc", "Abrir Documento")</f>
        <v>0</v>
      </c>
      <c r="D10850" t="s">
        <v>23500</v>
      </c>
      <c r="E10850" t="s">
        <v>33325</v>
      </c>
    </row>
    <row r="10851" spans="1:5">
      <c r="A10851" t="s">
        <v>6</v>
      </c>
      <c r="B10851" t="s">
        <v>10856</v>
      </c>
      <c r="C10851">
        <f>HYPERLINK("C:\Users\franc\OneDrive\Documentos\MALENTIN KARIME\BANCO ESTADO\2012 DEPTO ESCRITURAS fata\NOTARIA 2009\ROSITA DIAZ\SANDRA TAPIA.doc", "Abrir Documento")</f>
        <v>0</v>
      </c>
      <c r="D10851" t="s">
        <v>23500</v>
      </c>
      <c r="E10851" t="s">
        <v>33326</v>
      </c>
    </row>
    <row r="10852" spans="1:5">
      <c r="A10852" t="s">
        <v>6</v>
      </c>
      <c r="B10852" t="s">
        <v>10857</v>
      </c>
      <c r="C10852">
        <f>HYPERLINK("C:\Users\franc\OneDrive\Documentos\MALENTIN KARIME\BANCO ESTADO\2012 DEPTO ESCRITURAS fata\NOTARIA 2009\ROSITA DIAZ\ROBERTO ALEGRE.doc", "Abrir Documento")</f>
        <v>0</v>
      </c>
      <c r="D10852" t="s">
        <v>23500</v>
      </c>
      <c r="E10852" t="s">
        <v>33327</v>
      </c>
    </row>
    <row r="10853" spans="1:5">
      <c r="A10853" t="s">
        <v>6</v>
      </c>
      <c r="B10853" t="s">
        <v>10858</v>
      </c>
      <c r="C10853">
        <f>HYPERLINK("C:\Users\franc\OneDrive\Documentos\MALENTIN KARIME\BANCO ESTADO\2012 DEPTO ESCRITURAS fata\NOTARIA 2009\ROSITA DIAZ\RICARDO CORTES.doc", "Abrir Documento")</f>
        <v>0</v>
      </c>
      <c r="D10853" t="s">
        <v>23500</v>
      </c>
      <c r="E10853" t="s">
        <v>33328</v>
      </c>
    </row>
    <row r="10854" spans="1:5">
      <c r="A10854" t="s">
        <v>6</v>
      </c>
      <c r="B10854" t="s">
        <v>10859</v>
      </c>
      <c r="C10854">
        <f>HYPERLINK("C:\Users\franc\OneDrive\Documentos\MALENTIN KARIME\BANCO ESTADO\2012 DEPTO ESCRITURAS fata\NOTARIA 2009\ROSITA DIAZ\RICARDO COLLAO (JULIO).doc", "Abrir Documento")</f>
        <v>0</v>
      </c>
      <c r="D10854" t="s">
        <v>23500</v>
      </c>
      <c r="E10854" t="s">
        <v>33329</v>
      </c>
    </row>
    <row r="10855" spans="1:5">
      <c r="A10855" t="s">
        <v>6</v>
      </c>
      <c r="B10855" t="s">
        <v>10860</v>
      </c>
      <c r="C10855">
        <f>HYPERLINK("C:\Users\franc\OneDrive\Documentos\MALENTIN KARIME\BANCO ESTADO\2012 DEPTO ESCRITURAS fata\NOTARIA 2009\ROSITA DIAZ\RICARDO ALFARO (JULIO).doc", "Abrir Documento")</f>
        <v>0</v>
      </c>
      <c r="D10855" t="s">
        <v>23500</v>
      </c>
      <c r="E10855" t="s">
        <v>33330</v>
      </c>
    </row>
    <row r="10856" spans="1:5">
      <c r="A10856" t="s">
        <v>6</v>
      </c>
      <c r="B10856" t="s">
        <v>10861</v>
      </c>
      <c r="C10856">
        <f>HYPERLINK("C:\Users\franc\OneDrive\Documentos\MALENTIN KARIME\BANCO ESTADO\2012 DEPTO ESCRITURAS fata\NOTARIA 2009\ROSITA DIAZ\RAUL PIZARRO ARAYA.doc", "Abrir Documento")</f>
        <v>0</v>
      </c>
      <c r="D10856" t="s">
        <v>23500</v>
      </c>
      <c r="E10856" t="s">
        <v>33331</v>
      </c>
    </row>
    <row r="10857" spans="1:5">
      <c r="A10857" t="s">
        <v>6</v>
      </c>
      <c r="B10857" t="s">
        <v>10862</v>
      </c>
      <c r="C10857">
        <f>HYPERLINK("C:\Users\franc\OneDrive\Documentos\MALENTIN KARIME\BANCO ESTADO\2012 DEPTO ESCRITURAS fata\NOTARIA 2009\ROSITA DIAZ\RAUL CORTES (JULIO).doc", "Abrir Documento")</f>
        <v>0</v>
      </c>
      <c r="D10857" t="s">
        <v>23500</v>
      </c>
      <c r="E10857" t="s">
        <v>33332</v>
      </c>
    </row>
    <row r="10858" spans="1:5">
      <c r="A10858" t="s">
        <v>6</v>
      </c>
      <c r="B10858" t="s">
        <v>10863</v>
      </c>
      <c r="C10858">
        <f>HYPERLINK("C:\Users\franc\OneDrive\Documentos\MALENTIN KARIME\BANCO ESTADO\2012 DEPTO ESCRITURAS fata\NOTARIA 2009\ROSITA DIAZ\RAIMUNDO ROJAS  (JULIO).doc", "Abrir Documento")</f>
        <v>0</v>
      </c>
      <c r="D10858" t="s">
        <v>23500</v>
      </c>
      <c r="E10858" t="s">
        <v>33333</v>
      </c>
    </row>
    <row r="10859" spans="1:5">
      <c r="A10859" t="s">
        <v>6</v>
      </c>
      <c r="B10859" t="s">
        <v>10864</v>
      </c>
      <c r="C10859">
        <f>HYPERLINK("C:\Users\franc\OneDrive\Documentos\MALENTIN KARIME\BANCO ESTADO\2012 DEPTO ESCRITURAS fata\NOTARIA 2009\ROSITA DIAZ\PEDRO ADONIS SIERRA.doc", "Abrir Documento")</f>
        <v>0</v>
      </c>
      <c r="D10859" t="s">
        <v>23500</v>
      </c>
      <c r="E10859" t="s">
        <v>33334</v>
      </c>
    </row>
    <row r="10860" spans="1:5">
      <c r="A10860" t="s">
        <v>6</v>
      </c>
      <c r="B10860" t="s">
        <v>10865</v>
      </c>
      <c r="C10860">
        <f>HYPERLINK("C:\Users\franc\OneDrive\Documentos\MALENTIN KARIME\BANCO ESTADO\2012 DEPTO ESCRITURAS fata\NOTARIA 2009\ROSITA DIAZ\PAULINA CASANOVA (JULIO).doc", "Abrir Documento")</f>
        <v>0</v>
      </c>
      <c r="D10860" t="s">
        <v>23500</v>
      </c>
      <c r="E10860" t="s">
        <v>33335</v>
      </c>
    </row>
    <row r="10861" spans="1:5">
      <c r="A10861" t="s">
        <v>6</v>
      </c>
      <c r="B10861" t="s">
        <v>10866</v>
      </c>
      <c r="C10861">
        <f>HYPERLINK("C:\Users\franc\OneDrive\Documentos\MALENTIN KARIME\BANCO ESTADO\2012 DEPTO ESCRITURAS fata\NOTARIA 2009\ROSITA DIAZ\PATRICIO VELIZ (JULIO).doc", "Abrir Documento")</f>
        <v>0</v>
      </c>
      <c r="D10861" t="s">
        <v>23500</v>
      </c>
      <c r="E10861" t="s">
        <v>33336</v>
      </c>
    </row>
    <row r="10862" spans="1:5">
      <c r="A10862" t="s">
        <v>6</v>
      </c>
      <c r="B10862" t="s">
        <v>10867</v>
      </c>
      <c r="C10862">
        <f>HYPERLINK("C:\Users\franc\OneDrive\Documentos\MALENTIN KARIME\BANCO ESTADO\2012 DEPTO ESCRITURAS fata\NOTARIA 2009\ROSITA DIAZ\PATRICIO CARVAJAL (JULIO).doc", "Abrir Documento")</f>
        <v>0</v>
      </c>
      <c r="D10862" t="s">
        <v>23500</v>
      </c>
      <c r="E10862" t="s">
        <v>33337</v>
      </c>
    </row>
    <row r="10863" spans="1:5">
      <c r="A10863" t="s">
        <v>6</v>
      </c>
      <c r="B10863" t="s">
        <v>10868</v>
      </c>
      <c r="C10863">
        <f>HYPERLINK("C:\Users\franc\OneDrive\Documentos\MALENTIN KARIME\BANCO ESTADO\2012 DEPTO ESCRITURAS fata\NOTARIA 2009\ROSITA DIAZ\PATRICIA PONCE.doc", "Abrir Documento")</f>
        <v>0</v>
      </c>
      <c r="D10863" t="s">
        <v>23500</v>
      </c>
      <c r="E10863" t="s">
        <v>33338</v>
      </c>
    </row>
    <row r="10864" spans="1:5">
      <c r="A10864" t="s">
        <v>6</v>
      </c>
      <c r="B10864" t="s">
        <v>10869</v>
      </c>
      <c r="C10864">
        <f>HYPERLINK("C:\Users\franc\OneDrive\Documentos\MALENTIN KARIME\BANCO ESTADO\2012 DEPTO ESCRITURAS fata\NOTARIA 2009\ROSITA DIAZ\PAOLA PEREZ (JULIO).doc", "Abrir Documento")</f>
        <v>0</v>
      </c>
      <c r="D10864" t="s">
        <v>23500</v>
      </c>
      <c r="E10864" t="s">
        <v>33339</v>
      </c>
    </row>
    <row r="10865" spans="1:5">
      <c r="A10865" t="s">
        <v>6</v>
      </c>
      <c r="B10865" t="s">
        <v>10870</v>
      </c>
      <c r="C10865">
        <f>HYPERLINK("C:\Users\franc\OneDrive\Documentos\MALENTIN KARIME\BANCO ESTADO\2012 DEPTO ESCRITURAS fata\NOTARIA 2009\ROSITA DIAZ\OSCAR ROJAS.doc", "Abrir Documento")</f>
        <v>0</v>
      </c>
      <c r="D10865" t="s">
        <v>23500</v>
      </c>
      <c r="E10865" t="s">
        <v>33340</v>
      </c>
    </row>
    <row r="10866" spans="1:5">
      <c r="A10866" t="s">
        <v>6</v>
      </c>
      <c r="B10866" t="s">
        <v>10871</v>
      </c>
      <c r="C10866">
        <f>HYPERLINK("C:\Users\franc\OneDrive\Documentos\MALENTIN KARIME\BANCO ESTADO\2012 DEPTO ESCRITURAS fata\NOTARIA 2009\ROSITA DIAZ\OSCAR ROJAS (JULIO).doc", "Abrir Documento")</f>
        <v>0</v>
      </c>
      <c r="D10866" t="s">
        <v>23500</v>
      </c>
      <c r="E10866" t="s">
        <v>33341</v>
      </c>
    </row>
    <row r="10867" spans="1:5">
      <c r="A10867" t="s">
        <v>6</v>
      </c>
      <c r="B10867" t="s">
        <v>10872</v>
      </c>
      <c r="C10867">
        <f>HYPERLINK("C:\Users\franc\OneDrive\Documentos\MALENTIN KARIME\BANCO ESTADO\2012 DEPTO ESCRITURAS fata\NOTARIA 2009\ROSITA DIAZ\OSCAR PIÑONES.doc", "Abrir Documento")</f>
        <v>0</v>
      </c>
      <c r="D10867" t="s">
        <v>23500</v>
      </c>
      <c r="E10867" t="s">
        <v>33342</v>
      </c>
    </row>
    <row r="10868" spans="1:5">
      <c r="A10868" t="s">
        <v>6</v>
      </c>
      <c r="B10868" t="s">
        <v>10873</v>
      </c>
      <c r="C10868">
        <f>HYPERLINK("C:\Users\franc\OneDrive\Documentos\MALENTIN KARIME\BANCO ESTADO\2012 DEPTO ESCRITURAS fata\NOTARIA 2009\ROSITA DIAZ\OSCAR CORTES CORTES.doc", "Abrir Documento")</f>
        <v>0</v>
      </c>
      <c r="D10868" t="s">
        <v>23500</v>
      </c>
      <c r="E10868" t="s">
        <v>33343</v>
      </c>
    </row>
    <row r="10869" spans="1:5">
      <c r="A10869" t="s">
        <v>6</v>
      </c>
      <c r="B10869" t="s">
        <v>10874</v>
      </c>
      <c r="C10869">
        <f>HYPERLINK("C:\Users\franc\OneDrive\Documentos\MALENTIN KARIME\BANCO ESTADO\2012 DEPTO ESCRITURAS fata\NOTARIA 2009\ROSITA DIAZ\OSCAR CORTES (JULIO).doc", "Abrir Documento")</f>
        <v>0</v>
      </c>
      <c r="D10869" t="s">
        <v>23500</v>
      </c>
      <c r="E10869" t="s">
        <v>33344</v>
      </c>
    </row>
    <row r="10870" spans="1:5">
      <c r="A10870" t="s">
        <v>6</v>
      </c>
      <c r="B10870" t="s">
        <v>10875</v>
      </c>
      <c r="C10870">
        <f>HYPERLINK("C:\Users\franc\OneDrive\Documentos\MALENTIN KARIME\BANCO ESTADO\2012 DEPTO ESCRITURAS fata\NOTARIA 2009\ROSITA DIAZ\ORIETA CHACANA  (JULIO).doc", "Abrir Documento")</f>
        <v>0</v>
      </c>
      <c r="D10870" t="s">
        <v>23500</v>
      </c>
      <c r="E10870" t="s">
        <v>33345</v>
      </c>
    </row>
    <row r="10871" spans="1:5">
      <c r="A10871" t="s">
        <v>6</v>
      </c>
      <c r="B10871" t="s">
        <v>10876</v>
      </c>
      <c r="C10871">
        <f>HYPERLINK("C:\Users\franc\OneDrive\Documentos\MALENTIN KARIME\BANCO ESTADO\2012 DEPTO ESCRITURAS fata\NOTARIA 2009\ROSITA DIAZ\OMAR CAMPOS (JULIO).doc", "Abrir Documento")</f>
        <v>0</v>
      </c>
      <c r="D10871" t="s">
        <v>23500</v>
      </c>
      <c r="E10871" t="s">
        <v>33346</v>
      </c>
    </row>
    <row r="10872" spans="1:5">
      <c r="A10872" t="s">
        <v>6</v>
      </c>
      <c r="B10872" t="s">
        <v>10877</v>
      </c>
      <c r="C10872">
        <f>HYPERLINK("C:\Users\franc\OneDrive\Documentos\MALENTIN KARIME\BANCO ESTADO\2012 DEPTO ESCRITURAS fata\NOTARIA 2009\ROSITA DIAZ\NILO SANTIBAÑEZ ZAPATA.doc", "Abrir Documento")</f>
        <v>0</v>
      </c>
      <c r="D10872" t="s">
        <v>23500</v>
      </c>
      <c r="E10872" t="s">
        <v>33347</v>
      </c>
    </row>
    <row r="10873" spans="1:5">
      <c r="A10873" t="s">
        <v>6</v>
      </c>
      <c r="B10873" t="s">
        <v>10878</v>
      </c>
      <c r="C10873">
        <f>HYPERLINK("C:\Users\franc\OneDrive\Documentos\MALENTIN KARIME\BANCO ESTADO\2012 DEPTO ESCRITURAS fata\NOTARIA 2009\ROSITA DIAZ\NELSON SANDOVAL ROJAS.doc", "Abrir Documento")</f>
        <v>0</v>
      </c>
      <c r="D10873" t="s">
        <v>23500</v>
      </c>
      <c r="E10873" t="s">
        <v>33348</v>
      </c>
    </row>
    <row r="10874" spans="1:5">
      <c r="A10874" t="s">
        <v>6</v>
      </c>
      <c r="B10874" t="s">
        <v>10879</v>
      </c>
      <c r="C10874">
        <f>HYPERLINK("C:\Users\franc\OneDrive\Documentos\MALENTIN KARIME\BANCO ESTADO\2012 DEPTO ESCRITURAS fata\NOTARIA 2009\ROSITA DIAZ\MISAEL TAPIA.doc", "Abrir Documento")</f>
        <v>0</v>
      </c>
      <c r="D10874" t="s">
        <v>23500</v>
      </c>
      <c r="E10874" t="s">
        <v>33349</v>
      </c>
    </row>
    <row r="10875" spans="1:5">
      <c r="A10875" t="s">
        <v>6</v>
      </c>
      <c r="B10875" t="s">
        <v>10880</v>
      </c>
      <c r="C10875">
        <f>HYPERLINK("C:\Users\franc\OneDrive\Documentos\MALENTIN KARIME\BANCO ESTADO\2012 DEPTO ESCRITURAS fata\NOTARIA 2009\ROSITA DIAZ\MISAEL TAPIA  (JULIO).doc", "Abrir Documento")</f>
        <v>0</v>
      </c>
      <c r="D10875" t="s">
        <v>23500</v>
      </c>
      <c r="E10875" t="s">
        <v>33350</v>
      </c>
    </row>
    <row r="10876" spans="1:5">
      <c r="A10876" t="s">
        <v>6</v>
      </c>
      <c r="B10876" t="s">
        <v>10881</v>
      </c>
      <c r="C10876">
        <f>HYPERLINK("C:\Users\franc\OneDrive\Documentos\MALENTIN KARIME\BANCO ESTADO\2012 DEPTO ESCRITURAS fata\NOTARIA 2009\ROSITA DIAZ\MIGUEL ARAYA  (JULIO).doc", "Abrir Documento")</f>
        <v>0</v>
      </c>
      <c r="D10876" t="s">
        <v>23500</v>
      </c>
      <c r="E10876" t="s">
        <v>33351</v>
      </c>
    </row>
    <row r="10877" spans="1:5">
      <c r="A10877" t="s">
        <v>6</v>
      </c>
      <c r="B10877" t="s">
        <v>10882</v>
      </c>
      <c r="C10877">
        <f>HYPERLINK("C:\Users\franc\OneDrive\Documentos\MALENTIN KARIME\BANCO ESTADO\2012 DEPTO ESCRITURAS fata\NOTARIA 2009\ROSITA DIAZ\MERCEDES ZEPEDA (JULIO).doc", "Abrir Documento")</f>
        <v>0</v>
      </c>
      <c r="D10877" t="s">
        <v>23500</v>
      </c>
      <c r="E10877" t="s">
        <v>33352</v>
      </c>
    </row>
    <row r="10878" spans="1:5">
      <c r="A10878" t="s">
        <v>6</v>
      </c>
      <c r="B10878" t="s">
        <v>10883</v>
      </c>
      <c r="C10878">
        <f>HYPERLINK("C:\Users\franc\OneDrive\Documentos\MALENTIN KARIME\BANCO ESTADO\2012 DEPTO ESCRITURAS fata\NOTARIA 2009\ROSITA DIAZ\MELISA RODRIGUEZ   (JULIO).doc", "Abrir Documento")</f>
        <v>0</v>
      </c>
      <c r="D10878" t="s">
        <v>23500</v>
      </c>
      <c r="E10878" t="s">
        <v>33353</v>
      </c>
    </row>
    <row r="10879" spans="1:5">
      <c r="A10879" t="s">
        <v>6</v>
      </c>
      <c r="B10879" t="s">
        <v>10884</v>
      </c>
      <c r="C10879">
        <f>HYPERLINK("C:\Users\franc\OneDrive\Documentos\MALENTIN KARIME\BANCO ESTADO\2012 DEPTO ESCRITURAS fata\NOTARIA 2009\ROSITA DIAZ\MAURICIO ZEPEDA  (JULIO).doc", "Abrir Documento")</f>
        <v>0</v>
      </c>
      <c r="D10879" t="s">
        <v>23500</v>
      </c>
      <c r="E10879" t="s">
        <v>33354</v>
      </c>
    </row>
    <row r="10880" spans="1:5">
      <c r="A10880" t="s">
        <v>6</v>
      </c>
      <c r="B10880" t="s">
        <v>10885</v>
      </c>
      <c r="C10880">
        <f>HYPERLINK("C:\Users\franc\OneDrive\Documentos\MALENTIN KARIME\BANCO ESTADO\2012 DEPTO ESCRITURAS fata\NOTARIA 2009\ROSITA DIAZ\MARTIN ORDENES (JULIO).doc", "Abrir Documento")</f>
        <v>0</v>
      </c>
      <c r="D10880" t="s">
        <v>23500</v>
      </c>
      <c r="E10880" t="s">
        <v>33355</v>
      </c>
    </row>
    <row r="10881" spans="1:5">
      <c r="A10881" t="s">
        <v>6</v>
      </c>
      <c r="B10881" t="s">
        <v>10886</v>
      </c>
      <c r="C10881">
        <f>HYPERLINK("C:\Users\franc\OneDrive\Documentos\MALENTIN KARIME\BANCO ESTADO\2012 DEPTO ESCRITURAS fata\NOTARIA 2009\ROSITA DIAZ\MARIO MUTARELLO (JULIO).doc", "Abrir Documento")</f>
        <v>0</v>
      </c>
      <c r="D10881" t="s">
        <v>23500</v>
      </c>
      <c r="E10881" t="s">
        <v>33356</v>
      </c>
    </row>
    <row r="10882" spans="1:5">
      <c r="A10882" t="s">
        <v>6</v>
      </c>
      <c r="B10882" t="s">
        <v>10887</v>
      </c>
      <c r="C10882">
        <f>HYPERLINK("C:\Users\franc\OneDrive\Documentos\MALENTIN KARIME\BANCO ESTADO\2012 DEPTO ESCRITURAS fata\NOTARIA 2009\ROSITA DIAZ\MARIO ECHEVERRIA TAPIA.doc", "Abrir Documento")</f>
        <v>0</v>
      </c>
      <c r="D10882" t="s">
        <v>23500</v>
      </c>
      <c r="E10882" t="s">
        <v>33357</v>
      </c>
    </row>
    <row r="10883" spans="1:5">
      <c r="A10883" t="s">
        <v>6</v>
      </c>
      <c r="B10883" t="s">
        <v>10888</v>
      </c>
      <c r="C10883">
        <f>HYPERLINK("C:\Users\franc\OneDrive\Documentos\MALENTIN KARIME\BANCO ESTADO\2012 DEPTO ESCRITURAS fata\NOTARIA 2009\ROSITA DIAZ\MARIA VELIZ ROJAS.doc", "Abrir Documento")</f>
        <v>0</v>
      </c>
      <c r="D10883" t="s">
        <v>23500</v>
      </c>
      <c r="E10883" t="s">
        <v>33358</v>
      </c>
    </row>
    <row r="10884" spans="1:5">
      <c r="A10884" t="s">
        <v>6</v>
      </c>
      <c r="B10884" t="s">
        <v>10889</v>
      </c>
      <c r="C10884">
        <f>HYPERLINK("C:\Users\franc\OneDrive\Documentos\MALENTIN KARIME\BANCO ESTADO\2012 DEPTO ESCRITURAS fata\NOTARIA 2009\ROSITA DIAZ\MARIA CONTRERAS VEAS  (JULIO).doc", "Abrir Documento")</f>
        <v>0</v>
      </c>
      <c r="D10884" t="s">
        <v>23500</v>
      </c>
      <c r="E10884" t="s">
        <v>33359</v>
      </c>
    </row>
    <row r="10885" spans="1:5">
      <c r="A10885" t="s">
        <v>6</v>
      </c>
      <c r="B10885" t="s">
        <v>10890</v>
      </c>
      <c r="C10885">
        <f>HYPERLINK("C:\Users\franc\OneDrive\Documentos\MALENTIN KARIME\BANCO ESTADO\2012 DEPTO ESCRITURAS fata\NOTARIA 2009\ROSITA DIAZ\MARIA AVILA AVILA.doc", "Abrir Documento")</f>
        <v>0</v>
      </c>
      <c r="D10885" t="s">
        <v>23500</v>
      </c>
      <c r="E10885" t="s">
        <v>33360</v>
      </c>
    </row>
    <row r="10886" spans="1:5">
      <c r="A10886" t="s">
        <v>6</v>
      </c>
      <c r="B10886" t="s">
        <v>10891</v>
      </c>
      <c r="C10886">
        <f>HYPERLINK("C:\Users\franc\OneDrive\Documentos\MALENTIN KARIME\BANCO ESTADO\2012 DEPTO ESCRITURAS fata\NOTARIA 2009\ROSITA DIAZ\MARGARITA SILVA (JULIO).doc", "Abrir Documento")</f>
        <v>0</v>
      </c>
      <c r="D10886" t="s">
        <v>23500</v>
      </c>
      <c r="E10886" t="s">
        <v>33361</v>
      </c>
    </row>
    <row r="10887" spans="1:5">
      <c r="A10887" t="s">
        <v>6</v>
      </c>
      <c r="B10887" t="s">
        <v>10892</v>
      </c>
      <c r="C10887">
        <f>HYPERLINK("C:\Users\franc\OneDrive\Documentos\MALENTIN KARIME\BANCO ESTADO\2012 DEPTO ESCRITURAS fata\NOTARIA 2009\ROSITA DIAZ\MARCELO JIMENEZ (JULIO).doc", "Abrir Documento")</f>
        <v>0</v>
      </c>
      <c r="D10887" t="s">
        <v>23500</v>
      </c>
      <c r="E10887" t="s">
        <v>33362</v>
      </c>
    </row>
    <row r="10888" spans="1:5">
      <c r="A10888" t="s">
        <v>6</v>
      </c>
      <c r="B10888" t="s">
        <v>10893</v>
      </c>
      <c r="C10888">
        <f>HYPERLINK("C:\Users\franc\OneDrive\Documentos\MALENTIN KARIME\BANCO ESTADO\2012 DEPTO ESCRITURAS fata\NOTARIA 2009\ROSITA DIAZ\MARCELA MUÑOZ MOLINA.doc", "Abrir Documento")</f>
        <v>0</v>
      </c>
      <c r="D10888" t="s">
        <v>23500</v>
      </c>
      <c r="E10888" t="s">
        <v>33363</v>
      </c>
    </row>
    <row r="10889" spans="1:5">
      <c r="A10889" t="s">
        <v>6</v>
      </c>
      <c r="B10889" t="s">
        <v>10894</v>
      </c>
      <c r="C10889">
        <f>HYPERLINK("C:\Users\franc\OneDrive\Documentos\MALENTIN KARIME\BANCO ESTADO\2012 DEPTO ESCRITURAS fata\NOTARIA 2009\ROSITA DIAZ\LUIS PEREZ.doc", "Abrir Documento")</f>
        <v>0</v>
      </c>
      <c r="D10889" t="s">
        <v>23500</v>
      </c>
      <c r="E10889" t="s">
        <v>33364</v>
      </c>
    </row>
    <row r="10890" spans="1:5">
      <c r="A10890" t="s">
        <v>6</v>
      </c>
      <c r="B10890" t="s">
        <v>10895</v>
      </c>
      <c r="C10890">
        <f>HYPERLINK("C:\Users\franc\OneDrive\Documentos\MALENTIN KARIME\BANCO ESTADO\2012 DEPTO ESCRITURAS fata\NOTARIA 2009\ROSITA DIAZ\LUIS PEREZ CONTRERS.doc", "Abrir Documento")</f>
        <v>0</v>
      </c>
      <c r="D10890" t="s">
        <v>23500</v>
      </c>
      <c r="E10890" t="s">
        <v>33365</v>
      </c>
    </row>
    <row r="10891" spans="1:5">
      <c r="A10891" t="s">
        <v>6</v>
      </c>
      <c r="B10891" t="s">
        <v>10896</v>
      </c>
      <c r="C10891">
        <f>HYPERLINK("C:\Users\franc\OneDrive\Documentos\MALENTIN KARIME\BANCO ESTADO\2012 DEPTO ESCRITURAS fata\NOTARIA 2009\ROSITA DIAZ\LORENA CORTES  (JULIO).doc", "Abrir Documento")</f>
        <v>0</v>
      </c>
      <c r="D10891" t="s">
        <v>23500</v>
      </c>
      <c r="E10891" t="s">
        <v>33366</v>
      </c>
    </row>
    <row r="10892" spans="1:5">
      <c r="A10892" t="s">
        <v>6</v>
      </c>
      <c r="B10892" t="s">
        <v>10897</v>
      </c>
      <c r="C10892">
        <f>HYPERLINK("C:\Users\franc\OneDrive\Documentos\MALENTIN KARIME\BANCO ESTADO\2012 DEPTO ESCRITURAS fata\NOTARIA 2009\ROSITA DIAZ\LEONEL ALFARO.doc", "Abrir Documento")</f>
        <v>0</v>
      </c>
      <c r="D10892" t="s">
        <v>23500</v>
      </c>
      <c r="E10892" t="s">
        <v>33367</v>
      </c>
    </row>
    <row r="10893" spans="1:5">
      <c r="A10893" t="s">
        <v>6</v>
      </c>
      <c r="B10893" t="s">
        <v>10898</v>
      </c>
      <c r="C10893">
        <f>HYPERLINK("C:\Users\franc\OneDrive\Documentos\MALENTIN KARIME\BANCO ESTADO\2012 DEPTO ESCRITURAS fata\NOTARIA 2009\ROSITA DIAZ\JULIO RAMOS.doc", "Abrir Documento")</f>
        <v>0</v>
      </c>
      <c r="D10893" t="s">
        <v>23500</v>
      </c>
      <c r="E10893" t="s">
        <v>33368</v>
      </c>
    </row>
    <row r="10894" spans="1:5">
      <c r="A10894" t="s">
        <v>6</v>
      </c>
      <c r="B10894" t="s">
        <v>10899</v>
      </c>
      <c r="C10894">
        <f>HYPERLINK("C:\Users\franc\OneDrive\Documentos\MALENTIN KARIME\BANCO ESTADO\2012 DEPTO ESCRITURAS fata\NOTARIA 2009\ROSITA DIAZ\JUAN VEGA MONDACA.doc", "Abrir Documento")</f>
        <v>0</v>
      </c>
      <c r="D10894" t="s">
        <v>23500</v>
      </c>
      <c r="E10894" t="s">
        <v>33369</v>
      </c>
    </row>
    <row r="10895" spans="1:5">
      <c r="A10895" t="s">
        <v>6</v>
      </c>
      <c r="B10895" t="s">
        <v>10900</v>
      </c>
      <c r="C10895">
        <f>HYPERLINK("C:\Users\franc\OneDrive\Documentos\MALENTIN KARIME\BANCO ESTADO\2012 DEPTO ESCRITURAS fata\NOTARIA 2009\ROSITA DIAZ\JUAN TAPIA BARRERA (JULIO).doc", "Abrir Documento")</f>
        <v>0</v>
      </c>
      <c r="D10895" t="s">
        <v>23500</v>
      </c>
      <c r="E10895" t="s">
        <v>33370</v>
      </c>
    </row>
    <row r="10896" spans="1:5">
      <c r="A10896" t="s">
        <v>6</v>
      </c>
      <c r="B10896" t="s">
        <v>10901</v>
      </c>
      <c r="C10896">
        <f>HYPERLINK("C:\Users\franc\OneDrive\Documentos\MALENTIN KARIME\BANCO ESTADO\2012 DEPTO ESCRITURAS fata\NOTARIA 2009\ROSITA DIAZ\JOSE TAPIA (JULIO).doc", "Abrir Documento")</f>
        <v>0</v>
      </c>
      <c r="D10896" t="s">
        <v>23500</v>
      </c>
      <c r="E10896" t="s">
        <v>33371</v>
      </c>
    </row>
    <row r="10897" spans="1:5">
      <c r="A10897" t="s">
        <v>6</v>
      </c>
      <c r="B10897" t="s">
        <v>10902</v>
      </c>
      <c r="C10897">
        <f>HYPERLINK("C:\Users\franc\OneDrive\Documentos\MALENTIN KARIME\BANCO ESTADO\2012 DEPTO ESCRITURAS fata\NOTARIA 2009\ROSITA DIAZ\JOSE BARRAZA ARAYA.doc", "Abrir Documento")</f>
        <v>0</v>
      </c>
      <c r="D10897" t="s">
        <v>23500</v>
      </c>
      <c r="E10897" t="s">
        <v>33372</v>
      </c>
    </row>
    <row r="10898" spans="1:5">
      <c r="A10898" t="s">
        <v>6</v>
      </c>
      <c r="B10898" t="s">
        <v>10903</v>
      </c>
      <c r="C10898">
        <f>HYPERLINK("C:\Users\franc\OneDrive\Documentos\MALENTIN KARIME\BANCO ESTADO\2012 DEPTO ESCRITURAS fata\NOTARIA 2009\ROSITA DIAZ\JOSE AGUILERA (JULIO).doc", "Abrir Documento")</f>
        <v>0</v>
      </c>
      <c r="D10898" t="s">
        <v>23500</v>
      </c>
      <c r="E10898" t="s">
        <v>33373</v>
      </c>
    </row>
    <row r="10899" spans="1:5">
      <c r="A10899" t="s">
        <v>6</v>
      </c>
      <c r="B10899" t="s">
        <v>10904</v>
      </c>
      <c r="C10899">
        <f>HYPERLINK("C:\Users\franc\OneDrive\Documentos\MALENTIN KARIME\BANCO ESTADO\2012 DEPTO ESCRITURAS fata\NOTARIA 2009\ROSITA DIAZ\JIMENA ARAYA (JULIO).doc", "Abrir Documento")</f>
        <v>0</v>
      </c>
      <c r="D10899" t="s">
        <v>23500</v>
      </c>
      <c r="E10899" t="s">
        <v>33374</v>
      </c>
    </row>
    <row r="10900" spans="1:5">
      <c r="A10900" t="s">
        <v>6</v>
      </c>
      <c r="B10900" t="s">
        <v>10905</v>
      </c>
      <c r="C10900">
        <f>HYPERLINK("C:\Users\franc\OneDrive\Documentos\MALENTIN KARIME\BANCO ESTADO\2012 DEPTO ESCRITURAS fata\NOTARIA 2009\ROSITA DIAZ\JIMENA ARAYA  (JULIO).doc", "Abrir Documento")</f>
        <v>0</v>
      </c>
      <c r="D10900" t="s">
        <v>23500</v>
      </c>
      <c r="E10900" t="s">
        <v>33375</v>
      </c>
    </row>
    <row r="10901" spans="1:5">
      <c r="A10901" t="s">
        <v>6</v>
      </c>
      <c r="B10901" t="s">
        <v>10906</v>
      </c>
      <c r="C10901">
        <f>HYPERLINK("C:\Users\franc\OneDrive\Documentos\MALENTIN KARIME\BANCO ESTADO\2012 DEPTO ESCRITURAS fata\NOTARIA 2009\ROSITA DIAZ\JESSICA ARAYA (JULIO).doc", "Abrir Documento")</f>
        <v>0</v>
      </c>
      <c r="D10901" t="s">
        <v>23500</v>
      </c>
      <c r="E10901" t="s">
        <v>33376</v>
      </c>
    </row>
    <row r="10902" spans="1:5">
      <c r="A10902" t="s">
        <v>6</v>
      </c>
      <c r="B10902" t="s">
        <v>10907</v>
      </c>
      <c r="C10902">
        <f>HYPERLINK("C:\Users\franc\OneDrive\Documentos\MALENTIN KARIME\BANCO ESTADO\2012 DEPTO ESCRITURAS fata\NOTARIA 2009\ROSITA DIAZ\JEISY GALLARDO OSSANDON.doc", "Abrir Documento")</f>
        <v>0</v>
      </c>
      <c r="D10902" t="s">
        <v>23500</v>
      </c>
      <c r="E10902" t="s">
        <v>33377</v>
      </c>
    </row>
    <row r="10903" spans="1:5">
      <c r="A10903" t="s">
        <v>6</v>
      </c>
      <c r="B10903" t="s">
        <v>10908</v>
      </c>
      <c r="C10903">
        <f>HYPERLINK("C:\Users\franc\OneDrive\Documentos\MALENTIN KARIME\BANCO ESTADO\2012 DEPTO ESCRITURAS fata\NOTARIA 2009\ROSITA DIAZ\IVAN VEGA (JULIO).doc", "Abrir Documento")</f>
        <v>0</v>
      </c>
      <c r="D10903" t="s">
        <v>23500</v>
      </c>
      <c r="E10903" t="s">
        <v>33378</v>
      </c>
    </row>
    <row r="10904" spans="1:5">
      <c r="A10904" t="s">
        <v>6</v>
      </c>
      <c r="B10904" t="s">
        <v>10909</v>
      </c>
      <c r="C10904">
        <f>HYPERLINK("C:\Users\franc\OneDrive\Documentos\MALENTIN KARIME\BANCO ESTADO\2012 DEPTO ESCRITURAS fata\NOTARIA 2009\ROSITA DIAZ\IRENE ARACENA.doc", "Abrir Documento")</f>
        <v>0</v>
      </c>
      <c r="D10904" t="s">
        <v>23500</v>
      </c>
      <c r="E10904" t="s">
        <v>33379</v>
      </c>
    </row>
    <row r="10905" spans="1:5">
      <c r="A10905" t="s">
        <v>6</v>
      </c>
      <c r="B10905" t="s">
        <v>10910</v>
      </c>
      <c r="C10905">
        <f>HYPERLINK("C:\Users\franc\OneDrive\Documentos\MALENTIN KARIME\BANCO ESTADO\2012 DEPTO ESCRITURAS fata\NOTARIA 2009\ROSITA DIAZ\INGRID CASTILLO (JULIO).doc", "Abrir Documento")</f>
        <v>0</v>
      </c>
      <c r="D10905" t="s">
        <v>23500</v>
      </c>
      <c r="E10905" t="s">
        <v>33380</v>
      </c>
    </row>
    <row r="10906" spans="1:5">
      <c r="A10906" t="s">
        <v>6</v>
      </c>
      <c r="B10906" t="s">
        <v>10911</v>
      </c>
      <c r="C10906">
        <f>HYPERLINK("C:\Users\franc\OneDrive\Documentos\MALENTIN KARIME\BANCO ESTADO\2012 DEPTO ESCRITURAS fata\NOTARIA 2009\ROSITA DIAZ\HUMBERTO RODRIGUEZ (JULIO).doc", "Abrir Documento")</f>
        <v>0</v>
      </c>
      <c r="D10906" t="s">
        <v>23500</v>
      </c>
      <c r="E10906" t="s">
        <v>33381</v>
      </c>
    </row>
    <row r="10907" spans="1:5">
      <c r="A10907" t="s">
        <v>6</v>
      </c>
      <c r="B10907" t="s">
        <v>10912</v>
      </c>
      <c r="C10907">
        <f>HYPERLINK("C:\Users\franc\OneDrive\Documentos\MALENTIN KARIME\BANCO ESTADO\2012 DEPTO ESCRITURAS fata\NOTARIA 2009\ROSITA DIAZ\HUGO CORDOVA GALLARDO.doc", "Abrir Documento")</f>
        <v>0</v>
      </c>
      <c r="D10907" t="s">
        <v>23500</v>
      </c>
      <c r="E10907" t="s">
        <v>33382</v>
      </c>
    </row>
    <row r="10908" spans="1:5">
      <c r="A10908" t="s">
        <v>6</v>
      </c>
      <c r="B10908" t="s">
        <v>10913</v>
      </c>
      <c r="C10908">
        <f>HYPERLINK("C:\Users\franc\OneDrive\Documentos\MALENTIN KARIME\BANCO ESTADO\2012 DEPTO ESCRITURAS fata\NOTARIA 2009\ROSITA DIAZ\GUILLERMO VIDAURRE (JULIO).doc", "Abrir Documento")</f>
        <v>0</v>
      </c>
      <c r="D10908" t="s">
        <v>23500</v>
      </c>
      <c r="E10908" t="s">
        <v>33383</v>
      </c>
    </row>
    <row r="10909" spans="1:5">
      <c r="A10909" t="s">
        <v>6</v>
      </c>
      <c r="B10909" t="s">
        <v>10914</v>
      </c>
      <c r="C10909">
        <f>HYPERLINK("C:\Users\franc\OneDrive\Documentos\MALENTIN KARIME\BANCO ESTADO\2012 DEPTO ESCRITURAS fata\NOTARIA 2009\ROSITA DIAZ\GREGORIO PEREZ.doc", "Abrir Documento")</f>
        <v>0</v>
      </c>
      <c r="D10909" t="s">
        <v>23500</v>
      </c>
      <c r="E10909" t="s">
        <v>33384</v>
      </c>
    </row>
    <row r="10910" spans="1:5">
      <c r="A10910" t="s">
        <v>6</v>
      </c>
      <c r="B10910" t="s">
        <v>10915</v>
      </c>
      <c r="C10910">
        <f>HYPERLINK("C:\Users\franc\OneDrive\Documentos\MALENTIN KARIME\BANCO ESTADO\2012 DEPTO ESCRITURAS fata\NOTARIA 2009\ROSITA DIAZ\GREGORIO PEREZ (JULIO).doc", "Abrir Documento")</f>
        <v>0</v>
      </c>
      <c r="D10910" t="s">
        <v>23500</v>
      </c>
      <c r="E10910" t="s">
        <v>33385</v>
      </c>
    </row>
    <row r="10911" spans="1:5">
      <c r="A10911" t="s">
        <v>6</v>
      </c>
      <c r="B10911" t="s">
        <v>10916</v>
      </c>
      <c r="C10911">
        <f>HYPERLINK("C:\Users\franc\OneDrive\Documentos\MALENTIN KARIME\BANCO ESTADO\2012 DEPTO ESCRITURAS fata\NOTARIA 2009\ROSITA DIAZ\GARY CARVAJAL   (JULIO).doc", "Abrir Documento")</f>
        <v>0</v>
      </c>
      <c r="D10911" t="s">
        <v>23500</v>
      </c>
      <c r="E10911" t="s">
        <v>33386</v>
      </c>
    </row>
    <row r="10912" spans="1:5">
      <c r="A10912" t="s">
        <v>6</v>
      </c>
      <c r="B10912" t="s">
        <v>10917</v>
      </c>
      <c r="C10912">
        <f>HYPERLINK("C:\Users\franc\OneDrive\Documentos\MALENTIN KARIME\BANCO ESTADO\2012 DEPTO ESCRITURAS fata\NOTARIA 2009\ROSITA DIAZ\GABRIEL SARMIENTO.doc", "Abrir Documento")</f>
        <v>0</v>
      </c>
      <c r="D10912" t="s">
        <v>23500</v>
      </c>
      <c r="E10912" t="s">
        <v>33387</v>
      </c>
    </row>
    <row r="10913" spans="1:5">
      <c r="A10913" t="s">
        <v>6</v>
      </c>
      <c r="B10913" t="s">
        <v>10918</v>
      </c>
      <c r="C10913">
        <f>HYPERLINK("C:\Users\franc\OneDrive\Documentos\MALENTIN KARIME\BANCO ESTADO\2012 DEPTO ESCRITURAS fata\NOTARIA 2009\ROSITA DIAZ\FRESIA BECERRA.doc", "Abrir Documento")</f>
        <v>0</v>
      </c>
      <c r="D10913" t="s">
        <v>23500</v>
      </c>
      <c r="E10913" t="s">
        <v>33388</v>
      </c>
    </row>
    <row r="10914" spans="1:5">
      <c r="A10914" t="s">
        <v>6</v>
      </c>
      <c r="B10914" t="s">
        <v>10919</v>
      </c>
      <c r="C10914">
        <f>HYPERLINK("C:\Users\franc\OneDrive\Documentos\MALENTIN KARIME\BANCO ESTADO\2012 DEPTO ESCRITURAS fata\NOTARIA 2009\ROSITA DIAZ\FIDEL LEYTON (JULIO).doc", "Abrir Documento")</f>
        <v>0</v>
      </c>
      <c r="D10914" t="s">
        <v>23500</v>
      </c>
      <c r="E10914" t="s">
        <v>33389</v>
      </c>
    </row>
    <row r="10915" spans="1:5">
      <c r="A10915" t="s">
        <v>6</v>
      </c>
      <c r="B10915" t="s">
        <v>10920</v>
      </c>
      <c r="C10915">
        <f>HYPERLINK("C:\Users\franc\OneDrive\Documentos\MALENTIN KARIME\BANCO ESTADO\2012 DEPTO ESCRITURAS fata\NOTARIA 2009\ROSITA DIAZ\FABIOLA CISTERNAS.doc", "Abrir Documento")</f>
        <v>0</v>
      </c>
      <c r="D10915" t="s">
        <v>23500</v>
      </c>
      <c r="E10915" t="s">
        <v>33390</v>
      </c>
    </row>
    <row r="10916" spans="1:5">
      <c r="A10916" t="s">
        <v>6</v>
      </c>
      <c r="B10916" t="s">
        <v>10921</v>
      </c>
      <c r="C10916">
        <f>HYPERLINK("C:\Users\franc\OneDrive\Documentos\MALENTIN KARIME\BANCO ESTADO\2012 DEPTO ESCRITURAS fata\NOTARIA 2009\ROSITA DIAZ\ETHEL BRAVO.doc", "Abrir Documento")</f>
        <v>0</v>
      </c>
      <c r="D10916" t="s">
        <v>23500</v>
      </c>
      <c r="E10916" t="s">
        <v>33391</v>
      </c>
    </row>
    <row r="10917" spans="1:5">
      <c r="A10917" t="s">
        <v>6</v>
      </c>
      <c r="B10917" t="s">
        <v>10922</v>
      </c>
      <c r="C10917">
        <f>HYPERLINK("C:\Users\franc\OneDrive\Documentos\MALENTIN KARIME\BANCO ESTADO\2012 DEPTO ESCRITURAS fata\NOTARIA 2009\ROSITA DIAZ\ESCRITURA REFINANCIAMIENTO PET.doc", "Abrir Documento")</f>
        <v>0</v>
      </c>
      <c r="D10917" t="s">
        <v>23500</v>
      </c>
      <c r="E10917" t="s">
        <v>33392</v>
      </c>
    </row>
    <row r="10918" spans="1:5">
      <c r="A10918" t="s">
        <v>6</v>
      </c>
      <c r="B10918" t="s">
        <v>10923</v>
      </c>
      <c r="C10918">
        <f>HYPERLINK("C:\Users\franc\OneDrive\Documentos\MALENTIN KARIME\BANCO ESTADO\2012 DEPTO ESCRITURAS fata\NOTARIA 2009\ROSITA DIAZ\ELIZABETH CONTRERAS  (JULIO).doc", "Abrir Documento")</f>
        <v>0</v>
      </c>
      <c r="D10918" t="s">
        <v>23500</v>
      </c>
      <c r="E10918" t="s">
        <v>33393</v>
      </c>
    </row>
    <row r="10919" spans="1:5">
      <c r="A10919" t="s">
        <v>6</v>
      </c>
      <c r="B10919" t="s">
        <v>10924</v>
      </c>
      <c r="C10919">
        <f>HYPERLINK("C:\Users\franc\OneDrive\Documentos\MALENTIN KARIME\BANCO ESTADO\2012 DEPTO ESCRITURAS fata\NOTARIA 2009\ROSITA DIAZ\EDUARDO OLIVARES (JULIO).doc", "Abrir Documento")</f>
        <v>0</v>
      </c>
      <c r="D10919" t="s">
        <v>23500</v>
      </c>
      <c r="E10919" t="s">
        <v>33394</v>
      </c>
    </row>
    <row r="10920" spans="1:5">
      <c r="A10920" t="s">
        <v>6</v>
      </c>
      <c r="B10920" t="s">
        <v>10925</v>
      </c>
      <c r="C10920">
        <f>HYPERLINK("C:\Users\franc\OneDrive\Documentos\MALENTIN KARIME\BANCO ESTADO\2012 DEPTO ESCRITURAS fata\NOTARIA 2009\ROSITA DIAZ\EDUARDO CORTES (JULIO).doc", "Abrir Documento")</f>
        <v>0</v>
      </c>
      <c r="D10920" t="s">
        <v>23500</v>
      </c>
      <c r="E10920" t="s">
        <v>33395</v>
      </c>
    </row>
    <row r="10921" spans="1:5">
      <c r="A10921" t="s">
        <v>6</v>
      </c>
      <c r="B10921" t="s">
        <v>10926</v>
      </c>
      <c r="C10921">
        <f>HYPERLINK("C:\Users\franc\OneDrive\Documentos\MALENTIN KARIME\BANCO ESTADO\2012 DEPTO ESCRITURAS fata\NOTARIA 2009\ROSITA DIAZ\EDITH BONILLA (JULIO).doc", "Abrir Documento")</f>
        <v>0</v>
      </c>
      <c r="D10921" t="s">
        <v>23500</v>
      </c>
      <c r="E10921" t="s">
        <v>33396</v>
      </c>
    </row>
    <row r="10922" spans="1:5">
      <c r="A10922" t="s">
        <v>6</v>
      </c>
      <c r="B10922" t="s">
        <v>10927</v>
      </c>
      <c r="C10922">
        <f>HYPERLINK("C:\Users\franc\OneDrive\Documentos\MALENTIN KARIME\BANCO ESTADO\2012 DEPTO ESCRITURAS fata\NOTARIA 2009\ROSITA DIAZ\DOMITILA DIAZ.doc", "Abrir Documento")</f>
        <v>0</v>
      </c>
      <c r="D10922" t="s">
        <v>23500</v>
      </c>
      <c r="E10922" t="s">
        <v>33397</v>
      </c>
    </row>
    <row r="10923" spans="1:5">
      <c r="A10923" t="s">
        <v>6</v>
      </c>
      <c r="B10923" t="s">
        <v>10928</v>
      </c>
      <c r="C10923">
        <f>HYPERLINK("C:\Users\franc\OneDrive\Documentos\MALENTIN KARIME\BANCO ESTADO\2012 DEPTO ESCRITURAS fata\NOTARIA 2009\ROSITA DIAZ\DOMITILA DIAZ  (JULIO).doc", "Abrir Documento")</f>
        <v>0</v>
      </c>
      <c r="D10923" t="s">
        <v>23500</v>
      </c>
      <c r="E10923" t="s">
        <v>33398</v>
      </c>
    </row>
    <row r="10924" spans="1:5">
      <c r="A10924" t="s">
        <v>6</v>
      </c>
      <c r="B10924" t="s">
        <v>10929</v>
      </c>
      <c r="C10924">
        <f>HYPERLINK("C:\Users\franc\OneDrive\Documentos\MALENTIN KARIME\BANCO ESTADO\2012 DEPTO ESCRITURAS fata\NOTARIA 2009\ROSITA DIAZ\DIGNA JIMENEZ EGAÑA.doc", "Abrir Documento")</f>
        <v>0</v>
      </c>
      <c r="D10924" t="s">
        <v>23500</v>
      </c>
      <c r="E10924" t="s">
        <v>33399</v>
      </c>
    </row>
    <row r="10925" spans="1:5">
      <c r="A10925" t="s">
        <v>6</v>
      </c>
      <c r="B10925" t="s">
        <v>10930</v>
      </c>
      <c r="C10925">
        <f>HYPERLINK("C:\Users\franc\OneDrive\Documentos\MALENTIN KARIME\BANCO ESTADO\2012 DEPTO ESCRITURAS fata\NOTARIA 2009\ROSITA DIAZ\DEYCE CASTILLO  (JULIO).doc", "Abrir Documento")</f>
        <v>0</v>
      </c>
      <c r="D10925" t="s">
        <v>23500</v>
      </c>
      <c r="E10925" t="s">
        <v>33400</v>
      </c>
    </row>
    <row r="10926" spans="1:5">
      <c r="A10926" t="s">
        <v>6</v>
      </c>
      <c r="B10926" t="s">
        <v>10931</v>
      </c>
      <c r="C10926">
        <f>HYPERLINK("C:\Users\franc\OneDrive\Documentos\MALENTIN KARIME\BANCO ESTADO\2012 DEPTO ESCRITURAS fata\NOTARIA 2009\ROSITA DIAZ\DAVID MARIN (JULIO)+.doc", "Abrir Documento")</f>
        <v>0</v>
      </c>
      <c r="D10926" t="s">
        <v>23500</v>
      </c>
      <c r="E10926" t="s">
        <v>33401</v>
      </c>
    </row>
    <row r="10927" spans="1:5">
      <c r="A10927" t="s">
        <v>6</v>
      </c>
      <c r="B10927" t="s">
        <v>10932</v>
      </c>
      <c r="C10927">
        <f>HYPERLINK("C:\Users\franc\OneDrive\Documentos\MALENTIN KARIME\BANCO ESTADO\2012 DEPTO ESCRITURAS fata\NOTARIA 2009\ROSITA DIAZ\DAVID JIMENEZ  (JULIO).doc", "Abrir Documento")</f>
        <v>0</v>
      </c>
      <c r="D10927" t="s">
        <v>23500</v>
      </c>
      <c r="E10927" t="s">
        <v>33402</v>
      </c>
    </row>
    <row r="10928" spans="1:5">
      <c r="A10928" t="s">
        <v>6</v>
      </c>
      <c r="B10928" t="s">
        <v>10933</v>
      </c>
      <c r="C10928">
        <f>HYPERLINK("C:\Users\franc\OneDrive\Documentos\MALENTIN KARIME\BANCO ESTADO\2012 DEPTO ESCRITURAS fata\NOTARIA 2009\ROSITA DIAZ\DARWIN RIVERA.doc", "Abrir Documento")</f>
        <v>0</v>
      </c>
      <c r="D10928" t="s">
        <v>23500</v>
      </c>
      <c r="E10928" t="s">
        <v>33403</v>
      </c>
    </row>
    <row r="10929" spans="1:5">
      <c r="A10929" t="s">
        <v>6</v>
      </c>
      <c r="B10929" t="s">
        <v>10934</v>
      </c>
      <c r="C10929">
        <f>HYPERLINK("C:\Users\franc\OneDrive\Documentos\MALENTIN KARIME\BANCO ESTADO\2012 DEPTO ESCRITURAS fata\NOTARIA 2009\ROSITA DIAZ\DARWIN MALEBRAN.doc", "Abrir Documento")</f>
        <v>0</v>
      </c>
      <c r="D10929" t="s">
        <v>23500</v>
      </c>
      <c r="E10929" t="s">
        <v>33404</v>
      </c>
    </row>
    <row r="10930" spans="1:5">
      <c r="A10930" t="s">
        <v>6</v>
      </c>
      <c r="B10930" t="s">
        <v>10935</v>
      </c>
      <c r="C10930">
        <f>HYPERLINK("C:\Users\franc\OneDrive\Documentos\MALENTIN KARIME\BANCO ESTADO\2012 DEPTO ESCRITURAS fata\NOTARIA 2009\ROSITA DIAZ\DANIEL TORRES (JULIO).doc", "Abrir Documento")</f>
        <v>0</v>
      </c>
      <c r="D10930" t="s">
        <v>23500</v>
      </c>
      <c r="E10930" t="s">
        <v>33405</v>
      </c>
    </row>
    <row r="10931" spans="1:5">
      <c r="A10931" t="s">
        <v>6</v>
      </c>
      <c r="B10931" t="s">
        <v>10936</v>
      </c>
      <c r="C10931">
        <f>HYPERLINK("C:\Users\franc\OneDrive\Documentos\MALENTIN KARIME\BANCO ESTADO\2012 DEPTO ESCRITURAS fata\NOTARIA 2009\ROSITA DIAZ\CRISTIAN JARA.doc", "Abrir Documento")</f>
        <v>0</v>
      </c>
      <c r="D10931" t="s">
        <v>23500</v>
      </c>
      <c r="E10931" t="s">
        <v>33406</v>
      </c>
    </row>
    <row r="10932" spans="1:5">
      <c r="A10932" t="s">
        <v>6</v>
      </c>
      <c r="B10932" t="s">
        <v>10937</v>
      </c>
      <c r="C10932">
        <f>HYPERLINK("C:\Users\franc\OneDrive\Documentos\MALENTIN KARIME\BANCO ESTADO\2012 DEPTO ESCRITURAS fata\NOTARIA 2009\ROSITA DIAZ\CLAUDIA NUÑEZ  (JULIO).doc", "Abrir Documento")</f>
        <v>0</v>
      </c>
      <c r="D10932" t="s">
        <v>23500</v>
      </c>
      <c r="E10932" t="s">
        <v>33407</v>
      </c>
    </row>
    <row r="10933" spans="1:5">
      <c r="A10933" t="s">
        <v>6</v>
      </c>
      <c r="B10933" t="s">
        <v>10938</v>
      </c>
      <c r="C10933">
        <f>HYPERLINK("C:\Users\franc\OneDrive\Documentos\MALENTIN KARIME\BANCO ESTADO\2012 DEPTO ESCRITURAS fata\NOTARIA 2009\ROSITA DIAZ\CLAUDIA IBAÑEZ (JULIO).doc", "Abrir Documento")</f>
        <v>0</v>
      </c>
      <c r="D10933" t="s">
        <v>23500</v>
      </c>
      <c r="E10933" t="s">
        <v>33408</v>
      </c>
    </row>
    <row r="10934" spans="1:5">
      <c r="A10934" t="s">
        <v>6</v>
      </c>
      <c r="B10934" t="s">
        <v>10939</v>
      </c>
      <c r="C10934">
        <f>HYPERLINK("C:\Users\franc\OneDrive\Documentos\MALENTIN KARIME\BANCO ESTADO\2012 DEPTO ESCRITURAS fata\NOTARIA 2009\ROSITA DIAZ\CESAR DIAZ  (JULIO).doc", "Abrir Documento")</f>
        <v>0</v>
      </c>
      <c r="D10934" t="s">
        <v>23500</v>
      </c>
      <c r="E10934" t="s">
        <v>33409</v>
      </c>
    </row>
    <row r="10935" spans="1:5">
      <c r="A10935" t="s">
        <v>6</v>
      </c>
      <c r="B10935" t="s">
        <v>10940</v>
      </c>
      <c r="C10935">
        <f>HYPERLINK("C:\Users\franc\OneDrive\Documentos\MALENTIN KARIME\BANCO ESTADO\2012 DEPTO ESCRITURAS fata\NOTARIA 2009\ROSITA DIAZ\CAROLINA MALDONADOL (JULIO).doc", "Abrir Documento")</f>
        <v>0</v>
      </c>
      <c r="D10935" t="s">
        <v>23500</v>
      </c>
      <c r="E10935" t="s">
        <v>33410</v>
      </c>
    </row>
    <row r="10936" spans="1:5">
      <c r="A10936" t="s">
        <v>6</v>
      </c>
      <c r="B10936" t="s">
        <v>10941</v>
      </c>
      <c r="C10936">
        <f>HYPERLINK("C:\Users\franc\OneDrive\Documentos\MALENTIN KARIME\BANCO ESTADO\2012 DEPTO ESCRITURAS fata\NOTARIA 2009\ROSITA DIAZ\CARMEN FAJARDO  (JULIO).doc", "Abrir Documento")</f>
        <v>0</v>
      </c>
      <c r="D10936" t="s">
        <v>23500</v>
      </c>
      <c r="E10936" t="s">
        <v>33411</v>
      </c>
    </row>
    <row r="10937" spans="1:5">
      <c r="A10937" t="s">
        <v>6</v>
      </c>
      <c r="B10937" t="s">
        <v>10942</v>
      </c>
      <c r="C10937">
        <f>HYPERLINK("C:\Users\franc\OneDrive\Documentos\MALENTIN KARIME\BANCO ESTADO\2012 DEPTO ESCRITURAS fata\NOTARIA 2009\ROSITA DIAZ\CARMEN CASTILLO  (JULIO).doc", "Abrir Documento")</f>
        <v>0</v>
      </c>
      <c r="D10937" t="s">
        <v>23500</v>
      </c>
      <c r="E10937" t="s">
        <v>33412</v>
      </c>
    </row>
    <row r="10938" spans="1:5">
      <c r="A10938" t="s">
        <v>6</v>
      </c>
      <c r="B10938" t="s">
        <v>10943</v>
      </c>
      <c r="C10938">
        <f>HYPERLINK("C:\Users\franc\OneDrive\Documentos\MALENTIN KARIME\BANCO ESTADO\2012 DEPTO ESCRITURAS fata\NOTARIA 2009\ROSITA DIAZ\CARLOS TELLO  (JULIO).doc", "Abrir Documento")</f>
        <v>0</v>
      </c>
      <c r="D10938" t="s">
        <v>23500</v>
      </c>
      <c r="E10938" t="s">
        <v>33413</v>
      </c>
    </row>
    <row r="10939" spans="1:5">
      <c r="A10939" t="s">
        <v>6</v>
      </c>
      <c r="B10939" t="s">
        <v>10944</v>
      </c>
      <c r="C10939">
        <f>HYPERLINK("C:\Users\franc\OneDrive\Documentos\MALENTIN KARIME\BANCO ESTADO\2012 DEPTO ESCRITURAS fata\NOTARIA 2009\ROSITA DIAZ\CARLOS LEON (JULIO ).doc", "Abrir Documento")</f>
        <v>0</v>
      </c>
      <c r="D10939" t="s">
        <v>23500</v>
      </c>
      <c r="E10939" t="s">
        <v>33414</v>
      </c>
    </row>
    <row r="10940" spans="1:5">
      <c r="A10940" t="s">
        <v>6</v>
      </c>
      <c r="B10940" t="s">
        <v>10945</v>
      </c>
      <c r="C10940">
        <f>HYPERLINK("C:\Users\franc\OneDrive\Documentos\MALENTIN KARIME\BANCO ESTADO\2012 DEPTO ESCRITURAS fata\NOTARIA 2009\ROSITA DIAZ\BERNARDA GALLEGUILLOS (JULIO).doc", "Abrir Documento")</f>
        <v>0</v>
      </c>
      <c r="D10940" t="s">
        <v>23500</v>
      </c>
      <c r="E10940" t="s">
        <v>33415</v>
      </c>
    </row>
    <row r="10941" spans="1:5">
      <c r="A10941" t="s">
        <v>6</v>
      </c>
      <c r="B10941" t="s">
        <v>10946</v>
      </c>
      <c r="C10941">
        <f>HYPERLINK("C:\Users\franc\OneDrive\Documentos\MALENTIN KARIME\BANCO ESTADO\2012 DEPTO ESCRITURAS fata\NOTARIA 2009\ROSITA DIAZ\BENITO ALFARO  (JULIO).doc", "Abrir Documento")</f>
        <v>0</v>
      </c>
      <c r="D10941" t="s">
        <v>23500</v>
      </c>
      <c r="E10941" t="s">
        <v>33416</v>
      </c>
    </row>
    <row r="10942" spans="1:5">
      <c r="A10942" t="s">
        <v>6</v>
      </c>
      <c r="B10942" t="s">
        <v>10947</v>
      </c>
      <c r="C10942">
        <f>HYPERLINK("C:\Users\franc\OneDrive\Documentos\MALENTIN KARIME\BANCO ESTADO\2012 DEPTO ESCRITURAS fata\NOTARIA 2009\ROSITA DIAZ\AURELIA CARVAJAL  (JULIO).doc", "Abrir Documento")</f>
        <v>0</v>
      </c>
      <c r="D10942" t="s">
        <v>23500</v>
      </c>
      <c r="E10942" t="s">
        <v>33417</v>
      </c>
    </row>
    <row r="10943" spans="1:5">
      <c r="A10943" t="s">
        <v>6</v>
      </c>
      <c r="B10943" t="s">
        <v>10948</v>
      </c>
      <c r="C10943">
        <f>HYPERLINK("C:\Users\franc\OneDrive\Documentos\MALENTIN KARIME\BANCO ESTADO\2012 DEPTO ESCRITURAS fata\NOTARIA 2009\ROSITA DIAZ\ARNOLDO CORTES  (JULIO).doc", "Abrir Documento")</f>
        <v>0</v>
      </c>
      <c r="D10943" t="s">
        <v>23500</v>
      </c>
      <c r="E10943" t="s">
        <v>33418</v>
      </c>
    </row>
    <row r="10944" spans="1:5">
      <c r="A10944" t="s">
        <v>6</v>
      </c>
      <c r="B10944" t="s">
        <v>10949</v>
      </c>
      <c r="C10944">
        <f>HYPERLINK("C:\Users\franc\OneDrive\Documentos\MALENTIN KARIME\BANCO ESTADO\2012 DEPTO ESCRITURAS fata\NOTARIA 2009\ROSITA DIAZ\ANA TELLO (JULIO).doc", "Abrir Documento")</f>
        <v>0</v>
      </c>
      <c r="D10944" t="s">
        <v>23500</v>
      </c>
      <c r="E10944" t="s">
        <v>33419</v>
      </c>
    </row>
    <row r="10945" spans="1:5">
      <c r="A10945" t="s">
        <v>6</v>
      </c>
      <c r="B10945" t="s">
        <v>10950</v>
      </c>
      <c r="C10945">
        <f>HYPERLINK("C:\Users\franc\OneDrive\Documentos\MALENTIN KARIME\BANCO ESTADO\2012 DEPTO ESCRITURAS fata\NOTARIA 2009\ROSITA DIAZ\ANA ARAYA PERINES.doc", "Abrir Documento")</f>
        <v>0</v>
      </c>
      <c r="D10945" t="s">
        <v>23500</v>
      </c>
      <c r="E10945" t="s">
        <v>33420</v>
      </c>
    </row>
    <row r="10946" spans="1:5">
      <c r="A10946" t="s">
        <v>6</v>
      </c>
      <c r="B10946" t="s">
        <v>10951</v>
      </c>
      <c r="C10946">
        <f>HYPERLINK("C:\Users\franc\OneDrive\Documentos\MALENTIN KARIME\BANCO ESTADO\2012 DEPTO ESCRITURAS fata\NOTARIA 2009\ROSITA DIAZ\ALEXANDRA ARAYA (JULIO).doc", "Abrir Documento")</f>
        <v>0</v>
      </c>
      <c r="D10946" t="s">
        <v>23500</v>
      </c>
      <c r="E10946" t="s">
        <v>33421</v>
      </c>
    </row>
    <row r="10947" spans="1:5">
      <c r="A10947" t="s">
        <v>6</v>
      </c>
      <c r="B10947" t="s">
        <v>10952</v>
      </c>
      <c r="C10947">
        <f>HYPERLINK("C:\Users\franc\OneDrive\Documentos\MALENTIN KARIME\BANCO ESTADO\2012 DEPTO ESCRITURAS fata\NOTARIA 2009\ROSITA DIAZ\ALEX ROJAS MIRANDA.doc", "Abrir Documento")</f>
        <v>0</v>
      </c>
      <c r="D10947" t="s">
        <v>23500</v>
      </c>
      <c r="E10947" t="s">
        <v>33422</v>
      </c>
    </row>
    <row r="10948" spans="1:5">
      <c r="A10948" t="s">
        <v>6</v>
      </c>
      <c r="B10948" t="s">
        <v>10953</v>
      </c>
      <c r="C10948">
        <f>HYPERLINK("C:\Users\franc\OneDrive\Documentos\MALENTIN KARIME\BANCO ESTADO\2012 DEPTO ESCRITURAS fata\NOTARIA 2009\ROSITA DIAZ\ALEX LOPEZ (JULIO).doc", "Abrir Documento")</f>
        <v>0</v>
      </c>
      <c r="D10948" t="s">
        <v>23500</v>
      </c>
      <c r="E10948" t="s">
        <v>33423</v>
      </c>
    </row>
    <row r="10949" spans="1:5">
      <c r="A10949" t="s">
        <v>6</v>
      </c>
      <c r="B10949" t="s">
        <v>10954</v>
      </c>
      <c r="C10949">
        <f>HYPERLINK("C:\Users\franc\OneDrive\Documentos\MALENTIN KARIME\BANCO ESTADO\2012 DEPTO ESCRITURAS fata\NOTARIA 2009\ROSITA DIAZ\ADELINA SALAZAR  (JULIO).doc", "Abrir Documento")</f>
        <v>0</v>
      </c>
      <c r="D10949" t="s">
        <v>23500</v>
      </c>
      <c r="E10949" t="s">
        <v>33424</v>
      </c>
    </row>
    <row r="10950" spans="1:5">
      <c r="A10950" t="s">
        <v>6</v>
      </c>
      <c r="B10950" t="s">
        <v>10955</v>
      </c>
      <c r="C10950">
        <f>HYPERLINK("C:\Users\franc\OneDrive\Documentos\MALENTIN KARIME\BANCO ESTADO\2012 DEPTO ESCRITURAS fata\NOTARIA 2009\ROSITA DIAZ\ABRAHAM MALEBRAN  (JULIO).doc", "Abrir Documento")</f>
        <v>0</v>
      </c>
      <c r="D10950" t="s">
        <v>23500</v>
      </c>
      <c r="E10950" t="s">
        <v>33425</v>
      </c>
    </row>
    <row r="10951" spans="1:5">
      <c r="A10951" t="s">
        <v>6</v>
      </c>
      <c r="B10951" t="s">
        <v>10956</v>
      </c>
      <c r="C10951">
        <f>HYPERLINK("C:\Users\franc\OneDrive\Documentos\MALENTIN KARIME\BANCO ESTADO\2012 DEPTO ESCRITURAS fata\NOTARIA 2009\ROSITA DIAZ\ABELARDO LOPEZ   (JULIO).doc", "Abrir Documento")</f>
        <v>0</v>
      </c>
      <c r="D10951" t="s">
        <v>23500</v>
      </c>
      <c r="E10951" t="s">
        <v>33426</v>
      </c>
    </row>
    <row r="10952" spans="1:5">
      <c r="A10952" t="s">
        <v>6</v>
      </c>
      <c r="B10952" t="s">
        <v>10957</v>
      </c>
      <c r="C10952">
        <f>HYPERLINK("C:\Users\franc\OneDrive\Documentos\MALENTIN KARIME\BANCO ESTADO\2012 DEPTO ESCRITURAS fata\NOTARIA 2009\ROMUALDO HERNANDEZ ABOGADO\GABRIELA JOPIA A SUS HIJOS CV CON USUFRUCTO.doc", "Abrir Documento")</f>
        <v>0</v>
      </c>
      <c r="D10952" t="s">
        <v>23500</v>
      </c>
      <c r="E10952" t="s">
        <v>33427</v>
      </c>
    </row>
    <row r="10953" spans="1:5">
      <c r="A10953" t="s">
        <v>6</v>
      </c>
      <c r="B10953" t="s">
        <v>10958</v>
      </c>
      <c r="C10953">
        <f>HYPERLINK("C:\Users\franc\OneDrive\Documentos\MALENTIN KARIME\BANCO ESTADO\2012 DEPTO ESCRITURAS fata\NOTARIA 2009\ROMUALDO HERNANDEZ ABOGADO\GABRIELA JOPIA  - CESION.doc", "Abrir Documento")</f>
        <v>0</v>
      </c>
      <c r="D10953" t="s">
        <v>23500</v>
      </c>
      <c r="E10953" t="s">
        <v>33428</v>
      </c>
    </row>
    <row r="10954" spans="1:5">
      <c r="A10954" t="s">
        <v>6</v>
      </c>
      <c r="B10954" t="s">
        <v>10959</v>
      </c>
      <c r="C10954">
        <f>HYPERLINK("C:\Users\franc\OneDrive\Documentos\MALENTIN KARIME\BANCO ESTADO\2012 DEPTO ESCRITURAS fata\NOTARIA 2009\RODRIGO ORTIZ\MARISOL CASTRO ACUERDO.doc", "Abrir Documento")</f>
        <v>0</v>
      </c>
      <c r="D10954" t="s">
        <v>23500</v>
      </c>
      <c r="E10954" t="s">
        <v>33429</v>
      </c>
    </row>
    <row r="10955" spans="1:5">
      <c r="A10955" t="s">
        <v>6</v>
      </c>
      <c r="B10955" t="s">
        <v>10960</v>
      </c>
      <c r="C10955">
        <f>HYPERLINK("C:\Users\franc\OneDrive\Documentos\MALENTIN KARIME\BANCO ESTADO\2012 DEPTO ESCRITURAS fata\NOTARIA 2009\RODRIGO ORTIZ\MARISOL CASTRO (MANDATO).doc", "Abrir Documento")</f>
        <v>0</v>
      </c>
      <c r="D10955" t="s">
        <v>23500</v>
      </c>
      <c r="E10955" t="s">
        <v>33430</v>
      </c>
    </row>
    <row r="10956" spans="1:5">
      <c r="A10956" t="s">
        <v>6</v>
      </c>
      <c r="B10956" t="s">
        <v>10961</v>
      </c>
      <c r="C10956">
        <f>HYPERLINK("C:\Users\franc\OneDrive\Documentos\MALENTIN KARIME\BANCO ESTADO\2012 DEPTO ESCRITURAS fata\NOTARIA 2009\ROBERTO VEGA\TRANSPORTES OVALLE A ROBERTO VEGA C..doc", "Abrir Documento")</f>
        <v>0</v>
      </c>
      <c r="D10956" t="s">
        <v>23500</v>
      </c>
      <c r="E10956" t="s">
        <v>33431</v>
      </c>
    </row>
    <row r="10957" spans="1:5">
      <c r="A10957" t="s">
        <v>6</v>
      </c>
      <c r="B10957" t="s">
        <v>10962</v>
      </c>
      <c r="C10957">
        <f>HYPERLINK("C:\Users\franc\OneDrive\Documentos\MALENTIN KARIME\BANCO ESTADO\2012 DEPTO ESCRITURAS fata\NOTARIA 2009\ROBERTO VEGA\SOCIEDAD VALLE NORTE (LUIS SORUCO).doc", "Abrir Documento")</f>
        <v>0</v>
      </c>
      <c r="D10957" t="s">
        <v>23500</v>
      </c>
      <c r="E10957" t="s">
        <v>33432</v>
      </c>
    </row>
    <row r="10958" spans="1:5">
      <c r="A10958" t="s">
        <v>6</v>
      </c>
      <c r="B10958" t="s">
        <v>10963</v>
      </c>
      <c r="C10958">
        <f>HYPERLINK("C:\Users\franc\OneDrive\Documentos\MALENTIN KARIME\BANCO ESTADO\2012 DEPTO ESCRITURAS fata\NOTARIA 2009\ROBERTO VEGA\SOC. VALLE DEL NORTE  EXTRACTO.doc", "Abrir Documento")</f>
        <v>0</v>
      </c>
      <c r="D10958" t="s">
        <v>23500</v>
      </c>
      <c r="E10958" t="s">
        <v>33433</v>
      </c>
    </row>
    <row r="10959" spans="1:5">
      <c r="A10959" t="s">
        <v>6</v>
      </c>
      <c r="B10959" t="s">
        <v>10964</v>
      </c>
      <c r="C10959">
        <f>HYPERLINK("C:\Users\franc\OneDrive\Documentos\MALENTIN KARIME\BANCO ESTADO\2012 DEPTO ESCRITURAS fata\NOTARIA 2009\ROBERTO VEGA\SOC. SANTA JULIA A ROBERTO CORTES.doc", "Abrir Documento")</f>
        <v>0</v>
      </c>
      <c r="D10959" t="s">
        <v>23500</v>
      </c>
      <c r="E10959" t="s">
        <v>33434</v>
      </c>
    </row>
    <row r="10960" spans="1:5">
      <c r="A10960" t="s">
        <v>6</v>
      </c>
      <c r="B10960" t="s">
        <v>10965</v>
      </c>
      <c r="C10960">
        <f>HYPERLINK("C:\Users\franc\OneDrive\Documentos\MALENTIN KARIME\BANCO ESTADO\2012 DEPTO ESCRITURAS fata\NOTARIA 2009\ROBERTO VEGA\SOC. MITIMAE A SOC. ALFALFARES.doc", "Abrir Documento")</f>
        <v>0</v>
      </c>
      <c r="D10960" t="s">
        <v>23500</v>
      </c>
      <c r="E10960" t="s">
        <v>33435</v>
      </c>
    </row>
    <row r="10961" spans="1:5">
      <c r="A10961" t="s">
        <v>6</v>
      </c>
      <c r="B10961" t="s">
        <v>10966</v>
      </c>
      <c r="C10961">
        <f>HYPERLINK("C:\Users\franc\OneDrive\Documentos\MALENTIN KARIME\BANCO ESTADO\2012 DEPTO ESCRITURAS fata\NOTARIA 2009\ROBERTO VEGA\SOC. MITIMAE A SOC. ALFALAFARES (INSTRUCCIONES).doc", "Abrir Documento")</f>
        <v>0</v>
      </c>
      <c r="D10961" t="s">
        <v>23500</v>
      </c>
      <c r="E10961" t="s">
        <v>33436</v>
      </c>
    </row>
    <row r="10962" spans="1:5">
      <c r="A10962" t="s">
        <v>6</v>
      </c>
      <c r="B10962" t="s">
        <v>10967</v>
      </c>
      <c r="C10962">
        <f>HYPERLINK("C:\Users\franc\OneDrive\Documentos\MALENTIN KARIME\BANCO ESTADO\2012 DEPTO ESCRITURAS fata\NOTARIA 2009\ROBERTO VEGA\SOC. MITIMAE A SOC. ALFALAFARES (INSTRUCCIONES) nuevas.doc", "Abrir Documento")</f>
        <v>0</v>
      </c>
      <c r="D10962" t="s">
        <v>23500</v>
      </c>
      <c r="E10962" t="s">
        <v>33437</v>
      </c>
    </row>
    <row r="10963" spans="1:5">
      <c r="A10963" t="s">
        <v>6</v>
      </c>
      <c r="B10963" t="s">
        <v>10968</v>
      </c>
      <c r="C10963">
        <f>HYPERLINK("C:\Users\franc\OneDrive\Documentos\MALENTIN KARIME\BANCO ESTADO\2012 DEPTO ESCRITURAS fata\NOTARIA 2009\ROBERTO VEGA\SOC. INCOVEG  A ROBERTO VEGA  (MANDATO JUDICIAL).doc", "Abrir Documento")</f>
        <v>0</v>
      </c>
      <c r="D10963" t="s">
        <v>23500</v>
      </c>
      <c r="E10963" t="s">
        <v>33438</v>
      </c>
    </row>
    <row r="10964" spans="1:5">
      <c r="A10964" t="s">
        <v>6</v>
      </c>
      <c r="B10964" t="s">
        <v>10969</v>
      </c>
      <c r="C10964">
        <f>HYPERLINK("C:\Users\franc\OneDrive\Documentos\MALENTIN KARIME\BANCO ESTADO\2012 DEPTO ESCRITURAS fata\NOTARIA 2009\ROBERTO VEGA\SOC. ALFALFARES A ROBERTO VEGA  (MANDATO JUDICIAL).doc", "Abrir Documento")</f>
        <v>0</v>
      </c>
      <c r="D10964" t="s">
        <v>23500</v>
      </c>
      <c r="E10964" t="s">
        <v>33439</v>
      </c>
    </row>
    <row r="10965" spans="1:5">
      <c r="A10965" t="s">
        <v>6</v>
      </c>
      <c r="B10965" t="s">
        <v>10970</v>
      </c>
      <c r="C10965">
        <f>HYPERLINK("C:\Users\franc\OneDrive\Documentos\MALENTIN KARIME\BANCO ESTADO\2012 DEPTO ESCRITURAS fata\NOTARIA 2009\ROBERTO VEGA\SOC. AGRIVET LTDA (FELIPE CORTES DIAZ Y HNO).doc", "Abrir Documento")</f>
        <v>0</v>
      </c>
      <c r="D10965" t="s">
        <v>23500</v>
      </c>
      <c r="E10965" t="s">
        <v>33440</v>
      </c>
    </row>
    <row r="10966" spans="1:5">
      <c r="A10966" t="s">
        <v>6</v>
      </c>
      <c r="B10966" t="s">
        <v>10971</v>
      </c>
      <c r="C10966">
        <f>HYPERLINK("C:\Users\franc\OneDrive\Documentos\MALENTIN KARIME\BANCO ESTADO\2012 DEPTO ESCRITURAS fata\NOTARIA 2009\ROBERTO VEGA\ROBERTO VEGA ALCAYAGA A ROBERTO VEGA C. (MANDATO JUDICIAL).doc", "Abrir Documento")</f>
        <v>0</v>
      </c>
      <c r="D10966" t="s">
        <v>23500</v>
      </c>
      <c r="E10966" t="s">
        <v>33441</v>
      </c>
    </row>
    <row r="10967" spans="1:5">
      <c r="A10967" t="s">
        <v>6</v>
      </c>
      <c r="B10967" t="s">
        <v>10972</v>
      </c>
      <c r="C10967">
        <f>HYPERLINK("C:\Users\franc\OneDrive\Documentos\MALENTIN KARIME\BANCO ESTADO\2012 DEPTO ESCRITURAS fata\NOTARIA 2009\ROBERTO VEGA\ROBERTO VEGA A SELEM DAIRE (ACLARACION).doc", "Abrir Documento")</f>
        <v>0</v>
      </c>
      <c r="D10967" t="s">
        <v>23500</v>
      </c>
      <c r="E10967" t="s">
        <v>33442</v>
      </c>
    </row>
    <row r="10968" spans="1:5">
      <c r="A10968" t="s">
        <v>6</v>
      </c>
      <c r="B10968" t="s">
        <v>10973</v>
      </c>
      <c r="C10968">
        <f>HYPERLINK("C:\Users\franc\OneDrive\Documentos\MALENTIN KARIME\BANCO ESTADO\2012 DEPTO ESCRITURAS fata\NOTARIA 2009\ROBERTO VEGA\ROBERTO VEGA A ALFALFARES A ROBERTO VEGA.doc", "Abrir Documento")</f>
        <v>0</v>
      </c>
      <c r="D10968" t="s">
        <v>23500</v>
      </c>
      <c r="E10968" t="s">
        <v>33443</v>
      </c>
    </row>
    <row r="10969" spans="1:5">
      <c r="A10969" t="s">
        <v>6</v>
      </c>
      <c r="B10969" t="s">
        <v>10974</v>
      </c>
      <c r="C10969">
        <f>HYPERLINK("C:\Users\franc\OneDrive\Documentos\MALENTIN KARIME\BANCO ESTADO\2012 DEPTO ESCRITURAS fata\NOTARIA 2009\ROBERTO VEGA\RICARDO TELLO TAPIA A RICARDO TELLO VEGA (CV).doc", "Abrir Documento")</f>
        <v>0</v>
      </c>
      <c r="D10969" t="s">
        <v>23500</v>
      </c>
      <c r="E10969" t="s">
        <v>33444</v>
      </c>
    </row>
    <row r="10970" spans="1:5">
      <c r="A10970" t="s">
        <v>6</v>
      </c>
      <c r="B10970" t="s">
        <v>10975</v>
      </c>
      <c r="C10970">
        <f>HYPERLINK("C:\Users\franc\OneDrive\Documentos\MALENTIN KARIME\BANCO ESTADO\2012 DEPTO ESCRITURAS fata\NOTARIA 2009\ROBERTO VEGA\RENA MIRANDA Y OTR. A ROBERTO VEGA.doc", "Abrir Documento")</f>
        <v>0</v>
      </c>
      <c r="D10970" t="s">
        <v>23500</v>
      </c>
      <c r="E10970" t="s">
        <v>33445</v>
      </c>
    </row>
    <row r="10971" spans="1:5">
      <c r="A10971" t="s">
        <v>6</v>
      </c>
      <c r="B10971" t="s">
        <v>10976</v>
      </c>
      <c r="C10971">
        <f>HYPERLINK("C:\Users\franc\OneDrive\Documentos\MALENTIN KARIME\BANCO ESTADO\2012 DEPTO ESCRITURAS fata\NOTARIA 2009\ROBERTO VEGA\RAUL SAUVAGEOT Y SYLVIA DIAZ (LIQ. SOC. CONYUGALdefinitiva junio 2009.doc", "Abrir Documento")</f>
        <v>0</v>
      </c>
      <c r="D10971" t="s">
        <v>23500</v>
      </c>
      <c r="E10971" t="s">
        <v>33446</v>
      </c>
    </row>
    <row r="10972" spans="1:5">
      <c r="A10972" t="s">
        <v>6</v>
      </c>
      <c r="B10972" t="s">
        <v>10977</v>
      </c>
      <c r="C10972">
        <f>HYPERLINK("C:\Users\franc\OneDrive\Documentos\MALENTIN KARIME\BANCO ESTADO\2012 DEPTO ESCRITURAS fata\NOTARIA 2009\ROBERTO VEGA\RAUL SAUVAGEOT Y SYLVIA DIAZ (LIQ. SOC. CONYUGAL).doc", "Abrir Documento")</f>
        <v>0</v>
      </c>
      <c r="D10972" t="s">
        <v>23500</v>
      </c>
      <c r="E10972" t="s">
        <v>33447</v>
      </c>
    </row>
    <row r="10973" spans="1:5">
      <c r="A10973" t="s">
        <v>6</v>
      </c>
      <c r="B10973" t="s">
        <v>10978</v>
      </c>
      <c r="C10973">
        <f>HYPERLINK("C:\Users\franc\OneDrive\Documentos\MALENTIN KARIME\BANCO ESTADO\2012 DEPTO ESCRITURAS fata\NOTARIA 2009\ROBERTO VEGA\RAUL SAUVAGEOT Y SYLVIA DIAZ (LIQ. SOC. CONYUGAL finasl.doc", "Abrir Documento")</f>
        <v>0</v>
      </c>
      <c r="D10973" t="s">
        <v>23500</v>
      </c>
      <c r="E10973" t="s">
        <v>33448</v>
      </c>
    </row>
    <row r="10974" spans="1:5">
      <c r="A10974" t="s">
        <v>6</v>
      </c>
      <c r="B10974" t="s">
        <v>10979</v>
      </c>
      <c r="C10974">
        <f>HYPERLINK("C:\Users\franc\OneDrive\Documentos\MALENTIN KARIME\BANCO ESTADO\2012 DEPTO ESCRITURAS fata\NOTARIA 2009\ROBERTO VEGA\RAUL SAUVAGEOT DIAZ (LIQUIDACION SOC. CONYUGAL).doc", "Abrir Documento")</f>
        <v>0</v>
      </c>
      <c r="D10974" t="s">
        <v>23500</v>
      </c>
      <c r="E10974" t="s">
        <v>33449</v>
      </c>
    </row>
    <row r="10975" spans="1:5">
      <c r="A10975" t="s">
        <v>6</v>
      </c>
      <c r="B10975" t="s">
        <v>10980</v>
      </c>
      <c r="C10975">
        <f>HYPERLINK("C:\Users\franc\OneDrive\Documentos\MALENTIN KARIME\BANCO ESTADO\2012 DEPTO ESCRITURAS fata\NOTARIA 2009\ROBERTO VEGA\PRUDELIA PIZARRO (RENUNCIA HERENCIA).doc", "Abrir Documento")</f>
        <v>0</v>
      </c>
      <c r="D10975" t="s">
        <v>23500</v>
      </c>
      <c r="E10975" t="s">
        <v>33450</v>
      </c>
    </row>
    <row r="10976" spans="1:5">
      <c r="A10976" t="s">
        <v>6</v>
      </c>
      <c r="B10976" t="s">
        <v>10981</v>
      </c>
      <c r="C10976">
        <f>HYPERLINK("C:\Users\franc\OneDrive\Documentos\MALENTIN KARIME\BANCO ESTADO\2012 DEPTO ESCRITURAS fata\NOTARIA 2009\ROBERTO VEGA\PODER SII.doc", "Abrir Documento")</f>
        <v>0</v>
      </c>
      <c r="D10976" t="s">
        <v>23500</v>
      </c>
      <c r="E10976" t="s">
        <v>33451</v>
      </c>
    </row>
    <row r="10977" spans="1:5">
      <c r="A10977" t="s">
        <v>6</v>
      </c>
      <c r="B10977" t="s">
        <v>10982</v>
      </c>
      <c r="C10977">
        <f>HYPERLINK("C:\Users\franc\OneDrive\Documentos\MALENTIN KARIME\BANCO ESTADO\2012 DEPTO ESCRITURAS fata\NOTARIA 2009\ROBERTO VEGA\PAULINA GALVEZ ACLARATORIA.doc", "Abrir Documento")</f>
        <v>0</v>
      </c>
      <c r="D10977" t="s">
        <v>23500</v>
      </c>
      <c r="E10977" t="s">
        <v>33452</v>
      </c>
    </row>
    <row r="10978" spans="1:5">
      <c r="A10978" t="s">
        <v>6</v>
      </c>
      <c r="B10978" t="s">
        <v>10983</v>
      </c>
      <c r="C10978">
        <f>HYPERLINK("C:\Users\franc\OneDrive\Documentos\MALENTIN KARIME\BANCO ESTADO\2012 DEPTO ESCRITURAS fata\NOTARIA 2009\ROBERTO VEGA\PAULINA GALVEZ - HUGO GALVEZ.doc", "Abrir Documento")</f>
        <v>0</v>
      </c>
      <c r="D10978" t="s">
        <v>23500</v>
      </c>
      <c r="E10978" t="s">
        <v>33453</v>
      </c>
    </row>
    <row r="10979" spans="1:5">
      <c r="A10979" t="s">
        <v>6</v>
      </c>
      <c r="B10979" t="s">
        <v>10984</v>
      </c>
      <c r="C10979">
        <f>HYPERLINK("C:\Users\franc\OneDrive\Documentos\MALENTIN KARIME\BANCO ESTADO\2012 DEPTO ESCRITURAS fata\NOTARIA 2009\ROBERTO VEGA\MARIO RAMIREZ Y OTROS A ROBERTO VEGA ALCAYAGA.doc", "Abrir Documento")</f>
        <v>0</v>
      </c>
      <c r="D10979" t="s">
        <v>23500</v>
      </c>
      <c r="E10979" t="s">
        <v>33454</v>
      </c>
    </row>
    <row r="10980" spans="1:5">
      <c r="A10980" t="s">
        <v>6</v>
      </c>
      <c r="B10980" t="s">
        <v>10985</v>
      </c>
      <c r="C10980">
        <f>HYPERLINK("C:\Users\franc\OneDrive\Documentos\MALENTIN KARIME\BANCO ESTADO\2012 DEPTO ESCRITURAS fata\NOTARIA 2009\ROBERTO VEGA\MANDATO JUDICIAL CORTES JILES.doc", "Abrir Documento")</f>
        <v>0</v>
      </c>
      <c r="D10980" t="s">
        <v>23500</v>
      </c>
      <c r="E10980" t="s">
        <v>33455</v>
      </c>
    </row>
    <row r="10981" spans="1:5">
      <c r="A10981" t="s">
        <v>6</v>
      </c>
      <c r="B10981" t="s">
        <v>10986</v>
      </c>
      <c r="C10981">
        <f>HYPERLINK("C:\Users\franc\OneDrive\Documentos\MALENTIN KARIME\BANCO ESTADO\2012 DEPTO ESCRITURAS fata\NOTARIA 2009\ROBERTO VEGA\MANDATO ALFALFARES.doc", "Abrir Documento")</f>
        <v>0</v>
      </c>
      <c r="D10981" t="s">
        <v>23500</v>
      </c>
      <c r="E10981" t="s">
        <v>33456</v>
      </c>
    </row>
    <row r="10982" spans="1:5">
      <c r="A10982" t="s">
        <v>6</v>
      </c>
      <c r="B10982" t="s">
        <v>10987</v>
      </c>
      <c r="C10982">
        <f>HYPERLINK("C:\Users\franc\OneDrive\Documentos\MALENTIN KARIME\BANCO ESTADO\2012 DEPTO ESCRITURAS fata\NOTARIA 2009\ROBERTO VEGA\JOSE SORUCO (RECTIFICACION).doc", "Abrir Documento")</f>
        <v>0</v>
      </c>
      <c r="D10982" t="s">
        <v>23500</v>
      </c>
      <c r="E10982" t="s">
        <v>33457</v>
      </c>
    </row>
    <row r="10983" spans="1:5">
      <c r="A10983" t="s">
        <v>6</v>
      </c>
      <c r="B10983" t="s">
        <v>10988</v>
      </c>
      <c r="C10983">
        <f>HYPERLINK("C:\Users\franc\OneDrive\Documentos\MALENTIN KARIME\BANCO ESTADO\2012 DEPTO ESCRITURAS fata\NOTARIA 2009\ROBERTO VEGA\INMOBILIARIA CHACON A ROBERTO VEGA (AGUAS).doc", "Abrir Documento")</f>
        <v>0</v>
      </c>
      <c r="D10983" t="s">
        <v>23500</v>
      </c>
      <c r="E10983" t="s">
        <v>33458</v>
      </c>
    </row>
    <row r="10984" spans="1:5">
      <c r="A10984" t="s">
        <v>6</v>
      </c>
      <c r="B10984" t="s">
        <v>10989</v>
      </c>
      <c r="C10984">
        <f>HYPERLINK("C:\Users\franc\OneDrive\Documentos\MALENTIN KARIME\BANCO ESTADO\2012 DEPTO ESCRITURAS fata\NOTARIA 2009\ROBERTO VEGA\HUGO GALVEZ A CRISTIAN GALVEZ.doc", "Abrir Documento")</f>
        <v>0</v>
      </c>
      <c r="D10984" t="s">
        <v>23500</v>
      </c>
      <c r="E10984" t="s">
        <v>33459</v>
      </c>
    </row>
    <row r="10985" spans="1:5">
      <c r="A10985" t="s">
        <v>6</v>
      </c>
      <c r="B10985" t="s">
        <v>10990</v>
      </c>
      <c r="C10985">
        <f>HYPERLINK("C:\Users\franc\OneDrive\Documentos\MALENTIN KARIME\BANCO ESTADO\2012 DEPTO ESCRITURAS fata\NOTARIA 2009\ROBERTO VEGA\HUGO GALVEZ ( RECTIFICATORIA).doc", "Abrir Documento")</f>
        <v>0</v>
      </c>
      <c r="D10985" t="s">
        <v>23500</v>
      </c>
      <c r="E10985" t="s">
        <v>33460</v>
      </c>
    </row>
    <row r="10986" spans="1:5">
      <c r="A10986" t="s">
        <v>6</v>
      </c>
      <c r="B10986" t="s">
        <v>10991</v>
      </c>
      <c r="C10986">
        <f>HYPERLINK("C:\Users\franc\OneDrive\Documentos\MALENTIN KARIME\BANCO ESTADO\2012 DEPTO ESCRITURAS fata\NOTARIA 2009\ROBERTO VEGA\HECTOR GUZMAN A ROBERTO VEGA.doc", "Abrir Documento")</f>
        <v>0</v>
      </c>
      <c r="D10986" t="s">
        <v>23500</v>
      </c>
      <c r="E10986" t="s">
        <v>33461</v>
      </c>
    </row>
    <row r="10987" spans="1:5">
      <c r="A10987" t="s">
        <v>6</v>
      </c>
      <c r="B10987" t="s">
        <v>10992</v>
      </c>
      <c r="C10987">
        <f>HYPERLINK("C:\Users\franc\OneDrive\Documentos\MALENTIN KARIME\BANCO ESTADO\2012 DEPTO ESCRITURAS fata\NOTARIA 2009\ROBERTO VEGA\FRANCISCO JIMENEZ (MANDATO JUDICIAL).doc", "Abrir Documento")</f>
        <v>0</v>
      </c>
      <c r="D10987" t="s">
        <v>23500</v>
      </c>
      <c r="E10987" t="s">
        <v>33462</v>
      </c>
    </row>
    <row r="10988" spans="1:5">
      <c r="A10988" t="s">
        <v>6</v>
      </c>
      <c r="B10988" t="s">
        <v>10993</v>
      </c>
      <c r="C10988">
        <f>HYPERLINK("C:\Users\franc\OneDrive\Documentos\MALENTIN KARIME\BANCO ESTADO\2012 DEPTO ESCRITURAS fata\NOTARIA 2009\ROBERTO VEGA\EXTRACTO.doc", "Abrir Documento")</f>
        <v>0</v>
      </c>
      <c r="D10988" t="s">
        <v>23500</v>
      </c>
      <c r="E10988" t="s">
        <v>33463</v>
      </c>
    </row>
    <row r="10989" spans="1:5">
      <c r="A10989" t="s">
        <v>6</v>
      </c>
      <c r="B10989" t="s">
        <v>10994</v>
      </c>
      <c r="C10989">
        <f>HYPERLINK("C:\Users\franc\OneDrive\Documentos\MALENTIN KARIME\BANCO ESTADO\2012 DEPTO ESCRITURAS fata\NOTARIA 2009\ROBERTO VEGA\ELSA BUGUEÑO TESTAMENTO.doc", "Abrir Documento")</f>
        <v>0</v>
      </c>
      <c r="D10989" t="s">
        <v>23500</v>
      </c>
      <c r="E10989" t="s">
        <v>33464</v>
      </c>
    </row>
    <row r="10990" spans="1:5">
      <c r="A10990" t="s">
        <v>6</v>
      </c>
      <c r="B10990" t="s">
        <v>10995</v>
      </c>
      <c r="C10990">
        <f>HYPERLINK("C:\Users\franc\OneDrive\Documentos\MALENTIN KARIME\BANCO ESTADO\2012 DEPTO ESCRITURAS fata\NOTARIA 2009\ROBERTO VEGA\COMPRAVENTA mod.doc", "Abrir Documento")</f>
        <v>0</v>
      </c>
      <c r="D10990" t="s">
        <v>23500</v>
      </c>
      <c r="E10990" t="s">
        <v>33465</v>
      </c>
    </row>
    <row r="10991" spans="1:5">
      <c r="A10991" t="s">
        <v>6</v>
      </c>
      <c r="B10991" t="s">
        <v>10996</v>
      </c>
      <c r="C10991">
        <f>HYPERLINK("C:\Users\franc\OneDrive\Documentos\MALENTIN KARIME\BANCO ESTADO\2012 DEPTO ESCRITURAS fata\NOTARIA 2009\ROBERTO VEGA\CESION DERECHOS GONZALEZ CALLEJAS.doc", "Abrir Documento")</f>
        <v>0</v>
      </c>
      <c r="D10991" t="s">
        <v>23500</v>
      </c>
      <c r="E10991" t="s">
        <v>33466</v>
      </c>
    </row>
    <row r="10992" spans="1:5">
      <c r="A10992" t="s">
        <v>6</v>
      </c>
      <c r="B10992" t="s">
        <v>10997</v>
      </c>
      <c r="C10992">
        <f>HYPERLINK("C:\Users\franc\OneDrive\Documentos\MALENTIN KARIME\BANCO ESTADO\2012 DEPTO ESCRITURAS fata\NOTARIA 2009\ROBERTO VEGA\CECILIA VERGARA - MANDATO JUDICIAL.doc", "Abrir Documento")</f>
        <v>0</v>
      </c>
      <c r="D10992" t="s">
        <v>23500</v>
      </c>
      <c r="E10992" t="s">
        <v>33467</v>
      </c>
    </row>
    <row r="10993" spans="1:5">
      <c r="A10993" t="s">
        <v>6</v>
      </c>
      <c r="B10993" t="s">
        <v>10998</v>
      </c>
      <c r="C10993">
        <f>HYPERLINK("C:\Users\franc\OneDrive\Documentos\MALENTIN KARIME\BANCO ESTADO\2012 DEPTO ESCRITURAS fata\NOTARIA 2009\ROBERTO VEGA\CARMEN VILLALON A SOC. ALFALFARES.doc", "Abrir Documento")</f>
        <v>0</v>
      </c>
      <c r="D10993" t="s">
        <v>23500</v>
      </c>
      <c r="E10993" t="s">
        <v>33468</v>
      </c>
    </row>
    <row r="10994" spans="1:5">
      <c r="A10994" t="s">
        <v>6</v>
      </c>
      <c r="B10994" t="s">
        <v>10999</v>
      </c>
      <c r="C10994">
        <f>HYPERLINK("C:\Users\franc\OneDrive\Documentos\MALENTIN KARIME\BANCO ESTADO\2012 DEPTO ESCRITURAS fata\NOTARIA 2009\ROBERTO VEGA\ASOC. DUEÑOS DE CAMIONES A SOC. TRANSP. OVALLE (ACLARA).doc", "Abrir Documento")</f>
        <v>0</v>
      </c>
      <c r="D10994" t="s">
        <v>23500</v>
      </c>
      <c r="E10994" t="s">
        <v>33469</v>
      </c>
    </row>
    <row r="10995" spans="1:5">
      <c r="A10995" t="s">
        <v>6</v>
      </c>
      <c r="B10995" t="s">
        <v>11000</v>
      </c>
      <c r="C10995">
        <f>HYPERLINK("C:\Users\franc\OneDrive\Documentos\MALENTIN KARIME\BANCO ESTADO\2012 DEPTO ESCRITURAS fata\NOTARIA 2009\ROBERTO VEGA\ARRIENDO AGUAS ROBERTO VEGA A ALFALFARES.doc", "Abrir Documento")</f>
        <v>0</v>
      </c>
      <c r="D10995" t="s">
        <v>23500</v>
      </c>
      <c r="E10995" t="s">
        <v>33470</v>
      </c>
    </row>
    <row r="10996" spans="1:5">
      <c r="A10996" t="s">
        <v>6</v>
      </c>
      <c r="B10996" t="s">
        <v>11001</v>
      </c>
      <c r="C10996">
        <f>HYPERLINK("C:\Users\franc\OneDrive\Documentos\MALENTIN KARIME\BANCO ESTADO\2012 DEPTO ESCRITURAS fata\NOTARIA 2009\ROBERTO VEGA\ACTA TRANSP. OVALLE.doc", "Abrir Documento")</f>
        <v>0</v>
      </c>
      <c r="D10996" t="s">
        <v>23500</v>
      </c>
      <c r="E10996" t="s">
        <v>33471</v>
      </c>
    </row>
    <row r="10997" spans="1:5">
      <c r="A10997" t="s">
        <v>6</v>
      </c>
      <c r="B10997" t="s">
        <v>11002</v>
      </c>
      <c r="C10997">
        <f>HYPERLINK("C:\Users\franc\OneDrive\Documentos\MALENTIN KARIME\BANCO ESTADO\2012 DEPTO ESCRITURAS fata\NOTARIA 2009\ROBERTO VEGA\ACLARATORIA ADRIANA ALUCEMA A CESAR MUÑOZ.doc", "Abrir Documento")</f>
        <v>0</v>
      </c>
      <c r="D10997" t="s">
        <v>23500</v>
      </c>
      <c r="E10997" t="s">
        <v>33472</v>
      </c>
    </row>
    <row r="10998" spans="1:5">
      <c r="A10998" t="s">
        <v>6</v>
      </c>
      <c r="B10998" t="s">
        <v>11003</v>
      </c>
      <c r="C10998">
        <f>HYPERLINK("C:\Users\franc\OneDrive\Documentos\MALENTIN KARIME\BANCO ESTADO\2012 DEPTO ESCRITURAS fata\NOTARIA 2009\ROBERTO VEGA\(DACION EN PAGO).doc", "Abrir Documento")</f>
        <v>0</v>
      </c>
      <c r="D10998" t="s">
        <v>23500</v>
      </c>
      <c r="E10998" t="s">
        <v>33473</v>
      </c>
    </row>
    <row r="10999" spans="1:5">
      <c r="A10999" t="s">
        <v>6</v>
      </c>
      <c r="B10999" t="s">
        <v>11004</v>
      </c>
      <c r="C10999">
        <f>HYPERLINK("C:\Users\franc\OneDrive\Documentos\MALENTIN KARIME\BANCO ESTADO\2012 DEPTO ESCRITURAS fata\NOTARIA 2009\RIO BLANCO\OSCAR ANDRADES.doc", "Abrir Documento")</f>
        <v>0</v>
      </c>
      <c r="D10999" t="s">
        <v>23500</v>
      </c>
      <c r="E10999" t="s">
        <v>33474</v>
      </c>
    </row>
    <row r="11000" spans="1:5">
      <c r="A11000" t="s">
        <v>6</v>
      </c>
      <c r="B11000" t="s">
        <v>11005</v>
      </c>
      <c r="C11000">
        <f>HYPERLINK("C:\Users\franc\OneDrive\Documentos\MALENTIN KARIME\BANCO ESTADO\2012 DEPTO ESCRITURAS fata\NOTARIA 2009\RIO BLANCO\OSCAR ANDRADE.doc", "Abrir Documento")</f>
        <v>0</v>
      </c>
      <c r="D11000" t="s">
        <v>23500</v>
      </c>
      <c r="E11000" t="s">
        <v>33475</v>
      </c>
    </row>
    <row r="11001" spans="1:5">
      <c r="A11001" t="s">
        <v>6</v>
      </c>
      <c r="B11001" t="s">
        <v>11006</v>
      </c>
      <c r="C11001">
        <f>HYPERLINK("C:\Users\franc\OneDrive\Documentos\MALENTIN KARIME\BANCO ESTADO\2012 DEPTO ESCRITURAS fata\NOTARIA 2009\REVOCACION\PATRICIA VALDERRAMA (TESTAMENTO).doc", "Abrir Documento")</f>
        <v>0</v>
      </c>
      <c r="D11001" t="s">
        <v>23500</v>
      </c>
      <c r="E11001" t="s">
        <v>33476</v>
      </c>
    </row>
    <row r="11002" spans="1:5">
      <c r="A11002" t="s">
        <v>6</v>
      </c>
      <c r="B11002" t="s">
        <v>11007</v>
      </c>
      <c r="C11002">
        <f>HYPERLINK("C:\Users\franc\OneDrive\Documentos\MALENTIN KARIME\BANCO ESTADO\2012 DEPTO ESCRITURAS fata\NOTARIA 2009\REVOCACION\MARIA RODRIGUEZ A JULIO POLANCO.doc", "Abrir Documento")</f>
        <v>0</v>
      </c>
      <c r="D11002" t="s">
        <v>23500</v>
      </c>
      <c r="E11002" t="s">
        <v>33477</v>
      </c>
    </row>
    <row r="11003" spans="1:5">
      <c r="A11003" t="s">
        <v>6</v>
      </c>
      <c r="B11003" t="s">
        <v>11008</v>
      </c>
      <c r="C11003">
        <f>HYPERLINK("C:\Users\franc\OneDrive\Documentos\MALENTIN KARIME\BANCO ESTADO\2012 DEPTO ESCRITURAS fata\NOTARIA 2009\REVOCACION\LILIANA ALFARO A CLAUDIO ARDILES.doc", "Abrir Documento")</f>
        <v>0</v>
      </c>
      <c r="D11003" t="s">
        <v>23500</v>
      </c>
      <c r="E11003" t="s">
        <v>33478</v>
      </c>
    </row>
    <row r="11004" spans="1:5">
      <c r="A11004" t="s">
        <v>6</v>
      </c>
      <c r="B11004" t="s">
        <v>11009</v>
      </c>
      <c r="C11004">
        <f>HYPERLINK("C:\Users\franc\OneDrive\Documentos\MALENTIN KARIME\BANCO ESTADO\2012 DEPTO ESCRITURAS fata\NOTARIA 2009\REVOCACION\LEONARDO VELIZ A INGRID MARIN.doc", "Abrir Documento")</f>
        <v>0</v>
      </c>
      <c r="D11004" t="s">
        <v>23500</v>
      </c>
      <c r="E11004" t="s">
        <v>33479</v>
      </c>
    </row>
    <row r="11005" spans="1:5">
      <c r="A11005" t="s">
        <v>6</v>
      </c>
      <c r="B11005" t="s">
        <v>11010</v>
      </c>
      <c r="C11005">
        <f>HYPERLINK("C:\Users\franc\OneDrive\Documentos\MALENTIN KARIME\BANCO ESTADO\2012 DEPTO ESCRITURAS fata\NOTARIA 2009\REVOCACION\FLORIDA RAMOS BARRAZA.doc", "Abrir Documento")</f>
        <v>0</v>
      </c>
      <c r="D11005" t="s">
        <v>23500</v>
      </c>
      <c r="E11005" t="s">
        <v>33480</v>
      </c>
    </row>
    <row r="11006" spans="1:5">
      <c r="A11006" t="s">
        <v>6</v>
      </c>
      <c r="B11006" t="s">
        <v>11011</v>
      </c>
      <c r="C11006">
        <f>HYPERLINK("C:\Users\franc\OneDrive\Documentos\MALENTIN KARIME\BANCO ESTADO\2012 DEPTO ESCRITURAS fata\NOTARIA 2009\REVOCACION\EDOMILIA ALFARO (TESTAMENTO).doc", "Abrir Documento")</f>
        <v>0</v>
      </c>
      <c r="D11006" t="s">
        <v>23500</v>
      </c>
      <c r="E11006" t="s">
        <v>33481</v>
      </c>
    </row>
    <row r="11007" spans="1:5">
      <c r="A11007" t="s">
        <v>6</v>
      </c>
      <c r="B11007" t="s">
        <v>11012</v>
      </c>
      <c r="C11007">
        <f>HYPERLINK("C:\Users\franc\OneDrive\Documentos\MALENTIN KARIME\BANCO ESTADO\2012 DEPTO ESCRITURAS fata\NOTARIA 2009\REVOCACION\AGRICOLA AGUSTIN ARAYA A CLAUDIO ARDILES.doc", "Abrir Documento")</f>
        <v>0</v>
      </c>
      <c r="D11007" t="s">
        <v>23500</v>
      </c>
      <c r="E11007" t="s">
        <v>33482</v>
      </c>
    </row>
    <row r="11008" spans="1:5">
      <c r="A11008" t="s">
        <v>6</v>
      </c>
      <c r="B11008" t="s">
        <v>11013</v>
      </c>
      <c r="C11008">
        <f>HYPERLINK("C:\Users\franc\OneDrive\Documentos\MALENTIN KARIME\BANCO ESTADO\2012 DEPTO ESCRITURAS fata\NOTARIA 2009\RESCILIACION\SOC. AGRICOLA MITIMAE A ALFALFARES.doc", "Abrir Documento")</f>
        <v>0</v>
      </c>
      <c r="D11008" t="s">
        <v>23500</v>
      </c>
      <c r="E11008" t="s">
        <v>33483</v>
      </c>
    </row>
    <row r="11009" spans="1:5">
      <c r="A11009" t="s">
        <v>6</v>
      </c>
      <c r="B11009" t="s">
        <v>11014</v>
      </c>
      <c r="C11009">
        <f>HYPERLINK("C:\Users\franc\OneDrive\Documentos\MALENTIN KARIME\BANCO ESTADO\2012 DEPTO ESCRITURAS fata\NOTARIA 2009\RESCILIACION\OSVALDO PARRA A FCO. GONZALEZ (HALCON 1-10).doc", "Abrir Documento")</f>
        <v>0</v>
      </c>
      <c r="D11009" t="s">
        <v>23500</v>
      </c>
      <c r="E11009" t="s">
        <v>33484</v>
      </c>
    </row>
    <row r="11010" spans="1:5">
      <c r="A11010" t="s">
        <v>6</v>
      </c>
      <c r="B11010" t="s">
        <v>11015</v>
      </c>
      <c r="C11010">
        <f>HYPERLINK("C:\Users\franc\OneDrive\Documentos\MALENTIN KARIME\BANCO ESTADO\2012 DEPTO ESCRITURAS fata\NOTARIA 2009\RESCILIACION\MIGUEL TAPIA Y OTRO A JORGE CUELLO (ARRIENDO).doc", "Abrir Documento")</f>
        <v>0</v>
      </c>
      <c r="D11010" t="s">
        <v>23500</v>
      </c>
      <c r="E11010" t="s">
        <v>33485</v>
      </c>
    </row>
    <row r="11011" spans="1:5">
      <c r="A11011" t="s">
        <v>6</v>
      </c>
      <c r="B11011" t="s">
        <v>11016</v>
      </c>
      <c r="C11011">
        <f>HYPERLINK("C:\Users\franc\OneDrive\Documentos\MALENTIN KARIME\BANCO ESTADO\2012 DEPTO ESCRITURAS fata\NOTARIA 2009\RESCILIACION\MATILDE CORTES A JESSICA LOPEZ (DERECHO EN COMUNIDAD).doc", "Abrir Documento")</f>
        <v>0</v>
      </c>
      <c r="D11011" t="s">
        <v>23500</v>
      </c>
      <c r="E11011" t="s">
        <v>33486</v>
      </c>
    </row>
    <row r="11012" spans="1:5">
      <c r="A11012" t="s">
        <v>6</v>
      </c>
      <c r="B11012" t="s">
        <v>11017</v>
      </c>
      <c r="C11012">
        <f>HYPERLINK("C:\Users\franc\OneDrive\Documentos\MALENTIN KARIME\BANCO ESTADO\2012 DEPTO ESCRITURAS fata\NOTARIA 2009\RESCILIACION\MARIA TELLO A RODRIGO GUZMAN (PROMESA).doc", "Abrir Documento")</f>
        <v>0</v>
      </c>
      <c r="D11012" t="s">
        <v>23500</v>
      </c>
      <c r="E11012" t="s">
        <v>33487</v>
      </c>
    </row>
    <row r="11013" spans="1:5">
      <c r="A11013" t="s">
        <v>6</v>
      </c>
      <c r="B11013" t="s">
        <v>11018</v>
      </c>
      <c r="C11013">
        <f>HYPERLINK("C:\Users\franc\OneDrive\Documentos\MALENTIN KARIME\BANCO ESTADO\2012 DEPTO ESCRITURAS fata\NOTARIA 2009\RESCILIACION\MANUEL BRAVO A SOC. DON CARLOS (SALEM).doc", "Abrir Documento")</f>
        <v>0</v>
      </c>
      <c r="D11013" t="s">
        <v>23500</v>
      </c>
      <c r="E11013" t="s">
        <v>33488</v>
      </c>
    </row>
    <row r="11014" spans="1:5">
      <c r="A11014" t="s">
        <v>6</v>
      </c>
      <c r="B11014" t="s">
        <v>11019</v>
      </c>
      <c r="C11014">
        <f>HYPERLINK("C:\Users\franc\OneDrive\Documentos\MALENTIN KARIME\BANCO ESTADO\2012 DEPTO ESCRITURAS fata\NOTARIA 2009\RESCILIACION\JUAN ADAOS Y OTROS A  WILLIAM (COMPRAVENTA SIN INSCIRP).doc", "Abrir Documento")</f>
        <v>0</v>
      </c>
      <c r="D11014" t="s">
        <v>23500</v>
      </c>
      <c r="E11014" t="s">
        <v>33489</v>
      </c>
    </row>
    <row r="11015" spans="1:5">
      <c r="A11015" t="s">
        <v>6</v>
      </c>
      <c r="B11015" t="s">
        <v>11020</v>
      </c>
      <c r="C11015">
        <f>HYPERLINK("C:\Users\franc\OneDrive\Documentos\MALENTIN KARIME\BANCO ESTADO\2012 DEPTO ESCRITURAS fata\NOTARIA 2009\RESCILIACION\JORGE ARACENA A JORGE CUELLO (ARRIENDO) PRIVADO.doc", "Abrir Documento")</f>
        <v>0</v>
      </c>
      <c r="D11015" t="s">
        <v>23500</v>
      </c>
      <c r="E11015" t="s">
        <v>33490</v>
      </c>
    </row>
    <row r="11016" spans="1:5">
      <c r="A11016" t="s">
        <v>6</v>
      </c>
      <c r="B11016" t="s">
        <v>11021</v>
      </c>
      <c r="C11016">
        <f>HYPERLINK("C:\Users\franc\OneDrive\Documentos\MALENTIN KARIME\BANCO ESTADO\2012 DEPTO ESCRITURAS fata\NOTARIA 2009\RESCILIACION\INVERSIONES MORALES.doc", "Abrir Documento")</f>
        <v>0</v>
      </c>
      <c r="D11016" t="s">
        <v>23500</v>
      </c>
      <c r="E11016" t="s">
        <v>33491</v>
      </c>
    </row>
    <row r="11017" spans="1:5">
      <c r="A11017" t="s">
        <v>6</v>
      </c>
      <c r="B11017" t="s">
        <v>11022</v>
      </c>
      <c r="C11017">
        <f>HYPERLINK("C:\Users\franc\OneDrive\Documentos\MALENTIN KARIME\BANCO ESTADO\2012 DEPTO ESCRITURAS fata\NOTARIA 2009\RESCILIACION\GABRIEL A GALINDO VELIZ (COMPRAVENTA SIN INSCIRP).doc", "Abrir Documento")</f>
        <v>0</v>
      </c>
      <c r="D11017" t="s">
        <v>23500</v>
      </c>
      <c r="E11017" t="s">
        <v>33492</v>
      </c>
    </row>
    <row r="11018" spans="1:5">
      <c r="A11018" t="s">
        <v>6</v>
      </c>
      <c r="B11018" t="s">
        <v>11023</v>
      </c>
      <c r="C11018">
        <f>HYPERLINK("C:\Users\franc\OneDrive\Documentos\MALENTIN KARIME\BANCO ESTADO\2012 DEPTO ESCRITURAS fata\NOTARIA 2009\RESCILIACION\EUGENIO DARRIGRANDE A JUAN GUTIERREZ.doc", "Abrir Documento")</f>
        <v>0</v>
      </c>
      <c r="D11018" t="s">
        <v>23500</v>
      </c>
      <c r="E11018" t="s">
        <v>33493</v>
      </c>
    </row>
    <row r="11019" spans="1:5">
      <c r="A11019" t="s">
        <v>6</v>
      </c>
      <c r="B11019" t="s">
        <v>11024</v>
      </c>
      <c r="C11019">
        <f>HYPERLINK("C:\Users\franc\OneDrive\Documentos\MALENTIN KARIME\BANCO ESTADO\2012 DEPTO ESCRITURAS fata\NOTARIA 2009\RESCILIACION\ALICIDES LISBOA A SOC. MINERA DON CARLOS (ARRIENDO).doc", "Abrir Documento")</f>
        <v>0</v>
      </c>
      <c r="D11019" t="s">
        <v>23500</v>
      </c>
      <c r="E11019" t="s">
        <v>33494</v>
      </c>
    </row>
    <row r="11020" spans="1:5">
      <c r="A11020" t="s">
        <v>6</v>
      </c>
      <c r="B11020" t="s">
        <v>11025</v>
      </c>
      <c r="C11020">
        <f>HYPERLINK("C:\Users\franc\OneDrive\Documentos\MALENTIN KARIME\BANCO ESTADO\2012 DEPTO ESCRITURAS fata\NOTARIA 2009\REPUDIO\PABLO MELO.doc", "Abrir Documento")</f>
        <v>0</v>
      </c>
      <c r="D11020" t="s">
        <v>23500</v>
      </c>
      <c r="E11020" t="s">
        <v>33495</v>
      </c>
    </row>
    <row r="11021" spans="1:5">
      <c r="A11021" t="s">
        <v>6</v>
      </c>
      <c r="B11021" t="s">
        <v>11026</v>
      </c>
      <c r="C11021">
        <f>HYPERLINK("C:\Users\franc\OneDrive\Documentos\MALENTIN KARIME\BANCO ESTADO\2012 DEPTO ESCRITURAS fata\NOTARIA 2009\REPUDIO\ANGEL SEGOVIA.doc", "Abrir Documento")</f>
        <v>0</v>
      </c>
      <c r="D11021" t="s">
        <v>23500</v>
      </c>
      <c r="E11021" t="s">
        <v>33496</v>
      </c>
    </row>
    <row r="11022" spans="1:5">
      <c r="A11022" t="s">
        <v>6</v>
      </c>
      <c r="B11022" t="s">
        <v>11027</v>
      </c>
      <c r="C11022">
        <f>HYPERLINK("C:\Users\franc\OneDrive\Documentos\MALENTIN KARIME\BANCO ESTADO\2012 DEPTO ESCRITURAS fata\NOTARIA 2009\RENUNCIA GANANCIALES\MA LORETO CAMPOS.doc", "Abrir Documento")</f>
        <v>0</v>
      </c>
      <c r="D11022" t="s">
        <v>23500</v>
      </c>
      <c r="E11022" t="s">
        <v>33497</v>
      </c>
    </row>
    <row r="11023" spans="1:5">
      <c r="A11023" t="s">
        <v>6</v>
      </c>
      <c r="B11023" t="s">
        <v>11028</v>
      </c>
      <c r="C11023">
        <f>HYPERLINK("C:\Users\franc\OneDrive\Documentos\MALENTIN KARIME\BANCO ESTADO\2012 DEPTO ESCRITURAS fata\NOTARIA 2009\RENUNCIA GANANCIALES\CLAUDIO CASTILLO.doc", "Abrir Documento")</f>
        <v>0</v>
      </c>
      <c r="D11023" t="s">
        <v>23500</v>
      </c>
      <c r="E11023" t="s">
        <v>33498</v>
      </c>
    </row>
    <row r="11024" spans="1:5">
      <c r="A11024" t="s">
        <v>6</v>
      </c>
      <c r="B11024" t="s">
        <v>11029</v>
      </c>
      <c r="C11024">
        <f>HYPERLINK("C:\Users\franc\OneDrive\Documentos\MALENTIN KARIME\BANCO ESTADO\2012 DEPTO ESCRITURAS fata\NOTARIA 2009\RENDICION\LUIS ROJAS A MINERA MARUJA.doc", "Abrir Documento")</f>
        <v>0</v>
      </c>
      <c r="D11024" t="s">
        <v>23500</v>
      </c>
      <c r="E11024" t="s">
        <v>33499</v>
      </c>
    </row>
    <row r="11025" spans="1:5">
      <c r="A11025" t="s">
        <v>6</v>
      </c>
      <c r="B11025" t="s">
        <v>11030</v>
      </c>
      <c r="C11025">
        <f>HYPERLINK("C:\Users\franc\OneDrive\Documentos\MALENTIN KARIME\BANCO ESTADO\2012 DEPTO ESCRITURAS fata\NOTARIA 2009\REMATES\REMATE EL CHAVO UNA.doc", "Abrir Documento")</f>
        <v>0</v>
      </c>
      <c r="D11025" t="s">
        <v>23500</v>
      </c>
      <c r="E11025" t="s">
        <v>33500</v>
      </c>
    </row>
    <row r="11026" spans="1:5">
      <c r="A11026" t="s">
        <v>6</v>
      </c>
      <c r="B11026" t="s">
        <v>11031</v>
      </c>
      <c r="C11026">
        <f>HYPERLINK("C:\Users\franc\OneDrive\Documentos\MALENTIN KARIME\BANCO ESTADO\2012 DEPTO ESCRITURAS fata\NOTARIA 2009\REMATES\MINAS.doc", "Abrir Documento")</f>
        <v>0</v>
      </c>
      <c r="D11026" t="s">
        <v>23500</v>
      </c>
      <c r="E11026" t="s">
        <v>33501</v>
      </c>
    </row>
    <row r="11027" spans="1:5">
      <c r="A11027" t="s">
        <v>6</v>
      </c>
      <c r="B11027" t="s">
        <v>11032</v>
      </c>
      <c r="C11027">
        <f>HYPERLINK("C:\Users\franc\OneDrive\Documentos\MALENTIN KARIME\BANCO ESTADO\2012 DEPTO ESCRITURAS fata\NOTARIA 2009\REMATES\CUEVAS.doc", "Abrir Documento")</f>
        <v>0</v>
      </c>
      <c r="D11027" t="s">
        <v>23500</v>
      </c>
      <c r="E11027" t="s">
        <v>33502</v>
      </c>
    </row>
    <row r="11028" spans="1:5">
      <c r="A11028" t="s">
        <v>6</v>
      </c>
      <c r="B11028" t="s">
        <v>11033</v>
      </c>
      <c r="C11028">
        <f>HYPERLINK("C:\Users\franc\OneDrive\Documentos\MALENTIN KARIME\BANCO ESTADO\2012 DEPTO ESCRITURAS fata\NOTARIA 2009\REGLAMENTO CO-PROPIEDAD\REGLAMENTO Loteo Alto La Chimba.doc", "Abrir Documento")</f>
        <v>0</v>
      </c>
      <c r="D11028" t="s">
        <v>23500</v>
      </c>
      <c r="E11028" t="s">
        <v>33503</v>
      </c>
    </row>
    <row r="11029" spans="1:5">
      <c r="A11029" t="s">
        <v>6</v>
      </c>
      <c r="B11029" t="s">
        <v>11034</v>
      </c>
      <c r="C11029">
        <f>HYPERLINK("C:\Users\franc\OneDrive\Documentos\MALENTIN KARIME\BANCO ESTADO\2012 DEPTO ESCRITURAS fata\NOTARIA 2009\REDUCCION\VALLE_LIMARI_AUMENTO_K[1].doc", "Abrir Documento")</f>
        <v>0</v>
      </c>
      <c r="D11029" t="s">
        <v>23500</v>
      </c>
      <c r="E11029" t="s">
        <v>33504</v>
      </c>
    </row>
    <row r="11030" spans="1:5">
      <c r="A11030" t="s">
        <v>6</v>
      </c>
      <c r="B11030" t="s">
        <v>11035</v>
      </c>
      <c r="C11030">
        <f>HYPERLINK("C:\Users\franc\OneDrive\Documentos\MALENTIN KARIME\BANCO ESTADO\2012 DEPTO ESCRITURAS fata\NOTARIA 2009\REDUCCION\ROSITA DE PUNITAQUI.doc", "Abrir Documento")</f>
        <v>0</v>
      </c>
      <c r="D11030" t="s">
        <v>23500</v>
      </c>
      <c r="E11030" t="s">
        <v>33505</v>
      </c>
    </row>
    <row r="11031" spans="1:5">
      <c r="A11031" t="s">
        <v>6</v>
      </c>
      <c r="B11031" t="s">
        <v>11036</v>
      </c>
      <c r="C11031">
        <f>HYPERLINK("C:\Users\franc\OneDrive\Documentos\MALENTIN KARIME\BANCO ESTADO\2012 DEPTO ESCRITURAS fata\NOTARIA 2009\REDUCCION\RESOLUCION MODIFICACION (COLOMBRES).doc", "Abrir Documento")</f>
        <v>0</v>
      </c>
      <c r="D11031" t="s">
        <v>23500</v>
      </c>
      <c r="E11031" t="s">
        <v>33506</v>
      </c>
    </row>
    <row r="11032" spans="1:5">
      <c r="A11032" t="s">
        <v>6</v>
      </c>
      <c r="B11032" t="s">
        <v>11037</v>
      </c>
      <c r="C11032">
        <f>HYPERLINK("C:\Users\franc\OneDrive\Documentos\MALENTIN KARIME\BANCO ESTADO\2012 DEPTO ESCRITURAS fata\NOTARIA 2009\REDUCCION\PICKERT ARQUITECTOS S.A..doc", "Abrir Documento")</f>
        <v>0</v>
      </c>
      <c r="D11032" t="s">
        <v>23500</v>
      </c>
      <c r="E11032" t="s">
        <v>33507</v>
      </c>
    </row>
    <row r="11033" spans="1:5">
      <c r="A11033" t="s">
        <v>6</v>
      </c>
      <c r="B11033" t="s">
        <v>11038</v>
      </c>
      <c r="C11033">
        <f>HYPERLINK("C:\Users\franc\OneDrive\Documentos\MALENTIN KARIME\BANCO ESTADO\2012 DEPTO ESCRITURAS fata\NOTARIA 2009\REDUCCION\PICKERT ARQUITECTOS S.A. FINAL.doc", "Abrir Documento")</f>
        <v>0</v>
      </c>
      <c r="D11033" t="s">
        <v>23500</v>
      </c>
      <c r="E11033" t="s">
        <v>33508</v>
      </c>
    </row>
    <row r="11034" spans="1:5">
      <c r="A11034" t="s">
        <v>6</v>
      </c>
      <c r="B11034" t="s">
        <v>11039</v>
      </c>
      <c r="C11034">
        <f>HYPERLINK("C:\Users\franc\OneDrive\Documentos\MALENTIN KARIME\BANCO ESTADO\2012 DEPTO ESCRITURAS fata\NOTARIA 2009\REDUCCION\PERMISO EDIFICACION.doc", "Abrir Documento")</f>
        <v>0</v>
      </c>
      <c r="D11034" t="s">
        <v>23500</v>
      </c>
      <c r="E11034" t="s">
        <v>33509</v>
      </c>
    </row>
    <row r="11035" spans="1:5">
      <c r="A11035" t="s">
        <v>6</v>
      </c>
      <c r="B11035" t="s">
        <v>11040</v>
      </c>
      <c r="C11035">
        <f>HYPERLINK("C:\Users\franc\OneDrive\Documentos\MALENTIN KARIME\BANCO ESTADO\2012 DEPTO ESCRITURAS fata\NOTARIA 2009\REDUCCION\PERMISO EDIFICACION  PROY. INMOBILIARIOS.doc", "Abrir Documento")</f>
        <v>0</v>
      </c>
      <c r="D11035" t="s">
        <v>23500</v>
      </c>
      <c r="E11035" t="s">
        <v>33510</v>
      </c>
    </row>
    <row r="11036" spans="1:5">
      <c r="A11036" t="s">
        <v>6</v>
      </c>
      <c r="B11036" t="s">
        <v>11041</v>
      </c>
      <c r="C11036">
        <f>HYPERLINK("C:\Users\franc\OneDrive\Documentos\MALENTIN KARIME\BANCO ESTADO\2012 DEPTO ESCRITURAS fata\NOTARIA 2009\REDUCCION\OCHOTIERRAS (RONALD CUELLAR).doc", "Abrir Documento")</f>
        <v>0</v>
      </c>
      <c r="D11036" t="s">
        <v>23500</v>
      </c>
      <c r="E11036" t="s">
        <v>33511</v>
      </c>
    </row>
    <row r="11037" spans="1:5">
      <c r="A11037" t="s">
        <v>6</v>
      </c>
      <c r="B11037" t="s">
        <v>11042</v>
      </c>
      <c r="C11037">
        <f>HYPERLINK("C:\Users\franc\OneDrive\Documentos\MALENTIN KARIME\BANCO ESTADO\2012 DEPTO ESCRITURAS fata\NOTARIA 2009\REDUCCION\JUNTA VIGILANCIA RIO HUATULAME.doc", "Abrir Documento")</f>
        <v>0</v>
      </c>
      <c r="D11037" t="s">
        <v>23500</v>
      </c>
      <c r="E11037" t="s">
        <v>33512</v>
      </c>
    </row>
    <row r="11038" spans="1:5">
      <c r="A11038" t="s">
        <v>6</v>
      </c>
      <c r="B11038" t="s">
        <v>11043</v>
      </c>
      <c r="C11038">
        <f>HYPERLINK("C:\Users\franc\OneDrive\Documentos\MALENTIN KARIME\BANCO ESTADO\2012 DEPTO ESCRITURAS fata\NOTARIA 2009\REDUCCION\DECRETO 239 FUNDO CHAÑARAL BAJO SUR.doc", "Abrir Documento")</f>
        <v>0</v>
      </c>
      <c r="D11038" t="s">
        <v>23500</v>
      </c>
      <c r="E11038" t="s">
        <v>33513</v>
      </c>
    </row>
    <row r="11039" spans="1:5">
      <c r="A11039" t="s">
        <v>6</v>
      </c>
      <c r="B11039" t="s">
        <v>11044</v>
      </c>
      <c r="C11039">
        <f>HYPERLINK("C:\Users\franc\OneDrive\Documentos\MALENTIN KARIME\BANCO ESTADO\2012 DEPTO ESCRITURAS fata\NOTARIA 2009\REDUCCION\CLUB DEPORTIVO MAGALLANES (SOTAQUI) - CHILE DEPORTES.doc", "Abrir Documento")</f>
        <v>0</v>
      </c>
      <c r="D11039" t="s">
        <v>23500</v>
      </c>
      <c r="E11039" t="s">
        <v>33514</v>
      </c>
    </row>
    <row r="11040" spans="1:5">
      <c r="A11040" t="s">
        <v>6</v>
      </c>
      <c r="B11040" t="s">
        <v>11045</v>
      </c>
      <c r="C11040">
        <f>HYPERLINK("C:\Users\franc\OneDrive\Documentos\MALENTIN KARIME\BANCO ESTADO\2012 DEPTO ESCRITURAS fata\NOTARIA 2009\REDUCCION\CERTIFICADO AUTORIZ MUNICI (EUGENIO CORTES CAROCA).doc", "Abrir Documento")</f>
        <v>0</v>
      </c>
      <c r="D11040" t="s">
        <v>23500</v>
      </c>
      <c r="E11040" t="s">
        <v>33515</v>
      </c>
    </row>
    <row r="11041" spans="1:5">
      <c r="A11041" t="s">
        <v>6</v>
      </c>
      <c r="B11041" t="s">
        <v>11046</v>
      </c>
      <c r="C11041">
        <f>HYPERLINK("C:\Users\franc\OneDrive\Documentos\MALENTIN KARIME\BANCO ESTADO\2012 DEPTO ESCRITURAS fata\NOTARIA 2009\REDUCCION\BOMBEROS OVALLE.doc", "Abrir Documento")</f>
        <v>0</v>
      </c>
      <c r="D11041" t="s">
        <v>23500</v>
      </c>
      <c r="E11041" t="s">
        <v>33516</v>
      </c>
    </row>
    <row r="11042" spans="1:5">
      <c r="A11042" t="s">
        <v>6</v>
      </c>
      <c r="B11042" t="s">
        <v>11047</v>
      </c>
      <c r="C11042">
        <f>HYPERLINK("C:\Users\franc\OneDrive\Documentos\MALENTIN KARIME\BANCO ESTADO\2012 DEPTO ESCRITURAS fata\NOTARIA 2009\REDUCCION\ACTA MATRIZ TALQUILLA.doc", "Abrir Documento")</f>
        <v>0</v>
      </c>
      <c r="D11042" t="s">
        <v>23500</v>
      </c>
      <c r="E11042" t="s">
        <v>33517</v>
      </c>
    </row>
    <row r="11043" spans="1:5">
      <c r="A11043" t="s">
        <v>6</v>
      </c>
      <c r="B11043" t="s">
        <v>11048</v>
      </c>
      <c r="C11043">
        <f>HYPERLINK("C:\Users\franc\OneDrive\Documentos\MALENTIN KARIME\BANCO ESTADO\2012 DEPTO ESCRITURAS fata\NOTARIA 2009\REDUCCION\ACTA JUNTA ASOC. CANAL EMBALSE COGOTI.doc", "Abrir Documento")</f>
        <v>0</v>
      </c>
      <c r="D11043" t="s">
        <v>23500</v>
      </c>
      <c r="E11043" t="s">
        <v>33518</v>
      </c>
    </row>
    <row r="11044" spans="1:5">
      <c r="A11044" t="s">
        <v>6</v>
      </c>
      <c r="B11044" t="s">
        <v>11049</v>
      </c>
      <c r="C11044">
        <f>HYPERLINK("C:\Users\franc\OneDrive\Documentos\MALENTIN KARIME\BANCO ESTADO\2012 DEPTO ESCRITURAS fata\NOTARIA 2009\REDUCCION\ACTA JUNTA ASOC. CANAL EMBALSE COGOTI  LIBRO.doc", "Abrir Documento")</f>
        <v>0</v>
      </c>
      <c r="D11044" t="s">
        <v>23500</v>
      </c>
      <c r="E11044" t="s">
        <v>33519</v>
      </c>
    </row>
    <row r="11045" spans="1:5">
      <c r="A11045" t="s">
        <v>6</v>
      </c>
      <c r="B11045" t="s">
        <v>11050</v>
      </c>
      <c r="C11045">
        <f>HYPERLINK("C:\Users\franc\OneDrive\Documentos\MALENTIN KARIME\BANCO ESTADO\2012 DEPTO ESCRITURAS fata\NOTARIA 2009\REDUCCION\ACTA INVERSIONES TALQUILLA.doc", "Abrir Documento")</f>
        <v>0</v>
      </c>
      <c r="D11045" t="s">
        <v>23500</v>
      </c>
      <c r="E11045" t="s">
        <v>33520</v>
      </c>
    </row>
    <row r="11046" spans="1:5">
      <c r="A11046" t="s">
        <v>6</v>
      </c>
      <c r="B11046" t="s">
        <v>11051</v>
      </c>
      <c r="C11046">
        <f>HYPERLINK("C:\Users\franc\OneDrive\Documentos\MALENTIN KARIME\BANCO ESTADO\2012 DEPTO ESCRITURAS fata\NOTARIA 2009\REDUCCION\ACTA EXPORTADORA VALLE LIMARI.doc", "Abrir Documento")</f>
        <v>0</v>
      </c>
      <c r="D11046" t="s">
        <v>23500</v>
      </c>
      <c r="E11046" t="s">
        <v>33521</v>
      </c>
    </row>
    <row r="11047" spans="1:5">
      <c r="A11047" t="s">
        <v>6</v>
      </c>
      <c r="B11047" t="s">
        <v>11052</v>
      </c>
      <c r="C11047">
        <f>HYPERLINK("C:\Users\franc\OneDrive\Documentos\MALENTIN KARIME\BANCO ESTADO\2012 DEPTO ESCRITURAS fata\NOTARIA 2009\REDUCCION\ACTA DOÑA ADRIANA (ARTIGUES)Ç.doc", "Abrir Documento")</f>
        <v>0</v>
      </c>
      <c r="D11047" t="s">
        <v>23500</v>
      </c>
      <c r="E11047" t="s">
        <v>33522</v>
      </c>
    </row>
    <row r="11048" spans="1:5">
      <c r="A11048" t="s">
        <v>6</v>
      </c>
      <c r="B11048" t="s">
        <v>11053</v>
      </c>
      <c r="C11048">
        <f>HYPERLINK("C:\Users\franc\OneDrive\Documentos\MALENTIN KARIME\BANCO ESTADO\2012 DEPTO ESCRITURAS fata\NOTARIA 2009\RECTIFICACION\VERONICA MELLA.doc", "Abrir Documento")</f>
        <v>0</v>
      </c>
      <c r="D11048" t="s">
        <v>23500</v>
      </c>
      <c r="E11048" t="s">
        <v>33523</v>
      </c>
    </row>
    <row r="11049" spans="1:5">
      <c r="A11049" t="s">
        <v>6</v>
      </c>
      <c r="B11049" t="s">
        <v>11054</v>
      </c>
      <c r="C11049">
        <f>HYPERLINK("C:\Users\franc\OneDrive\Documentos\MALENTIN KARIME\BANCO ESTADO\2012 DEPTO ESCRITURAS fata\NOTARIA 2009\RECTIFICACION\SOCIEDAD VERANEO PACIVICO.doc", "Abrir Documento")</f>
        <v>0</v>
      </c>
      <c r="D11049" t="s">
        <v>23500</v>
      </c>
      <c r="E11049" t="s">
        <v>33524</v>
      </c>
    </row>
    <row r="11050" spans="1:5">
      <c r="A11050" t="s">
        <v>6</v>
      </c>
      <c r="B11050" t="s">
        <v>11055</v>
      </c>
      <c r="C11050">
        <f>HYPERLINK("C:\Users\franc\OneDrive\Documentos\MALENTIN KARIME\BANCO ESTADO\2012 DEPTO ESCRITURAS fata\NOTARIA 2009\RECTIFICACION\SERGIO CORTES.doc", "Abrir Documento")</f>
        <v>0</v>
      </c>
      <c r="D11050" t="s">
        <v>23500</v>
      </c>
      <c r="E11050" t="s">
        <v>33525</v>
      </c>
    </row>
    <row r="11051" spans="1:5">
      <c r="A11051" t="s">
        <v>6</v>
      </c>
      <c r="B11051" t="s">
        <v>11056</v>
      </c>
      <c r="C11051">
        <f>HYPERLINK("C:\Users\franc\OneDrive\Documentos\MALENTIN KARIME\BANCO ESTADO\2012 DEPTO ESCRITURAS fata\NOTARIA 2009\RECTIFICACION\Rodrigo Mundaca Munda.doc", "Abrir Documento")</f>
        <v>0</v>
      </c>
      <c r="D11051" t="s">
        <v>23500</v>
      </c>
      <c r="E11051" t="s">
        <v>33526</v>
      </c>
    </row>
    <row r="11052" spans="1:5">
      <c r="A11052" t="s">
        <v>6</v>
      </c>
      <c r="B11052" t="s">
        <v>11057</v>
      </c>
      <c r="C11052">
        <f>HYPERLINK("C:\Users\franc\OneDrive\Documentos\MALENTIN KARIME\BANCO ESTADO\2012 DEPTO ESCRITURAS fata\NOTARIA 2009\RECTIFICACION\RIGOBERTO GUTIERREZ (OSSANDON).doc", "Abrir Documento")</f>
        <v>0</v>
      </c>
      <c r="D11052" t="s">
        <v>23500</v>
      </c>
      <c r="E11052" t="s">
        <v>33527</v>
      </c>
    </row>
    <row r="11053" spans="1:5">
      <c r="A11053" t="s">
        <v>6</v>
      </c>
      <c r="B11053" t="s">
        <v>11058</v>
      </c>
      <c r="C11053">
        <f>HYPERLINK("C:\Users\franc\OneDrive\Documentos\MALENTIN KARIME\BANCO ESTADO\2012 DEPTO ESCRITURAS fata\NOTARIA 2009\RECTIFICACION\RICARDO JARA A ELIZABETH PIZARRO.doc", "Abrir Documento")</f>
        <v>0</v>
      </c>
      <c r="D11053" t="s">
        <v>23500</v>
      </c>
      <c r="E11053" t="s">
        <v>33528</v>
      </c>
    </row>
    <row r="11054" spans="1:5">
      <c r="A11054" t="s">
        <v>6</v>
      </c>
      <c r="B11054" t="s">
        <v>11059</v>
      </c>
      <c r="C11054">
        <f>HYPERLINK("C:\Users\franc\OneDrive\Documentos\MALENTIN KARIME\BANCO ESTADO\2012 DEPTO ESCRITURAS fata\NOTARIA 2009\RECTIFICACION\RECTIFICACION COMPRAVENTA TIA SUSANA.doc", "Abrir Documento")</f>
        <v>0</v>
      </c>
      <c r="D11054" t="s">
        <v>23500</v>
      </c>
      <c r="E11054" t="s">
        <v>33529</v>
      </c>
    </row>
    <row r="11055" spans="1:5">
      <c r="A11055" t="s">
        <v>6</v>
      </c>
      <c r="B11055" t="s">
        <v>11060</v>
      </c>
      <c r="C11055">
        <f>HYPERLINK("C:\Users\franc\OneDrive\Documentos\MALENTIN KARIME\BANCO ESTADO\2012 DEPTO ESCRITURAS fata\NOTARIA 2009\RECTIFICACION\RECT. ESCRITURA CONSULTORA.doc", "Abrir Documento")</f>
        <v>0</v>
      </c>
      <c r="D11055" t="s">
        <v>23500</v>
      </c>
      <c r="E11055" t="s">
        <v>33530</v>
      </c>
    </row>
    <row r="11056" spans="1:5">
      <c r="A11056" t="s">
        <v>6</v>
      </c>
      <c r="B11056" t="s">
        <v>11061</v>
      </c>
      <c r="C11056">
        <f>HYPERLINK("C:\Users\franc\OneDrive\Documentos\MALENTIN KARIME\BANCO ESTADO\2012 DEPTO ESCRITURAS fata\NOTARIA 2009\RECTIFICACION\PEDRO MANZANO JAIME.doc", "Abrir Documento")</f>
        <v>0</v>
      </c>
      <c r="D11056" t="s">
        <v>23500</v>
      </c>
      <c r="E11056" t="s">
        <v>33531</v>
      </c>
    </row>
    <row r="11057" spans="1:5">
      <c r="A11057" t="s">
        <v>6</v>
      </c>
      <c r="B11057" t="s">
        <v>11062</v>
      </c>
      <c r="C11057">
        <f>HYPERLINK("C:\Users\franc\OneDrive\Documentos\MALENTIN KARIME\BANCO ESTADO\2012 DEPTO ESCRITURAS fata\NOTARIA 2009\RECTIFICACION\PATRICIA ALFARO.doc", "Abrir Documento")</f>
        <v>0</v>
      </c>
      <c r="D11057" t="s">
        <v>23500</v>
      </c>
      <c r="E11057" t="s">
        <v>33532</v>
      </c>
    </row>
    <row r="11058" spans="1:5">
      <c r="A11058" t="s">
        <v>6</v>
      </c>
      <c r="B11058" t="s">
        <v>11063</v>
      </c>
      <c r="C11058">
        <f>HYPERLINK("C:\Users\franc\OneDrive\Documentos\MALENTIN KARIME\BANCO ESTADO\2012 DEPTO ESCRITURAS fata\NOTARIA 2009\RECTIFICACION\MISAEL RODRIGUEZ.doc", "Abrir Documento")</f>
        <v>0</v>
      </c>
      <c r="D11058" t="s">
        <v>23500</v>
      </c>
      <c r="E11058" t="s">
        <v>33533</v>
      </c>
    </row>
    <row r="11059" spans="1:5">
      <c r="A11059" t="s">
        <v>6</v>
      </c>
      <c r="B11059" t="s">
        <v>11064</v>
      </c>
      <c r="C11059">
        <f>HYPERLINK("C:\Users\franc\OneDrive\Documentos\MALENTIN KARIME\BANCO ESTADO\2012 DEPTO ESCRITURAS fata\NOTARIA 2009\RECTIFICACION\MIGUEL GODOY (ESTADO CIVIL).doc", "Abrir Documento")</f>
        <v>0</v>
      </c>
      <c r="D11059" t="s">
        <v>23500</v>
      </c>
      <c r="E11059" t="s">
        <v>33534</v>
      </c>
    </row>
    <row r="11060" spans="1:5">
      <c r="A11060" t="s">
        <v>6</v>
      </c>
      <c r="B11060" t="s">
        <v>11065</v>
      </c>
      <c r="C11060">
        <f>HYPERLINK("C:\Users\franc\OneDrive\Documentos\MALENTIN KARIME\BANCO ESTADO\2012 DEPTO ESCRITURAS fata\NOTARIA 2009\RECTIFICACION\JORGE VERGARA (DERECHO REAL).doc", "Abrir Documento")</f>
        <v>0</v>
      </c>
      <c r="D11060" t="s">
        <v>23500</v>
      </c>
      <c r="E11060" t="s">
        <v>33535</v>
      </c>
    </row>
    <row r="11061" spans="1:5">
      <c r="A11061" t="s">
        <v>6</v>
      </c>
      <c r="B11061" t="s">
        <v>11066</v>
      </c>
      <c r="C11061">
        <f>HYPERLINK("C:\Users\franc\OneDrive\Documentos\MALENTIN KARIME\BANCO ESTADO\2012 DEPTO ESCRITURAS fata\NOTARIA 2009\RECTIFICACION\I N F O R M E   DE   T I T U L O S.doc", "Abrir Documento")</f>
        <v>0</v>
      </c>
      <c r="D11061" t="s">
        <v>23500</v>
      </c>
      <c r="E11061" t="s">
        <v>33536</v>
      </c>
    </row>
    <row r="11062" spans="1:5">
      <c r="A11062" t="s">
        <v>6</v>
      </c>
      <c r="B11062" t="s">
        <v>11067</v>
      </c>
      <c r="C11062">
        <f>HYPERLINK("C:\Users\franc\OneDrive\Documentos\MALENTIN KARIME\BANCO ESTADO\2012 DEPTO ESCRITURAS fata\NOTARIA 2009\RECTIFICACION\FORTUNATO GONZALEZ A JOSE VEGA (DOMINIO).doc", "Abrir Documento")</f>
        <v>0</v>
      </c>
      <c r="D11062" t="s">
        <v>23500</v>
      </c>
      <c r="E11062" t="s">
        <v>33537</v>
      </c>
    </row>
    <row r="11063" spans="1:5">
      <c r="A11063" t="s">
        <v>6</v>
      </c>
      <c r="B11063" t="s">
        <v>11068</v>
      </c>
      <c r="C11063">
        <f>HYPERLINK("C:\Users\franc\OneDrive\Documentos\MALENTIN KARIME\BANCO ESTADO\2012 DEPTO ESCRITURAS fata\NOTARIA 2009\RECTIFICACION\Ema Jaramillo y Claudia ALvarez.DOC", "Abrir Documento")</f>
        <v>0</v>
      </c>
      <c r="D11063" t="s">
        <v>23500</v>
      </c>
      <c r="E11063" t="s">
        <v>33538</v>
      </c>
    </row>
    <row r="11064" spans="1:5">
      <c r="A11064" t="s">
        <v>6</v>
      </c>
      <c r="B11064" t="s">
        <v>11069</v>
      </c>
      <c r="C11064">
        <f>HYPERLINK("C:\Users\franc\OneDrive\Documentos\MALENTIN KARIME\BANCO ESTADO\2012 DEPTO ESCRITURAS fata\NOTARIA 2009\RECTIFICACION\EMA JARAMILLO A CLAUDIA ALVAREZ Y OTRA.doc", "Abrir Documento")</f>
        <v>0</v>
      </c>
      <c r="D11064" t="s">
        <v>23500</v>
      </c>
      <c r="E11064" t="s">
        <v>33539</v>
      </c>
    </row>
    <row r="11065" spans="1:5">
      <c r="A11065" t="s">
        <v>6</v>
      </c>
      <c r="B11065" t="s">
        <v>11070</v>
      </c>
      <c r="C11065">
        <f>HYPERLINK("C:\Users\franc\OneDrive\Documentos\MALENTIN KARIME\BANCO ESTADO\2012 DEPTO ESCRITURAS fata\NOTARIA 2009\RECTIFICACION\ANA MARIA MONDACA BOU A INMOB, LOS LAGOS.doc", "Abrir Documento")</f>
        <v>0</v>
      </c>
      <c r="D11065" t="s">
        <v>23500</v>
      </c>
      <c r="E11065" t="s">
        <v>33540</v>
      </c>
    </row>
    <row r="11066" spans="1:5">
      <c r="A11066" t="s">
        <v>6</v>
      </c>
      <c r="B11066" t="s">
        <v>11071</v>
      </c>
      <c r="C11066">
        <f>HYPERLINK("C:\Users\franc\OneDrive\Documentos\MALENTIN KARIME\BANCO ESTADO\2012 DEPTO ESCRITURAS fata\NOTARIA 2009\RECTIFICACION\ANA LEMUS (REC DESLIDNES).doc", "Abrir Documento")</f>
        <v>0</v>
      </c>
      <c r="D11066" t="s">
        <v>23500</v>
      </c>
      <c r="E11066" t="s">
        <v>33541</v>
      </c>
    </row>
    <row r="11067" spans="1:5">
      <c r="A11067" t="s">
        <v>6</v>
      </c>
      <c r="B11067" t="s">
        <v>11072</v>
      </c>
      <c r="C11067">
        <f>HYPERLINK("C:\Users\franc\OneDrive\Documentos\MALENTIN KARIME\BANCO ESTADO\2012 DEPTO ESCRITURAS fata\NOTARIA 2009\RECTIFICACION\ALDO CARVAJAL.doc", "Abrir Documento")</f>
        <v>0</v>
      </c>
      <c r="D11067" t="s">
        <v>23500</v>
      </c>
      <c r="E11067" t="s">
        <v>33542</v>
      </c>
    </row>
    <row r="11068" spans="1:5">
      <c r="A11068" t="s">
        <v>6</v>
      </c>
      <c r="B11068" t="s">
        <v>11073</v>
      </c>
      <c r="C11068">
        <f>HYPERLINK("C:\Users\franc\OneDrive\Documentos\MALENTIN KARIME\BANCO ESTADO\2012 DEPTO ESCRITURAS fata\NOTARIA 2009\RECTIFICACION\ADELINA PIZARRO Y OTR. NELSON PIZARRO ARAYA.doc", "Abrir Documento")</f>
        <v>0</v>
      </c>
      <c r="D11068" t="s">
        <v>23500</v>
      </c>
      <c r="E11068" t="s">
        <v>33543</v>
      </c>
    </row>
    <row r="11069" spans="1:5">
      <c r="A11069" t="s">
        <v>6</v>
      </c>
      <c r="B11069" t="s">
        <v>11074</v>
      </c>
      <c r="C11069">
        <f>HYPERLINK("C:\Users\franc\OneDrive\Documentos\MALENTIN KARIME\BANCO ESTADO\2012 DEPTO ESCRITURAS fata\NOTARIA 2009\RECTIFICACION\ADELINA PIZARRO Y OTR. JORGE PIZARRO.doc", "Abrir Documento")</f>
        <v>0</v>
      </c>
      <c r="D11069" t="s">
        <v>23500</v>
      </c>
      <c r="E11069" t="s">
        <v>33544</v>
      </c>
    </row>
    <row r="11070" spans="1:5">
      <c r="A11070" t="s">
        <v>6</v>
      </c>
      <c r="B11070" t="s">
        <v>11075</v>
      </c>
      <c r="C11070">
        <f>HYPERLINK("C:\Users\franc\OneDrive\Documentos\MALENTIN KARIME\BANCO ESTADO\2012 DEPTO ESCRITURAS fata\NOTARIA 2009\RECTIFICACION\ADELINA PIZARRO Y OTR. ADELINA PIZARRO.doc", "Abrir Documento")</f>
        <v>0</v>
      </c>
      <c r="D11070" t="s">
        <v>23500</v>
      </c>
      <c r="E11070" t="s">
        <v>33545</v>
      </c>
    </row>
    <row r="11071" spans="1:5">
      <c r="A11071" t="s">
        <v>6</v>
      </c>
      <c r="B11071" t="s">
        <v>11076</v>
      </c>
      <c r="C11071">
        <f>HYPERLINK("C:\Users\franc\OneDrive\Documentos\MALENTIN KARIME\BANCO ESTADO\2012 DEPTO ESCRITURAS fata\NOTARIA 2009\RECONOCIMIENTO DEUDA\MARIO ARACENA CARVAJAL.doc", "Abrir Documento")</f>
        <v>0</v>
      </c>
      <c r="D11071" t="s">
        <v>23500</v>
      </c>
      <c r="E11071" t="s">
        <v>33546</v>
      </c>
    </row>
    <row r="11072" spans="1:5">
      <c r="A11072" t="s">
        <v>6</v>
      </c>
      <c r="B11072" t="s">
        <v>11077</v>
      </c>
      <c r="C11072">
        <f>HYPERLINK("C:\Users\franc\OneDrive\Documentos\MALENTIN KARIME\BANCO ESTADO\2012 DEPTO ESCRITURAS fata\NOTARIA 2009\RECONOCIMIENTO DEUDA\LUIS ULLOA.doc", "Abrir Documento")</f>
        <v>0</v>
      </c>
      <c r="D11072" t="s">
        <v>23500</v>
      </c>
      <c r="E11072" t="s">
        <v>33547</v>
      </c>
    </row>
    <row r="11073" spans="1:5">
      <c r="A11073" t="s">
        <v>6</v>
      </c>
      <c r="B11073" t="s">
        <v>11078</v>
      </c>
      <c r="C11073">
        <f>HYPERLINK("C:\Users\franc\OneDrive\Documentos\MALENTIN KARIME\BANCO ESTADO\2012 DEPTO ESCRITURAS fata\NOTARIA 2009\RAUL SALAMANCA\SOC. LAS MERCEDEES A ENAMI.doc", "Abrir Documento")</f>
        <v>0</v>
      </c>
      <c r="D11073" t="s">
        <v>23500</v>
      </c>
      <c r="E11073" t="s">
        <v>33548</v>
      </c>
    </row>
    <row r="11074" spans="1:5">
      <c r="A11074" t="s">
        <v>6</v>
      </c>
      <c r="B11074" t="s">
        <v>11079</v>
      </c>
      <c r="C11074">
        <f>HYPERLINK("C:\Users\franc\OneDrive\Documentos\MALENTIN KARIME\BANCO ESTADO\2012 DEPTO ESCRITURAS fata\NOTARIA 2009\RAUL SALAMANCA\SOC. GLOCESA LTDA..doc", "Abrir Documento")</f>
        <v>0</v>
      </c>
      <c r="D11074" t="s">
        <v>23500</v>
      </c>
      <c r="E11074" t="s">
        <v>33549</v>
      </c>
    </row>
    <row r="11075" spans="1:5">
      <c r="A11075" t="s">
        <v>6</v>
      </c>
      <c r="B11075" t="s">
        <v>11080</v>
      </c>
      <c r="C11075">
        <f>HYPERLINK("C:\Users\franc\OneDrive\Documentos\MALENTIN KARIME\BANCO ESTADO\2012 DEPTO ESCRITURAS fata\NOTARIA 2009\RAUL SALAMANCA\SOC. FELIXAN LTDA..doc", "Abrir Documento")</f>
        <v>0</v>
      </c>
      <c r="D11075" t="s">
        <v>23500</v>
      </c>
      <c r="E11075" t="s">
        <v>33550</v>
      </c>
    </row>
    <row r="11076" spans="1:5">
      <c r="A11076" t="s">
        <v>6</v>
      </c>
      <c r="B11076" t="s">
        <v>11081</v>
      </c>
      <c r="C11076">
        <f>HYPERLINK("C:\Users\franc\OneDrive\Documentos\MALENTIN KARIME\BANCO ESTADO\2012 DEPTO ESCRITURAS fata\NOTARIA 2009\RAUL SALAMANCA\SOC. CERRILLOS A RODRIGO HERRERA (SERVIDUM).doc", "Abrir Documento")</f>
        <v>0</v>
      </c>
      <c r="D11076" t="s">
        <v>23500</v>
      </c>
      <c r="E11076" t="s">
        <v>33551</v>
      </c>
    </row>
    <row r="11077" spans="1:5">
      <c r="A11077" t="s">
        <v>6</v>
      </c>
      <c r="B11077" t="s">
        <v>11082</v>
      </c>
      <c r="C11077">
        <f>HYPERLINK("C:\Users\franc\OneDrive\Documentos\MALENTIN KARIME\BANCO ESTADO\2012 DEPTO ESCRITURAS fata\NOTARIA 2009\RAUL SALAMANCA\SOC. CANTA RANA S.A. A MARCELA DIEZ (TRANSCCION EXTRAJDICIAL.doc", "Abrir Documento")</f>
        <v>0</v>
      </c>
      <c r="D11077" t="s">
        <v>23500</v>
      </c>
      <c r="E11077" t="s">
        <v>33552</v>
      </c>
    </row>
    <row r="11078" spans="1:5">
      <c r="A11078" t="s">
        <v>6</v>
      </c>
      <c r="B11078" t="s">
        <v>11083</v>
      </c>
      <c r="C11078">
        <f>HYPERLINK("C:\Users\franc\OneDrive\Documentos\MALENTIN KARIME\BANCO ESTADO\2012 DEPTO ESCRITURAS fata\NOTARIA 2009\RAUL SALAMANCA\soc fELIXAN LTDa. FINAL.doc", "Abrir Documento")</f>
        <v>0</v>
      </c>
      <c r="D11078" t="s">
        <v>23500</v>
      </c>
      <c r="E11078" t="s">
        <v>33553</v>
      </c>
    </row>
    <row r="11079" spans="1:5">
      <c r="A11079" t="s">
        <v>6</v>
      </c>
      <c r="B11079" t="s">
        <v>11084</v>
      </c>
      <c r="C11079">
        <f>HYPERLINK("C:\Users\franc\OneDrive\Documentos\MALENTIN KARIME\BANCO ESTADO\2012 DEPTO ESCRITURAS fata\NOTARIA 2009\RAUL SALAMANCA\ORIEL CISTERNAS A SOC. RENOVADA DE INVERS (HERRADURA).doc", "Abrir Documento")</f>
        <v>0</v>
      </c>
      <c r="D11079" t="s">
        <v>23500</v>
      </c>
      <c r="E11079" t="s">
        <v>33554</v>
      </c>
    </row>
    <row r="11080" spans="1:5">
      <c r="A11080" t="s">
        <v>6</v>
      </c>
      <c r="B11080" t="s">
        <v>11085</v>
      </c>
      <c r="C11080">
        <f>HYPERLINK("C:\Users\franc\OneDrive\Documentos\MALENTIN KARIME\BANCO ESTADO\2012 DEPTO ESCRITURAS fata\NOTARIA 2009\RAUL SALAMANCA\ORIEL CISTERNAS A SOC. RENOV. DE INVERS. (ROCIO).doc", "Abrir Documento")</f>
        <v>0</v>
      </c>
      <c r="D11080" t="s">
        <v>23500</v>
      </c>
      <c r="E11080" t="s">
        <v>33555</v>
      </c>
    </row>
    <row r="11081" spans="1:5">
      <c r="A11081" t="s">
        <v>6</v>
      </c>
      <c r="B11081" t="s">
        <v>11086</v>
      </c>
      <c r="C11081">
        <f>HYPERLINK("C:\Users\franc\OneDrive\Documentos\MALENTIN KARIME\BANCO ESTADO\2012 DEPTO ESCRITURAS fata\NOTARIA 2009\RAUL SALAMANCA\ORIEL CISTERNAS A SOC. RENOV. DE INVERS. (ESPERANZA).doc", "Abrir Documento")</f>
        <v>0</v>
      </c>
      <c r="D11081" t="s">
        <v>23500</v>
      </c>
      <c r="E11081" t="s">
        <v>33556</v>
      </c>
    </row>
    <row r="11082" spans="1:5">
      <c r="A11082" t="s">
        <v>6</v>
      </c>
      <c r="B11082" t="s">
        <v>11087</v>
      </c>
      <c r="C11082">
        <f>HYPERLINK("C:\Users\franc\OneDrive\Documentos\MALENTIN KARIME\BANCO ESTADO\2012 DEPTO ESCRITURAS fata\NOTARIA 2009\RAUL SALAMANCA\ORIEL CISTERNAS A SOC. RENOV. DE INVERS. (DANY).doc", "Abrir Documento")</f>
        <v>0</v>
      </c>
      <c r="D11082" t="s">
        <v>23500</v>
      </c>
      <c r="E11082" t="s">
        <v>33557</v>
      </c>
    </row>
    <row r="11083" spans="1:5">
      <c r="A11083" t="s">
        <v>6</v>
      </c>
      <c r="B11083" t="s">
        <v>11088</v>
      </c>
      <c r="C11083">
        <f>HYPERLINK("C:\Users\franc\OneDrive\Documentos\MALENTIN KARIME\BANCO ESTADO\2012 DEPTO ESCRITURAS fata\NOTARIA 2009\RAUL SALAMANCA\ORIEL CISTERNAS A SOC. RENOV. DE INVERS. (ARRIENDO MINERO).doc", "Abrir Documento")</f>
        <v>0</v>
      </c>
      <c r="D11083" t="s">
        <v>23500</v>
      </c>
      <c r="E11083" t="s">
        <v>33558</v>
      </c>
    </row>
    <row r="11084" spans="1:5">
      <c r="A11084" t="s">
        <v>6</v>
      </c>
      <c r="B11084" t="s">
        <v>11089</v>
      </c>
      <c r="C11084">
        <f>HYPERLINK("C:\Users\franc\OneDrive\Documentos\MALENTIN KARIME\BANCO ESTADO\2012 DEPTO ESCRITURAS fata\NOTARIA 2009\RAUL SALAMANCA\MINERA RUMAY LTDA.Ç.doc", "Abrir Documento")</f>
        <v>0</v>
      </c>
      <c r="D11084" t="s">
        <v>23500</v>
      </c>
      <c r="E11084" t="s">
        <v>33559</v>
      </c>
    </row>
    <row r="11085" spans="1:5">
      <c r="A11085" t="s">
        <v>6</v>
      </c>
      <c r="B11085" t="s">
        <v>11090</v>
      </c>
      <c r="C11085">
        <f>HYPERLINK("C:\Users\franc\OneDrive\Documentos\MALENTIN KARIME\BANCO ESTADO\2012 DEPTO ESCRITURAS fata\NOTARIA 2009\RAUL SALAMANCA\MINERA RUMAY EXTRACTO.doc", "Abrir Documento")</f>
        <v>0</v>
      </c>
      <c r="D11085" t="s">
        <v>23500</v>
      </c>
      <c r="E11085" t="s">
        <v>33560</v>
      </c>
    </row>
    <row r="11086" spans="1:5">
      <c r="A11086" t="s">
        <v>6</v>
      </c>
      <c r="B11086" t="s">
        <v>11091</v>
      </c>
      <c r="C11086">
        <f>HYPERLINK("C:\Users\franc\OneDrive\Documentos\MALENTIN KARIME\BANCO ESTADO\2012 DEPTO ESCRITURAS fata\NOTARIA 2009\RAUL SALAMANCA\MARIA INES FIGARI A ALCIDES NIN DE CARDONA.doc", "Abrir Documento")</f>
        <v>0</v>
      </c>
      <c r="D11086" t="s">
        <v>23500</v>
      </c>
      <c r="E11086" t="s">
        <v>33561</v>
      </c>
    </row>
    <row r="11087" spans="1:5">
      <c r="A11087" t="s">
        <v>6</v>
      </c>
      <c r="B11087" t="s">
        <v>11092</v>
      </c>
      <c r="C11087">
        <f>HYPERLINK("C:\Users\franc\OneDrive\Documentos\MALENTIN KARIME\BANCO ESTADO\2012 DEPTO ESCRITURAS fata\NOTARIA 2009\RAUL SALAMANCA\MANDATO poder quiebra dos.doc", "Abrir Documento")</f>
        <v>0</v>
      </c>
      <c r="D11087" t="s">
        <v>23500</v>
      </c>
      <c r="E11087" t="s">
        <v>33562</v>
      </c>
    </row>
    <row r="11088" spans="1:5">
      <c r="A11088" t="s">
        <v>6</v>
      </c>
      <c r="B11088" t="s">
        <v>11093</v>
      </c>
      <c r="C11088">
        <f>HYPERLINK("C:\Users\franc\OneDrive\Documentos\MALENTIN KARIME\BANCO ESTADO\2012 DEPTO ESCRITURAS fata\NOTARIA 2009\RAUL SALAMANCA\FELIX CORTES Y AUTOM. Y MINERA REM.doc", "Abrir Documento")</f>
        <v>0</v>
      </c>
      <c r="D11088" t="s">
        <v>23500</v>
      </c>
      <c r="E11088" t="s">
        <v>33563</v>
      </c>
    </row>
    <row r="11089" spans="1:5">
      <c r="A11089" t="s">
        <v>6</v>
      </c>
      <c r="B11089" t="s">
        <v>11094</v>
      </c>
      <c r="C11089">
        <f>HYPERLINK("C:\Users\franc\OneDrive\Documentos\MALENTIN KARIME\BANCO ESTADO\2012 DEPTO ESCRITURAS fata\NOTARIA 2009\RAUL SALAMANCA\EXTRACTO hermanos cisternas.doc", "Abrir Documento")</f>
        <v>0</v>
      </c>
      <c r="D11089" t="s">
        <v>23500</v>
      </c>
      <c r="E11089" t="s">
        <v>33564</v>
      </c>
    </row>
    <row r="11090" spans="1:5">
      <c r="A11090" t="s">
        <v>6</v>
      </c>
      <c r="B11090" t="s">
        <v>11095</v>
      </c>
      <c r="C11090">
        <f>HYPERLINK("C:\Users\franc\OneDrive\Documentos\MALENTIN KARIME\BANCO ESTADO\2012 DEPTO ESCRITURAS fata\NOTARIA 2009\RAUL SALAMANCA\AUGUSTO MUÑOZ A RAMON MUÑOZ (SIN INSCRIP).doc", "Abrir Documento")</f>
        <v>0</v>
      </c>
      <c r="D11090" t="s">
        <v>23500</v>
      </c>
      <c r="E11090" t="s">
        <v>33565</v>
      </c>
    </row>
    <row r="11091" spans="1:5">
      <c r="A11091" t="s">
        <v>6</v>
      </c>
      <c r="B11091" t="s">
        <v>11096</v>
      </c>
      <c r="C11091">
        <f>HYPERLINK("C:\Users\franc\OneDrive\Documentos\MALENTIN KARIME\BANCO ESTADO\2012 DEPTO ESCRITURAS fata\NOTARIA 2009\RAUL CORTES OSSANDON\SOCIEDAD ECORED.doc", "Abrir Documento")</f>
        <v>0</v>
      </c>
      <c r="D11091" t="s">
        <v>23500</v>
      </c>
      <c r="E11091" t="s">
        <v>33566</v>
      </c>
    </row>
    <row r="11092" spans="1:5">
      <c r="A11092" t="s">
        <v>6</v>
      </c>
      <c r="B11092" t="s">
        <v>11097</v>
      </c>
      <c r="C11092">
        <f>HYPERLINK("C:\Users\franc\OneDrive\Documentos\MALENTIN KARIME\BANCO ESTADO\2012 DEPTO ESCRITURAS fata\NOTARIA 2009\RATIFICACION\SOC. CERRO CAMPANARIO (MANUEL CORTES).doc", "Abrir Documento")</f>
        <v>0</v>
      </c>
      <c r="D11092" t="s">
        <v>23500</v>
      </c>
      <c r="E11092" t="s">
        <v>33567</v>
      </c>
    </row>
    <row r="11093" spans="1:5">
      <c r="A11093" t="s">
        <v>6</v>
      </c>
      <c r="B11093" t="s">
        <v>11098</v>
      </c>
      <c r="C11093">
        <f>HYPERLINK("C:\Users\franc\OneDrive\Documentos\MALENTIN KARIME\BANCO ESTADO\2012 DEPTO ESCRITURAS fata\NOTARIA 2009\RATIFICACION\NEFTALI GONZALEZ.doc", "Abrir Documento")</f>
        <v>0</v>
      </c>
      <c r="D11093" t="s">
        <v>23500</v>
      </c>
      <c r="E11093" t="s">
        <v>33568</v>
      </c>
    </row>
    <row r="11094" spans="1:5">
      <c r="A11094" t="s">
        <v>6</v>
      </c>
      <c r="B11094" t="s">
        <v>11099</v>
      </c>
      <c r="C11094">
        <f>HYPERLINK("C:\Users\franc\OneDrive\Documentos\MALENTIN KARIME\BANCO ESTADO\2012 DEPTO ESCRITURAS fata\NOTARIA 2009\RATIFICACION\MIGUEL VELIZ Y OTRO A SUS CONYUGES.doc", "Abrir Documento")</f>
        <v>0</v>
      </c>
      <c r="D11094" t="s">
        <v>23500</v>
      </c>
      <c r="E11094" t="s">
        <v>33569</v>
      </c>
    </row>
    <row r="11095" spans="1:5">
      <c r="A11095" t="s">
        <v>6</v>
      </c>
      <c r="B11095" t="s">
        <v>11100</v>
      </c>
      <c r="C11095">
        <f>HYPERLINK("C:\Users\franc\OneDrive\Documentos\MALENTIN KARIME\BANCO ESTADO\2012 DEPTO ESCRITURAS fata\NOTARIA 2009\RATIFICACION\ELIANA ARAYA.doc", "Abrir Documento")</f>
        <v>0</v>
      </c>
      <c r="D11095" t="s">
        <v>23500</v>
      </c>
      <c r="E11095" t="s">
        <v>33570</v>
      </c>
    </row>
    <row r="11096" spans="1:5">
      <c r="A11096" t="s">
        <v>6</v>
      </c>
      <c r="B11096" t="s">
        <v>11101</v>
      </c>
      <c r="C11096">
        <f>HYPERLINK("C:\Users\franc\OneDrive\Documentos\MALENTIN KARIME\BANCO ESTADO\2012 DEPTO ESCRITURAS fata\NOTARIA 2009\RATIFICACION\DARWING ROJAS A SANDRA MILLA.doc", "Abrir Documento")</f>
        <v>0</v>
      </c>
      <c r="D11096" t="s">
        <v>23500</v>
      </c>
      <c r="E11096" t="s">
        <v>33571</v>
      </c>
    </row>
    <row r="11097" spans="1:5">
      <c r="A11097" t="s">
        <v>6</v>
      </c>
      <c r="B11097" t="s">
        <v>11102</v>
      </c>
      <c r="C11097">
        <f>HYPERLINK("C:\Users\franc\OneDrive\Documentos\MALENTIN KARIME\BANCO ESTADO\2012 DEPTO ESCRITURAS fata\NOTARIA 2009\RATIFICACION\ADELINA HUENCHUÑIR (CONYUGE) RATIFICACION.doc", "Abrir Documento")</f>
        <v>0</v>
      </c>
      <c r="D11097" t="s">
        <v>23500</v>
      </c>
      <c r="E11097" t="s">
        <v>33572</v>
      </c>
    </row>
    <row r="11098" spans="1:5">
      <c r="A11098" t="s">
        <v>6</v>
      </c>
      <c r="B11098" t="s">
        <v>11103</v>
      </c>
      <c r="C11098">
        <f>HYPERLINK("C:\Users\franc\OneDrive\Documentos\MALENTIN KARIME\BANCO ESTADO\2012 DEPTO ESCRITURAS fata\NOTARIA 2009\RAMON LUIS\instr cvta casa libertad.doc", "Abrir Documento")</f>
        <v>0</v>
      </c>
      <c r="D11098" t="s">
        <v>23500</v>
      </c>
      <c r="E11098" t="s">
        <v>33573</v>
      </c>
    </row>
    <row r="11099" spans="1:5">
      <c r="A11099" t="s">
        <v>6</v>
      </c>
      <c r="B11099" t="s">
        <v>11104</v>
      </c>
      <c r="C11099">
        <f>HYPERLINK("C:\Users\franc\OneDrive\Documentos\MALENTIN KARIME\BANCO ESTADO\2012 DEPTO ESCRITURAS fata\NOTARIA 2009\RAMON LUIS\EDUARDO CORTES A PEDRO SEGUNDO MUÑOZ.doc", "Abrir Documento")</f>
        <v>0</v>
      </c>
      <c r="D11099" t="s">
        <v>23500</v>
      </c>
      <c r="E11099" t="s">
        <v>33574</v>
      </c>
    </row>
    <row r="11100" spans="1:5">
      <c r="A11100" t="s">
        <v>6</v>
      </c>
      <c r="B11100" t="s">
        <v>11105</v>
      </c>
      <c r="C11100">
        <f>HYPERLINK("C:\Users\franc\OneDrive\Documentos\MALENTIN KARIME\BANCO ESTADO\2012 DEPTO ESCRITURAS fata\NOTARIA 2009\RAMON LUIS\COMITE TAMAYA.doc", "Abrir Documento")</f>
        <v>0</v>
      </c>
      <c r="D11100" t="s">
        <v>23500</v>
      </c>
      <c r="E11100" t="s">
        <v>33575</v>
      </c>
    </row>
    <row r="11101" spans="1:5">
      <c r="A11101" t="s">
        <v>6</v>
      </c>
      <c r="B11101" t="s">
        <v>11106</v>
      </c>
      <c r="C11101">
        <f>HYPERLINK("C:\Users\franc\OneDrive\Documentos\MALENTIN KARIME\BANCO ESTADO\2012 DEPTO ESCRITURAS fata\NOTARIA 2009\PROTOCOLIZA\INDAP\LILI CALDERON.doc", "Abrir Documento")</f>
        <v>0</v>
      </c>
      <c r="D11101" t="s">
        <v>23500</v>
      </c>
      <c r="E11101" t="s">
        <v>33576</v>
      </c>
    </row>
    <row r="11102" spans="1:5">
      <c r="A11102" t="s">
        <v>6</v>
      </c>
      <c r="B11102" t="s">
        <v>11107</v>
      </c>
      <c r="C11102">
        <f>HYPERLINK("C:\Users\franc\OneDrive\Documentos\MALENTIN KARIME\BANCO ESTADO\2012 DEPTO ESCRITURAS fata\NOTARIA 2009\PROTOCOLIZA\INDAP\EDMUNDO ARAYA (INDAP).doc", "Abrir Documento")</f>
        <v>0</v>
      </c>
      <c r="D11102" t="s">
        <v>23500</v>
      </c>
      <c r="E11102" t="s">
        <v>33577</v>
      </c>
    </row>
    <row r="11103" spans="1:5">
      <c r="A11103" t="s">
        <v>6</v>
      </c>
      <c r="B11103" t="s">
        <v>11108</v>
      </c>
      <c r="C11103">
        <f>HYPERLINK("C:\Users\franc\OneDrive\Documentos\MALENTIN KARIME\BANCO ESTADO\2012 DEPTO ESCRITURAS fata\NOTARIA 2009\PROTOCOLIZA\declaracion droga\PAULINA PLAZA SANTIBAÑEZ.doc", "Abrir Documento")</f>
        <v>0</v>
      </c>
      <c r="D11103" t="s">
        <v>23500</v>
      </c>
      <c r="E11103" t="s">
        <v>33578</v>
      </c>
    </row>
    <row r="11104" spans="1:5">
      <c r="A11104" t="s">
        <v>6</v>
      </c>
      <c r="B11104" t="s">
        <v>11109</v>
      </c>
      <c r="C11104">
        <f>HYPERLINK("C:\Users\franc\OneDrive\Documentos\MALENTIN KARIME\BANCO ESTADO\2012 DEPTO ESCRITURAS fata\NOTARIA 2009\PROTOCOLIZA\declaracion droga\Paola Carvajal Valenzuela.doc", "Abrir Documento")</f>
        <v>0</v>
      </c>
      <c r="D11104" t="s">
        <v>23500</v>
      </c>
      <c r="E11104" t="s">
        <v>33579</v>
      </c>
    </row>
    <row r="11105" spans="1:5">
      <c r="A11105" t="s">
        <v>6</v>
      </c>
      <c r="B11105" t="s">
        <v>11110</v>
      </c>
      <c r="C11105">
        <f>HYPERLINK("C:\Users\franc\OneDrive\Documentos\MALENTIN KARIME\BANCO ESTADO\2012 DEPTO ESCRITURAS fata\NOTARIA 2009\PROTOCOLIZA\BOMBEROS\Tercera Compañia FS 67.doc", "Abrir Documento")</f>
        <v>0</v>
      </c>
      <c r="D11105" t="s">
        <v>23500</v>
      </c>
      <c r="E11105" t="s">
        <v>33580</v>
      </c>
    </row>
    <row r="11106" spans="1:5">
      <c r="A11106" t="s">
        <v>6</v>
      </c>
      <c r="B11106" t="s">
        <v>11111</v>
      </c>
      <c r="C11106">
        <f>HYPERLINK("C:\Users\franc\OneDrive\Documentos\MALENTIN KARIME\BANCO ESTADO\2012 DEPTO ESCRITURAS fata\NOTARIA 2009\PROTOCOLIZA\BOMBEROS\Cuerpo de Bomberos Ovalle SUPERINTENDENCIA.doc", "Abrir Documento")</f>
        <v>0</v>
      </c>
      <c r="D11106" t="s">
        <v>23500</v>
      </c>
      <c r="E11106" t="s">
        <v>33581</v>
      </c>
    </row>
    <row r="11107" spans="1:5">
      <c r="A11107" t="s">
        <v>6</v>
      </c>
      <c r="B11107" t="s">
        <v>11112</v>
      </c>
      <c r="C11107">
        <f>HYPERLINK("C:\Users\franc\OneDrive\Documentos\MALENTIN KARIME\BANCO ESTADO\2012 DEPTO ESCRITURAS fata\NOTARIA 2009\PROTOCOLIZA\BOMBEROS\Cuerpo de Bomberos Ovalle SUPERINTENDENCIA FS 56.doc", "Abrir Documento")</f>
        <v>0</v>
      </c>
      <c r="D11107" t="s">
        <v>23500</v>
      </c>
      <c r="E11107" t="s">
        <v>33582</v>
      </c>
    </row>
    <row r="11108" spans="1:5">
      <c r="A11108" t="s">
        <v>6</v>
      </c>
      <c r="B11108" t="s">
        <v>11113</v>
      </c>
      <c r="C11108">
        <f>HYPERLINK("C:\Users\franc\OneDrive\Documentos\MALENTIN KARIME\BANCO ESTADO\2012 DEPTO ESCRITURAS fata\NOTARIA 2009\PROTOCOLIZA\BOMBEROS\CUERPO DE BOMBEROS DE OVALLE.doc", "Abrir Documento")</f>
        <v>0</v>
      </c>
      <c r="D11108" t="s">
        <v>23500</v>
      </c>
      <c r="E11108" t="s">
        <v>33583</v>
      </c>
    </row>
    <row r="11109" spans="1:5">
      <c r="A11109" t="s">
        <v>6</v>
      </c>
      <c r="B11109" t="s">
        <v>11114</v>
      </c>
      <c r="C11109">
        <f>HYPERLINK("C:\Users\franc\OneDrive\Documentos\MALENTIN KARIME\BANCO ESTADO\2012 DEPTO ESCRITURAS fata\NOTARIA 2009\PROTOCOLIZA\BOMBEROS\CUERPO DE BOMBEROS DE OVA.doc", "Abrir Documento")</f>
        <v>0</v>
      </c>
      <c r="D11109" t="s">
        <v>23500</v>
      </c>
      <c r="E11109" t="s">
        <v>33584</v>
      </c>
    </row>
    <row r="11110" spans="1:5">
      <c r="A11110" t="s">
        <v>6</v>
      </c>
      <c r="B11110" t="s">
        <v>11115</v>
      </c>
      <c r="C11110">
        <f>HYPERLINK("C:\Users\franc\OneDrive\Documentos\MALENTIN KARIME\BANCO ESTADO\2012 DEPTO ESCRITURAS fata\NOTARIA 2009\PROTOCOLIZA\BOMBEROS\CUERPO DE BOMBEROS DE OVA........doc", "Abrir Documento")</f>
        <v>0</v>
      </c>
      <c r="D11110" t="s">
        <v>23500</v>
      </c>
      <c r="E11110" t="s">
        <v>33585</v>
      </c>
    </row>
    <row r="11111" spans="1:5">
      <c r="A11111" t="s">
        <v>6</v>
      </c>
      <c r="B11111" t="s">
        <v>11116</v>
      </c>
      <c r="C11111">
        <f>HYPERLINK("C:\Users\franc\OneDrive\Documentos\MALENTIN KARIME\BANCO ESTADO\2012 DEPTO ESCRITURAS fata\NOTARIA 2009\PROTOCOLIZA\BOMBEROS\CERT.COPIAS.doc", "Abrir Documento")</f>
        <v>0</v>
      </c>
      <c r="D11111" t="s">
        <v>23500</v>
      </c>
      <c r="E11111" t="s">
        <v>33586</v>
      </c>
    </row>
    <row r="11112" spans="1:5">
      <c r="A11112" t="s">
        <v>6</v>
      </c>
      <c r="B11112" t="s">
        <v>11117</v>
      </c>
      <c r="C11112">
        <f>HYPERLINK("C:\Users\franc\OneDrive\Documentos\MALENTIN KARIME\BANCO ESTADO\2012 DEPTO ESCRITURAS fata\NOTARIA 2009\PROTOCOLIZA\BOMBEROS\CERT.COPIAS BOM 8 CIA.doc", "Abrir Documento")</f>
        <v>0</v>
      </c>
      <c r="D11112" t="s">
        <v>23500</v>
      </c>
      <c r="E11112" t="s">
        <v>33587</v>
      </c>
    </row>
    <row r="11113" spans="1:5">
      <c r="A11113" t="s">
        <v>6</v>
      </c>
      <c r="B11113" t="s">
        <v>11118</v>
      </c>
      <c r="C11113">
        <f>HYPERLINK("C:\Users\franc\OneDrive\Documentos\MALENTIN KARIME\BANCO ESTADO\2012 DEPTO ESCRITURAS fata\NOTARIA 2009\PROTOCOLIZA\BOMBEROS\CERT COPIA SUPERINTENDENCIA.doc", "Abrir Documento")</f>
        <v>0</v>
      </c>
      <c r="D11113" t="s">
        <v>23500</v>
      </c>
      <c r="E11113" t="s">
        <v>33588</v>
      </c>
    </row>
    <row r="11114" spans="1:5">
      <c r="A11114" t="s">
        <v>6</v>
      </c>
      <c r="B11114" t="s">
        <v>11119</v>
      </c>
      <c r="C11114">
        <f>HYPERLINK("C:\Users\franc\OneDrive\Documentos\MALENTIN KARIME\BANCO ESTADO\2012 DEPTO ESCRITURAS fata\NOTARIA 2009\PROTOCOLIZA\BOMBEROS\CERT COPIA BOMBEROS agrega.doc", "Abrir Documento")</f>
        <v>0</v>
      </c>
      <c r="D11114" t="s">
        <v>23500</v>
      </c>
      <c r="E11114" t="s">
        <v>33589</v>
      </c>
    </row>
    <row r="11115" spans="1:5">
      <c r="A11115" t="s">
        <v>6</v>
      </c>
      <c r="B11115" t="s">
        <v>11120</v>
      </c>
      <c r="C11115">
        <f>HYPERLINK("C:\Users\franc\OneDrive\Documentos\MALENTIN KARIME\BANCO ESTADO\2012 DEPTO ESCRITURAS fata\NOTARIA 2009\PROTOCOLIZA\BOMBEROS\BOMBEROS FS 63 5 cia.doc", "Abrir Documento")</f>
        <v>0</v>
      </c>
      <c r="D11115" t="s">
        <v>23500</v>
      </c>
      <c r="E11115" t="s">
        <v>33590</v>
      </c>
    </row>
    <row r="11116" spans="1:5">
      <c r="A11116" t="s">
        <v>6</v>
      </c>
      <c r="B11116" t="s">
        <v>11121</v>
      </c>
      <c r="C11116">
        <f>HYPERLINK("C:\Users\franc\OneDrive\Documentos\MALENTIN KARIME\BANCO ESTADO\2012 DEPTO ESCRITURAS fata\NOTARIA 2009\PROTOCOLIZA\BOMBEROS\BOMBEROS FS 44.doc", "Abrir Documento")</f>
        <v>0</v>
      </c>
      <c r="D11116" t="s">
        <v>23500</v>
      </c>
      <c r="E11116" t="s">
        <v>33591</v>
      </c>
    </row>
    <row r="11117" spans="1:5">
      <c r="A11117" t="s">
        <v>6</v>
      </c>
      <c r="B11117" t="s">
        <v>11122</v>
      </c>
      <c r="C11117">
        <f>HYPERLINK("C:\Users\franc\OneDrive\Documentos\MALENTIN KARIME\BANCO ESTADO\2012 DEPTO ESCRITURAS fata\NOTARIA 2009\PROTOCOLIZA\BOMBEROS\BOMBEROS FS 29 8 cia.doc", "Abrir Documento")</f>
        <v>0</v>
      </c>
      <c r="D11117" t="s">
        <v>23500</v>
      </c>
      <c r="E11117" t="s">
        <v>33592</v>
      </c>
    </row>
    <row r="11118" spans="1:5">
      <c r="A11118" t="s">
        <v>6</v>
      </c>
      <c r="B11118" t="s">
        <v>11123</v>
      </c>
      <c r="C11118">
        <f>HYPERLINK("C:\Users\franc\OneDrive\Documentos\MALENTIN KARIME\BANCO ESTADO\2012 DEPTO ESCRITURAS fata\NOTARIA 2009\PROTOCOLIZA\BOMBEROS\BOMBEROS FS 09 8 cia.doc", "Abrir Documento")</f>
        <v>0</v>
      </c>
      <c r="D11118" t="s">
        <v>23500</v>
      </c>
      <c r="E11118" t="s">
        <v>33593</v>
      </c>
    </row>
    <row r="11119" spans="1:5">
      <c r="A11119" t="s">
        <v>6</v>
      </c>
      <c r="B11119" t="s">
        <v>11124</v>
      </c>
      <c r="C11119">
        <f>HYPERLINK("C:\Users\franc\OneDrive\Documentos\MALENTIN KARIME\BANCO ESTADO\2012 DEPTO ESCRITURAS fata\NOTARIA 2009\PROTOCOLIZA\2009\SORTEO AGRO SERVICIOS.doc", "Abrir Documento")</f>
        <v>0</v>
      </c>
      <c r="D11119" t="s">
        <v>23500</v>
      </c>
      <c r="E11119" t="s">
        <v>33594</v>
      </c>
    </row>
    <row r="11120" spans="1:5">
      <c r="A11120" t="s">
        <v>6</v>
      </c>
      <c r="B11120" t="s">
        <v>11125</v>
      </c>
      <c r="C11120">
        <f>HYPERLINK("C:\Users\franc\OneDrive\Documentos\MALENTIN KARIME\BANCO ESTADO\2012 DEPTO ESCRITURAS fata\NOTARIA 2009\PROTOCOLIZA\2009\SINDICATO TRABAJADORES FERIA LIBRE.doc", "Abrir Documento")</f>
        <v>0</v>
      </c>
      <c r="D11120" t="s">
        <v>23500</v>
      </c>
      <c r="E11120" t="s">
        <v>33595</v>
      </c>
    </row>
    <row r="11121" spans="1:5">
      <c r="A11121" t="s">
        <v>6</v>
      </c>
      <c r="B11121" t="s">
        <v>11126</v>
      </c>
      <c r="C11121">
        <f>HYPERLINK("C:\Users\franc\OneDrive\Documentos\MALENTIN KARIME\BANCO ESTADO\2012 DEPTO ESCRITURAS fata\NOTARIA 2009\PROTOCOLIZA\2009\REUNION EXTRAORDINARIA (COMODATO) (JUAN CARLOS).doc", "Abrir Documento")</f>
        <v>0</v>
      </c>
      <c r="D11121" t="s">
        <v>23500</v>
      </c>
      <c r="E11121" t="s">
        <v>33596</v>
      </c>
    </row>
    <row r="11122" spans="1:5">
      <c r="A11122" t="s">
        <v>6</v>
      </c>
      <c r="B11122" t="s">
        <v>11127</v>
      </c>
      <c r="C11122">
        <f>HYPERLINK("C:\Users\franc\OneDrive\Documentos\MALENTIN KARIME\BANCO ESTADO\2012 DEPTO ESCRITURAS fata\NOTARIA 2009\PROTOCOLIZA\2009\PROT. ALZAMIENTO Y CANCELACION elba.doc", "Abrir Documento")</f>
        <v>0</v>
      </c>
      <c r="D11122" t="s">
        <v>23500</v>
      </c>
      <c r="E11122" t="s">
        <v>33597</v>
      </c>
    </row>
    <row r="11123" spans="1:5">
      <c r="A11123" t="s">
        <v>6</v>
      </c>
      <c r="B11123" t="s">
        <v>11128</v>
      </c>
      <c r="C11123">
        <f>HYPERLINK("C:\Users\franc\OneDrive\Documentos\MALENTIN KARIME\BANCO ESTADO\2012 DEPTO ESCRITURAS fata\NOTARIA 2009\PROTOCOLIZA\2009\PROT. ALZAMIENTO CAPEL ELBA.doc", "Abrir Documento")</f>
        <v>0</v>
      </c>
      <c r="D11123" t="s">
        <v>23500</v>
      </c>
      <c r="E11123" t="s">
        <v>33598</v>
      </c>
    </row>
    <row r="11124" spans="1:5">
      <c r="A11124" t="s">
        <v>6</v>
      </c>
      <c r="B11124" t="s">
        <v>11129</v>
      </c>
      <c r="C11124">
        <f>HYPERLINK("C:\Users\franc\OneDrive\Documentos\MALENTIN KARIME\BANCO ESTADO\2012 DEPTO ESCRITURAS fata\NOTARIA 2009\PROTOCOLIZA\2009\PROT. ACTA SOC. LA RECOLETA (ELBA).doc", "Abrir Documento")</f>
        <v>0</v>
      </c>
      <c r="D11124" t="s">
        <v>23500</v>
      </c>
      <c r="E11124" t="s">
        <v>33599</v>
      </c>
    </row>
    <row r="11125" spans="1:5">
      <c r="A11125" t="s">
        <v>6</v>
      </c>
      <c r="B11125" t="s">
        <v>11130</v>
      </c>
      <c r="C11125">
        <f>HYPERLINK("C:\Users\franc\OneDrive\Documentos\MALENTIN KARIME\BANCO ESTADO\2012 DEPTO ESCRITURAS fata\NOTARIA 2009\PROTOCOLIZA\2009\INV. DAVID RIVERA (DON GONZALO).doc", "Abrir Documento")</f>
        <v>0</v>
      </c>
      <c r="D11125" t="s">
        <v>23500</v>
      </c>
      <c r="E11125" t="s">
        <v>33600</v>
      </c>
    </row>
    <row r="11126" spans="1:5">
      <c r="A11126" t="s">
        <v>6</v>
      </c>
      <c r="B11126" t="s">
        <v>11131</v>
      </c>
      <c r="C11126">
        <f>HYPERLINK("C:\Users\franc\OneDrive\Documentos\MALENTIN KARIME\BANCO ESTADO\2012 DEPTO ESCRITURAS fata\NOTARIA 2009\PROTOCOLIZA\2009\COMITE PRO CASA VILLA FLOR DEL NORTE.doc", "Abrir Documento")</f>
        <v>0</v>
      </c>
      <c r="D11126" t="s">
        <v>23500</v>
      </c>
      <c r="E11126" t="s">
        <v>33601</v>
      </c>
    </row>
    <row r="11127" spans="1:5">
      <c r="A11127" t="s">
        <v>6</v>
      </c>
      <c r="B11127" t="s">
        <v>11132</v>
      </c>
      <c r="C11127">
        <f>HYPERLINK("C:\Users\franc\OneDrive\Documentos\MALENTIN KARIME\BANCO ESTADO\2012 DEPTO ESCRITURAS fata\NOTARIA 2009\PROTOCOLIZA\2009\COMITE PRO CASA VILLA FLOR DEL NORTE 2.doc", "Abrir Documento")</f>
        <v>0</v>
      </c>
      <c r="D11127" t="s">
        <v>23500</v>
      </c>
      <c r="E11127" t="s">
        <v>33602</v>
      </c>
    </row>
    <row r="11128" spans="1:5">
      <c r="A11128" t="s">
        <v>6</v>
      </c>
      <c r="B11128" t="s">
        <v>11133</v>
      </c>
      <c r="C11128">
        <f>HYPERLINK("C:\Users\franc\OneDrive\Documentos\MALENTIN KARIME\BANCO ESTADO\2012 DEPTO ESCRITURAS fata\NOTARIA 2009\PROTOCOLIZA\2009\CARLOS BUGUEÑO (INDAP).doc", "Abrir Documento")</f>
        <v>0</v>
      </c>
      <c r="D11128" t="s">
        <v>23500</v>
      </c>
      <c r="E11128" t="s">
        <v>33603</v>
      </c>
    </row>
    <row r="11129" spans="1:5">
      <c r="A11129" t="s">
        <v>6</v>
      </c>
      <c r="B11129" t="s">
        <v>11134</v>
      </c>
      <c r="C11129">
        <f>HYPERLINK("C:\Users\franc\OneDrive\Documentos\MALENTIN KARIME\BANCO ESTADO\2012 DEPTO ESCRITURAS fata\NOTARIA 2009\PROTOCOLIZA\2009\BASILIO AGUIRRE (MEJORAMIENTOS SISTEMA AGUAS.doc", "Abrir Documento")</f>
        <v>0</v>
      </c>
      <c r="D11129" t="s">
        <v>23500</v>
      </c>
      <c r="E11129" t="s">
        <v>33604</v>
      </c>
    </row>
    <row r="11130" spans="1:5">
      <c r="A11130" t="s">
        <v>6</v>
      </c>
      <c r="B11130" t="s">
        <v>11135</v>
      </c>
      <c r="C11130">
        <f>HYPERLINK("C:\Users\franc\OneDrive\Documentos\MALENTIN KARIME\BANCO ESTADO\2012 DEPTO ESCRITURAS fata\NOTARIA 2009\PROTOCOLIZA\2009\BASILIO AGUIRRE (MEJORAMIENTOS SISTEMA AGUAS EL SAUCE NOV, 2009.doc", "Abrir Documento")</f>
        <v>0</v>
      </c>
      <c r="D11130" t="s">
        <v>23500</v>
      </c>
      <c r="E11130" t="s">
        <v>33605</v>
      </c>
    </row>
    <row r="11131" spans="1:5">
      <c r="A11131" t="s">
        <v>6</v>
      </c>
      <c r="B11131" t="s">
        <v>11136</v>
      </c>
      <c r="C11131">
        <f>HYPERLINK("C:\Users\franc\OneDrive\Documentos\MALENTIN KARIME\BANCO ESTADO\2012 DEPTO ESCRITURAS fata\NOTARIA 2009\PROTOCOLIZA\2009\BASILIO AGUIRRE (MEJORAMIENTOS SISTEMA AGUAS COLLIGUAY.- 18 NOV, 2009.doc", "Abrir Documento")</f>
        <v>0</v>
      </c>
      <c r="D11131" t="s">
        <v>23500</v>
      </c>
      <c r="E11131" t="s">
        <v>33606</v>
      </c>
    </row>
    <row r="11132" spans="1:5">
      <c r="A11132" t="s">
        <v>6</v>
      </c>
      <c r="B11132" t="s">
        <v>11137</v>
      </c>
      <c r="C11132">
        <f>HYPERLINK("C:\Users\franc\OneDrive\Documentos\MALENTIN KARIME\BANCO ESTADO\2012 DEPTO ESCRITURAS fata\NOTARIA 2009\PROTOCOLIZA\2009\BASILIO AGUIRRE (MEJORAMIENTOS SISTEMA AGUAS andacollo).doc", "Abrir Documento")</f>
        <v>0</v>
      </c>
      <c r="D11132" t="s">
        <v>23500</v>
      </c>
      <c r="E11132" t="s">
        <v>33607</v>
      </c>
    </row>
    <row r="11133" spans="1:5">
      <c r="A11133" t="s">
        <v>6</v>
      </c>
      <c r="B11133" t="s">
        <v>11138</v>
      </c>
      <c r="C11133">
        <f>HYPERLINK("C:\Users\franc\OneDrive\Documentos\MALENTIN KARIME\BANCO ESTADO\2012 DEPTO ESCRITURAS fata\NOTARIA 2009\PROTOCOLIZA\2009\BASILIO AGUIRRE (MEJORAMIENTOS SISTEMA AGUAS  RURAL DE PICHASCA, HORCON, DIC.- 2009.doc", "Abrir Documento")</f>
        <v>0</v>
      </c>
      <c r="D11133" t="s">
        <v>23500</v>
      </c>
      <c r="E11133" t="s">
        <v>33608</v>
      </c>
    </row>
    <row r="11134" spans="1:5">
      <c r="A11134" t="s">
        <v>6</v>
      </c>
      <c r="B11134" t="s">
        <v>11139</v>
      </c>
      <c r="C11134">
        <f>HYPERLINK("C:\Users\franc\OneDrive\Documentos\MALENTIN KARIME\BANCO ESTADO\2012 DEPTO ESCRITURAS fata\NOTARIA 2009\PROTOCOLIZA\2009\BASILIO AGUIRRE (LIQUIDACION FINAL).doc", "Abrir Documento")</f>
        <v>0</v>
      </c>
      <c r="D11134" t="s">
        <v>23500</v>
      </c>
      <c r="E11134" t="s">
        <v>33609</v>
      </c>
    </row>
    <row r="11135" spans="1:5">
      <c r="A11135" t="s">
        <v>6</v>
      </c>
      <c r="B11135" t="s">
        <v>11140</v>
      </c>
      <c r="C11135">
        <f>HYPERLINK("C:\Users\franc\OneDrive\Documentos\MALENTIN KARIME\BANCO ESTADO\2012 DEPTO ESCRITURAS fata\NOTARIA 2009\PROTOCOLIZA\2009\BASILIO AGUIRRE (LIQUIDACION FINAL) 3.doc", "Abrir Documento")</f>
        <v>0</v>
      </c>
      <c r="D11135" t="s">
        <v>23500</v>
      </c>
      <c r="E11135" t="s">
        <v>33610</v>
      </c>
    </row>
    <row r="11136" spans="1:5">
      <c r="A11136" t="s">
        <v>6</v>
      </c>
      <c r="B11136" t="s">
        <v>11141</v>
      </c>
      <c r="C11136">
        <f>HYPERLINK("C:\Users\franc\OneDrive\Documentos\MALENTIN KARIME\BANCO ESTADO\2012 DEPTO ESCRITURAS fata\NOTARIA 2009\PROTOCOLIZA\2009\BASILIO AGUIRRE (LIQUIDACION FINAL)  2.doc", "Abrir Documento")</f>
        <v>0</v>
      </c>
      <c r="D11136" t="s">
        <v>23500</v>
      </c>
      <c r="E11136" t="s">
        <v>33611</v>
      </c>
    </row>
    <row r="11137" spans="1:5">
      <c r="A11137" t="s">
        <v>6</v>
      </c>
      <c r="B11137" t="s">
        <v>11142</v>
      </c>
      <c r="C11137">
        <f>HYPERLINK("C:\Users\franc\OneDrive\Documentos\MALENTIN KARIME\BANCO ESTADO\2012 DEPTO ESCRITURAS fata\NOTARIA 2009\PROTOCOLIZA\2009\BASILIO AGUIRRE (construccion noria viñita alta.doc", "Abrir Documento")</f>
        <v>0</v>
      </c>
      <c r="D11137" t="s">
        <v>23500</v>
      </c>
      <c r="E11137" t="s">
        <v>33612</v>
      </c>
    </row>
    <row r="11138" spans="1:5">
      <c r="A11138" t="s">
        <v>6</v>
      </c>
      <c r="B11138" t="s">
        <v>11143</v>
      </c>
      <c r="C11138">
        <f>HYPERLINK("C:\Users\franc\OneDrive\Documentos\MALENTIN KARIME\BANCO ESTADO\2012 DEPTO ESCRITURAS fata\NOTARIA 2009\PROTOCOLIZA\2009\ACTA ENTREGA GOCE SINGULAR SRA. MARGARITA (JUAN CARLOS).doc", "Abrir Documento")</f>
        <v>0</v>
      </c>
      <c r="D11138" t="s">
        <v>23500</v>
      </c>
      <c r="E11138" t="s">
        <v>33613</v>
      </c>
    </row>
    <row r="11139" spans="1:5">
      <c r="A11139" t="s">
        <v>6</v>
      </c>
      <c r="B11139" t="s">
        <v>11144</v>
      </c>
      <c r="C11139">
        <f>HYPERLINK("C:\Users\franc\OneDrive\Documentos\MALENTIN KARIME\BANCO ESTADO\2012 DEPTO ESCRITURAS fata\NOTARIA 2009\PROTOCOLIZA\2009\ACTA CENTRO PADRES JARDIN LOS CHICHARRITAS.doc", "Abrir Documento")</f>
        <v>0</v>
      </c>
      <c r="D11139" t="s">
        <v>23500</v>
      </c>
      <c r="E11139" t="s">
        <v>33614</v>
      </c>
    </row>
    <row r="11140" spans="1:5">
      <c r="A11140" t="s">
        <v>6</v>
      </c>
      <c r="B11140" t="s">
        <v>11145</v>
      </c>
      <c r="C11140">
        <f>HYPERLINK("C:\Users\franc\OneDrive\Documentos\MALENTIN KARIME\BANCO ESTADO\2012 DEPTO ESCRITURAS fata\NOTARIA 2009\PROTOCOLIZA\2008\FONDO SOLIDARIO\MARIA VALLEJOS A CLAUDIO OLIVARES.doc", "Abrir Documento")</f>
        <v>0</v>
      </c>
      <c r="D11140" t="s">
        <v>23500</v>
      </c>
      <c r="E11140" t="s">
        <v>33615</v>
      </c>
    </row>
    <row r="11141" spans="1:5">
      <c r="A11141" t="s">
        <v>6</v>
      </c>
      <c r="B11141" t="s">
        <v>11146</v>
      </c>
      <c r="C11141">
        <f>HYPERLINK("C:\Users\franc\OneDrive\Documentos\MALENTIN KARIME\BANCO ESTADO\2012 DEPTO ESCRITURAS fata\NOTARIA 2009\PROTOCOLIZA\2008\FONDO SOLIDARIO\LUIS JAIME A SANDRA ANDRADE.doc", "Abrir Documento")</f>
        <v>0</v>
      </c>
      <c r="D11141" t="s">
        <v>23500</v>
      </c>
      <c r="E11141" t="s">
        <v>33616</v>
      </c>
    </row>
    <row r="11142" spans="1:5">
      <c r="A11142" t="s">
        <v>6</v>
      </c>
      <c r="B11142" t="s">
        <v>11147</v>
      </c>
      <c r="C11142">
        <f>HYPERLINK("C:\Users\franc\OneDrive\Documentos\MALENTIN KARIME\BANCO ESTADO\2012 DEPTO ESCRITURAS fata\NOTARIA 2009\PROTOCOLIZA\2008\FONDO SOLIDARIO\JULIA CASTRO A LUCY CONTRERAS.doc", "Abrir Documento")</f>
        <v>0</v>
      </c>
      <c r="D11142" t="s">
        <v>23500</v>
      </c>
      <c r="E11142" t="s">
        <v>33617</v>
      </c>
    </row>
    <row r="11143" spans="1:5">
      <c r="A11143" t="s">
        <v>6</v>
      </c>
      <c r="B11143" t="s">
        <v>11148</v>
      </c>
      <c r="C11143">
        <f>HYPERLINK("C:\Users\franc\OneDrive\Documentos\MALENTIN KARIME\BANCO ESTADO\2012 DEPTO ESCRITURAS fata\NOTARIA 2009\PROTOCOLIZA\2008\FONDO SOLIDARIO\firma 2.doc", "Abrir Documento")</f>
        <v>0</v>
      </c>
      <c r="D11143" t="s">
        <v>23500</v>
      </c>
      <c r="E11143" t="s">
        <v>33618</v>
      </c>
    </row>
    <row r="11144" spans="1:5">
      <c r="A11144" t="s">
        <v>6</v>
      </c>
      <c r="B11144" t="s">
        <v>11149</v>
      </c>
      <c r="C11144">
        <f>HYPERLINK("C:\Users\franc\OneDrive\Documentos\MALENTIN KARIME\BANCO ESTADO\2012 DEPTO ESCRITURAS fata\NOTARIA 2009\PROTOCOLIZA\2008\SOLANGE MALDONADO.doc", "Abrir Documento")</f>
        <v>0</v>
      </c>
      <c r="D11144" t="s">
        <v>23500</v>
      </c>
      <c r="E11144" t="s">
        <v>33619</v>
      </c>
    </row>
    <row r="11145" spans="1:5">
      <c r="A11145" t="s">
        <v>6</v>
      </c>
      <c r="B11145" t="s">
        <v>11150</v>
      </c>
      <c r="C11145">
        <f>HYPERLINK("C:\Users\franc\OneDrive\Documentos\MALENTIN KARIME\BANCO ESTADO\2012 DEPTO ESCRITURAS fata\NOTARIA 2009\PROTOCOLIZA\2008\SOC. VERANEO PACIFICO.doc", "Abrir Documento")</f>
        <v>0</v>
      </c>
      <c r="D11145" t="s">
        <v>23500</v>
      </c>
      <c r="E11145" t="s">
        <v>33620</v>
      </c>
    </row>
    <row r="11146" spans="1:5">
      <c r="A11146" t="s">
        <v>6</v>
      </c>
      <c r="B11146" t="s">
        <v>11151</v>
      </c>
      <c r="C11146">
        <f>HYPERLINK("C:\Users\franc\OneDrive\Documentos\MALENTIN KARIME\BANCO ESTADO\2012 DEPTO ESCRITURAS fata\NOTARIA 2009\PROTOCOLIZA\2008\SOC. TECNOCITRUS (CARLOS BUGUEÑO).doc", "Abrir Documento")</f>
        <v>0</v>
      </c>
      <c r="D11146" t="s">
        <v>23500</v>
      </c>
      <c r="E11146" t="s">
        <v>33621</v>
      </c>
    </row>
    <row r="11147" spans="1:5">
      <c r="A11147" t="s">
        <v>6</v>
      </c>
      <c r="B11147" t="s">
        <v>11152</v>
      </c>
      <c r="C11147">
        <f>HYPERLINK("C:\Users\franc\OneDrive\Documentos\MALENTIN KARIME\BANCO ESTADO\2012 DEPTO ESCRITURAS fata\NOTARIA 2009\PROTOCOLIZA\2008\SOC. CARRIZAL (LINO HERNANDEZ).doc", "Abrir Documento")</f>
        <v>0</v>
      </c>
      <c r="D11147" t="s">
        <v>23500</v>
      </c>
      <c r="E11147" t="s">
        <v>33622</v>
      </c>
    </row>
    <row r="11148" spans="1:5">
      <c r="A11148" t="s">
        <v>6</v>
      </c>
      <c r="B11148" t="s">
        <v>11153</v>
      </c>
      <c r="C11148">
        <f>HYPERLINK("C:\Users\franc\OneDrive\Documentos\MALENTIN KARIME\BANCO ESTADO\2012 DEPTO ESCRITURAS fata\NOTARIA 2009\PROTOCOLIZA\2008\SOC. CARACHILLA.doc", "Abrir Documento")</f>
        <v>0</v>
      </c>
      <c r="D11148" t="s">
        <v>23500</v>
      </c>
      <c r="E11148" t="s">
        <v>33623</v>
      </c>
    </row>
    <row r="11149" spans="1:5">
      <c r="A11149" t="s">
        <v>6</v>
      </c>
      <c r="B11149" t="s">
        <v>11154</v>
      </c>
      <c r="C11149">
        <f>HYPERLINK("C:\Users\franc\OneDrive\Documentos\MALENTIN KARIME\BANCO ESTADO\2012 DEPTO ESCRITURAS fata\NOTARIA 2009\PROTOCOLIZA\2008\MAURICIO MARIN (RESOLUCION).doc", "Abrir Documento")</f>
        <v>0</v>
      </c>
      <c r="D11149" t="s">
        <v>23500</v>
      </c>
      <c r="E11149" t="s">
        <v>33624</v>
      </c>
    </row>
    <row r="11150" spans="1:5">
      <c r="A11150" t="s">
        <v>6</v>
      </c>
      <c r="B11150" t="s">
        <v>11155</v>
      </c>
      <c r="C11150">
        <f>HYPERLINK("C:\Users\franc\OneDrive\Documentos\MALENTIN KARIME\BANCO ESTADO\2012 DEPTO ESCRITURAS fata\NOTARIA 2009\PROTOCOLIZA\2008\INVERSIONES LAS PALOMAS LIMTADA.doc", "Abrir Documento")</f>
        <v>0</v>
      </c>
      <c r="D11150" t="s">
        <v>23500</v>
      </c>
      <c r="E11150" t="s">
        <v>33625</v>
      </c>
    </row>
    <row r="11151" spans="1:5">
      <c r="A11151" t="s">
        <v>6</v>
      </c>
      <c r="B11151" t="s">
        <v>11156</v>
      </c>
      <c r="C11151">
        <f>HYPERLINK("C:\Users\franc\OneDrive\Documentos\MALENTIN KARIME\BANCO ESTADO\2012 DEPTO ESCRITURAS fata\NOTARIA 2009\PROTOCOLIZA\2008\INPROCOL - I MUNICIPALIDAD OVALLE.doc", "Abrir Documento")</f>
        <v>0</v>
      </c>
      <c r="D11151" t="s">
        <v>23500</v>
      </c>
      <c r="E11151" t="s">
        <v>33626</v>
      </c>
    </row>
    <row r="11152" spans="1:5">
      <c r="A11152" t="s">
        <v>6</v>
      </c>
      <c r="B11152" t="s">
        <v>11157</v>
      </c>
      <c r="C11152">
        <f>HYPERLINK("C:\Users\franc\OneDrive\Documentos\MALENTIN KARIME\BANCO ESTADO\2012 DEPTO ESCRITURAS fata\NOTARIA 2009\PROTOCOLIZA\2008\INMOBILIARIA JOFRE S.A..doc", "Abrir Documento")</f>
        <v>0</v>
      </c>
      <c r="D11152" t="s">
        <v>23500</v>
      </c>
      <c r="E11152" t="s">
        <v>33627</v>
      </c>
    </row>
    <row r="11153" spans="1:5">
      <c r="A11153" t="s">
        <v>6</v>
      </c>
      <c r="B11153" t="s">
        <v>11158</v>
      </c>
      <c r="C11153">
        <f>HYPERLINK("C:\Users\franc\OneDrive\Documentos\MALENTIN KARIME\BANCO ESTADO\2012 DEPTO ESCRITURAS fata\NOTARIA 2009\PROTOCOLIZA\2008\CLUB DIABETICOS DON PANCHITO.doc", "Abrir Documento")</f>
        <v>0</v>
      </c>
      <c r="D11153" t="s">
        <v>23500</v>
      </c>
      <c r="E11153" t="s">
        <v>33628</v>
      </c>
    </row>
    <row r="11154" spans="1:5">
      <c r="A11154" t="s">
        <v>6</v>
      </c>
      <c r="B11154" t="s">
        <v>11159</v>
      </c>
      <c r="C11154">
        <f>HYPERLINK("C:\Users\franc\OneDrive\Documentos\MALENTIN KARIME\BANCO ESTADO\2012 DEPTO ESCRITURAS fata\NOTARIA 2009\PROTOCOLIZA\2008\AUTORIZ. FIRMAS CVI 174 (PATRICIA).doc", "Abrir Documento")</f>
        <v>0</v>
      </c>
      <c r="D11154" t="s">
        <v>23500</v>
      </c>
      <c r="E11154" t="s">
        <v>33629</v>
      </c>
    </row>
    <row r="11155" spans="1:5">
      <c r="A11155" t="s">
        <v>6</v>
      </c>
      <c r="B11155" t="s">
        <v>11160</v>
      </c>
      <c r="C11155">
        <f>HYPERLINK("C:\Users\franc\OneDrive\Documentos\MALENTIN KARIME\BANCO ESTADO\2012 DEPTO ESCRITURAS fata\NOTARIA 2009\PROTOCOLIZA\2008\AUTORIZ. FIRMAS CVI 174 (PATRICIA) 2.doc", "Abrir Documento")</f>
        <v>0</v>
      </c>
      <c r="D11155" t="s">
        <v>23500</v>
      </c>
      <c r="E11155" t="s">
        <v>33630</v>
      </c>
    </row>
    <row r="11156" spans="1:5">
      <c r="A11156" t="s">
        <v>6</v>
      </c>
      <c r="B11156" t="s">
        <v>11161</v>
      </c>
      <c r="C11156">
        <f>HYPERLINK("C:\Users\franc\OneDrive\Documentos\MALENTIN KARIME\BANCO ESTADO\2012 DEPTO ESCRITURAS fata\NOTARIA 2009\PROTOCOLIZA\2008\ARRENDAMIENTO ERASMO CORTES A MARIO RIVERA.doc", "Abrir Documento")</f>
        <v>0</v>
      </c>
      <c r="D11156" t="s">
        <v>23500</v>
      </c>
      <c r="E11156" t="s">
        <v>33631</v>
      </c>
    </row>
    <row r="11157" spans="1:5">
      <c r="A11157" t="s">
        <v>6</v>
      </c>
      <c r="B11157" t="s">
        <v>11162</v>
      </c>
      <c r="C11157">
        <f>HYPERLINK("C:\Users\franc\OneDrive\Documentos\MALENTIN KARIME\BANCO ESTADO\2012 DEPTO ESCRITURAS fata\NOTARIA 2009\PROTOCOLIZA\2008\ALCONES JUNTA GENERAL COMUNEROS.doc", "Abrir Documento")</f>
        <v>0</v>
      </c>
      <c r="D11157" t="s">
        <v>23500</v>
      </c>
      <c r="E11157" t="s">
        <v>33632</v>
      </c>
    </row>
    <row r="11158" spans="1:5">
      <c r="A11158" t="s">
        <v>6</v>
      </c>
      <c r="B11158" t="s">
        <v>11163</v>
      </c>
      <c r="C11158">
        <f>HYPERLINK("C:\Users\franc\OneDrive\Documentos\MALENTIN KARIME\BANCO ESTADO\2012 DEPTO ESCRITURAS fata\NOTARIA 2009\PROTOCOLIZA\2008\ALCONES ELECCION DIRECTIVA.doc", "Abrir Documento")</f>
        <v>0</v>
      </c>
      <c r="D11158" t="s">
        <v>23500</v>
      </c>
      <c r="E11158" t="s">
        <v>33633</v>
      </c>
    </row>
    <row r="11159" spans="1:5">
      <c r="A11159" t="s">
        <v>6</v>
      </c>
      <c r="B11159" t="s">
        <v>11164</v>
      </c>
      <c r="C11159">
        <f>HYPERLINK("C:\Users\franc\OneDrive\Documentos\MALENTIN KARIME\BANCO ESTADO\2012 DEPTO ESCRITURAS fata\NOTARIA 2009\PROTOCOLIZA\2007\TOMAS ROMAN ARAYA A COSME MORALES (Vehiculo).doc", "Abrir Documento")</f>
        <v>0</v>
      </c>
      <c r="D11159" t="s">
        <v>23500</v>
      </c>
      <c r="E11159" t="s">
        <v>33634</v>
      </c>
    </row>
    <row r="11160" spans="1:5">
      <c r="A11160" t="s">
        <v>6</v>
      </c>
      <c r="B11160" t="s">
        <v>11165</v>
      </c>
      <c r="C11160">
        <f>HYPERLINK("C:\Users\franc\OneDrive\Documentos\MALENTIN KARIME\BANCO ESTADO\2012 DEPTO ESCRITURAS fata\NOTARIA 2009\PROTOCOLIZA\2007\ROSA GONZALEZ INVENTARIO.doc", "Abrir Documento")</f>
        <v>0</v>
      </c>
      <c r="D11160" t="s">
        <v>23500</v>
      </c>
      <c r="E11160" t="s">
        <v>33635</v>
      </c>
    </row>
    <row r="11161" spans="1:5">
      <c r="A11161" t="s">
        <v>6</v>
      </c>
      <c r="B11161" t="s">
        <v>11166</v>
      </c>
      <c r="C11161">
        <f>HYPERLINK("C:\Users\franc\OneDrive\Documentos\MALENTIN KARIME\BANCO ESTADO\2012 DEPTO ESCRITURAS fata\NOTARIA 2009\PROTOCOLIZA\2007\E.I.R.L SERVICIOS AGRICOLA MARCOS ARANDA.doc", "Abrir Documento")</f>
        <v>0</v>
      </c>
      <c r="D11161" t="s">
        <v>23500</v>
      </c>
      <c r="E11161" t="s">
        <v>33636</v>
      </c>
    </row>
    <row r="11162" spans="1:5">
      <c r="A11162" t="s">
        <v>6</v>
      </c>
      <c r="B11162" t="s">
        <v>11167</v>
      </c>
      <c r="C11162">
        <f>HYPERLINK("C:\Users\franc\OneDrive\Documentos\MALENTIN KARIME\BANCO ESTADO\2012 DEPTO ESCRITURAS fata\NOTARIA 2009\PROTOCOLIZA\2007\COMITE MI FUTURA CASITA.doc", "Abrir Documento")</f>
        <v>0</v>
      </c>
      <c r="D11162" t="s">
        <v>23500</v>
      </c>
      <c r="E11162" t="s">
        <v>33637</v>
      </c>
    </row>
    <row r="11163" spans="1:5">
      <c r="A11163" t="s">
        <v>6</v>
      </c>
      <c r="B11163" t="s">
        <v>11168</v>
      </c>
      <c r="C11163">
        <f>HYPERLINK("C:\Users\franc\OneDrive\Documentos\MALENTIN KARIME\BANCO ESTADO\2012 DEPTO ESCRITURAS fata\NOTARIA 2009\PROTOCOLIZA\2007\Club DE SUBOFICIALES.doc", "Abrir Documento")</f>
        <v>0</v>
      </c>
      <c r="D11163" t="s">
        <v>23500</v>
      </c>
      <c r="E11163" t="s">
        <v>33638</v>
      </c>
    </row>
    <row r="11164" spans="1:5">
      <c r="A11164" t="s">
        <v>6</v>
      </c>
      <c r="B11164" t="s">
        <v>11169</v>
      </c>
      <c r="C11164">
        <f>HYPERLINK("C:\Users\franc\OneDrive\Documentos\MALENTIN KARIME\BANCO ESTADO\2012 DEPTO ESCRITURAS fata\NOTARIA 2009\PROTOCOLIZA\2007\CIRCULO DE SUBOFICIALES.doc", "Abrir Documento")</f>
        <v>0</v>
      </c>
      <c r="D11164" t="s">
        <v>23500</v>
      </c>
      <c r="E11164" t="s">
        <v>33639</v>
      </c>
    </row>
    <row r="11165" spans="1:5">
      <c r="A11165" t="s">
        <v>6</v>
      </c>
      <c r="B11165" t="s">
        <v>11170</v>
      </c>
      <c r="C11165">
        <f>HYPERLINK("C:\Users\franc\OneDrive\Documentos\MALENTIN KARIME\BANCO ESTADO\2012 DEPTO ESCRITURAS fata\NOTARIA 2009\PROTOCOLIZA\2007\ANTONIO SABIONCELLO (PODER ESPECIAL).doc", "Abrir Documento")</f>
        <v>0</v>
      </c>
      <c r="D11165" t="s">
        <v>23500</v>
      </c>
      <c r="E11165" t="s">
        <v>33640</v>
      </c>
    </row>
    <row r="11166" spans="1:5">
      <c r="A11166" t="s">
        <v>6</v>
      </c>
      <c r="B11166" t="s">
        <v>11171</v>
      </c>
      <c r="C11166">
        <f>HYPERLINK("C:\Users\franc\OneDrive\Documentos\MALENTIN KARIME\BANCO ESTADO\2012 DEPTO ESCRITURAS fata\NOTARIA 2009\PROTOCOLIZA\2007\AGRICOLA CHAÑARAL BAJO NORTE.doc", "Abrir Documento")</f>
        <v>0</v>
      </c>
      <c r="D11166" t="s">
        <v>23500</v>
      </c>
      <c r="E11166" t="s">
        <v>33641</v>
      </c>
    </row>
    <row r="11167" spans="1:5">
      <c r="A11167" t="s">
        <v>6</v>
      </c>
      <c r="B11167" t="s">
        <v>11172</v>
      </c>
      <c r="C11167">
        <f>HYPERLINK("C:\Users\franc\OneDrive\Documentos\MALENTIN KARIME\BANCO ESTADO\2012 DEPTO ESCRITURAS fata\NOTARIA 2009\PROTOCOLIZA\YACONI ACTA.doc", "Abrir Documento")</f>
        <v>0</v>
      </c>
      <c r="D11167" t="s">
        <v>23500</v>
      </c>
      <c r="E11167" t="s">
        <v>33642</v>
      </c>
    </row>
    <row r="11168" spans="1:5">
      <c r="A11168" t="s">
        <v>6</v>
      </c>
      <c r="B11168" t="s">
        <v>11173</v>
      </c>
      <c r="C11168">
        <f>HYPERLINK("C:\Users\franc\OneDrive\Documentos\MALENTIN KARIME\BANCO ESTADO\2012 DEPTO ESCRITURAS fata\NOTARIA 2009\PROTOCOLIZA\WILLIGIS STEGMEIER  (MARCELO).doc", "Abrir Documento")</f>
        <v>0</v>
      </c>
      <c r="D11168" t="s">
        <v>23500</v>
      </c>
      <c r="E11168" t="s">
        <v>33643</v>
      </c>
    </row>
    <row r="11169" spans="1:5">
      <c r="A11169" t="s">
        <v>6</v>
      </c>
      <c r="B11169" t="s">
        <v>11174</v>
      </c>
      <c r="C11169">
        <f>HYPERLINK("C:\Users\franc\OneDrive\Documentos\MALENTIN KARIME\BANCO ESTADO\2012 DEPTO ESCRITURAS fata\NOTARIA 2009\PROTOCOLIZA\SOCIEDAD VERANEO PACIFICO.doc", "Abrir Documento")</f>
        <v>0</v>
      </c>
      <c r="D11169" t="s">
        <v>23500</v>
      </c>
      <c r="E11169" t="s">
        <v>33644</v>
      </c>
    </row>
    <row r="11170" spans="1:5">
      <c r="A11170" t="s">
        <v>6</v>
      </c>
      <c r="B11170" t="s">
        <v>11175</v>
      </c>
      <c r="C11170">
        <f>HYPERLINK("C:\Users\franc\OneDrive\Documentos\MALENTIN KARIME\BANCO ESTADO\2012 DEPTO ESCRITURAS fata\NOTARIA 2009\PROTOCOLIZA\SOC. SIGLO XXI (Juan Robles 20-07-2007.doc", "Abrir Documento")</f>
        <v>0</v>
      </c>
      <c r="D11170" t="s">
        <v>23500</v>
      </c>
      <c r="E11170" t="s">
        <v>33645</v>
      </c>
    </row>
    <row r="11171" spans="1:5">
      <c r="A11171" t="s">
        <v>6</v>
      </c>
      <c r="B11171" t="s">
        <v>11176</v>
      </c>
      <c r="C11171">
        <f>HYPERLINK("C:\Users\franc\OneDrive\Documentos\MALENTIN KARIME\BANCO ESTADO\2012 DEPTO ESCRITURAS fata\NOTARIA 2009\PROTOCOLIZA\SATURNINO OSSANDON (INV. ).doc", "Abrir Documento")</f>
        <v>0</v>
      </c>
      <c r="D11171" t="s">
        <v>23500</v>
      </c>
      <c r="E11171" t="s">
        <v>33646</v>
      </c>
    </row>
    <row r="11172" spans="1:5">
      <c r="A11172" t="s">
        <v>6</v>
      </c>
      <c r="B11172" t="s">
        <v>11177</v>
      </c>
      <c r="C11172">
        <f>HYPERLINK("C:\Users\franc\OneDrive\Documentos\MALENTIN KARIME\BANCO ESTADO\2012 DEPTO ESCRITURAS fata\NOTARIA 2009\PROTOCOLIZA\PROTOCO. CLAUDIO ARDILES NOTARIO SUPLENTE.doc", "Abrir Documento")</f>
        <v>0</v>
      </c>
      <c r="D11172" t="s">
        <v>23500</v>
      </c>
      <c r="E11172" t="s">
        <v>33647</v>
      </c>
    </row>
    <row r="11173" spans="1:5">
      <c r="A11173" t="s">
        <v>6</v>
      </c>
      <c r="B11173" t="s">
        <v>11178</v>
      </c>
      <c r="C11173">
        <f>HYPERLINK("C:\Users\franc\OneDrive\Documentos\MALENTIN KARIME\BANCO ESTADO\2012 DEPTO ESCRITURAS fata\NOTARIA 2009\PROTOCOLIZA\PROTOC. NOMBRAMIENTO ADOLFO LAY.doc", "Abrir Documento")</f>
        <v>0</v>
      </c>
      <c r="D11173" t="s">
        <v>23500</v>
      </c>
      <c r="E11173" t="s">
        <v>33648</v>
      </c>
    </row>
    <row r="11174" spans="1:5">
      <c r="A11174" t="s">
        <v>6</v>
      </c>
      <c r="B11174" t="s">
        <v>11179</v>
      </c>
      <c r="C11174">
        <f>HYPERLINK("C:\Users\franc\OneDrive\Documentos\MALENTIN KARIME\BANCO ESTADO\2012 DEPTO ESCRITURAS fata\NOTARIA 2009\PROTOCOLIZA\PROTO. NOMB. NOTARIO MARIA MEDINA 1.doc", "Abrir Documento")</f>
        <v>0</v>
      </c>
      <c r="D11174" t="s">
        <v>23500</v>
      </c>
      <c r="E11174" t="s">
        <v>33649</v>
      </c>
    </row>
    <row r="11175" spans="1:5">
      <c r="A11175" t="s">
        <v>6</v>
      </c>
      <c r="B11175" t="s">
        <v>11180</v>
      </c>
      <c r="C11175">
        <f>HYPERLINK("C:\Users\franc\OneDrive\Documentos\MALENTIN KARIME\BANCO ESTADO\2012 DEPTO ESCRITURAS fata\NOTARIA 2009\PROTOCOLIZA\PROTO. NOMB. NOTARIO MALIO METTIFOGO.doc", "Abrir Documento")</f>
        <v>0</v>
      </c>
      <c r="D11175" t="s">
        <v>23500</v>
      </c>
      <c r="E11175" t="s">
        <v>33650</v>
      </c>
    </row>
    <row r="11176" spans="1:5">
      <c r="A11176" t="s">
        <v>6</v>
      </c>
      <c r="B11176" t="s">
        <v>11181</v>
      </c>
      <c r="C11176">
        <f>HYPERLINK("C:\Users\franc\OneDrive\Documentos\MALENTIN KARIME\BANCO ESTADO\2012 DEPTO ESCRITURAS fata\NOTARIA 2009\PROTOCOLIZA\PROTO. NOMB. NOTARIO GIOVANNA DOSSI.doc", "Abrir Documento")</f>
        <v>0</v>
      </c>
      <c r="D11176" t="s">
        <v>23500</v>
      </c>
      <c r="E11176" t="s">
        <v>33651</v>
      </c>
    </row>
    <row r="11177" spans="1:5">
      <c r="A11177" t="s">
        <v>6</v>
      </c>
      <c r="B11177" t="s">
        <v>11182</v>
      </c>
      <c r="C11177">
        <f>HYPERLINK("C:\Users\franc\OneDrive\Documentos\MALENTIN KARIME\BANCO ESTADO\2012 DEPTO ESCRITURAS fata\NOTARIA 2009\PROTOCOLIZA\PROTO. NOMB. NOTARIO GIOVANNA DOSSI 3.doc", "Abrir Documento")</f>
        <v>0</v>
      </c>
      <c r="D11177" t="s">
        <v>23500</v>
      </c>
      <c r="E11177" t="s">
        <v>33652</v>
      </c>
    </row>
    <row r="11178" spans="1:5">
      <c r="A11178" t="s">
        <v>6</v>
      </c>
      <c r="B11178" t="s">
        <v>11183</v>
      </c>
      <c r="C11178">
        <f>HYPERLINK("C:\Users\franc\OneDrive\Documentos\MALENTIN KARIME\BANCO ESTADO\2012 DEPTO ESCRITURAS fata\NOTARIA 2009\PROTOCOLIZA\PROTO. NOMB. NOTARIO GIOVANNA DOSSI 2.doc", "Abrir Documento")</f>
        <v>0</v>
      </c>
      <c r="D11178" t="s">
        <v>23500</v>
      </c>
      <c r="E11178" t="s">
        <v>33653</v>
      </c>
    </row>
    <row r="11179" spans="1:5">
      <c r="A11179" t="s">
        <v>6</v>
      </c>
      <c r="B11179" t="s">
        <v>11184</v>
      </c>
      <c r="C11179">
        <f>HYPERLINK("C:\Users\franc\OneDrive\Documentos\MALENTIN KARIME\BANCO ESTADO\2012 DEPTO ESCRITURAS fata\NOTARIA 2009\PROTOCOLIZA\prohibicion serviu formulario.doc", "Abrir Documento")</f>
        <v>0</v>
      </c>
      <c r="D11179" t="s">
        <v>23500</v>
      </c>
      <c r="E11179" t="s">
        <v>33654</v>
      </c>
    </row>
    <row r="11180" spans="1:5">
      <c r="A11180" t="s">
        <v>6</v>
      </c>
      <c r="B11180" t="s">
        <v>11185</v>
      </c>
      <c r="C11180">
        <f>HYPERLINK("C:\Users\franc\OneDrive\Documentos\MALENTIN KARIME\BANCO ESTADO\2012 DEPTO ESCRITURAS fata\NOTARIA 2009\PROTOCOLIZA\PATRICIO JORQUERA.doc", "Abrir Documento")</f>
        <v>0</v>
      </c>
      <c r="D11180" t="s">
        <v>23500</v>
      </c>
      <c r="E11180" t="s">
        <v>33655</v>
      </c>
    </row>
    <row r="11181" spans="1:5">
      <c r="A11181" t="s">
        <v>6</v>
      </c>
      <c r="B11181" t="s">
        <v>11186</v>
      </c>
      <c r="C11181">
        <f>HYPERLINK("C:\Users\franc\OneDrive\Documentos\MALENTIN KARIME\BANCO ESTADO\2012 DEPTO ESCRITURAS fata\NOTARIA 2009\PROTOCOLIZA\PATRICIA ROJAS (INVENTARIO).doc", "Abrir Documento")</f>
        <v>0</v>
      </c>
      <c r="D11181" t="s">
        <v>23500</v>
      </c>
      <c r="E11181" t="s">
        <v>33656</v>
      </c>
    </row>
    <row r="11182" spans="1:5">
      <c r="A11182" t="s">
        <v>6</v>
      </c>
      <c r="B11182" t="s">
        <v>11187</v>
      </c>
      <c r="C11182">
        <f>HYPERLINK("C:\Users\franc\OneDrive\Documentos\MALENTIN KARIME\BANCO ESTADO\2012 DEPTO ESCRITURAS fata\NOTARIA 2009\PROTOCOLIZA\PASCUALA ARANCIBIA (RECTIFICACION INVENT).doc", "Abrir Documento")</f>
        <v>0</v>
      </c>
      <c r="D11182" t="s">
        <v>23500</v>
      </c>
      <c r="E11182" t="s">
        <v>33657</v>
      </c>
    </row>
    <row r="11183" spans="1:5">
      <c r="A11183" t="s">
        <v>6</v>
      </c>
      <c r="B11183" t="s">
        <v>11188</v>
      </c>
      <c r="C11183">
        <f>HYPERLINK("C:\Users\franc\OneDrive\Documentos\MALENTIN KARIME\BANCO ESTADO\2012 DEPTO ESCRITURAS fata\NOTARIA 2009\PROTOCOLIZA\MIGUEL TAPIA.doc", "Abrir Documento")</f>
        <v>0</v>
      </c>
      <c r="D11183" t="s">
        <v>23500</v>
      </c>
      <c r="E11183" t="s">
        <v>33658</v>
      </c>
    </row>
    <row r="11184" spans="1:5">
      <c r="A11184" t="s">
        <v>6</v>
      </c>
      <c r="B11184" t="s">
        <v>11189</v>
      </c>
      <c r="C11184">
        <f>HYPERLINK("C:\Users\franc\OneDrive\Documentos\MALENTIN KARIME\BANCO ESTADO\2012 DEPTO ESCRITURAS fata\NOTARIA 2009\PROTOCOLIZA\LIMARI TRADING S..A.doc", "Abrir Documento")</f>
        <v>0</v>
      </c>
      <c r="D11184" t="s">
        <v>23500</v>
      </c>
      <c r="E11184" t="s">
        <v>33659</v>
      </c>
    </row>
    <row r="11185" spans="1:5">
      <c r="A11185" t="s">
        <v>6</v>
      </c>
      <c r="B11185" t="s">
        <v>11190</v>
      </c>
      <c r="C11185">
        <f>HYPERLINK("C:\Users\franc\OneDrive\Documentos\MALENTIN KARIME\BANCO ESTADO\2012 DEPTO ESCRITURAS fata\NOTARIA 2009\PROTOCOLIZA\JUVENAL GALINDO (INDAP).doc", "Abrir Documento")</f>
        <v>0</v>
      </c>
      <c r="D11185" t="s">
        <v>23500</v>
      </c>
      <c r="E11185" t="s">
        <v>33660</v>
      </c>
    </row>
    <row r="11186" spans="1:5">
      <c r="A11186" t="s">
        <v>6</v>
      </c>
      <c r="B11186" t="s">
        <v>11191</v>
      </c>
      <c r="C11186">
        <f>HYPERLINK("C:\Users\franc\OneDrive\Documentos\MALENTIN KARIME\BANCO ESTADO\2012 DEPTO ESCRITURAS fata\NOTARIA 2009\PROTOCOLIZA\JUVENAL GALINDO     2 (INDAP).doc", "Abrir Documento")</f>
        <v>0</v>
      </c>
      <c r="D11186" t="s">
        <v>23500</v>
      </c>
      <c r="E11186" t="s">
        <v>33661</v>
      </c>
    </row>
    <row r="11187" spans="1:5">
      <c r="A11187" t="s">
        <v>6</v>
      </c>
      <c r="B11187" t="s">
        <v>11192</v>
      </c>
      <c r="C11187">
        <f>HYPERLINK("C:\Users\franc\OneDrive\Documentos\MALENTIN KARIME\BANCO ESTADO\2012 DEPTO ESCRITURAS fata\NOTARIA 2009\PROTOCOLIZA\JUAN CARLOS.doc", "Abrir Documento")</f>
        <v>0</v>
      </c>
      <c r="D11187" t="s">
        <v>23500</v>
      </c>
      <c r="E11187" t="s">
        <v>33662</v>
      </c>
    </row>
    <row r="11188" spans="1:5">
      <c r="A11188" t="s">
        <v>6</v>
      </c>
      <c r="B11188" t="s">
        <v>11193</v>
      </c>
      <c r="C11188">
        <f>HYPERLINK("C:\Users\franc\OneDrive\Documentos\MALENTIN KARIME\BANCO ESTADO\2012 DEPTO ESCRITURAS fata\NOTARIA 2009\PROTOCOLIZA\JOSE JIMENEZ (INVENTARIO).doc", "Abrir Documento")</f>
        <v>0</v>
      </c>
      <c r="D11188" t="s">
        <v>23500</v>
      </c>
      <c r="E11188" t="s">
        <v>33663</v>
      </c>
    </row>
    <row r="11189" spans="1:5">
      <c r="A11189" t="s">
        <v>6</v>
      </c>
      <c r="B11189" t="s">
        <v>11194</v>
      </c>
      <c r="C11189">
        <f>HYPERLINK("C:\Users\franc\OneDrive\Documentos\MALENTIN KARIME\BANCO ESTADO\2012 DEPTO ESCRITURAS fata\NOTARIA 2009\PROTOCOLIZA\JOSE JIMENEZ ( SEGUNDO INVENTARIO).doc", "Abrir Documento")</f>
        <v>0</v>
      </c>
      <c r="D11189" t="s">
        <v>23500</v>
      </c>
      <c r="E11189" t="s">
        <v>33664</v>
      </c>
    </row>
    <row r="11190" spans="1:5">
      <c r="A11190" t="s">
        <v>6</v>
      </c>
      <c r="B11190" t="s">
        <v>11195</v>
      </c>
      <c r="C11190">
        <f>HYPERLINK("C:\Users\franc\OneDrive\Documentos\MALENTIN KARIME\BANCO ESTADO\2012 DEPTO ESCRITURAS fata\NOTARIA 2009\PROTOCOLIZA\INVENTARIO PIZARRO ZEBALLOS.doc", "Abrir Documento")</f>
        <v>0</v>
      </c>
      <c r="D11190" t="s">
        <v>23500</v>
      </c>
      <c r="E11190" t="s">
        <v>33665</v>
      </c>
    </row>
    <row r="11191" spans="1:5">
      <c r="A11191" t="s">
        <v>6</v>
      </c>
      <c r="B11191" t="s">
        <v>11196</v>
      </c>
      <c r="C11191">
        <f>HYPERLINK("C:\Users\franc\OneDrive\Documentos\MALENTIN KARIME\BANCO ESTADO\2012 DEPTO ESCRITURAS fata\NOTARIA 2009\PROTOCOLIZA\inventario Miguel Toledo Diaz.doc", "Abrir Documento")</f>
        <v>0</v>
      </c>
      <c r="D11191" t="s">
        <v>23500</v>
      </c>
      <c r="E11191" t="s">
        <v>33666</v>
      </c>
    </row>
    <row r="11192" spans="1:5">
      <c r="A11192" t="s">
        <v>6</v>
      </c>
      <c r="B11192" t="s">
        <v>11197</v>
      </c>
      <c r="C11192">
        <f>HYPERLINK("C:\Users\franc\OneDrive\Documentos\MALENTIN KARIME\BANCO ESTADO\2012 DEPTO ESCRITURAS fata\NOTARIA 2009\PROTOCOLIZA\Inventario Marcia Pizarro.doc", "Abrir Documento")</f>
        <v>0</v>
      </c>
      <c r="D11192" t="s">
        <v>23500</v>
      </c>
      <c r="E11192" t="s">
        <v>33667</v>
      </c>
    </row>
    <row r="11193" spans="1:5">
      <c r="A11193" t="s">
        <v>6</v>
      </c>
      <c r="B11193" t="s">
        <v>11198</v>
      </c>
      <c r="C11193">
        <f>HYPERLINK("C:\Users\franc\OneDrive\Documentos\MALENTIN KARIME\BANCO ESTADO\2012 DEPTO ESCRITURAS fata\NOTARIA 2009\PROTOCOLIZA\INVENT. MARIA PIZARRO (CORPORACION).doc", "Abrir Documento")</f>
        <v>0</v>
      </c>
      <c r="D11193" t="s">
        <v>23500</v>
      </c>
      <c r="E11193" t="s">
        <v>33668</v>
      </c>
    </row>
    <row r="11194" spans="1:5">
      <c r="A11194" t="s">
        <v>6</v>
      </c>
      <c r="B11194" t="s">
        <v>11199</v>
      </c>
      <c r="C11194">
        <f>HYPERLINK("C:\Users\franc\OneDrive\Documentos\MALENTIN KARIME\BANCO ESTADO\2012 DEPTO ESCRITURAS fata\NOTARIA 2009\PROTOCOLIZA\INVENT. CONCEPCION MARTINEZ (DON GONZALO).doc", "Abrir Documento")</f>
        <v>0</v>
      </c>
      <c r="D11194" t="s">
        <v>23500</v>
      </c>
      <c r="E11194" t="s">
        <v>33669</v>
      </c>
    </row>
    <row r="11195" spans="1:5">
      <c r="A11195" t="s">
        <v>6</v>
      </c>
      <c r="B11195" t="s">
        <v>11200</v>
      </c>
      <c r="C11195">
        <f>HYPERLINK("C:\Users\franc\OneDrive\Documentos\MALENTIN KARIME\BANCO ESTADO\2012 DEPTO ESCRITURAS fata\NOTARIA 2009\PROTOCOLIZA\INVEGON PROT. SOC.doc", "Abrir Documento")</f>
        <v>0</v>
      </c>
      <c r="D11195" t="s">
        <v>23500</v>
      </c>
      <c r="E11195" t="s">
        <v>33670</v>
      </c>
    </row>
    <row r="11196" spans="1:5">
      <c r="A11196" t="s">
        <v>6</v>
      </c>
      <c r="B11196" t="s">
        <v>11201</v>
      </c>
      <c r="C11196">
        <f>HYPERLINK("C:\Users\franc\OneDrive\Documentos\MALENTIN KARIME\BANCO ESTADO\2012 DEPTO ESCRITURAS fata\NOTARIA 2009\PROTOCOLIZA\IMARI.doc", "Abrir Documento")</f>
        <v>0</v>
      </c>
      <c r="D11196" t="s">
        <v>23500</v>
      </c>
      <c r="E11196" t="s">
        <v>33671</v>
      </c>
    </row>
    <row r="11197" spans="1:5">
      <c r="A11197" t="s">
        <v>6</v>
      </c>
      <c r="B11197" t="s">
        <v>11202</v>
      </c>
      <c r="C11197">
        <f>HYPERLINK("C:\Users\franc\OneDrive\Documentos\MALENTIN KARIME\BANCO ESTADO\2012 DEPTO ESCRITURAS fata\NOTARIA 2009\PROTOCOLIZA\HUGO DE LA RIVERA.doc", "Abrir Documento")</f>
        <v>0</v>
      </c>
      <c r="D11197" t="s">
        <v>23500</v>
      </c>
      <c r="E11197" t="s">
        <v>33672</v>
      </c>
    </row>
    <row r="11198" spans="1:5">
      <c r="A11198" t="s">
        <v>6</v>
      </c>
      <c r="B11198" t="s">
        <v>11203</v>
      </c>
      <c r="C11198">
        <f>HYPERLINK("C:\Users\franc\OneDrive\Documentos\MALENTIN KARIME\BANCO ESTADO\2012 DEPTO ESCRITURAS fata\NOTARIA 2009\PROTOCOLIZA\HOJA ANEXA.doc", "Abrir Documento")</f>
        <v>0</v>
      </c>
      <c r="D11198" t="s">
        <v>23500</v>
      </c>
      <c r="E11198" t="s">
        <v>33673</v>
      </c>
    </row>
    <row r="11199" spans="1:5">
      <c r="A11199" t="s">
        <v>6</v>
      </c>
      <c r="B11199" t="s">
        <v>11204</v>
      </c>
      <c r="C11199">
        <f>HYPERLINK("C:\Users\franc\OneDrive\Documentos\MALENTIN KARIME\BANCO ESTADO\2012 DEPTO ESCRITURAS fata\NOTARIA 2009\PROTOCOLIZA\GOTA DE LECHE.doc", "Abrir Documento")</f>
        <v>0</v>
      </c>
      <c r="D11199" t="s">
        <v>23500</v>
      </c>
      <c r="E11199" t="s">
        <v>33674</v>
      </c>
    </row>
    <row r="11200" spans="1:5">
      <c r="A11200" t="s">
        <v>6</v>
      </c>
      <c r="B11200" t="s">
        <v>11205</v>
      </c>
      <c r="C11200">
        <f>HYPERLINK("C:\Users\franc\OneDrive\Documentos\MALENTIN KARIME\BANCO ESTADO\2012 DEPTO ESCRITURAS fata\NOTARIA 2009\PROTOCOLIZA\GONART LIMITADA.doc", "Abrir Documento")</f>
        <v>0</v>
      </c>
      <c r="D11200" t="s">
        <v>23500</v>
      </c>
      <c r="E11200" t="s">
        <v>33675</v>
      </c>
    </row>
    <row r="11201" spans="1:5">
      <c r="A11201" t="s">
        <v>6</v>
      </c>
      <c r="B11201" t="s">
        <v>11206</v>
      </c>
      <c r="C11201">
        <f>HYPERLINK("C:\Users\franc\OneDrive\Documentos\MALENTIN KARIME\BANCO ESTADO\2012 DEPTO ESCRITURAS fata\NOTARIA 2009\PROTOCOLIZA\GONAGRO PROT SOC.doc", "Abrir Documento")</f>
        <v>0</v>
      </c>
      <c r="D11201" t="s">
        <v>23500</v>
      </c>
      <c r="E11201" t="s">
        <v>33676</v>
      </c>
    </row>
    <row r="11202" spans="1:5">
      <c r="A11202" t="s">
        <v>6</v>
      </c>
      <c r="B11202" t="s">
        <v>11207</v>
      </c>
      <c r="C11202">
        <f>HYPERLINK("C:\Users\franc\OneDrive\Documentos\MALENTIN KARIME\BANCO ESTADO\2012 DEPTO ESCRITURAS fata\NOTARIA 2009\PROTOCOLIZA\FIN PROTOCOLIZADO.doc", "Abrir Documento")</f>
        <v>0</v>
      </c>
      <c r="D11202" t="s">
        <v>23500</v>
      </c>
      <c r="E11202" t="s">
        <v>33677</v>
      </c>
    </row>
    <row r="11203" spans="1:5">
      <c r="A11203" t="s">
        <v>6</v>
      </c>
      <c r="B11203" t="s">
        <v>11208</v>
      </c>
      <c r="C11203">
        <f>HYPERLINK("C:\Users\franc\OneDrive\Documentos\MALENTIN KARIME\BANCO ESTADO\2012 DEPTO ESCRITURAS fata\NOTARIA 2009\PROTOCOLIZA\FERNANDO PEÑAFIEL  DECLARACION PATRIMONIO.doc", "Abrir Documento")</f>
        <v>0</v>
      </c>
      <c r="D11203" t="s">
        <v>23500</v>
      </c>
      <c r="E11203" t="s">
        <v>33678</v>
      </c>
    </row>
    <row r="11204" spans="1:5">
      <c r="A11204" t="s">
        <v>6</v>
      </c>
      <c r="B11204" t="s">
        <v>11209</v>
      </c>
      <c r="C11204">
        <f>HYPERLINK("C:\Users\franc\OneDrive\Documentos\MALENTIN KARIME\BANCO ESTADO\2012 DEPTO ESCRITURAS fata\NOTARIA 2009\PROTOCOLIZA\FALLECIMIENTO JOSE JIMENEZ HEREDIA.doc", "Abrir Documento")</f>
        <v>0</v>
      </c>
      <c r="D11204" t="s">
        <v>23500</v>
      </c>
      <c r="E11204" t="s">
        <v>33679</v>
      </c>
    </row>
    <row r="11205" spans="1:5">
      <c r="A11205" t="s">
        <v>6</v>
      </c>
      <c r="B11205" t="s">
        <v>11210</v>
      </c>
      <c r="C11205">
        <f>HYPERLINK("C:\Users\franc\OneDrive\Documentos\MALENTIN KARIME\BANCO ESTADO\2012 DEPTO ESCRITURAS fata\NOTARIA 2009\PROTOCOLIZA\EDMUNDO ARAYA (INDAP).doc", "Abrir Documento")</f>
        <v>0</v>
      </c>
      <c r="D11205" t="s">
        <v>23500</v>
      </c>
      <c r="E11205" t="s">
        <v>33680</v>
      </c>
    </row>
    <row r="11206" spans="1:5">
      <c r="A11206" t="s">
        <v>6</v>
      </c>
      <c r="B11206" t="s">
        <v>11211</v>
      </c>
      <c r="C11206">
        <f>HYPERLINK("C:\Users\franc\OneDrive\Documentos\MALENTIN KARIME\BANCO ESTADO\2012 DEPTO ESCRITURAS fata\NOTARIA 2009\PROTOCOLIZA\DECLARACION MARCELO BUSTOS.doc", "Abrir Documento")</f>
        <v>0</v>
      </c>
      <c r="D11206" t="s">
        <v>23500</v>
      </c>
      <c r="E11206" t="s">
        <v>33681</v>
      </c>
    </row>
    <row r="11207" spans="1:5">
      <c r="A11207" t="s">
        <v>6</v>
      </c>
      <c r="B11207" t="s">
        <v>11212</v>
      </c>
      <c r="C11207">
        <f>HYPERLINK("C:\Users\franc\OneDrive\Documentos\MALENTIN KARIME\BANCO ESTADO\2012 DEPTO ESCRITURAS fata\NOTARIA 2009\PROTOCOLIZA\DAVID AMABLE NAVEA (AMPLIACION INVENT).doc", "Abrir Documento")</f>
        <v>0</v>
      </c>
      <c r="D11207" t="s">
        <v>23500</v>
      </c>
      <c r="E11207" t="s">
        <v>33682</v>
      </c>
    </row>
    <row r="11208" spans="1:5">
      <c r="A11208" t="s">
        <v>6</v>
      </c>
      <c r="B11208" t="s">
        <v>11213</v>
      </c>
      <c r="C11208">
        <f>HYPERLINK("C:\Users\franc\OneDrive\Documentos\MALENTIN KARIME\BANCO ESTADO\2012 DEPTO ESCRITURAS fata\NOTARIA 2009\PROTOCOLIZA\CUARTEL GENERAL BOMBEROS.doc", "Abrir Documento")</f>
        <v>0</v>
      </c>
      <c r="D11208" t="s">
        <v>23500</v>
      </c>
      <c r="E11208" t="s">
        <v>33683</v>
      </c>
    </row>
    <row r="11209" spans="1:5">
      <c r="A11209" t="s">
        <v>6</v>
      </c>
      <c r="B11209" t="s">
        <v>11214</v>
      </c>
      <c r="C11209">
        <f>HYPERLINK("C:\Users\franc\OneDrive\Documentos\MALENTIN KARIME\BANCO ESTADO\2012 DEPTO ESCRITURAS fata\NOTARIA 2009\PROTOCOLIZA\CRUZ COLORADA.doc", "Abrir Documento")</f>
        <v>0</v>
      </c>
      <c r="D11209" t="s">
        <v>23500</v>
      </c>
      <c r="E11209" t="s">
        <v>33684</v>
      </c>
    </row>
    <row r="11210" spans="1:5">
      <c r="A11210" t="s">
        <v>6</v>
      </c>
      <c r="B11210" t="s">
        <v>11215</v>
      </c>
      <c r="C11210">
        <f>HYPERLINK("C:\Users\franc\OneDrive\Documentos\MALENTIN KARIME\BANCO ESTADO\2012 DEPTO ESCRITURAS fata\NOTARIA 2009\PROTOCOLIZA\copia prot.doc", "Abrir Documento")</f>
        <v>0</v>
      </c>
      <c r="D11210" t="s">
        <v>23500</v>
      </c>
      <c r="E11210" t="s">
        <v>33685</v>
      </c>
    </row>
    <row r="11211" spans="1:5">
      <c r="A11211" t="s">
        <v>6</v>
      </c>
      <c r="B11211" t="s">
        <v>11216</v>
      </c>
      <c r="C11211">
        <f>HYPERLINK("C:\Users\franc\OneDrive\Documentos\MALENTIN KARIME\BANCO ESTADO\2012 DEPTO ESCRITURAS fata\NOTARIA 2009\PROTOCOLIZA\COMUNIDAD LOS TRIGOS (ELECCION DIRECTIVA).doc", "Abrir Documento")</f>
        <v>0</v>
      </c>
      <c r="D11211" t="s">
        <v>23500</v>
      </c>
      <c r="E11211" t="s">
        <v>33686</v>
      </c>
    </row>
    <row r="11212" spans="1:5">
      <c r="A11212" t="s">
        <v>6</v>
      </c>
      <c r="B11212" t="s">
        <v>11217</v>
      </c>
      <c r="C11212">
        <f>HYPERLINK("C:\Users\franc\OneDrive\Documentos\MALENTIN KARIME\BANCO ESTADO\2012 DEPTO ESCRITURAS fata\NOTARIA 2009\PROTOCOLIZA\COMUNIDAD LOS MAITENES.doc", "Abrir Documento")</f>
        <v>0</v>
      </c>
      <c r="D11212" t="s">
        <v>23500</v>
      </c>
      <c r="E11212" t="s">
        <v>33687</v>
      </c>
    </row>
    <row r="11213" spans="1:5">
      <c r="A11213" t="s">
        <v>6</v>
      </c>
      <c r="B11213" t="s">
        <v>11218</v>
      </c>
      <c r="C11213">
        <f>HYPERLINK("C:\Users\franc\OneDrive\Documentos\MALENTIN KARIME\BANCO ESTADO\2012 DEPTO ESCRITURAS fata\NOTARIA 2009\PROTOCOLIZA\COMUNIDAD INGA PICHASCA.doc", "Abrir Documento")</f>
        <v>0</v>
      </c>
      <c r="D11213" t="s">
        <v>23500</v>
      </c>
      <c r="E11213" t="s">
        <v>33688</v>
      </c>
    </row>
    <row r="11214" spans="1:5">
      <c r="A11214" t="s">
        <v>6</v>
      </c>
      <c r="B11214" t="s">
        <v>11219</v>
      </c>
      <c r="C11214">
        <f>HYPERLINK("C:\Users\franc\OneDrive\Documentos\MALENTIN KARIME\BANCO ESTADO\2012 DEPTO ESCRITURAS fata\NOTARIA 2009\PROTOCOLIZA\COMUNIDAD INCA PICHASCA FINAL.doc", "Abrir Documento")</f>
        <v>0</v>
      </c>
      <c r="D11214" t="s">
        <v>23500</v>
      </c>
      <c r="E11214" t="s">
        <v>33689</v>
      </c>
    </row>
    <row r="11215" spans="1:5">
      <c r="A11215" t="s">
        <v>6</v>
      </c>
      <c r="B11215" t="s">
        <v>11220</v>
      </c>
      <c r="C11215">
        <f>HYPERLINK("C:\Users\franc\OneDrive\Documentos\MALENTIN KARIME\BANCO ESTADO\2012 DEPTO ESCRITURAS fata\NOTARIA 2009\PROTOCOLIZA\COMUNIDAD CERRO BLANCO (DIRECTIVA).doc", "Abrir Documento")</f>
        <v>0</v>
      </c>
      <c r="D11215" t="s">
        <v>23500</v>
      </c>
      <c r="E11215" t="s">
        <v>33690</v>
      </c>
    </row>
    <row r="11216" spans="1:5">
      <c r="A11216" t="s">
        <v>6</v>
      </c>
      <c r="B11216" t="s">
        <v>11221</v>
      </c>
      <c r="C11216">
        <f>HYPERLINK("C:\Users\franc\OneDrive\Documentos\MALENTIN KARIME\BANCO ESTADO\2012 DEPTO ESCRITURAS fata\NOTARIA 2009\PROTOCOLIZA\COMUNIDAD AGUAS CANAL ROMERAL.doc", "Abrir Documento")</f>
        <v>0</v>
      </c>
      <c r="D11216" t="s">
        <v>23500</v>
      </c>
      <c r="E11216" t="s">
        <v>33691</v>
      </c>
    </row>
    <row r="11217" spans="1:5">
      <c r="A11217" t="s">
        <v>6</v>
      </c>
      <c r="B11217" t="s">
        <v>11222</v>
      </c>
      <c r="C11217">
        <f>HYPERLINK("C:\Users\franc\OneDrive\Documentos\MALENTIN KARIME\BANCO ESTADO\2012 DEPTO ESCRITURAS fata\NOTARIA 2009\PROTOCOLIZA\COMUNIDAD AGUAS CANAL MANZANO.doc", "Abrir Documento")</f>
        <v>0</v>
      </c>
      <c r="D11217" t="s">
        <v>23500</v>
      </c>
      <c r="E11217" t="s">
        <v>33692</v>
      </c>
    </row>
    <row r="11218" spans="1:5">
      <c r="A11218" t="s">
        <v>6</v>
      </c>
      <c r="B11218" t="s">
        <v>11223</v>
      </c>
      <c r="C11218">
        <f>HYPERLINK("C:\Users\franc\OneDrive\Documentos\MALENTIN KARIME\BANCO ESTADO\2012 DEPTO ESCRITURAS fata\NOTARIA 2009\PROTOCOLIZA\COMUNIDAD AGUAS CANAL MANZANO 2.doc", "Abrir Documento")</f>
        <v>0</v>
      </c>
      <c r="D11218" t="s">
        <v>23500</v>
      </c>
      <c r="E11218" t="s">
        <v>33693</v>
      </c>
    </row>
    <row r="11219" spans="1:5">
      <c r="A11219" t="s">
        <v>6</v>
      </c>
      <c r="B11219" t="s">
        <v>11224</v>
      </c>
      <c r="C11219">
        <f>HYPERLINK("C:\Users\franc\OneDrive\Documentos\MALENTIN KARIME\BANCO ESTADO\2012 DEPTO ESCRITURAS fata\NOTARIA 2009\PROTOCOLIZA\COMUN. AGUAS CANAL POBLACION MIALQUI (C. BUGUEÑO).doc", "Abrir Documento")</f>
        <v>0</v>
      </c>
      <c r="D11219" t="s">
        <v>23500</v>
      </c>
      <c r="E11219" t="s">
        <v>33694</v>
      </c>
    </row>
    <row r="11220" spans="1:5">
      <c r="A11220" t="s">
        <v>6</v>
      </c>
      <c r="B11220" t="s">
        <v>11225</v>
      </c>
      <c r="C11220">
        <f>HYPERLINK("C:\Users\franc\OneDrive\Documentos\MALENTIN KARIME\BANCO ESTADO\2012 DEPTO ESCRITURAS fata\NOTARIA 2009\PROTOCOLIZA\CMTE DE ADELANTO San Antonio.doc", "Abrir Documento")</f>
        <v>0</v>
      </c>
      <c r="D11220" t="s">
        <v>23500</v>
      </c>
      <c r="E11220" t="s">
        <v>33695</v>
      </c>
    </row>
    <row r="11221" spans="1:5">
      <c r="A11221" t="s">
        <v>6</v>
      </c>
      <c r="B11221" t="s">
        <v>11226</v>
      </c>
      <c r="C11221">
        <f>HYPERLINK("C:\Users\franc\OneDrive\Documentos\MALENTIN KARIME\BANCO ESTADO\2012 DEPTO ESCRITURAS fata\NOTARIA 2009\PROTOCOLIZA\BOMBEROS.doc", "Abrir Documento")</f>
        <v>0</v>
      </c>
      <c r="D11221" t="s">
        <v>23500</v>
      </c>
      <c r="E11221" t="s">
        <v>33696</v>
      </c>
    </row>
    <row r="11222" spans="1:5">
      <c r="A11222" t="s">
        <v>6</v>
      </c>
      <c r="B11222" t="s">
        <v>11227</v>
      </c>
      <c r="C11222">
        <f>HYPERLINK("C:\Users\franc\OneDrive\Documentos\MALENTIN KARIME\BANCO ESTADO\2012 DEPTO ESCRITURAS fata\NOTARIA 2009\PROTOCOLIZA\AUTORIZA PROTOCOLO.doc", "Abrir Documento")</f>
        <v>0</v>
      </c>
      <c r="D11222" t="s">
        <v>23500</v>
      </c>
      <c r="E11222" t="s">
        <v>33697</v>
      </c>
    </row>
    <row r="11223" spans="1:5">
      <c r="A11223" t="s">
        <v>6</v>
      </c>
      <c r="B11223" t="s">
        <v>11228</v>
      </c>
      <c r="C11223">
        <f>HYPERLINK("C:\Users\franc\OneDrive\Documentos\MALENTIN KARIME\BANCO ESTADO\2012 DEPTO ESCRITURAS fata\NOTARIA 2009\PROTOCOLIZA\AUTORIZA LIBRO.doc", "Abrir Documento")</f>
        <v>0</v>
      </c>
      <c r="D11223" t="s">
        <v>23500</v>
      </c>
      <c r="E11223" t="s">
        <v>33698</v>
      </c>
    </row>
    <row r="11224" spans="1:5">
      <c r="A11224" t="s">
        <v>6</v>
      </c>
      <c r="B11224" t="s">
        <v>11229</v>
      </c>
      <c r="C11224">
        <f>HYPERLINK("C:\Users\franc\OneDrive\Documentos\MALENTIN KARIME\BANCO ESTADO\2012 DEPTO ESCRITURAS fata\NOTARIA 2009\PROTOCOLIZA\AMPLIACION INVENTARIO.doc", "Abrir Documento")</f>
        <v>0</v>
      </c>
      <c r="D11224" t="s">
        <v>23500</v>
      </c>
      <c r="E11224" t="s">
        <v>33699</v>
      </c>
    </row>
    <row r="11225" spans="1:5">
      <c r="A11225" t="s">
        <v>6</v>
      </c>
      <c r="B11225" t="s">
        <v>11230</v>
      </c>
      <c r="C11225">
        <f>HYPERLINK("C:\Users\franc\OneDrive\Documentos\MALENTIN KARIME\BANCO ESTADO\2012 DEPTO ESCRITURAS fata\NOTARIA 2009\PROTOCOLIZA\ALZAMIENTO INDAP.doc", "Abrir Documento")</f>
        <v>0</v>
      </c>
      <c r="D11225" t="s">
        <v>23500</v>
      </c>
      <c r="E11225" t="s">
        <v>33700</v>
      </c>
    </row>
    <row r="11226" spans="1:5">
      <c r="A11226" t="s">
        <v>6</v>
      </c>
      <c r="B11226" t="s">
        <v>11231</v>
      </c>
      <c r="C11226">
        <f>HYPERLINK("C:\Users\franc\OneDrive\Documentos\MALENTIN KARIME\BANCO ESTADO\2012 DEPTO ESCRITURAS fata\NOTARIA 2009\PROTOCOLIZA\ALCONES REUNION EXTRAOR (COMODATO).doc", "Abrir Documento")</f>
        <v>0</v>
      </c>
      <c r="D11226" t="s">
        <v>23500</v>
      </c>
      <c r="E11226" t="s">
        <v>33701</v>
      </c>
    </row>
    <row r="11227" spans="1:5">
      <c r="A11227" t="s">
        <v>6</v>
      </c>
      <c r="B11227" t="s">
        <v>11232</v>
      </c>
      <c r="C11227">
        <f>HYPERLINK("C:\Users\franc\OneDrive\Documentos\MALENTIN KARIME\BANCO ESTADO\2012 DEPTO ESCRITURAS fata\NOTARIA 2009\PROTOCOLIZA\ALCONES REUNION DIRECTORIO.doc", "Abrir Documento")</f>
        <v>0</v>
      </c>
      <c r="D11227" t="s">
        <v>23500</v>
      </c>
      <c r="E11227" t="s">
        <v>33702</v>
      </c>
    </row>
    <row r="11228" spans="1:5">
      <c r="A11228" t="s">
        <v>6</v>
      </c>
      <c r="B11228" t="s">
        <v>11233</v>
      </c>
      <c r="C11228">
        <f>HYPERLINK("C:\Users\franc\OneDrive\Documentos\MALENTIN KARIME\BANCO ESTADO\2012 DEPTO ESCRITURAS fata\NOTARIA 2009\PROTOCOLIZA\ALCONES JUNTA GENERAL (JULIO 2006).doc", "Abrir Documento")</f>
        <v>0</v>
      </c>
      <c r="D11228" t="s">
        <v>23500</v>
      </c>
      <c r="E11228" t="s">
        <v>33703</v>
      </c>
    </row>
    <row r="11229" spans="1:5">
      <c r="A11229" t="s">
        <v>6</v>
      </c>
      <c r="B11229" t="s">
        <v>11234</v>
      </c>
      <c r="C11229">
        <f>HYPERLINK("C:\Users\franc\OneDrive\Documentos\MALENTIN KARIME\BANCO ESTADO\2012 DEPTO ESCRITURAS fata\NOTARIA 2009\PROTOCOLIZA\ALCONES AUTORIZA.doc", "Abrir Documento")</f>
        <v>0</v>
      </c>
      <c r="D11229" t="s">
        <v>23500</v>
      </c>
      <c r="E11229" t="s">
        <v>33704</v>
      </c>
    </row>
    <row r="11230" spans="1:5">
      <c r="A11230" t="s">
        <v>6</v>
      </c>
      <c r="B11230" t="s">
        <v>11235</v>
      </c>
      <c r="C11230">
        <f>HYPERLINK("C:\Users\franc\OneDrive\Documentos\MALENTIN KARIME\BANCO ESTADO\2012 DEPTO ESCRITURAS fata\NOTARIA 2009\PROTOCOLIZA\ALCONES ACTA ACUERDO.doc", "Abrir Documento")</f>
        <v>0</v>
      </c>
      <c r="D11230" t="s">
        <v>23500</v>
      </c>
      <c r="E11230" t="s">
        <v>33705</v>
      </c>
    </row>
    <row r="11231" spans="1:5">
      <c r="A11231" t="s">
        <v>6</v>
      </c>
      <c r="B11231" t="s">
        <v>11236</v>
      </c>
      <c r="C11231">
        <f>HYPERLINK("C:\Users\franc\OneDrive\Documentos\MALENTIN KARIME\BANCO ESTADO\2012 DEPTO ESCRITURAS fata\NOTARIA 2009\PROTOCOLIZA\ALCONES ACTA 28 nov..doc", "Abrir Documento")</f>
        <v>0</v>
      </c>
      <c r="D11231" t="s">
        <v>23500</v>
      </c>
      <c r="E11231" t="s">
        <v>33706</v>
      </c>
    </row>
    <row r="11232" spans="1:5">
      <c r="A11232" t="s">
        <v>6</v>
      </c>
      <c r="B11232" t="s">
        <v>11237</v>
      </c>
      <c r="C11232">
        <f>HYPERLINK("C:\Users\franc\OneDrive\Documentos\MALENTIN KARIME\BANCO ESTADO\2012 DEPTO ESCRITURAS fata\NOTARIA 2009\PROTOCOLIZA\ALCONES ACTA 22 DE NOV. 2006.doc", "Abrir Documento")</f>
        <v>0</v>
      </c>
      <c r="D11232" t="s">
        <v>23500</v>
      </c>
      <c r="E11232" t="s">
        <v>33707</v>
      </c>
    </row>
    <row r="11233" spans="1:5">
      <c r="A11233" t="s">
        <v>6</v>
      </c>
      <c r="B11233" t="s">
        <v>11238</v>
      </c>
      <c r="C11233">
        <f>HYPERLINK("C:\Users\franc\OneDrive\Documentos\MALENTIN KARIME\BANCO ESTADO\2012 DEPTO ESCRITURAS fata\NOTARIA 2009\PROTOCOLIZA\ALCONES 24 ABRIL 2006 AUT. BANCO.doc", "Abrir Documento")</f>
        <v>0</v>
      </c>
      <c r="D11233" t="s">
        <v>23500</v>
      </c>
      <c r="E11233" t="s">
        <v>33708</v>
      </c>
    </row>
    <row r="11234" spans="1:5">
      <c r="A11234" t="s">
        <v>6</v>
      </c>
      <c r="B11234" t="s">
        <v>11239</v>
      </c>
      <c r="C11234">
        <f>HYPERLINK("C:\Users\franc\OneDrive\Documentos\MALENTIN KARIME\BANCO ESTADO\2012 DEPTO ESCRITURAS fata\NOTARIA 2009\PROTOCOLIZA\ALCONES 21 abril 2006.doc", "Abrir Documento")</f>
        <v>0</v>
      </c>
      <c r="D11234" t="s">
        <v>23500</v>
      </c>
      <c r="E11234" t="s">
        <v>33709</v>
      </c>
    </row>
    <row r="11235" spans="1:5">
      <c r="A11235" t="s">
        <v>6</v>
      </c>
      <c r="B11235" t="s">
        <v>11240</v>
      </c>
      <c r="C11235">
        <f>HYPERLINK("C:\Users\franc\OneDrive\Documentos\MALENTIN KARIME\BANCO ESTADO\2012 DEPTO ESCRITURAS fata\NOTARIA 2009\PROTOCOLIZA\ALCONES 20 MARZO 2006.doc", "Abrir Documento")</f>
        <v>0</v>
      </c>
      <c r="D11235" t="s">
        <v>23500</v>
      </c>
      <c r="E11235" t="s">
        <v>33710</v>
      </c>
    </row>
    <row r="11236" spans="1:5">
      <c r="A11236" t="s">
        <v>6</v>
      </c>
      <c r="B11236" t="s">
        <v>11241</v>
      </c>
      <c r="C11236">
        <f>HYPERLINK("C:\Users\franc\OneDrive\Documentos\MALENTIN KARIME\BANCO ESTADO\2012 DEPTO ESCRITURAS fata\NOTARIA 2009\PROTOCOLIZA\ALCONES (JUAN CARLOS).doc", "Abrir Documento")</f>
        <v>0</v>
      </c>
      <c r="D11236" t="s">
        <v>23500</v>
      </c>
      <c r="E11236" t="s">
        <v>33711</v>
      </c>
    </row>
    <row r="11237" spans="1:5">
      <c r="A11237" t="s">
        <v>6</v>
      </c>
      <c r="B11237" t="s">
        <v>11242</v>
      </c>
      <c r="C11237">
        <f>HYPERLINK("C:\Users\franc\OneDrive\Documentos\MALENTIN KARIME\BANCO ESTADO\2012 DEPTO ESCRITURAS fata\NOTARIA 2009\PROTOCOLIZA\ALCONES  poder energia.doc", "Abrir Documento")</f>
        <v>0</v>
      </c>
      <c r="D11237" t="s">
        <v>23500</v>
      </c>
      <c r="E11237" t="s">
        <v>33712</v>
      </c>
    </row>
    <row r="11238" spans="1:5">
      <c r="A11238" t="s">
        <v>6</v>
      </c>
      <c r="B11238" t="s">
        <v>11243</v>
      </c>
      <c r="C11238">
        <f>HYPERLINK("C:\Users\franc\OneDrive\Documentos\MALENTIN KARIME\BANCO ESTADO\2012 DEPTO ESCRITURAS fata\NOTARIA 2009\PROTOCOLIZA\ACTA AUTORIZ. 31.07.2006.doc", "Abrir Documento")</f>
        <v>0</v>
      </c>
      <c r="D11238" t="s">
        <v>23500</v>
      </c>
      <c r="E11238" t="s">
        <v>33713</v>
      </c>
    </row>
    <row r="11239" spans="1:5">
      <c r="A11239" t="s">
        <v>6</v>
      </c>
      <c r="B11239" t="s">
        <v>11244</v>
      </c>
      <c r="C11239">
        <f>HYPERLINK("C:\Users\franc\OneDrive\Documentos\MALENTIN KARIME\BANCO ESTADO\2012 DEPTO ESCRITURAS fata\NOTARIA 2009\PROTOCOLIZA\ACTA AUTORIZ.  dos   31.07.2006.doc", "Abrir Documento")</f>
        <v>0</v>
      </c>
      <c r="D11239" t="s">
        <v>23500</v>
      </c>
      <c r="E11239" t="s">
        <v>33714</v>
      </c>
    </row>
    <row r="11240" spans="1:5">
      <c r="A11240" t="s">
        <v>6</v>
      </c>
      <c r="B11240" t="s">
        <v>11245</v>
      </c>
      <c r="C11240">
        <f>HYPERLINK("C:\Users\franc\OneDrive\Documentos\MALENTIN KARIME\BANCO ESTADO\2012 DEPTO ESCRITURAS fata\NOTARIA 2009\PROTOCOLIZA\ACTA ACUERDO ARRIENDO ASAMBLEA.doc", "Abrir Documento")</f>
        <v>0</v>
      </c>
      <c r="D11240" t="s">
        <v>23500</v>
      </c>
      <c r="E11240" t="s">
        <v>33715</v>
      </c>
    </row>
    <row r="11241" spans="1:5">
      <c r="A11241" t="s">
        <v>6</v>
      </c>
      <c r="B11241" t="s">
        <v>11246</v>
      </c>
      <c r="C11241">
        <f>HYPERLINK("C:\Users\franc\OneDrive\Documentos\MALENTIN KARIME\BANCO ESTADO\2012 DEPTO ESCRITURAS fata\NOTARIA 2009\PROTOCOLIZA\ACTA ....... BERNARDO ESCALANTE.doc", "Abrir Documento")</f>
        <v>0</v>
      </c>
      <c r="D11241" t="s">
        <v>23500</v>
      </c>
      <c r="E11241" t="s">
        <v>33716</v>
      </c>
    </row>
    <row r="11242" spans="1:5">
      <c r="A11242" t="s">
        <v>6</v>
      </c>
      <c r="B11242" t="s">
        <v>11247</v>
      </c>
      <c r="C11242">
        <f>HYPERLINK("C:\Users\franc\OneDrive\Documentos\MALENTIN KARIME\BANCO ESTADO\2012 DEPTO ESCRITURAS fata\NOTARIA 2009\PROMESAS\WILSON SALINAS A SU HIJO (VEHICULO).doc", "Abrir Documento")</f>
        <v>0</v>
      </c>
      <c r="D11242" t="s">
        <v>23500</v>
      </c>
      <c r="E11242" t="s">
        <v>33717</v>
      </c>
    </row>
    <row r="11243" spans="1:5">
      <c r="A11243" t="s">
        <v>6</v>
      </c>
      <c r="B11243" t="s">
        <v>11248</v>
      </c>
      <c r="C11243">
        <f>HYPERLINK("C:\Users\franc\OneDrive\Documentos\MALENTIN KARIME\BANCO ESTADO\2012 DEPTO ESCRITURAS fata\NOTARIA 2009\PROMESAS\VICTOR RAVANAL Y OTR. A OSCAR ANGEL.doc", "Abrir Documento")</f>
        <v>0</v>
      </c>
      <c r="D11243" t="s">
        <v>23500</v>
      </c>
      <c r="E11243" t="s">
        <v>33718</v>
      </c>
    </row>
    <row r="11244" spans="1:5">
      <c r="A11244" t="s">
        <v>6</v>
      </c>
      <c r="B11244" t="s">
        <v>11249</v>
      </c>
      <c r="C11244">
        <f>HYPERLINK("C:\Users\franc\OneDrive\Documentos\MALENTIN KARIME\BANCO ESTADO\2012 DEPTO ESCRITURAS fata\NOTARIA 2009\PROMESAS\VICTOR PIZARRO A WALDO CARMONA (VEHICULO).doc", "Abrir Documento")</f>
        <v>0</v>
      </c>
      <c r="D11244" t="s">
        <v>23500</v>
      </c>
      <c r="E11244" t="s">
        <v>33719</v>
      </c>
    </row>
    <row r="11245" spans="1:5">
      <c r="A11245" t="s">
        <v>6</v>
      </c>
      <c r="B11245" t="s">
        <v>11250</v>
      </c>
      <c r="C11245">
        <f>HYPERLINK("C:\Users\franc\OneDrive\Documentos\MALENTIN KARIME\BANCO ESTADO\2012 DEPTO ESCRITURAS fata\NOTARIA 2009\PROMESAS\VICTOR MONARDES A ANYELA CISTERNAS  (VEHICULO).doc", "Abrir Documento")</f>
        <v>0</v>
      </c>
      <c r="D11245" t="s">
        <v>23500</v>
      </c>
      <c r="E11245" t="s">
        <v>33720</v>
      </c>
    </row>
    <row r="11246" spans="1:5">
      <c r="A11246" t="s">
        <v>6</v>
      </c>
      <c r="B11246" t="s">
        <v>11251</v>
      </c>
      <c r="C11246">
        <f>HYPERLINK("C:\Users\franc\OneDrive\Documentos\MALENTIN KARIME\BANCO ESTADO\2012 DEPTO ESCRITURAS fata\NOTARIA 2009\PROMESAS\VERONICA CORTES A MARIA BARRAZA (ABO. ANGELICA MARIN).doc", "Abrir Documento")</f>
        <v>0</v>
      </c>
      <c r="D11246" t="s">
        <v>23500</v>
      </c>
      <c r="E11246" t="s">
        <v>33721</v>
      </c>
    </row>
    <row r="11247" spans="1:5">
      <c r="A11247" t="s">
        <v>6</v>
      </c>
      <c r="B11247" t="s">
        <v>11252</v>
      </c>
      <c r="C11247">
        <f>HYPERLINK("C:\Users\franc\OneDrive\Documentos\MALENTIN KARIME\BANCO ESTADO\2012 DEPTO ESCRITURAS fata\NOTARIA 2009\PROMESAS\TULIO ALFARO A JAIME TAPIA (CASA).doc", "Abrir Documento")</f>
        <v>0</v>
      </c>
      <c r="D11247" t="s">
        <v>23500</v>
      </c>
      <c r="E11247" t="s">
        <v>33722</v>
      </c>
    </row>
    <row r="11248" spans="1:5">
      <c r="A11248" t="s">
        <v>6</v>
      </c>
      <c r="B11248" t="s">
        <v>11253</v>
      </c>
      <c r="C11248">
        <f>HYPERLINK("C:\Users\franc\OneDrive\Documentos\MALENTIN KARIME\BANCO ESTADO\2012 DEPTO ESCRITURAS fata\NOTARIA 2009\PROMESAS\SUC. SANTANDER A JORGE GOMILA Y OTROS.doc", "Abrir Documento")</f>
        <v>0</v>
      </c>
      <c r="D11248" t="s">
        <v>23500</v>
      </c>
      <c r="E11248" t="s">
        <v>33723</v>
      </c>
    </row>
    <row r="11249" spans="1:5">
      <c r="A11249" t="s">
        <v>6</v>
      </c>
      <c r="B11249" t="s">
        <v>11254</v>
      </c>
      <c r="C11249">
        <f>HYPERLINK("C:\Users\franc\OneDrive\Documentos\MALENTIN KARIME\BANCO ESTADO\2012 DEPTO ESCRITURAS fata\NOTARIA 2009\PROMESAS\SUC. ARDILES VALLEJOS A ANA DIAZ.doc", "Abrir Documento")</f>
        <v>0</v>
      </c>
      <c r="D11249" t="s">
        <v>23500</v>
      </c>
      <c r="E11249" t="s">
        <v>33724</v>
      </c>
    </row>
    <row r="11250" spans="1:5">
      <c r="A11250" t="s">
        <v>6</v>
      </c>
      <c r="B11250" t="s">
        <v>11255</v>
      </c>
      <c r="C11250">
        <f>HYPERLINK("C:\Users\franc\OneDrive\Documentos\MALENTIN KARIME\BANCO ESTADO\2012 DEPTO ESCRITURAS fata\NOTARIA 2009\PROMESAS\SOC. MOV. DE TIERRAS A MARIO ARAYA B..doc", "Abrir Documento")</f>
        <v>0</v>
      </c>
      <c r="D11250" t="s">
        <v>23500</v>
      </c>
      <c r="E11250" t="s">
        <v>33725</v>
      </c>
    </row>
    <row r="11251" spans="1:5">
      <c r="A11251" t="s">
        <v>6</v>
      </c>
      <c r="B11251" t="s">
        <v>11256</v>
      </c>
      <c r="C11251">
        <f>HYPERLINK("C:\Users\franc\OneDrive\Documentos\MALENTIN KARIME\BANCO ESTADO\2012 DEPTO ESCRITURAS fata\NOTARIA 2009\PROMESAS\SILVIO JERALDO A RAUL VEGA (CASA CON PAGARE).doc", "Abrir Documento")</f>
        <v>0</v>
      </c>
      <c r="D11251" t="s">
        <v>23500</v>
      </c>
      <c r="E11251" t="s">
        <v>33726</v>
      </c>
    </row>
    <row r="11252" spans="1:5">
      <c r="A11252" t="s">
        <v>6</v>
      </c>
      <c r="B11252" t="s">
        <v>11257</v>
      </c>
      <c r="C11252">
        <f>HYPERLINK("C:\Users\franc\OneDrive\Documentos\MALENTIN KARIME\BANCO ESTADO\2012 DEPTO ESCRITURAS fata\NOTARIA 2009\PROMESAS\PROMESA PRIVADO Edgardo Pizarro Burrows a  MERCEDES GUERRERO OLIVARES.doc", "Abrir Documento")</f>
        <v>0</v>
      </c>
      <c r="D11252" t="s">
        <v>23500</v>
      </c>
      <c r="E11252" t="s">
        <v>33727</v>
      </c>
    </row>
    <row r="11253" spans="1:5">
      <c r="A11253" t="s">
        <v>6</v>
      </c>
      <c r="B11253" t="s">
        <v>11258</v>
      </c>
      <c r="C11253">
        <f>HYPERLINK("C:\Users\franc\OneDrive\Documentos\MALENTIN KARIME\BANCO ESTADO\2012 DEPTO ESCRITURAS fata\NOTARIA 2009\PROMESAS\PROMESA CV MARIO DIAZ SANDRA DIAZ.doc", "Abrir Documento")</f>
        <v>0</v>
      </c>
      <c r="D11253" t="s">
        <v>23500</v>
      </c>
      <c r="E11253" t="s">
        <v>33728</v>
      </c>
    </row>
    <row r="11254" spans="1:5">
      <c r="A11254" t="s">
        <v>6</v>
      </c>
      <c r="B11254" t="s">
        <v>11259</v>
      </c>
      <c r="C11254">
        <f>HYPERLINK("C:\Users\franc\OneDrive\Documentos\MALENTIN KARIME\BANCO ESTADO\2012 DEPTO ESCRITURAS fata\NOTARIA 2009\PROMESAS\PROMESA COMPRAVENTA RUTH 19-03-06.doc", "Abrir Documento")</f>
        <v>0</v>
      </c>
      <c r="D11254" t="s">
        <v>23500</v>
      </c>
      <c r="E11254" t="s">
        <v>33729</v>
      </c>
    </row>
    <row r="11255" spans="1:5">
      <c r="A11255" t="s">
        <v>6</v>
      </c>
      <c r="B11255" t="s">
        <v>11260</v>
      </c>
      <c r="C11255">
        <f>HYPERLINK("C:\Users\franc\OneDrive\Documentos\MALENTIN KARIME\BANCO ESTADO\2012 DEPTO ESCRITURAS fata\NOTARIA 2009\PROMESAS\PEDRO BARRERA A ORIEL PERINES EIRL.doc", "Abrir Documento")</f>
        <v>0</v>
      </c>
      <c r="D11255" t="s">
        <v>23500</v>
      </c>
      <c r="E11255" t="s">
        <v>33730</v>
      </c>
    </row>
    <row r="11256" spans="1:5">
      <c r="A11256" t="s">
        <v>6</v>
      </c>
      <c r="B11256" t="s">
        <v>11261</v>
      </c>
      <c r="C11256">
        <f>HYPERLINK("C:\Users\franc\OneDrive\Documentos\MALENTIN KARIME\BANCO ESTADO\2012 DEPTO ESCRITURAS fata\NOTARIA 2009\PROMESAS\PATRICIO GONZALEZ A GUILLERMO ROJAS.doc", "Abrir Documento")</f>
        <v>0</v>
      </c>
      <c r="D11256" t="s">
        <v>23500</v>
      </c>
      <c r="E11256" t="s">
        <v>33731</v>
      </c>
    </row>
    <row r="11257" spans="1:5">
      <c r="A11257" t="s">
        <v>6</v>
      </c>
      <c r="B11257" t="s">
        <v>11262</v>
      </c>
      <c r="C11257">
        <f>HYPERLINK("C:\Users\franc\OneDrive\Documentos\MALENTIN KARIME\BANCO ESTADO\2012 DEPTO ESCRITURAS fata\NOTARIA 2009\PROMESAS\PATRICIA GIMENEZ A ELDA OLIVARES.doc", "Abrir Documento")</f>
        <v>0</v>
      </c>
      <c r="D11257" t="s">
        <v>23500</v>
      </c>
      <c r="E11257" t="s">
        <v>33732</v>
      </c>
    </row>
    <row r="11258" spans="1:5">
      <c r="A11258" t="s">
        <v>6</v>
      </c>
      <c r="B11258" t="s">
        <v>11263</v>
      </c>
      <c r="C11258">
        <f>HYPERLINK("C:\Users\franc\OneDrive\Documentos\MALENTIN KARIME\BANCO ESTADO\2012 DEPTO ESCRITURAS fata\NOTARIA 2009\PROMESAS\OSCAR ORTIZ A NELLY GALLARDO.doc", "Abrir Documento")</f>
        <v>0</v>
      </c>
      <c r="D11258" t="s">
        <v>23500</v>
      </c>
      <c r="E11258" t="s">
        <v>33733</v>
      </c>
    </row>
    <row r="11259" spans="1:5">
      <c r="A11259" t="s">
        <v>6</v>
      </c>
      <c r="B11259" t="s">
        <v>11264</v>
      </c>
      <c r="C11259">
        <f>HYPERLINK("C:\Users\franc\OneDrive\Documentos\MALENTIN KARIME\BANCO ESTADO\2012 DEPTO ESCRITURAS fata\NOTARIA 2009\PROMESAS\ORFELINA RODRIGUEZ Y OTROS A CARLOS DIAZ.doc", "Abrir Documento")</f>
        <v>0</v>
      </c>
      <c r="D11259" t="s">
        <v>23500</v>
      </c>
      <c r="E11259" t="s">
        <v>33734</v>
      </c>
    </row>
    <row r="11260" spans="1:5">
      <c r="A11260" t="s">
        <v>6</v>
      </c>
      <c r="B11260" t="s">
        <v>11265</v>
      </c>
      <c r="C11260">
        <f>HYPERLINK("C:\Users\franc\OneDrive\Documentos\MALENTIN KARIME\BANCO ESTADO\2012 DEPTO ESCRITURAS fata\NOTARIA 2009\PROMESAS\OMAR VELIZ A JUAN CARVAJAL (VEHICULO).doc", "Abrir Documento")</f>
        <v>0</v>
      </c>
      <c r="D11260" t="s">
        <v>23500</v>
      </c>
      <c r="E11260" t="s">
        <v>33735</v>
      </c>
    </row>
    <row r="11261" spans="1:5">
      <c r="A11261" t="s">
        <v>6</v>
      </c>
      <c r="B11261" t="s">
        <v>11266</v>
      </c>
      <c r="C11261">
        <f>HYPERLINK("C:\Users\franc\OneDrive\Documentos\MALENTIN KARIME\BANCO ESTADO\2012 DEPTO ESCRITURAS fata\NOTARIA 2009\PROMESAS\OLIMPIA CORTES A RAUL TORRES.doc", "Abrir Documento")</f>
        <v>0</v>
      </c>
      <c r="D11261" t="s">
        <v>23500</v>
      </c>
      <c r="E11261" t="s">
        <v>33736</v>
      </c>
    </row>
    <row r="11262" spans="1:5">
      <c r="A11262" t="s">
        <v>6</v>
      </c>
      <c r="B11262" t="s">
        <v>11267</v>
      </c>
      <c r="C11262">
        <f>HYPERLINK("C:\Users\franc\OneDrive\Documentos\MALENTIN KARIME\BANCO ESTADO\2012 DEPTO ESCRITURAS fata\NOTARIA 2009\PROMESAS\MONICA TELLO A JOSE LOPEZ  (VEHICULO).doc", "Abrir Documento")</f>
        <v>0</v>
      </c>
      <c r="D11262" t="s">
        <v>23500</v>
      </c>
      <c r="E11262" t="s">
        <v>33737</v>
      </c>
    </row>
    <row r="11263" spans="1:5">
      <c r="A11263" t="s">
        <v>6</v>
      </c>
      <c r="B11263" t="s">
        <v>11268</v>
      </c>
      <c r="C11263">
        <f>HYPERLINK("C:\Users\franc\OneDrive\Documentos\MALENTIN KARIME\BANCO ESTADO\2012 DEPTO ESCRITURAS fata\NOTARIA 2009\PROMESAS\MODELO MAURICIO.doc", "Abrir Documento")</f>
        <v>0</v>
      </c>
      <c r="D11263" t="s">
        <v>23500</v>
      </c>
      <c r="E11263" t="s">
        <v>33738</v>
      </c>
    </row>
    <row r="11264" spans="1:5">
      <c r="A11264" t="s">
        <v>6</v>
      </c>
      <c r="B11264" t="s">
        <v>11269</v>
      </c>
      <c r="C11264">
        <f>HYPERLINK("C:\Users\franc\OneDrive\Documentos\MALENTIN KARIME\BANCO ESTADO\2012 DEPTO ESCRITURAS fata\NOTARIA 2009\PROMESAS\MIRTHA ADAROS A CARLOS SCHNETTLER.doc", "Abrir Documento")</f>
        <v>0</v>
      </c>
      <c r="D11264" t="s">
        <v>23500</v>
      </c>
      <c r="E11264" t="s">
        <v>33739</v>
      </c>
    </row>
    <row r="11265" spans="1:5">
      <c r="A11265" t="s">
        <v>6</v>
      </c>
      <c r="B11265" t="s">
        <v>11270</v>
      </c>
      <c r="C11265">
        <f>HYPERLINK("C:\Users\franc\OneDrive\Documentos\MALENTIN KARIME\BANCO ESTADO\2012 DEPTO ESCRITURAS fata\NOTARIA 2009\PROMESAS\MARINA MONTERO A JAIME PROHENS  (AGUAS).doc", "Abrir Documento")</f>
        <v>0</v>
      </c>
      <c r="D11265" t="s">
        <v>23500</v>
      </c>
      <c r="E11265" t="s">
        <v>33740</v>
      </c>
    </row>
    <row r="11266" spans="1:5">
      <c r="A11266" t="s">
        <v>6</v>
      </c>
      <c r="B11266" t="s">
        <v>11271</v>
      </c>
      <c r="C11266">
        <f>HYPERLINK("C:\Users\franc\OneDrive\Documentos\MALENTIN KARIME\BANCO ESTADO\2012 DEPTO ESCRITURAS fata\NOTARIA 2009\PROMESAS\Maria Tello Acuña a RODRIGO GUZMAN.doc", "Abrir Documento")</f>
        <v>0</v>
      </c>
      <c r="D11266" t="s">
        <v>23500</v>
      </c>
      <c r="E11266" t="s">
        <v>33741</v>
      </c>
    </row>
    <row r="11267" spans="1:5">
      <c r="A11267" t="s">
        <v>6</v>
      </c>
      <c r="B11267" t="s">
        <v>11272</v>
      </c>
      <c r="C11267">
        <f>HYPERLINK("C:\Users\franc\OneDrive\Documentos\MALENTIN KARIME\BANCO ESTADO\2012 DEPTO ESCRITURAS fata\NOTARIA 2009\PROMESAS\MARIA HENRIQUEZ Y OTRAS A AGRICOLA LA FLORIDA.doc", "Abrir Documento")</f>
        <v>0</v>
      </c>
      <c r="D11267" t="s">
        <v>23500</v>
      </c>
      <c r="E11267" t="s">
        <v>33742</v>
      </c>
    </row>
    <row r="11268" spans="1:5">
      <c r="A11268" t="s">
        <v>6</v>
      </c>
      <c r="B11268" t="s">
        <v>11273</v>
      </c>
      <c r="C11268">
        <f>HYPERLINK("C:\Users\franc\OneDrive\Documentos\MALENTIN KARIME\BANCO ESTADO\2012 DEPTO ESCRITURAS fata\NOTARIA 2009\PROMESAS\MARIA FARFAN A ...........doc", "Abrir Documento")</f>
        <v>0</v>
      </c>
      <c r="D11268" t="s">
        <v>23500</v>
      </c>
      <c r="E11268" t="s">
        <v>33743</v>
      </c>
    </row>
    <row r="11269" spans="1:5">
      <c r="A11269" t="s">
        <v>6</v>
      </c>
      <c r="B11269" t="s">
        <v>11274</v>
      </c>
      <c r="C11269">
        <f>HYPERLINK("C:\Users\franc\OneDrive\Documentos\MALENTIN KARIME\BANCO ESTADO\2012 DEPTO ESCRITURAS fata\NOTARIA 2009\PROMESAS\MARIA EGAÑA A JAIME ARDILES.doc", "Abrir Documento")</f>
        <v>0</v>
      </c>
      <c r="D11269" t="s">
        <v>23500</v>
      </c>
      <c r="E11269" t="s">
        <v>33744</v>
      </c>
    </row>
    <row r="11270" spans="1:5">
      <c r="A11270" t="s">
        <v>6</v>
      </c>
      <c r="B11270" t="s">
        <v>11275</v>
      </c>
      <c r="C11270">
        <f>HYPERLINK("C:\Users\franc\OneDrive\Documentos\MALENTIN KARIME\BANCO ESTADO\2012 DEPTO ESCRITURAS fata\NOTARIA 2009\PROMESAS\MARIA CASTRO A SERGIO RIVERA.doc", "Abrir Documento")</f>
        <v>0</v>
      </c>
      <c r="D11270" t="s">
        <v>23500</v>
      </c>
      <c r="E11270" t="s">
        <v>33745</v>
      </c>
    </row>
    <row r="11271" spans="1:5">
      <c r="A11271" t="s">
        <v>6</v>
      </c>
      <c r="B11271" t="s">
        <v>11276</v>
      </c>
      <c r="C11271">
        <f>HYPERLINK("C:\Users\franc\OneDrive\Documentos\MALENTIN KARIME\BANCO ESTADO\2012 DEPTO ESCRITURAS fata\NOTARIA 2009\PROMESAS\MARIA ARAYA A VIVIANA ORTIZ.doc", "Abrir Documento")</f>
        <v>0</v>
      </c>
      <c r="D11271" t="s">
        <v>23500</v>
      </c>
      <c r="E11271" t="s">
        <v>33746</v>
      </c>
    </row>
    <row r="11272" spans="1:5">
      <c r="A11272" t="s">
        <v>6</v>
      </c>
      <c r="B11272" t="s">
        <v>11277</v>
      </c>
      <c r="C11272">
        <f>HYPERLINK("C:\Users\franc\OneDrive\Documentos\MALENTIN KARIME\BANCO ESTADO\2012 DEPTO ESCRITURAS fata\NOTARIA 2009\PROMESAS\MANUEL CISTERNAS A ROSA PASTEN (CASA) ART 150.doc", "Abrir Documento")</f>
        <v>0</v>
      </c>
      <c r="D11272" t="s">
        <v>23500</v>
      </c>
      <c r="E11272" t="s">
        <v>33747</v>
      </c>
    </row>
    <row r="11273" spans="1:5">
      <c r="A11273" t="s">
        <v>6</v>
      </c>
      <c r="B11273" t="s">
        <v>11278</v>
      </c>
      <c r="C11273">
        <f>HYPERLINK("C:\Users\franc\OneDrive\Documentos\MALENTIN KARIME\BANCO ESTADO\2012 DEPTO ESCRITURAS fata\NOTARIA 2009\PROMESAS\LUIS ARAYA A RAMIRO TELLO.doc", "Abrir Documento")</f>
        <v>0</v>
      </c>
      <c r="D11273" t="s">
        <v>23500</v>
      </c>
      <c r="E11273" t="s">
        <v>33748</v>
      </c>
    </row>
    <row r="11274" spans="1:5">
      <c r="A11274" t="s">
        <v>6</v>
      </c>
      <c r="B11274" t="s">
        <v>11279</v>
      </c>
      <c r="C11274">
        <f>HYPERLINK("C:\Users\franc\OneDrive\Documentos\MALENTIN KARIME\BANCO ESTADO\2012 DEPTO ESCRITURAS fata\NOTARIA 2009\PROMESAS\LEONOR MUÑOZ A MAGALI GALLARDO.doc", "Abrir Documento")</f>
        <v>0</v>
      </c>
      <c r="D11274" t="s">
        <v>23500</v>
      </c>
      <c r="E11274" t="s">
        <v>33749</v>
      </c>
    </row>
    <row r="11275" spans="1:5">
      <c r="A11275" t="s">
        <v>6</v>
      </c>
      <c r="B11275" t="s">
        <v>11280</v>
      </c>
      <c r="C11275">
        <f>HYPERLINK("C:\Users\franc\OneDrive\Documentos\MALENTIN KARIME\BANCO ESTADO\2012 DEPTO ESCRITURAS fata\NOTARIA 2009\PROMESAS\JUAN SELEME A CESAR JUAREZ  (VEHICULO).doc", "Abrir Documento")</f>
        <v>0</v>
      </c>
      <c r="D11275" t="s">
        <v>23500</v>
      </c>
      <c r="E11275" t="s">
        <v>33750</v>
      </c>
    </row>
    <row r="11276" spans="1:5">
      <c r="A11276" t="s">
        <v>6</v>
      </c>
      <c r="B11276" t="s">
        <v>11281</v>
      </c>
      <c r="C11276">
        <f>HYPERLINK("C:\Users\franc\OneDrive\Documentos\MALENTIN KARIME\BANCO ESTADO\2012 DEPTO ESCRITURAS fata\NOTARIA 2009\PROMESAS\JUAN GARCIA A JULIO VELASQUEZ.doc", "Abrir Documento")</f>
        <v>0</v>
      </c>
      <c r="D11276" t="s">
        <v>23500</v>
      </c>
      <c r="E11276" t="s">
        <v>33751</v>
      </c>
    </row>
    <row r="11277" spans="1:5">
      <c r="A11277" t="s">
        <v>6</v>
      </c>
      <c r="B11277" t="s">
        <v>11282</v>
      </c>
      <c r="C11277">
        <f>HYPERLINK("C:\Users\franc\OneDrive\Documentos\MALENTIN KARIME\BANCO ESTADO\2012 DEPTO ESCRITURAS fata\NOTARIA 2009\PROMESAS\JUAN DIAZ A RENE PALAVECINOS.doc", "Abrir Documento")</f>
        <v>0</v>
      </c>
      <c r="D11277" t="s">
        <v>23500</v>
      </c>
      <c r="E11277" t="s">
        <v>33752</v>
      </c>
    </row>
    <row r="11278" spans="1:5">
      <c r="A11278" t="s">
        <v>6</v>
      </c>
      <c r="B11278" t="s">
        <v>11283</v>
      </c>
      <c r="C11278">
        <f>HYPERLINK("C:\Users\franc\OneDrive\Documentos\MALENTIN KARIME\BANCO ESTADO\2012 DEPTO ESCRITURAS fata\NOTARIA 2009\PROMESAS\JUAN DIAZ A DAVID ROJAS.doc", "Abrir Documento")</f>
        <v>0</v>
      </c>
      <c r="D11278" t="s">
        <v>23500</v>
      </c>
      <c r="E11278" t="s">
        <v>33753</v>
      </c>
    </row>
    <row r="11279" spans="1:5">
      <c r="A11279" t="s">
        <v>6</v>
      </c>
      <c r="B11279" t="s">
        <v>11284</v>
      </c>
      <c r="C11279">
        <f>HYPERLINK("C:\Users\franc\OneDrive\Documentos\MALENTIN KARIME\BANCO ESTADO\2012 DEPTO ESCRITURAS fata\NOTARIA 2009\PROMESAS\JUAN CORTES A ANA CASTILLO  (VEHICULO).doc", "Abrir Documento")</f>
        <v>0</v>
      </c>
      <c r="D11279" t="s">
        <v>23500</v>
      </c>
      <c r="E11279" t="s">
        <v>33754</v>
      </c>
    </row>
    <row r="11280" spans="1:5">
      <c r="A11280" t="s">
        <v>6</v>
      </c>
      <c r="B11280" t="s">
        <v>11285</v>
      </c>
      <c r="C11280">
        <f>HYPERLINK("C:\Users\franc\OneDrive\Documentos\MALENTIN KARIME\BANCO ESTADO\2012 DEPTO ESCRITURAS fata\NOTARIA 2009\PROMESAS\JOSE JOPIA A SERV. TELEMARKETING LTDA.doc", "Abrir Documento")</f>
        <v>0</v>
      </c>
      <c r="D11280" t="s">
        <v>23500</v>
      </c>
      <c r="E11280" t="s">
        <v>33755</v>
      </c>
    </row>
    <row r="11281" spans="1:5">
      <c r="A11281" t="s">
        <v>6</v>
      </c>
      <c r="B11281" t="s">
        <v>11286</v>
      </c>
      <c r="C11281">
        <f>HYPERLINK("C:\Users\franc\OneDrive\Documentos\MALENTIN KARIME\BANCO ESTADO\2012 DEPTO ESCRITURAS fata\NOTARIA 2009\PROMESAS\JAIME VILLALOBOS A EMELINA PALAVECINOS.doc", "Abrir Documento")</f>
        <v>0</v>
      </c>
      <c r="D11281" t="s">
        <v>23500</v>
      </c>
      <c r="E11281" t="s">
        <v>33756</v>
      </c>
    </row>
    <row r="11282" spans="1:5">
      <c r="A11282" t="s">
        <v>6</v>
      </c>
      <c r="B11282" t="s">
        <v>11287</v>
      </c>
      <c r="C11282">
        <f>HYPERLINK("C:\Users\franc\OneDrive\Documentos\MALENTIN KARIME\BANCO ESTADO\2012 DEPTO ESCRITURAS fata\NOTARIA 2009\PROMESAS\HERNAN ARRIAZA A GMO. ARRIAZA  (VEHICULO).doc", "Abrir Documento")</f>
        <v>0</v>
      </c>
      <c r="D11282" t="s">
        <v>23500</v>
      </c>
      <c r="E11282" t="s">
        <v>33757</v>
      </c>
    </row>
    <row r="11283" spans="1:5">
      <c r="A11283" t="s">
        <v>6</v>
      </c>
      <c r="B11283" t="s">
        <v>11288</v>
      </c>
      <c r="C11283">
        <f>HYPERLINK("C:\Users\franc\OneDrive\Documentos\MALENTIN KARIME\BANCO ESTADO\2012 DEPTO ESCRITURAS fata\NOTARIA 2009\PROMESAS\GONZALO GUERRERO (MINAS).doc", "Abrir Documento")</f>
        <v>0</v>
      </c>
      <c r="D11283" t="s">
        <v>23500</v>
      </c>
      <c r="E11283" t="s">
        <v>33758</v>
      </c>
    </row>
    <row r="11284" spans="1:5">
      <c r="A11284" t="s">
        <v>6</v>
      </c>
      <c r="B11284" t="s">
        <v>11289</v>
      </c>
      <c r="C11284">
        <f>HYPERLINK("C:\Users\franc\OneDrive\Documentos\MALENTIN KARIME\BANCO ESTADO\2012 DEPTO ESCRITURAS fata\NOTARIA 2009\PROMESAS\FRANCISCO NIÑO A TRANS. YCY CIA. LTADA..doc", "Abrir Documento")</f>
        <v>0</v>
      </c>
      <c r="D11284" t="s">
        <v>23500</v>
      </c>
      <c r="E11284" t="s">
        <v>33759</v>
      </c>
    </row>
    <row r="11285" spans="1:5">
      <c r="A11285" t="s">
        <v>6</v>
      </c>
      <c r="B11285" t="s">
        <v>11290</v>
      </c>
      <c r="C11285">
        <f>HYPERLINK("C:\Users\franc\OneDrive\Documentos\MALENTIN KARIME\BANCO ESTADO\2012 DEPTO ESCRITURAS fata\NOTARIA 2009\PROMESAS\FANNY MOROSO A ELEAZAR CARVAJAL (VEHICULO).doc", "Abrir Documento")</f>
        <v>0</v>
      </c>
      <c r="D11285" t="s">
        <v>23500</v>
      </c>
      <c r="E11285" t="s">
        <v>33760</v>
      </c>
    </row>
    <row r="11286" spans="1:5">
      <c r="A11286" t="s">
        <v>6</v>
      </c>
      <c r="B11286" t="s">
        <v>11291</v>
      </c>
      <c r="C11286">
        <f>HYPERLINK("C:\Users\franc\OneDrive\Documentos\MALENTIN KARIME\BANCO ESTADO\2012 DEPTO ESCRITURAS fata\NOTARIA 2009\PROMESAS\ESTEBAN ESPEJO A SILVIA PIZARRO  (VEHICULO) PRIVADO.doc", "Abrir Documento")</f>
        <v>0</v>
      </c>
      <c r="D11286" t="s">
        <v>23500</v>
      </c>
      <c r="E11286" t="s">
        <v>33761</v>
      </c>
    </row>
    <row r="11287" spans="1:5">
      <c r="A11287" t="s">
        <v>6</v>
      </c>
      <c r="B11287" t="s">
        <v>11292</v>
      </c>
      <c r="C11287">
        <f>HYPERLINK("C:\Users\franc\OneDrive\Documentos\MALENTIN KARIME\BANCO ESTADO\2012 DEPTO ESCRITURAS fata\NOTARIA 2009\PROMESAS\ERNESTO MUÑOZ A NORA TABILO  (VEHICULO) ABRIL 2009.doc", "Abrir Documento")</f>
        <v>0</v>
      </c>
      <c r="D11287" t="s">
        <v>23500</v>
      </c>
      <c r="E11287" t="s">
        <v>33762</v>
      </c>
    </row>
    <row r="11288" spans="1:5">
      <c r="A11288" t="s">
        <v>6</v>
      </c>
      <c r="B11288" t="s">
        <v>11293</v>
      </c>
      <c r="C11288">
        <f>HYPERLINK("C:\Users\franc\OneDrive\Documentos\MALENTIN KARIME\BANCO ESTADO\2012 DEPTO ESCRITURAS fata\NOTARIA 2009\PROMESAS\ENRIQUE BEZMALINOVIC A LUIS LOYOLA (VEHICULO).doc", "Abrir Documento")</f>
        <v>0</v>
      </c>
      <c r="D11288" t="s">
        <v>23500</v>
      </c>
      <c r="E11288" t="s">
        <v>33763</v>
      </c>
    </row>
    <row r="11289" spans="1:5">
      <c r="A11289" t="s">
        <v>6</v>
      </c>
      <c r="B11289" t="s">
        <v>11294</v>
      </c>
      <c r="C11289">
        <f>HYPERLINK("C:\Users\franc\OneDrive\Documentos\MALENTIN KARIME\BANCO ESTADO\2012 DEPTO ESCRITURAS fata\NOTARIA 2009\PROMESAS\ELIZABETH DURAN A GRACIELA ESPINOSA  (VEHICULO).doc", "Abrir Documento")</f>
        <v>0</v>
      </c>
      <c r="D11289" t="s">
        <v>23500</v>
      </c>
      <c r="E11289" t="s">
        <v>33764</v>
      </c>
    </row>
    <row r="11290" spans="1:5">
      <c r="A11290" t="s">
        <v>6</v>
      </c>
      <c r="B11290" t="s">
        <v>11295</v>
      </c>
      <c r="C11290">
        <f>HYPERLINK("C:\Users\franc\OneDrive\Documentos\MALENTIN KARIME\BANCO ESTADO\2012 DEPTO ESCRITURAS fata\NOTARIA 2009\PROMESAS\ELIANA ARAYA VIDELA A ALCIDES GONZALEZ.doc", "Abrir Documento")</f>
        <v>0</v>
      </c>
      <c r="D11290" t="s">
        <v>23500</v>
      </c>
      <c r="E11290" t="s">
        <v>33765</v>
      </c>
    </row>
    <row r="11291" spans="1:5">
      <c r="A11291" t="s">
        <v>6</v>
      </c>
      <c r="B11291" t="s">
        <v>11296</v>
      </c>
      <c r="C11291">
        <f>HYPERLINK("C:\Users\franc\OneDrive\Documentos\MALENTIN KARIME\BANCO ESTADO\2012 DEPTO ESCRITURAS fata\NOTARIA 2009\PROMESAS\ELENA GALLEGUILLOS A FILOMENA CASTILLO.doc", "Abrir Documento")</f>
        <v>0</v>
      </c>
      <c r="D11291" t="s">
        <v>23500</v>
      </c>
      <c r="E11291" t="s">
        <v>33766</v>
      </c>
    </row>
    <row r="11292" spans="1:5">
      <c r="A11292" t="s">
        <v>6</v>
      </c>
      <c r="B11292" t="s">
        <v>11297</v>
      </c>
      <c r="C11292">
        <f>HYPERLINK("C:\Users\franc\OneDrive\Documentos\MALENTIN KARIME\BANCO ESTADO\2012 DEPTO ESCRITURAS fata\NOTARIA 2009\PROMESAS\ELENA GALLEGUILLOS - FILOMENA CASTILLO (P. ALFARO.doc", "Abrir Documento")</f>
        <v>0</v>
      </c>
      <c r="D11292" t="s">
        <v>23500</v>
      </c>
      <c r="E11292" t="s">
        <v>33767</v>
      </c>
    </row>
    <row r="11293" spans="1:5">
      <c r="A11293" t="s">
        <v>6</v>
      </c>
      <c r="B11293" t="s">
        <v>11298</v>
      </c>
      <c r="C11293">
        <f>HYPERLINK("C:\Users\franc\OneDrive\Documentos\MALENTIN KARIME\BANCO ESTADO\2012 DEPTO ESCRITURAS fata\NOTARIA 2009\PROMESAS\ELDA ORTIZ A JUAN RAMOS (SUBDIVISION).doc", "Abrir Documento")</f>
        <v>0</v>
      </c>
      <c r="D11293" t="s">
        <v>23500</v>
      </c>
      <c r="E11293" t="s">
        <v>33768</v>
      </c>
    </row>
    <row r="11294" spans="1:5">
      <c r="A11294" t="s">
        <v>6</v>
      </c>
      <c r="B11294" t="s">
        <v>11299</v>
      </c>
      <c r="C11294">
        <f>HYPERLINK("C:\Users\franc\OneDrive\Documentos\MALENTIN KARIME\BANCO ESTADO\2012 DEPTO ESCRITURAS fata\NOTARIA 2009\PROMESAS\EDUARDO CASTILLO A KARINA OLIVARES.doc", "Abrir Documento")</f>
        <v>0</v>
      </c>
      <c r="D11294" t="s">
        <v>23500</v>
      </c>
      <c r="E11294" t="s">
        <v>33769</v>
      </c>
    </row>
    <row r="11295" spans="1:5">
      <c r="A11295" t="s">
        <v>6</v>
      </c>
      <c r="B11295" t="s">
        <v>11300</v>
      </c>
      <c r="C11295">
        <f>HYPERLINK("C:\Users\franc\OneDrive\Documentos\MALENTIN KARIME\BANCO ESTADO\2012 DEPTO ESCRITURAS fata\NOTARIA 2009\PROMESAS\DANIEL TAPIA A RAUL DORIA.doc", "Abrir Documento")</f>
        <v>0</v>
      </c>
      <c r="D11295" t="s">
        <v>23500</v>
      </c>
      <c r="E11295" t="s">
        <v>33770</v>
      </c>
    </row>
    <row r="11296" spans="1:5">
      <c r="A11296" t="s">
        <v>6</v>
      </c>
      <c r="B11296" t="s">
        <v>11301</v>
      </c>
      <c r="C11296">
        <f>HYPERLINK("C:\Users\franc\OneDrive\Documentos\MALENTIN KARIME\BANCO ESTADO\2012 DEPTO ESCRITURAS fata\NOTARIA 2009\PROMESAS\DANIEL TAPIA A RAUL DORI.doc", "Abrir Documento")</f>
        <v>0</v>
      </c>
      <c r="D11296" t="s">
        <v>23500</v>
      </c>
      <c r="E11296" t="s">
        <v>33771</v>
      </c>
    </row>
    <row r="11297" spans="1:5">
      <c r="A11297" t="s">
        <v>6</v>
      </c>
      <c r="B11297" t="s">
        <v>11302</v>
      </c>
      <c r="C11297">
        <f>HYPERLINK("C:\Users\franc\OneDrive\Documentos\MALENTIN KARIME\BANCO ESTADO\2012 DEPTO ESCRITURAS fata\NOTARIA 2009\PROMESAS\CRISTIAN RAMIREZ A RENE ESPINOZA (VEHICULO).doc", "Abrir Documento")</f>
        <v>0</v>
      </c>
      <c r="D11297" t="s">
        <v>23500</v>
      </c>
      <c r="E11297" t="s">
        <v>33772</v>
      </c>
    </row>
    <row r="11298" spans="1:5">
      <c r="A11298" t="s">
        <v>6</v>
      </c>
      <c r="B11298" t="s">
        <v>11303</v>
      </c>
      <c r="C11298">
        <f>HYPERLINK("C:\Users\franc\OneDrive\Documentos\MALENTIN KARIME\BANCO ESTADO\2012 DEPTO ESCRITURAS fata\NOTARIA 2009\PROMESAS\CRISTIAN GUERRERO A BENEDICTO MUNDACA (VEHICULO).doc", "Abrir Documento")</f>
        <v>0</v>
      </c>
      <c r="D11298" t="s">
        <v>23500</v>
      </c>
      <c r="E11298" t="s">
        <v>33773</v>
      </c>
    </row>
    <row r="11299" spans="1:5">
      <c r="A11299" t="s">
        <v>6</v>
      </c>
      <c r="B11299" t="s">
        <v>11304</v>
      </c>
      <c r="C11299">
        <f>HYPERLINK("C:\Users\franc\OneDrive\Documentos\MALENTIN KARIME\BANCO ESTADO\2012 DEPTO ESCRITURAS fata\NOTARIA 2009\PROMESAS\CARMEN MONARDES A GULLERMINA VILLALOBOS.doc", "Abrir Documento")</f>
        <v>0</v>
      </c>
      <c r="D11299" t="s">
        <v>23500</v>
      </c>
      <c r="E11299" t="s">
        <v>33774</v>
      </c>
    </row>
    <row r="11300" spans="1:5">
      <c r="A11300" t="s">
        <v>6</v>
      </c>
      <c r="B11300" t="s">
        <v>11305</v>
      </c>
      <c r="C11300">
        <f>HYPERLINK("C:\Users\franc\OneDrive\Documentos\MALENTIN KARIME\BANCO ESTADO\2012 DEPTO ESCRITURAS fata\NOTARIA 2009\PROMESAS\CARLOS TELLO A JULIO CALDERON (VEHICULO).doc", "Abrir Documento")</f>
        <v>0</v>
      </c>
      <c r="D11300" t="s">
        <v>23500</v>
      </c>
      <c r="E11300" t="s">
        <v>33775</v>
      </c>
    </row>
    <row r="11301" spans="1:5">
      <c r="A11301" t="s">
        <v>6</v>
      </c>
      <c r="B11301" t="s">
        <v>11306</v>
      </c>
      <c r="C11301">
        <f>HYPERLINK("C:\Users\franc\OneDrive\Documentos\MALENTIN KARIME\BANCO ESTADO\2012 DEPTO ESCRITURAS fata\NOTARIA 2009\PROMESAS\CARLOS HIDALGO A ANA DIAZ  (VEHICULO).doc", "Abrir Documento")</f>
        <v>0</v>
      </c>
      <c r="D11301" t="s">
        <v>23500</v>
      </c>
      <c r="E11301" t="s">
        <v>33776</v>
      </c>
    </row>
    <row r="11302" spans="1:5">
      <c r="A11302" t="s">
        <v>6</v>
      </c>
      <c r="B11302" t="s">
        <v>11307</v>
      </c>
      <c r="C11302">
        <f>HYPERLINK("C:\Users\franc\OneDrive\Documentos\MALENTIN KARIME\BANCO ESTADO\2012 DEPTO ESCRITURAS fata\NOTARIA 2009\PROMESAS\BERNARDO IBACACHE A PABLO ROBLES.doc", "Abrir Documento")</f>
        <v>0</v>
      </c>
      <c r="D11302" t="s">
        <v>23500</v>
      </c>
      <c r="E11302" t="s">
        <v>33777</v>
      </c>
    </row>
    <row r="11303" spans="1:5">
      <c r="A11303" t="s">
        <v>6</v>
      </c>
      <c r="B11303" t="s">
        <v>11308</v>
      </c>
      <c r="C11303">
        <f>HYPERLINK("C:\Users\franc\OneDrive\Documentos\MALENTIN KARIME\BANCO ESTADO\2012 DEPTO ESCRITURAS fata\NOTARIA 2009\PROMESAS\BERNARDO IBACACHE A PABLO ROBLES (VEHICULO).doc", "Abrir Documento")</f>
        <v>0</v>
      </c>
      <c r="D11303" t="s">
        <v>23500</v>
      </c>
      <c r="E11303" t="s">
        <v>33778</v>
      </c>
    </row>
    <row r="11304" spans="1:5">
      <c r="A11304" t="s">
        <v>6</v>
      </c>
      <c r="B11304" t="s">
        <v>11309</v>
      </c>
      <c r="C11304">
        <f>HYPERLINK("C:\Users\franc\OneDrive\Documentos\MALENTIN KARIME\BANCO ESTADO\2012 DEPTO ESCRITURAS fata\NOTARIA 2009\PROMESAS\ARRIENDO ALCONES.doc", "Abrir Documento")</f>
        <v>0</v>
      </c>
      <c r="D11304" t="s">
        <v>23500</v>
      </c>
      <c r="E11304" t="s">
        <v>33779</v>
      </c>
    </row>
    <row r="11305" spans="1:5">
      <c r="A11305" t="s">
        <v>6</v>
      </c>
      <c r="B11305" t="s">
        <v>11310</v>
      </c>
      <c r="C11305">
        <f>HYPERLINK("C:\Users\franc\OneDrive\Documentos\MALENTIN KARIME\BANCO ESTADO\2012 DEPTO ESCRITURAS fata\NOTARIA 2009\PROMESAS\ARMANDO ZAMBRA A RAUL MARTINEZ.doc", "Abrir Documento")</f>
        <v>0</v>
      </c>
      <c r="D11305" t="s">
        <v>23500</v>
      </c>
      <c r="E11305" t="s">
        <v>33780</v>
      </c>
    </row>
    <row r="11306" spans="1:5">
      <c r="A11306" t="s">
        <v>6</v>
      </c>
      <c r="B11306" t="s">
        <v>11311</v>
      </c>
      <c r="C11306">
        <f>HYPERLINK("C:\Users\franc\OneDrive\Documentos\MALENTIN KARIME\BANCO ESTADO\2012 DEPTO ESCRITURAS fata\NOTARIA 2009\PROMESAS\ANITA CORTES Y OTROS A ENRIQUE BRAVO Y OTRO.doc", "Abrir Documento")</f>
        <v>0</v>
      </c>
      <c r="D11306" t="s">
        <v>23500</v>
      </c>
      <c r="E11306" t="s">
        <v>33781</v>
      </c>
    </row>
    <row r="11307" spans="1:5">
      <c r="A11307" t="s">
        <v>6</v>
      </c>
      <c r="B11307" t="s">
        <v>11312</v>
      </c>
      <c r="C11307">
        <f>HYPERLINK("C:\Users\franc\OneDrive\Documentos\MALENTIN KARIME\BANCO ESTADO\2012 DEPTO ESCRITURAS fata\NOTARIA 2009\PROMESAS\ANICETO GUTIERREZ A MOISES VARAS  (VEHICULO).doc", "Abrir Documento")</f>
        <v>0</v>
      </c>
      <c r="D11307" t="s">
        <v>23500</v>
      </c>
      <c r="E11307" t="s">
        <v>33782</v>
      </c>
    </row>
    <row r="11308" spans="1:5">
      <c r="A11308" t="s">
        <v>6</v>
      </c>
      <c r="B11308" t="s">
        <v>11313</v>
      </c>
      <c r="C11308">
        <f>HYPERLINK("C:\Users\franc\OneDrive\Documentos\MALENTIN KARIME\BANCO ESTADO\2012 DEPTO ESCRITURAS fata\NOTARIA 2009\PROMESAS\ANDRES OLIVARES A BERTA GUERRERO.doc", "Abrir Documento")</f>
        <v>0</v>
      </c>
      <c r="D11308" t="s">
        <v>23500</v>
      </c>
      <c r="E11308" t="s">
        <v>33783</v>
      </c>
    </row>
    <row r="11309" spans="1:5">
      <c r="A11309" t="s">
        <v>6</v>
      </c>
      <c r="B11309" t="s">
        <v>11314</v>
      </c>
      <c r="C11309">
        <f>HYPERLINK("C:\Users\franc\OneDrive\Documentos\MALENTIN KARIME\BANCO ESTADO\2012 DEPTO ESCRITURAS fata\NOTARIA 2009\PROMESAS\AGRICOLA LAS TINAJAS A GILBERTO CARMONA (VEHICULO).doc", "Abrir Documento")</f>
        <v>0</v>
      </c>
      <c r="D11309" t="s">
        <v>23500</v>
      </c>
      <c r="E11309" t="s">
        <v>33784</v>
      </c>
    </row>
    <row r="11310" spans="1:5">
      <c r="A11310" t="s">
        <v>6</v>
      </c>
      <c r="B11310" t="s">
        <v>11315</v>
      </c>
      <c r="C11310">
        <f>HYPERLINK("C:\Users\franc\OneDrive\Documentos\MALENTIN KARIME\BANCO ESTADO\2012 DEPTO ESCRITURAS fata\NOTARIA 2009\PROHIBICION\VIVIANA JIMENEZ A SERVIU.doc", "Abrir Documento")</f>
        <v>0</v>
      </c>
      <c r="D11310" t="s">
        <v>23500</v>
      </c>
      <c r="E11310" t="s">
        <v>33785</v>
      </c>
    </row>
    <row r="11311" spans="1:5">
      <c r="A11311" t="s">
        <v>6</v>
      </c>
      <c r="B11311" t="s">
        <v>11316</v>
      </c>
      <c r="C11311">
        <f>HYPERLINK("C:\Users\franc\OneDrive\Documentos\MALENTIN KARIME\BANCO ESTADO\2012 DEPTO ESCRITURAS fata\NOTARIA 2009\PROHIBICION\TERESA ADONES (SOLA).doc", "Abrir Documento")</f>
        <v>0</v>
      </c>
      <c r="D11311" t="s">
        <v>23500</v>
      </c>
      <c r="E11311" t="s">
        <v>33786</v>
      </c>
    </row>
    <row r="11312" spans="1:5">
      <c r="A11312" t="s">
        <v>6</v>
      </c>
      <c r="B11312" t="s">
        <v>11317</v>
      </c>
      <c r="C11312">
        <f>HYPERLINK("C:\Users\franc\OneDrive\Documentos\MALENTIN KARIME\BANCO ESTADO\2012 DEPTO ESCRITURAS fata\NOTARIA 2009\PROHIBICION\ROSARIO ANTIQUERA.doc", "Abrir Documento")</f>
        <v>0</v>
      </c>
      <c r="D11312" t="s">
        <v>23500</v>
      </c>
      <c r="E11312" t="s">
        <v>33787</v>
      </c>
    </row>
    <row r="11313" spans="1:5">
      <c r="A11313" t="s">
        <v>6</v>
      </c>
      <c r="B11313" t="s">
        <v>11318</v>
      </c>
      <c r="C11313">
        <f>HYPERLINK("C:\Users\franc\OneDrive\Documentos\MALENTIN KARIME\BANCO ESTADO\2012 DEPTO ESCRITURAS fata\NOTARIA 2009\PROHIBICION\RITA GOMEZ A SERVIU.doc", "Abrir Documento")</f>
        <v>0</v>
      </c>
      <c r="D11313" t="s">
        <v>23500</v>
      </c>
      <c r="E11313" t="s">
        <v>33788</v>
      </c>
    </row>
    <row r="11314" spans="1:5">
      <c r="A11314" t="s">
        <v>6</v>
      </c>
      <c r="B11314" t="s">
        <v>11319</v>
      </c>
      <c r="C11314">
        <f>HYPERLINK("C:\Users\franc\OneDrive\Documentos\MALENTIN KARIME\BANCO ESTADO\2012 DEPTO ESCRITURAS fata\NOTARIA 2009\PROHIBICION\PROHIBICION.doc", "Abrir Documento")</f>
        <v>0</v>
      </c>
      <c r="D11314" t="s">
        <v>23500</v>
      </c>
      <c r="E11314" t="s">
        <v>33789</v>
      </c>
    </row>
    <row r="11315" spans="1:5">
      <c r="A11315" t="s">
        <v>6</v>
      </c>
      <c r="B11315" t="s">
        <v>11320</v>
      </c>
      <c r="C11315">
        <f>HYPERLINK("C:\Users\franc\OneDrive\Documentos\MALENTIN KARIME\BANCO ESTADO\2012 DEPTO ESCRITURAS fata\NOTARIA 2009\PROHIBICION\PEDRO ARAYA A SERVIU.doc", "Abrir Documento")</f>
        <v>0</v>
      </c>
      <c r="D11315" t="s">
        <v>23500</v>
      </c>
      <c r="E11315" t="s">
        <v>33790</v>
      </c>
    </row>
    <row r="11316" spans="1:5">
      <c r="A11316" t="s">
        <v>6</v>
      </c>
      <c r="B11316" t="s">
        <v>11321</v>
      </c>
      <c r="C11316">
        <f>HYPERLINK("C:\Users\franc\OneDrive\Documentos\MALENTIN KARIME\BANCO ESTADO\2012 DEPTO ESCRITURAS fata\NOTARIA 2009\PROHIBICION\PATRICIA ESCOBAR.doc", "Abrir Documento")</f>
        <v>0</v>
      </c>
      <c r="D11316" t="s">
        <v>23500</v>
      </c>
      <c r="E11316" t="s">
        <v>33791</v>
      </c>
    </row>
    <row r="11317" spans="1:5">
      <c r="A11317" t="s">
        <v>6</v>
      </c>
      <c r="B11317" t="s">
        <v>11322</v>
      </c>
      <c r="C11317">
        <f>HYPERLINK("C:\Users\franc\OneDrive\Documentos\MALENTIN KARIME\BANCO ESTADO\2012 DEPTO ESCRITURAS fata\NOTARIA 2009\PROHIBICION\MODELO NOTARIO.doc", "Abrir Documento")</f>
        <v>0</v>
      </c>
      <c r="D11317" t="s">
        <v>23500</v>
      </c>
      <c r="E11317" t="s">
        <v>33792</v>
      </c>
    </row>
    <row r="11318" spans="1:5">
      <c r="A11318" t="s">
        <v>6</v>
      </c>
      <c r="B11318" t="s">
        <v>11323</v>
      </c>
      <c r="C11318">
        <f>HYPERLINK("C:\Users\franc\OneDrive\Documentos\MALENTIN KARIME\BANCO ESTADO\2012 DEPTO ESCRITURAS fata\NOTARIA 2009\PROHIBICION\MERCEDES ALVAREZ.doc", "Abrir Documento")</f>
        <v>0</v>
      </c>
      <c r="D11318" t="s">
        <v>23500</v>
      </c>
      <c r="E11318" t="s">
        <v>33793</v>
      </c>
    </row>
    <row r="11319" spans="1:5">
      <c r="A11319" t="s">
        <v>6</v>
      </c>
      <c r="B11319" t="s">
        <v>11324</v>
      </c>
      <c r="C11319">
        <f>HYPERLINK("C:\Users\franc\OneDrive\Documentos\MALENTIN KARIME\BANCO ESTADO\2012 DEPTO ESCRITURAS fata\NOTARIA 2009\PROHIBICION\MARCELINO LEON CORTES.doc", "Abrir Documento")</f>
        <v>0</v>
      </c>
      <c r="D11319" t="s">
        <v>23500</v>
      </c>
      <c r="E11319" t="s">
        <v>33794</v>
      </c>
    </row>
    <row r="11320" spans="1:5">
      <c r="A11320" t="s">
        <v>6</v>
      </c>
      <c r="B11320" t="s">
        <v>11325</v>
      </c>
      <c r="C11320">
        <f>HYPERLINK("C:\Users\franc\OneDrive\Documentos\MALENTIN KARIME\BANCO ESTADO\2012 DEPTO ESCRITURAS fata\NOTARIA 2009\PROHIBICION\LUIS PLAZA CUELLO.doc", "Abrir Documento")</f>
        <v>0</v>
      </c>
      <c r="D11320" t="s">
        <v>23500</v>
      </c>
      <c r="E11320" t="s">
        <v>33795</v>
      </c>
    </row>
    <row r="11321" spans="1:5">
      <c r="A11321" t="s">
        <v>6</v>
      </c>
      <c r="B11321" t="s">
        <v>11326</v>
      </c>
      <c r="C11321">
        <f>HYPERLINK("C:\Users\franc\OneDrive\Documentos\MALENTIN KARIME\BANCO ESTADO\2012 DEPTO ESCRITURAS fata\NOTARIA 2009\PROHIBICION\LORETO AHUMADA  (SOLA).doc", "Abrir Documento")</f>
        <v>0</v>
      </c>
      <c r="D11321" t="s">
        <v>23500</v>
      </c>
      <c r="E11321" t="s">
        <v>33796</v>
      </c>
    </row>
    <row r="11322" spans="1:5">
      <c r="A11322" t="s">
        <v>6</v>
      </c>
      <c r="B11322" t="s">
        <v>11327</v>
      </c>
      <c r="C11322">
        <f>HYPERLINK("C:\Users\franc\OneDrive\Documentos\MALENTIN KARIME\BANCO ESTADO\2012 DEPTO ESCRITURAS fata\NOTARIA 2009\PROHIBICION\LEONOR ROBLES.doc", "Abrir Documento")</f>
        <v>0</v>
      </c>
      <c r="D11322" t="s">
        <v>23500</v>
      </c>
      <c r="E11322" t="s">
        <v>33797</v>
      </c>
    </row>
    <row r="11323" spans="1:5">
      <c r="A11323" t="s">
        <v>6</v>
      </c>
      <c r="B11323" t="s">
        <v>11328</v>
      </c>
      <c r="C11323">
        <f>HYPERLINK("C:\Users\franc\OneDrive\Documentos\MALENTIN KARIME\BANCO ESTADO\2012 DEPTO ESCRITURAS fata\NOTARIA 2009\PROHIBICION\LAURA ROJAS Y CONYUGE JRALDO.doc", "Abrir Documento")</f>
        <v>0</v>
      </c>
      <c r="D11323" t="s">
        <v>23500</v>
      </c>
      <c r="E11323" t="s">
        <v>33798</v>
      </c>
    </row>
    <row r="11324" spans="1:5">
      <c r="A11324" t="s">
        <v>6</v>
      </c>
      <c r="B11324" t="s">
        <v>11329</v>
      </c>
      <c r="C11324">
        <f>HYPERLINK("C:\Users\franc\OneDrive\Documentos\MALENTIN KARIME\BANCO ESTADO\2012 DEPTO ESCRITURAS fata\NOTARIA 2009\PROHIBICION\JULIO OLIVARES A SERVIU 25-04-2007.doc", "Abrir Documento")</f>
        <v>0</v>
      </c>
      <c r="D11324" t="s">
        <v>23500</v>
      </c>
      <c r="E11324" t="s">
        <v>33799</v>
      </c>
    </row>
    <row r="11325" spans="1:5">
      <c r="A11325" t="s">
        <v>6</v>
      </c>
      <c r="B11325" t="s">
        <v>11330</v>
      </c>
      <c r="C11325">
        <f>HYPERLINK("C:\Users\franc\OneDrive\Documentos\MALENTIN KARIME\BANCO ESTADO\2012 DEPTO ESCRITURAS fata\NOTARIA 2009\PROHIBICION\JUANA TOLEDO[1].doc", "Abrir Documento")</f>
        <v>0</v>
      </c>
      <c r="D11325" t="s">
        <v>23500</v>
      </c>
      <c r="E11325" t="s">
        <v>33800</v>
      </c>
    </row>
    <row r="11326" spans="1:5">
      <c r="A11326" t="s">
        <v>6</v>
      </c>
      <c r="B11326" t="s">
        <v>11331</v>
      </c>
      <c r="C11326">
        <f>HYPERLINK("C:\Users\franc\OneDrive\Documentos\MALENTIN KARIME\BANCO ESTADO\2012 DEPTO ESCRITURAS fata\NOTARIA 2009\PROHIBICION\JUAN GAHONA A SERVIU.doc", "Abrir Documento")</f>
        <v>0</v>
      </c>
      <c r="D11326" t="s">
        <v>23500</v>
      </c>
      <c r="E11326" t="s">
        <v>33801</v>
      </c>
    </row>
    <row r="11327" spans="1:5">
      <c r="A11327" t="s">
        <v>6</v>
      </c>
      <c r="B11327" t="s">
        <v>11332</v>
      </c>
      <c r="C11327">
        <f>HYPERLINK("C:\Users\franc\OneDrive\Documentos\MALENTIN KARIME\BANCO ESTADO\2012 DEPTO ESCRITURAS fata\NOTARIA 2009\PROHIBICION\JORGE ZARATE A SERVIU.doc", "Abrir Documento")</f>
        <v>0</v>
      </c>
      <c r="D11327" t="s">
        <v>23500</v>
      </c>
      <c r="E11327" t="s">
        <v>33802</v>
      </c>
    </row>
    <row r="11328" spans="1:5">
      <c r="A11328" t="s">
        <v>6</v>
      </c>
      <c r="B11328" t="s">
        <v>11333</v>
      </c>
      <c r="C11328">
        <f>HYPERLINK("C:\Users\franc\OneDrive\Documentos\MALENTIN KARIME\BANCO ESTADO\2012 DEPTO ESCRITURAS fata\NOTARIA 2009\PROHIBICION\JACINTO TORO A SERVIU.doc", "Abrir Documento")</f>
        <v>0</v>
      </c>
      <c r="D11328" t="s">
        <v>23500</v>
      </c>
      <c r="E11328" t="s">
        <v>33803</v>
      </c>
    </row>
    <row r="11329" spans="1:5">
      <c r="A11329" t="s">
        <v>6</v>
      </c>
      <c r="B11329" t="s">
        <v>11334</v>
      </c>
      <c r="C11329">
        <f>HYPERLINK("C:\Users\franc\OneDrive\Documentos\MALENTIN KARIME\BANCO ESTADO\2012 DEPTO ESCRITURAS fata\NOTARIA 2009\PROHIBICION\IVAN HIDALGO Y CONYUGE.doc", "Abrir Documento")</f>
        <v>0</v>
      </c>
      <c r="D11329" t="s">
        <v>23500</v>
      </c>
      <c r="E11329" t="s">
        <v>33804</v>
      </c>
    </row>
    <row r="11330" spans="1:5">
      <c r="A11330" t="s">
        <v>6</v>
      </c>
      <c r="B11330" t="s">
        <v>11335</v>
      </c>
      <c r="C11330">
        <f>HYPERLINK("C:\Users\franc\OneDrive\Documentos\MALENTIN KARIME\BANCO ESTADO\2012 DEPTO ESCRITURAS fata\NOTARIA 2009\PROHIBICION\HILDERGARD CUBILLOS.doc", "Abrir Documento")</f>
        <v>0</v>
      </c>
      <c r="D11330" t="s">
        <v>23500</v>
      </c>
      <c r="E11330" t="s">
        <v>33805</v>
      </c>
    </row>
    <row r="11331" spans="1:5">
      <c r="A11331" t="s">
        <v>6</v>
      </c>
      <c r="B11331" t="s">
        <v>11336</v>
      </c>
      <c r="C11331">
        <f>HYPERLINK("C:\Users\franc\OneDrive\Documentos\MALENTIN KARIME\BANCO ESTADO\2012 DEPTO ESCRITURAS fata\NOTARIA 2009\PROHIBICION\HERNAN GODOY.doc", "Abrir Documento")</f>
        <v>0</v>
      </c>
      <c r="D11331" t="s">
        <v>23500</v>
      </c>
      <c r="E11331" t="s">
        <v>33806</v>
      </c>
    </row>
    <row r="11332" spans="1:5">
      <c r="A11332" t="s">
        <v>6</v>
      </c>
      <c r="B11332" t="s">
        <v>11337</v>
      </c>
      <c r="C11332">
        <f>HYPERLINK("C:\Users\franc\OneDrive\Documentos\MALENTIN KARIME\BANCO ESTADO\2012 DEPTO ESCRITURAS fata\NOTARIA 2009\PROHIBICION\GUILLERMINA URQUETA (SOLA).doc", "Abrir Documento")</f>
        <v>0</v>
      </c>
      <c r="D11332" t="s">
        <v>23500</v>
      </c>
      <c r="E11332" t="s">
        <v>33807</v>
      </c>
    </row>
    <row r="11333" spans="1:5">
      <c r="A11333" t="s">
        <v>6</v>
      </c>
      <c r="B11333" t="s">
        <v>11338</v>
      </c>
      <c r="C11333">
        <f>HYPERLINK("C:\Users\franc\OneDrive\Documentos\MALENTIN KARIME\BANCO ESTADO\2012 DEPTO ESCRITURAS fata\NOTARIA 2009\PROHIBICION\GLADYS GALLARDO.doc", "Abrir Documento")</f>
        <v>0</v>
      </c>
      <c r="D11333" t="s">
        <v>23500</v>
      </c>
      <c r="E11333" t="s">
        <v>33808</v>
      </c>
    </row>
    <row r="11334" spans="1:5">
      <c r="A11334" t="s">
        <v>6</v>
      </c>
      <c r="B11334" t="s">
        <v>11339</v>
      </c>
      <c r="C11334">
        <f>HYPERLINK("C:\Users\franc\OneDrive\Documentos\MALENTIN KARIME\BANCO ESTADO\2012 DEPTO ESCRITURAS fata\NOTARIA 2009\PROHIBICION\FERNANDO LEIVA.doc", "Abrir Documento")</f>
        <v>0</v>
      </c>
      <c r="D11334" t="s">
        <v>23500</v>
      </c>
      <c r="E11334" t="s">
        <v>33809</v>
      </c>
    </row>
    <row r="11335" spans="1:5">
      <c r="A11335" t="s">
        <v>6</v>
      </c>
      <c r="B11335" t="s">
        <v>11340</v>
      </c>
      <c r="C11335">
        <f>HYPERLINK("C:\Users\franc\OneDrive\Documentos\MALENTIN KARIME\BANCO ESTADO\2012 DEPTO ESCRITURAS fata\NOTARIA 2009\PROHIBICION\DAVID ROJAS.doc", "Abrir Documento")</f>
        <v>0</v>
      </c>
      <c r="D11335" t="s">
        <v>23500</v>
      </c>
      <c r="E11335" t="s">
        <v>33810</v>
      </c>
    </row>
    <row r="11336" spans="1:5">
      <c r="A11336" t="s">
        <v>6</v>
      </c>
      <c r="B11336" t="s">
        <v>11341</v>
      </c>
      <c r="C11336">
        <f>HYPERLINK("C:\Users\franc\OneDrive\Documentos\MALENTIN KARIME\BANCO ESTADO\2012 DEPTO ESCRITURAS fata\NOTARIA 2009\PROHIBICION\COMITE PRO CASA VILLA ESPERANZA A SERVIU.doc", "Abrir Documento")</f>
        <v>0</v>
      </c>
      <c r="D11336" t="s">
        <v>23500</v>
      </c>
      <c r="E11336" t="s">
        <v>33811</v>
      </c>
    </row>
    <row r="11337" spans="1:5">
      <c r="A11337" t="s">
        <v>6</v>
      </c>
      <c r="B11337" t="s">
        <v>11342</v>
      </c>
      <c r="C11337">
        <f>HYPERLINK("C:\Users\franc\OneDrive\Documentos\MALENTIN KARIME\BANCO ESTADO\2012 DEPTO ESCRITURAS fata\NOTARIA 2009\PROHIBICION\CLODOMIRO URQUIETA Y CONYUGE.doc", "Abrir Documento")</f>
        <v>0</v>
      </c>
      <c r="D11337" t="s">
        <v>23500</v>
      </c>
      <c r="E11337" t="s">
        <v>33812</v>
      </c>
    </row>
    <row r="11338" spans="1:5">
      <c r="A11338" t="s">
        <v>6</v>
      </c>
      <c r="B11338" t="s">
        <v>11343</v>
      </c>
      <c r="C11338">
        <f>HYPERLINK("C:\Users\franc\OneDrive\Documentos\MALENTIN KARIME\BANCO ESTADO\2012 DEPTO ESCRITURAS fata\NOTARIA 2009\PROHIBICION\carlos larrondo y graciela julio.doc", "Abrir Documento")</f>
        <v>0</v>
      </c>
      <c r="D11338" t="s">
        <v>23500</v>
      </c>
      <c r="E11338" t="s">
        <v>33813</v>
      </c>
    </row>
    <row r="11339" spans="1:5">
      <c r="A11339" t="s">
        <v>6</v>
      </c>
      <c r="B11339" t="s">
        <v>11344</v>
      </c>
      <c r="C11339">
        <f>HYPERLINK("C:\Users\franc\OneDrive\Documentos\MALENTIN KARIME\BANCO ESTADO\2012 DEPTO ESCRITURAS fata\NOTARIA 2009\PROHIBICION\ANA ARENAS A SERVIU.doc", "Abrir Documento")</f>
        <v>0</v>
      </c>
      <c r="D11339" t="s">
        <v>23500</v>
      </c>
      <c r="E11339" t="s">
        <v>33814</v>
      </c>
    </row>
    <row r="11340" spans="1:5">
      <c r="A11340" t="s">
        <v>6</v>
      </c>
      <c r="B11340" t="s">
        <v>11345</v>
      </c>
      <c r="C11340">
        <f>HYPERLINK("C:\Users\franc\OneDrive\Documentos\MALENTIN KARIME\BANCO ESTADO\2012 DEPTO ESCRITURAS fata\NOTARIA 2009\PROHIBICION\ALEJANDRO IBAÑEZ A SERVIU.doc", "Abrir Documento")</f>
        <v>0</v>
      </c>
      <c r="D11340" t="s">
        <v>23500</v>
      </c>
      <c r="E11340" t="s">
        <v>33815</v>
      </c>
    </row>
    <row r="11341" spans="1:5">
      <c r="A11341" t="s">
        <v>6</v>
      </c>
      <c r="B11341" t="s">
        <v>11346</v>
      </c>
      <c r="C11341">
        <f>HYPERLINK("C:\Users\franc\OneDrive\Documentos\MALENTIN KARIME\BANCO ESTADO\2012 DEPTO ESCRITURAS fata\NOTARIA 2009\PROHENS\RAFAEL PROHENS Y CIA. LTDA. MANDATO ESPECIAL.doc", "Abrir Documento")</f>
        <v>0</v>
      </c>
      <c r="D11341" t="s">
        <v>23500</v>
      </c>
      <c r="E11341" t="s">
        <v>33816</v>
      </c>
    </row>
    <row r="11342" spans="1:5">
      <c r="A11342" t="s">
        <v>6</v>
      </c>
      <c r="B11342" t="s">
        <v>11347</v>
      </c>
      <c r="C11342">
        <f>HYPERLINK("C:\Users\franc\OneDrive\Documentos\MALENTIN KARIME\BANCO ESTADO\2012 DEPTO ESCRITURAS fata\NOTARIA 2009\PROHENS\MODIFIC. EST. RAFAEL PROHENS Y CIA..doc", "Abrir Documento")</f>
        <v>0</v>
      </c>
      <c r="D11342" t="s">
        <v>23500</v>
      </c>
      <c r="E11342" t="s">
        <v>33817</v>
      </c>
    </row>
    <row r="11343" spans="1:5">
      <c r="A11343" t="s">
        <v>6</v>
      </c>
      <c r="B11343" t="s">
        <v>11348</v>
      </c>
      <c r="C11343">
        <f>HYPERLINK("C:\Users\franc\OneDrive\Documentos\MALENTIN KARIME\BANCO ESTADO\2012 DEPTO ESCRITURAS fata\NOTARIA 2009\PROHENS\MARIA FIGARI A AGRICOLA PROFI LTDA..doc", "Abrir Documento")</f>
        <v>0</v>
      </c>
      <c r="D11343" t="s">
        <v>23500</v>
      </c>
      <c r="E11343" t="s">
        <v>33818</v>
      </c>
    </row>
    <row r="11344" spans="1:5">
      <c r="A11344" t="s">
        <v>6</v>
      </c>
      <c r="B11344" t="s">
        <v>11349</v>
      </c>
      <c r="C11344">
        <f>HYPERLINK("C:\Users\franc\OneDrive\Documentos\MALENTIN KARIME\BANCO ESTADO\2012 DEPTO ESCRITURAS fata\NOTARIA 2009\PROHENS\extracto Rafael Prohens.doc", "Abrir Documento")</f>
        <v>0</v>
      </c>
      <c r="D11344" t="s">
        <v>23500</v>
      </c>
      <c r="E11344" t="s">
        <v>33819</v>
      </c>
    </row>
    <row r="11345" spans="1:5">
      <c r="A11345" t="s">
        <v>6</v>
      </c>
      <c r="B11345" t="s">
        <v>11350</v>
      </c>
      <c r="C11345">
        <f>HYPERLINK("C:\Users\franc\OneDrive\Documentos\MALENTIN KARIME\BANCO ESTADO\2012 DEPTO ESCRITURAS fata\NOTARIA 2009\PRENDAS SIN DESPLAZAMIENTO\LOS LLANOS DE LIMARI A SOC. AGRIC. COM. LTDA..doc", "Abrir Documento")</f>
        <v>0</v>
      </c>
      <c r="D11345" t="s">
        <v>23500</v>
      </c>
      <c r="E11345" t="s">
        <v>33820</v>
      </c>
    </row>
    <row r="11346" spans="1:5">
      <c r="A11346" t="s">
        <v>6</v>
      </c>
      <c r="B11346" t="s">
        <v>11351</v>
      </c>
      <c r="C11346">
        <f>HYPERLINK("C:\Users\franc\OneDrive\Documentos\MALENTIN KARIME\BANCO ESTADO\2012 DEPTO ESCRITURAS fata\NOTARIA 2009\PRENDA SIN DESPLAZAMIENTO\TOMAS ARDILES A EPYSA LTDA. (PRENDA INDUSTRIAL).doc", "Abrir Documento")</f>
        <v>0</v>
      </c>
      <c r="D11346" t="s">
        <v>23500</v>
      </c>
      <c r="E11346" t="s">
        <v>33821</v>
      </c>
    </row>
    <row r="11347" spans="1:5">
      <c r="A11347" t="s">
        <v>6</v>
      </c>
      <c r="B11347" t="s">
        <v>11352</v>
      </c>
      <c r="C11347">
        <f>HYPERLINK("C:\Users\franc\OneDrive\Documentos\MALENTIN KARIME\BANCO ESTADO\2012 DEPTO ESCRITURAS fata\NOTARIA 2009\PRENDA SIN DESPLAZAMIENTO\SOC. MINERA BOYENS LTDA..doc", "Abrir Documento")</f>
        <v>0</v>
      </c>
      <c r="D11347" t="s">
        <v>23500</v>
      </c>
      <c r="E11347" t="s">
        <v>33822</v>
      </c>
    </row>
    <row r="11348" spans="1:5">
      <c r="A11348" t="s">
        <v>6</v>
      </c>
      <c r="B11348" t="s">
        <v>11353</v>
      </c>
      <c r="C11348">
        <f>HYPERLINK("C:\Users\franc\OneDrive\Documentos\MALENTIN KARIME\BANCO ESTADO\2012 DEPTO ESCRITURAS fata\NOTARIA 2009\PRENDA SIN DESPLAZAMIENTO\SOC. MINERA BOYENS LTDA. FINAS.doc", "Abrir Documento")</f>
        <v>0</v>
      </c>
      <c r="D11348" t="s">
        <v>23500</v>
      </c>
      <c r="E11348" t="s">
        <v>33823</v>
      </c>
    </row>
    <row r="11349" spans="1:5">
      <c r="A11349" t="s">
        <v>6</v>
      </c>
      <c r="B11349" t="s">
        <v>11354</v>
      </c>
      <c r="C11349">
        <f>HYPERLINK("C:\Users\franc\OneDrive\Documentos\MALENTIN KARIME\BANCO ESTADO\2012 DEPTO ESCRITURAS fata\NOTARIA 2009\PRENDA SIN DESPLAZAMIENTO\SOC. BOYENS CON ORIEL PERINES (PARTICULAR).doc", "Abrir Documento")</f>
        <v>0</v>
      </c>
      <c r="D11349" t="s">
        <v>23500</v>
      </c>
      <c r="E11349" t="s">
        <v>33824</v>
      </c>
    </row>
    <row r="11350" spans="1:5">
      <c r="A11350" t="s">
        <v>6</v>
      </c>
      <c r="B11350" t="s">
        <v>11355</v>
      </c>
      <c r="C11350">
        <f>HYPERLINK("C:\Users\franc\OneDrive\Documentos\MALENTIN KARIME\BANCO ESTADO\2012 DEPTO ESCRITURAS fata\NOTARIA 2009\PRENDA SIN DESPLAZAMIENTO\MARCO ADAOS A AGRICOLA EL TREBOL.doc", "Abrir Documento")</f>
        <v>0</v>
      </c>
      <c r="D11350" t="s">
        <v>23500</v>
      </c>
      <c r="E11350" t="s">
        <v>33825</v>
      </c>
    </row>
    <row r="11351" spans="1:5">
      <c r="A11351" t="s">
        <v>6</v>
      </c>
      <c r="B11351" t="s">
        <v>11356</v>
      </c>
      <c r="C11351">
        <f>HYPERLINK("C:\Users\franc\OneDrive\Documentos\MALENTIN KARIME\BANCO ESTADO\2012 DEPTO ESCRITURAS fata\NOTARIA 2009\PRENDA SIN DESPLAZAMIENTO\MARCO ADAOS A AGRICOLA EL TREBOL (PARTICULAR).doc", "Abrir Documento")</f>
        <v>0</v>
      </c>
      <c r="D11351" t="s">
        <v>23500</v>
      </c>
      <c r="E11351" t="s">
        <v>33826</v>
      </c>
    </row>
    <row r="11352" spans="1:5">
      <c r="A11352" t="s">
        <v>6</v>
      </c>
      <c r="B11352" t="s">
        <v>11357</v>
      </c>
      <c r="C11352">
        <f>HYPERLINK("C:\Users\franc\OneDrive\Documentos\MALENTIN KARIME\BANCO ESTADO\2012 DEPTO ESCRITURAS fata\NOTARIA 2009\PRENDA SIN DESPLAZAMIENTO\JUAN MARAMBIO A COPEVAL.doc", "Abrir Documento")</f>
        <v>0</v>
      </c>
      <c r="D11352" t="s">
        <v>23500</v>
      </c>
      <c r="E11352" t="s">
        <v>33827</v>
      </c>
    </row>
    <row r="11353" spans="1:5">
      <c r="A11353" t="s">
        <v>6</v>
      </c>
      <c r="B11353" t="s">
        <v>11358</v>
      </c>
      <c r="C11353">
        <f>HYPERLINK("C:\Users\franc\OneDrive\Documentos\MALENTIN KARIME\BANCO ESTADO\2012 DEPTO ESCRITURAS fata\NOTARIA 2009\PRENDA SIN DESPLAZAMIENTO\HUGO HENRIQUEZ A AGRICOLA EL TREBOL.doc", "Abrir Documento")</f>
        <v>0</v>
      </c>
      <c r="D11353" t="s">
        <v>23500</v>
      </c>
      <c r="E11353" t="s">
        <v>33828</v>
      </c>
    </row>
    <row r="11354" spans="1:5">
      <c r="A11354" t="s">
        <v>6</v>
      </c>
      <c r="B11354" t="s">
        <v>11359</v>
      </c>
      <c r="C11354">
        <f>HYPERLINK("C:\Users\franc\OneDrive\Documentos\MALENTIN KARIME\BANCO ESTADO\2012 DEPTO ESCRITURAS fata\NOTARIA 2009\PRENDA SIN DESPLAZAMIENTO\HUGO HENRIQUEZ A AGRICOLA EL TREBOL (PARTICULAR).doc", "Abrir Documento")</f>
        <v>0</v>
      </c>
      <c r="D11354" t="s">
        <v>23500</v>
      </c>
      <c r="E11354" t="s">
        <v>33829</v>
      </c>
    </row>
    <row r="11355" spans="1:5">
      <c r="A11355" t="s">
        <v>6</v>
      </c>
      <c r="B11355" t="s">
        <v>11360</v>
      </c>
      <c r="C11355">
        <f>HYPERLINK("C:\Users\franc\OneDrive\Documentos\MALENTIN KARIME\BANCO ESTADO\2012 DEPTO ESCRITURAS fata\NOTARIA 2009\PRENDA SIN DESPLAZAMIENTO\EXTRACTO JUAN MARAMBIO A COPEVAL.doc", "Abrir Documento")</f>
        <v>0</v>
      </c>
      <c r="D11355" t="s">
        <v>23500</v>
      </c>
      <c r="E11355" t="s">
        <v>33830</v>
      </c>
    </row>
    <row r="11356" spans="1:5">
      <c r="A11356" t="s">
        <v>6</v>
      </c>
      <c r="B11356" t="s">
        <v>11361</v>
      </c>
      <c r="C11356">
        <f>HYPERLINK("C:\Users\franc\OneDrive\Documentos\MALENTIN KARIME\BANCO ESTADO\2012 DEPTO ESCRITURAS fata\NOTARIA 2009\PERMUTA\Samuel Rojo a Ricardo ALlende.doc", "Abrir Documento")</f>
        <v>0</v>
      </c>
      <c r="D11356" t="s">
        <v>23500</v>
      </c>
      <c r="E11356" t="s">
        <v>33831</v>
      </c>
    </row>
    <row r="11357" spans="1:5">
      <c r="A11357" t="s">
        <v>6</v>
      </c>
      <c r="B11357" t="s">
        <v>11362</v>
      </c>
      <c r="C11357">
        <f>HYPERLINK("C:\Users\franc\OneDrive\Documentos\MALENTIN KARIME\BANCO ESTADO\2012 DEPTO ESCRITURAS fata\NOTARIA 2009\PERMUTA\Samuel Rojo a Ricardo ALlende 2.doc", "Abrir Documento")</f>
        <v>0</v>
      </c>
      <c r="D11357" t="s">
        <v>23500</v>
      </c>
      <c r="E11357" t="s">
        <v>33832</v>
      </c>
    </row>
    <row r="11358" spans="1:5">
      <c r="A11358" t="s">
        <v>6</v>
      </c>
      <c r="B11358" t="s">
        <v>11363</v>
      </c>
      <c r="C11358">
        <f>HYPERLINK("C:\Users\franc\OneDrive\Documentos\MALENTIN KARIME\BANCO ESTADO\2012 DEPTO ESCRITURAS fata\NOTARIA 2009\PERMUTA\Samuel Rojo a Ricardo ALlende 2 (1).doc", "Abrir Documento")</f>
        <v>0</v>
      </c>
      <c r="D11358" t="s">
        <v>23500</v>
      </c>
      <c r="E11358" t="s">
        <v>33833</v>
      </c>
    </row>
    <row r="11359" spans="1:5">
      <c r="A11359" t="s">
        <v>6</v>
      </c>
      <c r="B11359" t="s">
        <v>11364</v>
      </c>
      <c r="C11359">
        <f>HYPERLINK("C:\Users\franc\OneDrive\Documentos\MALENTIN KARIME\BANCO ESTADO\2012 DEPTO ESCRITURAS fata\NOTARIA 2009\PERMUTA\Samuel Rojo a Ricardo ALlende (1).doc", "Abrir Documento")</f>
        <v>0</v>
      </c>
      <c r="D11359" t="s">
        <v>23500</v>
      </c>
      <c r="E11359" t="s">
        <v>33834</v>
      </c>
    </row>
    <row r="11360" spans="1:5">
      <c r="A11360" t="s">
        <v>6</v>
      </c>
      <c r="B11360" t="s">
        <v>11365</v>
      </c>
      <c r="C11360">
        <f>HYPERLINK("C:\Users\franc\OneDrive\Documentos\MALENTIN KARIME\BANCO ESTADO\2012 DEPTO ESCRITURAS fata\NOTARIA 2009\PATRICIA ALFARO\NICOLASA IRIBARREN Y OT. A HOWAR MUÑOZ.doc", "Abrir Documento")</f>
        <v>0</v>
      </c>
      <c r="D11360" t="s">
        <v>23500</v>
      </c>
      <c r="E11360" t="s">
        <v>33835</v>
      </c>
    </row>
    <row r="11361" spans="1:5">
      <c r="A11361" t="s">
        <v>6</v>
      </c>
      <c r="B11361" t="s">
        <v>11366</v>
      </c>
      <c r="C11361">
        <f>HYPERLINK("C:\Users\franc\OneDrive\Documentos\MALENTIN KARIME\BANCO ESTADO\2012 DEPTO ESCRITURAS fata\NOTARIA 2009\PATRICIA ALFARO\HUGO CORTES Y OTRO (SUBDIVISION).doc", "Abrir Documento")</f>
        <v>0</v>
      </c>
      <c r="D11361" t="s">
        <v>23500</v>
      </c>
      <c r="E11361" t="s">
        <v>33836</v>
      </c>
    </row>
    <row r="11362" spans="1:5">
      <c r="A11362" t="s">
        <v>6</v>
      </c>
      <c r="B11362" t="s">
        <v>11367</v>
      </c>
      <c r="C11362">
        <f>HYPERLINK("C:\Users\franc\OneDrive\Documentos\MALENTIN KARIME\BANCO ESTADO\2012 DEPTO ESCRITURAS fata\NOTARIA 2009\PATRICIA ALFARO\COMPLEMENTACION MIRNA.doc", "Abrir Documento")</f>
        <v>0</v>
      </c>
      <c r="D11362" t="s">
        <v>23500</v>
      </c>
      <c r="E11362" t="s">
        <v>33837</v>
      </c>
    </row>
    <row r="11363" spans="1:5">
      <c r="A11363" t="s">
        <v>6</v>
      </c>
      <c r="B11363" t="s">
        <v>11368</v>
      </c>
      <c r="C11363">
        <f>HYPERLINK("C:\Users\franc\OneDrive\Documentos\MALENTIN KARIME\BANCO ESTADO\2012 DEPTO ESCRITURAS fata\NOTARIA 2009\PATRICIA ALFARO\COMPLEMENTACION HUGO CORTES.doc", "Abrir Documento")</f>
        <v>0</v>
      </c>
      <c r="D11363" t="s">
        <v>23500</v>
      </c>
      <c r="E11363" t="s">
        <v>33838</v>
      </c>
    </row>
    <row r="11364" spans="1:5">
      <c r="A11364" t="s">
        <v>6</v>
      </c>
      <c r="B11364" t="s">
        <v>11369</v>
      </c>
      <c r="C11364">
        <f>HYPERLINK("C:\Users\franc\OneDrive\Documentos\MALENTIN KARIME\BANCO ESTADO\2012 DEPTO ESCRITURAS fata\NOTARIA 2009\PATRICIA ALFARO\COMODATO COM AGRICOLA POTRERILLO A CLUB DEP. UNION JUVENTUD.doc", "Abrir Documento")</f>
        <v>0</v>
      </c>
      <c r="D11364" t="s">
        <v>23500</v>
      </c>
      <c r="E11364" t="s">
        <v>33839</v>
      </c>
    </row>
    <row r="11365" spans="1:5">
      <c r="A11365" t="s">
        <v>6</v>
      </c>
      <c r="B11365" t="s">
        <v>11370</v>
      </c>
      <c r="C11365">
        <f>HYPERLINK("C:\Users\franc\OneDrive\Documentos\MALENTIN KARIME\BANCO ESTADO\2012 DEPTO ESCRITURAS fata\NOTARIA 2009\PATRICIA ALFARO\comodato club de rodeo.doc", "Abrir Documento")</f>
        <v>0</v>
      </c>
      <c r="D11365" t="s">
        <v>23500</v>
      </c>
      <c r="E11365" t="s">
        <v>33840</v>
      </c>
    </row>
    <row r="11366" spans="1:5">
      <c r="A11366" t="s">
        <v>6</v>
      </c>
      <c r="B11366" t="s">
        <v>11371</v>
      </c>
      <c r="C11366">
        <f>HYPERLINK("C:\Users\franc\OneDrive\Documentos\MALENTIN KARIME\BANCO ESTADO\2012 DEPTO ESCRITURAS fata\NOTARIA 2009\PATRICIA ALFARO\COM. AGRICOLA POTRERILLO A CLUB ADULTO MAYOR.doc", "Abrir Documento")</f>
        <v>0</v>
      </c>
      <c r="D11366" t="s">
        <v>23500</v>
      </c>
      <c r="E11366" t="s">
        <v>33841</v>
      </c>
    </row>
    <row r="11367" spans="1:5">
      <c r="A11367" t="s">
        <v>6</v>
      </c>
      <c r="B11367" t="s">
        <v>11372</v>
      </c>
      <c r="C11367">
        <f>HYPERLINK("C:\Users\franc\OneDrive\Documentos\MALENTIN KARIME\BANCO ESTADO\2012 DEPTO ESCRITURAS fata\NOTARIA 2009\OSCAR LUZA\ZUNILDA JULIO Y OTRAS A EDUARDO JULIO (MARZO 2009).doc", "Abrir Documento")</f>
        <v>0</v>
      </c>
      <c r="D11367" t="s">
        <v>23500</v>
      </c>
      <c r="E11367" t="s">
        <v>33842</v>
      </c>
    </row>
    <row r="11368" spans="1:5">
      <c r="A11368" t="s">
        <v>6</v>
      </c>
      <c r="B11368" t="s">
        <v>11373</v>
      </c>
      <c r="C11368">
        <f>HYPERLINK("C:\Users\franc\OneDrive\Documentos\MALENTIN KARIME\BANCO ESTADO\2012 DEPTO ESCRITURAS fata\NOTARIA 2009\OSCAR LUZA\ZUNILDA JULIO Y OTRAS A EDUARDO JULIO (MARZO 2009) (1).doc", "Abrir Documento")</f>
        <v>0</v>
      </c>
      <c r="D11368" t="s">
        <v>23500</v>
      </c>
      <c r="E11368" t="s">
        <v>33843</v>
      </c>
    </row>
    <row r="11369" spans="1:5">
      <c r="A11369" t="s">
        <v>6</v>
      </c>
      <c r="B11369" t="s">
        <v>11374</v>
      </c>
      <c r="C11369">
        <f>HYPERLINK("C:\Users\franc\OneDrive\Documentos\MALENTIN KARIME\BANCO ESTADO\2012 DEPTO ESCRITURAS fata\NOTARIA 2009\OSCAR LUZA\ZUNILDA JULIO PIÑONES Y OT. A EDO. JULIO.doc", "Abrir Documento")</f>
        <v>0</v>
      </c>
      <c r="D11369" t="s">
        <v>23500</v>
      </c>
      <c r="E11369" t="s">
        <v>33844</v>
      </c>
    </row>
    <row r="11370" spans="1:5">
      <c r="A11370" t="s">
        <v>6</v>
      </c>
      <c r="B11370" t="s">
        <v>11375</v>
      </c>
      <c r="C11370">
        <f>HYPERLINK("C:\Users\franc\OneDrive\Documentos\MALENTIN KARIME\BANCO ESTADO\2012 DEPTO ESCRITURAS fata\NOTARIA 2009\OSCAR LUZA\ZUNILDA JULIO PIÑONES Y OT. A EDO. JULIO (1).doc", "Abrir Documento")</f>
        <v>0</v>
      </c>
      <c r="D11370" t="s">
        <v>23500</v>
      </c>
      <c r="E11370" t="s">
        <v>33845</v>
      </c>
    </row>
    <row r="11371" spans="1:5">
      <c r="A11371" t="s">
        <v>6</v>
      </c>
      <c r="B11371" t="s">
        <v>11376</v>
      </c>
      <c r="C11371">
        <f>HYPERLINK("C:\Users\franc\OneDrive\Documentos\MALENTIN KARIME\BANCO ESTADO\2012 DEPTO ESCRITURAS fata\NOTARIA 2009\OSCAR LUZA\MARIA ARAYA A JORGE CASTILLO.doc", "Abrir Documento")</f>
        <v>0</v>
      </c>
      <c r="D11371" t="s">
        <v>23500</v>
      </c>
      <c r="E11371" t="s">
        <v>33846</v>
      </c>
    </row>
    <row r="11372" spans="1:5">
      <c r="A11372" t="s">
        <v>6</v>
      </c>
      <c r="B11372" t="s">
        <v>11377</v>
      </c>
      <c r="C11372">
        <f>HYPERLINK("C:\Users\franc\OneDrive\Documentos\MALENTIN KARIME\BANCO ESTADO\2012 DEPTO ESCRITURAS fata\NOTARIA 2009\OSCAR LUZA\MARIA ARAYA A JORGE CASTILLO (1).doc", "Abrir Documento")</f>
        <v>0</v>
      </c>
      <c r="D11372" t="s">
        <v>23500</v>
      </c>
      <c r="E11372" t="s">
        <v>33847</v>
      </c>
    </row>
    <row r="11373" spans="1:5">
      <c r="A11373" t="s">
        <v>6</v>
      </c>
      <c r="B11373" t="s">
        <v>11378</v>
      </c>
      <c r="C11373">
        <f>HYPERLINK("C:\Users\franc\OneDrive\Documentos\MALENTIN KARIME\BANCO ESTADO\2012 DEPTO ESCRITURAS fata\NOTARIA 2009\OSCAR LUZA\JOSE JOPIA A SICTEL.doc", "Abrir Documento")</f>
        <v>0</v>
      </c>
      <c r="D11373" t="s">
        <v>23500</v>
      </c>
      <c r="E11373" t="s">
        <v>33848</v>
      </c>
    </row>
    <row r="11374" spans="1:5">
      <c r="A11374" t="s">
        <v>6</v>
      </c>
      <c r="B11374" t="s">
        <v>11379</v>
      </c>
      <c r="C11374">
        <f>HYPERLINK("C:\Users\franc\OneDrive\Documentos\MALENTIN KARIME\BANCO ESTADO\2012 DEPTO ESCRITURAS fata\NOTARIA 2009\OSCAR LUZA\JOSE JOPIA A SICTEL (1).doc", "Abrir Documento")</f>
        <v>0</v>
      </c>
      <c r="D11374" t="s">
        <v>23500</v>
      </c>
      <c r="E11374" t="s">
        <v>33849</v>
      </c>
    </row>
    <row r="11375" spans="1:5">
      <c r="A11375" t="s">
        <v>6</v>
      </c>
      <c r="B11375" t="s">
        <v>11380</v>
      </c>
      <c r="C11375">
        <f>HYPERLINK("C:\Users\franc\OneDrive\Documentos\MALENTIN KARIME\BANCO ESTADO\2012 DEPTO ESCRITURAS fata\NOTARIA 2009\OSCAR LUZA\JOSE ARAYA A JORGE CASTILLO  (CESION).doc", "Abrir Documento")</f>
        <v>0</v>
      </c>
      <c r="D11375" t="s">
        <v>23500</v>
      </c>
      <c r="E11375" t="s">
        <v>33850</v>
      </c>
    </row>
    <row r="11376" spans="1:5">
      <c r="A11376" t="s">
        <v>6</v>
      </c>
      <c r="B11376" t="s">
        <v>11381</v>
      </c>
      <c r="C11376">
        <f>HYPERLINK("C:\Users\franc\OneDrive\Documentos\MALENTIN KARIME\BANCO ESTADO\2012 DEPTO ESCRITURAS fata\NOTARIA 2009\OSCAR LUZA\JOSE ARAYA A JORGE CASTILLO  (CESION) (1).doc", "Abrir Documento")</f>
        <v>0</v>
      </c>
      <c r="D11376" t="s">
        <v>23500</v>
      </c>
      <c r="E11376" t="s">
        <v>33851</v>
      </c>
    </row>
    <row r="11377" spans="1:5">
      <c r="A11377" t="s">
        <v>6</v>
      </c>
      <c r="B11377" t="s">
        <v>11382</v>
      </c>
      <c r="C11377">
        <f>HYPERLINK("C:\Users\franc\OneDrive\Documentos\MALENTIN KARIME\BANCO ESTADO\2012 DEPTO ESCRITURAS fata\NOTARIA 2009\OSCAR LUZA\EDUARDO JULIO PIÑONES.doc", "Abrir Documento")</f>
        <v>0</v>
      </c>
      <c r="D11377" t="s">
        <v>23500</v>
      </c>
      <c r="E11377" t="s">
        <v>33852</v>
      </c>
    </row>
    <row r="11378" spans="1:5">
      <c r="A11378" t="s">
        <v>6</v>
      </c>
      <c r="B11378" t="s">
        <v>11383</v>
      </c>
      <c r="C11378">
        <f>HYPERLINK("C:\Users\franc\OneDrive\Documentos\MALENTIN KARIME\BANCO ESTADO\2012 DEPTO ESCRITURAS fata\NOTARIA 2009\OSCAR LUZA\EDUARDO JULIO PIÑONES (1).doc", "Abrir Documento")</f>
        <v>0</v>
      </c>
      <c r="D11378" t="s">
        <v>23500</v>
      </c>
      <c r="E11378" t="s">
        <v>33853</v>
      </c>
    </row>
    <row r="11379" spans="1:5">
      <c r="A11379" t="s">
        <v>6</v>
      </c>
      <c r="B11379" t="s">
        <v>11384</v>
      </c>
      <c r="C11379">
        <f>HYPERLINK("C:\Users\franc\OneDrive\Documentos\MALENTIN KARIME\BANCO ESTADO\2012 DEPTO ESCRITURAS fata\NOTARIA 2009\MUTUOS\WILSON ZEPEDA A RODRIGO ZEPEDA.doc", "Abrir Documento")</f>
        <v>0</v>
      </c>
      <c r="D11379" t="s">
        <v>23500</v>
      </c>
      <c r="E11379" t="s">
        <v>33854</v>
      </c>
    </row>
    <row r="11380" spans="1:5">
      <c r="A11380" t="s">
        <v>6</v>
      </c>
      <c r="B11380" t="s">
        <v>11385</v>
      </c>
      <c r="C11380">
        <f>HYPERLINK("C:\Users\franc\OneDrive\Documentos\MALENTIN KARIME\BANCO ESTADO\2012 DEPTO ESCRITURAS fata\NOTARIA 2009\MUTUOS\TERESA GONZALEZ A MANUEL VERGARA.doc", "Abrir Documento")</f>
        <v>0</v>
      </c>
      <c r="D11380" t="s">
        <v>23500</v>
      </c>
      <c r="E11380" t="s">
        <v>33855</v>
      </c>
    </row>
    <row r="11381" spans="1:5">
      <c r="A11381" t="s">
        <v>6</v>
      </c>
      <c r="B11381" t="s">
        <v>11386</v>
      </c>
      <c r="C11381">
        <f>HYPERLINK("C:\Users\franc\OneDrive\Documentos\MALENTIN KARIME\BANCO ESTADO\2012 DEPTO ESCRITURAS fata\NOTARIA 2009\MUTUOS\SECUNDINO VERGARA A AMANDA VERGARA.doc", "Abrir Documento")</f>
        <v>0</v>
      </c>
      <c r="D11381" t="s">
        <v>23500</v>
      </c>
      <c r="E11381" t="s">
        <v>33856</v>
      </c>
    </row>
    <row r="11382" spans="1:5">
      <c r="A11382" t="s">
        <v>6</v>
      </c>
      <c r="B11382" t="s">
        <v>11387</v>
      </c>
      <c r="C11382">
        <f>HYPERLINK("C:\Users\franc\OneDrive\Documentos\MALENTIN KARIME\BANCO ESTADO\2012 DEPTO ESCRITURAS fata\NOTARIA 2009\MUTUOS\MODELO MUTUO A LA VISTA.doc", "Abrir Documento")</f>
        <v>0</v>
      </c>
      <c r="D11382" t="s">
        <v>23500</v>
      </c>
      <c r="E11382" t="s">
        <v>33857</v>
      </c>
    </row>
    <row r="11383" spans="1:5">
      <c r="A11383" t="s">
        <v>6</v>
      </c>
      <c r="B11383" t="s">
        <v>11388</v>
      </c>
      <c r="C11383">
        <f>HYPERLINK("C:\Users\franc\OneDrive\Documentos\MALENTIN KARIME\BANCO ESTADO\2012 DEPTO ESCRITURAS fata\NOTARIA 2009\MUTUOS\MARIO VEGA A CRISTIANN VEGA.doc", "Abrir Documento")</f>
        <v>0</v>
      </c>
      <c r="D11383" t="s">
        <v>23500</v>
      </c>
      <c r="E11383" t="s">
        <v>33858</v>
      </c>
    </row>
    <row r="11384" spans="1:5">
      <c r="A11384" t="s">
        <v>6</v>
      </c>
      <c r="B11384" t="s">
        <v>11389</v>
      </c>
      <c r="C11384">
        <f>HYPERLINK("C:\Users\franc\OneDrive\Documentos\MALENTIN KARIME\BANCO ESTADO\2012 DEPTO ESCRITURAS fata\NOTARIA 2009\MUTUOS\MARDOQUEO BITRAN A SOC. AGRIC. LOS TILOS LTDA.doc", "Abrir Documento")</f>
        <v>0</v>
      </c>
      <c r="D11384" t="s">
        <v>23500</v>
      </c>
      <c r="E11384" t="s">
        <v>33859</v>
      </c>
    </row>
    <row r="11385" spans="1:5">
      <c r="A11385" t="s">
        <v>6</v>
      </c>
      <c r="B11385" t="s">
        <v>11390</v>
      </c>
      <c r="C11385">
        <f>HYPERLINK("C:\Users\franc\OneDrive\Documentos\MALENTIN KARIME\BANCO ESTADO\2012 DEPTO ESCRITURAS fata\NOTARIA 2009\MUTUOS\LORENZO ORMEÑO A GMO. ORMEÑO.doc", "Abrir Documento")</f>
        <v>0</v>
      </c>
      <c r="D11385" t="s">
        <v>23500</v>
      </c>
      <c r="E11385" t="s">
        <v>33860</v>
      </c>
    </row>
    <row r="11386" spans="1:5">
      <c r="A11386" t="s">
        <v>6</v>
      </c>
      <c r="B11386" t="s">
        <v>11391</v>
      </c>
      <c r="C11386">
        <f>HYPERLINK("C:\Users\franc\OneDrive\Documentos\MALENTIN KARIME\BANCO ESTADO\2012 DEPTO ESCRITURAS fata\NOTARIA 2009\MUTUOS\LILIANA ALFARO A JUAN PAULO.doc", "Abrir Documento")</f>
        <v>0</v>
      </c>
      <c r="D11386" t="s">
        <v>23500</v>
      </c>
      <c r="E11386" t="s">
        <v>33861</v>
      </c>
    </row>
    <row r="11387" spans="1:5">
      <c r="A11387" t="s">
        <v>6</v>
      </c>
      <c r="B11387" t="s">
        <v>11392</v>
      </c>
      <c r="C11387">
        <f>HYPERLINK("C:\Users\franc\OneDrive\Documentos\MALENTIN KARIME\BANCO ESTADO\2012 DEPTO ESCRITURAS fata\NOTARIA 2009\MUTUOS\JUAN PIZARRO A JUAN PIZARRO ( HIJO).doc", "Abrir Documento")</f>
        <v>0</v>
      </c>
      <c r="D11387" t="s">
        <v>23500</v>
      </c>
      <c r="E11387" t="s">
        <v>33862</v>
      </c>
    </row>
    <row r="11388" spans="1:5">
      <c r="A11388" t="s">
        <v>6</v>
      </c>
      <c r="B11388" t="s">
        <v>11393</v>
      </c>
      <c r="C11388">
        <f>HYPERLINK("C:\Users\franc\OneDrive\Documentos\MALENTIN KARIME\BANCO ESTADO\2012 DEPTO ESCRITURAS fata\NOTARIA 2009\MUTUOS\JUAN PIZARRO A JUAN PIZARRO ( HIJO)   2.doc", "Abrir Documento")</f>
        <v>0</v>
      </c>
      <c r="D11388" t="s">
        <v>23500</v>
      </c>
      <c r="E11388" t="s">
        <v>33863</v>
      </c>
    </row>
    <row r="11389" spans="1:5">
      <c r="A11389" t="s">
        <v>6</v>
      </c>
      <c r="B11389" t="s">
        <v>11394</v>
      </c>
      <c r="C11389">
        <f>HYPERLINK("C:\Users\franc\OneDrive\Documentos\MALENTIN KARIME\BANCO ESTADO\2012 DEPTO ESCRITURAS fata\NOTARIA 2009\MUTUOS\JUAN ARAYA SALFATE A SEGUNDO GARCIA (privado).doc", "Abrir Documento")</f>
        <v>0</v>
      </c>
      <c r="D11389" t="s">
        <v>23500</v>
      </c>
      <c r="E11389" t="s">
        <v>33864</v>
      </c>
    </row>
    <row r="11390" spans="1:5">
      <c r="A11390" t="s">
        <v>6</v>
      </c>
      <c r="B11390" t="s">
        <v>11395</v>
      </c>
      <c r="C11390">
        <f>HYPERLINK("C:\Users\franc\OneDrive\Documentos\MALENTIN KARIME\BANCO ESTADO\2012 DEPTO ESCRITURAS fata\NOTARIA 2009\MUTUOS\JORGE QUIROZ A JORGE RODRIGO.doc", "Abrir Documento")</f>
        <v>0</v>
      </c>
      <c r="D11390" t="s">
        <v>23500</v>
      </c>
      <c r="E11390" t="s">
        <v>33865</v>
      </c>
    </row>
    <row r="11391" spans="1:5">
      <c r="A11391" t="s">
        <v>6</v>
      </c>
      <c r="B11391" t="s">
        <v>11396</v>
      </c>
      <c r="C11391">
        <f>HYPERLINK("C:\Users\franc\OneDrive\Documentos\MALENTIN KARIME\BANCO ESTADO\2012 DEPTO ESCRITURAS fata\NOTARIA 2009\MUTUOS\JORGE QUIROZ A JORGE RAYMUNDO.doc", "Abrir Documento")</f>
        <v>0</v>
      </c>
      <c r="D11391" t="s">
        <v>23500</v>
      </c>
      <c r="E11391" t="s">
        <v>33866</v>
      </c>
    </row>
    <row r="11392" spans="1:5">
      <c r="A11392" t="s">
        <v>6</v>
      </c>
      <c r="B11392" t="s">
        <v>11397</v>
      </c>
      <c r="C11392">
        <f>HYPERLINK("C:\Users\franc\OneDrive\Documentos\MALENTIN KARIME\BANCO ESTADO\2012 DEPTO ESCRITURAS fata\NOTARIA 2009\MUTUOS\JORGE QUIROZ A JORGE GUILLERMO.doc", "Abrir Documento")</f>
        <v>0</v>
      </c>
      <c r="D11392" t="s">
        <v>23500</v>
      </c>
      <c r="E11392" t="s">
        <v>33867</v>
      </c>
    </row>
    <row r="11393" spans="1:5">
      <c r="A11393" t="s">
        <v>6</v>
      </c>
      <c r="B11393" t="s">
        <v>11398</v>
      </c>
      <c r="C11393">
        <f>HYPERLINK("C:\Users\franc\OneDrive\Documentos\MALENTIN KARIME\BANCO ESTADO\2012 DEPTO ESCRITURAS fata\NOTARIA 2009\MUTUOS\JORGE QUIROZ A GRACIELA.doc", "Abrir Documento")</f>
        <v>0</v>
      </c>
      <c r="D11393" t="s">
        <v>23500</v>
      </c>
      <c r="E11393" t="s">
        <v>33868</v>
      </c>
    </row>
    <row r="11394" spans="1:5">
      <c r="A11394" t="s">
        <v>6</v>
      </c>
      <c r="B11394" t="s">
        <v>11399</v>
      </c>
      <c r="C11394">
        <f>HYPERLINK("C:\Users\franc\OneDrive\Documentos\MALENTIN KARIME\BANCO ESTADO\2012 DEPTO ESCRITURAS fata\NOTARIA 2009\MUTUOS\JORGE QUIROZ A CLAUDIA.doc", "Abrir Documento")</f>
        <v>0</v>
      </c>
      <c r="D11394" t="s">
        <v>23500</v>
      </c>
      <c r="E11394" t="s">
        <v>33869</v>
      </c>
    </row>
    <row r="11395" spans="1:5">
      <c r="A11395" t="s">
        <v>6</v>
      </c>
      <c r="B11395" t="s">
        <v>11400</v>
      </c>
      <c r="C11395">
        <f>HYPERLINK("C:\Users\franc\OneDrive\Documentos\MALENTIN KARIME\BANCO ESTADO\2012 DEPTO ESCRITURAS fata\NOTARIA 2009\MUTUOS\JORGE QUIROZ A CARMENCITA.doc", "Abrir Documento")</f>
        <v>0</v>
      </c>
      <c r="D11395" t="s">
        <v>23500</v>
      </c>
      <c r="E11395" t="s">
        <v>33870</v>
      </c>
    </row>
    <row r="11396" spans="1:5">
      <c r="A11396" t="s">
        <v>6</v>
      </c>
      <c r="B11396" t="s">
        <v>11401</v>
      </c>
      <c r="C11396">
        <f>HYPERLINK("C:\Users\franc\OneDrive\Documentos\MALENTIN KARIME\BANCO ESTADO\2012 DEPTO ESCRITURAS fata\NOTARIA 2009\MUTUOS\ELSA TELLO A WILMA BARRAZA.doc", "Abrir Documento")</f>
        <v>0</v>
      </c>
      <c r="D11396" t="s">
        <v>23500</v>
      </c>
      <c r="E11396" t="s">
        <v>33871</v>
      </c>
    </row>
    <row r="11397" spans="1:5">
      <c r="A11397" t="s">
        <v>6</v>
      </c>
      <c r="B11397" t="s">
        <v>11402</v>
      </c>
      <c r="C11397">
        <f>HYPERLINK("C:\Users\franc\OneDrive\Documentos\MALENTIN KARIME\BANCO ESTADO\2012 DEPTO ESCRITURAS fata\NOTARIA 2009\MUTUOS\CIPRIANO MIRANDA A FELIX GUERRERO.doc", "Abrir Documento")</f>
        <v>0</v>
      </c>
      <c r="D11397" t="s">
        <v>23500</v>
      </c>
      <c r="E11397" t="s">
        <v>33872</v>
      </c>
    </row>
    <row r="11398" spans="1:5">
      <c r="A11398" t="s">
        <v>6</v>
      </c>
      <c r="B11398" t="s">
        <v>11403</v>
      </c>
      <c r="C11398">
        <f>HYPERLINK("C:\Users\franc\OneDrive\Documentos\MALENTIN KARIME\BANCO ESTADO\2012 DEPTO ESCRITURAS fata\NOTARIA 2009\MUTUOS\CARLOS CODOCEDO A SU HIJA.doc", "Abrir Documento")</f>
        <v>0</v>
      </c>
      <c r="D11398" t="s">
        <v>23500</v>
      </c>
      <c r="E11398" t="s">
        <v>33873</v>
      </c>
    </row>
    <row r="11399" spans="1:5">
      <c r="A11399" t="s">
        <v>6</v>
      </c>
      <c r="B11399" t="s">
        <v>11404</v>
      </c>
      <c r="C11399">
        <f>HYPERLINK("C:\Users\franc\OneDrive\Documentos\MALENTIN KARIME\BANCO ESTADO\2012 DEPTO ESCRITURAS fata\NOTARIA 2009\MUTUOS\ARIEL PALACIOS A SU  HIJA.doc", "Abrir Documento")</f>
        <v>0</v>
      </c>
      <c r="D11399" t="s">
        <v>23500</v>
      </c>
      <c r="E11399" t="s">
        <v>33874</v>
      </c>
    </row>
    <row r="11400" spans="1:5">
      <c r="A11400" t="s">
        <v>6</v>
      </c>
      <c r="B11400" t="s">
        <v>11405</v>
      </c>
      <c r="C11400">
        <f>HYPERLINK("C:\Users\franc\OneDrive\Documentos\MALENTIN KARIME\BANCO ESTADO\2012 DEPTO ESCRITURAS fata\NOTARIA 2009\MUTUOS\ANIBAL RIVERA A CONSTANZA BUGUEÑO.doc", "Abrir Documento")</f>
        <v>0</v>
      </c>
      <c r="D11400" t="s">
        <v>23500</v>
      </c>
      <c r="E11400" t="s">
        <v>33875</v>
      </c>
    </row>
    <row r="11401" spans="1:5">
      <c r="A11401" t="s">
        <v>6</v>
      </c>
      <c r="B11401" t="s">
        <v>11406</v>
      </c>
      <c r="C11401">
        <f>HYPERLINK("C:\Users\franc\OneDrive\Documentos\MALENTIN KARIME\BANCO ESTADO\2012 DEPTO ESCRITURAS fata\NOTARIA 2009\MUNICIPALIDAD RIO HURTADO\SSHH CLUB DEPORTIVO SAMO ALTO - JUAN GONZALEZ.doc", "Abrir Documento")</f>
        <v>0</v>
      </c>
      <c r="D11401" t="s">
        <v>23500</v>
      </c>
      <c r="E11401" t="s">
        <v>33876</v>
      </c>
    </row>
    <row r="11402" spans="1:5">
      <c r="A11402" t="s">
        <v>6</v>
      </c>
      <c r="B11402" t="s">
        <v>11407</v>
      </c>
      <c r="C11402">
        <f>HYPERLINK("C:\Users\franc\OneDrive\Documentos\MALENTIN KARIME\BANCO ESTADO\2012 DEPTO ESCRITURAS fata\NOTARIA 2009\MUNICIPALIDAD RIO HURTADO\SEDE SOCIAL LA HUERTA - JUAN GONZALEZ.doc", "Abrir Documento")</f>
        <v>0</v>
      </c>
      <c r="D11402" t="s">
        <v>23500</v>
      </c>
      <c r="E11402" t="s">
        <v>33877</v>
      </c>
    </row>
    <row r="11403" spans="1:5">
      <c r="A11403" t="s">
        <v>6</v>
      </c>
      <c r="B11403" t="s">
        <v>11408</v>
      </c>
      <c r="C11403">
        <f>HYPERLINK("C:\Users\franc\OneDrive\Documentos\MALENTIN KARIME\BANCO ESTADO\2012 DEPTO ESCRITURAS fata\NOTARIA 2009\MUNICIPALIDAD RIO HURTADO\REPOSICION SALON USO MULTIPLE.doc", "Abrir Documento")</f>
        <v>0</v>
      </c>
      <c r="D11403" t="s">
        <v>23500</v>
      </c>
      <c r="E11403" t="s">
        <v>33878</v>
      </c>
    </row>
    <row r="11404" spans="1:5">
      <c r="A11404" t="s">
        <v>6</v>
      </c>
      <c r="B11404" t="s">
        <v>11409</v>
      </c>
      <c r="C11404">
        <f>HYPERLINK("C:\Users\franc\OneDrive\Documentos\MALENTIN KARIME\BANCO ESTADO\2012 DEPTO ESCRITURAS fata\NOTARIA 2009\MUNICIPALIDAD RIO HURTADO\REPOSICION SALON - BASILIO AGUIRRE.doc", "Abrir Documento")</f>
        <v>0</v>
      </c>
      <c r="D11404" t="s">
        <v>23500</v>
      </c>
      <c r="E11404" t="s">
        <v>33879</v>
      </c>
    </row>
    <row r="11405" spans="1:5">
      <c r="A11405" t="s">
        <v>6</v>
      </c>
      <c r="B11405" t="s">
        <v>11410</v>
      </c>
      <c r="C11405">
        <f>HYPERLINK("C:\Users\franc\OneDrive\Documentos\MALENTIN KARIME\BANCO ESTADO\2012 DEPTO ESCRITURAS fata\NOTARIA 2009\MUNICIPALIDAD RIO HURTADO\REPOSICION INTERNADO.doc", "Abrir Documento")</f>
        <v>0</v>
      </c>
      <c r="D11405" t="s">
        <v>23500</v>
      </c>
      <c r="E11405" t="s">
        <v>33880</v>
      </c>
    </row>
    <row r="11406" spans="1:5">
      <c r="A11406" t="s">
        <v>6</v>
      </c>
      <c r="B11406" t="s">
        <v>11411</v>
      </c>
      <c r="C11406">
        <f>HYPERLINK("C:\Users\franc\OneDrive\Documentos\MALENTIN KARIME\BANCO ESTADO\2012 DEPTO ESCRITURAS fata\NOTARIA 2009\MUNICIPALIDAD RIO HURTADO\POSTA TABAQUEROS  - JUAN GONZALEZ.doc", "Abrir Documento")</f>
        <v>0</v>
      </c>
      <c r="D11406" t="s">
        <v>23500</v>
      </c>
      <c r="E11406" t="s">
        <v>33881</v>
      </c>
    </row>
    <row r="11407" spans="1:5">
      <c r="A11407" t="s">
        <v>6</v>
      </c>
      <c r="B11407" t="s">
        <v>11412</v>
      </c>
      <c r="C11407">
        <f>HYPERLINK("C:\Users\franc\OneDrive\Documentos\MALENTIN KARIME\BANCO ESTADO\2012 DEPTO ESCRITURAS fata\NOTARIA 2009\MUNICIPALIDAD RIO HURTADO\PISCINA ROMERAL.doc", "Abrir Documento")</f>
        <v>0</v>
      </c>
      <c r="D11407" t="s">
        <v>23500</v>
      </c>
      <c r="E11407" t="s">
        <v>33882</v>
      </c>
    </row>
    <row r="11408" spans="1:5">
      <c r="A11408" t="s">
        <v>6</v>
      </c>
      <c r="B11408" t="s">
        <v>11413</v>
      </c>
      <c r="C11408">
        <f>HYPERLINK("C:\Users\franc\OneDrive\Documentos\MALENTIN KARIME\BANCO ESTADO\2012 DEPTO ESCRITURAS fata\NOTARIA 2009\MUNICIPALIDAD RIO HURTADO\NORMALIZACION ESCUELA LA HUERTA - JUAN GONZALEZ.doc", "Abrir Documento")</f>
        <v>0</v>
      </c>
      <c r="D11408" t="s">
        <v>23500</v>
      </c>
      <c r="E11408" t="s">
        <v>33883</v>
      </c>
    </row>
    <row r="11409" spans="1:5">
      <c r="A11409" t="s">
        <v>6</v>
      </c>
      <c r="B11409" t="s">
        <v>11414</v>
      </c>
      <c r="C11409">
        <f>HYPERLINK("C:\Users\franc\OneDrive\Documentos\MALENTIN KARIME\BANCO ESTADO\2012 DEPTO ESCRITURAS fata\NOTARIA 2009\MUNICIPALIDAD RIO HURTADO\MULTICANCHA SECTOR LA AGUADA - JUAN GONZALEZ.doc", "Abrir Documento")</f>
        <v>0</v>
      </c>
      <c r="D11409" t="s">
        <v>23500</v>
      </c>
      <c r="E11409" t="s">
        <v>33884</v>
      </c>
    </row>
    <row r="11410" spans="1:5">
      <c r="A11410" t="s">
        <v>6</v>
      </c>
      <c r="B11410" t="s">
        <v>11415</v>
      </c>
      <c r="C11410">
        <f>HYPERLINK("C:\Users\franc\OneDrive\Documentos\MALENTIN KARIME\BANCO ESTADO\2012 DEPTO ESCRITURAS fata\NOTARIA 2009\MUNICIPALIDAD RIO HURTADO\MULTICANCHA INTERNADO  - BASILIO AGUIRRE NOV. 2009.doc", "Abrir Documento")</f>
        <v>0</v>
      </c>
      <c r="D11410" t="s">
        <v>23500</v>
      </c>
      <c r="E11410" t="s">
        <v>33885</v>
      </c>
    </row>
    <row r="11411" spans="1:5">
      <c r="A11411" t="s">
        <v>6</v>
      </c>
      <c r="B11411" t="s">
        <v>11416</v>
      </c>
      <c r="C11411">
        <f>HYPERLINK("C:\Users\franc\OneDrive\Documentos\MALENTIN KARIME\BANCO ESTADO\2012 DEPTO ESCRITURAS fata\NOTARIA 2009\MUNICIPALIDAD RIO HURTADO\MULTICANCHA AMANECER - BASILIO AGUIRRE.doc", "Abrir Documento")</f>
        <v>0</v>
      </c>
      <c r="D11411" t="s">
        <v>23500</v>
      </c>
      <c r="E11411" t="s">
        <v>33886</v>
      </c>
    </row>
    <row r="11412" spans="1:5">
      <c r="A11412" t="s">
        <v>6</v>
      </c>
      <c r="B11412" t="s">
        <v>11417</v>
      </c>
      <c r="C11412">
        <f>HYPERLINK("C:\Users\franc\OneDrive\Documentos\MALENTIN KARIME\BANCO ESTADO\2012 DEPTO ESCRITURAS fata\NOTARIA 2009\MUNICIPALIDAD RIO HURTADO\MODIFICA. CONTRATO RIO LIMARI.doc", "Abrir Documento")</f>
        <v>0</v>
      </c>
      <c r="D11412" t="s">
        <v>23500</v>
      </c>
      <c r="E11412" t="s">
        <v>33887</v>
      </c>
    </row>
    <row r="11413" spans="1:5">
      <c r="A11413" t="s">
        <v>6</v>
      </c>
      <c r="B11413" t="s">
        <v>11418</v>
      </c>
      <c r="C11413">
        <f>HYPERLINK("C:\Users\franc\OneDrive\Documentos\MALENTIN KARIME\BANCO ESTADO\2012 DEPTO ESCRITURAS fata\NOTARIA 2009\MUNICIPALIDAD RIO HURTADO\MODIFICA. CONTRATO MAURICIO MARIN.doc", "Abrir Documento")</f>
        <v>0</v>
      </c>
      <c r="D11413" t="s">
        <v>23500</v>
      </c>
      <c r="E11413" t="s">
        <v>33888</v>
      </c>
    </row>
    <row r="11414" spans="1:5">
      <c r="A11414" t="s">
        <v>6</v>
      </c>
      <c r="B11414" t="s">
        <v>11419</v>
      </c>
      <c r="C11414">
        <f>HYPERLINK("C:\Users\franc\OneDrive\Documentos\MALENTIN KARIME\BANCO ESTADO\2012 DEPTO ESCRITURAS fata\NOTARIA 2009\MUNICIPALIDAD RIO HURTADO\MODIFICA COMPLEJO HUAMPULLA.doc", "Abrir Documento")</f>
        <v>0</v>
      </c>
      <c r="D11414" t="s">
        <v>23500</v>
      </c>
      <c r="E11414" t="s">
        <v>33889</v>
      </c>
    </row>
    <row r="11415" spans="1:5">
      <c r="A11415" t="s">
        <v>6</v>
      </c>
      <c r="B11415" t="s">
        <v>11420</v>
      </c>
      <c r="C11415">
        <f>HYPERLINK("C:\Users\franc\OneDrive\Documentos\MALENTIN KARIME\BANCO ESTADO\2012 DEPTO ESCRITURAS fata\NOTARIA 2009\MUNICIPALIDAD RIO HURTADO\MODIFI. REPOSION INTERNADO HURTADO.doc", "Abrir Documento")</f>
        <v>0</v>
      </c>
      <c r="D11415" t="s">
        <v>23500</v>
      </c>
      <c r="E11415" t="s">
        <v>33890</v>
      </c>
    </row>
    <row r="11416" spans="1:5">
      <c r="A11416" t="s">
        <v>6</v>
      </c>
      <c r="B11416" t="s">
        <v>11421</v>
      </c>
      <c r="C11416">
        <f>HYPERLINK("C:\Users\franc\OneDrive\Documentos\MALENTIN KARIME\BANCO ESTADO\2012 DEPTO ESCRITURAS fata\NOTARIA 2009\MUNICIPALIDAD RIO HURTADO\JUAN ALUCEMA (CONT. CONSTT).doc", "Abrir Documento")</f>
        <v>0</v>
      </c>
      <c r="D11416" t="s">
        <v>23500</v>
      </c>
      <c r="E11416" t="s">
        <v>33891</v>
      </c>
    </row>
    <row r="11417" spans="1:5">
      <c r="A11417" t="s">
        <v>6</v>
      </c>
      <c r="B11417" t="s">
        <v>11422</v>
      </c>
      <c r="C11417">
        <f>HYPERLINK("C:\Users\franc\OneDrive\Documentos\MALENTIN KARIME\BANCO ESTADO\2012 DEPTO ESCRITURAS fata\NOTARIA 2009\MUNICIPALIDAD RIO HURTADO\JOSE ALAMO TUMA A COMITE SOL NACIENTE.doc", "Abrir Documento")</f>
        <v>0</v>
      </c>
      <c r="D11417" t="s">
        <v>23500</v>
      </c>
      <c r="E11417" t="s">
        <v>33892</v>
      </c>
    </row>
    <row r="11418" spans="1:5">
      <c r="A11418" t="s">
        <v>6</v>
      </c>
      <c r="B11418" t="s">
        <v>11423</v>
      </c>
      <c r="C11418">
        <f>HYPERLINK("C:\Users\franc\OneDrive\Documentos\MALENTIN KARIME\BANCO ESTADO\2012 DEPTO ESCRITURAS fata\NOTARIA 2009\MUNICIPALIDAD RIO HURTADO\INPROCOL MODIFICACION.doc", "Abrir Documento")</f>
        <v>0</v>
      </c>
      <c r="D11418" t="s">
        <v>23500</v>
      </c>
      <c r="E11418" t="s">
        <v>33893</v>
      </c>
    </row>
    <row r="11419" spans="1:5">
      <c r="A11419" t="s">
        <v>6</v>
      </c>
      <c r="B11419" t="s">
        <v>11424</v>
      </c>
      <c r="C11419">
        <f>HYPERLINK("C:\Users\franc\OneDrive\Documentos\MALENTIN KARIME\BANCO ESTADO\2012 DEPTO ESCRITURAS fata\NOTARIA 2009\MUNICIPALIDAD RIO HURTADO\INPROCOL 3RA MODIFICACION.doc", "Abrir Documento")</f>
        <v>0</v>
      </c>
      <c r="D11419" t="s">
        <v>23500</v>
      </c>
      <c r="E11419" t="s">
        <v>33894</v>
      </c>
    </row>
    <row r="11420" spans="1:5">
      <c r="A11420" t="s">
        <v>6</v>
      </c>
      <c r="B11420" t="s">
        <v>11425</v>
      </c>
      <c r="C11420">
        <f>HYPERLINK("C:\Users\franc\OneDrive\Documentos\MALENTIN KARIME\BANCO ESTADO\2012 DEPTO ESCRITURAS fata\NOTARIA 2009\MUNICIPALIDAD RIO HURTADO\FUNDINA (JUAN ALUCEMA).doc", "Abrir Documento")</f>
        <v>0</v>
      </c>
      <c r="D11420" t="s">
        <v>23500</v>
      </c>
      <c r="E11420" t="s">
        <v>33895</v>
      </c>
    </row>
    <row r="11421" spans="1:5">
      <c r="A11421" t="s">
        <v>6</v>
      </c>
      <c r="B11421" t="s">
        <v>11426</v>
      </c>
      <c r="C11421">
        <f>HYPERLINK("C:\Users\franc\OneDrive\Documentos\MALENTIN KARIME\BANCO ESTADO\2012 DEPTO ESCRITURAS fata\NOTARIA 2009\MUNICIPALIDAD RIO HURTADO\ESTRELLA AZUL CLUB DEPORTIVO - CHILEDEPORTES.doc", "Abrir Documento")</f>
        <v>0</v>
      </c>
      <c r="D11421" t="s">
        <v>23500</v>
      </c>
      <c r="E11421" t="s">
        <v>33896</v>
      </c>
    </row>
    <row r="11422" spans="1:5">
      <c r="A11422" t="s">
        <v>6</v>
      </c>
      <c r="B11422" t="s">
        <v>11427</v>
      </c>
      <c r="C11422">
        <f>HYPERLINK("C:\Users\franc\OneDrive\Documentos\MALENTIN KARIME\BANCO ESTADO\2012 DEPTO ESCRITURAS fata\NOTARIA 2009\MUNICIPALIDAD RIO HURTADO\ESCUELA MINILLAS  - BASILIO AGUIRRE JUNIO 2009.doc", "Abrir Documento")</f>
        <v>0</v>
      </c>
      <c r="D11422" t="s">
        <v>23500</v>
      </c>
      <c r="E11422" t="s">
        <v>33897</v>
      </c>
    </row>
    <row r="11423" spans="1:5">
      <c r="A11423" t="s">
        <v>6</v>
      </c>
      <c r="B11423" t="s">
        <v>11428</v>
      </c>
      <c r="C11423">
        <f>HYPERLINK("C:\Users\franc\OneDrive\Documentos\MALENTIN KARIME\BANCO ESTADO\2012 DEPTO ESCRITURAS fata\NOTARIA 2009\MUNICIPALIDAD RIO HURTADO\ESCUELA HIJOS DEL CHAÑAR  - BASILIO AGUIRRE JUNIO 2009.doc", "Abrir Documento")</f>
        <v>0</v>
      </c>
      <c r="D11423" t="s">
        <v>23500</v>
      </c>
      <c r="E11423" t="s">
        <v>33898</v>
      </c>
    </row>
    <row r="11424" spans="1:5">
      <c r="A11424" t="s">
        <v>6</v>
      </c>
      <c r="B11424" t="s">
        <v>11429</v>
      </c>
      <c r="C11424">
        <f>HYPERLINK("C:\Users\franc\OneDrive\Documentos\MALENTIN KARIME\BANCO ESTADO\2012 DEPTO ESCRITURAS fata\NOTARIA 2009\MUNICIPALIDAD RIO HURTADO\ESC. TABAQUEROS - JUAN GONZALEZ.doc", "Abrir Documento")</f>
        <v>0</v>
      </c>
      <c r="D11424" t="s">
        <v>23500</v>
      </c>
      <c r="E11424" t="s">
        <v>33899</v>
      </c>
    </row>
    <row r="11425" spans="1:5">
      <c r="A11425" t="s">
        <v>6</v>
      </c>
      <c r="B11425" t="s">
        <v>11430</v>
      </c>
      <c r="C11425">
        <f>HYPERLINK("C:\Users\franc\OneDrive\Documentos\MALENTIN KARIME\BANCO ESTADO\2012 DEPTO ESCRITURAS fata\NOTARIA 2009\MUNICIPALIDAD RIO HURTADO\ESC. SERON - BASILIO AGUIRRE.doc", "Abrir Documento")</f>
        <v>0</v>
      </c>
      <c r="D11425" t="s">
        <v>23500</v>
      </c>
      <c r="E11425" t="s">
        <v>33900</v>
      </c>
    </row>
    <row r="11426" spans="1:5">
      <c r="A11426" t="s">
        <v>6</v>
      </c>
      <c r="B11426" t="s">
        <v>11431</v>
      </c>
      <c r="C11426">
        <f>HYPERLINK("C:\Users\franc\OneDrive\Documentos\MALENTIN KARIME\BANCO ESTADO\2012 DEPTO ESCRITURAS fata\NOTARIA 2009\MUNICIPALIDAD RIO HURTADO\ESC. MAITENES - JUAN GONZALEZ.doc", "Abrir Documento")</f>
        <v>0</v>
      </c>
      <c r="D11426" t="s">
        <v>23500</v>
      </c>
      <c r="E11426" t="s">
        <v>33901</v>
      </c>
    </row>
    <row r="11427" spans="1:5">
      <c r="A11427" t="s">
        <v>6</v>
      </c>
      <c r="B11427" t="s">
        <v>11432</v>
      </c>
      <c r="C11427">
        <f>HYPERLINK("C:\Users\franc\OneDrive\Documentos\MALENTIN KARIME\BANCO ESTADO\2012 DEPTO ESCRITURAS fata\NOTARIA 2009\MUNICIPALIDAD RIO HURTADO\ESC. HUAMPULLA - JUAN GONZALEZ.doc", "Abrir Documento")</f>
        <v>0</v>
      </c>
      <c r="D11427" t="s">
        <v>23500</v>
      </c>
      <c r="E11427" t="s">
        <v>33902</v>
      </c>
    </row>
    <row r="11428" spans="1:5">
      <c r="A11428" t="s">
        <v>6</v>
      </c>
      <c r="B11428" t="s">
        <v>11433</v>
      </c>
      <c r="C11428">
        <f>HYPERLINK("C:\Users\franc\OneDrive\Documentos\MALENTIN KARIME\BANCO ESTADO\2012 DEPTO ESCRITURAS fata\NOTARIA 2009\MUNICIPALIDAD RIO HURTADO\ESC. AMANECER - BASILIO AGUIRRE.doc", "Abrir Documento")</f>
        <v>0</v>
      </c>
      <c r="D11428" t="s">
        <v>23500</v>
      </c>
      <c r="E11428" t="s">
        <v>33903</v>
      </c>
    </row>
    <row r="11429" spans="1:5">
      <c r="A11429" t="s">
        <v>6</v>
      </c>
      <c r="B11429" t="s">
        <v>11434</v>
      </c>
      <c r="C11429">
        <f>HYPERLINK("C:\Users\franc\OneDrive\Documentos\MALENTIN KARIME\BANCO ESTADO\2012 DEPTO ESCRITURAS fata\NOTARIA 2009\MUNICIPALIDAD RIO HURTADO\ESC VADO MORRILLOS  - JUAN GONZALEZ JUNIO 2009.doc", "Abrir Documento")</f>
        <v>0</v>
      </c>
      <c r="D11429" t="s">
        <v>23500</v>
      </c>
      <c r="E11429" t="s">
        <v>33904</v>
      </c>
    </row>
    <row r="11430" spans="1:5">
      <c r="A11430" t="s">
        <v>6</v>
      </c>
      <c r="B11430" t="s">
        <v>11435</v>
      </c>
      <c r="C11430">
        <f>HYPERLINK("C:\Users\franc\OneDrive\Documentos\MALENTIN KARIME\BANCO ESTADO\2012 DEPTO ESCRITURAS fata\NOTARIA 2009\MUNICIPALIDAD RIO HURTADO\ESC LAS BREAS - BASILIO AGUIRRE.doc", "Abrir Documento")</f>
        <v>0</v>
      </c>
      <c r="D11430" t="s">
        <v>23500</v>
      </c>
      <c r="E11430" t="s">
        <v>33905</v>
      </c>
    </row>
    <row r="11431" spans="1:5">
      <c r="A11431" t="s">
        <v>6</v>
      </c>
      <c r="B11431" t="s">
        <v>11436</v>
      </c>
      <c r="C11431">
        <f>HYPERLINK("C:\Users\franc\OneDrive\Documentos\MALENTIN KARIME\BANCO ESTADO\2012 DEPTO ESCRITURAS fata\NOTARIA 2009\MUNICIPALIDAD RIO HURTADO\EL ROMERAL (JUAN ALUCEMA).doc", "Abrir Documento")</f>
        <v>0</v>
      </c>
      <c r="D11431" t="s">
        <v>23500</v>
      </c>
      <c r="E11431" t="s">
        <v>33906</v>
      </c>
    </row>
    <row r="11432" spans="1:5">
      <c r="A11432" t="s">
        <v>6</v>
      </c>
      <c r="B11432" t="s">
        <v>11437</v>
      </c>
      <c r="C11432">
        <f>HYPERLINK("C:\Users\franc\OneDrive\Documentos\MALENTIN KARIME\BANCO ESTADO\2012 DEPTO ESCRITURAS fata\NOTARIA 2009\MUNICIPALIDAD RIO HURTADO\CONSTRUC. OFICINAS PUBLICAS - RICARDO CASTILLA.doc", "Abrir Documento")</f>
        <v>0</v>
      </c>
      <c r="D11432" t="s">
        <v>23500</v>
      </c>
      <c r="E11432" t="s">
        <v>33907</v>
      </c>
    </row>
    <row r="11433" spans="1:5">
      <c r="A11433" t="s">
        <v>6</v>
      </c>
      <c r="B11433" t="s">
        <v>11438</v>
      </c>
      <c r="C11433">
        <f>HYPERLINK("C:\Users\franc\OneDrive\Documentos\MALENTIN KARIME\BANCO ESTADO\2012 DEPTO ESCRITURAS fata\NOTARIA 2009\MUNICIPALIDAD RIO HURTADO\COMPLEJO HUAMPULLA.doc", "Abrir Documento")</f>
        <v>0</v>
      </c>
      <c r="D11433" t="s">
        <v>23500</v>
      </c>
      <c r="E11433" t="s">
        <v>33908</v>
      </c>
    </row>
    <row r="11434" spans="1:5">
      <c r="A11434" t="s">
        <v>6</v>
      </c>
      <c r="B11434" t="s">
        <v>11439</v>
      </c>
      <c r="C11434">
        <f>HYPERLINK("C:\Users\franc\OneDrive\Documentos\MALENTIN KARIME\BANCO ESTADO\2012 DEPTO ESCRITURAS fata\NOTARIA 2009\MUNICIPALIDAD RIO HURTADO\COMPLEJO HUAMPULLA (MODIFICA.doc", "Abrir Documento")</f>
        <v>0</v>
      </c>
      <c r="D11434" t="s">
        <v>23500</v>
      </c>
      <c r="E11434" t="s">
        <v>33909</v>
      </c>
    </row>
    <row r="11435" spans="1:5">
      <c r="A11435" t="s">
        <v>6</v>
      </c>
      <c r="B11435" t="s">
        <v>11440</v>
      </c>
      <c r="C11435">
        <f>HYPERLINK("C:\Users\franc\OneDrive\Documentos\MALENTIN KARIME\BANCO ESTADO\2012 DEPTO ESCRITURAS fata\NOTARIA 2009\MUNICIPALIDAD RIO HURTADO\CHILEDEPORTES.doc", "Abrir Documento")</f>
        <v>0</v>
      </c>
      <c r="D11435" t="s">
        <v>23500</v>
      </c>
      <c r="E11435" t="s">
        <v>33910</v>
      </c>
    </row>
    <row r="11436" spans="1:5">
      <c r="A11436" t="s">
        <v>6</v>
      </c>
      <c r="B11436" t="s">
        <v>11441</v>
      </c>
      <c r="C11436">
        <f>HYPERLINK("C:\Users\franc\OneDrive\Documentos\MALENTIN KARIME\BANCO ESTADO\2012 DEPTO ESCRITURAS fata\NOTARIA 2009\MUNICIPALIDAD RIO HURTADO\CHILEDEPORTES   FINAL.doc", "Abrir Documento")</f>
        <v>0</v>
      </c>
      <c r="D11436" t="s">
        <v>23500</v>
      </c>
      <c r="E11436" t="s">
        <v>33911</v>
      </c>
    </row>
    <row r="11437" spans="1:5">
      <c r="A11437" t="s">
        <v>6</v>
      </c>
      <c r="B11437" t="s">
        <v>11442</v>
      </c>
      <c r="C11437">
        <f>HYPERLINK("C:\Users\franc\OneDrive\Documentos\MALENTIN KARIME\BANCO ESTADO\2012 DEPTO ESCRITURAS fata\NOTARIA 2009\MUNICIPALIDAD RIO HURTADO\autorizacion  MAURICIO MARIN.doc", "Abrir Documento")</f>
        <v>0</v>
      </c>
      <c r="D11437" t="s">
        <v>23500</v>
      </c>
      <c r="E11437" t="s">
        <v>33912</v>
      </c>
    </row>
    <row r="11438" spans="1:5">
      <c r="A11438" t="s">
        <v>6</v>
      </c>
      <c r="B11438" t="s">
        <v>11443</v>
      </c>
      <c r="C11438">
        <f>HYPERLINK("C:\Users\franc\OneDrive\Documentos\MALENTIN KARIME\BANCO ESTADO\2012 DEPTO ESCRITURAS fata\NOTARIA 2009\MUNICIPALIDAD RIO HURTADO\AUTORIZ FIRMA.doc", "Abrir Documento")</f>
        <v>0</v>
      </c>
      <c r="D11438" t="s">
        <v>23500</v>
      </c>
      <c r="E11438" t="s">
        <v>33913</v>
      </c>
    </row>
    <row r="11439" spans="1:5">
      <c r="A11439" t="s">
        <v>6</v>
      </c>
      <c r="B11439" t="s">
        <v>11444</v>
      </c>
      <c r="C11439">
        <f>HYPERLINK("C:\Users\franc\OneDrive\Documentos\MALENTIN KARIME\BANCO ESTADO\2012 DEPTO ESCRITURAS fata\NOTARIA 2009\MUNICIPALIDAD RIO HURTADO\4TA MODIFICACION RENE MARIN.doc", "Abrir Documento")</f>
        <v>0</v>
      </c>
      <c r="D11439" t="s">
        <v>23500</v>
      </c>
      <c r="E11439" t="s">
        <v>33914</v>
      </c>
    </row>
    <row r="11440" spans="1:5">
      <c r="A11440" t="s">
        <v>6</v>
      </c>
      <c r="B11440" t="s">
        <v>11445</v>
      </c>
      <c r="C11440">
        <f>HYPERLINK("C:\Users\franc\OneDrive\Documentos\MALENTIN KARIME\BANCO ESTADO\2012 DEPTO ESCRITURAS fata\NOTARIA 2009\MUNICIPALIDAD RIO HURTADO\3era MODIFICACION MAURICIO MARIN.doc", "Abrir Documento")</f>
        <v>0</v>
      </c>
      <c r="D11440" t="s">
        <v>23500</v>
      </c>
      <c r="E11440" t="s">
        <v>33915</v>
      </c>
    </row>
    <row r="11441" spans="1:5">
      <c r="A11441" t="s">
        <v>6</v>
      </c>
      <c r="B11441" t="s">
        <v>11446</v>
      </c>
      <c r="C11441">
        <f>HYPERLINK("C:\Users\franc\OneDrive\Documentos\MALENTIN KARIME\BANCO ESTADO\2012 DEPTO ESCRITURAS fata\NOTARIA 2009\MUNICIPALIDAD DE OVALLE\REPOSICION ESCUELA GUARDIAMARINA.doc", "Abrir Documento")</f>
        <v>0</v>
      </c>
      <c r="D11441" t="s">
        <v>23500</v>
      </c>
      <c r="E11441" t="s">
        <v>33916</v>
      </c>
    </row>
    <row r="11442" spans="1:5">
      <c r="A11442" t="s">
        <v>6</v>
      </c>
      <c r="B11442" t="s">
        <v>11447</v>
      </c>
      <c r="C11442">
        <f>HYPERLINK("C:\Users\franc\OneDrive\Documentos\MALENTIN KARIME\BANCO ESTADO\2012 DEPTO ESCRITURAS fata\NOTARIA 2009\MUNICIPALIDAD DE OVALLE\PROTOCOLIZACION CONTRATO BERNARDO CORTES.doc", "Abrir Documento")</f>
        <v>0</v>
      </c>
      <c r="D11442" t="s">
        <v>23500</v>
      </c>
      <c r="E11442" t="s">
        <v>33917</v>
      </c>
    </row>
    <row r="11443" spans="1:5">
      <c r="A11443" t="s">
        <v>6</v>
      </c>
      <c r="B11443" t="s">
        <v>11448</v>
      </c>
      <c r="C11443">
        <f>HYPERLINK("C:\Users\franc\OneDrive\Documentos\MALENTIN KARIME\BANCO ESTADO\2012 DEPTO ESCRITURAS fata\NOTARIA 2009\MUNICIPALIDAD DE OVALLE\MUNICIP.  A FABRICIO ROJAS  (MANDATO JUDICIAL).doc", "Abrir Documento")</f>
        <v>0</v>
      </c>
      <c r="D11443" t="s">
        <v>23500</v>
      </c>
      <c r="E11443" t="s">
        <v>33918</v>
      </c>
    </row>
    <row r="11444" spans="1:5">
      <c r="A11444" t="s">
        <v>6</v>
      </c>
      <c r="B11444" t="s">
        <v>11449</v>
      </c>
      <c r="C11444">
        <f>HYPERLINK("C:\Users\franc\OneDrive\Documentos\MALENTIN KARIME\BANCO ESTADO\2012 DEPTO ESCRITURAS fata\NOTARIA 2009\MUNICIPALIDAD DE OVALLE\MODIF. CONST. SEDE COM. VILLA LA PAZ - SAMUEL VILLARROEL.doc", "Abrir Documento")</f>
        <v>0</v>
      </c>
      <c r="D11444" t="s">
        <v>23500</v>
      </c>
      <c r="E11444" t="s">
        <v>33919</v>
      </c>
    </row>
    <row r="11445" spans="1:5">
      <c r="A11445" t="s">
        <v>6</v>
      </c>
      <c r="B11445" t="s">
        <v>11450</v>
      </c>
      <c r="C11445">
        <f>HYPERLINK("C:\Users\franc\OneDrive\Documentos\MALENTIN KARIME\BANCO ESTADO\2012 DEPTO ESCRITURAS fata\NOTARIA 2009\MUNICIPALIDAD DE OVALLE\MODIF. CONST. CHARLESBURG - SAMUEL VILLARROEL.doc", "Abrir Documento")</f>
        <v>0</v>
      </c>
      <c r="D11445" t="s">
        <v>23500</v>
      </c>
      <c r="E11445" t="s">
        <v>33920</v>
      </c>
    </row>
    <row r="11446" spans="1:5">
      <c r="A11446" t="s">
        <v>6</v>
      </c>
      <c r="B11446" t="s">
        <v>11451</v>
      </c>
      <c r="C11446">
        <f>HYPERLINK("C:\Users\franc\OneDrive\Documentos\MALENTIN KARIME\BANCO ESTADO\2012 DEPTO ESCRITURAS fata\NOTARIA 2009\MUNICIPALIDAD DE OVALLE\INMOBILIRIA COLOMBRES A COMITE (RECTIFICACION).doc", "Abrir Documento")</f>
        <v>0</v>
      </c>
      <c r="D11446" t="s">
        <v>23500</v>
      </c>
      <c r="E11446" t="s">
        <v>33921</v>
      </c>
    </row>
    <row r="11447" spans="1:5">
      <c r="A11447" t="s">
        <v>6</v>
      </c>
      <c r="B11447" t="s">
        <v>11452</v>
      </c>
      <c r="C11447">
        <f>HYPERLINK("C:\Users\franc\OneDrive\Documentos\MALENTIN KARIME\BANCO ESTADO\2012 DEPTO ESCRITURAS fata\NOTARIA 2009\MUNICIPALIDAD DE OVALLE\escrit solteros.doc", "Abrir Documento")</f>
        <v>0</v>
      </c>
      <c r="D11447" t="s">
        <v>23500</v>
      </c>
      <c r="E11447" t="s">
        <v>33922</v>
      </c>
    </row>
    <row r="11448" spans="1:5">
      <c r="A11448" t="s">
        <v>6</v>
      </c>
      <c r="B11448" t="s">
        <v>11453</v>
      </c>
      <c r="C11448">
        <f>HYPERLINK("C:\Users\franc\OneDrive\Documentos\MALENTIN KARIME\BANCO ESTADO\2012 DEPTO ESCRITURAS fata\NOTARIA 2009\MUNICIPALIDAD DE OVALLE\escrit casados.doc", "Abrir Documento")</f>
        <v>0</v>
      </c>
      <c r="D11448" t="s">
        <v>23500</v>
      </c>
      <c r="E11448" t="s">
        <v>33923</v>
      </c>
    </row>
    <row r="11449" spans="1:5">
      <c r="A11449" t="s">
        <v>6</v>
      </c>
      <c r="B11449" t="s">
        <v>11454</v>
      </c>
      <c r="C11449">
        <f>HYPERLINK("C:\Users\franc\OneDrive\Documentos\MALENTIN KARIME\BANCO ESTADO\2012 DEPTO ESCRITURAS fata\NOTARIA 2009\MUNICIPALIDAD DE OVALLE\escrit casadas.doc", "Abrir Documento")</f>
        <v>0</v>
      </c>
      <c r="D11449" t="s">
        <v>23500</v>
      </c>
      <c r="E11449" t="s">
        <v>33924</v>
      </c>
    </row>
    <row r="11450" spans="1:5">
      <c r="A11450" t="s">
        <v>6</v>
      </c>
      <c r="B11450" t="s">
        <v>11455</v>
      </c>
      <c r="C11450">
        <f>HYPERLINK("C:\Users\franc\OneDrive\Documentos\MALENTIN KARIME\BANCO ESTADO\2012 DEPTO ESCRITURAS fata\NOTARIA 2009\MUNICIPALIDAD DE OVALLE\CONTRATO CON COMSA DE CHILE S.A..doc", "Abrir Documento")</f>
        <v>0</v>
      </c>
      <c r="D11450" t="s">
        <v>23500</v>
      </c>
      <c r="E11450" t="s">
        <v>33925</v>
      </c>
    </row>
    <row r="11451" spans="1:5">
      <c r="A11451" t="s">
        <v>6</v>
      </c>
      <c r="B11451" t="s">
        <v>11456</v>
      </c>
      <c r="C11451">
        <f>HYPERLINK("C:\Users\franc\OneDrive\Documentos\MALENTIN KARIME\BANCO ESTADO\2012 DEPTO ESCRITURAS fata\NOTARIA 2009\MUNICIPALIDAD DE OVALLE\COMPAÑIA AMERICANA MULTISERVICIOS  (TRANSACCION).doc", "Abrir Documento")</f>
        <v>0</v>
      </c>
      <c r="D11451" t="s">
        <v>23500</v>
      </c>
      <c r="E11451" t="s">
        <v>33926</v>
      </c>
    </row>
    <row r="11452" spans="1:5">
      <c r="A11452" t="s">
        <v>6</v>
      </c>
      <c r="B11452" t="s">
        <v>11457</v>
      </c>
      <c r="C11452">
        <f>HYPERLINK("C:\Users\franc\OneDrive\Documentos\MALENTIN KARIME\BANCO ESTADO\2012 DEPTO ESCRITURAS fata\NOTARIA 2009\MUNICIPALIDAD DE OVALLE\CHILEDEPORTES A MUNICIPALIDAD (CENDYR).doc", "Abrir Documento")</f>
        <v>0</v>
      </c>
      <c r="D11452" t="s">
        <v>23500</v>
      </c>
      <c r="E11452" t="s">
        <v>33927</v>
      </c>
    </row>
    <row r="11453" spans="1:5">
      <c r="A11453" t="s">
        <v>6</v>
      </c>
      <c r="B11453" t="s">
        <v>11458</v>
      </c>
      <c r="C11453">
        <f>HYPERLINK("C:\Users\franc\OneDrive\Documentos\MALENTIN KARIME\BANCO ESTADO\2012 DEPTO ESCRITURAS fata\NOTARIA 2009\MUNICIPALIDAD DE OVALLE\BERNARDO CORTES (AGOSTO 2007).doc", "Abrir Documento")</f>
        <v>0</v>
      </c>
      <c r="D11453" t="s">
        <v>23500</v>
      </c>
      <c r="E11453" t="s">
        <v>33928</v>
      </c>
    </row>
    <row r="11454" spans="1:5">
      <c r="A11454" t="s">
        <v>6</v>
      </c>
      <c r="B11454" t="s">
        <v>11459</v>
      </c>
      <c r="C11454">
        <f>HYPERLINK("C:\Users\franc\OneDrive\Documentos\MALENTIN KARIME\BANCO ESTADO\2012 DEPTO ESCRITURAS fata\NOTARIA 2009\MUNICIPALIDAD DE OVALLE\ASOCIACION FUTBOL RURAL A  CHILEDEPORTES.doc", "Abrir Documento")</f>
        <v>0</v>
      </c>
      <c r="D11454" t="s">
        <v>23500</v>
      </c>
      <c r="E11454" t="s">
        <v>33929</v>
      </c>
    </row>
    <row r="11455" spans="1:5">
      <c r="A11455" t="s">
        <v>6</v>
      </c>
      <c r="B11455" t="s">
        <v>11460</v>
      </c>
      <c r="C11455">
        <f>HYPERLINK("C:\Users\franc\OneDrive\Documentos\MALENTIN KARIME\BANCO ESTADO\2012 DEPTO ESCRITURAS fata\NOTARIA 2009\MUNICIPALIDAD DE OVALLE\Anexo_Obras_Complementarias_Ovalle[1].doc", "Abrir Documento")</f>
        <v>0</v>
      </c>
      <c r="D11455" t="s">
        <v>23500</v>
      </c>
      <c r="E11455" t="s">
        <v>33930</v>
      </c>
    </row>
    <row r="11456" spans="1:5">
      <c r="A11456" t="s">
        <v>6</v>
      </c>
      <c r="B11456" t="s">
        <v>11461</v>
      </c>
      <c r="C11456">
        <f>HYPERLINK("C:\Users\franc\OneDrive\Documentos\MALENTIN KARIME\BANCO ESTADO\2012 DEPTO ESCRITURAS fata\NOTARIA 2009\MUNICIPALIDAD DE OVALLE\AMPLIACION ESCUELA MUSIA.doc", "Abrir Documento")</f>
        <v>0</v>
      </c>
      <c r="D11456" t="s">
        <v>23500</v>
      </c>
      <c r="E11456" t="s">
        <v>33931</v>
      </c>
    </row>
    <row r="11457" spans="1:5">
      <c r="A11457" t="s">
        <v>6</v>
      </c>
      <c r="B11457" t="s">
        <v>11462</v>
      </c>
      <c r="C11457">
        <f>HYPERLINK("C:\Users\franc\OneDrive\Documentos\MALENTIN KARIME\BANCO ESTADO\2012 DEPTO ESCRITURAS fata\NOTARIA 2009\MUNICIPALIDAD DE OVALLE\ALZAMIENTOJUANA ADAOS.doc", "Abrir Documento")</f>
        <v>0</v>
      </c>
      <c r="D11457" t="s">
        <v>23500</v>
      </c>
      <c r="E11457" t="s">
        <v>33932</v>
      </c>
    </row>
    <row r="11458" spans="1:5">
      <c r="A11458" t="s">
        <v>6</v>
      </c>
      <c r="B11458" t="s">
        <v>11463</v>
      </c>
      <c r="C11458">
        <f>HYPERLINK("C:\Users\franc\OneDrive\Documentos\MALENTIN KARIME\BANCO ESTADO\2012 DEPTO ESCRITURAS fata\NOTARIA 2009\MUNICIPALIDAD DE OVALLE\ALZAMIENTO MARTA LOBOS.doc", "Abrir Documento")</f>
        <v>0</v>
      </c>
      <c r="D11458" t="s">
        <v>23500</v>
      </c>
      <c r="E11458" t="s">
        <v>33933</v>
      </c>
    </row>
    <row r="11459" spans="1:5">
      <c r="A11459" t="s">
        <v>6</v>
      </c>
      <c r="B11459" t="s">
        <v>11464</v>
      </c>
      <c r="C11459">
        <f>HYPERLINK("C:\Users\franc\OneDrive\Documentos\MALENTIN KARIME\BANCO ESTADO\2012 DEPTO ESCRITURAS fata\NOTARIA 2009\MUNICIPALIDAD DE OVALLE\ALZAMIENTO FABIOLA CONTRERAS.doc", "Abrir Documento")</f>
        <v>0</v>
      </c>
      <c r="D11459" t="s">
        <v>23500</v>
      </c>
      <c r="E11459" t="s">
        <v>33934</v>
      </c>
    </row>
    <row r="11460" spans="1:5">
      <c r="A11460" t="s">
        <v>6</v>
      </c>
      <c r="B11460" t="s">
        <v>11465</v>
      </c>
      <c r="C11460">
        <f>HYPERLINK("C:\Users\franc\OneDrive\Documentos\MALENTIN KARIME\BANCO ESTADO\2012 DEPTO ESCRITURAS fata\NOTARIA 2009\MODIFICACION\WILSON YAÑEZ.doc", "Abrir Documento")</f>
        <v>0</v>
      </c>
      <c r="D11460" t="s">
        <v>23500</v>
      </c>
      <c r="E11460" t="s">
        <v>33935</v>
      </c>
    </row>
    <row r="11461" spans="1:5">
      <c r="A11461" t="s">
        <v>6</v>
      </c>
      <c r="B11461" t="s">
        <v>11466</v>
      </c>
      <c r="C11461">
        <f>HYPERLINK("C:\Users\franc\OneDrive\Documentos\MALENTIN KARIME\BANCO ESTADO\2012 DEPTO ESCRITURAS fata\NOTARIA 2009\MODIFICACION\MIGUEL SALINAS PLANTA PROCESADORA JUAN SALINAS.doc", "Abrir Documento")</f>
        <v>0</v>
      </c>
      <c r="D11461" t="s">
        <v>23500</v>
      </c>
      <c r="E11461" t="s">
        <v>33936</v>
      </c>
    </row>
    <row r="11462" spans="1:5">
      <c r="A11462" t="s">
        <v>6</v>
      </c>
      <c r="B11462" t="s">
        <v>11467</v>
      </c>
      <c r="C11462">
        <f>HYPERLINK("C:\Users\franc\OneDrive\Documentos\MALENTIN KARIME\BANCO ESTADO\2012 DEPTO ESCRITURAS fata\NOTARIA 2009\MODIFICACION\CONTRATO DE PROMESA.- LEONOR MUÑOZ A MAGALI GALLARDO.doc", "Abrir Documento")</f>
        <v>0</v>
      </c>
      <c r="D11462" t="s">
        <v>23500</v>
      </c>
      <c r="E11462" t="s">
        <v>33937</v>
      </c>
    </row>
    <row r="11463" spans="1:5">
      <c r="A11463" t="s">
        <v>6</v>
      </c>
      <c r="B11463" t="s">
        <v>11468</v>
      </c>
      <c r="C11463">
        <f>HYPERLINK("C:\Users\franc\OneDrive\Documentos\MALENTIN KARIME\BANCO ESTADO\2012 DEPTO ESCRITURAS fata\NOTARIA 2009\MODIFICACION\CALENDARIO PAGOS.doc", "Abrir Documento")</f>
        <v>0</v>
      </c>
      <c r="D11463" t="s">
        <v>23500</v>
      </c>
      <c r="E11463" t="s">
        <v>33938</v>
      </c>
    </row>
    <row r="11464" spans="1:5">
      <c r="A11464" t="s">
        <v>6</v>
      </c>
      <c r="B11464" t="s">
        <v>11469</v>
      </c>
      <c r="C11464">
        <f>HYPERLINK("C:\Users\franc\OneDrive\Documentos\MALENTIN KARIME\BANCO ESTADO\2012 DEPTO ESCRITURAS fata\NOTARIA 2009\MITSUI\WILLIAMS ENCINA.doc", "Abrir Documento")</f>
        <v>0</v>
      </c>
      <c r="D11464" t="s">
        <v>23500</v>
      </c>
      <c r="E11464" t="s">
        <v>33939</v>
      </c>
    </row>
    <row r="11465" spans="1:5">
      <c r="A11465" t="s">
        <v>6</v>
      </c>
      <c r="B11465" t="s">
        <v>11470</v>
      </c>
      <c r="C11465">
        <f>HYPERLINK("C:\Users\franc\OneDrive\Documentos\MALENTIN KARIME\BANCO ESTADO\2012 DEPTO ESCRITURAS fata\NOTARIA 2009\MITSUI\VICTOR FUENTES.doc", "Abrir Documento")</f>
        <v>0</v>
      </c>
      <c r="D11465" t="s">
        <v>23500</v>
      </c>
      <c r="E11465" t="s">
        <v>33940</v>
      </c>
    </row>
    <row r="11466" spans="1:5">
      <c r="A11466" t="s">
        <v>6</v>
      </c>
      <c r="B11466" t="s">
        <v>11471</v>
      </c>
      <c r="C11466">
        <f>HYPERLINK("C:\Users\franc\OneDrive\Documentos\MALENTIN KARIME\BANCO ESTADO\2012 DEPTO ESCRITURAS fata\NOTARIA 2009\MITSUI\VERONICA TAPIA MORALES.doc", "Abrir Documento")</f>
        <v>0</v>
      </c>
      <c r="D11466" t="s">
        <v>23500</v>
      </c>
      <c r="E11466" t="s">
        <v>33941</v>
      </c>
    </row>
    <row r="11467" spans="1:5">
      <c r="A11467" t="s">
        <v>6</v>
      </c>
      <c r="B11467" t="s">
        <v>11472</v>
      </c>
      <c r="C11467">
        <f>HYPERLINK("C:\Users\franc\OneDrive\Documentos\MALENTIN KARIME\BANCO ESTADO\2012 DEPTO ESCRITURAS fata\NOTARIA 2009\MITSUI\ULISES ROJAS ORTIZ.doc", "Abrir Documento")</f>
        <v>0</v>
      </c>
      <c r="D11467" t="s">
        <v>23500</v>
      </c>
      <c r="E11467" t="s">
        <v>33942</v>
      </c>
    </row>
    <row r="11468" spans="1:5">
      <c r="A11468" t="s">
        <v>6</v>
      </c>
      <c r="B11468" t="s">
        <v>11473</v>
      </c>
      <c r="C11468">
        <f>HYPERLINK("C:\Users\franc\OneDrive\Documentos\MALENTIN KARIME\BANCO ESTADO\2012 DEPTO ESCRITURAS fata\NOTARIA 2009\MITSUI\TITO COLLAO.doc", "Abrir Documento")</f>
        <v>0</v>
      </c>
      <c r="D11468" t="s">
        <v>23500</v>
      </c>
      <c r="E11468" t="s">
        <v>33943</v>
      </c>
    </row>
    <row r="11469" spans="1:5">
      <c r="A11469" t="s">
        <v>6</v>
      </c>
      <c r="B11469" t="s">
        <v>11474</v>
      </c>
      <c r="C11469">
        <f>HYPERLINK("C:\Users\franc\OneDrive\Documentos\MALENTIN KARIME\BANCO ESTADO\2012 DEPTO ESCRITURAS fata\NOTARIA 2009\MITSUI\TITO COLLAO CORTES 2.doc", "Abrir Documento")</f>
        <v>0</v>
      </c>
      <c r="D11469" t="s">
        <v>23500</v>
      </c>
      <c r="E11469" t="s">
        <v>33944</v>
      </c>
    </row>
    <row r="11470" spans="1:5">
      <c r="A11470" t="s">
        <v>6</v>
      </c>
      <c r="B11470" t="s">
        <v>11475</v>
      </c>
      <c r="C11470">
        <f>HYPERLINK("C:\Users\franc\OneDrive\Documentos\MALENTIN KARIME\BANCO ESTADO\2012 DEPTO ESCRITURAS fata\NOTARIA 2009\MITSUI\SEBASTIAN SUAZO LOPZ.doc", "Abrir Documento")</f>
        <v>0</v>
      </c>
      <c r="D11470" t="s">
        <v>23500</v>
      </c>
      <c r="E11470" t="s">
        <v>33945</v>
      </c>
    </row>
    <row r="11471" spans="1:5">
      <c r="A11471" t="s">
        <v>6</v>
      </c>
      <c r="B11471" t="s">
        <v>11476</v>
      </c>
      <c r="C11471">
        <f>HYPERLINK("C:\Users\franc\OneDrive\Documentos\MALENTIN KARIME\BANCO ESTADO\2012 DEPTO ESCRITURAS fata\NOTARIA 2009\MITSUI\SEBASTIAN GARCIA.doc", "Abrir Documento")</f>
        <v>0</v>
      </c>
      <c r="D11471" t="s">
        <v>23500</v>
      </c>
      <c r="E11471" t="s">
        <v>33946</v>
      </c>
    </row>
    <row r="11472" spans="1:5">
      <c r="A11472" t="s">
        <v>6</v>
      </c>
      <c r="B11472" t="s">
        <v>11477</v>
      </c>
      <c r="C11472">
        <f>HYPERLINK("C:\Users\franc\OneDrive\Documentos\MALENTIN KARIME\BANCO ESTADO\2012 DEPTO ESCRITURAS fata\NOTARIA 2009\MITSUI\RODOLFO HENRIQUEZ.doc", "Abrir Documento")</f>
        <v>0</v>
      </c>
      <c r="D11472" t="s">
        <v>23500</v>
      </c>
      <c r="E11472" t="s">
        <v>33947</v>
      </c>
    </row>
    <row r="11473" spans="1:5">
      <c r="A11473" t="s">
        <v>6</v>
      </c>
      <c r="B11473" t="s">
        <v>11478</v>
      </c>
      <c r="C11473">
        <f>HYPERLINK("C:\Users\franc\OneDrive\Documentos\MALENTIN KARIME\BANCO ESTADO\2012 DEPTO ESCRITURAS fata\NOTARIA 2009\MITSUI\RENATO RIVERA.doc", "Abrir Documento")</f>
        <v>0</v>
      </c>
      <c r="D11473" t="s">
        <v>23500</v>
      </c>
      <c r="E11473" t="s">
        <v>33948</v>
      </c>
    </row>
    <row r="11474" spans="1:5">
      <c r="A11474" t="s">
        <v>6</v>
      </c>
      <c r="B11474" t="s">
        <v>11479</v>
      </c>
      <c r="C11474">
        <f>HYPERLINK("C:\Users\franc\OneDrive\Documentos\MALENTIN KARIME\BANCO ESTADO\2012 DEPTO ESCRITURAS fata\NOTARIA 2009\MITSUI\RAFAEL CASTELLANOS ARCE.doc", "Abrir Documento")</f>
        <v>0</v>
      </c>
      <c r="D11474" t="s">
        <v>23500</v>
      </c>
      <c r="E11474" t="s">
        <v>33949</v>
      </c>
    </row>
    <row r="11475" spans="1:5">
      <c r="A11475" t="s">
        <v>6</v>
      </c>
      <c r="B11475" t="s">
        <v>11480</v>
      </c>
      <c r="C11475">
        <f>HYPERLINK("C:\Users\franc\OneDrive\Documentos\MALENTIN KARIME\BANCO ESTADO\2012 DEPTO ESCRITURAS fata\NOTARIA 2009\MITSUI\PEDRO VEGA Y OTRO.doc", "Abrir Documento")</f>
        <v>0</v>
      </c>
      <c r="D11475" t="s">
        <v>23500</v>
      </c>
      <c r="E11475" t="s">
        <v>33950</v>
      </c>
    </row>
    <row r="11476" spans="1:5">
      <c r="A11476" t="s">
        <v>6</v>
      </c>
      <c r="B11476" t="s">
        <v>11481</v>
      </c>
      <c r="C11476">
        <f>HYPERLINK("C:\Users\franc\OneDrive\Documentos\MALENTIN KARIME\BANCO ESTADO\2012 DEPTO ESCRITURAS fata\NOTARIA 2009\MITSUI\PEDRO ROJAS   (M. METTIFOGO).doc", "Abrir Documento")</f>
        <v>0</v>
      </c>
      <c r="D11476" t="s">
        <v>23500</v>
      </c>
      <c r="E11476" t="s">
        <v>33951</v>
      </c>
    </row>
    <row r="11477" spans="1:5">
      <c r="A11477" t="s">
        <v>6</v>
      </c>
      <c r="B11477" t="s">
        <v>11482</v>
      </c>
      <c r="C11477">
        <f>HYPERLINK("C:\Users\franc\OneDrive\Documentos\MALENTIN KARIME\BANCO ESTADO\2012 DEPTO ESCRITURAS fata\NOTARIA 2009\MITSUI\PATRICIA ZUMARAN.doc", "Abrir Documento")</f>
        <v>0</v>
      </c>
      <c r="D11477" t="s">
        <v>23500</v>
      </c>
      <c r="E11477" t="s">
        <v>33952</v>
      </c>
    </row>
    <row r="11478" spans="1:5">
      <c r="A11478" t="s">
        <v>6</v>
      </c>
      <c r="B11478" t="s">
        <v>11483</v>
      </c>
      <c r="C11478">
        <f>HYPERLINK("C:\Users\franc\OneDrive\Documentos\MALENTIN KARIME\BANCO ESTADO\2012 DEPTO ESCRITURAS fata\NOTARIA 2009\MITSUI\PATRICIA ACOSTA.doc", "Abrir Documento")</f>
        <v>0</v>
      </c>
      <c r="D11478" t="s">
        <v>23500</v>
      </c>
      <c r="E11478" t="s">
        <v>33953</v>
      </c>
    </row>
    <row r="11479" spans="1:5">
      <c r="A11479" t="s">
        <v>6</v>
      </c>
      <c r="B11479" t="s">
        <v>11484</v>
      </c>
      <c r="C11479">
        <f>HYPERLINK("C:\Users\franc\OneDrive\Documentos\MALENTIN KARIME\BANCO ESTADO\2012 DEPTO ESCRITURAS fata\NOTARIA 2009\MITSUI\PAMELA ROJAS CORTES.doc", "Abrir Documento")</f>
        <v>0</v>
      </c>
      <c r="D11479" t="s">
        <v>23500</v>
      </c>
      <c r="E11479" t="s">
        <v>33954</v>
      </c>
    </row>
    <row r="11480" spans="1:5">
      <c r="A11480" t="s">
        <v>6</v>
      </c>
      <c r="B11480" t="s">
        <v>11485</v>
      </c>
      <c r="C11480">
        <f>HYPERLINK("C:\Users\franc\OneDrive\Documentos\MALENTIN KARIME\BANCO ESTADO\2012 DEPTO ESCRITURAS fata\NOTARIA 2009\MITSUI\NOLVIA JOFRE TAPIA.doc", "Abrir Documento")</f>
        <v>0</v>
      </c>
      <c r="D11480" t="s">
        <v>23500</v>
      </c>
      <c r="E11480" t="s">
        <v>33955</v>
      </c>
    </row>
    <row r="11481" spans="1:5">
      <c r="A11481" t="s">
        <v>6</v>
      </c>
      <c r="B11481" t="s">
        <v>11486</v>
      </c>
      <c r="C11481">
        <f>HYPERLINK("C:\Users\franc\OneDrive\Documentos\MALENTIN KARIME\BANCO ESTADO\2012 DEPTO ESCRITURAS fata\NOTARIA 2009\MITSUI\MODELO PODER.doc", "Abrir Documento")</f>
        <v>0</v>
      </c>
      <c r="D11481" t="s">
        <v>23500</v>
      </c>
      <c r="E11481" t="s">
        <v>33956</v>
      </c>
    </row>
    <row r="11482" spans="1:5">
      <c r="A11482" t="s">
        <v>6</v>
      </c>
      <c r="B11482" t="s">
        <v>11487</v>
      </c>
      <c r="C11482">
        <f>HYPERLINK("C:\Users\franc\OneDrive\Documentos\MALENTIN KARIME\BANCO ESTADO\2012 DEPTO ESCRITURAS fata\NOTARIA 2009\MITSUI\MODELO MANDATO PRIVADO.doc", "Abrir Documento")</f>
        <v>0</v>
      </c>
      <c r="D11482" t="s">
        <v>23500</v>
      </c>
      <c r="E11482" t="s">
        <v>33957</v>
      </c>
    </row>
    <row r="11483" spans="1:5">
      <c r="A11483" t="s">
        <v>6</v>
      </c>
      <c r="B11483" t="s">
        <v>11488</v>
      </c>
      <c r="C11483">
        <f>HYPERLINK("C:\Users\franc\OneDrive\Documentos\MALENTIN KARIME\BANCO ESTADO\2012 DEPTO ESCRITURAS fata\NOTARIA 2009\MITSUI\MAURICIO ARAYA.doc", "Abrir Documento")</f>
        <v>0</v>
      </c>
      <c r="D11483" t="s">
        <v>23500</v>
      </c>
      <c r="E11483" t="s">
        <v>33958</v>
      </c>
    </row>
    <row r="11484" spans="1:5">
      <c r="A11484" t="s">
        <v>6</v>
      </c>
      <c r="B11484" t="s">
        <v>11489</v>
      </c>
      <c r="C11484">
        <f>HYPERLINK("C:\Users\franc\OneDrive\Documentos\MALENTIN KARIME\BANCO ESTADO\2012 DEPTO ESCRITURAS fata\NOTARIA 2009\MITSUI\MARIA MARIN PONCE.doc", "Abrir Documento")</f>
        <v>0</v>
      </c>
      <c r="D11484" t="s">
        <v>23500</v>
      </c>
      <c r="E11484" t="s">
        <v>33959</v>
      </c>
    </row>
    <row r="11485" spans="1:5">
      <c r="A11485" t="s">
        <v>6</v>
      </c>
      <c r="B11485" t="s">
        <v>11490</v>
      </c>
      <c r="C11485">
        <f>HYPERLINK("C:\Users\franc\OneDrive\Documentos\MALENTIN KARIME\BANCO ESTADO\2012 DEPTO ESCRITURAS fata\NOTARIA 2009\MITSUI\MARGARITA LOPEZ FERREIRA.doc", "Abrir Documento")</f>
        <v>0</v>
      </c>
      <c r="D11485" t="s">
        <v>23500</v>
      </c>
      <c r="E11485" t="s">
        <v>33960</v>
      </c>
    </row>
    <row r="11486" spans="1:5">
      <c r="A11486" t="s">
        <v>6</v>
      </c>
      <c r="B11486" t="s">
        <v>11491</v>
      </c>
      <c r="C11486">
        <f>HYPERLINK("C:\Users\franc\OneDrive\Documentos\MALENTIN KARIME\BANCO ESTADO\2012 DEPTO ESCRITURAS fata\NOTARIA 2009\MITSUI\LAURA BARRAZA ALUCEMA.doc", "Abrir Documento")</f>
        <v>0</v>
      </c>
      <c r="D11486" t="s">
        <v>23500</v>
      </c>
      <c r="E11486" t="s">
        <v>33961</v>
      </c>
    </row>
    <row r="11487" spans="1:5">
      <c r="A11487" t="s">
        <v>6</v>
      </c>
      <c r="B11487" t="s">
        <v>11492</v>
      </c>
      <c r="C11487">
        <f>HYPERLINK("C:\Users\franc\OneDrive\Documentos\MALENTIN KARIME\BANCO ESTADO\2012 DEPTO ESCRITURAS fata\NOTARIA 2009\MITSUI\JUAN MARAMBIO Y OTRA.doc", "Abrir Documento")</f>
        <v>0</v>
      </c>
      <c r="D11487" t="s">
        <v>23500</v>
      </c>
      <c r="E11487" t="s">
        <v>33962</v>
      </c>
    </row>
    <row r="11488" spans="1:5">
      <c r="A11488" t="s">
        <v>6</v>
      </c>
      <c r="B11488" t="s">
        <v>11493</v>
      </c>
      <c r="C11488">
        <f>HYPERLINK("C:\Users\franc\OneDrive\Documentos\MALENTIN KARIME\BANCO ESTADO\2012 DEPTO ESCRITURAS fata\NOTARIA 2009\MITSUI\JOSE ROJAS RODRIGUEZ (AGOSTO 2008).doc", "Abrir Documento")</f>
        <v>0</v>
      </c>
      <c r="D11488" t="s">
        <v>23500</v>
      </c>
      <c r="E11488" t="s">
        <v>33963</v>
      </c>
    </row>
    <row r="11489" spans="1:5">
      <c r="A11489" t="s">
        <v>6</v>
      </c>
      <c r="B11489" t="s">
        <v>11494</v>
      </c>
      <c r="C11489">
        <f>HYPERLINK("C:\Users\franc\OneDrive\Documentos\MALENTIN KARIME\BANCO ESTADO\2012 DEPTO ESCRITURAS fata\NOTARIA 2009\MITSUI\JORGE PLAZA.doc", "Abrir Documento")</f>
        <v>0</v>
      </c>
      <c r="D11489" t="s">
        <v>23500</v>
      </c>
      <c r="E11489" t="s">
        <v>33964</v>
      </c>
    </row>
    <row r="11490" spans="1:5">
      <c r="A11490" t="s">
        <v>6</v>
      </c>
      <c r="B11490" t="s">
        <v>11495</v>
      </c>
      <c r="C11490">
        <f>HYPERLINK("C:\Users\franc\OneDrive\Documentos\MALENTIN KARIME\BANCO ESTADO\2012 DEPTO ESCRITURAS fata\NOTARIA 2009\MITSUI\JAVIER VERGARA (SEP. 2008).doc", "Abrir Documento")</f>
        <v>0</v>
      </c>
      <c r="D11490" t="s">
        <v>23500</v>
      </c>
      <c r="E11490" t="s">
        <v>33965</v>
      </c>
    </row>
    <row r="11491" spans="1:5">
      <c r="A11491" t="s">
        <v>6</v>
      </c>
      <c r="B11491" t="s">
        <v>11496</v>
      </c>
      <c r="C11491">
        <f>HYPERLINK("C:\Users\franc\OneDrive\Documentos\MALENTIN KARIME\BANCO ESTADO\2012 DEPTO ESCRITURAS fata\NOTARIA 2009\MITSUI\GUILLERMO VALDES.doc", "Abrir Documento")</f>
        <v>0</v>
      </c>
      <c r="D11491" t="s">
        <v>23500</v>
      </c>
      <c r="E11491" t="s">
        <v>33966</v>
      </c>
    </row>
    <row r="11492" spans="1:5">
      <c r="A11492" t="s">
        <v>6</v>
      </c>
      <c r="B11492" t="s">
        <v>11497</v>
      </c>
      <c r="C11492">
        <f>HYPERLINK("C:\Users\franc\OneDrive\Documentos\MALENTIN KARIME\BANCO ESTADO\2012 DEPTO ESCRITURAS fata\NOTARIA 2009\MITSUI\FEDERICO AGUILERA (SIN INSCRIP).doc", "Abrir Documento")</f>
        <v>0</v>
      </c>
      <c r="D11492" t="s">
        <v>23500</v>
      </c>
      <c r="E11492" t="s">
        <v>33967</v>
      </c>
    </row>
    <row r="11493" spans="1:5">
      <c r="A11493" t="s">
        <v>6</v>
      </c>
      <c r="B11493" t="s">
        <v>11498</v>
      </c>
      <c r="C11493">
        <f>HYPERLINK("C:\Users\franc\OneDrive\Documentos\MALENTIN KARIME\BANCO ESTADO\2012 DEPTO ESCRITURAS fata\NOTARIA 2009\MITSUI\EDUARDO ROBLES GUERRERO.doc", "Abrir Documento")</f>
        <v>0</v>
      </c>
      <c r="D11493" t="s">
        <v>23500</v>
      </c>
      <c r="E11493" t="s">
        <v>33968</v>
      </c>
    </row>
    <row r="11494" spans="1:5">
      <c r="A11494" t="s">
        <v>6</v>
      </c>
      <c r="B11494" t="s">
        <v>11499</v>
      </c>
      <c r="C11494">
        <f>HYPERLINK("C:\Users\franc\OneDrive\Documentos\MALENTIN KARIME\BANCO ESTADO\2012 DEPTO ESCRITURAS fata\NOTARIA 2009\MITSUI\CAROLINA CONTRERAS.doc", "Abrir Documento")</f>
        <v>0</v>
      </c>
      <c r="D11494" t="s">
        <v>23500</v>
      </c>
      <c r="E11494" t="s">
        <v>33969</v>
      </c>
    </row>
    <row r="11495" spans="1:5">
      <c r="A11495" t="s">
        <v>6</v>
      </c>
      <c r="B11495" t="s">
        <v>11500</v>
      </c>
      <c r="C11495">
        <f>HYPERLINK("C:\Users\franc\OneDrive\Documentos\MALENTIN KARIME\BANCO ESTADO\2012 DEPTO ESCRITURAS fata\NOTARIA 2009\MITSUI\CARLOS RAMOS ALIAGA (M. METTIFOGO).doc", "Abrir Documento")</f>
        <v>0</v>
      </c>
      <c r="D11495" t="s">
        <v>23500</v>
      </c>
      <c r="E11495" t="s">
        <v>33970</v>
      </c>
    </row>
    <row r="11496" spans="1:5">
      <c r="A11496" t="s">
        <v>6</v>
      </c>
      <c r="B11496" t="s">
        <v>11501</v>
      </c>
      <c r="C11496">
        <f>HYPERLINK("C:\Users\franc\OneDrive\Documentos\MALENTIN KARIME\BANCO ESTADO\2012 DEPTO ESCRITURAS fata\NOTARIA 2009\MITSUI\BENJAMIN ZEPEDA.doc", "Abrir Documento")</f>
        <v>0</v>
      </c>
      <c r="D11496" t="s">
        <v>23500</v>
      </c>
      <c r="E11496" t="s">
        <v>33971</v>
      </c>
    </row>
    <row r="11497" spans="1:5">
      <c r="A11497" t="s">
        <v>6</v>
      </c>
      <c r="B11497" t="s">
        <v>11502</v>
      </c>
      <c r="C11497">
        <f>HYPERLINK("C:\Users\franc\OneDrive\Documentos\MALENTIN KARIME\BANCO ESTADO\2012 DEPTO ESCRITURAS fata\NOTARIA 2009\MITSUI\BENILDA MUNDACA.doc", "Abrir Documento")</f>
        <v>0</v>
      </c>
      <c r="D11497" t="s">
        <v>23500</v>
      </c>
      <c r="E11497" t="s">
        <v>33972</v>
      </c>
    </row>
    <row r="11498" spans="1:5">
      <c r="A11498" t="s">
        <v>6</v>
      </c>
      <c r="B11498" t="s">
        <v>11503</v>
      </c>
      <c r="C11498">
        <f>HYPERLINK("C:\Users\franc\OneDrive\Documentos\MALENTIN KARIME\BANCO ESTADO\2012 DEPTO ESCRITURAS fata\NOTARIA 2009\MITSUI\Autorizo la firma.doc", "Abrir Documento")</f>
        <v>0</v>
      </c>
      <c r="D11498" t="s">
        <v>23500</v>
      </c>
      <c r="E11498" t="s">
        <v>33973</v>
      </c>
    </row>
    <row r="11499" spans="1:5">
      <c r="A11499" t="s">
        <v>6</v>
      </c>
      <c r="B11499" t="s">
        <v>11504</v>
      </c>
      <c r="C11499">
        <f>HYPERLINK("C:\Users\franc\OneDrive\Documentos\MALENTIN KARIME\BANCO ESTADO\2012 DEPTO ESCRITURAS fata\NOTARIA 2009\MITSUI\Autorizo la firma  2.doc", "Abrir Documento")</f>
        <v>0</v>
      </c>
      <c r="D11499" t="s">
        <v>23500</v>
      </c>
      <c r="E11499" t="s">
        <v>33974</v>
      </c>
    </row>
    <row r="11500" spans="1:5">
      <c r="A11500" t="s">
        <v>6</v>
      </c>
      <c r="B11500" t="s">
        <v>11505</v>
      </c>
      <c r="C11500">
        <f>HYPERLINK("C:\Users\franc\OneDrive\Documentos\MALENTIN KARIME\BANCO ESTADO\2012 DEPTO ESCRITURAS fata\NOTARIA 2009\MITSUI\ALICIA ZEBALLOS ORTIZ.doc", "Abrir Documento")</f>
        <v>0</v>
      </c>
      <c r="D11500" t="s">
        <v>23500</v>
      </c>
      <c r="E11500" t="s">
        <v>33975</v>
      </c>
    </row>
    <row r="11501" spans="1:5">
      <c r="A11501" t="s">
        <v>6</v>
      </c>
      <c r="B11501" t="s">
        <v>11506</v>
      </c>
      <c r="C11501">
        <f>HYPERLINK("C:\Users\franc\OneDrive\Documentos\MALENTIN KARIME\BANCO ESTADO\2012 DEPTO ESCRITURAS fata\NOTARIA 2009\MITSUI\ALEJANDRO LOPEZ  (SIN INSCRIP).doc", "Abrir Documento")</f>
        <v>0</v>
      </c>
      <c r="D11501" t="s">
        <v>23500</v>
      </c>
      <c r="E11501" t="s">
        <v>33976</v>
      </c>
    </row>
    <row r="11502" spans="1:5">
      <c r="A11502" t="s">
        <v>6</v>
      </c>
      <c r="B11502" t="s">
        <v>11507</v>
      </c>
      <c r="C11502">
        <f>HYPERLINK("C:\Users\franc\OneDrive\Documentos\MALENTIN KARIME\BANCO ESTADO\2012 DEPTO ESCRITURAS fata\NOTARIA 2009\MITSUI\ALEJANDRO BOU.doc", "Abrir Documento")</f>
        <v>0</v>
      </c>
      <c r="D11502" t="s">
        <v>23500</v>
      </c>
      <c r="E11502" t="s">
        <v>33977</v>
      </c>
    </row>
    <row r="11503" spans="1:5">
      <c r="A11503" t="s">
        <v>6</v>
      </c>
      <c r="B11503" t="s">
        <v>11508</v>
      </c>
      <c r="C11503">
        <f>HYPERLINK("C:\Users\franc\OneDrive\Documentos\MALENTIN KARIME\BANCO ESTADO\2012 DEPTO ESCRITURAS fata\NOTARIA 2009\MINAS 2007\INSCRIPCION\STA RITA UNO. Junta Acc. PROHIBICION.doc", "Abrir Documento")</f>
        <v>0</v>
      </c>
      <c r="D11503" t="s">
        <v>23500</v>
      </c>
      <c r="E11503" t="s">
        <v>33978</v>
      </c>
    </row>
    <row r="11504" spans="1:5">
      <c r="A11504" t="s">
        <v>6</v>
      </c>
      <c r="B11504" t="s">
        <v>11509</v>
      </c>
      <c r="C11504">
        <f>HYPERLINK("C:\Users\franc\OneDrive\Documentos\MALENTIN KARIME\BANCO ESTADO\2012 DEPTO ESCRITURAS fata\NOTARIA 2009\MINAS 2007\INSCRIPCION\STA RITA PROHIBICION (OPCION COMPRA).doc", "Abrir Documento")</f>
        <v>0</v>
      </c>
      <c r="D11504" t="s">
        <v>23500</v>
      </c>
      <c r="E11504" t="s">
        <v>33979</v>
      </c>
    </row>
    <row r="11505" spans="1:5">
      <c r="A11505" t="s">
        <v>6</v>
      </c>
      <c r="B11505" t="s">
        <v>11510</v>
      </c>
      <c r="C11505">
        <f>HYPERLINK("C:\Users\franc\OneDrive\Documentos\MALENTIN KARIME\BANCO ESTADO\2012 DEPTO ESCRITURAS fata\NOTARIA 2009\MINAS 2007\INSCRIPCION\STA RITA OPCION DE COMPRA.doc", "Abrir Documento")</f>
        <v>0</v>
      </c>
      <c r="D11505" t="s">
        <v>23500</v>
      </c>
      <c r="E11505" t="s">
        <v>33980</v>
      </c>
    </row>
    <row r="11506" spans="1:5">
      <c r="A11506" t="s">
        <v>6</v>
      </c>
      <c r="B11506" t="s">
        <v>11511</v>
      </c>
      <c r="C11506">
        <f>HYPERLINK("C:\Users\franc\OneDrive\Documentos\MALENTIN KARIME\BANCO ESTADO\2012 DEPTO ESCRITURAS fata\NOTARIA 2009\MINAS 2007\INSCRIPCION\COMPAÑIA MINERA PUNITAQUI.doc", "Abrir Documento")</f>
        <v>0</v>
      </c>
      <c r="D11506" t="s">
        <v>23500</v>
      </c>
      <c r="E11506" t="s">
        <v>33981</v>
      </c>
    </row>
    <row r="11507" spans="1:5">
      <c r="A11507" t="s">
        <v>6</v>
      </c>
      <c r="B11507" t="s">
        <v>11512</v>
      </c>
      <c r="C11507">
        <f>HYPERLINK("C:\Users\franc\OneDrive\Documentos\MALENTIN KARIME\BANCO ESTADO\2012 DEPTO ESCRITURAS fata\NOTARIA 2009\MINAS 2007\CERTIFICADOS\VICTORIA IV      1-300.doc", "Abrir Documento")</f>
        <v>0</v>
      </c>
      <c r="D11507" t="s">
        <v>23500</v>
      </c>
      <c r="E11507" t="s">
        <v>33982</v>
      </c>
    </row>
    <row r="11508" spans="1:5">
      <c r="A11508" t="s">
        <v>6</v>
      </c>
      <c r="B11508" t="s">
        <v>11513</v>
      </c>
      <c r="C11508">
        <f>HYPERLINK("C:\Users\franc\OneDrive\Documentos\MALENTIN KARIME\BANCO ESTADO\2012 DEPTO ESCRITURAS fata\NOTARIA 2009\MINAS 2007\CERTIFICADOS\VICTORIA III   1-300.doc", "Abrir Documento")</f>
        <v>0</v>
      </c>
      <c r="D11508" t="s">
        <v>23500</v>
      </c>
      <c r="E11508" t="s">
        <v>33983</v>
      </c>
    </row>
    <row r="11509" spans="1:5">
      <c r="A11509" t="s">
        <v>6</v>
      </c>
      <c r="B11509" t="s">
        <v>11514</v>
      </c>
      <c r="C11509">
        <f>HYPERLINK("C:\Users\franc\OneDrive\Documentos\MALENTIN KARIME\BANCO ESTADO\2012 DEPTO ESCRITURAS fata\NOTARIA 2009\MINAS 2007\CERTIFICADOS\VICTORIA II   1-300.doc", "Abrir Documento")</f>
        <v>0</v>
      </c>
      <c r="D11509" t="s">
        <v>23500</v>
      </c>
      <c r="E11509" t="s">
        <v>33984</v>
      </c>
    </row>
    <row r="11510" spans="1:5">
      <c r="A11510" t="s">
        <v>6</v>
      </c>
      <c r="B11510" t="s">
        <v>11515</v>
      </c>
      <c r="C11510">
        <f>HYPERLINK("C:\Users\franc\OneDrive\Documentos\MALENTIN KARIME\BANCO ESTADO\2012 DEPTO ESCRITURAS fata\NOTARIA 2009\MINAS 2007\CERTIFICADOS\VICTORIA I  1-300.doc", "Abrir Documento")</f>
        <v>0</v>
      </c>
      <c r="D11510" t="s">
        <v>23500</v>
      </c>
      <c r="E11510" t="s">
        <v>33985</v>
      </c>
    </row>
    <row r="11511" spans="1:5">
      <c r="A11511" t="s">
        <v>6</v>
      </c>
      <c r="B11511" t="s">
        <v>11516</v>
      </c>
      <c r="C11511">
        <f>HYPERLINK("C:\Users\franc\OneDrive\Documentos\MALENTIN KARIME\BANCO ESTADO\2012 DEPTO ESCRITURAS fata\NOTARIA 2009\MINAS 2007\CERTIFICADOS\VICTORIA  VIII      1-200.doc", "Abrir Documento")</f>
        <v>0</v>
      </c>
      <c r="D11511" t="s">
        <v>23500</v>
      </c>
      <c r="E11511" t="s">
        <v>33986</v>
      </c>
    </row>
    <row r="11512" spans="1:5">
      <c r="A11512" t="s">
        <v>6</v>
      </c>
      <c r="B11512" t="s">
        <v>11517</v>
      </c>
      <c r="C11512">
        <f>HYPERLINK("C:\Users\franc\OneDrive\Documentos\MALENTIN KARIME\BANCO ESTADO\2012 DEPTO ESCRITURAS fata\NOTARIA 2009\MINAS 2007\CERTIFICADOS\VICTORIA  VII      1-200.doc", "Abrir Documento")</f>
        <v>0</v>
      </c>
      <c r="D11512" t="s">
        <v>23500</v>
      </c>
      <c r="E11512" t="s">
        <v>33987</v>
      </c>
    </row>
    <row r="11513" spans="1:5">
      <c r="A11513" t="s">
        <v>6</v>
      </c>
      <c r="B11513" t="s">
        <v>11518</v>
      </c>
      <c r="C11513">
        <f>HYPERLINK("C:\Users\franc\OneDrive\Documentos\MALENTIN KARIME\BANCO ESTADO\2012 DEPTO ESCRITURAS fata\NOTARIA 2009\MINAS 2007\CERTIFICADOS\VICTORIA  VI      1-200.doc", "Abrir Documento")</f>
        <v>0</v>
      </c>
      <c r="D11513" t="s">
        <v>23500</v>
      </c>
      <c r="E11513" t="s">
        <v>33988</v>
      </c>
    </row>
    <row r="11514" spans="1:5">
      <c r="A11514" t="s">
        <v>6</v>
      </c>
      <c r="B11514" t="s">
        <v>11519</v>
      </c>
      <c r="C11514">
        <f>HYPERLINK("C:\Users\franc\OneDrive\Documentos\MALENTIN KARIME\BANCO ESTADO\2012 DEPTO ESCRITURAS fata\NOTARIA 2009\MINAS 2007\CERTIFICADOS\VICTORIA  V      1-300.doc", "Abrir Documento")</f>
        <v>0</v>
      </c>
      <c r="D11514" t="s">
        <v>23500</v>
      </c>
      <c r="E11514" t="s">
        <v>33989</v>
      </c>
    </row>
    <row r="11515" spans="1:5">
      <c r="A11515" t="s">
        <v>6</v>
      </c>
      <c r="B11515" t="s">
        <v>11520</v>
      </c>
      <c r="C11515">
        <f>HYPERLINK("C:\Users\franc\OneDrive\Documentos\MALENTIN KARIME\BANCO ESTADO\2012 DEPTO ESCRITURAS fata\NOTARIA 2009\MINAS 2007\CERTIFICADOS\VICTORIA  IX      1-100.doc", "Abrir Documento")</f>
        <v>0</v>
      </c>
      <c r="D11515" t="s">
        <v>23500</v>
      </c>
      <c r="E11515" t="s">
        <v>33990</v>
      </c>
    </row>
    <row r="11516" spans="1:5">
      <c r="A11516" t="s">
        <v>6</v>
      </c>
      <c r="B11516" t="s">
        <v>11521</v>
      </c>
      <c r="C11516">
        <f>HYPERLINK("C:\Users\franc\OneDrive\Documentos\MALENTIN KARIME\BANCO ESTADO\2012 DEPTO ESCRITURAS fata\NOTARIA 2009\MINAS 2007\CERTIFICADOS\NUEVA DALMACIA (MANIFESTCION).doc", "Abrir Documento")</f>
        <v>0</v>
      </c>
      <c r="D11516" t="s">
        <v>23500</v>
      </c>
      <c r="E11516" t="s">
        <v>33991</v>
      </c>
    </row>
    <row r="11517" spans="1:5">
      <c r="A11517" t="s">
        <v>6</v>
      </c>
      <c r="B11517" t="s">
        <v>11522</v>
      </c>
      <c r="C11517">
        <f>HYPERLINK("C:\Users\franc\OneDrive\Documentos\MALENTIN KARIME\BANCO ESTADO\2012 DEPTO ESCRITURAS fata\NOTARIA 2009\MINAS 2007\CERTIFICADOS\GABRIEL VIII  1-16.doc", "Abrir Documento")</f>
        <v>0</v>
      </c>
      <c r="D11517" t="s">
        <v>23500</v>
      </c>
      <c r="E11517" t="s">
        <v>33992</v>
      </c>
    </row>
    <row r="11518" spans="1:5">
      <c r="A11518" t="s">
        <v>6</v>
      </c>
      <c r="B11518" t="s">
        <v>11523</v>
      </c>
      <c r="C11518">
        <f>HYPERLINK("C:\Users\franc\OneDrive\Documentos\MALENTIN KARIME\BANCO ESTADO\2012 DEPTO ESCRITURAS fata\NOTARIA 2009\MINAS 2007\CERTIFICADOS\GABRIEL VII 1-32.doc", "Abrir Documento")</f>
        <v>0</v>
      </c>
      <c r="D11518" t="s">
        <v>23500</v>
      </c>
      <c r="E11518" t="s">
        <v>33993</v>
      </c>
    </row>
    <row r="11519" spans="1:5">
      <c r="A11519" t="s">
        <v>6</v>
      </c>
      <c r="B11519" t="s">
        <v>11524</v>
      </c>
      <c r="C11519">
        <f>HYPERLINK("C:\Users\franc\OneDrive\Documentos\MALENTIN KARIME\BANCO ESTADO\2012 DEPTO ESCRITURAS fata\NOTARIA 2009\MINAS 2007\CERTIFICADOS\GABRIEL VI    concesion de exploracion.doc", "Abrir Documento")</f>
        <v>0</v>
      </c>
      <c r="D11519" t="s">
        <v>23500</v>
      </c>
      <c r="E11519" t="s">
        <v>33994</v>
      </c>
    </row>
    <row r="11520" spans="1:5">
      <c r="A11520" t="s">
        <v>6</v>
      </c>
      <c r="B11520" t="s">
        <v>11525</v>
      </c>
      <c r="C11520">
        <f>HYPERLINK("C:\Users\franc\OneDrive\Documentos\MALENTIN KARIME\BANCO ESTADO\2012 DEPTO ESCRITURAS fata\NOTARIA 2009\MINAS 2007\CERTIFICADOS\GABRIEL V concesion de exploracion.doc", "Abrir Documento")</f>
        <v>0</v>
      </c>
      <c r="D11520" t="s">
        <v>23500</v>
      </c>
      <c r="E11520" t="s">
        <v>33995</v>
      </c>
    </row>
    <row r="11521" spans="1:5">
      <c r="A11521" t="s">
        <v>6</v>
      </c>
      <c r="B11521" t="s">
        <v>11526</v>
      </c>
      <c r="C11521">
        <f>HYPERLINK("C:\Users\franc\OneDrive\Documentos\MALENTIN KARIME\BANCO ESTADO\2012 DEPTO ESCRITURAS fata\NOTARIA 2009\MINAS 2007\CERTIFICADOS\GABRIEL IV concesion de exploracion.doc", "Abrir Documento")</f>
        <v>0</v>
      </c>
      <c r="D11521" t="s">
        <v>23500</v>
      </c>
      <c r="E11521" t="s">
        <v>33996</v>
      </c>
    </row>
    <row r="11522" spans="1:5">
      <c r="A11522" t="s">
        <v>6</v>
      </c>
      <c r="B11522" t="s">
        <v>11527</v>
      </c>
      <c r="C11522">
        <f>HYPERLINK("C:\Users\franc\OneDrive\Documentos\MALENTIN KARIME\BANCO ESTADO\2012 DEPTO ESCRITURAS fata\NOTARIA 2009\MINAS 2007\CERTIFICADOS\GABRIEL III  1-300.doc", "Abrir Documento")</f>
        <v>0</v>
      </c>
      <c r="D11522" t="s">
        <v>23500</v>
      </c>
      <c r="E11522" t="s">
        <v>33997</v>
      </c>
    </row>
    <row r="11523" spans="1:5">
      <c r="A11523" t="s">
        <v>6</v>
      </c>
      <c r="B11523" t="s">
        <v>11528</v>
      </c>
      <c r="C11523">
        <f>HYPERLINK("C:\Users\franc\OneDrive\Documentos\MALENTIN KARIME\BANCO ESTADO\2012 DEPTO ESCRITURAS fata\NOTARIA 2009\MINAS 2007\CERTIFICADOS\GABRIEL II  1-200.doc", "Abrir Documento")</f>
        <v>0</v>
      </c>
      <c r="D11523" t="s">
        <v>23500</v>
      </c>
      <c r="E11523" t="s">
        <v>33998</v>
      </c>
    </row>
    <row r="11524" spans="1:5">
      <c r="A11524" t="s">
        <v>6</v>
      </c>
      <c r="B11524" t="s">
        <v>11529</v>
      </c>
      <c r="C11524">
        <f>HYPERLINK("C:\Users\franc\OneDrive\Documentos\MALENTIN KARIME\BANCO ESTADO\2012 DEPTO ESCRITURAS fata\NOTARIA 2009\MINAS 2007\CERTIFICADOS\GABRIEL I 1-200.doc", "Abrir Documento")</f>
        <v>0</v>
      </c>
      <c r="D11524" t="s">
        <v>23500</v>
      </c>
      <c r="E11524" t="s">
        <v>33999</v>
      </c>
    </row>
    <row r="11525" spans="1:5">
      <c r="A11525" t="s">
        <v>6</v>
      </c>
      <c r="B11525" t="s">
        <v>11530</v>
      </c>
      <c r="C11525">
        <f>HYPERLINK("C:\Users\franc\OneDrive\Documentos\MALENTIN KARIME\BANCO ESTADO\2012 DEPTO ESCRITURAS fata\NOTARIA 2009\MINAS 2007\CERTIFICADOS\DALMACIA III C   1-60.doc", "Abrir Documento")</f>
        <v>0</v>
      </c>
      <c r="D11525" t="s">
        <v>23500</v>
      </c>
      <c r="E11525" t="s">
        <v>34000</v>
      </c>
    </row>
    <row r="11526" spans="1:5">
      <c r="A11526" t="s">
        <v>6</v>
      </c>
      <c r="B11526" t="s">
        <v>11531</v>
      </c>
      <c r="C11526">
        <f>HYPERLINK("C:\Users\franc\OneDrive\Documentos\MALENTIN KARIME\BANCO ESTADO\2012 DEPTO ESCRITURAS fata\NOTARIA 2009\MINAS 2007\CERTIFICADOS\DALMACIA III B   1-80.doc", "Abrir Documento")</f>
        <v>0</v>
      </c>
      <c r="D11526" t="s">
        <v>23500</v>
      </c>
      <c r="E11526" t="s">
        <v>34001</v>
      </c>
    </row>
    <row r="11527" spans="1:5">
      <c r="A11527" t="s">
        <v>6</v>
      </c>
      <c r="B11527" t="s">
        <v>11532</v>
      </c>
      <c r="C11527">
        <f>HYPERLINK("C:\Users\franc\OneDrive\Documentos\MALENTIN KARIME\BANCO ESTADO\2012 DEPTO ESCRITURAS fata\NOTARIA 2009\MINAS 2007\CERTIFICADOS\DALMACIA III A   1-60.doc", "Abrir Documento")</f>
        <v>0</v>
      </c>
      <c r="D11527" t="s">
        <v>23500</v>
      </c>
      <c r="E11527" t="s">
        <v>34002</v>
      </c>
    </row>
    <row r="11528" spans="1:5">
      <c r="A11528" t="s">
        <v>6</v>
      </c>
      <c r="B11528" t="s">
        <v>11533</v>
      </c>
      <c r="C11528">
        <f>HYPERLINK("C:\Users\franc\OneDrive\Documentos\MALENTIN KARIME\BANCO ESTADO\2012 DEPTO ESCRITURAS fata\NOTARIA 2009\MINAS 2007\CERTIFICADOS\DALMACIA II     1-100.doc", "Abrir Documento")</f>
        <v>0</v>
      </c>
      <c r="D11528" t="s">
        <v>23500</v>
      </c>
      <c r="E11528" t="s">
        <v>34003</v>
      </c>
    </row>
    <row r="11529" spans="1:5">
      <c r="A11529" t="s">
        <v>6</v>
      </c>
      <c r="B11529" t="s">
        <v>11534</v>
      </c>
      <c r="C11529">
        <f>HYPERLINK("C:\Users\franc\OneDrive\Documentos\MALENTIN KARIME\BANCO ESTADO\2012 DEPTO ESCRITURAS fata\NOTARIA 2009\MINAS 2007\CERTIFICADOS\ANA LUISA III CONCESION EXPLORACION.doc", "Abrir Documento")</f>
        <v>0</v>
      </c>
      <c r="D11529" t="s">
        <v>23500</v>
      </c>
      <c r="E11529" t="s">
        <v>34004</v>
      </c>
    </row>
    <row r="11530" spans="1:5">
      <c r="A11530" t="s">
        <v>6</v>
      </c>
      <c r="B11530" t="s">
        <v>11535</v>
      </c>
      <c r="C11530">
        <f>HYPERLINK("C:\Users\franc\OneDrive\Documentos\MALENTIN KARIME\BANCO ESTADO\2012 DEPTO ESCRITURAS fata\NOTARIA 2009\MINAS 2007\CERTIFICADOS\ANA LUISA II  1-300.doc", "Abrir Documento")</f>
        <v>0</v>
      </c>
      <c r="D11530" t="s">
        <v>23500</v>
      </c>
      <c r="E11530" t="s">
        <v>34005</v>
      </c>
    </row>
    <row r="11531" spans="1:5">
      <c r="A11531" t="s">
        <v>6</v>
      </c>
      <c r="B11531" t="s">
        <v>11536</v>
      </c>
      <c r="C11531">
        <f>HYPERLINK("C:\Users\franc\OneDrive\Documentos\MALENTIN KARIME\BANCO ESTADO\2012 DEPTO ESCRITURAS fata\NOTARIA 2009\MINAS 2007\CERTIFICADOS\ANA LUISA I  1-200.doc", "Abrir Documento")</f>
        <v>0</v>
      </c>
      <c r="D11531" t="s">
        <v>23500</v>
      </c>
      <c r="E11531" t="s">
        <v>34006</v>
      </c>
    </row>
    <row r="11532" spans="1:5">
      <c r="A11532" t="s">
        <v>6</v>
      </c>
      <c r="B11532" t="s">
        <v>11537</v>
      </c>
      <c r="C11532">
        <f>HYPERLINK("C:\Users\franc\OneDrive\Documentos\MALENTIN KARIME\BANCO ESTADO\2012 DEPTO ESCRITURAS fata\NOTARIA 2009\MINAS 2007\ARRENDAMIENTOS\ELADIO EGAÑA A JUAN DURAN.doc", "Abrir Documento")</f>
        <v>0</v>
      </c>
      <c r="D11532" t="s">
        <v>23500</v>
      </c>
      <c r="E11532" t="s">
        <v>34007</v>
      </c>
    </row>
    <row r="11533" spans="1:5">
      <c r="A11533" t="s">
        <v>6</v>
      </c>
      <c r="B11533" t="s">
        <v>11538</v>
      </c>
      <c r="C11533">
        <f>HYPERLINK("C:\Users\franc\OneDrive\Documentos\MALENTIN KARIME\BANCO ESTADO\2012 DEPTO ESCRITURAS fata\NOTARIA 2009\MINAS 2007\VICTORIA III      1-300.DOC", "Abrir Documento")</f>
        <v>0</v>
      </c>
      <c r="D11533" t="s">
        <v>23500</v>
      </c>
      <c r="E11533" t="s">
        <v>34008</v>
      </c>
    </row>
    <row r="11534" spans="1:5">
      <c r="A11534" t="s">
        <v>6</v>
      </c>
      <c r="B11534" t="s">
        <v>11539</v>
      </c>
      <c r="C11534">
        <f>HYPERLINK("C:\Users\franc\OneDrive\Documentos\MALENTIN KARIME\BANCO ESTADO\2012 DEPTO ESCRITURAS fata\NOTARIA 2009\MINAS 2007\VICTORIA II    1-300.DOC", "Abrir Documento")</f>
        <v>0</v>
      </c>
      <c r="D11534" t="s">
        <v>23500</v>
      </c>
      <c r="E11534" t="s">
        <v>34009</v>
      </c>
    </row>
    <row r="11535" spans="1:5">
      <c r="A11535" t="s">
        <v>6</v>
      </c>
      <c r="B11535" t="s">
        <v>11540</v>
      </c>
      <c r="C11535">
        <f>HYPERLINK("C:\Users\franc\OneDrive\Documentos\MALENTIN KARIME\BANCO ESTADO\2012 DEPTO ESCRITURAS fata\NOTARIA 2009\MINAS 2007\VICTORIA I 1-300.DOC", "Abrir Documento")</f>
        <v>0</v>
      </c>
      <c r="D11535" t="s">
        <v>23500</v>
      </c>
      <c r="E11535" t="s">
        <v>34010</v>
      </c>
    </row>
    <row r="11536" spans="1:5">
      <c r="A11536" t="s">
        <v>6</v>
      </c>
      <c r="B11536" t="s">
        <v>11541</v>
      </c>
      <c r="C11536">
        <f>HYPERLINK("C:\Users\franc\OneDrive\Documentos\MALENTIN KARIME\BANCO ESTADO\2012 DEPTO ESCRITURAS fata\NOTARIA 2009\MINAS 2007\VICTORIA  IV      1-300.DOC", "Abrir Documento")</f>
        <v>0</v>
      </c>
      <c r="D11536" t="s">
        <v>23500</v>
      </c>
      <c r="E11536" t="s">
        <v>34011</v>
      </c>
    </row>
    <row r="11537" spans="1:5">
      <c r="A11537" t="s">
        <v>6</v>
      </c>
      <c r="B11537" t="s">
        <v>11542</v>
      </c>
      <c r="C11537">
        <f>HYPERLINK("C:\Users\franc\OneDrive\Documentos\MALENTIN KARIME\BANCO ESTADO\2012 DEPTO ESCRITURAS fata\NOTARIA 2009\MINAS 2007\VICTORIA   VIII    1-200.DOC", "Abrir Documento")</f>
        <v>0</v>
      </c>
      <c r="D11537" t="s">
        <v>23500</v>
      </c>
      <c r="E11537" t="s">
        <v>34012</v>
      </c>
    </row>
    <row r="11538" spans="1:5">
      <c r="A11538" t="s">
        <v>6</v>
      </c>
      <c r="B11538" t="s">
        <v>11543</v>
      </c>
      <c r="C11538">
        <f>HYPERLINK("C:\Users\franc\OneDrive\Documentos\MALENTIN KARIME\BANCO ESTADO\2012 DEPTO ESCRITURAS fata\NOTARIA 2009\MINAS 2007\VICTORIA   VII    1-200.DOC", "Abrir Documento")</f>
        <v>0</v>
      </c>
      <c r="D11538" t="s">
        <v>23500</v>
      </c>
      <c r="E11538" t="s">
        <v>34013</v>
      </c>
    </row>
    <row r="11539" spans="1:5">
      <c r="A11539" t="s">
        <v>6</v>
      </c>
      <c r="B11539" t="s">
        <v>11544</v>
      </c>
      <c r="C11539">
        <f>HYPERLINK("C:\Users\franc\OneDrive\Documentos\MALENTIN KARIME\BANCO ESTADO\2012 DEPTO ESCRITURAS fata\NOTARIA 2009\MINAS 2007\VICTORIA   VI    1-200.DOC", "Abrir Documento")</f>
        <v>0</v>
      </c>
      <c r="D11539" t="s">
        <v>23500</v>
      </c>
      <c r="E11539" t="s">
        <v>34014</v>
      </c>
    </row>
    <row r="11540" spans="1:5">
      <c r="A11540" t="s">
        <v>6</v>
      </c>
      <c r="B11540" t="s">
        <v>11545</v>
      </c>
      <c r="C11540">
        <f>HYPERLINK("C:\Users\franc\OneDrive\Documentos\MALENTIN KARIME\BANCO ESTADO\2012 DEPTO ESCRITURAS fata\NOTARIA 2009\MINAS 2007\VICTORIA   V    1-300.DOC", "Abrir Documento")</f>
        <v>0</v>
      </c>
      <c r="D11540" t="s">
        <v>23500</v>
      </c>
      <c r="E11540" t="s">
        <v>34015</v>
      </c>
    </row>
    <row r="11541" spans="1:5">
      <c r="A11541" t="s">
        <v>6</v>
      </c>
      <c r="B11541" t="s">
        <v>11546</v>
      </c>
      <c r="C11541">
        <f>HYPERLINK("C:\Users\franc\OneDrive\Documentos\MALENTIN KARIME\BANCO ESTADO\2012 DEPTO ESCRITURAS fata\NOTARIA 2009\MINAS 2007\VICTORIA   IX    1-100.DOC", "Abrir Documento")</f>
        <v>0</v>
      </c>
      <c r="D11541" t="s">
        <v>23500</v>
      </c>
      <c r="E11541" t="s">
        <v>34016</v>
      </c>
    </row>
    <row r="11542" spans="1:5">
      <c r="A11542" t="s">
        <v>6</v>
      </c>
      <c r="B11542" t="s">
        <v>11547</v>
      </c>
      <c r="C11542">
        <f>HYPERLINK("C:\Users\franc\OneDrive\Documentos\MALENTIN KARIME\BANCO ESTADO\2012 DEPTO ESCRITURAS fata\NOTARIA 2009\MINAS 2007\STA. RITA OPCION DE COMPRA.doc", "Abrir Documento")</f>
        <v>0</v>
      </c>
      <c r="D11542" t="s">
        <v>23500</v>
      </c>
      <c r="E11542" t="s">
        <v>34017</v>
      </c>
    </row>
    <row r="11543" spans="1:5">
      <c r="A11543" t="s">
        <v>6</v>
      </c>
      <c r="B11543" t="s">
        <v>11548</v>
      </c>
      <c r="C11543">
        <f>HYPERLINK("C:\Users\franc\OneDrive\Documentos\MALENTIN KARIME\BANCO ESTADO\2012 DEPTO ESCRITURAS fata\NOTARIA 2009\MINAS 2007\STA. RITA OPCION DE COMPRA  ULTIMA OK.doc", "Abrir Documento")</f>
        <v>0</v>
      </c>
      <c r="D11543" t="s">
        <v>23500</v>
      </c>
      <c r="E11543" t="s">
        <v>34018</v>
      </c>
    </row>
    <row r="11544" spans="1:5">
      <c r="A11544" t="s">
        <v>6</v>
      </c>
      <c r="B11544" t="s">
        <v>11549</v>
      </c>
      <c r="C11544">
        <f>HYPERLINK("C:\Users\franc\OneDrive\Documentos\MALENTIN KARIME\BANCO ESTADO\2012 DEPTO ESCRITURAS fata\NOTARIA 2009\MINAS 2007\STA. RITA OPCION DE COMPRA  FINAL.doc", "Abrir Documento")</f>
        <v>0</v>
      </c>
      <c r="D11544" t="s">
        <v>23500</v>
      </c>
      <c r="E11544" t="s">
        <v>34019</v>
      </c>
    </row>
    <row r="11545" spans="1:5">
      <c r="A11545" t="s">
        <v>6</v>
      </c>
      <c r="B11545" t="s">
        <v>11550</v>
      </c>
      <c r="C11545">
        <f>HYPERLINK("C:\Users\franc\OneDrive\Documentos\MALENTIN KARIME\BANCO ESTADO\2012 DEPTO ESCRITURAS fata\NOTARIA 2009\MINAS 2007\STA RITA UNO. Junta Acc. PROHIBICION.doc", "Abrir Documento")</f>
        <v>0</v>
      </c>
      <c r="D11545" t="s">
        <v>23500</v>
      </c>
      <c r="E11545" t="s">
        <v>34020</v>
      </c>
    </row>
    <row r="11546" spans="1:5">
      <c r="A11546" t="s">
        <v>6</v>
      </c>
      <c r="B11546" t="s">
        <v>11551</v>
      </c>
      <c r="C11546">
        <f>HYPERLINK("C:\Users\franc\OneDrive\Documentos\MALENTIN KARIME\BANCO ESTADO\2012 DEPTO ESCRITURAS fata\NOTARIA 2009\MINAS 2007\SGODMS-15817-v1-Punitaqui__Inscripción_Mandato_a_nombre_propio.DOC", "Abrir Documento")</f>
        <v>0</v>
      </c>
      <c r="D11546" t="s">
        <v>23500</v>
      </c>
      <c r="E11546" t="s">
        <v>34021</v>
      </c>
    </row>
    <row r="11547" spans="1:5">
      <c r="A11547" t="s">
        <v>6</v>
      </c>
      <c r="B11547" t="s">
        <v>11552</v>
      </c>
      <c r="C11547">
        <f>HYPERLINK("C:\Users\franc\OneDrive\Documentos\MALENTIN KARIME\BANCO ESTADO\2012 DEPTO ESCRITURAS fata\NOTARIA 2009\MINAS 2007\S.L.M. VIGORENA UNO (ARRENDAMIENTO).doc", "Abrir Documento")</f>
        <v>0</v>
      </c>
      <c r="D11547" t="s">
        <v>23500</v>
      </c>
      <c r="E11547" t="s">
        <v>34022</v>
      </c>
    </row>
    <row r="11548" spans="1:5">
      <c r="A11548" t="s">
        <v>6</v>
      </c>
      <c r="B11548" t="s">
        <v>11553</v>
      </c>
      <c r="C11548">
        <f>HYPERLINK("C:\Users\franc\OneDrive\Documentos\MALENTIN KARIME\BANCO ESTADO\2012 DEPTO ESCRITURAS fata\NOTARIA 2009\MINAS 2007\OSCAR LEON a PETER WANDE Manif..doc", "Abrir Documento")</f>
        <v>0</v>
      </c>
      <c r="D11548" t="s">
        <v>23500</v>
      </c>
      <c r="E11548" t="s">
        <v>34023</v>
      </c>
    </row>
    <row r="11549" spans="1:5">
      <c r="A11549" t="s">
        <v>6</v>
      </c>
      <c r="B11549" t="s">
        <v>11554</v>
      </c>
      <c r="C11549">
        <f>HYPERLINK("C:\Users\franc\OneDrive\Documentos\MALENTIN KARIME\BANCO ESTADO\2012 DEPTO ESCRITURAS fata\NOTARIA 2009\MINAS 2007\INSTRUCCIONES STA. RITA.doc", "Abrir Documento")</f>
        <v>0</v>
      </c>
      <c r="D11549" t="s">
        <v>23500</v>
      </c>
      <c r="E11549" t="s">
        <v>34024</v>
      </c>
    </row>
    <row r="11550" spans="1:5">
      <c r="A11550" t="s">
        <v>6</v>
      </c>
      <c r="B11550" t="s">
        <v>11555</v>
      </c>
      <c r="C11550">
        <f>HYPERLINK("C:\Users\franc\OneDrive\Documentos\MALENTIN KARIME\BANCO ESTADO\2012 DEPTO ESCRITURAS fata\NOTARIA 2009\MINAS 2007\GABRIEL VIII  1-16.DOC", "Abrir Documento")</f>
        <v>0</v>
      </c>
      <c r="D11550" t="s">
        <v>23500</v>
      </c>
      <c r="E11550" t="s">
        <v>34025</v>
      </c>
    </row>
    <row r="11551" spans="1:5">
      <c r="A11551" t="s">
        <v>6</v>
      </c>
      <c r="B11551" t="s">
        <v>11556</v>
      </c>
      <c r="C11551">
        <f>HYPERLINK("C:\Users\franc\OneDrive\Documentos\MALENTIN KARIME\BANCO ESTADO\2012 DEPTO ESCRITURAS fata\NOTARIA 2009\MINAS 2007\GABRIEL VII 1-32.DOC", "Abrir Documento")</f>
        <v>0</v>
      </c>
      <c r="D11551" t="s">
        <v>23500</v>
      </c>
      <c r="E11551" t="s">
        <v>34026</v>
      </c>
    </row>
    <row r="11552" spans="1:5">
      <c r="A11552" t="s">
        <v>6</v>
      </c>
      <c r="B11552" t="s">
        <v>11557</v>
      </c>
      <c r="C11552">
        <f>HYPERLINK("C:\Users\franc\OneDrive\Documentos\MALENTIN KARIME\BANCO ESTADO\2012 DEPTO ESCRITURAS fata\NOTARIA 2009\MINAS 2007\GABRIEL IV.DOC", "Abrir Documento")</f>
        <v>0</v>
      </c>
      <c r="D11552" t="s">
        <v>23500</v>
      </c>
      <c r="E11552" t="s">
        <v>34027</v>
      </c>
    </row>
    <row r="11553" spans="1:5">
      <c r="A11553" t="s">
        <v>6</v>
      </c>
      <c r="B11553" t="s">
        <v>11558</v>
      </c>
      <c r="C11553">
        <f>HYPERLINK("C:\Users\franc\OneDrive\Documentos\MALENTIN KARIME\BANCO ESTADO\2012 DEPTO ESCRITURAS fata\NOTARIA 2009\MINAS 2007\GABRIEL   VI.DOC", "Abrir Documento")</f>
        <v>0</v>
      </c>
      <c r="D11553" t="s">
        <v>23500</v>
      </c>
      <c r="E11553" t="s">
        <v>34028</v>
      </c>
    </row>
    <row r="11554" spans="1:5">
      <c r="A11554" t="s">
        <v>6</v>
      </c>
      <c r="B11554" t="s">
        <v>11559</v>
      </c>
      <c r="C11554">
        <f>HYPERLINK("C:\Users\franc\OneDrive\Documentos\MALENTIN KARIME\BANCO ESTADO\2012 DEPTO ESCRITURAS fata\NOTARIA 2009\MINAS 2007\GABRIEL   V.DOC", "Abrir Documento")</f>
        <v>0</v>
      </c>
      <c r="D11554" t="s">
        <v>23500</v>
      </c>
      <c r="E11554" t="s">
        <v>34029</v>
      </c>
    </row>
    <row r="11555" spans="1:5">
      <c r="A11555" t="s">
        <v>6</v>
      </c>
      <c r="B11555" t="s">
        <v>11560</v>
      </c>
      <c r="C11555">
        <f>HYPERLINK("C:\Users\franc\OneDrive\Documentos\MALENTIN KARIME\BANCO ESTADO\2012 DEPTO ESCRITURAS fata\NOTARIA 2009\MINAS 2007\GABRIEL   III  1-300.DOC", "Abrir Documento")</f>
        <v>0</v>
      </c>
      <c r="D11555" t="s">
        <v>23500</v>
      </c>
      <c r="E11555" t="s">
        <v>34030</v>
      </c>
    </row>
    <row r="11556" spans="1:5">
      <c r="A11556" t="s">
        <v>6</v>
      </c>
      <c r="B11556" t="s">
        <v>11561</v>
      </c>
      <c r="C11556">
        <f>HYPERLINK("C:\Users\franc\OneDrive\Documentos\MALENTIN KARIME\BANCO ESTADO\2012 DEPTO ESCRITURAS fata\NOTARIA 2009\MINAS 2007\GABRIEL   II  1-200.DOC", "Abrir Documento")</f>
        <v>0</v>
      </c>
      <c r="D11556" t="s">
        <v>23500</v>
      </c>
      <c r="E11556" t="s">
        <v>34031</v>
      </c>
    </row>
    <row r="11557" spans="1:5">
      <c r="A11557" t="s">
        <v>6</v>
      </c>
      <c r="B11557" t="s">
        <v>11562</v>
      </c>
      <c r="C11557">
        <f>HYPERLINK("C:\Users\franc\OneDrive\Documentos\MALENTIN KARIME\BANCO ESTADO\2012 DEPTO ESCRITURAS fata\NOTARIA 2009\MINAS 2007\GABRIEL   I  1-200.DOC", "Abrir Documento")</f>
        <v>0</v>
      </c>
      <c r="D11557" t="s">
        <v>23500</v>
      </c>
      <c r="E11557" t="s">
        <v>34032</v>
      </c>
    </row>
    <row r="11558" spans="1:5">
      <c r="A11558" t="s">
        <v>6</v>
      </c>
      <c r="B11558" t="s">
        <v>11563</v>
      </c>
      <c r="C11558">
        <f>HYPERLINK("C:\Users\franc\OneDrive\Documentos\MALENTIN KARIME\BANCO ESTADO\2012 DEPTO ESCRITURAS fata\NOTARIA 2009\MINAS 2007\DELTA 9 2DO. JUZGADO - PERITO HUGO GARRIDO.doc", "Abrir Documento")</f>
        <v>0</v>
      </c>
      <c r="D11558" t="s">
        <v>23500</v>
      </c>
      <c r="E11558" t="s">
        <v>34033</v>
      </c>
    </row>
    <row r="11559" spans="1:5">
      <c r="A11559" t="s">
        <v>6</v>
      </c>
      <c r="B11559" t="s">
        <v>11564</v>
      </c>
      <c r="C11559">
        <f>HYPERLINK("C:\Users\franc\OneDrive\Documentos\MALENTIN KARIME\BANCO ESTADO\2012 DEPTO ESCRITURAS fata\NOTARIA 2009\MINAS 2007\DELTA 9 1ER JUZGADO - PERITO HUGO GARRIDO.doc", "Abrir Documento")</f>
        <v>0</v>
      </c>
      <c r="D11559" t="s">
        <v>23500</v>
      </c>
      <c r="E11559" t="s">
        <v>34034</v>
      </c>
    </row>
    <row r="11560" spans="1:5">
      <c r="A11560" t="s">
        <v>6</v>
      </c>
      <c r="B11560" t="s">
        <v>11565</v>
      </c>
      <c r="C11560">
        <f>HYPERLINK("C:\Users\franc\OneDrive\Documentos\MALENTIN KARIME\BANCO ESTADO\2012 DEPTO ESCRITURAS fata\NOTARIA 2009\MINAS 2007\DALMACIA III  B  1- 80.DOC", "Abrir Documento")</f>
        <v>0</v>
      </c>
      <c r="D11560" t="s">
        <v>23500</v>
      </c>
      <c r="E11560" t="s">
        <v>34035</v>
      </c>
    </row>
    <row r="11561" spans="1:5">
      <c r="A11561" t="s">
        <v>6</v>
      </c>
      <c r="B11561" t="s">
        <v>11566</v>
      </c>
      <c r="C11561">
        <f>HYPERLINK("C:\Users\franc\OneDrive\Documentos\MALENTIN KARIME\BANCO ESTADO\2012 DEPTO ESCRITURAS fata\NOTARIA 2009\MINAS 2007\DALMACIA III   C  1- 60.DOC", "Abrir Documento")</f>
        <v>0</v>
      </c>
      <c r="D11561" t="s">
        <v>23500</v>
      </c>
      <c r="E11561" t="s">
        <v>34036</v>
      </c>
    </row>
    <row r="11562" spans="1:5">
      <c r="A11562" t="s">
        <v>6</v>
      </c>
      <c r="B11562" t="s">
        <v>11567</v>
      </c>
      <c r="C11562">
        <f>HYPERLINK("C:\Users\franc\OneDrive\Documentos\MALENTIN KARIME\BANCO ESTADO\2012 DEPTO ESCRITURAS fata\NOTARIA 2009\MINAS 2007\DALMACIA III   A  1- 60.DOC", "Abrir Documento")</f>
        <v>0</v>
      </c>
      <c r="D11562" t="s">
        <v>23500</v>
      </c>
      <c r="E11562" t="s">
        <v>34037</v>
      </c>
    </row>
    <row r="11563" spans="1:5">
      <c r="A11563" t="s">
        <v>6</v>
      </c>
      <c r="B11563" t="s">
        <v>11568</v>
      </c>
      <c r="C11563">
        <f>HYPERLINK("C:\Users\franc\OneDrive\Documentos\MALENTIN KARIME\BANCO ESTADO\2012 DEPTO ESCRITURAS fata\NOTARIA 2009\MINAS 2007\DALMACIA II   1-100.DOC", "Abrir Documento")</f>
        <v>0</v>
      </c>
      <c r="D11563" t="s">
        <v>23500</v>
      </c>
      <c r="E11563" t="s">
        <v>34038</v>
      </c>
    </row>
    <row r="11564" spans="1:5">
      <c r="A11564" t="s">
        <v>6</v>
      </c>
      <c r="B11564" t="s">
        <v>11569</v>
      </c>
      <c r="C11564">
        <f>HYPERLINK("C:\Users\franc\OneDrive\Documentos\MALENTIN KARIME\BANCO ESTADO\2012 DEPTO ESCRITURAS fata\NOTARIA 2009\MINAS 2007\CINABRIO ( 1 ACCION).DOC", "Abrir Documento")</f>
        <v>0</v>
      </c>
      <c r="D11564" t="s">
        <v>23500</v>
      </c>
      <c r="E11564" t="s">
        <v>34039</v>
      </c>
    </row>
    <row r="11565" spans="1:5">
      <c r="A11565" t="s">
        <v>6</v>
      </c>
      <c r="B11565" t="s">
        <v>11570</v>
      </c>
      <c r="C11565">
        <f>HYPERLINK("C:\Users\franc\OneDrive\Documentos\MALENTIN KARIME\BANCO ESTADO\2012 DEPTO ESCRITURAS fata\NOTARIA 2009\MINAS 2007\AUTORIZACION COPIAS MINERAS.doc", "Abrir Documento")</f>
        <v>0</v>
      </c>
      <c r="D11565" t="s">
        <v>23500</v>
      </c>
      <c r="E11565" t="s">
        <v>34040</v>
      </c>
    </row>
    <row r="11566" spans="1:5">
      <c r="A11566" t="s">
        <v>6</v>
      </c>
      <c r="B11566" t="s">
        <v>11571</v>
      </c>
      <c r="C11566">
        <f>HYPERLINK("C:\Users\franc\OneDrive\Documentos\MALENTIN KARIME\BANCO ESTADO\2012 DEPTO ESCRITURAS fata\NOTARIA 2009\MINAS 2007\ARRIENDO MINA VIGORENA UNO DE EL CERRO VIGORENA.doc", "Abrir Documento")</f>
        <v>0</v>
      </c>
      <c r="D11566" t="s">
        <v>23500</v>
      </c>
      <c r="E11566" t="s">
        <v>34041</v>
      </c>
    </row>
    <row r="11567" spans="1:5">
      <c r="A11567" t="s">
        <v>6</v>
      </c>
      <c r="B11567" t="s">
        <v>11572</v>
      </c>
      <c r="C11567">
        <f>HYPERLINK("C:\Users\franc\OneDrive\Documentos\MALENTIN KARIME\BANCO ESTADO\2012 DEPTO ESCRITURAS fata\NOTARIA 2009\MINAS 2007\ANA LUISA III.DOC", "Abrir Documento")</f>
        <v>0</v>
      </c>
      <c r="D11567" t="s">
        <v>23500</v>
      </c>
      <c r="E11567" t="s">
        <v>34042</v>
      </c>
    </row>
    <row r="11568" spans="1:5">
      <c r="A11568" t="s">
        <v>6</v>
      </c>
      <c r="B11568" t="s">
        <v>11573</v>
      </c>
      <c r="C11568">
        <f>HYPERLINK("C:\Users\franc\OneDrive\Documentos\MALENTIN KARIME\BANCO ESTADO\2012 DEPTO ESCRITURAS fata\NOTARIA 2009\MINAS 2007\ANA LUISA II   1-300.DOC", "Abrir Documento")</f>
        <v>0</v>
      </c>
      <c r="D11568" t="s">
        <v>23500</v>
      </c>
      <c r="E11568" t="s">
        <v>34043</v>
      </c>
    </row>
    <row r="11569" spans="1:5">
      <c r="A11569" t="s">
        <v>6</v>
      </c>
      <c r="B11569" t="s">
        <v>11574</v>
      </c>
      <c r="C11569">
        <f>HYPERLINK("C:\Users\franc\OneDrive\Documentos\MALENTIN KARIME\BANCO ESTADO\2012 DEPTO ESCRITURAS fata\NOTARIA 2009\MINAS 2007\ANA LUISA I   1-200.DOC", "Abrir Documento")</f>
        <v>0</v>
      </c>
      <c r="D11569" t="s">
        <v>23500</v>
      </c>
      <c r="E11569" t="s">
        <v>34044</v>
      </c>
    </row>
    <row r="11570" spans="1:5">
      <c r="A11570" t="s">
        <v>6</v>
      </c>
      <c r="B11570" t="s">
        <v>11575</v>
      </c>
      <c r="C11570">
        <f>HYPERLINK("C:\Users\franc\OneDrive\Documentos\MALENTIN KARIME\BANCO ESTADO\2012 DEPTO ESCRITURAS fata\NOTARIA 2009\MIGUEL TAPIA\MODIF CONTRATO HERNAN ARAYA.doc", "Abrir Documento")</f>
        <v>0</v>
      </c>
      <c r="D11570" t="s">
        <v>23500</v>
      </c>
      <c r="E11570" t="s">
        <v>34045</v>
      </c>
    </row>
    <row r="11571" spans="1:5">
      <c r="A11571" t="s">
        <v>6</v>
      </c>
      <c r="B11571" t="s">
        <v>11576</v>
      </c>
      <c r="C11571">
        <f>HYPERLINK("C:\Users\franc\OneDrive\Documentos\MALENTIN KARIME\BANCO ESTADO\2012 DEPTO ESCRITURAS fata\NOTARIA 2009\MERCEDES VALDIVIA\COMUNIDAD MONTE PATRIA A EVA VALDIVIA.doc", "Abrir Documento")</f>
        <v>0</v>
      </c>
      <c r="D11571" t="s">
        <v>23500</v>
      </c>
      <c r="E11571" t="s">
        <v>34046</v>
      </c>
    </row>
    <row r="11572" spans="1:5">
      <c r="A11572" t="s">
        <v>6</v>
      </c>
      <c r="B11572" t="s">
        <v>11577</v>
      </c>
      <c r="C11572">
        <f>HYPERLINK("C:\Users\franc\OneDrive\Documentos\MALENTIN KARIME\BANCO ESTADO\2012 DEPTO ESCRITURAS fata\NOTARIA 2009\MERCEDES VALDIVIA\COMPLEMENTACION MONTE PATRIA EVA VALDIVIA (oCT. 2009).doc", "Abrir Documento")</f>
        <v>0</v>
      </c>
      <c r="D11572" t="s">
        <v>23500</v>
      </c>
      <c r="E11572" t="s">
        <v>34047</v>
      </c>
    </row>
    <row r="11573" spans="1:5">
      <c r="A11573" t="s">
        <v>6</v>
      </c>
      <c r="B11573" t="s">
        <v>11578</v>
      </c>
      <c r="C11573">
        <f>HYPERLINK("C:\Users\franc\OneDrive\Documentos\MALENTIN KARIME\BANCO ESTADO\2012 DEPTO ESCRITURAS fata\NOTARIA 2009\MAURICIO MARIN\WILSON AROS LOTE 4 MZ 2.doc", "Abrir Documento")</f>
        <v>0</v>
      </c>
      <c r="D11573" t="s">
        <v>23500</v>
      </c>
      <c r="E11573" t="s">
        <v>34048</v>
      </c>
    </row>
    <row r="11574" spans="1:5">
      <c r="A11574" t="s">
        <v>6</v>
      </c>
      <c r="B11574" t="s">
        <v>11579</v>
      </c>
      <c r="C11574">
        <f>HYPERLINK("C:\Users\franc\OneDrive\Documentos\MALENTIN KARIME\BANCO ESTADO\2012 DEPTO ESCRITURAS fata\NOTARIA 2009\MAURICIO MARIN\UBERLINDA ROBLES  LOTE 3 MZ. 4.doc", "Abrir Documento")</f>
        <v>0</v>
      </c>
      <c r="D11574" t="s">
        <v>23500</v>
      </c>
      <c r="E11574" t="s">
        <v>34049</v>
      </c>
    </row>
    <row r="11575" spans="1:5">
      <c r="A11575" t="s">
        <v>6</v>
      </c>
      <c r="B11575" t="s">
        <v>11580</v>
      </c>
      <c r="C11575">
        <f>HYPERLINK("C:\Users\franc\OneDrive\Documentos\MALENTIN KARIME\BANCO ESTADO\2012 DEPTO ESCRITURAS fata\NOTARIA 2009\MAURICIO MARIN\SARA ROJAS LOTE 6 MZ. 5.doc", "Abrir Documento")</f>
        <v>0</v>
      </c>
      <c r="D11575" t="s">
        <v>23500</v>
      </c>
      <c r="E11575" t="s">
        <v>34050</v>
      </c>
    </row>
    <row r="11576" spans="1:5">
      <c r="A11576" t="s">
        <v>6</v>
      </c>
      <c r="B11576" t="s">
        <v>11581</v>
      </c>
      <c r="C11576">
        <f>HYPERLINK("C:\Users\franc\OneDrive\Documentos\MALENTIN KARIME\BANCO ESTADO\2012 DEPTO ESCRITURAS fata\NOTARIA 2009\MAURICIO MARIN\ROSA HIDALGO LOTE 3 MZ 2.doc", "Abrir Documento")</f>
        <v>0</v>
      </c>
      <c r="D11576" t="s">
        <v>23500</v>
      </c>
      <c r="E11576" t="s">
        <v>34051</v>
      </c>
    </row>
    <row r="11577" spans="1:5">
      <c r="A11577" t="s">
        <v>6</v>
      </c>
      <c r="B11577" t="s">
        <v>11582</v>
      </c>
      <c r="C11577">
        <f>HYPERLINK("C:\Users\franc\OneDrive\Documentos\MALENTIN KARIME\BANCO ESTADO\2012 DEPTO ESCRITURAS fata\NOTARIA 2009\MAURICIO MARIN\ROSA CORTES CORTES LOTE 13 MZ 2.doc", "Abrir Documento")</f>
        <v>0</v>
      </c>
      <c r="D11577" t="s">
        <v>23500</v>
      </c>
      <c r="E11577" t="s">
        <v>34052</v>
      </c>
    </row>
    <row r="11578" spans="1:5">
      <c r="A11578" t="s">
        <v>6</v>
      </c>
      <c r="B11578" t="s">
        <v>11583</v>
      </c>
      <c r="C11578">
        <f>HYPERLINK("C:\Users\franc\OneDrive\Documentos\MALENTIN KARIME\BANCO ESTADO\2012 DEPTO ESCRITURAS fata\NOTARIA 2009\MAURICIO MARIN\ROLANDO PASTEN LOTE 8 MZ 2.doc", "Abrir Documento")</f>
        <v>0</v>
      </c>
      <c r="D11578" t="s">
        <v>23500</v>
      </c>
      <c r="E11578" t="s">
        <v>34053</v>
      </c>
    </row>
    <row r="11579" spans="1:5">
      <c r="A11579" t="s">
        <v>6</v>
      </c>
      <c r="B11579" t="s">
        <v>11584</v>
      </c>
      <c r="C11579">
        <f>HYPERLINK("C:\Users\franc\OneDrive\Documentos\MALENTIN KARIME\BANCO ESTADO\2012 DEPTO ESCRITURAS fata\NOTARIA 2009\MAURICIO MARIN\RODRIGO MUNDACA SITIO 4 MZ. 3.doc", "Abrir Documento")</f>
        <v>0</v>
      </c>
      <c r="D11579" t="s">
        <v>23500</v>
      </c>
      <c r="E11579" t="s">
        <v>34054</v>
      </c>
    </row>
    <row r="11580" spans="1:5">
      <c r="A11580" t="s">
        <v>6</v>
      </c>
      <c r="B11580" t="s">
        <v>11585</v>
      </c>
      <c r="C11580">
        <f>HYPERLINK("C:\Users\franc\OneDrive\Documentos\MALENTIN KARIME\BANCO ESTADO\2012 DEPTO ESCRITURAS fata\NOTARIA 2009\MAURICIO MARIN\Pagare[1]  CONSTRUMART.doc", "Abrir Documento")</f>
        <v>0</v>
      </c>
      <c r="D11580" t="s">
        <v>23500</v>
      </c>
      <c r="E11580" t="s">
        <v>34055</v>
      </c>
    </row>
    <row r="11581" spans="1:5">
      <c r="A11581" t="s">
        <v>6</v>
      </c>
      <c r="B11581" t="s">
        <v>11586</v>
      </c>
      <c r="C11581">
        <f>HYPERLINK("C:\Users\franc\OneDrive\Documentos\MALENTIN KARIME\BANCO ESTADO\2012 DEPTO ESCRITURAS fata\NOTARIA 2009\MAURICIO MARIN\MODELO CON SUBSIDIO.doc", "Abrir Documento")</f>
        <v>0</v>
      </c>
      <c r="D11581" t="s">
        <v>23500</v>
      </c>
      <c r="E11581" t="s">
        <v>34056</v>
      </c>
    </row>
    <row r="11582" spans="1:5">
      <c r="A11582" t="s">
        <v>6</v>
      </c>
      <c r="B11582" t="s">
        <v>11587</v>
      </c>
      <c r="C11582">
        <f>HYPERLINK("C:\Users\franc\OneDrive\Documentos\MALENTIN KARIME\BANCO ESTADO\2012 DEPTO ESCRITURAS fata\NOTARIA 2009\MAURICIO MARIN\MODELO CAMPO LINDO SIN SUBSIDIO.doc", "Abrir Documento")</f>
        <v>0</v>
      </c>
      <c r="D11582" t="s">
        <v>23500</v>
      </c>
      <c r="E11582" t="s">
        <v>34057</v>
      </c>
    </row>
    <row r="11583" spans="1:5">
      <c r="A11583" t="s">
        <v>6</v>
      </c>
      <c r="B11583" t="s">
        <v>11588</v>
      </c>
      <c r="C11583">
        <f>HYPERLINK("C:\Users\franc\OneDrive\Documentos\MALENTIN KARIME\BANCO ESTADO\2012 DEPTO ESCRITURAS fata\NOTARIA 2009\MAURICIO MARIN\MARITZA TIRADO LOTE 2 MZ 5.doc", "Abrir Documento")</f>
        <v>0</v>
      </c>
      <c r="D11583" t="s">
        <v>23500</v>
      </c>
      <c r="E11583" t="s">
        <v>34058</v>
      </c>
    </row>
    <row r="11584" spans="1:5">
      <c r="A11584" t="s">
        <v>6</v>
      </c>
      <c r="B11584" t="s">
        <v>11589</v>
      </c>
      <c r="C11584">
        <f>HYPERLINK("C:\Users\franc\OneDrive\Documentos\MALENTIN KARIME\BANCO ESTADO\2012 DEPTO ESCRITURAS fata\NOTARIA 2009\MAURICIO MARIN\MARIANELA PARRA LOTE 4 MZ 5.doc", "Abrir Documento")</f>
        <v>0</v>
      </c>
      <c r="D11584" t="s">
        <v>23500</v>
      </c>
      <c r="E11584" t="s">
        <v>34059</v>
      </c>
    </row>
    <row r="11585" spans="1:5">
      <c r="A11585" t="s">
        <v>6</v>
      </c>
      <c r="B11585" t="s">
        <v>11590</v>
      </c>
      <c r="C11585">
        <f>HYPERLINK("C:\Users\franc\OneDrive\Documentos\MALENTIN KARIME\BANCO ESTADO\2012 DEPTO ESCRITURAS fata\NOTARIA 2009\MAURICIO MARIN\MARIA ARREDONDO LOTE 6 MZ 2.doc", "Abrir Documento")</f>
        <v>0</v>
      </c>
      <c r="D11585" t="s">
        <v>23500</v>
      </c>
      <c r="E11585" t="s">
        <v>34060</v>
      </c>
    </row>
    <row r="11586" spans="1:5">
      <c r="A11586" t="s">
        <v>6</v>
      </c>
      <c r="B11586" t="s">
        <v>11591</v>
      </c>
      <c r="C11586">
        <f>HYPERLINK("C:\Users\franc\OneDrive\Documentos\MALENTIN KARIME\BANCO ESTADO\2012 DEPTO ESCRITURAS fata\NOTARIA 2009\MAURICIO MARIN\MARGARITA CARVAJAL LOTE 12 MZ 2.doc", "Abrir Documento")</f>
        <v>0</v>
      </c>
      <c r="D11586" t="s">
        <v>23500</v>
      </c>
      <c r="E11586" t="s">
        <v>34061</v>
      </c>
    </row>
    <row r="11587" spans="1:5">
      <c r="A11587" t="s">
        <v>6</v>
      </c>
      <c r="B11587" t="s">
        <v>11592</v>
      </c>
      <c r="C11587">
        <f>HYPERLINK("C:\Users\franc\OneDrive\Documentos\MALENTIN KARIME\BANCO ESTADO\2012 DEPTO ESCRITURAS fata\NOTARIA 2009\MAURICIO MARIN\MARCOS MOYA LOTE 1 MZ. 5.doc", "Abrir Documento")</f>
        <v>0</v>
      </c>
      <c r="D11587" t="s">
        <v>23500</v>
      </c>
      <c r="E11587" t="s">
        <v>34062</v>
      </c>
    </row>
    <row r="11588" spans="1:5">
      <c r="A11588" t="s">
        <v>6</v>
      </c>
      <c r="B11588" t="s">
        <v>11593</v>
      </c>
      <c r="C11588">
        <f>HYPERLINK("C:\Users\franc\OneDrive\Documentos\MALENTIN KARIME\BANCO ESTADO\2012 DEPTO ESCRITURAS fata\NOTARIA 2009\MAURICIO MARIN\MANUELA ROBLES LOTE 2 MZ. 2.doc", "Abrir Documento")</f>
        <v>0</v>
      </c>
      <c r="D11588" t="s">
        <v>23500</v>
      </c>
      <c r="E11588" t="s">
        <v>34063</v>
      </c>
    </row>
    <row r="11589" spans="1:5">
      <c r="A11589" t="s">
        <v>6</v>
      </c>
      <c r="B11589" t="s">
        <v>11594</v>
      </c>
      <c r="C11589">
        <f>HYPERLINK("C:\Users\franc\OneDrive\Documentos\MALENTIN KARIME\BANCO ESTADO\2012 DEPTO ESCRITURAS fata\NOTARIA 2009\MAURICIO MARIN\MANUEL CORTES SITIO 5 MZ 3.doc", "Abrir Documento")</f>
        <v>0</v>
      </c>
      <c r="D11589" t="s">
        <v>23500</v>
      </c>
      <c r="E11589" t="s">
        <v>34064</v>
      </c>
    </row>
    <row r="11590" spans="1:5">
      <c r="A11590" t="s">
        <v>6</v>
      </c>
      <c r="B11590" t="s">
        <v>11595</v>
      </c>
      <c r="C11590">
        <f>HYPERLINK("C:\Users\franc\OneDrive\Documentos\MALENTIN KARIME\BANCO ESTADO\2012 DEPTO ESCRITURAS fata\NOTARIA 2009\MAURICIO MARIN\MANUEL CORTES LOTE 5 MZ. 2.doc", "Abrir Documento")</f>
        <v>0</v>
      </c>
      <c r="D11590" t="s">
        <v>23500</v>
      </c>
      <c r="E11590" t="s">
        <v>34065</v>
      </c>
    </row>
    <row r="11591" spans="1:5">
      <c r="A11591" t="s">
        <v>6</v>
      </c>
      <c r="B11591" t="s">
        <v>11596</v>
      </c>
      <c r="C11591">
        <f>HYPERLINK("C:\Users\franc\OneDrive\Documentos\MALENTIN KARIME\BANCO ESTADO\2012 DEPTO ESCRITURAS fata\NOTARIA 2009\MAURICIO MARIN\MANUEL CARVAJAL.doc", "Abrir Documento")</f>
        <v>0</v>
      </c>
      <c r="D11591" t="s">
        <v>23500</v>
      </c>
      <c r="E11591" t="s">
        <v>34066</v>
      </c>
    </row>
    <row r="11592" spans="1:5">
      <c r="A11592" t="s">
        <v>6</v>
      </c>
      <c r="B11592" t="s">
        <v>11597</v>
      </c>
      <c r="C11592">
        <f>HYPERLINK("C:\Users\franc\OneDrive\Documentos\MALENTIN KARIME\BANCO ESTADO\2012 DEPTO ESCRITURAS fata\NOTARIA 2009\MAURICIO MARIN\LUIS CORTES LOTE 1 MZ 1.doc", "Abrir Documento")</f>
        <v>0</v>
      </c>
      <c r="D11592" t="s">
        <v>23500</v>
      </c>
      <c r="E11592" t="s">
        <v>34067</v>
      </c>
    </row>
    <row r="11593" spans="1:5">
      <c r="A11593" t="s">
        <v>6</v>
      </c>
      <c r="B11593" t="s">
        <v>11598</v>
      </c>
      <c r="C11593">
        <f>HYPERLINK("C:\Users\franc\OneDrive\Documentos\MALENTIN KARIME\BANCO ESTADO\2012 DEPTO ESCRITURAS fata\NOTARIA 2009\MAURICIO MARIN\JUANA ANTIVILO LOTE 9 MZ 2.doc", "Abrir Documento")</f>
        <v>0</v>
      </c>
      <c r="D11593" t="s">
        <v>23500</v>
      </c>
      <c r="E11593" t="s">
        <v>34068</v>
      </c>
    </row>
    <row r="11594" spans="1:5">
      <c r="A11594" t="s">
        <v>6</v>
      </c>
      <c r="B11594" t="s">
        <v>11599</v>
      </c>
      <c r="C11594">
        <f>HYPERLINK("C:\Users\franc\OneDrive\Documentos\MALENTIN KARIME\BANCO ESTADO\2012 DEPTO ESCRITURAS fata\NOTARIA 2009\MAURICIO MARIN\ISOLINA ROBLE SITIO 3 MZ. 3.doc", "Abrir Documento")</f>
        <v>0</v>
      </c>
      <c r="D11594" t="s">
        <v>23500</v>
      </c>
      <c r="E11594" t="s">
        <v>34069</v>
      </c>
    </row>
    <row r="11595" spans="1:5">
      <c r="A11595" t="s">
        <v>6</v>
      </c>
      <c r="B11595" t="s">
        <v>11600</v>
      </c>
      <c r="C11595">
        <f>HYPERLINK("C:\Users\franc\OneDrive\Documentos\MALENTIN KARIME\BANCO ESTADO\2012 DEPTO ESCRITURAS fata\NOTARIA 2009\MAURICIO MARIN\HUGO CORTES SITIO 6 MZ 3.doc", "Abrir Documento")</f>
        <v>0</v>
      </c>
      <c r="D11595" t="s">
        <v>23500</v>
      </c>
      <c r="E11595" t="s">
        <v>34070</v>
      </c>
    </row>
    <row r="11596" spans="1:5">
      <c r="A11596" t="s">
        <v>6</v>
      </c>
      <c r="B11596" t="s">
        <v>11601</v>
      </c>
      <c r="C11596">
        <f>HYPERLINK("C:\Users\franc\OneDrive\Documentos\MALENTIN KARIME\BANCO ESTADO\2012 DEPTO ESCRITURAS fata\NOTARIA 2009\MAURICIO MARIN\HUGO ARAYA LOTE 1 mz 2.doc", "Abrir Documento")</f>
        <v>0</v>
      </c>
      <c r="D11596" t="s">
        <v>23500</v>
      </c>
      <c r="E11596" t="s">
        <v>34071</v>
      </c>
    </row>
    <row r="11597" spans="1:5">
      <c r="A11597" t="s">
        <v>6</v>
      </c>
      <c r="B11597" t="s">
        <v>11602</v>
      </c>
      <c r="C11597">
        <f>HYPERLINK("C:\Users\franc\OneDrive\Documentos\MALENTIN KARIME\BANCO ESTADO\2012 DEPTO ESCRITURAS fata\NOTARIA 2009\MAURICIO MARIN\HERNAN CERDA LOTE 5 MZ. 1.doc", "Abrir Documento")</f>
        <v>0</v>
      </c>
      <c r="D11597" t="s">
        <v>23500</v>
      </c>
      <c r="E11597" t="s">
        <v>34072</v>
      </c>
    </row>
    <row r="11598" spans="1:5">
      <c r="A11598" t="s">
        <v>6</v>
      </c>
      <c r="B11598" t="s">
        <v>11603</v>
      </c>
      <c r="C11598">
        <f>HYPERLINK("C:\Users\franc\OneDrive\Documentos\MALENTIN KARIME\BANCO ESTADO\2012 DEPTO ESCRITURAS fata\NOTARIA 2009\MAURICIO MARIN\FRESIA SAAVEDRA SITIO1 MZ. 3.doc", "Abrir Documento")</f>
        <v>0</v>
      </c>
      <c r="D11598" t="s">
        <v>23500</v>
      </c>
      <c r="E11598" t="s">
        <v>34073</v>
      </c>
    </row>
    <row r="11599" spans="1:5">
      <c r="A11599" t="s">
        <v>6</v>
      </c>
      <c r="B11599" t="s">
        <v>11604</v>
      </c>
      <c r="C11599">
        <f>HYPERLINK("C:\Users\franc\OneDrive\Documentos\MALENTIN KARIME\BANCO ESTADO\2012 DEPTO ESCRITURAS fata\NOTARIA 2009\MAURICIO MARIN\FREDDY TORO  LOTE 4 MZ. 4.doc", "Abrir Documento")</f>
        <v>0</v>
      </c>
      <c r="D11599" t="s">
        <v>23500</v>
      </c>
      <c r="E11599" t="s">
        <v>34074</v>
      </c>
    </row>
    <row r="11600" spans="1:5">
      <c r="A11600" t="s">
        <v>6</v>
      </c>
      <c r="B11600" t="s">
        <v>11605</v>
      </c>
      <c r="C11600">
        <f>HYPERLINK("C:\Users\franc\OneDrive\Documentos\MALENTIN KARIME\BANCO ESTADO\2012 DEPTO ESCRITURAS fata\NOTARIA 2009\MAURICIO MARIN\FELISA ARAYA BAHAMONDES LOTE 4 MZ. 1.doc", "Abrir Documento")</f>
        <v>0</v>
      </c>
      <c r="D11600" t="s">
        <v>23500</v>
      </c>
      <c r="E11600" t="s">
        <v>34075</v>
      </c>
    </row>
    <row r="11601" spans="1:5">
      <c r="A11601" t="s">
        <v>6</v>
      </c>
      <c r="B11601" t="s">
        <v>11606</v>
      </c>
      <c r="C11601">
        <f>HYPERLINK("C:\Users\franc\OneDrive\Documentos\MALENTIN KARIME\BANCO ESTADO\2012 DEPTO ESCRITURAS fata\NOTARIA 2009\MAURICIO MARIN\ERIC BARRAZA LOTE 5 MZ. 4.doc", "Abrir Documento")</f>
        <v>0</v>
      </c>
      <c r="D11601" t="s">
        <v>23500</v>
      </c>
      <c r="E11601" t="s">
        <v>34076</v>
      </c>
    </row>
    <row r="11602" spans="1:5">
      <c r="A11602" t="s">
        <v>6</v>
      </c>
      <c r="B11602" t="s">
        <v>11607</v>
      </c>
      <c r="C11602">
        <f>HYPERLINK("C:\Users\franc\OneDrive\Documentos\MALENTIN KARIME\BANCO ESTADO\2012 DEPTO ESCRITURAS fata\NOTARIA 2009\MAURICIO MARIN\EMA ARAYA LOTE 5 MZ. 5.doc", "Abrir Documento")</f>
        <v>0</v>
      </c>
      <c r="D11602" t="s">
        <v>23500</v>
      </c>
      <c r="E11602" t="s">
        <v>34077</v>
      </c>
    </row>
    <row r="11603" spans="1:5">
      <c r="A11603" t="s">
        <v>6</v>
      </c>
      <c r="B11603" t="s">
        <v>11608</v>
      </c>
      <c r="C11603">
        <f>HYPERLINK("C:\Users\franc\OneDrive\Documentos\MALENTIN KARIME\BANCO ESTADO\2012 DEPTO ESCRITURAS fata\NOTARIA 2009\MAURICIO MARIN\ELMO BARRAZA LOTE 2 MZ 1.doc", "Abrir Documento")</f>
        <v>0</v>
      </c>
      <c r="D11603" t="s">
        <v>23500</v>
      </c>
      <c r="E11603" t="s">
        <v>34078</v>
      </c>
    </row>
    <row r="11604" spans="1:5">
      <c r="A11604" t="s">
        <v>6</v>
      </c>
      <c r="B11604" t="s">
        <v>11609</v>
      </c>
      <c r="C11604">
        <f>HYPERLINK("C:\Users\franc\OneDrive\Documentos\MALENTIN KARIME\BANCO ESTADO\2012 DEPTO ESCRITURAS fata\NOTARIA 2009\MAURICIO MARIN\ELISEO BARRAZA LOTE 14 MZ 2.doc", "Abrir Documento")</f>
        <v>0</v>
      </c>
      <c r="D11604" t="s">
        <v>23500</v>
      </c>
      <c r="E11604" t="s">
        <v>34079</v>
      </c>
    </row>
    <row r="11605" spans="1:5">
      <c r="A11605" t="s">
        <v>6</v>
      </c>
      <c r="B11605" t="s">
        <v>11610</v>
      </c>
      <c r="C11605">
        <f>HYPERLINK("C:\Users\franc\OneDrive\Documentos\MALENTIN KARIME\BANCO ESTADO\2012 DEPTO ESCRITURAS fata\NOTARIA 2009\MAURICIO MARIN\DUVITZA DELGADO LOTE 7 MZ 2.doc", "Abrir Documento")</f>
        <v>0</v>
      </c>
      <c r="D11605" t="s">
        <v>23500</v>
      </c>
      <c r="E11605" t="s">
        <v>34080</v>
      </c>
    </row>
    <row r="11606" spans="1:5">
      <c r="A11606" t="s">
        <v>6</v>
      </c>
      <c r="B11606" t="s">
        <v>11611</v>
      </c>
      <c r="C11606">
        <f>HYPERLINK("C:\Users\franc\OneDrive\Documentos\MALENTIN KARIME\BANCO ESTADO\2012 DEPTO ESCRITURAS fata\NOTARIA 2009\MAURICIO MARIN\DIAMANTINA ALUCEMA LOTE 3 MZ 1.doc", "Abrir Documento")</f>
        <v>0</v>
      </c>
      <c r="D11606" t="s">
        <v>23500</v>
      </c>
      <c r="E11606" t="s">
        <v>34081</v>
      </c>
    </row>
    <row r="11607" spans="1:5">
      <c r="A11607" t="s">
        <v>6</v>
      </c>
      <c r="B11607" t="s">
        <v>11612</v>
      </c>
      <c r="C11607">
        <f>HYPERLINK("C:\Users\franc\OneDrive\Documentos\MALENTIN KARIME\BANCO ESTADO\2012 DEPTO ESCRITURAS fata\NOTARIA 2009\MAURICIO MARIN\DALIBOR ARAYA PIÑONES SITIO 2 MZ 3.doc", "Abrir Documento")</f>
        <v>0</v>
      </c>
      <c r="D11607" t="s">
        <v>23500</v>
      </c>
      <c r="E11607" t="s">
        <v>34082</v>
      </c>
    </row>
    <row r="11608" spans="1:5">
      <c r="A11608" t="s">
        <v>6</v>
      </c>
      <c r="B11608" t="s">
        <v>11613</v>
      </c>
      <c r="C11608">
        <f>HYPERLINK("C:\Users\franc\OneDrive\Documentos\MALENTIN KARIME\BANCO ESTADO\2012 DEPTO ESCRITURAS fata\NOTARIA 2009\MAURICIO MARIN\CONTRATO DE CONSTRUCCION.doc", "Abrir Documento")</f>
        <v>0</v>
      </c>
      <c r="D11608" t="s">
        <v>23500</v>
      </c>
      <c r="E11608" t="s">
        <v>34083</v>
      </c>
    </row>
    <row r="11609" spans="1:5">
      <c r="A11609" t="s">
        <v>6</v>
      </c>
      <c r="B11609" t="s">
        <v>11614</v>
      </c>
      <c r="C11609">
        <f>HYPERLINK("C:\Users\franc\OneDrive\Documentos\MALENTIN KARIME\BANCO ESTADO\2012 DEPTO ESCRITURAS fata\NOTARIA 2009\MAURICIO MARIN\CESAR MUNDACA LOTE 3  MZ 5.doc", "Abrir Documento")</f>
        <v>0</v>
      </c>
      <c r="D11609" t="s">
        <v>23500</v>
      </c>
      <c r="E11609" t="s">
        <v>34084</v>
      </c>
    </row>
    <row r="11610" spans="1:5">
      <c r="A11610" t="s">
        <v>6</v>
      </c>
      <c r="B11610" t="s">
        <v>11615</v>
      </c>
      <c r="C11610">
        <f>HYPERLINK("C:\Users\franc\OneDrive\Documentos\MALENTIN KARIME\BANCO ESTADO\2012 DEPTO ESCRITURAS fata\NOTARIA 2009\MAURICIO MARIN\ARCHIVALDO CORTES LOTE 11 MZ 2.doc", "Abrir Documento")</f>
        <v>0</v>
      </c>
      <c r="D11610" t="s">
        <v>23500</v>
      </c>
      <c r="E11610" t="s">
        <v>34085</v>
      </c>
    </row>
    <row r="11611" spans="1:5">
      <c r="A11611" t="s">
        <v>6</v>
      </c>
      <c r="B11611" t="s">
        <v>11616</v>
      </c>
      <c r="C11611">
        <f>HYPERLINK("C:\Users\franc\OneDrive\Documentos\MALENTIN KARIME\BANCO ESTADO\2012 DEPTO ESCRITURAS fata\NOTARIA 2009\MAURICIO MARIN\ANA VILLAR  LOTE 1 MZ. 4.doc", "Abrir Documento")</f>
        <v>0</v>
      </c>
      <c r="D11611" t="s">
        <v>23500</v>
      </c>
      <c r="E11611" t="s">
        <v>34086</v>
      </c>
    </row>
    <row r="11612" spans="1:5">
      <c r="A11612" t="s">
        <v>6</v>
      </c>
      <c r="B11612" t="s">
        <v>11617</v>
      </c>
      <c r="C11612">
        <f>HYPERLINK("C:\Users\franc\OneDrive\Documentos\MALENTIN KARIME\BANCO ESTADO\2012 DEPTO ESCRITURAS fata\NOTARIA 2009\MAURICIO MARIN\amado lazo lote 6  mz 1.doc", "Abrir Documento")</f>
        <v>0</v>
      </c>
      <c r="D11612" t="s">
        <v>23500</v>
      </c>
      <c r="E11612" t="s">
        <v>34087</v>
      </c>
    </row>
    <row r="11613" spans="1:5">
      <c r="A11613" t="s">
        <v>6</v>
      </c>
      <c r="B11613" t="s">
        <v>11618</v>
      </c>
      <c r="C11613">
        <f>HYPERLINK("C:\Users\franc\OneDrive\Documentos\MALENTIN KARIME\BANCO ESTADO\2012 DEPTO ESCRITURAS fata\NOTARIA 2009\MAURICIO MARIN\ALEXIS MOYA SITIO 2 MZ 4.doc", "Abrir Documento")</f>
        <v>0</v>
      </c>
      <c r="D11613" t="s">
        <v>23500</v>
      </c>
      <c r="E11613" t="s">
        <v>34088</v>
      </c>
    </row>
    <row r="11614" spans="1:5">
      <c r="A11614" t="s">
        <v>6</v>
      </c>
      <c r="B11614" t="s">
        <v>11619</v>
      </c>
      <c r="C11614">
        <f>HYPERLINK("C:\Users\franc\OneDrive\Documentos\MALENTIN KARIME\BANCO ESTADO\2012 DEPTO ESCRITURAS fata\NOTARIA 2009\MAURICIO MARIN\ALEJANDRO LAZO LOTE 10 MZ 2.doc", "Abrir Documento")</f>
        <v>0</v>
      </c>
      <c r="D11614" t="s">
        <v>23500</v>
      </c>
      <c r="E11614" t="s">
        <v>34089</v>
      </c>
    </row>
    <row r="11615" spans="1:5">
      <c r="A11615" t="s">
        <v>6</v>
      </c>
      <c r="B11615" t="s">
        <v>11620</v>
      </c>
      <c r="C11615">
        <f>HYPERLINK("C:\Users\franc\OneDrive\Documentos\MALENTIN KARIME\BANCO ESTADO\2012 DEPTO ESCRITURAS fata\NOTARIA 2009\MATRICES INSTRUMENTOS PRIVADOS\VEHICULOS\CONTRATO VEHICULO.doc", "Abrir Documento")</f>
        <v>0</v>
      </c>
      <c r="D11615" t="s">
        <v>23500</v>
      </c>
      <c r="E11615" t="s">
        <v>34090</v>
      </c>
    </row>
    <row r="11616" spans="1:5">
      <c r="A11616" t="s">
        <v>6</v>
      </c>
      <c r="B11616" t="s">
        <v>11621</v>
      </c>
      <c r="C11616">
        <f>HYPERLINK("C:\Users\franc\OneDrive\Documentos\MALENTIN KARIME\BANCO ESTADO\2012 DEPTO ESCRITURAS fata\NOTARIA 2009\MATRICES INSTRUMENTOS PRIVADOS\VEHICULOS\CONTRATO VEHICULO x.doc", "Abrir Documento")</f>
        <v>0</v>
      </c>
      <c r="D11616" t="s">
        <v>23500</v>
      </c>
      <c r="E11616" t="s">
        <v>34091</v>
      </c>
    </row>
    <row r="11617" spans="1:5">
      <c r="A11617" t="s">
        <v>6</v>
      </c>
      <c r="B11617" t="s">
        <v>11622</v>
      </c>
      <c r="C11617">
        <f>HYPERLINK("C:\Users\franc\OneDrive\Documentos\MALENTIN KARIME\BANCO ESTADO\2012 DEPTO ESCRITURAS fata\NOTARIA 2009\MATRICES INSTRUMENTOS PRIVADOS\VEHICULOS\COMPRAVENTA.doc", "Abrir Documento")</f>
        <v>0</v>
      </c>
      <c r="D11617" t="s">
        <v>23500</v>
      </c>
      <c r="E11617" t="s">
        <v>34092</v>
      </c>
    </row>
    <row r="11618" spans="1:5">
      <c r="A11618" t="s">
        <v>6</v>
      </c>
      <c r="B11618" t="s">
        <v>11623</v>
      </c>
      <c r="C11618">
        <f>HYPERLINK("C:\Users\franc\OneDrive\Documentos\MALENTIN KARIME\BANCO ESTADO\2012 DEPTO ESCRITURAS fata\NOTARIA 2009\MATRICES INSTRUMENTOS PRIVADOS\VEHICULOS\COMPRAVENTA VEHICULO CON LETRAS.doc", "Abrir Documento")</f>
        <v>0</v>
      </c>
      <c r="D11618" t="s">
        <v>23500</v>
      </c>
      <c r="E11618" t="s">
        <v>34093</v>
      </c>
    </row>
    <row r="11619" spans="1:5">
      <c r="A11619" t="s">
        <v>6</v>
      </c>
      <c r="B11619" t="s">
        <v>11624</v>
      </c>
      <c r="C11619">
        <f>HYPERLINK("C:\Users\franc\OneDrive\Documentos\MALENTIN KARIME\BANCO ESTADO\2012 DEPTO ESCRITURAS fata\NOTARIA 2009\MATRICES INSTRUMENTOS PRIVADOS\VEHICULOS\COMPRAVENTA 13-3.doc", "Abrir Documento")</f>
        <v>0</v>
      </c>
      <c r="D11619" t="s">
        <v>23500</v>
      </c>
      <c r="E11619" t="s">
        <v>34094</v>
      </c>
    </row>
    <row r="11620" spans="1:5">
      <c r="A11620" t="s">
        <v>6</v>
      </c>
      <c r="B11620" t="s">
        <v>11625</v>
      </c>
      <c r="C11620">
        <f>HYPERLINK("C:\Users\franc\OneDrive\Documentos\MALENTIN KARIME\BANCO ESTADO\2012 DEPTO ESCRITURAS fata\NOTARIA 2009\MATRICES INSTRUMENTOS PRIVADOS\VEHICULOS\COMPRAVENTA 02.doc", "Abrir Documento")</f>
        <v>0</v>
      </c>
      <c r="D11620" t="s">
        <v>23500</v>
      </c>
      <c r="E11620" t="s">
        <v>34095</v>
      </c>
    </row>
    <row r="11621" spans="1:5">
      <c r="A11621" t="s">
        <v>6</v>
      </c>
      <c r="B11621" t="s">
        <v>11626</v>
      </c>
      <c r="C11621">
        <f>HYPERLINK("C:\Users\franc\OneDrive\Documentos\MALENTIN KARIME\BANCO ESTADO\2012 DEPTO ESCRITURAS fata\NOTARIA 2009\MATRICES INSTRUMENTOS PRIVADOS\VEHICULOS\BASE VEHICULOS.doc", "Abrir Documento")</f>
        <v>0</v>
      </c>
      <c r="D11621" t="s">
        <v>23500</v>
      </c>
      <c r="E11621" t="s">
        <v>34096</v>
      </c>
    </row>
    <row r="11622" spans="1:5">
      <c r="A11622" t="s">
        <v>6</v>
      </c>
      <c r="B11622" t="s">
        <v>11627</v>
      </c>
      <c r="C11622">
        <f>HYPERLINK("C:\Users\franc\OneDrive\Documentos\MALENTIN KARIME\BANCO ESTADO\2012 DEPTO ESCRITURAS fata\NOTARIA 2009\MATRICES INSTRUMENTOS PRIVADOS\varios\PAGARES\PAGARE A PLAZO.doc", "Abrir Documento")</f>
        <v>0</v>
      </c>
      <c r="D11622" t="s">
        <v>23500</v>
      </c>
      <c r="E11622" t="s">
        <v>34097</v>
      </c>
    </row>
    <row r="11623" spans="1:5">
      <c r="A11623" t="s">
        <v>6</v>
      </c>
      <c r="B11623" t="s">
        <v>11628</v>
      </c>
      <c r="C11623">
        <f>HYPERLINK("C:\Users\franc\OneDrive\Documentos\MALENTIN KARIME\BANCO ESTADO\2012 DEPTO ESCRITURAS fata\NOTARIA 2009\MATRICES INSTRUMENTOS PRIVADOS\varios\VARIOS.doc", "Abrir Documento")</f>
        <v>0</v>
      </c>
      <c r="D11623" t="s">
        <v>23500</v>
      </c>
      <c r="E11623" t="s">
        <v>34098</v>
      </c>
    </row>
    <row r="11624" spans="1:5">
      <c r="A11624" t="s">
        <v>6</v>
      </c>
      <c r="B11624" t="s">
        <v>11629</v>
      </c>
      <c r="C11624">
        <f>HYPERLINK("C:\Users\franc\OneDrive\Documentos\MALENTIN KARIME\BANCO ESTADO\2012 DEPTO ESCRITURAS fata\NOTARIA 2009\MATRICES INSTRUMENTOS PRIVADOS\varios\timbraje.cabrera..doc", "Abrir Documento")</f>
        <v>0</v>
      </c>
      <c r="D11624" t="s">
        <v>23500</v>
      </c>
      <c r="E11624" t="s">
        <v>34099</v>
      </c>
    </row>
    <row r="11625" spans="1:5">
      <c r="A11625" t="s">
        <v>6</v>
      </c>
      <c r="B11625" t="s">
        <v>11630</v>
      </c>
      <c r="C11625">
        <f>HYPERLINK("C:\Users\franc\OneDrive\Documentos\MALENTIN KARIME\BANCO ESTADO\2012 DEPTO ESCRITURAS fata\NOTARIA 2009\MATRICES INSTRUMENTOS PRIVADOS\varios\Siniestro Pichidangui para el seguro 03-08-04.doc", "Abrir Documento")</f>
        <v>0</v>
      </c>
      <c r="D11625" t="s">
        <v>23500</v>
      </c>
      <c r="E11625" t="s">
        <v>34100</v>
      </c>
    </row>
    <row r="11626" spans="1:5">
      <c r="A11626" t="s">
        <v>6</v>
      </c>
      <c r="B11626" t="s">
        <v>11631</v>
      </c>
      <c r="C11626">
        <f>HYPERLINK("C:\Users\franc\OneDrive\Documentos\MALENTIN KARIME\BANCO ESTADO\2012 DEPTO ESCRITURAS fata\NOTARIA 2009\MATRICES INSTRUMENTOS PRIVADOS\varios\REPERTORIO Nº.doc", "Abrir Documento")</f>
        <v>0</v>
      </c>
      <c r="D11626" t="s">
        <v>23500</v>
      </c>
      <c r="E11626" t="s">
        <v>34101</v>
      </c>
    </row>
    <row r="11627" spans="1:5">
      <c r="A11627" t="s">
        <v>6</v>
      </c>
      <c r="B11627" t="s">
        <v>11632</v>
      </c>
      <c r="C11627">
        <f>HYPERLINK("C:\Users\franc\OneDrive\Documentos\MALENTIN KARIME\BANCO ESTADO\2012 DEPTO ESCRITURAS fata\NOTARIA 2009\MATRICES INSTRUMENTOS PRIVADOS\varios\REP AUTOS.xls", "Abrir Documento")</f>
        <v>0</v>
      </c>
      <c r="D11627" t="s">
        <v>23500</v>
      </c>
      <c r="E11627" t="s">
        <v>34102</v>
      </c>
    </row>
    <row r="11628" spans="1:5">
      <c r="A11628" t="s">
        <v>6</v>
      </c>
      <c r="B11628" t="s">
        <v>11633</v>
      </c>
      <c r="C11628">
        <f>HYPERLINK("C:\Users\franc\OneDrive\Documentos\MALENTIN KARIME\BANCO ESTADO\2012 DEPTO ESCRITURAS fata\NOTARIA 2009\MATRICES INSTRUMENTOS PRIVADOS\varios\REGISTRO DE INSTRUMENTOS PUBLICOS.doc", "Abrir Documento")</f>
        <v>0</v>
      </c>
      <c r="D11628" t="s">
        <v>23500</v>
      </c>
      <c r="E11628" t="s">
        <v>34103</v>
      </c>
    </row>
    <row r="11629" spans="1:5">
      <c r="A11629" t="s">
        <v>6</v>
      </c>
      <c r="B11629" t="s">
        <v>11634</v>
      </c>
      <c r="C11629">
        <f>HYPERLINK("C:\Users\franc\OneDrive\Documentos\MALENTIN KARIME\BANCO ESTADO\2012 DEPTO ESCRITURAS fata\NOTARIA 2009\MATRICES INSTRUMENTOS PRIVADOS\varios\RECIBO DOCUMENTO.doc", "Abrir Documento")</f>
        <v>0</v>
      </c>
      <c r="D11629" t="s">
        <v>23500</v>
      </c>
      <c r="E11629" t="s">
        <v>34104</v>
      </c>
    </row>
    <row r="11630" spans="1:5">
      <c r="A11630" t="s">
        <v>6</v>
      </c>
      <c r="B11630" t="s">
        <v>11635</v>
      </c>
      <c r="C11630">
        <f>HYPERLINK("C:\Users\franc\OneDrive\Documentos\MALENTIN KARIME\BANCO ESTADO\2012 DEPTO ESCRITURAS fata\NOTARIA 2009\MATRICES INSTRUMENTOS PRIVADOS\varios\Recibo de dinero.doc", "Abrir Documento")</f>
        <v>0</v>
      </c>
      <c r="D11630" t="s">
        <v>23500</v>
      </c>
      <c r="E11630" t="s">
        <v>34105</v>
      </c>
    </row>
    <row r="11631" spans="1:5">
      <c r="A11631" t="s">
        <v>6</v>
      </c>
      <c r="B11631" t="s">
        <v>11636</v>
      </c>
      <c r="C11631">
        <f>HYPERLINK("C:\Users\franc\OneDrive\Documentos\MALENTIN KARIME\BANCO ESTADO\2012 DEPTO ESCRITURAS fata\NOTARIA 2009\MATRICES INSTRUMENTOS PRIVADOS\varios\protesto..doc", "Abrir Documento")</f>
        <v>0</v>
      </c>
      <c r="D11631" t="s">
        <v>23500</v>
      </c>
      <c r="E11631" t="s">
        <v>34106</v>
      </c>
    </row>
    <row r="11632" spans="1:5">
      <c r="A11632" t="s">
        <v>6</v>
      </c>
      <c r="B11632" t="s">
        <v>11637</v>
      </c>
      <c r="C11632">
        <f>HYPERLINK("C:\Users\franc\OneDrive\Documentos\MALENTIN KARIME\BANCO ESTADO\2012 DEPTO ESCRITURAS fata\NOTARIA 2009\MATRICES INSTRUMENTOS PRIVADOS\varios\Postulación.doc", "Abrir Documento")</f>
        <v>0</v>
      </c>
      <c r="D11632" t="s">
        <v>23500</v>
      </c>
      <c r="E11632" t="s">
        <v>34107</v>
      </c>
    </row>
    <row r="11633" spans="1:5">
      <c r="A11633" t="s">
        <v>6</v>
      </c>
      <c r="B11633" t="s">
        <v>11638</v>
      </c>
      <c r="C11633">
        <f>HYPERLINK("C:\Users\franc\OneDrive\Documentos\MALENTIN KARIME\BANCO ESTADO\2012 DEPTO ESCRITURAS fata\NOTARIA 2009\MATRICES INSTRUMENTOS PRIVADOS\varios\Plantilla.doc", "Abrir Documento")</f>
        <v>0</v>
      </c>
      <c r="D11633" t="s">
        <v>23500</v>
      </c>
      <c r="E11633" t="s">
        <v>34108</v>
      </c>
    </row>
    <row r="11634" spans="1:5">
      <c r="A11634" t="s">
        <v>6</v>
      </c>
      <c r="B11634" t="s">
        <v>11639</v>
      </c>
      <c r="C11634">
        <f>HYPERLINK("C:\Users\franc\OneDrive\Documentos\MALENTIN KARIME\BANCO ESTADO\2012 DEPTO ESCRITURAS fata\NOTARIA 2009\MATRICES INSTRUMENTOS PRIVADOS\varios\permiso Notario.doc", "Abrir Documento")</f>
        <v>0</v>
      </c>
      <c r="D11634" t="s">
        <v>23500</v>
      </c>
      <c r="E11634" t="s">
        <v>34109</v>
      </c>
    </row>
    <row r="11635" spans="1:5">
      <c r="A11635" t="s">
        <v>6</v>
      </c>
      <c r="B11635" t="s">
        <v>11640</v>
      </c>
      <c r="C11635">
        <f>HYPERLINK("C:\Users\franc\OneDrive\Documentos\MALENTIN KARIME\BANCO ESTADO\2012 DEPTO ESCRITURAS fata\NOTARIA 2009\MATRICES INSTRUMENTOS PRIVADOS\varios\PERMISO IIL.doc", "Abrir Documento")</f>
        <v>0</v>
      </c>
      <c r="D11635" t="s">
        <v>23500</v>
      </c>
      <c r="E11635" t="s">
        <v>34110</v>
      </c>
    </row>
    <row r="11636" spans="1:5">
      <c r="A11636" t="s">
        <v>6</v>
      </c>
      <c r="B11636" t="s">
        <v>11641</v>
      </c>
      <c r="C11636">
        <f>HYPERLINK("C:\Users\franc\OneDrive\Documentos\MALENTIN KARIME\BANCO ESTADO\2012 DEPTO ESCRITURAS fata\NOTARIA 2009\MATRICES INSTRUMENTOS PRIVADOS\varios\PAGARE.doc", "Abrir Documento")</f>
        <v>0</v>
      </c>
      <c r="D11636" t="s">
        <v>23500</v>
      </c>
      <c r="E11636" t="s">
        <v>34111</v>
      </c>
    </row>
    <row r="11637" spans="1:5">
      <c r="A11637" t="s">
        <v>6</v>
      </c>
      <c r="B11637" t="s">
        <v>11642</v>
      </c>
      <c r="C11637">
        <f>HYPERLINK("C:\Users\franc\OneDrive\Documentos\MALENTIN KARIME\BANCO ESTADO\2012 DEPTO ESCRITURAS fata\NOTARIA 2009\MATRICES INSTRUMENTOS PRIVADOS\varios\Oficio remite protocolo.doc", "Abrir Documento")</f>
        <v>0</v>
      </c>
      <c r="D11637" t="s">
        <v>23500</v>
      </c>
      <c r="E11637" t="s">
        <v>34112</v>
      </c>
    </row>
    <row r="11638" spans="1:5">
      <c r="A11638" t="s">
        <v>6</v>
      </c>
      <c r="B11638" t="s">
        <v>11643</v>
      </c>
      <c r="C11638">
        <f>HYPERLINK("C:\Users\franc\OneDrive\Documentos\MALENTIN KARIME\BANCO ESTADO\2012 DEPTO ESCRITURAS fata\NOTARIA 2009\MATRICES INSTRUMENTOS PRIVADOS\varios\Notario.AD HOC..doc", "Abrir Documento")</f>
        <v>0</v>
      </c>
      <c r="D11638" t="s">
        <v>23500</v>
      </c>
      <c r="E11638" t="s">
        <v>34113</v>
      </c>
    </row>
    <row r="11639" spans="1:5">
      <c r="A11639" t="s">
        <v>6</v>
      </c>
      <c r="B11639" t="s">
        <v>11644</v>
      </c>
      <c r="C11639">
        <f>HYPERLINK("C:\Users\franc\OneDrive\Documentos\MALENTIN KARIME\BANCO ESTADO\2012 DEPTO ESCRITURAS fata\NOTARIA 2009\MATRICES INSTRUMENTOS PRIVADOS\varios\Notario Adhoc.doc", "Abrir Documento")</f>
        <v>0</v>
      </c>
      <c r="D11639" t="s">
        <v>23500</v>
      </c>
      <c r="E11639" t="s">
        <v>34114</v>
      </c>
    </row>
    <row r="11640" spans="1:5">
      <c r="A11640" t="s">
        <v>6</v>
      </c>
      <c r="B11640" t="s">
        <v>11645</v>
      </c>
      <c r="C11640">
        <f>HYPERLINK("C:\Users\franc\OneDrive\Documentos\MALENTIN KARIME\BANCO ESTADO\2012 DEPTO ESCRITURAS fata\NOTARIA 2009\MATRICES INSTRUMENTOS PRIVADOS\varios\MUTUO.doc", "Abrir Documento")</f>
        <v>0</v>
      </c>
      <c r="D11640" t="s">
        <v>23500</v>
      </c>
      <c r="E11640" t="s">
        <v>34115</v>
      </c>
    </row>
    <row r="11641" spans="1:5">
      <c r="A11641" t="s">
        <v>6</v>
      </c>
      <c r="B11641" t="s">
        <v>11646</v>
      </c>
      <c r="C11641">
        <f>HYPERLINK("C:\Users\franc\OneDrive\Documentos\MALENTIN KARIME\BANCO ESTADO\2012 DEPTO ESCRITURAS fata\NOTARIA 2009\MATRICES INSTRUMENTOS PRIVADOS\varios\lomos..doc", "Abrir Documento")</f>
        <v>0</v>
      </c>
      <c r="D11641" t="s">
        <v>23500</v>
      </c>
      <c r="E11641" t="s">
        <v>34116</v>
      </c>
    </row>
    <row r="11642" spans="1:5">
      <c r="A11642" t="s">
        <v>6</v>
      </c>
      <c r="B11642" t="s">
        <v>11647</v>
      </c>
      <c r="C11642">
        <f>HYPERLINK("C:\Users\franc\OneDrive\Documentos\MALENTIN KARIME\BANCO ESTADO\2012 DEPTO ESCRITURAS fata\NOTARIA 2009\MATRICES INSTRUMENTOS PRIVADOS\varios\LOMO.doc", "Abrir Documento")</f>
        <v>0</v>
      </c>
      <c r="D11642" t="s">
        <v>23500</v>
      </c>
      <c r="E11642" t="s">
        <v>34117</v>
      </c>
    </row>
    <row r="11643" spans="1:5">
      <c r="A11643" t="s">
        <v>6</v>
      </c>
      <c r="B11643" t="s">
        <v>11648</v>
      </c>
      <c r="C11643">
        <f>HYPERLINK("C:\Users\franc\OneDrive\Documentos\MALENTIN KARIME\BANCO ESTADO\2012 DEPTO ESCRITURAS fata\NOTARIA 2009\MATRICES INSTRUMENTOS PRIVADOS\varios\lista.notar..doc", "Abrir Documento")</f>
        <v>0</v>
      </c>
      <c r="D11643" t="s">
        <v>23500</v>
      </c>
      <c r="E11643" t="s">
        <v>34118</v>
      </c>
    </row>
    <row r="11644" spans="1:5">
      <c r="A11644" t="s">
        <v>6</v>
      </c>
      <c r="B11644" t="s">
        <v>11649</v>
      </c>
      <c r="C11644">
        <f>HYPERLINK("C:\Users\franc\OneDrive\Documentos\MALENTIN KARIME\BANCO ESTADO\2012 DEPTO ESCRITURAS fata\NOTARIA 2009\MATRICES INSTRUMENTOS PRIVADOS\varios\LIQUIDACION..xls", "Abrir Documento")</f>
        <v>0</v>
      </c>
      <c r="D11644" t="s">
        <v>23500</v>
      </c>
      <c r="E11644" t="s">
        <v>34119</v>
      </c>
    </row>
    <row r="11645" spans="1:5">
      <c r="A11645" t="s">
        <v>6</v>
      </c>
      <c r="B11645" t="s">
        <v>11650</v>
      </c>
      <c r="C11645">
        <f>HYPERLINK("C:\Users\franc\OneDrive\Documentos\MALENTIN KARIME\BANCO ESTADO\2012 DEPTO ESCRITURAS fata\NOTARIA 2009\MATRICES INSTRUMENTOS PRIVADOS\varios\LIQUIDA.ROSS..xls", "Abrir Documento")</f>
        <v>0</v>
      </c>
      <c r="D11645" t="s">
        <v>23500</v>
      </c>
      <c r="E11645" t="s">
        <v>34120</v>
      </c>
    </row>
    <row r="11646" spans="1:5">
      <c r="A11646" t="s">
        <v>6</v>
      </c>
      <c r="B11646" t="s">
        <v>11651</v>
      </c>
      <c r="C11646">
        <f>HYPERLINK("C:\Users\franc\OneDrive\Documentos\MALENTIN KARIME\BANCO ESTADO\2012 DEPTO ESCRITURAS fata\NOTARIA 2009\MATRICES INSTRUMENTOS PRIVADOS\varios\LIBROS.xls", "Abrir Documento")</f>
        <v>0</v>
      </c>
      <c r="D11646" t="s">
        <v>23500</v>
      </c>
      <c r="E11646" t="s">
        <v>34121</v>
      </c>
    </row>
    <row r="11647" spans="1:5">
      <c r="A11647" t="s">
        <v>6</v>
      </c>
      <c r="B11647" t="s">
        <v>11652</v>
      </c>
      <c r="C11647">
        <f>HYPERLINK("C:\Users\franc\OneDrive\Documentos\MALENTIN KARIME\BANCO ESTADO\2012 DEPTO ESCRITURAS fata\NOTARIA 2009\MATRICES INSTRUMENTOS PRIVADOS\varios\letras.doc", "Abrir Documento")</f>
        <v>0</v>
      </c>
      <c r="D11647" t="s">
        <v>23500</v>
      </c>
      <c r="E11647" t="s">
        <v>34122</v>
      </c>
    </row>
    <row r="11648" spans="1:5">
      <c r="A11648" t="s">
        <v>6</v>
      </c>
      <c r="B11648" t="s">
        <v>11653</v>
      </c>
      <c r="C11648">
        <f>HYPERLINK("C:\Users\franc\OneDrive\Documentos\MALENTIN KARIME\BANCO ESTADO\2012 DEPTO ESCRITURAS fata\NOTARIA 2009\MATRICES INSTRUMENTOS PRIVADOS\varios\INVENTARIO.xls", "Abrir Documento")</f>
        <v>0</v>
      </c>
      <c r="D11648" t="s">
        <v>23500</v>
      </c>
      <c r="E11648" t="s">
        <v>34123</v>
      </c>
    </row>
    <row r="11649" spans="1:5">
      <c r="A11649" t="s">
        <v>6</v>
      </c>
      <c r="B11649" t="s">
        <v>11654</v>
      </c>
      <c r="C11649">
        <f>HYPERLINK("C:\Users\franc\OneDrive\Documentos\MALENTIN KARIME\BANCO ESTADO\2012 DEPTO ESCRITURAS fata\NOTARIA 2009\MATRICES INSTRUMENTOS PRIVADOS\varios\INVENTARIO.doc", "Abrir Documento")</f>
        <v>0</v>
      </c>
      <c r="D11649" t="s">
        <v>23500</v>
      </c>
      <c r="E11649" t="s">
        <v>34124</v>
      </c>
    </row>
    <row r="11650" spans="1:5">
      <c r="A11650" t="s">
        <v>6</v>
      </c>
      <c r="B11650" t="s">
        <v>11655</v>
      </c>
      <c r="C11650">
        <f>HYPERLINK("C:\Users\franc\OneDrive\Documentos\MALENTIN KARIME\BANCO ESTADO\2012 DEPTO ESCRITURAS fata\NOTARIA 2009\MATRICES INSTRUMENTOS PRIVADOS\varios\INVEN. LIBROS.xls", "Abrir Documento")</f>
        <v>0</v>
      </c>
      <c r="D11650" t="s">
        <v>23500</v>
      </c>
      <c r="E11650" t="s">
        <v>34125</v>
      </c>
    </row>
    <row r="11651" spans="1:5">
      <c r="A11651" t="s">
        <v>6</v>
      </c>
      <c r="B11651" t="s">
        <v>11656</v>
      </c>
      <c r="C11651">
        <f>HYPERLINK("C:\Users\franc\OneDrive\Documentos\MALENTIN KARIME\BANCO ESTADO\2012 DEPTO ESCRITURAS fata\NOTARIA 2009\MATRICES INSTRUMENTOS PRIVADOS\varios\INSTRUCC.51.doc", "Abrir Documento")</f>
        <v>0</v>
      </c>
      <c r="D11651" t="s">
        <v>23500</v>
      </c>
      <c r="E11651" t="s">
        <v>34126</v>
      </c>
    </row>
    <row r="11652" spans="1:5">
      <c r="A11652" t="s">
        <v>6</v>
      </c>
      <c r="B11652" t="s">
        <v>11657</v>
      </c>
      <c r="C11652">
        <f>HYPERLINK("C:\Users\franc\OneDrive\Documentos\MALENTIN KARIME\BANCO ESTADO\2012 DEPTO ESCRITURAS fata\NOTARIA 2009\MATRICES INSTRUMENTOS PRIVADOS\varios\INFORME.doc", "Abrir Documento")</f>
        <v>0</v>
      </c>
      <c r="D11652" t="s">
        <v>23500</v>
      </c>
      <c r="E11652" t="s">
        <v>34127</v>
      </c>
    </row>
    <row r="11653" spans="1:5">
      <c r="A11653" t="s">
        <v>6</v>
      </c>
      <c r="B11653" t="s">
        <v>11658</v>
      </c>
      <c r="C11653">
        <f>HYPERLINK("C:\Users\franc\OneDrive\Documentos\MALENTIN KARIME\BANCO ESTADO\2012 DEPTO ESCRITURAS fata\NOTARIA 2009\MATRICES INSTRUMENTOS PRIVADOS\varios\INDICE.sept.octu.03..xls", "Abrir Documento")</f>
        <v>0</v>
      </c>
      <c r="D11653" t="s">
        <v>23500</v>
      </c>
      <c r="E11653" t="s">
        <v>34128</v>
      </c>
    </row>
    <row r="11654" spans="1:5">
      <c r="A11654" t="s">
        <v>6</v>
      </c>
      <c r="B11654" t="s">
        <v>11659</v>
      </c>
      <c r="C11654">
        <f>HYPERLINK("C:\Users\franc\OneDrive\Documentos\MALENTIN KARIME\BANCO ESTADO\2012 DEPTO ESCRITURAS fata\NOTARIA 2009\MATRICES INSTRUMENTOS PRIVADOS\varios\INDICE.2004.2..xls", "Abrir Documento")</f>
        <v>0</v>
      </c>
      <c r="D11654" t="s">
        <v>23500</v>
      </c>
      <c r="E11654" t="s">
        <v>34129</v>
      </c>
    </row>
    <row r="11655" spans="1:5">
      <c r="A11655" t="s">
        <v>6</v>
      </c>
      <c r="B11655" t="s">
        <v>11660</v>
      </c>
      <c r="C11655">
        <f>HYPERLINK("C:\Users\franc\OneDrive\Documentos\MALENTIN KARIME\BANCO ESTADO\2012 DEPTO ESCRITURAS fata\NOTARIA 2009\MATRICES INSTRUMENTOS PRIVADOS\varios\INDICE.2004..xls", "Abrir Documento")</f>
        <v>0</v>
      </c>
      <c r="D11655" t="s">
        <v>23500</v>
      </c>
      <c r="E11655" t="s">
        <v>34130</v>
      </c>
    </row>
    <row r="11656" spans="1:5">
      <c r="A11656" t="s">
        <v>6</v>
      </c>
      <c r="B11656" t="s">
        <v>11661</v>
      </c>
      <c r="C11656">
        <f>HYPERLINK("C:\Users\franc\OneDrive\Documentos\MALENTIN KARIME\BANCO ESTADO\2012 DEPTO ESCRITURAS fata\NOTARIA 2009\MATRICES INSTRUMENTOS PRIVADOS\varios\HONORARIOS.doc", "Abrir Documento")</f>
        <v>0</v>
      </c>
      <c r="D11656" t="s">
        <v>23500</v>
      </c>
      <c r="E11656" t="s">
        <v>34131</v>
      </c>
    </row>
    <row r="11657" spans="1:5">
      <c r="A11657" t="s">
        <v>6</v>
      </c>
      <c r="B11657" t="s">
        <v>11662</v>
      </c>
      <c r="C11657">
        <f>HYPERLINK("C:\Users\franc\OneDrive\Documentos\MALENTIN KARIME\BANCO ESTADO\2012 DEPTO ESCRITURAS fata\NOTARIA 2009\MATRICES INSTRUMENTOS PRIVADOS\varios\firma pagaré.doc", "Abrir Documento")</f>
        <v>0</v>
      </c>
      <c r="D11657" t="s">
        <v>23500</v>
      </c>
      <c r="E11657" t="s">
        <v>34132</v>
      </c>
    </row>
    <row r="11658" spans="1:5">
      <c r="A11658" t="s">
        <v>6</v>
      </c>
      <c r="B11658" t="s">
        <v>11663</v>
      </c>
      <c r="C11658">
        <f>HYPERLINK("C:\Users\franc\OneDrive\Documentos\MALENTIN KARIME\BANCO ESTADO\2012 DEPTO ESCRITURAS fata\NOTARIA 2009\MATRICES INSTRUMENTOS PRIVADOS\varios\FALTA DE FIRMA.doc", "Abrir Documento")</f>
        <v>0</v>
      </c>
      <c r="D11658" t="s">
        <v>23500</v>
      </c>
      <c r="E11658" t="s">
        <v>34133</v>
      </c>
    </row>
    <row r="11659" spans="1:5">
      <c r="A11659" t="s">
        <v>6</v>
      </c>
      <c r="B11659" t="s">
        <v>11664</v>
      </c>
      <c r="C11659">
        <f>HYPERLINK("C:\Users\franc\OneDrive\Documentos\MALENTIN KARIME\BANCO ESTADO\2012 DEPTO ESCRITURAS fata\NOTARIA 2009\MATRICES INSTRUMENTOS PRIVADOS\varios\FALTA CONTRIBUCION.doc", "Abrir Documento")</f>
        <v>0</v>
      </c>
      <c r="D11659" t="s">
        <v>23500</v>
      </c>
      <c r="E11659" t="s">
        <v>34134</v>
      </c>
    </row>
    <row r="11660" spans="1:5">
      <c r="A11660" t="s">
        <v>6</v>
      </c>
      <c r="B11660" t="s">
        <v>11665</v>
      </c>
      <c r="C11660">
        <f>HYPERLINK("C:\Users\franc\OneDrive\Documentos\MALENTIN KARIME\BANCO ESTADO\2012 DEPTO ESCRITURAS fata\NOTARIA 2009\MATRICES INSTRUMENTOS PRIVADOS\varios\ELECCION DE CONCEJALES DECL. JURADA.doc", "Abrir Documento")</f>
        <v>0</v>
      </c>
      <c r="D11660" t="s">
        <v>23500</v>
      </c>
      <c r="E11660" t="s">
        <v>34135</v>
      </c>
    </row>
    <row r="11661" spans="1:5">
      <c r="A11661" t="s">
        <v>6</v>
      </c>
      <c r="B11661" t="s">
        <v>11666</v>
      </c>
      <c r="C11661">
        <f>HYPERLINK("C:\Users\franc\OneDrive\Documentos\MALENTIN KARIME\BANCO ESTADO\2012 DEPTO ESCRITURAS fata\NOTARIA 2009\MATRICES INSTRUMENTOS PRIVADOS\varios\ELECCION DE ALCALDE DECLARACION JURADA.doc", "Abrir Documento")</f>
        <v>0</v>
      </c>
      <c r="D11661" t="s">
        <v>23500</v>
      </c>
      <c r="E11661" t="s">
        <v>34136</v>
      </c>
    </row>
    <row r="11662" spans="1:5">
      <c r="A11662" t="s">
        <v>6</v>
      </c>
      <c r="B11662" t="s">
        <v>11667</v>
      </c>
      <c r="C11662">
        <f>HYPERLINK("C:\Users\franc\OneDrive\Documentos\MALENTIN KARIME\BANCO ESTADO\2012 DEPTO ESCRITURAS fata\NOTARIA 2009\MATRICES INSTRUMENTOS PRIVADOS\varios\COMPROBANTES.doc", "Abrir Documento")</f>
        <v>0</v>
      </c>
      <c r="D11662" t="s">
        <v>23500</v>
      </c>
      <c r="E11662" t="s">
        <v>34137</v>
      </c>
    </row>
    <row r="11663" spans="1:5">
      <c r="A11663" t="s">
        <v>6</v>
      </c>
      <c r="B11663" t="s">
        <v>11668</v>
      </c>
      <c r="C11663">
        <f>HYPERLINK("C:\Users\franc\OneDrive\Documentos\MALENTIN KARIME\BANCO ESTADO\2012 DEPTO ESCRITURAS fata\NOTARIA 2009\MATRICES INSTRUMENTOS PRIVADOS\varios\Certificado.9..doc", "Abrir Documento")</f>
        <v>0</v>
      </c>
      <c r="D11663" t="s">
        <v>23500</v>
      </c>
      <c r="E11663" t="s">
        <v>34138</v>
      </c>
    </row>
    <row r="11664" spans="1:5">
      <c r="A11664" t="s">
        <v>6</v>
      </c>
      <c r="B11664" t="s">
        <v>11669</v>
      </c>
      <c r="C11664">
        <f>HYPERLINK("C:\Users\franc\OneDrive\Documentos\MALENTIN KARIME\BANCO ESTADO\2012 DEPTO ESCRITURAS fata\NOTARIA 2009\MATRICES INSTRUMENTOS PRIVADOS\varios\CERTIFICADO CHOQUE.doc", "Abrir Documento")</f>
        <v>0</v>
      </c>
      <c r="D11664" t="s">
        <v>23500</v>
      </c>
      <c r="E11664" t="s">
        <v>34139</v>
      </c>
    </row>
    <row r="11665" spans="1:5">
      <c r="A11665" t="s">
        <v>6</v>
      </c>
      <c r="B11665" t="s">
        <v>11670</v>
      </c>
      <c r="C11665">
        <f>HYPERLINK("C:\Users\franc\OneDrive\Documentos\MALENTIN KARIME\BANCO ESTADO\2012 DEPTO ESCRITURAS fata\NOTARIA 2009\MATRICES INSTRUMENTOS PRIVADOS\varios\Certificado 5.doc", "Abrir Documento")</f>
        <v>0</v>
      </c>
      <c r="D11665" t="s">
        <v>23500</v>
      </c>
      <c r="E11665" t="s">
        <v>34140</v>
      </c>
    </row>
    <row r="11666" spans="1:5">
      <c r="A11666" t="s">
        <v>6</v>
      </c>
      <c r="B11666" t="s">
        <v>11671</v>
      </c>
      <c r="C11666">
        <f>HYPERLINK("C:\Users\franc\OneDrive\Documentos\MALENTIN KARIME\BANCO ESTADO\2012 DEPTO ESCRITURAS fata\NOTARIA 2009\MATRICES INSTRUMENTOS PRIVADOS\varios\CERTIFICACION DE CIERRE.doc", "Abrir Documento")</f>
        <v>0</v>
      </c>
      <c r="D11666" t="s">
        <v>23500</v>
      </c>
      <c r="E11666" t="s">
        <v>34141</v>
      </c>
    </row>
    <row r="11667" spans="1:5">
      <c r="A11667" t="s">
        <v>6</v>
      </c>
      <c r="B11667" t="s">
        <v>11672</v>
      </c>
      <c r="C11667">
        <f>HYPERLINK("C:\Users\franc\OneDrive\Documentos\MALENTIN KARIME\BANCO ESTADO\2012 DEPTO ESCRITURAS fata\NOTARIA 2009\MATRICES INSTRUMENTOS PRIVADOS\varios\CERTIFICACION DE APERTURA DE REPERTORIO.doc", "Abrir Documento")</f>
        <v>0</v>
      </c>
      <c r="D11667" t="s">
        <v>23500</v>
      </c>
      <c r="E11667" t="s">
        <v>34142</v>
      </c>
    </row>
    <row r="11668" spans="1:5">
      <c r="A11668" t="s">
        <v>6</v>
      </c>
      <c r="B11668" t="s">
        <v>11673</v>
      </c>
      <c r="C11668">
        <f>HYPERLINK("C:\Users\franc\OneDrive\Documentos\MALENTIN KARIME\BANCO ESTADO\2012 DEPTO ESCRITURAS fata\NOTARIA 2009\MATRICES INSTRUMENTOS PRIVADOS\varios\certif. cierre.2004..doc", "Abrir Documento")</f>
        <v>0</v>
      </c>
      <c r="D11668" t="s">
        <v>23500</v>
      </c>
      <c r="E11668" t="s">
        <v>34143</v>
      </c>
    </row>
    <row r="11669" spans="1:5">
      <c r="A11669" t="s">
        <v>6</v>
      </c>
      <c r="B11669" t="s">
        <v>11674</v>
      </c>
      <c r="C11669">
        <f>HYPERLINK("C:\Users\franc\OneDrive\Documentos\MALENTIN KARIME\BANCO ESTADO\2012 DEPTO ESCRITURAS fata\NOTARIA 2009\MATRICES INSTRUMENTOS PRIVADOS\varios\certif. cierre..doc", "Abrir Documento")</f>
        <v>0</v>
      </c>
      <c r="D11669" t="s">
        <v>23500</v>
      </c>
      <c r="E11669" t="s">
        <v>34144</v>
      </c>
    </row>
    <row r="11670" spans="1:5">
      <c r="A11670" t="s">
        <v>6</v>
      </c>
      <c r="B11670" t="s">
        <v>11675</v>
      </c>
      <c r="C11670">
        <f>HYPERLINK("C:\Users\franc\OneDrive\Documentos\MALENTIN KARIME\BANCO ESTADO\2012 DEPTO ESCRITURAS fata\NOTARIA 2009\MATRICES INSTRUMENTOS PRIVADOS\varios\arancel.xls", "Abrir Documento")</f>
        <v>0</v>
      </c>
      <c r="D11670" t="s">
        <v>23500</v>
      </c>
      <c r="E11670" t="s">
        <v>34145</v>
      </c>
    </row>
    <row r="11671" spans="1:5">
      <c r="A11671" t="s">
        <v>6</v>
      </c>
      <c r="B11671" t="s">
        <v>11676</v>
      </c>
      <c r="C11671">
        <f>HYPERLINK("C:\Users\franc\OneDrive\Documentos\MALENTIN KARIME\BANCO ESTADO\2012 DEPTO ESCRITURAS fata\NOTARIA 2009\MATRICES INSTRUMENTOS PRIVADOS\varios\ACTA OCULAR.doc", "Abrir Documento")</f>
        <v>0</v>
      </c>
      <c r="D11671" t="s">
        <v>23500</v>
      </c>
      <c r="E11671" t="s">
        <v>34146</v>
      </c>
    </row>
    <row r="11672" spans="1:5">
      <c r="A11672" t="s">
        <v>6</v>
      </c>
      <c r="B11672" t="s">
        <v>11677</v>
      </c>
      <c r="C11672">
        <f>HYPERLINK("C:\Users\franc\OneDrive\Documentos\MALENTIN KARIME\BANCO ESTADO\2012 DEPTO ESCRITURAS fata\NOTARIA 2009\MATRICES INSTRUMENTOS PRIVADOS\varios\ACTA DE VISITA.doc", "Abrir Documento")</f>
        <v>0</v>
      </c>
      <c r="D11672" t="s">
        <v>23500</v>
      </c>
      <c r="E11672" t="s">
        <v>34147</v>
      </c>
    </row>
    <row r="11673" spans="1:5">
      <c r="A11673" t="s">
        <v>6</v>
      </c>
      <c r="B11673" t="s">
        <v>11678</v>
      </c>
      <c r="C11673">
        <f>HYPERLINK("C:\Users\franc\OneDrive\Documentos\MALENTIN KARIME\BANCO ESTADO\2012 DEPTO ESCRITURAS fata\NOTARIA 2009\MATRICES INSTRUMENTOS PRIVADOS\varios\ACTA DE VISITA ANUAL.doc", "Abrir Documento")</f>
        <v>0</v>
      </c>
      <c r="D11673" t="s">
        <v>23500</v>
      </c>
      <c r="E11673" t="s">
        <v>34148</v>
      </c>
    </row>
    <row r="11674" spans="1:5">
      <c r="A11674" t="s">
        <v>6</v>
      </c>
      <c r="B11674" t="s">
        <v>11679</v>
      </c>
      <c r="C11674">
        <f>HYPERLINK("C:\Users\franc\OneDrive\Documentos\MALENTIN KARIME\BANCO ESTADO\2012 DEPTO ESCRITURAS fata\NOTARIA 2009\MATRICES INSTRUMENTOS PRIVADOS\varios\abogado.doc", "Abrir Documento")</f>
        <v>0</v>
      </c>
      <c r="D11674" t="s">
        <v>23500</v>
      </c>
      <c r="E11674" t="s">
        <v>34149</v>
      </c>
    </row>
    <row r="11675" spans="1:5">
      <c r="A11675" t="s">
        <v>6</v>
      </c>
      <c r="B11675" t="s">
        <v>11680</v>
      </c>
      <c r="C11675">
        <f>HYPERLINK("C:\Users\franc\OneDrive\Documentos\MALENTIN KARIME\BANCO ESTADO\2012 DEPTO ESCRITURAS fata\NOTARIA 2009\MATRICES INSTRUMENTOS PRIVADOS\publicas\protocolización.doc", "Abrir Documento")</f>
        <v>0</v>
      </c>
      <c r="D11675" t="s">
        <v>23500</v>
      </c>
      <c r="E11675" t="s">
        <v>34150</v>
      </c>
    </row>
    <row r="11676" spans="1:5">
      <c r="A11676" t="s">
        <v>6</v>
      </c>
      <c r="B11676" t="s">
        <v>11681</v>
      </c>
      <c r="C11676">
        <f>HYPERLINK("C:\Users\franc\OneDrive\Documentos\MALENTIN KARIME\BANCO ESTADO\2012 DEPTO ESCRITURAS fata\NOTARIA 2009\MATRICES INSTRUMENTOS PRIVADOS\publicas\extracto sociedad.doc", "Abrir Documento")</f>
        <v>0</v>
      </c>
      <c r="D11676" t="s">
        <v>23500</v>
      </c>
      <c r="E11676" t="s">
        <v>34151</v>
      </c>
    </row>
    <row r="11677" spans="1:5">
      <c r="A11677" t="s">
        <v>6</v>
      </c>
      <c r="B11677" t="s">
        <v>11682</v>
      </c>
      <c r="C11677">
        <f>HYPERLINK("C:\Users\franc\OneDrive\Documentos\MALENTIN KARIME\BANCO ESTADO\2012 DEPTO ESCRITURAS fata\NOTARIA 2009\MATRICES INSTRUMENTOS PRIVADOS\publicas\EXTRACTO DE PRENDA SIN DESPLAZAMIENTO.doc", "Abrir Documento")</f>
        <v>0</v>
      </c>
      <c r="D11677" t="s">
        <v>23500</v>
      </c>
      <c r="E11677" t="s">
        <v>34152</v>
      </c>
    </row>
    <row r="11678" spans="1:5">
      <c r="A11678" t="s">
        <v>6</v>
      </c>
      <c r="B11678" t="s">
        <v>11683</v>
      </c>
      <c r="C11678">
        <f>HYPERLINK("C:\Users\franc\OneDrive\Documentos\MALENTIN KARIME\BANCO ESTADO\2012 DEPTO ESCRITURAS fata\NOTARIA 2009\MATRICES INSTRUMENTOS PRIVADOS\publicas\constitucion sociedad.doc", "Abrir Documento")</f>
        <v>0</v>
      </c>
      <c r="D11678" t="s">
        <v>23500</v>
      </c>
      <c r="E11678" t="s">
        <v>34153</v>
      </c>
    </row>
    <row r="11679" spans="1:5">
      <c r="A11679" t="s">
        <v>6</v>
      </c>
      <c r="B11679" t="s">
        <v>11684</v>
      </c>
      <c r="C11679">
        <f>HYPERLINK("C:\Users\franc\OneDrive\Documentos\MALENTIN KARIME\BANCO ESTADO\2012 DEPTO ESCRITURAS fata\NOTARIA 2009\MATRICES INSTRUMENTOS PRIVADOS\publicas\compraventa mutuo hip letras.doc", "Abrir Documento")</f>
        <v>0</v>
      </c>
      <c r="D11679" t="s">
        <v>23500</v>
      </c>
      <c r="E11679" t="s">
        <v>34154</v>
      </c>
    </row>
    <row r="11680" spans="1:5">
      <c r="A11680" t="s">
        <v>6</v>
      </c>
      <c r="B11680" t="s">
        <v>11685</v>
      </c>
      <c r="C11680">
        <f>HYPERLINK("C:\Users\franc\OneDrive\Documentos\MALENTIN KARIME\BANCO ESTADO\2012 DEPTO ESCRITURAS fata\NOTARIA 2009\MATRICES INSTRUMENTOS PRIVADOS\poderes\Universidad.doc", "Abrir Documento")</f>
        <v>0</v>
      </c>
      <c r="D11680" t="s">
        <v>23500</v>
      </c>
      <c r="E11680" t="s">
        <v>34155</v>
      </c>
    </row>
    <row r="11681" spans="1:5">
      <c r="A11681" t="s">
        <v>6</v>
      </c>
      <c r="B11681" t="s">
        <v>11686</v>
      </c>
      <c r="C11681">
        <f>HYPERLINK("C:\Users\franc\OneDrive\Documentos\MALENTIN KARIME\BANCO ESTADO\2012 DEPTO ESCRITURAS fata\NOTARIA 2009\MATRICES INSTRUMENTOS PRIVADOS\poderes\TERESA.doc", "Abrir Documento")</f>
        <v>0</v>
      </c>
      <c r="D11681" t="s">
        <v>23500</v>
      </c>
      <c r="E11681" t="s">
        <v>34156</v>
      </c>
    </row>
    <row r="11682" spans="1:5">
      <c r="A11682" t="s">
        <v>6</v>
      </c>
      <c r="B11682" t="s">
        <v>11687</v>
      </c>
      <c r="C11682">
        <f>HYPERLINK("C:\Users\franc\OneDrive\Documentos\MALENTIN KARIME\BANCO ESTADO\2012 DEPTO ESCRITURAS fata\NOTARIA 2009\MATRICES INSTRUMENTOS PRIVADOS\poderes\TERESA DOS.doc", "Abrir Documento")</f>
        <v>0</v>
      </c>
      <c r="D11682" t="s">
        <v>23500</v>
      </c>
      <c r="E11682" t="s">
        <v>34157</v>
      </c>
    </row>
    <row r="11683" spans="1:5">
      <c r="A11683" t="s">
        <v>6</v>
      </c>
      <c r="B11683" t="s">
        <v>11688</v>
      </c>
      <c r="C11683">
        <f>HYPERLINK("C:\Users\franc\OneDrive\Documentos\MALENTIN KARIME\BANCO ESTADO\2012 DEPTO ESCRITURAS fata\NOTARIA 2009\MATRICES INSTRUMENTOS PRIVADOS\poderes\SERVICIO SALUD.doc", "Abrir Documento")</f>
        <v>0</v>
      </c>
      <c r="D11683" t="s">
        <v>23500</v>
      </c>
      <c r="E11683" t="s">
        <v>34158</v>
      </c>
    </row>
    <row r="11684" spans="1:5">
      <c r="A11684" t="s">
        <v>6</v>
      </c>
      <c r="B11684" t="s">
        <v>11689</v>
      </c>
      <c r="C11684">
        <f>HYPERLINK("C:\Users\franc\OneDrive\Documentos\MALENTIN KARIME\BANCO ESTADO\2012 DEPTO ESCRITURAS fata\NOTARIA 2009\MATRICES INSTRUMENTOS PRIVADOS\poderes\poder.domicilio..doc", "Abrir Documento")</f>
        <v>0</v>
      </c>
      <c r="D11684" t="s">
        <v>23500</v>
      </c>
      <c r="E11684" t="s">
        <v>34159</v>
      </c>
    </row>
    <row r="11685" spans="1:5">
      <c r="A11685" t="s">
        <v>6</v>
      </c>
      <c r="B11685" t="s">
        <v>11690</v>
      </c>
      <c r="C11685">
        <f>HYPERLINK("C:\Users\franc\OneDrive\Documentos\MALENTIN KARIME\BANCO ESTADO\2012 DEPTO ESCRITURAS fata\NOTARIA 2009\MATRICES INSTRUMENTOS PRIVADOS\poderes\poder.cementerio.doc", "Abrir Documento")</f>
        <v>0</v>
      </c>
      <c r="D11685" t="s">
        <v>23500</v>
      </c>
      <c r="E11685" t="s">
        <v>34160</v>
      </c>
    </row>
    <row r="11686" spans="1:5">
      <c r="A11686" t="s">
        <v>6</v>
      </c>
      <c r="B11686" t="s">
        <v>11691</v>
      </c>
      <c r="C11686">
        <f>HYPERLINK("C:\Users\franc\OneDrive\Documentos\MALENTIN KARIME\BANCO ESTADO\2012 DEPTO ESCRITURAS fata\NOTARIA 2009\MATRICES INSTRUMENTOS PRIVADOS\poderes\Poder Vender auto.doc", "Abrir Documento")</f>
        <v>0</v>
      </c>
      <c r="D11686" t="s">
        <v>23500</v>
      </c>
      <c r="E11686" t="s">
        <v>34161</v>
      </c>
    </row>
    <row r="11687" spans="1:5">
      <c r="A11687" t="s">
        <v>6</v>
      </c>
      <c r="B11687" t="s">
        <v>11692</v>
      </c>
      <c r="C11687">
        <f>HYPERLINK("C:\Users\franc\OneDrive\Documentos\MALENTIN KARIME\BANCO ESTADO\2012 DEPTO ESCRITURAS fata\NOTARIA 2009\MATRICES INSTRUMENTOS PRIVADOS\poderes\poder universidad.doc", "Abrir Documento")</f>
        <v>0</v>
      </c>
      <c r="D11687" t="s">
        <v>23500</v>
      </c>
      <c r="E11687" t="s">
        <v>34162</v>
      </c>
    </row>
    <row r="11688" spans="1:5">
      <c r="A11688" t="s">
        <v>6</v>
      </c>
      <c r="B11688" t="s">
        <v>11693</v>
      </c>
      <c r="C11688">
        <f>HYPERLINK("C:\Users\franc\OneDrive\Documentos\MALENTIN KARIME\BANCO ESTADO\2012 DEPTO ESCRITURAS fata\NOTARIA 2009\MATRICES INSTRUMENTOS PRIVADOS\poderes\Poder Televía.doc", "Abrir Documento")</f>
        <v>0</v>
      </c>
      <c r="D11688" t="s">
        <v>23500</v>
      </c>
      <c r="E11688" t="s">
        <v>34163</v>
      </c>
    </row>
    <row r="11689" spans="1:5">
      <c r="A11689" t="s">
        <v>6</v>
      </c>
      <c r="B11689" t="s">
        <v>11694</v>
      </c>
      <c r="C11689">
        <f>HYPERLINK("C:\Users\franc\OneDrive\Documentos\MALENTIN KARIME\BANCO ESTADO\2012 DEPTO ESCRITURAS fata\NOTARIA 2009\MATRICES INSTRUMENTOS PRIVADOS\poderes\poder simple.doc", "Abrir Documento")</f>
        <v>0</v>
      </c>
      <c r="D11689" t="s">
        <v>23500</v>
      </c>
      <c r="E11689" t="s">
        <v>34164</v>
      </c>
    </row>
    <row r="11690" spans="1:5">
      <c r="A11690" t="s">
        <v>6</v>
      </c>
      <c r="B11690" t="s">
        <v>11695</v>
      </c>
      <c r="C11690">
        <f>HYPERLINK("C:\Users\franc\OneDrive\Documentos\MALENTIN KARIME\BANCO ESTADO\2012 DEPTO ESCRITURAS fata\NOTARIA 2009\MATRICES INSTRUMENTOS PRIVADOS\poderes\Poder SII.doc", "Abrir Documento")</f>
        <v>0</v>
      </c>
      <c r="D11690" t="s">
        <v>23500</v>
      </c>
      <c r="E11690" t="s">
        <v>34165</v>
      </c>
    </row>
    <row r="11691" spans="1:5">
      <c r="A11691" t="s">
        <v>6</v>
      </c>
      <c r="B11691" t="s">
        <v>11696</v>
      </c>
      <c r="C11691">
        <f>HYPERLINK("C:\Users\franc\OneDrive\Documentos\MALENTIN KARIME\BANCO ESTADO\2012 DEPTO ESCRITURAS fata\NOTARIA 2009\MATRICES INSTRUMENTOS PRIVADOS\poderes\poder serviu.doc", "Abrir Documento")</f>
        <v>0</v>
      </c>
      <c r="D11691" t="s">
        <v>23500</v>
      </c>
      <c r="E11691" t="s">
        <v>34166</v>
      </c>
    </row>
    <row r="11692" spans="1:5">
      <c r="A11692" t="s">
        <v>6</v>
      </c>
      <c r="B11692" t="s">
        <v>11697</v>
      </c>
      <c r="C11692">
        <f>HYPERLINK("C:\Users\franc\OneDrive\Documentos\MALENTIN KARIME\BANCO ESTADO\2012 DEPTO ESCRITURAS fata\NOTARIA 2009\MATRICES INSTRUMENTOS PRIVADOS\poderes\poder MARIO RAMIREZ.doc", "Abrir Documento")</f>
        <v>0</v>
      </c>
      <c r="D11692" t="s">
        <v>23500</v>
      </c>
      <c r="E11692" t="s">
        <v>34167</v>
      </c>
    </row>
    <row r="11693" spans="1:5">
      <c r="A11693" t="s">
        <v>6</v>
      </c>
      <c r="B11693" t="s">
        <v>11698</v>
      </c>
      <c r="C11693">
        <f>HYPERLINK("C:\Users\franc\OneDrive\Documentos\MALENTIN KARIME\BANCO ESTADO\2012 DEPTO ESCRITURAS fata\NOTARIA 2009\MATRICES INSTRUMENTOS PRIVADOS\poderes\Poder JORGE QUIROZ.doc", "Abrir Documento")</f>
        <v>0</v>
      </c>
      <c r="D11693" t="s">
        <v>23500</v>
      </c>
      <c r="E11693" t="s">
        <v>34168</v>
      </c>
    </row>
    <row r="11694" spans="1:5">
      <c r="A11694" t="s">
        <v>6</v>
      </c>
      <c r="B11694" t="s">
        <v>11699</v>
      </c>
      <c r="C11694">
        <f>HYPERLINK("C:\Users\franc\OneDrive\Documentos\MALENTIN KARIME\BANCO ESTADO\2012 DEPTO ESCRITURAS fata\NOTARIA 2009\MATRICES INSTRUMENTOS PRIVADOS\poderes\Poder instalar negocio.doc", "Abrir Documento")</f>
        <v>0</v>
      </c>
      <c r="D11694" t="s">
        <v>23500</v>
      </c>
      <c r="E11694" t="s">
        <v>34169</v>
      </c>
    </row>
    <row r="11695" spans="1:5">
      <c r="A11695" t="s">
        <v>6</v>
      </c>
      <c r="B11695" t="s">
        <v>11700</v>
      </c>
      <c r="C11695">
        <f>HYPERLINK("C:\Users\franc\OneDrive\Documentos\MALENTIN KARIME\BANCO ESTADO\2012 DEPTO ESCRITURAS fata\NOTARIA 2009\MATRICES INSTRUMENTOS PRIVADOS\poderes\poder freddy cortes.doc", "Abrir Documento")</f>
        <v>0</v>
      </c>
      <c r="D11695" t="s">
        <v>23500</v>
      </c>
      <c r="E11695" t="s">
        <v>34170</v>
      </c>
    </row>
    <row r="11696" spans="1:5">
      <c r="A11696" t="s">
        <v>6</v>
      </c>
      <c r="B11696" t="s">
        <v>11701</v>
      </c>
      <c r="C11696">
        <f>HYPERLINK("C:\Users\franc\OneDrive\Documentos\MALENTIN KARIME\BANCO ESTADO\2012 DEPTO ESCRITURAS fata\NOTARIA 2009\MATRICES INSTRUMENTOS PRIVADOS\poderes\Poder Entel.doc", "Abrir Documento")</f>
        <v>0</v>
      </c>
      <c r="D11696" t="s">
        <v>23500</v>
      </c>
      <c r="E11696" t="s">
        <v>34171</v>
      </c>
    </row>
    <row r="11697" spans="1:5">
      <c r="A11697" t="s">
        <v>6</v>
      </c>
      <c r="B11697" t="s">
        <v>11702</v>
      </c>
      <c r="C11697">
        <f>HYPERLINK("C:\Users\franc\OneDrive\Documentos\MALENTIN KARIME\BANCO ESTADO\2012 DEPTO ESCRITURAS fata\NOTARIA 2009\MATRICES INSTRUMENTOS PRIVADOS\poderes\Poder Cambiar cheques.doc", "Abrir Documento")</f>
        <v>0</v>
      </c>
      <c r="D11697" t="s">
        <v>23500</v>
      </c>
      <c r="E11697" t="s">
        <v>34172</v>
      </c>
    </row>
    <row r="11698" spans="1:5">
      <c r="A11698" t="s">
        <v>6</v>
      </c>
      <c r="B11698" t="s">
        <v>11703</v>
      </c>
      <c r="C11698">
        <f>HYPERLINK("C:\Users\franc\OneDrive\Documentos\MALENTIN KARIME\BANCO ESTADO\2012 DEPTO ESCRITURAS fata\NOTARIA 2009\MATRICES INSTRUMENTOS PRIVADOS\poderes\Poder Bienes Nac.doc", "Abrir Documento")</f>
        <v>0</v>
      </c>
      <c r="D11698" t="s">
        <v>23500</v>
      </c>
      <c r="E11698" t="s">
        <v>34173</v>
      </c>
    </row>
    <row r="11699" spans="1:5">
      <c r="A11699" t="s">
        <v>6</v>
      </c>
      <c r="B11699" t="s">
        <v>11704</v>
      </c>
      <c r="C11699">
        <f>HYPERLINK("C:\Users\franc\OneDrive\Documentos\MALENTIN KARIME\BANCO ESTADO\2012 DEPTO ESCRITURAS fata\NOTARIA 2009\MATRICES INSTRUMENTOS PRIVADOS\poderes\poder BCO. SANTANDER.doc", "Abrir Documento")</f>
        <v>0</v>
      </c>
      <c r="D11699" t="s">
        <v>23500</v>
      </c>
      <c r="E11699" t="s">
        <v>34174</v>
      </c>
    </row>
    <row r="11700" spans="1:5">
      <c r="A11700" t="s">
        <v>6</v>
      </c>
      <c r="B11700" t="s">
        <v>11705</v>
      </c>
      <c r="C11700">
        <f>HYPERLINK("C:\Users\franc\OneDrive\Documentos\MALENTIN KARIME\BANCO ESTADO\2012 DEPTO ESCRITURAS fata\NOTARIA 2009\MATRICES INSTRUMENTOS PRIVADOS\poderes\Poder Bancario simple.doc", "Abrir Documento")</f>
        <v>0</v>
      </c>
      <c r="D11700" t="s">
        <v>23500</v>
      </c>
      <c r="E11700" t="s">
        <v>34175</v>
      </c>
    </row>
    <row r="11701" spans="1:5">
      <c r="A11701" t="s">
        <v>6</v>
      </c>
      <c r="B11701" t="s">
        <v>11706</v>
      </c>
      <c r="C11701">
        <f>HYPERLINK("C:\Users\franc\OneDrive\Documentos\MALENTIN KARIME\BANCO ESTADO\2012 DEPTO ESCRITURAS fata\NOTARIA 2009\MATRICES INSTRUMENTOS PRIVADOS\poderes\Poder aumento cupo.doc", "Abrir Documento")</f>
        <v>0</v>
      </c>
      <c r="D11701" t="s">
        <v>23500</v>
      </c>
      <c r="E11701" t="s">
        <v>34176</v>
      </c>
    </row>
    <row r="11702" spans="1:5">
      <c r="A11702" t="s">
        <v>6</v>
      </c>
      <c r="B11702" t="s">
        <v>11707</v>
      </c>
      <c r="C11702">
        <f>HYPERLINK("C:\Users\franc\OneDrive\Documentos\MALENTIN KARIME\BANCO ESTADO\2012 DEPTO ESCRITURAS fata\NOTARIA 2009\MATRICES INSTRUMENTOS PRIVADOS\poderes\para arrendar.doc", "Abrir Documento")</f>
        <v>0</v>
      </c>
      <c r="D11702" t="s">
        <v>23500</v>
      </c>
      <c r="E11702" t="s">
        <v>34177</v>
      </c>
    </row>
    <row r="11703" spans="1:5">
      <c r="A11703" t="s">
        <v>6</v>
      </c>
      <c r="B11703" t="s">
        <v>11708</v>
      </c>
      <c r="C11703">
        <f>HYPERLINK("C:\Users\franc\OneDrive\Documentos\MALENTIN KARIME\BANCO ESTADO\2012 DEPTO ESCRITURAS fata\NOTARIA 2009\MATRICES INSTRUMENTOS PRIVADOS\poderes\operar cta cte.doc", "Abrir Documento")</f>
        <v>0</v>
      </c>
      <c r="D11703" t="s">
        <v>23500</v>
      </c>
      <c r="E11703" t="s">
        <v>34178</v>
      </c>
    </row>
    <row r="11704" spans="1:5">
      <c r="A11704" t="s">
        <v>6</v>
      </c>
      <c r="B11704" t="s">
        <v>11709</v>
      </c>
      <c r="C11704">
        <f>HYPERLINK("C:\Users\franc\OneDrive\Documentos\MALENTIN KARIME\BANCO ESTADO\2012 DEPTO ESCRITURAS fata\NOTARIA 2009\MATRICES INSTRUMENTOS PRIVADOS\poderes\JAIME ALAMO.doc", "Abrir Documento")</f>
        <v>0</v>
      </c>
      <c r="D11704" t="s">
        <v>23500</v>
      </c>
      <c r="E11704" t="s">
        <v>34179</v>
      </c>
    </row>
    <row r="11705" spans="1:5">
      <c r="A11705" t="s">
        <v>6</v>
      </c>
      <c r="B11705" t="s">
        <v>11710</v>
      </c>
      <c r="C11705">
        <f>HYPERLINK("C:\Users\franc\OneDrive\Documentos\MALENTIN KARIME\BANCO ESTADO\2012 DEPTO ESCRITURAS fata\NOTARIA 2009\MATRICES INSTRUMENTOS PRIVADOS\poderes\ELIANA ARAYA.doc", "Abrir Documento")</f>
        <v>0</v>
      </c>
      <c r="D11705" t="s">
        <v>23500</v>
      </c>
      <c r="E11705" t="s">
        <v>34180</v>
      </c>
    </row>
    <row r="11706" spans="1:5">
      <c r="A11706" t="s">
        <v>6</v>
      </c>
      <c r="B11706" t="s">
        <v>11711</v>
      </c>
      <c r="C11706">
        <f>HYPERLINK("C:\Users\franc\OneDrive\Documentos\MALENTIN KARIME\BANCO ESTADO\2012 DEPTO ESCRITURAS fata\NOTARIA 2009\MATRICES INSTRUMENTOS PRIVADOS\poderes\cobro seguro de vida.doc", "Abrir Documento")</f>
        <v>0</v>
      </c>
      <c r="D11706" t="s">
        <v>23500</v>
      </c>
      <c r="E11706" t="s">
        <v>34181</v>
      </c>
    </row>
    <row r="11707" spans="1:5">
      <c r="A11707" t="s">
        <v>6</v>
      </c>
      <c r="B11707" t="s">
        <v>11712</v>
      </c>
      <c r="C11707">
        <f>HYPERLINK("C:\Users\franc\OneDrive\Documentos\MALENTIN KARIME\BANCO ESTADO\2012 DEPTO ESCRITURAS fata\NOTARIA 2009\MATRICES INSTRUMENTOS PRIVADOS\poderes\cobro cheques.doc", "Abrir Documento")</f>
        <v>0</v>
      </c>
      <c r="D11707" t="s">
        <v>23500</v>
      </c>
      <c r="E11707" t="s">
        <v>34182</v>
      </c>
    </row>
    <row r="11708" spans="1:5">
      <c r="A11708" t="s">
        <v>6</v>
      </c>
      <c r="B11708" t="s">
        <v>11713</v>
      </c>
      <c r="C11708">
        <f>HYPERLINK("C:\Users\franc\OneDrive\Documentos\MALENTIN KARIME\BANCO ESTADO\2012 DEPTO ESCRITURAS fata\NOTARIA 2009\MATRICES INSTRUMENTOS PRIVADOS\poderes\cobro cheques ULLOA.doc", "Abrir Documento")</f>
        <v>0</v>
      </c>
      <c r="D11708" t="s">
        <v>23500</v>
      </c>
      <c r="E11708" t="s">
        <v>34183</v>
      </c>
    </row>
    <row r="11709" spans="1:5">
      <c r="A11709" t="s">
        <v>6</v>
      </c>
      <c r="B11709" t="s">
        <v>11714</v>
      </c>
      <c r="C11709">
        <f>HYPERLINK("C:\Users\franc\OneDrive\Documentos\MALENTIN KARIME\BANCO ESTADO\2012 DEPTO ESCRITURAS fata\NOTARIA 2009\MATRICES INSTRUMENTOS PRIVADOS\poderes\cobro cheque girador determinado.doc", "Abrir Documento")</f>
        <v>0</v>
      </c>
      <c r="D11709" t="s">
        <v>23500</v>
      </c>
      <c r="E11709" t="s">
        <v>34184</v>
      </c>
    </row>
    <row r="11710" spans="1:5">
      <c r="A11710" t="s">
        <v>6</v>
      </c>
      <c r="B11710" t="s">
        <v>11715</v>
      </c>
      <c r="C11710">
        <f>HYPERLINK("C:\Users\franc\OneDrive\Documentos\MALENTIN KARIME\BANCO ESTADO\2012 DEPTO ESCRITURAS fata\NOTARIA 2009\MATRICES INSTRUMENTOS PRIVADOS\poderes\CARTA.barraza..doc", "Abrir Documento")</f>
        <v>0</v>
      </c>
      <c r="D11710" t="s">
        <v>23500</v>
      </c>
      <c r="E11710" t="s">
        <v>34185</v>
      </c>
    </row>
    <row r="11711" spans="1:5">
      <c r="A11711" t="s">
        <v>6</v>
      </c>
      <c r="B11711" t="s">
        <v>11716</v>
      </c>
      <c r="C11711">
        <f>HYPERLINK("C:\Users\franc\OneDrive\Documentos\MALENTIN KARIME\BANCO ESTADO\2012 DEPTO ESCRITURAS fata\NOTARIA 2009\MATRICES INSTRUMENTOS PRIVADOS\poderes\CARTA. CUEVAS.doc", "Abrir Documento")</f>
        <v>0</v>
      </c>
      <c r="D11711" t="s">
        <v>23500</v>
      </c>
      <c r="E11711" t="s">
        <v>34186</v>
      </c>
    </row>
    <row r="11712" spans="1:5">
      <c r="A11712" t="s">
        <v>6</v>
      </c>
      <c r="B11712" t="s">
        <v>11717</v>
      </c>
      <c r="C11712">
        <f>HYPERLINK("C:\Users\franc\OneDrive\Documentos\MALENTIN KARIME\BANCO ESTADO\2012 DEPTO ESCRITURAS fata\NOTARIA 2009\MATRICES INSTRUMENTOS PRIVADOS\poderes\4-03 poder cobro arriendo.doc", "Abrir Documento")</f>
        <v>0</v>
      </c>
      <c r="D11712" t="s">
        <v>23500</v>
      </c>
      <c r="E11712" t="s">
        <v>34187</v>
      </c>
    </row>
    <row r="11713" spans="1:5">
      <c r="A11713" t="s">
        <v>6</v>
      </c>
      <c r="B11713" t="s">
        <v>11718</v>
      </c>
      <c r="C11713">
        <f>HYPERLINK("C:\Users\franc\OneDrive\Documentos\MALENTIN KARIME\BANCO ESTADO\2012 DEPTO ESCRITURAS fata\NOTARIA 2009\MATRICES INSTRUMENTOS PRIVADOS\laboral\renuncia voluntaria.doc", "Abrir Documento")</f>
        <v>0</v>
      </c>
      <c r="D11713" t="s">
        <v>23500</v>
      </c>
      <c r="E11713" t="s">
        <v>34188</v>
      </c>
    </row>
    <row r="11714" spans="1:5">
      <c r="A11714" t="s">
        <v>6</v>
      </c>
      <c r="B11714" t="s">
        <v>11719</v>
      </c>
      <c r="C11714">
        <f>HYPERLINK("C:\Users\franc\OneDrive\Documentos\MALENTIN KARIME\BANCO ESTADO\2012 DEPTO ESCRITURAS fata\NOTARIA 2009\MATRICES INSTRUMENTOS PRIVADOS\laboral\CONTRATO DE TRABAJO.doc", "Abrir Documento")</f>
        <v>0</v>
      </c>
      <c r="D11714" t="s">
        <v>23500</v>
      </c>
      <c r="E11714" t="s">
        <v>34189</v>
      </c>
    </row>
    <row r="11715" spans="1:5">
      <c r="A11715" t="s">
        <v>6</v>
      </c>
      <c r="B11715" t="s">
        <v>11720</v>
      </c>
      <c r="C11715">
        <f>HYPERLINK("C:\Users\franc\OneDrive\Documentos\MALENTIN KARIME\BANCO ESTADO\2012 DEPTO ESCRITURAS fata\NOTARIA 2009\MATRICES INSTRUMENTOS PRIVADOS\laboral\CONTRATO DE TRABAJO II.doc", "Abrir Documento")</f>
        <v>0</v>
      </c>
      <c r="D11715" t="s">
        <v>23500</v>
      </c>
      <c r="E11715" t="s">
        <v>34190</v>
      </c>
    </row>
    <row r="11716" spans="1:5">
      <c r="A11716" t="s">
        <v>6</v>
      </c>
      <c r="B11716" t="s">
        <v>11721</v>
      </c>
      <c r="C11716">
        <f>HYPERLINK("C:\Users\franc\OneDrive\Documentos\MALENTIN KARIME\BANCO ESTADO\2012 DEPTO ESCRITURAS fata\NOTARIA 2009\MATRICES INSTRUMENTOS PRIVADOS\laboral\CARTA RENUNCIA.doc", "Abrir Documento")</f>
        <v>0</v>
      </c>
      <c r="D11716" t="s">
        <v>23500</v>
      </c>
      <c r="E11716" t="s">
        <v>34191</v>
      </c>
    </row>
    <row r="11717" spans="1:5">
      <c r="A11717" t="s">
        <v>6</v>
      </c>
      <c r="B11717" t="s">
        <v>11722</v>
      </c>
      <c r="C11717">
        <f>HYPERLINK("C:\Users\franc\OneDrive\Documentos\MALENTIN KARIME\BANCO ESTADO\2012 DEPTO ESCRITURAS fata\NOTARIA 2009\MATRICES INSTRUMENTOS PRIVADOS\INFORMES\TESTAMENTOS.doc", "Abrir Documento")</f>
        <v>0</v>
      </c>
      <c r="D11717" t="s">
        <v>23500</v>
      </c>
      <c r="E11717" t="s">
        <v>34192</v>
      </c>
    </row>
    <row r="11718" spans="1:5">
      <c r="A11718" t="s">
        <v>6</v>
      </c>
      <c r="B11718" t="s">
        <v>11723</v>
      </c>
      <c r="C11718">
        <f>HYPERLINK("C:\Users\franc\OneDrive\Documentos\MALENTIN KARIME\BANCO ESTADO\2012 DEPTO ESCRITURAS fata\NOTARIA 2009\MATRICES INSTRUMENTOS PRIVADOS\INFORMES\TESTAMENTOS REGISTRO CIVIL.doc", "Abrir Documento")</f>
        <v>0</v>
      </c>
      <c r="D11718" t="s">
        <v>23500</v>
      </c>
      <c r="E11718" t="s">
        <v>34193</v>
      </c>
    </row>
    <row r="11719" spans="1:5">
      <c r="A11719" t="s">
        <v>6</v>
      </c>
      <c r="B11719" t="s">
        <v>11724</v>
      </c>
      <c r="C11719">
        <f>HYPERLINK("C:\Users\franc\OneDrive\Documentos\MALENTIN KARIME\BANCO ESTADO\2012 DEPTO ESCRITURAS fata\NOTARIA 2009\MATRICES INSTRUMENTOS PRIVADOS\INFORMES\REPÉRTORIO.doc", "Abrir Documento")</f>
        <v>0</v>
      </c>
      <c r="D11719" t="s">
        <v>23500</v>
      </c>
      <c r="E11719" t="s">
        <v>34194</v>
      </c>
    </row>
    <row r="11720" spans="1:5">
      <c r="A11720" t="s">
        <v>6</v>
      </c>
      <c r="B11720" t="s">
        <v>11725</v>
      </c>
      <c r="C11720">
        <f>HYPERLINK("C:\Users\franc\OneDrive\Documentos\MALENTIN KARIME\BANCO ESTADO\2012 DEPTO ESCRITURAS fata\NOTARIA 2009\MATRICES INSTRUMENTOS PRIVADOS\INFORMES\REGISTRO FIRMA.doc", "Abrir Documento")</f>
        <v>0</v>
      </c>
      <c r="D11720" t="s">
        <v>23500</v>
      </c>
      <c r="E11720" t="s">
        <v>34195</v>
      </c>
    </row>
    <row r="11721" spans="1:5">
      <c r="A11721" t="s">
        <v>6</v>
      </c>
      <c r="B11721" t="s">
        <v>11726</v>
      </c>
      <c r="C11721">
        <f>HYPERLINK("C:\Users\franc\OneDrive\Documentos\MALENTIN KARIME\BANCO ESTADO\2012 DEPTO ESCRITURAS fata\NOTARIA 2009\MATRICES INSTRUMENTOS PRIVADOS\INFORMES\FINIQUITOS.doc", "Abrir Documento")</f>
        <v>0</v>
      </c>
      <c r="D11721" t="s">
        <v>23500</v>
      </c>
      <c r="E11721" t="s">
        <v>34196</v>
      </c>
    </row>
    <row r="11722" spans="1:5">
      <c r="A11722" t="s">
        <v>6</v>
      </c>
      <c r="B11722" t="s">
        <v>11727</v>
      </c>
      <c r="C11722">
        <f>HYPERLINK("C:\Users\franc\OneDrive\Documentos\MALENTIN KARIME\BANCO ESTADO\2012 DEPTO ESCRITURAS fata\NOTARIA 2009\MATRICES INSTRUMENTOS PRIVADOS\INFORMES\CORRECCION BOLETIN.doc", "Abrir Documento")</f>
        <v>0</v>
      </c>
      <c r="D11722" t="s">
        <v>23500</v>
      </c>
      <c r="E11722" t="s">
        <v>34197</v>
      </c>
    </row>
    <row r="11723" spans="1:5">
      <c r="A11723" t="s">
        <v>6</v>
      </c>
      <c r="B11723" t="s">
        <v>11728</v>
      </c>
      <c r="C11723">
        <f>HYPERLINK("C:\Users\franc\OneDrive\Documentos\MALENTIN KARIME\BANCO ESTADO\2012 DEPTO ESCRITURAS fata\NOTARIA 2009\MATRICES INSTRUMENTOS PRIVADOS\INFORMES\BOLETIN.doc", "Abrir Documento")</f>
        <v>0</v>
      </c>
      <c r="D11723" t="s">
        <v>23500</v>
      </c>
      <c r="E11723" t="s">
        <v>34198</v>
      </c>
    </row>
    <row r="11724" spans="1:5">
      <c r="A11724" t="s">
        <v>6</v>
      </c>
      <c r="B11724" t="s">
        <v>11729</v>
      </c>
      <c r="C11724">
        <f>HYPERLINK("C:\Users\franc\OneDrive\Documentos\MALENTIN KARIME\BANCO ESTADO\2012 DEPTO ESCRITURAS fata\NOTARIA 2009\MATRICES INSTRUMENTOS PRIVADOS\INFORMES\BOLETIN ARGUEYO.doc", "Abrir Documento")</f>
        <v>0</v>
      </c>
      <c r="D11724" t="s">
        <v>23500</v>
      </c>
      <c r="E11724" t="s">
        <v>34199</v>
      </c>
    </row>
    <row r="11725" spans="1:5">
      <c r="A11725" t="s">
        <v>6</v>
      </c>
      <c r="B11725" t="s">
        <v>11730</v>
      </c>
      <c r="C11725">
        <f>HYPERLINK("C:\Users\franc\OneDrive\Documentos\MALENTIN KARIME\BANCO ESTADO\2012 DEPTO ESCRITURAS fata\NOTARIA 2009\MATRICES INSTRUMENTOS PRIVADOS\declaracion jurada\SOLTERIA MAURICIO.doc", "Abrir Documento")</f>
        <v>0</v>
      </c>
      <c r="D11725" t="s">
        <v>23500</v>
      </c>
      <c r="E11725" t="s">
        <v>34200</v>
      </c>
    </row>
    <row r="11726" spans="1:5">
      <c r="A11726" t="s">
        <v>6</v>
      </c>
      <c r="B11726" t="s">
        <v>11731</v>
      </c>
      <c r="C11726">
        <f>HYPERLINK("C:\Users\franc\OneDrive\Documentos\MALENTIN KARIME\BANCO ESTADO\2012 DEPTO ESCRITURAS fata\NOTARIA 2009\MATRICES INSTRUMENTOS PRIVADOS\declaracion jurada\renta villouta 7-3.doc", "Abrir Documento")</f>
        <v>0</v>
      </c>
      <c r="D11726" t="s">
        <v>23500</v>
      </c>
      <c r="E11726" t="s">
        <v>34201</v>
      </c>
    </row>
    <row r="11727" spans="1:5">
      <c r="A11727" t="s">
        <v>6</v>
      </c>
      <c r="B11727" t="s">
        <v>11732</v>
      </c>
      <c r="C11727">
        <f>HYPERLINK("C:\Users\franc\OneDrive\Documentos\MALENTIN KARIME\BANCO ESTADO\2012 DEPTO ESCRITURAS fata\NOTARIA 2009\MATRICES INSTRUMENTOS PRIVADOS\declaracion jurada\perdida todos documentos.doc", "Abrir Documento")</f>
        <v>0</v>
      </c>
      <c r="D11727" t="s">
        <v>23500</v>
      </c>
      <c r="E11727" t="s">
        <v>34202</v>
      </c>
    </row>
    <row r="11728" spans="1:5">
      <c r="A11728" t="s">
        <v>6</v>
      </c>
      <c r="B11728" t="s">
        <v>11733</v>
      </c>
      <c r="C11728">
        <f>HYPERLINK("C:\Users\franc\OneDrive\Documentos\MALENTIN KARIME\BANCO ESTADO\2012 DEPTO ESCRITURAS fata\NOTARIA 2009\MATRICES INSTRUMENTOS PRIVADOS\declaracion jurada\perdida permiso circulacion 13-3.doc", "Abrir Documento")</f>
        <v>0</v>
      </c>
      <c r="D11728" t="s">
        <v>23500</v>
      </c>
      <c r="E11728" t="s">
        <v>34203</v>
      </c>
    </row>
    <row r="11729" spans="1:5">
      <c r="A11729" t="s">
        <v>6</v>
      </c>
      <c r="B11729" t="s">
        <v>11734</v>
      </c>
      <c r="C11729">
        <f>HYPERLINK("C:\Users\franc\OneDrive\Documentos\MALENTIN KARIME\BANCO ESTADO\2012 DEPTO ESCRITURAS fata\NOTARIA 2009\MATRICES INSTRUMENTOS PRIVADOS\declaracion jurada\perdida licencia conducir.doc", "Abrir Documento")</f>
        <v>0</v>
      </c>
      <c r="D11729" t="s">
        <v>23500</v>
      </c>
      <c r="E11729" t="s">
        <v>34204</v>
      </c>
    </row>
    <row r="11730" spans="1:5">
      <c r="A11730" t="s">
        <v>6</v>
      </c>
      <c r="B11730" t="s">
        <v>11735</v>
      </c>
      <c r="C11730">
        <f>HYPERLINK("C:\Users\franc\OneDrive\Documentos\MALENTIN KARIME\BANCO ESTADO\2012 DEPTO ESCRITURAS fata\NOTARIA 2009\MATRICES INSTRUMENTOS PRIVADOS\declaracion jurada\Perdida de cheque.doc", "Abrir Documento")</f>
        <v>0</v>
      </c>
      <c r="D11730" t="s">
        <v>23500</v>
      </c>
      <c r="E11730" t="s">
        <v>34205</v>
      </c>
    </row>
    <row r="11731" spans="1:5">
      <c r="A11731" t="s">
        <v>6</v>
      </c>
      <c r="B11731" t="s">
        <v>11736</v>
      </c>
      <c r="C11731">
        <f>HYPERLINK("C:\Users\franc\OneDrive\Documentos\MALENTIN KARIME\BANCO ESTADO\2012 DEPTO ESCRITURAS fata\NOTARIA 2009\MATRICES INSTRUMENTOS PRIVADOS\declaracion jurada\perdida cheque.doc", "Abrir Documento")</f>
        <v>0</v>
      </c>
      <c r="D11731" t="s">
        <v>23500</v>
      </c>
      <c r="E11731" t="s">
        <v>34206</v>
      </c>
    </row>
    <row r="11732" spans="1:5">
      <c r="A11732" t="s">
        <v>6</v>
      </c>
      <c r="B11732" t="s">
        <v>11737</v>
      </c>
      <c r="C11732">
        <f>HYPERLINK("C:\Users\franc\OneDrive\Documentos\MALENTIN KARIME\BANCO ESTADO\2012 DEPTO ESCRITURAS fata\NOTARIA 2009\MATRICES INSTRUMENTOS PRIVADOS\declaracion jurada\perdida certif analisis de gases.doc", "Abrir Documento")</f>
        <v>0</v>
      </c>
      <c r="D11732" t="s">
        <v>23500</v>
      </c>
      <c r="E11732" t="s">
        <v>34207</v>
      </c>
    </row>
    <row r="11733" spans="1:5">
      <c r="A11733" t="s">
        <v>6</v>
      </c>
      <c r="B11733" t="s">
        <v>11738</v>
      </c>
      <c r="C11733">
        <f>HYPERLINK("C:\Users\franc\OneDrive\Documentos\MALENTIN KARIME\BANCO ESTADO\2012 DEPTO ESCRITURAS fata\NOTARIA 2009\MATRICES INSTRUMENTOS PRIVADOS\declaracion jurada\perdida cedula.doc", "Abrir Documento")</f>
        <v>0</v>
      </c>
      <c r="D11733" t="s">
        <v>23500</v>
      </c>
      <c r="E11733" t="s">
        <v>34208</v>
      </c>
    </row>
    <row r="11734" spans="1:5">
      <c r="A11734" t="s">
        <v>6</v>
      </c>
      <c r="B11734" t="s">
        <v>11739</v>
      </c>
      <c r="C11734">
        <f>HYPERLINK("C:\Users\franc\OneDrive\Documentos\MALENTIN KARIME\BANCO ESTADO\2012 DEPTO ESCRITURAS fata\NOTARIA 2009\MATRICES INSTRUMENTOS PRIVADOS\declaracion jurada\obtencion patente alcoholes.doc", "Abrir Documento")</f>
        <v>0</v>
      </c>
      <c r="D11734" t="s">
        <v>23500</v>
      </c>
      <c r="E11734" t="s">
        <v>34209</v>
      </c>
    </row>
    <row r="11735" spans="1:5">
      <c r="A11735" t="s">
        <v>6</v>
      </c>
      <c r="B11735" t="s">
        <v>11740</v>
      </c>
      <c r="C11735">
        <f>HYPERLINK("C:\Users\franc\OneDrive\Documentos\MALENTIN KARIME\BANCO ESTADO\2012 DEPTO ESCRITURAS fata\NOTARIA 2009\MATRICES INSTRUMENTOS PRIVADOS\declaracion jurada\no circulacion vehiculo.doc", "Abrir Documento")</f>
        <v>0</v>
      </c>
      <c r="D11735" t="s">
        <v>23500</v>
      </c>
      <c r="E11735" t="s">
        <v>34210</v>
      </c>
    </row>
    <row r="11736" spans="1:5">
      <c r="A11736" t="s">
        <v>6</v>
      </c>
      <c r="B11736" t="s">
        <v>11741</v>
      </c>
      <c r="C11736">
        <f>HYPERLINK("C:\Users\franc\OneDrive\Documentos\MALENTIN KARIME\BANCO ESTADO\2012 DEPTO ESCRITURAS fata\NOTARIA 2009\MATRICES INSTRUMENTOS PRIVADOS\declaracion jurada\no circulacion vehiculo 11-3.doc", "Abrir Documento")</f>
        <v>0</v>
      </c>
      <c r="D11736" t="s">
        <v>23500</v>
      </c>
      <c r="E11736" t="s">
        <v>34211</v>
      </c>
    </row>
    <row r="11737" spans="1:5">
      <c r="A11737" t="s">
        <v>6</v>
      </c>
      <c r="B11737" t="s">
        <v>11742</v>
      </c>
      <c r="C11737">
        <f>HYPERLINK("C:\Users\franc\OneDrive\Documentos\MALENTIN KARIME\BANCO ESTADO\2012 DEPTO ESCRITURAS fata\NOTARIA 2009\MATRICES INSTRUMENTOS PRIVADOS\declaracion jurada\Declaración 220km.doc", "Abrir Documento")</f>
        <v>0</v>
      </c>
      <c r="D11737" t="s">
        <v>23500</v>
      </c>
      <c r="E11737" t="s">
        <v>34212</v>
      </c>
    </row>
    <row r="11738" spans="1:5">
      <c r="A11738" t="s">
        <v>6</v>
      </c>
      <c r="B11738" t="s">
        <v>11743</v>
      </c>
      <c r="C11738">
        <f>HYPERLINK("C:\Users\franc\OneDrive\Documentos\MALENTIN KARIME\BANCO ESTADO\2012 DEPTO ESCRITURAS fata\NOTARIA 2009\MATRICES INSTRUMENTOS PRIVADOS\declaracion jurada\DECLARACION revision tecnica.doc", "Abrir Documento")</f>
        <v>0</v>
      </c>
      <c r="D11738" t="s">
        <v>23500</v>
      </c>
      <c r="E11738" t="s">
        <v>34213</v>
      </c>
    </row>
    <row r="11739" spans="1:5">
      <c r="A11739" t="s">
        <v>6</v>
      </c>
      <c r="B11739" t="s">
        <v>11744</v>
      </c>
      <c r="C11739">
        <f>HYPERLINK("C:\Users\franc\OneDrive\Documentos\MALENTIN KARIME\BANCO ESTADO\2012 DEPTO ESCRITURAS fata\NOTARIA 2009\MATRICES INSTRUMENTOS PRIVADOS\declaracion jurada\Declaracion renta.doc", "Abrir Documento")</f>
        <v>0</v>
      </c>
      <c r="D11739" t="s">
        <v>23500</v>
      </c>
      <c r="E11739" t="s">
        <v>34214</v>
      </c>
    </row>
    <row r="11740" spans="1:5">
      <c r="A11740" t="s">
        <v>6</v>
      </c>
      <c r="B11740" t="s">
        <v>11745</v>
      </c>
      <c r="C11740">
        <f>HYPERLINK("C:\Users\franc\OneDrive\Documentos\MALENTIN KARIME\BANCO ESTADO\2012 DEPTO ESCRITURAS fata\NOTARIA 2009\MATRICES INSTRUMENTOS PRIVADOS\declaracion jurada\DECLARACION JURADA SOLTERIA.doc", "Abrir Documento")</f>
        <v>0</v>
      </c>
      <c r="D11740" t="s">
        <v>23500</v>
      </c>
      <c r="E11740" t="s">
        <v>34215</v>
      </c>
    </row>
    <row r="11741" spans="1:5">
      <c r="A11741" t="s">
        <v>6</v>
      </c>
      <c r="B11741" t="s">
        <v>11746</v>
      </c>
      <c r="C11741">
        <f>HYPERLINK("C:\Users\franc\OneDrive\Documentos\MALENTIN KARIME\BANCO ESTADO\2012 DEPTO ESCRITURAS fata\NOTARIA 2009\MATRICES INSTRUMENTOS PRIVADOS\declaracion jurada\DECLARACION JURADA FIRMO ANTE MI.doc", "Abrir Documento")</f>
        <v>0</v>
      </c>
      <c r="D11741" t="s">
        <v>23500</v>
      </c>
      <c r="E11741" t="s">
        <v>34216</v>
      </c>
    </row>
    <row r="11742" spans="1:5">
      <c r="A11742" t="s">
        <v>6</v>
      </c>
      <c r="B11742" t="s">
        <v>11747</v>
      </c>
      <c r="C11742">
        <f>HYPERLINK("C:\Users\franc\OneDrive\Documentos\MALENTIN KARIME\BANCO ESTADO\2012 DEPTO ESCRITURAS fata\NOTARIA 2009\MATRICES INSTRUMENTOS PRIVADOS\declaracion jurada\DECLARACION JURADA FIRMA AUTORIZADA.doc", "Abrir Documento")</f>
        <v>0</v>
      </c>
      <c r="D11742" t="s">
        <v>23500</v>
      </c>
      <c r="E11742" t="s">
        <v>34217</v>
      </c>
    </row>
    <row r="11743" spans="1:5">
      <c r="A11743" t="s">
        <v>6</v>
      </c>
      <c r="B11743" t="s">
        <v>11748</v>
      </c>
      <c r="C11743">
        <f>HYPERLINK("C:\Users\franc\OneDrive\Documentos\MALENTIN KARIME\BANCO ESTADO\2012 DEPTO ESCRITURAS fata\NOTARIA 2009\MATRICES INSTRUMENTOS PRIVADOS\declaracion jurada\DECLARACION JURADA DE TESTIGOS.doc", "Abrir Documento")</f>
        <v>0</v>
      </c>
      <c r="D11743" t="s">
        <v>23500</v>
      </c>
      <c r="E11743" t="s">
        <v>34218</v>
      </c>
    </row>
    <row r="11744" spans="1:5">
      <c r="A11744" t="s">
        <v>6</v>
      </c>
      <c r="B11744" t="s">
        <v>11749</v>
      </c>
      <c r="C11744">
        <f>HYPERLINK("C:\Users\franc\OneDrive\Documentos\MALENTIN KARIME\BANCO ESTADO\2012 DEPTO ESCRITURAS fata\NOTARIA 2009\MATRICES INSTRUMENTOS PRIVADOS\declaracion jurada\DECLARA. formato.doc", "Abrir Documento")</f>
        <v>0</v>
      </c>
      <c r="D11744" t="s">
        <v>23500</v>
      </c>
      <c r="E11744" t="s">
        <v>34219</v>
      </c>
    </row>
    <row r="11745" spans="1:5">
      <c r="A11745" t="s">
        <v>6</v>
      </c>
      <c r="B11745" t="s">
        <v>11750</v>
      </c>
      <c r="C11745">
        <f>HYPERLINK("C:\Users\franc\OneDrive\Documentos\MALENTIN KARIME\BANCO ESTADO\2012 DEPTO ESCRITURAS fata\NOTARIA 2009\MATRICES INSTRUMENTOS PRIVADOS\declaracion jurada\DECLAR.Permiso Circ..doc", "Abrir Documento")</f>
        <v>0</v>
      </c>
      <c r="D11745" t="s">
        <v>23500</v>
      </c>
      <c r="E11745" t="s">
        <v>34220</v>
      </c>
    </row>
    <row r="11746" spans="1:5">
      <c r="A11746" t="s">
        <v>6</v>
      </c>
      <c r="B11746" t="s">
        <v>11751</v>
      </c>
      <c r="C11746">
        <f>HYPERLINK("C:\Users\franc\OneDrive\Documentos\MALENTIN KARIME\BANCO ESTADO\2012 DEPTO ESCRITURAS fata\NOTARIA 2009\MATRICES INSTRUMENTOS PRIVADOS\declaracion jurada\DECLAR.motor..doc", "Abrir Documento")</f>
        <v>0</v>
      </c>
      <c r="D11746" t="s">
        <v>23500</v>
      </c>
      <c r="E11746" t="s">
        <v>34221</v>
      </c>
    </row>
    <row r="11747" spans="1:5">
      <c r="A11747" t="s">
        <v>6</v>
      </c>
      <c r="B11747" t="s">
        <v>11752</v>
      </c>
      <c r="C11747">
        <f>HYPERLINK("C:\Users\franc\OneDrive\Documentos\MALENTIN KARIME\BANCO ESTADO\2012 DEPTO ESCRITURAS fata\NOTARIA 2009\MATRICES INSTRUMENTOS PRIVADOS\declaracion jurada\DECLAR.cheque..doc", "Abrir Documento")</f>
        <v>0</v>
      </c>
      <c r="D11747" t="s">
        <v>23500</v>
      </c>
      <c r="E11747" t="s">
        <v>34222</v>
      </c>
    </row>
    <row r="11748" spans="1:5">
      <c r="A11748" t="s">
        <v>6</v>
      </c>
      <c r="B11748" t="s">
        <v>11753</v>
      </c>
      <c r="C11748">
        <f>HYPERLINK("C:\Users\franc\OneDrive\Documentos\MALENTIN KARIME\BANCO ESTADO\2012 DEPTO ESCRITURAS fata\NOTARIA 2009\MATRICES INSTRUMENTOS PRIVADOS\declaracion jurada\DECLAR.carro de arrastre.doc", "Abrir Documento")</f>
        <v>0</v>
      </c>
      <c r="D11748" t="s">
        <v>23500</v>
      </c>
      <c r="E11748" t="s">
        <v>34223</v>
      </c>
    </row>
    <row r="11749" spans="1:5">
      <c r="A11749" t="s">
        <v>6</v>
      </c>
      <c r="B11749" t="s">
        <v>11754</v>
      </c>
      <c r="C11749">
        <f>HYPERLINK("C:\Users\franc\OneDrive\Documentos\MALENTIN KARIME\BANCO ESTADO\2012 DEPTO ESCRITURAS fata\NOTARIA 2009\MATRICES INSTRUMENTOS PRIVADOS\declaracion jurada\DECLAR. gastos estudios..doc", "Abrir Documento")</f>
        <v>0</v>
      </c>
      <c r="D11749" t="s">
        <v>23500</v>
      </c>
      <c r="E11749" t="s">
        <v>34224</v>
      </c>
    </row>
    <row r="11750" spans="1:5">
      <c r="A11750" t="s">
        <v>6</v>
      </c>
      <c r="B11750" t="s">
        <v>11755</v>
      </c>
      <c r="C11750">
        <f>HYPERLINK("C:\Users\franc\OneDrive\Documentos\MALENTIN KARIME\BANCO ESTADO\2012 DEPTO ESCRITURAS fata\NOTARIA 2009\MATRICES INSTRUMENTOS PRIVADOS\declaracion jurada\DECLAR. domicilio..doc", "Abrir Documento")</f>
        <v>0</v>
      </c>
      <c r="D11750" t="s">
        <v>23500</v>
      </c>
      <c r="E11750" t="s">
        <v>34225</v>
      </c>
    </row>
    <row r="11751" spans="1:5">
      <c r="A11751" t="s">
        <v>6</v>
      </c>
      <c r="B11751" t="s">
        <v>11756</v>
      </c>
      <c r="C11751">
        <f>HYPERLINK("C:\Users\franc\OneDrive\Documentos\MALENTIN KARIME\BANCO ESTADO\2012 DEPTO ESCRITURAS fata\NOTARIA 2009\MATRICES INSTRUMENTOS PRIVADOS\declaracion jurada\DECLA.Revisión..doc", "Abrir Documento")</f>
        <v>0</v>
      </c>
      <c r="D11751" t="s">
        <v>23500</v>
      </c>
      <c r="E11751" t="s">
        <v>34226</v>
      </c>
    </row>
    <row r="11752" spans="1:5">
      <c r="A11752" t="s">
        <v>6</v>
      </c>
      <c r="B11752" t="s">
        <v>11757</v>
      </c>
      <c r="C11752">
        <f>HYPERLINK("C:\Users\franc\OneDrive\Documentos\MALENTIN KARIME\BANCO ESTADO\2012 DEPTO ESCRITURAS fata\NOTARIA 2009\MATRICES INSTRUMENTOS PRIVADOS\declaracion jurada\DECLA.contruccion bote.doc", "Abrir Documento")</f>
        <v>0</v>
      </c>
      <c r="D11752" t="s">
        <v>23500</v>
      </c>
      <c r="E11752" t="s">
        <v>34227</v>
      </c>
    </row>
    <row r="11753" spans="1:5">
      <c r="A11753" t="s">
        <v>6</v>
      </c>
      <c r="B11753" t="s">
        <v>11758</v>
      </c>
      <c r="C11753">
        <f>HYPERLINK("C:\Users\franc\OneDrive\Documentos\MALENTIN KARIME\BANCO ESTADO\2012 DEPTO ESCRITURAS fata\NOTARIA 2009\MATRICES INSTRUMENTOS PRIVADOS\declaracion jurada\Decla sobre estado familiar.doc", "Abrir Documento")</f>
        <v>0</v>
      </c>
      <c r="D11753" t="s">
        <v>23500</v>
      </c>
      <c r="E11753" t="s">
        <v>34228</v>
      </c>
    </row>
    <row r="11754" spans="1:5">
      <c r="A11754" t="s">
        <v>6</v>
      </c>
      <c r="B11754" t="s">
        <v>11759</v>
      </c>
      <c r="C11754">
        <f>HYPERLINK("C:\Users\franc\OneDrive\Documentos\MALENTIN KARIME\BANCO ESTADO\2012 DEPTO ESCRITURAS fata\NOTARIA 2009\MATRICES INSTRUMENTOS PRIVADOS\declaracion jurada\Decl. solteria.doc", "Abrir Documento")</f>
        <v>0</v>
      </c>
      <c r="D11754" t="s">
        <v>23500</v>
      </c>
      <c r="E11754" t="s">
        <v>34229</v>
      </c>
    </row>
    <row r="11755" spans="1:5">
      <c r="A11755" t="s">
        <v>6</v>
      </c>
      <c r="B11755" t="s">
        <v>11760</v>
      </c>
      <c r="C11755">
        <f>HYPERLINK("C:\Users\franc\OneDrive\Documentos\MALENTIN KARIME\BANCO ESTADO\2012 DEPTO ESCRITURAS fata\NOTARIA 2009\MATRICES INSTRUMENTOS PRIVADOS\declaracion jurada\Decl. renta.doc", "Abrir Documento")</f>
        <v>0</v>
      </c>
      <c r="D11755" t="s">
        <v>23500</v>
      </c>
      <c r="E11755" t="s">
        <v>34230</v>
      </c>
    </row>
    <row r="11756" spans="1:5">
      <c r="A11756" t="s">
        <v>6</v>
      </c>
      <c r="B11756" t="s">
        <v>11761</v>
      </c>
      <c r="C11756">
        <f>HYPERLINK("C:\Users\franc\OneDrive\Documentos\MALENTIN KARIME\BANCO ESTADO\2012 DEPTO ESCRITURAS fata\NOTARIA 2009\MATRICES INSTRUMENTOS PRIVADOS\declaracion jurada\Decl. remuneración traslado.doc", "Abrir Documento")</f>
        <v>0</v>
      </c>
      <c r="D11756" t="s">
        <v>23500</v>
      </c>
      <c r="E11756" t="s">
        <v>34231</v>
      </c>
    </row>
    <row r="11757" spans="1:5">
      <c r="A11757" t="s">
        <v>6</v>
      </c>
      <c r="B11757" t="s">
        <v>11762</v>
      </c>
      <c r="C11757">
        <f>HYPERLINK("C:\Users\franc\OneDrive\Documentos\MALENTIN KARIME\BANCO ESTADO\2012 DEPTO ESCRITURAS fata\NOTARIA 2009\MATRICES INSTRUMENTOS PRIVADOS\declaracion jurada\Decl. allegada.doc", "Abrir Documento")</f>
        <v>0</v>
      </c>
      <c r="D11757" t="s">
        <v>23500</v>
      </c>
      <c r="E11757" t="s">
        <v>34232</v>
      </c>
    </row>
    <row r="11758" spans="1:5">
      <c r="A11758" t="s">
        <v>6</v>
      </c>
      <c r="B11758" t="s">
        <v>11763</v>
      </c>
      <c r="C11758">
        <f>HYPERLINK("C:\Users\franc\OneDrive\Documentos\MALENTIN KARIME\BANCO ESTADO\2012 DEPTO ESCRITURAS fata\NOTARIA 2009\MATRICES INSTRUMENTOS PRIVADOS\declaracion jurada\cesantia.doc", "Abrir Documento")</f>
        <v>0</v>
      </c>
      <c r="D11758" t="s">
        <v>23500</v>
      </c>
      <c r="E11758" t="s">
        <v>34233</v>
      </c>
    </row>
    <row r="11759" spans="1:5">
      <c r="A11759" t="s">
        <v>6</v>
      </c>
      <c r="B11759" t="s">
        <v>11764</v>
      </c>
      <c r="C11759">
        <f>HYPERLINK("C:\Users\franc\OneDrive\Documentos\MALENTIN KARIME\BANCO ESTADO\2012 DEPTO ESCRITURAS fata\NOTARIA 2009\MATRICES INSTRUMENTOS PRIVADOS\declaracion jurada\cede sin coste vivienda.doc", "Abrir Documento")</f>
        <v>0</v>
      </c>
      <c r="D11759" t="s">
        <v>23500</v>
      </c>
      <c r="E11759" t="s">
        <v>34234</v>
      </c>
    </row>
    <row r="11760" spans="1:5">
      <c r="A11760" t="s">
        <v>6</v>
      </c>
      <c r="B11760" t="s">
        <v>11765</v>
      </c>
      <c r="C11760">
        <f>HYPERLINK("C:\Users\franc\OneDrive\Documentos\MALENTIN KARIME\BANCO ESTADO\2012 DEPTO ESCRITURAS fata\NOTARIA 2009\MATRICES INSTRUMENTOS PRIVADOS\declaracion jurada\carro hechizo.doc", "Abrir Documento")</f>
        <v>0</v>
      </c>
      <c r="D11760" t="s">
        <v>23500</v>
      </c>
      <c r="E11760" t="s">
        <v>34235</v>
      </c>
    </row>
    <row r="11761" spans="1:5">
      <c r="A11761" t="s">
        <v>6</v>
      </c>
      <c r="B11761" t="s">
        <v>11766</v>
      </c>
      <c r="C11761">
        <f>HYPERLINK("C:\Users\franc\OneDrive\Documentos\MALENTIN KARIME\BANCO ESTADO\2012 DEPTO ESCRITURAS fata\NOTARIA 2009\MATRICES INSTRUMENTOS PRIVADOS\declaracion jurada\autoriza sin coste.doc", "Abrir Documento")</f>
        <v>0</v>
      </c>
      <c r="D11761" t="s">
        <v>23500</v>
      </c>
      <c r="E11761" t="s">
        <v>34236</v>
      </c>
    </row>
    <row r="11762" spans="1:5">
      <c r="A11762" t="s">
        <v>6</v>
      </c>
      <c r="B11762" t="s">
        <v>11767</v>
      </c>
      <c r="C11762">
        <f>HYPERLINK("C:\Users\franc\OneDrive\Documentos\MALENTIN KARIME\BANCO ESTADO\2012 DEPTO ESCRITURAS fata\NOTARIA 2009\MATRICES INSTRUMENTOS PRIVADOS\declaracion jurada\asignacion familiar.doc", "Abrir Documento")</f>
        <v>0</v>
      </c>
      <c r="D11762" t="s">
        <v>23500</v>
      </c>
      <c r="E11762" t="s">
        <v>34237</v>
      </c>
    </row>
    <row r="11763" spans="1:5">
      <c r="A11763" t="s">
        <v>6</v>
      </c>
      <c r="B11763" t="s">
        <v>11768</v>
      </c>
      <c r="C11763">
        <f>HYPERLINK("C:\Users\franc\OneDrive\Documentos\MALENTIN KARIME\BANCO ESTADO\2012 DEPTO ESCRITURAS fata\NOTARIA 2009\MATRICES INSTRUMENTOS PRIVADOS\contratos\venta escopeta.doc", "Abrir Documento")</f>
        <v>0</v>
      </c>
      <c r="D11763" t="s">
        <v>23500</v>
      </c>
      <c r="E11763" t="s">
        <v>34238</v>
      </c>
    </row>
    <row r="11764" spans="1:5">
      <c r="A11764" t="s">
        <v>6</v>
      </c>
      <c r="B11764" t="s">
        <v>11769</v>
      </c>
      <c r="C11764">
        <f>HYPERLINK("C:\Users\franc\OneDrive\Documentos\MALENTIN KARIME\BANCO ESTADO\2012 DEPTO ESCRITURAS fata\NOTARIA 2009\MATRICES INSTRUMENTOS PRIVADOS\contratos\SUBROGACION DE ARRIENDO.doc", "Abrir Documento")</f>
        <v>0</v>
      </c>
      <c r="D11764" t="s">
        <v>23500</v>
      </c>
      <c r="E11764" t="s">
        <v>34239</v>
      </c>
    </row>
    <row r="11765" spans="1:5">
      <c r="A11765" t="s">
        <v>6</v>
      </c>
      <c r="B11765" t="s">
        <v>11770</v>
      </c>
      <c r="C11765">
        <f>HYPERLINK("C:\Users\franc\OneDrive\Documentos\MALENTIN KARIME\BANCO ESTADO\2012 DEPTO ESCRITURAS fata\NOTARIA 2009\MATRICES INSTRUMENTOS PRIVADOS\contratos\RESCILIACION DE CONTRATO DE VEHICULO.doc", "Abrir Documento")</f>
        <v>0</v>
      </c>
      <c r="D11765" t="s">
        <v>23500</v>
      </c>
      <c r="E11765" t="s">
        <v>34240</v>
      </c>
    </row>
    <row r="11766" spans="1:5">
      <c r="A11766" t="s">
        <v>6</v>
      </c>
      <c r="B11766" t="s">
        <v>11771</v>
      </c>
      <c r="C11766">
        <f>HYPERLINK("C:\Users\franc\OneDrive\Documentos\MALENTIN KARIME\BANCO ESTADO\2012 DEPTO ESCRITURAS fata\NOTARIA 2009\MATRICES INSTRUMENTOS PRIVADOS\contratos\prorroga arriendo.doc", "Abrir Documento")</f>
        <v>0</v>
      </c>
      <c r="D11766" t="s">
        <v>23500</v>
      </c>
      <c r="E11766" t="s">
        <v>34241</v>
      </c>
    </row>
    <row r="11767" spans="1:5">
      <c r="A11767" t="s">
        <v>6</v>
      </c>
      <c r="B11767" t="s">
        <v>11772</v>
      </c>
      <c r="C11767">
        <f>HYPERLINK("C:\Users\franc\OneDrive\Documentos\MALENTIN KARIME\BANCO ESTADO\2012 DEPTO ESCRITURAS fata\NOTARIA 2009\MATRICES INSTRUMENTOS PRIVADOS\contratos\PROMESA JIMENA FERNANDEZ.doc", "Abrir Documento")</f>
        <v>0</v>
      </c>
      <c r="D11767" t="s">
        <v>23500</v>
      </c>
      <c r="E11767" t="s">
        <v>34242</v>
      </c>
    </row>
    <row r="11768" spans="1:5">
      <c r="A11768" t="s">
        <v>6</v>
      </c>
      <c r="B11768" t="s">
        <v>11773</v>
      </c>
      <c r="C11768">
        <f>HYPERLINK("C:\Users\franc\OneDrive\Documentos\MALENTIN KARIME\BANCO ESTADO\2012 DEPTO ESCRITURAS fata\NOTARIA 2009\MATRICES INSTRUMENTOS PRIVADOS\contratos\PROMESA FRESIA GAETE PARC.14.doc", "Abrir Documento")</f>
        <v>0</v>
      </c>
      <c r="D11768" t="s">
        <v>23500</v>
      </c>
      <c r="E11768" t="s">
        <v>34243</v>
      </c>
    </row>
    <row r="11769" spans="1:5">
      <c r="A11769" t="s">
        <v>6</v>
      </c>
      <c r="B11769" t="s">
        <v>11774</v>
      </c>
      <c r="C11769">
        <f>HYPERLINK("C:\Users\franc\OneDrive\Documentos\MALENTIN KARIME\BANCO ESTADO\2012 DEPTO ESCRITURAS fata\NOTARIA 2009\MATRICES INSTRUMENTOS PRIVADOS\contratos\prestacion de servicios.doc", "Abrir Documento")</f>
        <v>0</v>
      </c>
      <c r="D11769" t="s">
        <v>23500</v>
      </c>
      <c r="E11769" t="s">
        <v>34244</v>
      </c>
    </row>
    <row r="11770" spans="1:5">
      <c r="A11770" t="s">
        <v>6</v>
      </c>
      <c r="B11770" t="s">
        <v>11775</v>
      </c>
      <c r="C11770">
        <f>HYPERLINK("C:\Users\franc\OneDrive\Documentos\MALENTIN KARIME\BANCO ESTADO\2012 DEPTO ESCRITURAS fata\NOTARIA 2009\MATRICES INSTRUMENTOS PRIVADOS\contratos\prestacion de servicio.doc", "Abrir Documento")</f>
        <v>0</v>
      </c>
      <c r="D11770" t="s">
        <v>23500</v>
      </c>
      <c r="E11770" t="s">
        <v>34245</v>
      </c>
    </row>
    <row r="11771" spans="1:5">
      <c r="A11771" t="s">
        <v>6</v>
      </c>
      <c r="B11771" t="s">
        <v>11776</v>
      </c>
      <c r="C11771">
        <f>HYPERLINK("C:\Users\franc\OneDrive\Documentos\MALENTIN KARIME\BANCO ESTADO\2012 DEPTO ESCRITURAS fata\NOTARIA 2009\MATRICES INSTRUMENTOS PRIVADOS\contratos\prestacion de ser.doc", "Abrir Documento")</f>
        <v>0</v>
      </c>
      <c r="D11771" t="s">
        <v>23500</v>
      </c>
      <c r="E11771" t="s">
        <v>34246</v>
      </c>
    </row>
    <row r="11772" spans="1:5">
      <c r="A11772" t="s">
        <v>6</v>
      </c>
      <c r="B11772" t="s">
        <v>11777</v>
      </c>
      <c r="C11772">
        <f>HYPERLINK("C:\Users\franc\OneDrive\Documentos\MALENTIN KARIME\BANCO ESTADO\2012 DEPTO ESCRITURAS fata\NOTARIA 2009\MATRICES INSTRUMENTOS PRIVADOS\contratos\POSTACIÓN.doc", "Abrir Documento")</f>
        <v>0</v>
      </c>
      <c r="D11772" t="s">
        <v>23500</v>
      </c>
      <c r="E11772" t="s">
        <v>34247</v>
      </c>
    </row>
    <row r="11773" spans="1:5">
      <c r="A11773" t="s">
        <v>6</v>
      </c>
      <c r="B11773" t="s">
        <v>11778</v>
      </c>
      <c r="C11773">
        <f>HYPERLINK("C:\Users\franc\OneDrive\Documentos\MALENTIN KARIME\BANCO ESTADO\2012 DEPTO ESCRITURAS fata\NOTARIA 2009\MATRICES INSTRUMENTOS PRIVADOS\contratos\mandato judicial.doc", "Abrir Documento")</f>
        <v>0</v>
      </c>
      <c r="D11773" t="s">
        <v>23500</v>
      </c>
      <c r="E11773" t="s">
        <v>34248</v>
      </c>
    </row>
    <row r="11774" spans="1:5">
      <c r="A11774" t="s">
        <v>6</v>
      </c>
      <c r="B11774" t="s">
        <v>11779</v>
      </c>
      <c r="C11774">
        <f>HYPERLINK("C:\Users\franc\OneDrive\Documentos\MALENTIN KARIME\BANCO ESTADO\2012 DEPTO ESCRITURAS fata\NOTARIA 2009\MATRICES INSTRUMENTOS PRIVADOS\contratos\Mandato General Amplio.doc", "Abrir Documento")</f>
        <v>0</v>
      </c>
      <c r="D11774" t="s">
        <v>23500</v>
      </c>
      <c r="E11774" t="s">
        <v>34249</v>
      </c>
    </row>
    <row r="11775" spans="1:5">
      <c r="A11775" t="s">
        <v>6</v>
      </c>
      <c r="B11775" t="s">
        <v>11780</v>
      </c>
      <c r="C11775">
        <f>HYPERLINK("C:\Users\franc\OneDrive\Documentos\MALENTIN KARIME\BANCO ESTADO\2012 DEPTO ESCRITURAS fata\NOTARIA 2009\MATRICES INSTRUMENTOS PRIVADOS\contratos\mandato de venta huente.doc", "Abrir Documento")</f>
        <v>0</v>
      </c>
      <c r="D11775" t="s">
        <v>23500</v>
      </c>
      <c r="E11775" t="s">
        <v>34250</v>
      </c>
    </row>
    <row r="11776" spans="1:5">
      <c r="A11776" t="s">
        <v>6</v>
      </c>
      <c r="B11776" t="s">
        <v>11781</v>
      </c>
      <c r="C11776">
        <f>HYPERLINK("C:\Users\franc\OneDrive\Documentos\MALENTIN KARIME\BANCO ESTADO\2012 DEPTO ESCRITURAS fata\NOTARIA 2009\MATRICES INSTRUMENTOS PRIVADOS\contratos\forestación.01.doc", "Abrir Documento")</f>
        <v>0</v>
      </c>
      <c r="D11776" t="s">
        <v>23500</v>
      </c>
      <c r="E11776" t="s">
        <v>34251</v>
      </c>
    </row>
    <row r="11777" spans="1:5">
      <c r="A11777" t="s">
        <v>6</v>
      </c>
      <c r="B11777" t="s">
        <v>11782</v>
      </c>
      <c r="C11777">
        <f>HYPERLINK("C:\Users\franc\OneDrive\Documentos\MALENTIN KARIME\BANCO ESTADO\2012 DEPTO ESCRITURAS fata\NOTARIA 2009\MATRICES INSTRUMENTOS PRIVADOS\contratos\Dacion en pago y compraventa.doc", "Abrir Documento")</f>
        <v>0</v>
      </c>
      <c r="D11777" t="s">
        <v>23500</v>
      </c>
      <c r="E11777" t="s">
        <v>34252</v>
      </c>
    </row>
    <row r="11778" spans="1:5">
      <c r="A11778" t="s">
        <v>6</v>
      </c>
      <c r="B11778" t="s">
        <v>11783</v>
      </c>
      <c r="C11778">
        <f>HYPERLINK("C:\Users\franc\OneDrive\Documentos\MALENTIN KARIME\BANCO ESTADO\2012 DEPTO ESCRITURAS fata\NOTARIA 2009\MATRICES INSTRUMENTOS PRIVADOS\contratos\contrato arriendo simple.doc", "Abrir Documento")</f>
        <v>0</v>
      </c>
      <c r="D11778" t="s">
        <v>23500</v>
      </c>
      <c r="E11778" t="s">
        <v>34253</v>
      </c>
    </row>
    <row r="11779" spans="1:5">
      <c r="A11779" t="s">
        <v>6</v>
      </c>
      <c r="B11779" t="s">
        <v>11784</v>
      </c>
      <c r="C11779">
        <f>HYPERLINK("C:\Users\franc\OneDrive\Documentos\MALENTIN KARIME\BANCO ESTADO\2012 DEPTO ESCRITURAS fata\NOTARIA 2009\MATRICES INSTRUMENTOS PRIVADOS\contratos\COMPRAVENTA VEHICULO USADO.doc", "Abrir Documento")</f>
        <v>0</v>
      </c>
      <c r="D11779" t="s">
        <v>23500</v>
      </c>
      <c r="E11779" t="s">
        <v>34254</v>
      </c>
    </row>
    <row r="11780" spans="1:5">
      <c r="A11780" t="s">
        <v>6</v>
      </c>
      <c r="B11780" t="s">
        <v>11785</v>
      </c>
      <c r="C11780">
        <f>HYPERLINK("C:\Users\franc\OneDrive\Documentos\MALENTIN KARIME\BANCO ESTADO\2012 DEPTO ESCRITURAS fata\NOTARIA 2009\MATRICES INSTRUMENTOS PRIVADOS\contratos\Compraventa sitio.doc", "Abrir Documento")</f>
        <v>0</v>
      </c>
      <c r="D11780" t="s">
        <v>23500</v>
      </c>
      <c r="E11780" t="s">
        <v>34255</v>
      </c>
    </row>
    <row r="11781" spans="1:5">
      <c r="A11781" t="s">
        <v>6</v>
      </c>
      <c r="B11781" t="s">
        <v>11786</v>
      </c>
      <c r="C11781">
        <f>HYPERLINK("C:\Users\franc\OneDrive\Documentos\MALENTIN KARIME\BANCO ESTADO\2012 DEPTO ESCRITURAS fata\NOTARIA 2009\MATRICES INSTRUMENTOS PRIVADOS\contratos\compraventa establecim comercio c pat alcohol.doc", "Abrir Documento")</f>
        <v>0</v>
      </c>
      <c r="D11781" t="s">
        <v>23500</v>
      </c>
      <c r="E11781" t="s">
        <v>34256</v>
      </c>
    </row>
    <row r="11782" spans="1:5">
      <c r="A11782" t="s">
        <v>6</v>
      </c>
      <c r="B11782" t="s">
        <v>11787</v>
      </c>
      <c r="C11782">
        <f>HYPERLINK("C:\Users\franc\OneDrive\Documentos\MALENTIN KARIME\BANCO ESTADO\2012 DEPTO ESCRITURAS fata\NOTARIA 2009\MATRICES INSTRUMENTOS PRIVADOS\contratos\compraventa bote.doc", "Abrir Documento")</f>
        <v>0</v>
      </c>
      <c r="D11782" t="s">
        <v>23500</v>
      </c>
      <c r="E11782" t="s">
        <v>34257</v>
      </c>
    </row>
    <row r="11783" spans="1:5">
      <c r="A11783" t="s">
        <v>6</v>
      </c>
      <c r="B11783" t="s">
        <v>11788</v>
      </c>
      <c r="C11783">
        <f>HYPERLINK("C:\Users\franc\OneDrive\Documentos\MALENTIN KARIME\BANCO ESTADO\2012 DEPTO ESCRITURAS fata\NOTARIA 2009\MATRICES INSTRUMENTOS PRIVADOS\contratos\COMPRAVENTA BIENES MUEBLES USADOS.doc", "Abrir Documento")</f>
        <v>0</v>
      </c>
      <c r="D11783" t="s">
        <v>23500</v>
      </c>
      <c r="E11783" t="s">
        <v>34258</v>
      </c>
    </row>
    <row r="11784" spans="1:5">
      <c r="A11784" t="s">
        <v>6</v>
      </c>
      <c r="B11784" t="s">
        <v>11789</v>
      </c>
      <c r="C11784">
        <f>HYPERLINK("C:\Users\franc\OneDrive\Documentos\MALENTIN KARIME\BANCO ESTADO\2012 DEPTO ESCRITURAS fata\NOTARIA 2009\MATRICES INSTRUMENTOS PRIVADOS\contratos\ARRIENDO.doc", "Abrir Documento")</f>
        <v>0</v>
      </c>
      <c r="D11784" t="s">
        <v>23500</v>
      </c>
      <c r="E11784" t="s">
        <v>34259</v>
      </c>
    </row>
    <row r="11785" spans="1:5">
      <c r="A11785" t="s">
        <v>6</v>
      </c>
      <c r="B11785" t="s">
        <v>11790</v>
      </c>
      <c r="C11785">
        <f>HYPERLINK("C:\Users\franc\OneDrive\Documentos\MALENTIN KARIME\BANCO ESTADO\2012 DEPTO ESCRITURAS fata\NOTARIA 2009\MATRICES INSTRUMENTOS PRIVADOS\contratos\arriendo predio agricola.doc", "Abrir Documento")</f>
        <v>0</v>
      </c>
      <c r="D11785" t="s">
        <v>23500</v>
      </c>
      <c r="E11785" t="s">
        <v>34260</v>
      </c>
    </row>
    <row r="11786" spans="1:5">
      <c r="A11786" t="s">
        <v>6</v>
      </c>
      <c r="B11786" t="s">
        <v>11791</v>
      </c>
      <c r="C11786">
        <f>HYPERLINK("C:\Users\franc\OneDrive\Documentos\MALENTIN KARIME\BANCO ESTADO\2012 DEPTO ESCRITURAS fata\NOTARIA 2009\MATRICES INSTRUMENTOS PRIVADOS\contratos\arriendo particular.doc", "Abrir Documento")</f>
        <v>0</v>
      </c>
      <c r="D11786" t="s">
        <v>23500</v>
      </c>
      <c r="E11786" t="s">
        <v>34261</v>
      </c>
    </row>
    <row r="11787" spans="1:5">
      <c r="A11787" t="s">
        <v>6</v>
      </c>
      <c r="B11787" t="s">
        <v>11792</v>
      </c>
      <c r="C11787">
        <f>HYPERLINK("C:\Users\franc\OneDrive\Documentos\MALENTIN KARIME\BANCO ESTADO\2012 DEPTO ESCRITURAS fata\NOTARIA 2009\MATRICES INSTRUMENTOS PRIVADOS\contratos\Arriendo casa.doc", "Abrir Documento")</f>
        <v>0</v>
      </c>
      <c r="D11787" t="s">
        <v>23500</v>
      </c>
      <c r="E11787" t="s">
        <v>34262</v>
      </c>
    </row>
    <row r="11788" spans="1:5">
      <c r="A11788" t="s">
        <v>6</v>
      </c>
      <c r="B11788" t="s">
        <v>11793</v>
      </c>
      <c r="C11788">
        <f>HYPERLINK("C:\Users\franc\OneDrive\Documentos\MALENTIN KARIME\BANCO ESTADO\2012 DEPTO ESCRITURAS fata\NOTARIA 2009\MATRICES INSTRUMENTOS PRIVADOS\contratos\Ariendo inmueble1.doc", "Abrir Documento")</f>
        <v>0</v>
      </c>
      <c r="D11788" t="s">
        <v>23500</v>
      </c>
      <c r="E11788" t="s">
        <v>34263</v>
      </c>
    </row>
    <row r="11789" spans="1:5">
      <c r="A11789" t="s">
        <v>6</v>
      </c>
      <c r="B11789" t="s">
        <v>11794</v>
      </c>
      <c r="C11789">
        <f>HYPERLINK("C:\Users\franc\OneDrive\Documentos\MALENTIN KARIME\BANCO ESTADO\2012 DEPTO ESCRITURAS fata\NOTARIA 2009\MATRICES INSTRUMENTOS PRIVADOS\contratos\Ariendo inmueble.doc", "Abrir Documento")</f>
        <v>0</v>
      </c>
      <c r="D11789" t="s">
        <v>23500</v>
      </c>
      <c r="E11789" t="s">
        <v>34264</v>
      </c>
    </row>
    <row r="11790" spans="1:5">
      <c r="A11790" t="s">
        <v>6</v>
      </c>
      <c r="B11790" t="s">
        <v>11795</v>
      </c>
      <c r="C11790">
        <f>HYPERLINK("C:\Users\franc\OneDrive\Documentos\MALENTIN KARIME\BANCO ESTADO\2012 DEPTO ESCRITURAS fata\NOTARIA 2009\MATRICES INSTRUMENTOS PRIVADOS\contratos\ALZAMIENTO DE PRENDA.doc", "Abrir Documento")</f>
        <v>0</v>
      </c>
      <c r="D11790" t="s">
        <v>23500</v>
      </c>
      <c r="E11790" t="s">
        <v>34265</v>
      </c>
    </row>
    <row r="11791" spans="1:5">
      <c r="A11791" t="s">
        <v>6</v>
      </c>
      <c r="B11791" t="s">
        <v>11796</v>
      </c>
      <c r="C11791">
        <f>HYPERLINK("C:\Users\franc\OneDrive\Documentos\MALENTIN KARIME\BANCO ESTADO\2012 DEPTO ESCRITURAS fata\NOTARIA 2009\MATRICES INSTRUMENTOS PRIVADOS\certificados\ESTADO CIVIL.doc", "Abrir Documento")</f>
        <v>0</v>
      </c>
      <c r="D11791" t="s">
        <v>23500</v>
      </c>
      <c r="E11791" t="s">
        <v>34266</v>
      </c>
    </row>
    <row r="11792" spans="1:5">
      <c r="A11792" t="s">
        <v>6</v>
      </c>
      <c r="B11792" t="s">
        <v>11797</v>
      </c>
      <c r="C11792">
        <f>HYPERLINK("C:\Users\franc\OneDrive\Documentos\MALENTIN KARIME\BANCO ESTADO\2012 DEPTO ESCRITURAS fata\NOTARIA 2009\MATRICES INSTRUMENTOS PRIVADOS\certificados\CERTIFICADO protesto pagare.doc", "Abrir Documento")</f>
        <v>0</v>
      </c>
      <c r="D11792" t="s">
        <v>23500</v>
      </c>
      <c r="E11792" t="s">
        <v>34267</v>
      </c>
    </row>
    <row r="11793" spans="1:5">
      <c r="A11793" t="s">
        <v>6</v>
      </c>
      <c r="B11793" t="s">
        <v>11798</v>
      </c>
      <c r="C11793">
        <f>HYPERLINK("C:\Users\franc\OneDrive\Documentos\MALENTIN KARIME\BANCO ESTADO\2012 DEPTO ESCRITURAS fata\NOTARIA 2009\MATRICES INSTRUMENTOS PRIVADOS\certificados\CERTIFICADO DE ESTADO CIVIL Y SUPERVIVENCIA.doc", "Abrir Documento")</f>
        <v>0</v>
      </c>
      <c r="D11793" t="s">
        <v>23500</v>
      </c>
      <c r="E11793" t="s">
        <v>34268</v>
      </c>
    </row>
    <row r="11794" spans="1:5">
      <c r="A11794" t="s">
        <v>6</v>
      </c>
      <c r="B11794" t="s">
        <v>11799</v>
      </c>
      <c r="C11794">
        <f>HYPERLINK("C:\Users\franc\OneDrive\Documentos\MALENTIN KARIME\BANCO ESTADO\2012 DEPTO ESCRITURAS fata\NOTARIA 2009\MATRICES INSTRUMENTOS PRIVADOS\autorizaciones\trabajo menor.doc", "Abrir Documento")</f>
        <v>0</v>
      </c>
      <c r="D11794" t="s">
        <v>23500</v>
      </c>
      <c r="E11794" t="s">
        <v>34269</v>
      </c>
    </row>
    <row r="11795" spans="1:5">
      <c r="A11795" t="s">
        <v>6</v>
      </c>
      <c r="B11795" t="s">
        <v>11800</v>
      </c>
      <c r="C11795">
        <f>HYPERLINK("C:\Users\franc\OneDrive\Documentos\MALENTIN KARIME\BANCO ESTADO\2012 DEPTO ESCRITURAS fata\NOTARIA 2009\MATRICES INSTRUMENTOS PRIVADOS\autorizaciones\trabajo menor 13-3.doc", "Abrir Documento")</f>
        <v>0</v>
      </c>
      <c r="D11795" t="s">
        <v>23500</v>
      </c>
      <c r="E11795" t="s">
        <v>34270</v>
      </c>
    </row>
    <row r="11796" spans="1:5">
      <c r="A11796" t="s">
        <v>6</v>
      </c>
      <c r="B11796" t="s">
        <v>11801</v>
      </c>
      <c r="C11796">
        <f>HYPERLINK("C:\Users\franc\OneDrive\Documentos\MALENTIN KARIME\BANCO ESTADO\2012 DEPTO ESCRITURAS fata\NOTARIA 2009\MATRICES INSTRUMENTOS PRIVADOS\autorizaciones\trabajo menor 13-3 02.doc", "Abrir Documento")</f>
        <v>0</v>
      </c>
      <c r="D11796" t="s">
        <v>23500</v>
      </c>
      <c r="E11796" t="s">
        <v>34271</v>
      </c>
    </row>
    <row r="11797" spans="1:5">
      <c r="A11797" t="s">
        <v>6</v>
      </c>
      <c r="B11797" t="s">
        <v>11802</v>
      </c>
      <c r="C11797">
        <f>HYPERLINK("C:\Users\franc\OneDrive\Documentos\MALENTIN KARIME\BANCO ESTADO\2012 DEPTO ESCRITURAS fata\NOTARIA 2009\MATRICES INSTRUMENTOS PRIVADOS\autorizaciones\salida país.doc", "Abrir Documento")</f>
        <v>0</v>
      </c>
      <c r="D11797" t="s">
        <v>23500</v>
      </c>
      <c r="E11797" t="s">
        <v>34272</v>
      </c>
    </row>
    <row r="11798" spans="1:5">
      <c r="A11798" t="s">
        <v>6</v>
      </c>
      <c r="B11798" t="s">
        <v>11803</v>
      </c>
      <c r="C11798">
        <f>HYPERLINK("C:\Users\franc\OneDrive\Documentos\MALENTIN KARIME\BANCO ESTADO\2012 DEPTO ESCRITURAS fata\NOTARIA 2009\MATRICES INSTRUMENTOS PRIVADOS\autorizaciones\salida país aut juzgado.doc", "Abrir Documento")</f>
        <v>0</v>
      </c>
      <c r="D11798" t="s">
        <v>23500</v>
      </c>
      <c r="E11798" t="s">
        <v>34273</v>
      </c>
    </row>
    <row r="11799" spans="1:5">
      <c r="A11799" t="s">
        <v>6</v>
      </c>
      <c r="B11799" t="s">
        <v>11804</v>
      </c>
      <c r="C11799">
        <f>HYPERLINK("C:\Users\franc\OneDrive\Documentos\MALENTIN KARIME\BANCO ESTADO\2012 DEPTO ESCRITURAS fata\NOTARIA 2009\MATRICES INSTRUMENTOS PRIVADOS\autorizaciones\salida país 14-03.doc", "Abrir Documento")</f>
        <v>0</v>
      </c>
      <c r="D11799" t="s">
        <v>23500</v>
      </c>
      <c r="E11799" t="s">
        <v>34274</v>
      </c>
    </row>
    <row r="11800" spans="1:5">
      <c r="A11800" t="s">
        <v>6</v>
      </c>
      <c r="B11800" t="s">
        <v>11805</v>
      </c>
      <c r="C11800">
        <f>HYPERLINK("C:\Users\franc\OneDrive\Documentos\MALENTIN KARIME\BANCO ESTADO\2012 DEPTO ESCRITURAS fata\NOTARIA 2009\MATRICES INSTRUMENTOS PRIVADOS\autorizaciones\exhumación.doc", "Abrir Documento")</f>
        <v>0</v>
      </c>
      <c r="D11800" t="s">
        <v>23500</v>
      </c>
      <c r="E11800" t="s">
        <v>34275</v>
      </c>
    </row>
    <row r="11801" spans="1:5">
      <c r="A11801" t="s">
        <v>6</v>
      </c>
      <c r="B11801" t="s">
        <v>11806</v>
      </c>
      <c r="C11801">
        <f>HYPERLINK("C:\Users\franc\OneDrive\Documentos\MALENTIN KARIME\BANCO ESTADO\2012 DEPTO ESCRITURAS fata\NOTARIA 2009\MATRICES INSTRUMENTOS PRIVADOS\autorizaciones\AUTORIZACION TRABAJO MENOR.doc", "Abrir Documento")</f>
        <v>0</v>
      </c>
      <c r="D11801" t="s">
        <v>23500</v>
      </c>
      <c r="E11801" t="s">
        <v>34276</v>
      </c>
    </row>
    <row r="11802" spans="1:5">
      <c r="A11802" t="s">
        <v>6</v>
      </c>
      <c r="B11802" t="s">
        <v>11807</v>
      </c>
      <c r="C11802">
        <f>HYPERLINK("C:\Users\franc\OneDrive\Documentos\MALENTIN KARIME\BANCO ESTADO\2012 DEPTO ESCRITURAS fata\NOTARIA 2009\MATRICES INSTRUMENTOS PRIVADOS\autorizaciones\autorizacion GALVARINO VIORKLUMDS.doc", "Abrir Documento")</f>
        <v>0</v>
      </c>
      <c r="D11802" t="s">
        <v>23500</v>
      </c>
      <c r="E11802" t="s">
        <v>34277</v>
      </c>
    </row>
    <row r="11803" spans="1:5">
      <c r="A11803" t="s">
        <v>6</v>
      </c>
      <c r="B11803" t="s">
        <v>11808</v>
      </c>
      <c r="C11803">
        <f>HYPERLINK("C:\Users\franc\OneDrive\Documentos\MALENTIN KARIME\BANCO ESTADO\2012 DEPTO ESCRITURAS fata\NOTARIA 2009\MATRICES INSTRUMENTOS PRIVADOS\autorizaciones\AUTORIZA ESCRITURAS.doc", "Abrir Documento")</f>
        <v>0</v>
      </c>
      <c r="D11803" t="s">
        <v>23500</v>
      </c>
      <c r="E11803" t="s">
        <v>34278</v>
      </c>
    </row>
    <row r="11804" spans="1:5">
      <c r="A11804" t="s">
        <v>6</v>
      </c>
      <c r="B11804" t="s">
        <v>11809</v>
      </c>
      <c r="C11804">
        <f>HYPERLINK("C:\Users\franc\OneDrive\Documentos\MALENTIN KARIME\BANCO ESTADO\2012 DEPTO ESCRITURAS fata\NOTARIA 2009\MATRICES INSTRUMENTOS PRIVADOS\autorizaciones\AUTOR. automov..doc", "Abrir Documento")</f>
        <v>0</v>
      </c>
      <c r="D11804" t="s">
        <v>23500</v>
      </c>
      <c r="E11804" t="s">
        <v>34279</v>
      </c>
    </row>
    <row r="11805" spans="1:5">
      <c r="A11805" t="s">
        <v>6</v>
      </c>
      <c r="B11805" t="s">
        <v>11810</v>
      </c>
      <c r="C11805">
        <f>HYPERLINK("C:\Users\franc\OneDrive\Documentos\MALENTIN KARIME\BANCO ESTADO\2012 DEPTO ESCRITURAS fata\NOTARIA 2009\MATRICES INSTRUMENTOS PRIVADOS\autorizaciones\Autor menor.doc", "Abrir Documento")</f>
        <v>0</v>
      </c>
      <c r="D11805" t="s">
        <v>23500</v>
      </c>
      <c r="E11805" t="s">
        <v>34280</v>
      </c>
    </row>
    <row r="11806" spans="1:5">
      <c r="A11806" t="s">
        <v>6</v>
      </c>
      <c r="B11806" t="s">
        <v>11811</v>
      </c>
      <c r="C11806">
        <f>HYPERLINK("C:\Users\franc\OneDrive\Documentos\MALENTIN KARIME\BANCO ESTADO\2012 DEPTO ESCRITURAS fata\NOTARIA 2009\MATRICES INSTRUMENTOS PRIVADOS\autorizaciones\Autor futbol.doc", "Abrir Documento")</f>
        <v>0</v>
      </c>
      <c r="D11806" t="s">
        <v>23500</v>
      </c>
      <c r="E11806" t="s">
        <v>34281</v>
      </c>
    </row>
    <row r="11807" spans="1:5">
      <c r="A11807" t="s">
        <v>6</v>
      </c>
      <c r="B11807" t="s">
        <v>11812</v>
      </c>
      <c r="C11807">
        <f>HYPERLINK("C:\Users\franc\OneDrive\Documentos\MALENTIN KARIME\BANCO ESTADO\2012 DEPTO ESCRITURAS fata\NOTARIA 2009\MATRICES INSTRUMENTOS PRIVADOS\autorizaciones\Autor bodega.doc", "Abrir Documento")</f>
        <v>0</v>
      </c>
      <c r="D11807" t="s">
        <v>23500</v>
      </c>
      <c r="E11807" t="s">
        <v>34282</v>
      </c>
    </row>
    <row r="11808" spans="1:5">
      <c r="A11808" t="s">
        <v>6</v>
      </c>
      <c r="B11808" t="s">
        <v>11813</v>
      </c>
      <c r="C11808">
        <f>HYPERLINK("C:\Users\franc\OneDrive\Documentos\MALENTIN KARIME\BANCO ESTADO\2012 DEPTO ESCRITURAS fata\NOTARIA 2009\MATRICES INSTRUMENTOS PRIVADOS\autorizaciones\Adosarse.doc", "Abrir Documento")</f>
        <v>0</v>
      </c>
      <c r="D11808" t="s">
        <v>23500</v>
      </c>
      <c r="E11808" t="s">
        <v>34283</v>
      </c>
    </row>
    <row r="11809" spans="1:5">
      <c r="A11809" t="s">
        <v>6</v>
      </c>
      <c r="B11809" t="s">
        <v>11814</v>
      </c>
      <c r="C11809">
        <f>HYPERLINK("C:\Users\franc\OneDrive\Documentos\MALENTIN KARIME\BANCO ESTADO\2012 DEPTO ESCRITURAS fata\NOTARIA 2009\MATRICES INSTRUMENTOS PRIVADOS\autorizaciones\ADOSAMIENTO.doc", "Abrir Documento")</f>
        <v>0</v>
      </c>
      <c r="D11809" t="s">
        <v>23500</v>
      </c>
      <c r="E11809" t="s">
        <v>34284</v>
      </c>
    </row>
    <row r="11810" spans="1:5">
      <c r="A11810" t="s">
        <v>6</v>
      </c>
      <c r="B11810" t="s">
        <v>11815</v>
      </c>
      <c r="C11810">
        <f>HYPERLINK("C:\Users\franc\OneDrive\Documentos\MALENTIN KARIME\BANCO ESTADO\2012 DEPTO ESCRITURAS fata\NOTARIA 2009\MASFIN\ROBINSON PIZARRO.doc", "Abrir Documento")</f>
        <v>0</v>
      </c>
      <c r="D11810" t="s">
        <v>23500</v>
      </c>
      <c r="E11810" t="s">
        <v>34285</v>
      </c>
    </row>
    <row r="11811" spans="1:5">
      <c r="A11811" t="s">
        <v>6</v>
      </c>
      <c r="B11811" t="s">
        <v>11816</v>
      </c>
      <c r="C11811">
        <f>HYPERLINK("C:\Users\franc\OneDrive\Documentos\MALENTIN KARIME\BANCO ESTADO\2012 DEPTO ESCRITURAS fata\NOTARIA 2009\MASFIN\EXTRACTO ROBINSON PIZARRO.doc", "Abrir Documento")</f>
        <v>0</v>
      </c>
      <c r="D11811" t="s">
        <v>23500</v>
      </c>
      <c r="E11811" t="s">
        <v>34286</v>
      </c>
    </row>
    <row r="11812" spans="1:5">
      <c r="A11812" t="s">
        <v>6</v>
      </c>
      <c r="B11812" t="s">
        <v>11817</v>
      </c>
      <c r="C11812">
        <f>HYPERLINK("C:\Users\franc\OneDrive\Documentos\MALENTIN KARIME\BANCO ESTADO\2012 DEPTO ESCRITURAS fata\NOTARIA 2009\MARUBENI\RUBEN RUIZ VILLARROEL.doc", "Abrir Documento")</f>
        <v>0</v>
      </c>
      <c r="D11812" t="s">
        <v>23500</v>
      </c>
      <c r="E11812" t="s">
        <v>34287</v>
      </c>
    </row>
    <row r="11813" spans="1:5">
      <c r="A11813" t="s">
        <v>6</v>
      </c>
      <c r="B11813" t="s">
        <v>11818</v>
      </c>
      <c r="C11813">
        <f>HYPERLINK("C:\Users\franc\OneDrive\Documentos\MALENTIN KARIME\BANCO ESTADO\2012 DEPTO ESCRITURAS fata\NOTARIA 2009\MARUBENI\RUBEN RUIZ EXTRACTO.doc", "Abrir Documento")</f>
        <v>0</v>
      </c>
      <c r="D11813" t="s">
        <v>23500</v>
      </c>
      <c r="E11813" t="s">
        <v>34288</v>
      </c>
    </row>
    <row r="11814" spans="1:5">
      <c r="A11814" t="s">
        <v>6</v>
      </c>
      <c r="B11814" t="s">
        <v>11819</v>
      </c>
      <c r="C11814">
        <f>HYPERLINK("C:\Users\franc\OneDrive\Documentos\MALENTIN KARIME\BANCO ESTADO\2012 DEPTO ESCRITURAS fata\NOTARIA 2009\MARUBENI\PAA VICTOR DANIEL HERRERA MUÑOZ.doc", "Abrir Documento")</f>
        <v>0</v>
      </c>
      <c r="D11814" t="s">
        <v>23500</v>
      </c>
      <c r="E11814" t="s">
        <v>34289</v>
      </c>
    </row>
    <row r="11815" spans="1:5">
      <c r="A11815" t="s">
        <v>6</v>
      </c>
      <c r="B11815" t="s">
        <v>11820</v>
      </c>
      <c r="C11815">
        <f>HYPERLINK("C:\Users\franc\OneDrive\Documentos\MALENTIN KARIME\BANCO ESTADO\2012 DEPTO ESCRITURAS fata\NOTARIA 2009\MARUBENI\nota marginal.doc", "Abrir Documento")</f>
        <v>0</v>
      </c>
      <c r="D11815" t="s">
        <v>23500</v>
      </c>
      <c r="E11815" t="s">
        <v>34290</v>
      </c>
    </row>
    <row r="11816" spans="1:5">
      <c r="A11816" t="s">
        <v>6</v>
      </c>
      <c r="B11816" t="s">
        <v>11821</v>
      </c>
      <c r="C11816">
        <f>HYPERLINK("C:\Users\franc\OneDrive\Documentos\MALENTIN KARIME\BANCO ESTADO\2012 DEPTO ESCRITURAS fata\NOTARIA 2009\MARUBENI\MODELO NOTARIO.doc", "Abrir Documento")</f>
        <v>0</v>
      </c>
      <c r="D11816" t="s">
        <v>23500</v>
      </c>
      <c r="E11816" t="s">
        <v>34291</v>
      </c>
    </row>
    <row r="11817" spans="1:5">
      <c r="A11817" t="s">
        <v>6</v>
      </c>
      <c r="B11817" t="s">
        <v>11822</v>
      </c>
      <c r="C11817">
        <f>HYPERLINK("C:\Users\franc\OneDrive\Documentos\MALENTIN KARIME\BANCO ESTADO\2012 DEPTO ESCRITURAS fata\NOTARIA 2009\MARUBENI\MODELO   FORMULARIO  24.doc", "Abrir Documento")</f>
        <v>0</v>
      </c>
      <c r="D11817" t="s">
        <v>23500</v>
      </c>
      <c r="E11817" t="s">
        <v>34292</v>
      </c>
    </row>
    <row r="11818" spans="1:5">
      <c r="A11818" t="s">
        <v>6</v>
      </c>
      <c r="B11818" t="s">
        <v>11823</v>
      </c>
      <c r="C11818">
        <f>HYPERLINK("C:\Users\franc\OneDrive\Documentos\MALENTIN KARIME\BANCO ESTADO\2012 DEPTO ESCRITURAS fata\NOTARIA 2009\MARUBENI\MARIO ESPINOZA PASTEN.doc", "Abrir Documento")</f>
        <v>0</v>
      </c>
      <c r="D11818" t="s">
        <v>23500</v>
      </c>
      <c r="E11818" t="s">
        <v>34293</v>
      </c>
    </row>
    <row r="11819" spans="1:5">
      <c r="A11819" t="s">
        <v>6</v>
      </c>
      <c r="B11819" t="s">
        <v>11824</v>
      </c>
      <c r="C11819">
        <f>HYPERLINK("C:\Users\franc\OneDrive\Documentos\MALENTIN KARIME\BANCO ESTADO\2012 DEPTO ESCRITURAS fata\NOTARIA 2009\MARUBENI\MARIO ESPINOZA PASTEN  EXTRACTO.doc", "Abrir Documento")</f>
        <v>0</v>
      </c>
      <c r="D11819" t="s">
        <v>23500</v>
      </c>
      <c r="E11819" t="s">
        <v>34294</v>
      </c>
    </row>
    <row r="11820" spans="1:5">
      <c r="A11820" t="s">
        <v>6</v>
      </c>
      <c r="B11820" t="s">
        <v>11825</v>
      </c>
      <c r="C11820">
        <f>HYPERLINK("C:\Users\franc\OneDrive\Documentos\MALENTIN KARIME\BANCO ESTADO\2012 DEPTO ESCRITURAS fata\NOTARIA 2009\MARUBENI\LUIS VARGAS.doc", "Abrir Documento")</f>
        <v>0</v>
      </c>
      <c r="D11820" t="s">
        <v>23500</v>
      </c>
      <c r="E11820" t="s">
        <v>34295</v>
      </c>
    </row>
    <row r="11821" spans="1:5">
      <c r="A11821" t="s">
        <v>6</v>
      </c>
      <c r="B11821" t="s">
        <v>11826</v>
      </c>
      <c r="C11821">
        <f>HYPERLINK("C:\Users\franc\OneDrive\Documentos\MALENTIN KARIME\BANCO ESTADO\2012 DEPTO ESCRITURAS fata\NOTARIA 2009\MARUBENI\LUIS VARGAS EXTRACTO.doc", "Abrir Documento")</f>
        <v>0</v>
      </c>
      <c r="D11821" t="s">
        <v>23500</v>
      </c>
      <c r="E11821" t="s">
        <v>34296</v>
      </c>
    </row>
    <row r="11822" spans="1:5">
      <c r="A11822" t="s">
        <v>6</v>
      </c>
      <c r="B11822" t="s">
        <v>11827</v>
      </c>
      <c r="C11822">
        <f>HYPERLINK("C:\Users\franc\OneDrive\Documentos\MALENTIN KARIME\BANCO ESTADO\2012 DEPTO ESCRITURAS fata\NOTARIA 2009\MARUBENI\JUAN VEAS EXTRC.doc", "Abrir Documento")</f>
        <v>0</v>
      </c>
      <c r="D11822" t="s">
        <v>23500</v>
      </c>
      <c r="E11822" t="s">
        <v>34297</v>
      </c>
    </row>
    <row r="11823" spans="1:5">
      <c r="A11823" t="s">
        <v>6</v>
      </c>
      <c r="B11823" t="s">
        <v>11828</v>
      </c>
      <c r="C11823">
        <f>HYPERLINK("C:\Users\franc\OneDrive\Documentos\MALENTIN KARIME\BANCO ESTADO\2012 DEPTO ESCRITURAS fata\NOTARIA 2009\MARUBENI\JUAN VEAS DIAZ.doc", "Abrir Documento")</f>
        <v>0</v>
      </c>
      <c r="D11823" t="s">
        <v>23500</v>
      </c>
      <c r="E11823" t="s">
        <v>34298</v>
      </c>
    </row>
    <row r="11824" spans="1:5">
      <c r="A11824" t="s">
        <v>6</v>
      </c>
      <c r="B11824" t="s">
        <v>11829</v>
      </c>
      <c r="C11824">
        <f>HYPERLINK("C:\Users\franc\OneDrive\Documentos\MALENTIN KARIME\BANCO ESTADO\2012 DEPTO ESCRITURAS fata\NOTARIA 2009\MARUBENI\JOSE TOMAS FLORES.doc", "Abrir Documento")</f>
        <v>0</v>
      </c>
      <c r="D11824" t="s">
        <v>23500</v>
      </c>
      <c r="E11824" t="s">
        <v>34299</v>
      </c>
    </row>
    <row r="11825" spans="1:5">
      <c r="A11825" t="s">
        <v>6</v>
      </c>
      <c r="B11825" t="s">
        <v>11830</v>
      </c>
      <c r="C11825">
        <f>HYPERLINK("C:\Users\franc\OneDrive\Documentos\MALENTIN KARIME\BANCO ESTADO\2012 DEPTO ESCRITURAS fata\NOTARIA 2009\MARUBENI\JOSE FLORES EXT.doc", "Abrir Documento")</f>
        <v>0</v>
      </c>
      <c r="D11825" t="s">
        <v>23500</v>
      </c>
      <c r="E11825" t="s">
        <v>34300</v>
      </c>
    </row>
    <row r="11826" spans="1:5">
      <c r="A11826" t="s">
        <v>6</v>
      </c>
      <c r="B11826" t="s">
        <v>11831</v>
      </c>
      <c r="C11826">
        <f>HYPERLINK("C:\Users\franc\OneDrive\Documentos\MALENTIN KARIME\BANCO ESTADO\2012 DEPTO ESCRITURAS fata\NOTARIA 2009\MARUBENI\GUILLERMO ARAYA Y MARIA VEGA.doc", "Abrir Documento")</f>
        <v>0</v>
      </c>
      <c r="D11826" t="s">
        <v>23500</v>
      </c>
      <c r="E11826" t="s">
        <v>34301</v>
      </c>
    </row>
    <row r="11827" spans="1:5">
      <c r="A11827" t="s">
        <v>6</v>
      </c>
      <c r="B11827" t="s">
        <v>11832</v>
      </c>
      <c r="C11827">
        <f>HYPERLINK("C:\Users\franc\OneDrive\Documentos\MALENTIN KARIME\BANCO ESTADO\2012 DEPTO ESCRITURAS fata\NOTARIA 2009\MARUBENI\GUILLERMO ARAYA EXTRACTO.doc", "Abrir Documento")</f>
        <v>0</v>
      </c>
      <c r="D11827" t="s">
        <v>23500</v>
      </c>
      <c r="E11827" t="s">
        <v>34302</v>
      </c>
    </row>
    <row r="11828" spans="1:5">
      <c r="A11828" t="s">
        <v>6</v>
      </c>
      <c r="B11828" t="s">
        <v>11833</v>
      </c>
      <c r="C11828">
        <f>HYPERLINK("C:\Users\franc\OneDrive\Documentos\MALENTIN KARIME\BANCO ESTADO\2012 DEPTO ESCRITURAS fata\NOTARIA 2009\MARUBENI\GAMAL ROJAS.doc", "Abrir Documento")</f>
        <v>0</v>
      </c>
      <c r="D11828" t="s">
        <v>23500</v>
      </c>
      <c r="E11828" t="s">
        <v>34303</v>
      </c>
    </row>
    <row r="11829" spans="1:5">
      <c r="A11829" t="s">
        <v>6</v>
      </c>
      <c r="B11829" t="s">
        <v>11834</v>
      </c>
      <c r="C11829">
        <f>HYPERLINK("C:\Users\franc\OneDrive\Documentos\MALENTIN KARIME\BANCO ESTADO\2012 DEPTO ESCRITURAS fata\NOTARIA 2009\MARUBENI\GAMAL ROJAS EXT.doc", "Abrir Documento")</f>
        <v>0</v>
      </c>
      <c r="D11829" t="s">
        <v>23500</v>
      </c>
      <c r="E11829" t="s">
        <v>34304</v>
      </c>
    </row>
    <row r="11830" spans="1:5">
      <c r="A11830" t="s">
        <v>6</v>
      </c>
      <c r="B11830" t="s">
        <v>11835</v>
      </c>
      <c r="C11830">
        <f>HYPERLINK("C:\Users\franc\OneDrive\Documentos\MALENTIN KARIME\BANCO ESTADO\2012 DEPTO ESCRITURAS fata\NOTARIA 2009\MARUBENI\GAMAL ROJAS EXT  (2).doc", "Abrir Documento")</f>
        <v>0</v>
      </c>
      <c r="D11830" t="s">
        <v>23500</v>
      </c>
      <c r="E11830" t="s">
        <v>34305</v>
      </c>
    </row>
    <row r="11831" spans="1:5">
      <c r="A11831" t="s">
        <v>6</v>
      </c>
      <c r="B11831" t="s">
        <v>11836</v>
      </c>
      <c r="C11831">
        <f>HYPERLINK("C:\Users\franc\OneDrive\Documentos\MALENTIN KARIME\BANCO ESTADO\2012 DEPTO ESCRITURAS fata\NOTARIA 2009\MARUBENI\GAMAL ROJAS (2).doc", "Abrir Documento")</f>
        <v>0</v>
      </c>
      <c r="D11831" t="s">
        <v>23500</v>
      </c>
      <c r="E11831" t="s">
        <v>34306</v>
      </c>
    </row>
    <row r="11832" spans="1:5">
      <c r="A11832" t="s">
        <v>6</v>
      </c>
      <c r="B11832" t="s">
        <v>11837</v>
      </c>
      <c r="C11832">
        <f>HYPERLINK("C:\Users\franc\OneDrive\Documentos\MALENTIN KARIME\BANCO ESTADO\2012 DEPTO ESCRITURAS fata\NOTARIA 2009\MARUBENI\FERNANDO PEÑAFIEL.doc", "Abrir Documento")</f>
        <v>0</v>
      </c>
      <c r="D11832" t="s">
        <v>23500</v>
      </c>
      <c r="E11832" t="s">
        <v>34307</v>
      </c>
    </row>
    <row r="11833" spans="1:5">
      <c r="A11833" t="s">
        <v>6</v>
      </c>
      <c r="B11833" t="s">
        <v>11838</v>
      </c>
      <c r="C11833">
        <f>HYPERLINK("C:\Users\franc\OneDrive\Documentos\MALENTIN KARIME\BANCO ESTADO\2012 DEPTO ESCRITURAS fata\NOTARIA 2009\MARUBENI\FERNANDO PEÑAFIEL  EXT.doc", "Abrir Documento")</f>
        <v>0</v>
      </c>
      <c r="D11833" t="s">
        <v>23500</v>
      </c>
      <c r="E11833" t="s">
        <v>34308</v>
      </c>
    </row>
    <row r="11834" spans="1:5">
      <c r="A11834" t="s">
        <v>6</v>
      </c>
      <c r="B11834" t="s">
        <v>11839</v>
      </c>
      <c r="C11834">
        <f>HYPERLINK("C:\Users\franc\OneDrive\Documentos\MALENTIN KARIME\BANCO ESTADO\2012 DEPTO ESCRITURAS fata\NOTARIA 2009\MARUBENI\EXTRACTO VICTOR HERRERA.doc", "Abrir Documento")</f>
        <v>0</v>
      </c>
      <c r="D11834" t="s">
        <v>23500</v>
      </c>
      <c r="E11834" t="s">
        <v>34309</v>
      </c>
    </row>
    <row r="11835" spans="1:5">
      <c r="A11835" t="s">
        <v>6</v>
      </c>
      <c r="B11835" t="s">
        <v>11840</v>
      </c>
      <c r="C11835">
        <f>HYPERLINK("C:\Users\franc\OneDrive\Documentos\MALENTIN KARIME\BANCO ESTADO\2012 DEPTO ESCRITURAS fata\NOTARIA 2009\MARUBENI\ERCILIA CISTERNAS.doc", "Abrir Documento")</f>
        <v>0</v>
      </c>
      <c r="D11835" t="s">
        <v>23500</v>
      </c>
      <c r="E11835" t="s">
        <v>34310</v>
      </c>
    </row>
    <row r="11836" spans="1:5">
      <c r="A11836" t="s">
        <v>6</v>
      </c>
      <c r="B11836" t="s">
        <v>11841</v>
      </c>
      <c r="C11836">
        <f>HYPERLINK("C:\Users\franc\OneDrive\Documentos\MALENTIN KARIME\BANCO ESTADO\2012 DEPTO ESCRITURAS fata\NOTARIA 2009\MARUBENI\ERCILIA CISTERNAS EXTRACTO.doc", "Abrir Documento")</f>
        <v>0</v>
      </c>
      <c r="D11836" t="s">
        <v>23500</v>
      </c>
      <c r="E11836" t="s">
        <v>34311</v>
      </c>
    </row>
    <row r="11837" spans="1:5">
      <c r="A11837" t="s">
        <v>6</v>
      </c>
      <c r="B11837" t="s">
        <v>11842</v>
      </c>
      <c r="C11837">
        <f>HYPERLINK("C:\Users\franc\OneDrive\Documentos\MALENTIN KARIME\BANCO ESTADO\2012 DEPTO ESCRITURAS fata\NOTARIA 2009\MARUBENI\ERCILIA CELESTINA CISTERNAS GARCIA INICIAL.doc", "Abrir Documento")</f>
        <v>0</v>
      </c>
      <c r="D11837" t="s">
        <v>23500</v>
      </c>
      <c r="E11837" t="s">
        <v>34312</v>
      </c>
    </row>
    <row r="11838" spans="1:5">
      <c r="A11838" t="s">
        <v>6</v>
      </c>
      <c r="B11838" t="s">
        <v>11843</v>
      </c>
      <c r="C11838">
        <f>HYPERLINK("C:\Users\franc\OneDrive\Documentos\MALENTIN KARIME\BANCO ESTADO\2012 DEPTO ESCRITURAS fata\NOTARIA 2009\MARUBENI\CLAUDIA PEREZ.doc", "Abrir Documento")</f>
        <v>0</v>
      </c>
      <c r="D11838" t="s">
        <v>23500</v>
      </c>
      <c r="E11838" t="s">
        <v>34313</v>
      </c>
    </row>
    <row r="11839" spans="1:5">
      <c r="A11839" t="s">
        <v>6</v>
      </c>
      <c r="B11839" t="s">
        <v>11844</v>
      </c>
      <c r="C11839">
        <f>HYPERLINK("C:\Users\franc\OneDrive\Documentos\MALENTIN KARIME\BANCO ESTADO\2012 DEPTO ESCRITURAS fata\NOTARIA 2009\MARUBENI\CLAUDIA PEREZ EXTRACTO.doc", "Abrir Documento")</f>
        <v>0</v>
      </c>
      <c r="D11839" t="s">
        <v>23500</v>
      </c>
      <c r="E11839" t="s">
        <v>34314</v>
      </c>
    </row>
    <row r="11840" spans="1:5">
      <c r="A11840" t="s">
        <v>6</v>
      </c>
      <c r="B11840" t="s">
        <v>11845</v>
      </c>
      <c r="C11840">
        <f>HYPERLINK("C:\Users\franc\OneDrive\Documentos\MALENTIN KARIME\BANCO ESTADO\2012 DEPTO ESCRITURAS fata\NOTARIA 2009\MARUBENI\carta marubeni.doc", "Abrir Documento")</f>
        <v>0</v>
      </c>
      <c r="D11840" t="s">
        <v>23500</v>
      </c>
      <c r="E11840" t="s">
        <v>34315</v>
      </c>
    </row>
    <row r="11841" spans="1:5">
      <c r="A11841" t="s">
        <v>6</v>
      </c>
      <c r="B11841" t="s">
        <v>11846</v>
      </c>
      <c r="C11841">
        <f>HYPERLINK("C:\Users\franc\OneDrive\Documentos\MALENTIN KARIME\BANCO ESTADO\2012 DEPTO ESCRITURAS fata\NOTARIA 2009\MARUBENI\ADOLFO MONTENEGRO.doc", "Abrir Documento")</f>
        <v>0</v>
      </c>
      <c r="D11841" t="s">
        <v>23500</v>
      </c>
      <c r="E11841" t="s">
        <v>34316</v>
      </c>
    </row>
    <row r="11842" spans="1:5">
      <c r="A11842" t="s">
        <v>6</v>
      </c>
      <c r="B11842" t="s">
        <v>11847</v>
      </c>
      <c r="C11842">
        <f>HYPERLINK("C:\Users\franc\OneDrive\Documentos\MALENTIN KARIME\BANCO ESTADO\2012 DEPTO ESCRITURAS fata\NOTARIA 2009\MARUBENI\ADOLFO MONTENEGRO EXTRACTO.doc", "Abrir Documento")</f>
        <v>0</v>
      </c>
      <c r="D11842" t="s">
        <v>23500</v>
      </c>
      <c r="E11842" t="s">
        <v>34317</v>
      </c>
    </row>
    <row r="11843" spans="1:5">
      <c r="A11843" t="s">
        <v>6</v>
      </c>
      <c r="B11843" t="s">
        <v>11848</v>
      </c>
      <c r="C11843">
        <f>HYPERLINK("C:\Users\franc\OneDrive\Documentos\MALENTIN KARIME\BANCO ESTADO\2012 DEPTO ESCRITURAS fata\NOTARIA 2009\MARIA INES NUÑEZ\VICTOR ARIAS (ALZAMIENTO BANEFE).doc", "Abrir Documento")</f>
        <v>0</v>
      </c>
      <c r="D11843" t="s">
        <v>23500</v>
      </c>
      <c r="E11843" t="s">
        <v>34318</v>
      </c>
    </row>
    <row r="11844" spans="1:5">
      <c r="A11844" t="s">
        <v>6</v>
      </c>
      <c r="B11844" t="s">
        <v>11849</v>
      </c>
      <c r="C11844">
        <f>HYPERLINK("C:\Users\franc\OneDrive\Documentos\MALENTIN KARIME\BANCO ESTADO\2012 DEPTO ESCRITURAS fata\NOTARIA 2009\MARIA INES NUÑEZ\VENTA UVAS RIO RAPEL.doc", "Abrir Documento")</f>
        <v>0</v>
      </c>
      <c r="D11844" t="s">
        <v>23500</v>
      </c>
      <c r="E11844" t="s">
        <v>34319</v>
      </c>
    </row>
    <row r="11845" spans="1:5">
      <c r="A11845" t="s">
        <v>6</v>
      </c>
      <c r="B11845" t="s">
        <v>11850</v>
      </c>
      <c r="C11845">
        <f>HYPERLINK("C:\Users\franc\OneDrive\Documentos\MALENTIN KARIME\BANCO ESTADO\2012 DEPTO ESCRITURAS fata\NOTARIA 2009\MARIA INES NUÑEZ\SOCIEDAD SANTA MARTA LIMITADA.doc", "Abrir Documento")</f>
        <v>0</v>
      </c>
      <c r="D11845" t="s">
        <v>23500</v>
      </c>
      <c r="E11845" t="s">
        <v>34320</v>
      </c>
    </row>
    <row r="11846" spans="1:5">
      <c r="A11846" t="s">
        <v>6</v>
      </c>
      <c r="B11846" t="s">
        <v>11851</v>
      </c>
      <c r="C11846">
        <f>HYPERLINK("C:\Users\franc\OneDrive\Documentos\MALENTIN KARIME\BANCO ESTADO\2012 DEPTO ESCRITURAS fata\NOTARIA 2009\MARIA INES NUÑEZ\ROSA ESPINOZA A EUGENIA ARRIAGADA.doc", "Abrir Documento")</f>
        <v>0</v>
      </c>
      <c r="D11846" t="s">
        <v>23500</v>
      </c>
      <c r="E11846" t="s">
        <v>34321</v>
      </c>
    </row>
    <row r="11847" spans="1:5">
      <c r="A11847" t="s">
        <v>6</v>
      </c>
      <c r="B11847" t="s">
        <v>11852</v>
      </c>
      <c r="C11847">
        <f>HYPERLINK("C:\Users\franc\OneDrive\Documentos\MALENTIN KARIME\BANCO ESTADO\2012 DEPTO ESCRITURAS fata\NOTARIA 2009\MARIA INES NUÑEZ\ROSA ESPINOSA A EUGENIA ARRIAGADA.doc", "Abrir Documento")</f>
        <v>0</v>
      </c>
      <c r="D11847" t="s">
        <v>23500</v>
      </c>
      <c r="E11847" t="s">
        <v>34322</v>
      </c>
    </row>
    <row r="11848" spans="1:5">
      <c r="A11848" t="s">
        <v>6</v>
      </c>
      <c r="B11848" t="s">
        <v>11853</v>
      </c>
      <c r="C11848">
        <f>HYPERLINK("C:\Users\franc\OneDrive\Documentos\MALENTIN KARIME\BANCO ESTADO\2012 DEPTO ESCRITURAS fata\NOTARIA 2009\MARIA INES NUÑEZ\RAMONA ANGEL RENUNCIA DERECHO RAL.doc", "Abrir Documento")</f>
        <v>0</v>
      </c>
      <c r="D11848" t="s">
        <v>23500</v>
      </c>
      <c r="E11848" t="s">
        <v>34323</v>
      </c>
    </row>
    <row r="11849" spans="1:5">
      <c r="A11849" t="s">
        <v>6</v>
      </c>
      <c r="B11849" t="s">
        <v>11854</v>
      </c>
      <c r="C11849">
        <f>HYPERLINK("C:\Users\franc\OneDrive\Documentos\MALENTIN KARIME\BANCO ESTADO\2012 DEPTO ESCRITURAS fata\NOTARIA 2009\MARIA INES NUÑEZ\MANUEL LOPEZ Y OTROS A ALEXIS CORTES.doc", "Abrir Documento")</f>
        <v>0</v>
      </c>
      <c r="D11849" t="s">
        <v>23500</v>
      </c>
      <c r="E11849" t="s">
        <v>34324</v>
      </c>
    </row>
    <row r="11850" spans="1:5">
      <c r="A11850" t="s">
        <v>6</v>
      </c>
      <c r="B11850" t="s">
        <v>11855</v>
      </c>
      <c r="C11850">
        <f>HYPERLINK("C:\Users\franc\OneDrive\Documentos\MALENTIN KARIME\BANCO ESTADO\2012 DEPTO ESCRITURAS fata\NOTARIA 2009\MARIA INES NUÑEZ\JUAN PORTILLA A SOC. ABRILOT.doc", "Abrir Documento")</f>
        <v>0</v>
      </c>
      <c r="D11850" t="s">
        <v>23500</v>
      </c>
      <c r="E11850" t="s">
        <v>34325</v>
      </c>
    </row>
    <row r="11851" spans="1:5">
      <c r="A11851" t="s">
        <v>6</v>
      </c>
      <c r="B11851" t="s">
        <v>11856</v>
      </c>
      <c r="C11851">
        <f>HYPERLINK("C:\Users\franc\OneDrive\Documentos\MALENTIN KARIME\BANCO ESTADO\2012 DEPTO ESCRITURAS fata\NOTARIA 2009\MARIA INES NUÑEZ\HERIBERTO ANGEL A SOC. PEREIRO.doc", "Abrir Documento")</f>
        <v>0</v>
      </c>
      <c r="D11851" t="s">
        <v>23500</v>
      </c>
      <c r="E11851" t="s">
        <v>34326</v>
      </c>
    </row>
    <row r="11852" spans="1:5">
      <c r="A11852" t="s">
        <v>6</v>
      </c>
      <c r="B11852" t="s">
        <v>11857</v>
      </c>
      <c r="C11852">
        <f>HYPERLINK("C:\Users\franc\OneDrive\Documentos\MALENTIN KARIME\BANCO ESTADO\2012 DEPTO ESCRITURAS fata\NOTARIA 2009\MARIA INES NUÑEZ\GILDA ANGEL CORTES A SOC. PEREIRO.doc", "Abrir Documento")</f>
        <v>0</v>
      </c>
      <c r="D11852" t="s">
        <v>23500</v>
      </c>
      <c r="E11852" t="s">
        <v>34327</v>
      </c>
    </row>
    <row r="11853" spans="1:5">
      <c r="A11853" t="s">
        <v>6</v>
      </c>
      <c r="B11853" t="s">
        <v>11858</v>
      </c>
      <c r="C11853">
        <f>HYPERLINK("C:\Users\franc\OneDrive\Documentos\MALENTIN KARIME\BANCO ESTADO\2012 DEPTO ESCRITURAS fata\NOTARIA 2009\MARIA INES NUÑEZ\AGRICOLA CANTA RANA  - BCO. SANTAN (ALZAMITN.doc", "Abrir Documento")</f>
        <v>0</v>
      </c>
      <c r="D11853" t="s">
        <v>23500</v>
      </c>
      <c r="E11853" t="s">
        <v>34328</v>
      </c>
    </row>
    <row r="11854" spans="1:5">
      <c r="A11854" t="s">
        <v>6</v>
      </c>
      <c r="B11854" t="s">
        <v>11859</v>
      </c>
      <c r="C11854">
        <f>HYPERLINK("C:\Users\franc\OneDrive\Documentos\MALENTIN KARIME\BANCO ESTADO\2012 DEPTO ESCRITURAS fata\NOTARIA 2009\MANUEL CORTES\modelo  (DACION EN PAGO).doc", "Abrir Documento")</f>
        <v>0</v>
      </c>
      <c r="D11854" t="s">
        <v>23500</v>
      </c>
      <c r="E11854" t="s">
        <v>34329</v>
      </c>
    </row>
    <row r="11855" spans="1:5">
      <c r="A11855" t="s">
        <v>6</v>
      </c>
      <c r="B11855" t="s">
        <v>11860</v>
      </c>
      <c r="C11855">
        <f>HYPERLINK("C:\Users\franc\OneDrive\Documentos\MALENTIN KARIME\BANCO ESTADO\2012 DEPTO ESCRITURAS fata\NOTARIA 2009\MANUEL CORTES\MANUEL CORTES A SERGIO CORTES (DACION EN PAGO).doc", "Abrir Documento")</f>
        <v>0</v>
      </c>
      <c r="D11855" t="s">
        <v>23500</v>
      </c>
      <c r="E11855" t="s">
        <v>34330</v>
      </c>
    </row>
    <row r="11856" spans="1:5">
      <c r="A11856" t="s">
        <v>6</v>
      </c>
      <c r="B11856" t="s">
        <v>11861</v>
      </c>
      <c r="C11856">
        <f>HYPERLINK("C:\Users\franc\OneDrive\Documentos\MALENTIN KARIME\BANCO ESTADO\2012 DEPTO ESCRITURAS fata\NOTARIA 2009\MANUEL CORTES\MANUEL CORTES A BELMOR ROJAS.doc", "Abrir Documento")</f>
        <v>0</v>
      </c>
      <c r="D11856" t="s">
        <v>23500</v>
      </c>
      <c r="E11856" t="s">
        <v>34331</v>
      </c>
    </row>
    <row r="11857" spans="1:5">
      <c r="A11857" t="s">
        <v>6</v>
      </c>
      <c r="B11857" t="s">
        <v>11862</v>
      </c>
      <c r="C11857">
        <f>HYPERLINK("C:\Users\franc\OneDrive\Documentos\MALENTIN KARIME\BANCO ESTADO\2012 DEPTO ESCRITURAS fata\NOTARIA 2009\MANUEL CORTES\COMERCIAL LUBBA A SANDRA ALVAREZ (MUTUO9.doc", "Abrir Documento")</f>
        <v>0</v>
      </c>
      <c r="D11857" t="s">
        <v>23500</v>
      </c>
      <c r="E11857" t="s">
        <v>34332</v>
      </c>
    </row>
    <row r="11858" spans="1:5">
      <c r="A11858" t="s">
        <v>6</v>
      </c>
      <c r="B11858" t="s">
        <v>11863</v>
      </c>
      <c r="C11858">
        <f>HYPERLINK("C:\Users\franc\OneDrive\Documentos\MALENTIN KARIME\BANCO ESTADO\2012 DEPTO ESCRITURAS fata\NOTARIA 2009\MANUEL CORTES\COMERCIAL LUBBA A SANDRA ALVAREZ  DEFINIT.doc", "Abrir Documento")</f>
        <v>0</v>
      </c>
      <c r="D11858" t="s">
        <v>23500</v>
      </c>
      <c r="E11858" t="s">
        <v>34333</v>
      </c>
    </row>
    <row r="11859" spans="1:5">
      <c r="A11859" t="s">
        <v>6</v>
      </c>
      <c r="B11859" t="s">
        <v>11864</v>
      </c>
      <c r="C11859">
        <f>HYPERLINK("C:\Users\franc\OneDrive\Documentos\MALENTIN KARIME\BANCO ESTADO\2012 DEPTO ESCRITURAS fata\NOTARIA 2009\MANUEL CORTES\CESION DE DERECHOS MANUEL CORTES A SU HERMANA (FINAL).doc", "Abrir Documento")</f>
        <v>0</v>
      </c>
      <c r="D11859" t="s">
        <v>23500</v>
      </c>
      <c r="E11859" t="s">
        <v>34334</v>
      </c>
    </row>
    <row r="11860" spans="1:5">
      <c r="A11860" t="s">
        <v>6</v>
      </c>
      <c r="B11860" t="s">
        <v>11865</v>
      </c>
      <c r="C11860">
        <f>HYPERLINK("C:\Users\franc\OneDrive\Documentos\MALENTIN KARIME\BANCO ESTADO\2012 DEPTO ESCRITURAS fata\NOTARIA 2009\MANLIO METTIFOGO\SOCIEDAD ANTARES.doc", "Abrir Documento")</f>
        <v>0</v>
      </c>
      <c r="D11860" t="s">
        <v>23500</v>
      </c>
      <c r="E11860" t="s">
        <v>34335</v>
      </c>
    </row>
    <row r="11861" spans="1:5">
      <c r="A11861" t="s">
        <v>6</v>
      </c>
      <c r="B11861" t="s">
        <v>11866</v>
      </c>
      <c r="C11861">
        <f>HYPERLINK("C:\Users\franc\OneDrive\Documentos\MALENTIN KARIME\BANCO ESTADO\2012 DEPTO ESCRITURAS fata\NOTARIA 2009\MANLIO METTIFOGO\SOC. ROBLES GUERRERO RESCILIACION.doc", "Abrir Documento")</f>
        <v>0</v>
      </c>
      <c r="D11861" t="s">
        <v>23500</v>
      </c>
      <c r="E11861" t="s">
        <v>34336</v>
      </c>
    </row>
    <row r="11862" spans="1:5">
      <c r="A11862" t="s">
        <v>6</v>
      </c>
      <c r="B11862" t="s">
        <v>11867</v>
      </c>
      <c r="C11862">
        <f>HYPERLINK("C:\Users\franc\OneDrive\Documentos\MALENTIN KARIME\BANCO ESTADO\2012 DEPTO ESCRITURAS fata\NOTARIA 2009\MANLIO METTIFOGO\SOC. ENRIQUE CORTES Y CIA. LITDA.doc", "Abrir Documento")</f>
        <v>0</v>
      </c>
      <c r="D11862" t="s">
        <v>23500</v>
      </c>
      <c r="E11862" t="s">
        <v>34337</v>
      </c>
    </row>
    <row r="11863" spans="1:5">
      <c r="A11863" t="s">
        <v>6</v>
      </c>
      <c r="B11863" t="s">
        <v>11868</v>
      </c>
      <c r="C11863">
        <f>HYPERLINK("C:\Users\franc\OneDrive\Documentos\MALENTIN KARIME\BANCO ESTADO\2012 DEPTO ESCRITURAS fata\NOTARIA 2009\MANLIO METTIFOGO\SOC. ANTARES  EXTRACTO.doc", "Abrir Documento")</f>
        <v>0</v>
      </c>
      <c r="D11863" t="s">
        <v>23500</v>
      </c>
      <c r="E11863" t="s">
        <v>34338</v>
      </c>
    </row>
    <row r="11864" spans="1:5">
      <c r="A11864" t="s">
        <v>6</v>
      </c>
      <c r="B11864" t="s">
        <v>11869</v>
      </c>
      <c r="C11864">
        <f>HYPERLINK("C:\Users\franc\OneDrive\Documentos\MALENTIN KARIME\BANCO ESTADO\2012 DEPTO ESCRITURAS fata\NOTARIA 2009\MANLIO METTIFOGO\SEBASTIAN LARA Judicial.doc", "Abrir Documento")</f>
        <v>0</v>
      </c>
      <c r="D11864" t="s">
        <v>23500</v>
      </c>
      <c r="E11864" t="s">
        <v>34339</v>
      </c>
    </row>
    <row r="11865" spans="1:5">
      <c r="A11865" t="s">
        <v>6</v>
      </c>
      <c r="B11865" t="s">
        <v>11870</v>
      </c>
      <c r="C11865">
        <f>HYPERLINK("C:\Users\franc\OneDrive\Documentos\MALENTIN KARIME\BANCO ESTADO\2012 DEPTO ESCRITURAS fata\NOTARIA 2009\MANLIO METTIFOGO\SAUL ACOSTA A SUS PADRES.doc", "Abrir Documento")</f>
        <v>0</v>
      </c>
      <c r="D11865" t="s">
        <v>23500</v>
      </c>
      <c r="E11865" t="s">
        <v>34340</v>
      </c>
    </row>
    <row r="11866" spans="1:5">
      <c r="A11866" t="s">
        <v>6</v>
      </c>
      <c r="B11866" t="s">
        <v>11871</v>
      </c>
      <c r="C11866">
        <f>HYPERLINK("C:\Users\franc\OneDrive\Documentos\MALENTIN KARIME\BANCO ESTADO\2012 DEPTO ESCRITURAS fata\NOTARIA 2009\MANLIO METTIFOGO\ROSARIO ANTIQUERA Y OTROS.doc", "Abrir Documento")</f>
        <v>0</v>
      </c>
      <c r="D11866" t="s">
        <v>23500</v>
      </c>
      <c r="E11866" t="s">
        <v>34341</v>
      </c>
    </row>
    <row r="11867" spans="1:5">
      <c r="A11867" t="s">
        <v>6</v>
      </c>
      <c r="B11867" t="s">
        <v>11872</v>
      </c>
      <c r="C11867">
        <f>HYPERLINK("C:\Users\franc\OneDrive\Documentos\MALENTIN KARIME\BANCO ESTADO\2012 DEPTO ESCRITURAS fata\NOTARIA 2009\MANLIO METTIFOGO\REPUDIACION HERENCIA ANA ARAYA ROJAS.doc", "Abrir Documento")</f>
        <v>0</v>
      </c>
      <c r="D11867" t="s">
        <v>23500</v>
      </c>
      <c r="E11867" t="s">
        <v>34342</v>
      </c>
    </row>
    <row r="11868" spans="1:5">
      <c r="A11868" t="s">
        <v>6</v>
      </c>
      <c r="B11868" t="s">
        <v>11873</v>
      </c>
      <c r="C11868">
        <f>HYPERLINK("C:\Users\franc\OneDrive\Documentos\MALENTIN KARIME\BANCO ESTADO\2012 DEPTO ESCRITURAS fata\NOTARIA 2009\MANLIO METTIFOGO\PATRICIO GALLEGUILLOS LARA A LUIS PIZARRO (VTA).doc", "Abrir Documento")</f>
        <v>0</v>
      </c>
      <c r="D11868" t="s">
        <v>23500</v>
      </c>
      <c r="E11868" t="s">
        <v>34343</v>
      </c>
    </row>
    <row r="11869" spans="1:5">
      <c r="A11869" t="s">
        <v>6</v>
      </c>
      <c r="B11869" t="s">
        <v>11874</v>
      </c>
      <c r="C11869">
        <f>HYPERLINK("C:\Users\franc\OneDrive\Documentos\MALENTIN KARIME\BANCO ESTADO\2012 DEPTO ESCRITURAS fata\NOTARIA 2009\MANLIO METTIFOGO\NORA MUÑOZ A JAIRO.doc", "Abrir Documento")</f>
        <v>0</v>
      </c>
      <c r="D11869" t="s">
        <v>23500</v>
      </c>
      <c r="E11869" t="s">
        <v>34344</v>
      </c>
    </row>
    <row r="11870" spans="1:5">
      <c r="A11870" t="s">
        <v>6</v>
      </c>
      <c r="B11870" t="s">
        <v>11875</v>
      </c>
      <c r="C11870">
        <f>HYPERLINK("C:\Users\franc\OneDrive\Documentos\MALENTIN KARIME\BANCO ESTADO\2012 DEPTO ESCRITURAS fata\NOTARIA 2009\MANLIO METTIFOGO\NANCY CERVA (TRANSACCION.doc", "Abrir Documento")</f>
        <v>0</v>
      </c>
      <c r="D11870" t="s">
        <v>23500</v>
      </c>
      <c r="E11870" t="s">
        <v>34345</v>
      </c>
    </row>
    <row r="11871" spans="1:5">
      <c r="A11871" t="s">
        <v>6</v>
      </c>
      <c r="B11871" t="s">
        <v>11876</v>
      </c>
      <c r="C11871">
        <f>HYPERLINK("C:\Users\franc\OneDrive\Documentos\MALENTIN KARIME\BANCO ESTADO\2012 DEPTO ESCRITURAS fata\NOTARIA 2009\MANLIO METTIFOGO\MANDATO JUDICIAL COM. EL POTRERO.doc", "Abrir Documento")</f>
        <v>0</v>
      </c>
      <c r="D11871" t="s">
        <v>23500</v>
      </c>
      <c r="E11871" t="s">
        <v>34346</v>
      </c>
    </row>
    <row r="11872" spans="1:5">
      <c r="A11872" t="s">
        <v>6</v>
      </c>
      <c r="B11872" t="s">
        <v>11877</v>
      </c>
      <c r="C11872">
        <f>HYPERLINK("C:\Users\franc\OneDrive\Documentos\MALENTIN KARIME\BANCO ESTADO\2012 DEPTO ESCRITURAS fata\NOTARIA 2009\MANLIO METTIFOGO\LUIS AREYUNA CORTES E.I.R.L..doc", "Abrir Documento")</f>
        <v>0</v>
      </c>
      <c r="D11872" t="s">
        <v>23500</v>
      </c>
      <c r="E11872" t="s">
        <v>34347</v>
      </c>
    </row>
    <row r="11873" spans="1:5">
      <c r="A11873" t="s">
        <v>6</v>
      </c>
      <c r="B11873" t="s">
        <v>11878</v>
      </c>
      <c r="C11873">
        <f>HYPERLINK("C:\Users\franc\OneDrive\Documentos\MALENTIN KARIME\BANCO ESTADO\2012 DEPTO ESCRITURAS fata\NOTARIA 2009\MANLIO METTIFOGO\JORGE CORTES GONZALEZ.doc", "Abrir Documento")</f>
        <v>0</v>
      </c>
      <c r="D11873" t="s">
        <v>23500</v>
      </c>
      <c r="E11873" t="s">
        <v>34348</v>
      </c>
    </row>
    <row r="11874" spans="1:5">
      <c r="A11874" t="s">
        <v>6</v>
      </c>
      <c r="B11874" t="s">
        <v>11879</v>
      </c>
      <c r="C11874">
        <f>HYPERLINK("C:\Users\franc\OneDrive\Documentos\MALENTIN KARIME\BANCO ESTADO\2012 DEPTO ESCRITURAS fata\NOTARIA 2009\MANLIO METTIFOGO\FREDDY ROJAS SEP. Y LIQU. DE SOC. CONYUGA.doc", "Abrir Documento")</f>
        <v>0</v>
      </c>
      <c r="D11874" t="s">
        <v>23500</v>
      </c>
      <c r="E11874" t="s">
        <v>34349</v>
      </c>
    </row>
    <row r="11875" spans="1:5">
      <c r="A11875" t="s">
        <v>6</v>
      </c>
      <c r="B11875" t="s">
        <v>11880</v>
      </c>
      <c r="C11875">
        <f>HYPERLINK("C:\Users\franc\OneDrive\Documentos\MALENTIN KARIME\BANCO ESTADO\2012 DEPTO ESCRITURAS fata\NOTARIA 2009\MANLIO METTIFOGO\EXTRACTO_E.I.R.L_areyuna[1].doc", "Abrir Documento")</f>
        <v>0</v>
      </c>
      <c r="D11875" t="s">
        <v>23500</v>
      </c>
      <c r="E11875" t="s">
        <v>34350</v>
      </c>
    </row>
    <row r="11876" spans="1:5">
      <c r="A11876" t="s">
        <v>6</v>
      </c>
      <c r="B11876" t="s">
        <v>11881</v>
      </c>
      <c r="C11876">
        <f>HYPERLINK("C:\Users\franc\OneDrive\Documentos\MALENTIN KARIME\BANCO ESTADO\2012 DEPTO ESCRITURAS fata\NOTARIA 2009\MANLIO METTIFOGO\EDO GALLARDO A ALICIA ROJAS PROMESA.doc", "Abrir Documento")</f>
        <v>0</v>
      </c>
      <c r="D11876" t="s">
        <v>23500</v>
      </c>
      <c r="E11876" t="s">
        <v>34351</v>
      </c>
    </row>
    <row r="11877" spans="1:5">
      <c r="A11877" t="s">
        <v>6</v>
      </c>
      <c r="B11877" t="s">
        <v>11882</v>
      </c>
      <c r="C11877">
        <f>HYPERLINK("C:\Users\franc\OneDrive\Documentos\MALENTIN KARIME\BANCO ESTADO\2012 DEPTO ESCRITURAS fata\NOTARIA 2009\MANLIO METTIFOGO\COMUNIDAD EL POTRERO CON  PEDRO CORTES.doc", "Abrir Documento")</f>
        <v>0</v>
      </c>
      <c r="D11877" t="s">
        <v>23500</v>
      </c>
      <c r="E11877" t="s">
        <v>34352</v>
      </c>
    </row>
    <row r="11878" spans="1:5">
      <c r="A11878" t="s">
        <v>6</v>
      </c>
      <c r="B11878" t="s">
        <v>11883</v>
      </c>
      <c r="C11878">
        <f>HYPERLINK("C:\Users\franc\OneDrive\Documentos\MALENTIN KARIME\BANCO ESTADO\2012 DEPTO ESCRITURAS fata\NOTARIA 2009\MANLIO METTIFOGO\COM. BUENOS AIRES A SOC. DEL OLIVAR S.A. (PROMESA).doc", "Abrir Documento")</f>
        <v>0</v>
      </c>
      <c r="D11878" t="s">
        <v>23500</v>
      </c>
      <c r="E11878" t="s">
        <v>34353</v>
      </c>
    </row>
    <row r="11879" spans="1:5">
      <c r="A11879" t="s">
        <v>6</v>
      </c>
      <c r="B11879" t="s">
        <v>11884</v>
      </c>
      <c r="C11879">
        <f>HYPERLINK("C:\Users\franc\OneDrive\Documentos\MALENTIN KARIME\BANCO ESTADO\2012 DEPTO ESCRITURAS fata\NOTARIA 2009\MANLIO METTIFOGO\CASACUBERTA (RECTIFIACION.doc", "Abrir Documento")</f>
        <v>0</v>
      </c>
      <c r="D11879" t="s">
        <v>23500</v>
      </c>
      <c r="E11879" t="s">
        <v>34354</v>
      </c>
    </row>
    <row r="11880" spans="1:5">
      <c r="A11880" t="s">
        <v>6</v>
      </c>
      <c r="B11880" t="s">
        <v>11885</v>
      </c>
      <c r="C11880">
        <f>HYPERLINK("C:\Users\franc\OneDrive\Documentos\MALENTIN KARIME\BANCO ESTADO\2012 DEPTO ESCRITURAS fata\NOTARIA 2009\MANLIO METTIFOGO\ANTIQUERA Y OTROS modificado.doc", "Abrir Documento")</f>
        <v>0</v>
      </c>
      <c r="D11880" t="s">
        <v>23500</v>
      </c>
      <c r="E11880" t="s">
        <v>34355</v>
      </c>
    </row>
    <row r="11881" spans="1:5">
      <c r="A11881" t="s">
        <v>6</v>
      </c>
      <c r="B11881" t="s">
        <v>11886</v>
      </c>
      <c r="C11881">
        <f>HYPERLINK("C:\Users\franc\OneDrive\Documentos\MALENTIN KARIME\BANCO ESTADO\2012 DEPTO ESCRITURAS fata\NOTARIA 2009\MANLIO METTIFOGO\AMANDA INAREJO (CESION DE DERECHOS).doc", "Abrir Documento")</f>
        <v>0</v>
      </c>
      <c r="D11881" t="s">
        <v>23500</v>
      </c>
      <c r="E11881" t="s">
        <v>34356</v>
      </c>
    </row>
    <row r="11882" spans="1:5">
      <c r="A11882" t="s">
        <v>6</v>
      </c>
      <c r="B11882" t="s">
        <v>11887</v>
      </c>
      <c r="C11882">
        <f>HYPERLINK("C:\Users\franc\OneDrive\Documentos\MALENTIN KARIME\BANCO ESTADO\2012 DEPTO ESCRITURAS fata\NOTARIA 2009\MANLIO METTIFOGO\ALFREDO ROJAS A LUIS ROJAS CVENTA.doc", "Abrir Documento")</f>
        <v>0</v>
      </c>
      <c r="D11882" t="s">
        <v>23500</v>
      </c>
      <c r="E11882" t="s">
        <v>34357</v>
      </c>
    </row>
    <row r="11883" spans="1:5">
      <c r="A11883" t="s">
        <v>6</v>
      </c>
      <c r="B11883" t="s">
        <v>11888</v>
      </c>
      <c r="C11883">
        <f>HYPERLINK("C:\Users\franc\OneDrive\Documentos\MALENTIN KARIME\BANCO ESTADO\2012 DEPTO ESCRITURAS fata\NOTARIA 2009\MANLIO METTIFOGO\ALFREDO ROJAS A LUIS ROJAS (ARRENDAMIENTO).doc", "Abrir Documento")</f>
        <v>0</v>
      </c>
      <c r="D11883" t="s">
        <v>23500</v>
      </c>
      <c r="E11883" t="s">
        <v>34358</v>
      </c>
    </row>
    <row r="11884" spans="1:5">
      <c r="A11884" t="s">
        <v>6</v>
      </c>
      <c r="B11884" t="s">
        <v>11889</v>
      </c>
      <c r="C11884">
        <f>HYPERLINK("C:\Users\franc\OneDrive\Documentos\MALENTIN KARIME\BANCO ESTADO\2012 DEPTO ESCRITURAS fata\NOTARIA 2009\MANDATOS PRIVADOS\YESENIA ECHEVERRIA Y OTROS  (SANTIAGO).doc", "Abrir Documento")</f>
        <v>0</v>
      </c>
      <c r="D11884" t="s">
        <v>23500</v>
      </c>
      <c r="E11884" t="s">
        <v>34359</v>
      </c>
    </row>
    <row r="11885" spans="1:5">
      <c r="A11885" t="s">
        <v>6</v>
      </c>
      <c r="B11885" t="s">
        <v>11890</v>
      </c>
      <c r="C11885">
        <f>HYPERLINK("C:\Users\franc\OneDrive\Documentos\MALENTIN KARIME\BANCO ESTADO\2012 DEPTO ESCRITURAS fata\NOTARIA 2009\MANDATOS PRIVADOS\TERESA PIZARRO  (SANTIAGO).doc", "Abrir Documento")</f>
        <v>0</v>
      </c>
      <c r="D11885" t="s">
        <v>23500</v>
      </c>
      <c r="E11885" t="s">
        <v>34360</v>
      </c>
    </row>
    <row r="11886" spans="1:5">
      <c r="A11886" t="s">
        <v>6</v>
      </c>
      <c r="B11886" t="s">
        <v>11891</v>
      </c>
      <c r="C11886">
        <f>HYPERLINK("C:\Users\franc\OneDrive\Documentos\MALENTIN KARIME\BANCO ESTADO\2012 DEPTO ESCRITURAS fata\NOTARIA 2009\MANDATOS JUDICIALES 2006\MANDATOS EXONERADOS (VICTOR ROSAS)\TOMAS CASTILLO MUÑOZ.doc", "Abrir Documento")</f>
        <v>0</v>
      </c>
      <c r="D11886" t="s">
        <v>23500</v>
      </c>
      <c r="E11886" t="s">
        <v>34361</v>
      </c>
    </row>
    <row r="11887" spans="1:5">
      <c r="A11887" t="s">
        <v>6</v>
      </c>
      <c r="B11887" t="s">
        <v>11892</v>
      </c>
      <c r="C11887">
        <f>HYPERLINK("C:\Users\franc\OneDrive\Documentos\MALENTIN KARIME\BANCO ESTADO\2012 DEPTO ESCRITURAS fata\NOTARIA 2009\MANDATOS JUDICIALES 2006\MANDATOS EXONERADOS (VICTOR ROSAS)\NOELFA PIZARRO.doc", "Abrir Documento")</f>
        <v>0</v>
      </c>
      <c r="D11887" t="s">
        <v>23500</v>
      </c>
      <c r="E11887" t="s">
        <v>34362</v>
      </c>
    </row>
    <row r="11888" spans="1:5">
      <c r="A11888" t="s">
        <v>6</v>
      </c>
      <c r="B11888" t="s">
        <v>11893</v>
      </c>
      <c r="C11888">
        <f>HYPERLINK("C:\Users\franc\OneDrive\Documentos\MALENTIN KARIME\BANCO ESTADO\2012 DEPTO ESCRITURAS fata\NOTARIA 2009\MANDATOS JUDICIALES 2006\MANDATOS EXONERADOS (VICTOR ROSAS)\JOSE LEYTON LEYTON (EXONERADO).doc", "Abrir Documento")</f>
        <v>0</v>
      </c>
      <c r="D11888" t="s">
        <v>23500</v>
      </c>
      <c r="E11888" t="s">
        <v>34363</v>
      </c>
    </row>
    <row r="11889" spans="1:5">
      <c r="A11889" t="s">
        <v>6</v>
      </c>
      <c r="B11889" t="s">
        <v>11894</v>
      </c>
      <c r="C11889">
        <f>HYPERLINK("C:\Users\franc\OneDrive\Documentos\MALENTIN KARIME\BANCO ESTADO\2012 DEPTO ESCRITURAS fata\NOTARIA 2009\MANDATOS JUDICIALES 2006\MANDATOS EXONERADOS (VICTOR ROSAS)\JOSE ABURTO CEA.doc", "Abrir Documento")</f>
        <v>0</v>
      </c>
      <c r="D11889" t="s">
        <v>23500</v>
      </c>
      <c r="E11889" t="s">
        <v>34364</v>
      </c>
    </row>
    <row r="11890" spans="1:5">
      <c r="A11890" t="s">
        <v>6</v>
      </c>
      <c r="B11890" t="s">
        <v>11895</v>
      </c>
      <c r="C11890">
        <f>HYPERLINK("C:\Users\franc\OneDrive\Documentos\MALENTIN KARIME\BANCO ESTADO\2012 DEPTO ESCRITURAS fata\NOTARIA 2009\MANDATOS JUDICIALES 2006\MANDATOS EXONERADOS (VICTOR ROSAS)\JORGE CAMPUSANO GONZALEZ.doc", "Abrir Documento")</f>
        <v>0</v>
      </c>
      <c r="D11890" t="s">
        <v>23500</v>
      </c>
      <c r="E11890" t="s">
        <v>34365</v>
      </c>
    </row>
    <row r="11891" spans="1:5">
      <c r="A11891" t="s">
        <v>6</v>
      </c>
      <c r="B11891" t="s">
        <v>11896</v>
      </c>
      <c r="C11891">
        <f>HYPERLINK("C:\Users\franc\OneDrive\Documentos\MALENTIN KARIME\BANCO ESTADO\2012 DEPTO ESCRITURAS fata\NOTARIA 2009\MANDATOS JUDICIALES 2006\MANDATOS EXONERADOS (VICTOR ROSAS)\EXEQUIEL SANDOVAL Y OTRA.doc", "Abrir Documento")</f>
        <v>0</v>
      </c>
      <c r="D11891" t="s">
        <v>23500</v>
      </c>
      <c r="E11891" t="s">
        <v>34366</v>
      </c>
    </row>
    <row r="11892" spans="1:5">
      <c r="A11892" t="s">
        <v>6</v>
      </c>
      <c r="B11892" t="s">
        <v>11897</v>
      </c>
      <c r="C11892">
        <f>HYPERLINK("C:\Users\franc\OneDrive\Documentos\MALENTIN KARIME\BANCO ESTADO\2012 DEPTO ESCRITURAS fata\NOTARIA 2009\MANDATOS JUDICIALES 2006\MANDATOS EXONERADOS (VICTOR ROSAS)\CARLOS OLIVARES (EXONERADO).doc", "Abrir Documento")</f>
        <v>0</v>
      </c>
      <c r="D11892" t="s">
        <v>23500</v>
      </c>
      <c r="E11892" t="s">
        <v>34367</v>
      </c>
    </row>
    <row r="11893" spans="1:5">
      <c r="A11893" t="s">
        <v>6</v>
      </c>
      <c r="B11893" t="s">
        <v>11898</v>
      </c>
      <c r="C11893">
        <f>HYPERLINK("C:\Users\franc\OneDrive\Documentos\MALENTIN KARIME\BANCO ESTADO\2012 DEPTO ESCRITURAS fata\NOTARIA 2009\MANDATOS JUDICIALES 2006\2008\2009\WILSON GALLEGUILLOS A MARGOT FERNANDEZ.doc", "Abrir Documento")</f>
        <v>0</v>
      </c>
      <c r="D11893" t="s">
        <v>23500</v>
      </c>
      <c r="E11893" t="s">
        <v>34368</v>
      </c>
    </row>
    <row r="11894" spans="1:5">
      <c r="A11894" t="s">
        <v>6</v>
      </c>
      <c r="B11894" t="s">
        <v>11899</v>
      </c>
      <c r="C11894">
        <f>HYPERLINK("C:\Users\franc\OneDrive\Documentos\MALENTIN KARIME\BANCO ESTADO\2012 DEPTO ESCRITURAS fata\NOTARIA 2009\MANDATOS JUDICIALES 2006\2008\2009\SOCIEDAD OSVALDO LAGUNAS.doc", "Abrir Documento")</f>
        <v>0</v>
      </c>
      <c r="D11894" t="s">
        <v>23500</v>
      </c>
      <c r="E11894" t="s">
        <v>34369</v>
      </c>
    </row>
    <row r="11895" spans="1:5">
      <c r="A11895" t="s">
        <v>6</v>
      </c>
      <c r="B11895" t="s">
        <v>11900</v>
      </c>
      <c r="C11895">
        <f>HYPERLINK("C:\Users\franc\OneDrive\Documentos\MALENTIN KARIME\BANCO ESTADO\2012 DEPTO ESCRITURAS fata\NOTARIA 2009\MANDATOS JUDICIALES 2006\2008\2009\SILVIA PIZARRO A MARIO BARRIOS.doc", "Abrir Documento")</f>
        <v>0</v>
      </c>
      <c r="D11895" t="s">
        <v>23500</v>
      </c>
      <c r="E11895" t="s">
        <v>34370</v>
      </c>
    </row>
    <row r="11896" spans="1:5">
      <c r="A11896" t="s">
        <v>6</v>
      </c>
      <c r="B11896" t="s">
        <v>11901</v>
      </c>
      <c r="C11896">
        <f>HYPERLINK("C:\Users\franc\OneDrive\Documentos\MALENTIN KARIME\BANCO ESTADO\2012 DEPTO ESCRITURAS fata\NOTARIA 2009\MANDATOS JUDICIALES 2006\2008\2009\RUBEN SLATER TORRES A ABOGADO DE LA SERENA.doc", "Abrir Documento")</f>
        <v>0</v>
      </c>
      <c r="D11896" t="s">
        <v>23500</v>
      </c>
      <c r="E11896" t="s">
        <v>34371</v>
      </c>
    </row>
    <row r="11897" spans="1:5">
      <c r="A11897" t="s">
        <v>6</v>
      </c>
      <c r="B11897" t="s">
        <v>11902</v>
      </c>
      <c r="C11897">
        <f>HYPERLINK("C:\Users\franc\OneDrive\Documentos\MALENTIN KARIME\BANCO ESTADO\2012 DEPTO ESCRITURAS fata\NOTARIA 2009\MANDATOS JUDICIALES 2006\2008\2009\ROSSY PEREZ A HUMBERTO CARRASCO (R. VEGA SUP).doc", "Abrir Documento")</f>
        <v>0</v>
      </c>
      <c r="D11897" t="s">
        <v>23500</v>
      </c>
      <c r="E11897" t="s">
        <v>34372</v>
      </c>
    </row>
    <row r="11898" spans="1:5">
      <c r="A11898" t="s">
        <v>6</v>
      </c>
      <c r="B11898" t="s">
        <v>11903</v>
      </c>
      <c r="C11898">
        <f>HYPERLINK("C:\Users\franc\OneDrive\Documentos\MALENTIN KARIME\BANCO ESTADO\2012 DEPTO ESCRITURAS fata\NOTARIA 2009\MANDATOS JUDICIALES 2006\2008\2009\ROLANDO SANTANDER A RICARDO SEPULVEDA.doc", "Abrir Documento")</f>
        <v>0</v>
      </c>
      <c r="D11898" t="s">
        <v>23500</v>
      </c>
      <c r="E11898" t="s">
        <v>34373</v>
      </c>
    </row>
    <row r="11899" spans="1:5">
      <c r="A11899" t="s">
        <v>6</v>
      </c>
      <c r="B11899" t="s">
        <v>11904</v>
      </c>
      <c r="C11899">
        <f>HYPERLINK("C:\Users\franc\OneDrive\Documentos\MALENTIN KARIME\BANCO ESTADO\2012 DEPTO ESCRITURAS fata\NOTARIA 2009\MANDATOS JUDICIALES 2006\2008\2009\PILAR RODRIGUEZ Y OTROS.doc", "Abrir Documento")</f>
        <v>0</v>
      </c>
      <c r="D11899" t="s">
        <v>23500</v>
      </c>
      <c r="E11899" t="s">
        <v>34374</v>
      </c>
    </row>
    <row r="11900" spans="1:5">
      <c r="A11900" t="s">
        <v>6</v>
      </c>
      <c r="B11900" t="s">
        <v>11905</v>
      </c>
      <c r="C11900">
        <f>HYPERLINK("C:\Users\franc\OneDrive\Documentos\MALENTIN KARIME\BANCO ESTADO\2012 DEPTO ESCRITURAS fata\NOTARIA 2009\MANDATOS JUDICIALES 2006\2008\2009\PEDRO MUÑIZ A HEIDI ZULETA Y OTRA.doc", "Abrir Documento")</f>
        <v>0</v>
      </c>
      <c r="D11900" t="s">
        <v>23500</v>
      </c>
      <c r="E11900" t="s">
        <v>34375</v>
      </c>
    </row>
    <row r="11901" spans="1:5">
      <c r="A11901" t="s">
        <v>6</v>
      </c>
      <c r="B11901" t="s">
        <v>11906</v>
      </c>
      <c r="C11901">
        <f>HYPERLINK("C:\Users\franc\OneDrive\Documentos\MALENTIN KARIME\BANCO ESTADO\2012 DEPTO ESCRITURAS fata\NOTARIA 2009\MANDATOS JUDICIALES 2006\2008\2009\MARISOL FERNANDEZ A ADOLFO LAY.doc", "Abrir Documento")</f>
        <v>0</v>
      </c>
      <c r="D11901" t="s">
        <v>23500</v>
      </c>
      <c r="E11901" t="s">
        <v>34376</v>
      </c>
    </row>
    <row r="11902" spans="1:5">
      <c r="A11902" t="s">
        <v>6</v>
      </c>
      <c r="B11902" t="s">
        <v>11907</v>
      </c>
      <c r="C11902">
        <f>HYPERLINK("C:\Users\franc\OneDrive\Documentos\MALENTIN KARIME\BANCO ESTADO\2012 DEPTO ESCRITURAS fata\NOTARIA 2009\MANDATOS JUDICIALES 2006\2008\2009\LUIS GALLEGUILLOSA CLAUDIO ARDILES.doc", "Abrir Documento")</f>
        <v>0</v>
      </c>
      <c r="D11902" t="s">
        <v>23500</v>
      </c>
      <c r="E11902" t="s">
        <v>34377</v>
      </c>
    </row>
    <row r="11903" spans="1:5">
      <c r="A11903" t="s">
        <v>6</v>
      </c>
      <c r="B11903" t="s">
        <v>11908</v>
      </c>
      <c r="C11903">
        <f>HYPERLINK("C:\Users\franc\OneDrive\Documentos\MALENTIN KARIME\BANCO ESTADO\2012 DEPTO ESCRITURAS fata\NOTARIA 2009\MANDATOS JUDICIALES 2006\2008\2009\LORENA CASTILLO A JUAN PABLO CORRAL.doc", "Abrir Documento")</f>
        <v>0</v>
      </c>
      <c r="D11903" t="s">
        <v>23500</v>
      </c>
      <c r="E11903" t="s">
        <v>34378</v>
      </c>
    </row>
    <row r="11904" spans="1:5">
      <c r="A11904" t="s">
        <v>6</v>
      </c>
      <c r="B11904" t="s">
        <v>11909</v>
      </c>
      <c r="C11904">
        <f>HYPERLINK("C:\Users\franc\OneDrive\Documentos\MALENTIN KARIME\BANCO ESTADO\2012 DEPTO ESCRITURAS fata\NOTARIA 2009\MANDATOS JUDICIALES 2006\2008\2009\JUAN PORTILLA A IRACEMA RETAMAL.doc", "Abrir Documento")</f>
        <v>0</v>
      </c>
      <c r="D11904" t="s">
        <v>23500</v>
      </c>
      <c r="E11904" t="s">
        <v>34379</v>
      </c>
    </row>
    <row r="11905" spans="1:5">
      <c r="A11905" t="s">
        <v>6</v>
      </c>
      <c r="B11905" t="s">
        <v>11910</v>
      </c>
      <c r="C11905">
        <f>HYPERLINK("C:\Users\franc\OneDrive\Documentos\MALENTIN KARIME\BANCO ESTADO\2012 DEPTO ESCRITURAS fata\NOTARIA 2009\MANDATOS JUDICIALES 2006\2008\2009\JUAN OSSANDON CORPORACION.doc", "Abrir Documento")</f>
        <v>0</v>
      </c>
      <c r="D11905" t="s">
        <v>23500</v>
      </c>
      <c r="E11905" t="s">
        <v>34380</v>
      </c>
    </row>
    <row r="11906" spans="1:5">
      <c r="A11906" t="s">
        <v>6</v>
      </c>
      <c r="B11906" t="s">
        <v>11911</v>
      </c>
      <c r="C11906">
        <f>HYPERLINK("C:\Users\franc\OneDrive\Documentos\MALENTIN KARIME\BANCO ESTADO\2012 DEPTO ESCRITURAS fata\NOTARIA 2009\MANDATOS JUDICIALES 2006\2008\2009\JUAN MUÑOZ A CARLOS FLORES.doc", "Abrir Documento")</f>
        <v>0</v>
      </c>
      <c r="D11906" t="s">
        <v>23500</v>
      </c>
      <c r="E11906" t="s">
        <v>34381</v>
      </c>
    </row>
    <row r="11907" spans="1:5">
      <c r="A11907" t="s">
        <v>6</v>
      </c>
      <c r="B11907" t="s">
        <v>11912</v>
      </c>
      <c r="C11907">
        <f>HYPERLINK("C:\Users\franc\OneDrive\Documentos\MALENTIN KARIME\BANCO ESTADO\2012 DEPTO ESCRITURAS fata\NOTARIA 2009\MANDATOS JUDICIALES 2006\2008\2009\JUAN MARTINEZ A CLAUDIO ARDILES.doc", "Abrir Documento")</f>
        <v>0</v>
      </c>
      <c r="D11907" t="s">
        <v>23500</v>
      </c>
      <c r="E11907" t="s">
        <v>34382</v>
      </c>
    </row>
    <row r="11908" spans="1:5">
      <c r="A11908" t="s">
        <v>6</v>
      </c>
      <c r="B11908" t="s">
        <v>11913</v>
      </c>
      <c r="C11908">
        <f>HYPERLINK("C:\Users\franc\OneDrive\Documentos\MALENTIN KARIME\BANCO ESTADO\2012 DEPTO ESCRITURAS fata\NOTARIA 2009\MANDATOS JUDICIALES 2006\2008\2009\JAVIER CORRAL A JUAN PABLO CORRAL.doc", "Abrir Documento")</f>
        <v>0</v>
      </c>
      <c r="D11908" t="s">
        <v>23500</v>
      </c>
      <c r="E11908" t="s">
        <v>34383</v>
      </c>
    </row>
    <row r="11909" spans="1:5">
      <c r="A11909" t="s">
        <v>6</v>
      </c>
      <c r="B11909" t="s">
        <v>11914</v>
      </c>
      <c r="C11909">
        <f>HYPERLINK("C:\Users\franc\OneDrive\Documentos\MALENTIN KARIME\BANCO ESTADO\2012 DEPTO ESCRITURAS fata\NOTARIA 2009\MANDATOS JUDICIALES 2006\2008\2009\HUGO MORALES A RICARDO SEPULVEDA.doc", "Abrir Documento")</f>
        <v>0</v>
      </c>
      <c r="D11909" t="s">
        <v>23500</v>
      </c>
      <c r="E11909" t="s">
        <v>34384</v>
      </c>
    </row>
    <row r="11910" spans="1:5">
      <c r="A11910" t="s">
        <v>6</v>
      </c>
      <c r="B11910" t="s">
        <v>11915</v>
      </c>
      <c r="C11910">
        <f>HYPERLINK("C:\Users\franc\OneDrive\Documentos\MALENTIN KARIME\BANCO ESTADO\2012 DEPTO ESCRITURAS fata\NOTARIA 2009\MANDATOS JUDICIALES 2006\2008\2009\GUIDO CAMPILLAI A ANA SEGOVIA.doc", "Abrir Documento")</f>
        <v>0</v>
      </c>
      <c r="D11910" t="s">
        <v>23500</v>
      </c>
      <c r="E11910" t="s">
        <v>34385</v>
      </c>
    </row>
    <row r="11911" spans="1:5">
      <c r="A11911" t="s">
        <v>6</v>
      </c>
      <c r="B11911" t="s">
        <v>11916</v>
      </c>
      <c r="C11911">
        <f>HYPERLINK("C:\Users\franc\OneDrive\Documentos\MALENTIN KARIME\BANCO ESTADO\2012 DEPTO ESCRITURAS fata\NOTARIA 2009\MANDATOS JUDICIALES 2006\2008\2009\GRACIELA CARVAJAL Y IOTROS A FELIPE BRAVO.doc", "Abrir Documento")</f>
        <v>0</v>
      </c>
      <c r="D11911" t="s">
        <v>23500</v>
      </c>
      <c r="E11911" t="s">
        <v>34386</v>
      </c>
    </row>
    <row r="11912" spans="1:5">
      <c r="A11912" t="s">
        <v>6</v>
      </c>
      <c r="B11912" t="s">
        <v>11917</v>
      </c>
      <c r="C11912">
        <f>HYPERLINK("C:\Users\franc\OneDrive\Documentos\MALENTIN KARIME\BANCO ESTADO\2012 DEPTO ESCRITURAS fata\NOTARIA 2009\MANDATOS JUDICIALES 2006\2008\2009\CYNTHIA VEGA  A JORGE ALVARADO.doc", "Abrir Documento")</f>
        <v>0</v>
      </c>
      <c r="D11912" t="s">
        <v>23500</v>
      </c>
      <c r="E11912" t="s">
        <v>34387</v>
      </c>
    </row>
    <row r="11913" spans="1:5">
      <c r="A11913" t="s">
        <v>6</v>
      </c>
      <c r="B11913" t="s">
        <v>11918</v>
      </c>
      <c r="C11913">
        <f>HYPERLINK("C:\Users\franc\OneDrive\Documentos\MALENTIN KARIME\BANCO ESTADO\2012 DEPTO ESCRITURAS fata\NOTARIA 2009\MANDATOS JUDICIALES 2006\2008\2009\COMUNIDAD AGRICOLA EL POTRERO A JORGE MIRANDA  Y OTRO.doc", "Abrir Documento")</f>
        <v>0</v>
      </c>
      <c r="D11913" t="s">
        <v>23500</v>
      </c>
      <c r="E11913" t="s">
        <v>34388</v>
      </c>
    </row>
    <row r="11914" spans="1:5">
      <c r="A11914" t="s">
        <v>6</v>
      </c>
      <c r="B11914" t="s">
        <v>11919</v>
      </c>
      <c r="C11914">
        <f>HYPERLINK("C:\Users\franc\OneDrive\Documentos\MALENTIN KARIME\BANCO ESTADO\2012 DEPTO ESCRITURAS fata\NOTARIA 2009\MANDATOS JUDICIALES 2006\2008\2009\CLAUDIO ARAYA Y OTRO  A CLAUDIO ARDILES.doc", "Abrir Documento")</f>
        <v>0</v>
      </c>
      <c r="D11914" t="s">
        <v>23500</v>
      </c>
      <c r="E11914" t="s">
        <v>34389</v>
      </c>
    </row>
    <row r="11915" spans="1:5">
      <c r="A11915" t="s">
        <v>6</v>
      </c>
      <c r="B11915" t="s">
        <v>11920</v>
      </c>
      <c r="C11915">
        <f>HYPERLINK("C:\Users\franc\OneDrive\Documentos\MALENTIN KARIME\BANCO ESTADO\2012 DEPTO ESCRITURAS fata\NOTARIA 2009\MANDATOS JUDICIALES 2006\2008\2009\CELINDA JERALDO A FELIPE JOPIA Y OTRO.doc", "Abrir Documento")</f>
        <v>0</v>
      </c>
      <c r="D11915" t="s">
        <v>23500</v>
      </c>
      <c r="E11915" t="s">
        <v>34390</v>
      </c>
    </row>
    <row r="11916" spans="1:5">
      <c r="A11916" t="s">
        <v>6</v>
      </c>
      <c r="B11916" t="s">
        <v>11921</v>
      </c>
      <c r="C11916">
        <f>HYPERLINK("C:\Users\franc\OneDrive\Documentos\MALENTIN KARIME\BANCO ESTADO\2012 DEPTO ESCRITURAS fata\NOTARIA 2009\MANDATOS JUDICIALES 2006\2008\2009\BERTA IRISCH Y OTRO A DANIEL SALFATE.doc", "Abrir Documento")</f>
        <v>0</v>
      </c>
      <c r="D11916" t="s">
        <v>23500</v>
      </c>
      <c r="E11916" t="s">
        <v>34391</v>
      </c>
    </row>
    <row r="11917" spans="1:5">
      <c r="A11917" t="s">
        <v>6</v>
      </c>
      <c r="B11917" t="s">
        <v>11922</v>
      </c>
      <c r="C11917">
        <f>HYPERLINK("C:\Users\franc\OneDrive\Documentos\MALENTIN KARIME\BANCO ESTADO\2012 DEPTO ESCRITURAS fata\NOTARIA 2009\MANDATOS JUDICIALES 2006\2008\2009\AURORA VEGA A HUGO LAGUNAS.doc", "Abrir Documento")</f>
        <v>0</v>
      </c>
      <c r="D11917" t="s">
        <v>23500</v>
      </c>
      <c r="E11917" t="s">
        <v>34392</v>
      </c>
    </row>
    <row r="11918" spans="1:5">
      <c r="A11918" t="s">
        <v>6</v>
      </c>
      <c r="B11918" t="s">
        <v>11923</v>
      </c>
      <c r="C11918">
        <f>HYPERLINK("C:\Users\franc\OneDrive\Documentos\MALENTIN KARIME\BANCO ESTADO\2012 DEPTO ESCRITURAS fata\NOTARIA 2009\MANDATOS JUDICIALES 2006\2008\2009\ANA ARAYA A SU HIJO CLAUDIO ARDILES.doc", "Abrir Documento")</f>
        <v>0</v>
      </c>
      <c r="D11918" t="s">
        <v>23500</v>
      </c>
      <c r="E11918" t="s">
        <v>34393</v>
      </c>
    </row>
    <row r="11919" spans="1:5">
      <c r="A11919" t="s">
        <v>6</v>
      </c>
      <c r="B11919" t="s">
        <v>11924</v>
      </c>
      <c r="C11919">
        <f>HYPERLINK("C:\Users\franc\OneDrive\Documentos\MALENTIN KARIME\BANCO ESTADO\2012 DEPTO ESCRITURAS fata\NOTARIA 2009\MANDATOS JUDICIALES 2006\2008\2009\ALICIA JIMENEZ  A MARCO JURIN.doc", "Abrir Documento")</f>
        <v>0</v>
      </c>
      <c r="D11919" t="s">
        <v>23500</v>
      </c>
      <c r="E11919" t="s">
        <v>34394</v>
      </c>
    </row>
    <row r="11920" spans="1:5">
      <c r="A11920" t="s">
        <v>6</v>
      </c>
      <c r="B11920" t="s">
        <v>11925</v>
      </c>
      <c r="C11920">
        <f>HYPERLINK("C:\Users\franc\OneDrive\Documentos\MALENTIN KARIME\BANCO ESTADO\2012 DEPTO ESCRITURAS fata\NOTARIA 2009\MANDATOS JUDICIALES 2006\2008\2009\ALBERTO VELASQUEZ  A JORGE ALVARADO.doc", "Abrir Documento")</f>
        <v>0</v>
      </c>
      <c r="D11920" t="s">
        <v>23500</v>
      </c>
      <c r="E11920" t="s">
        <v>34395</v>
      </c>
    </row>
    <row r="11921" spans="1:5">
      <c r="A11921" t="s">
        <v>6</v>
      </c>
      <c r="B11921" t="s">
        <v>11926</v>
      </c>
      <c r="C11921">
        <f>HYPERLINK("C:\Users\franc\OneDrive\Documentos\MALENTIN KARIME\BANCO ESTADO\2012 DEPTO ESCRITURAS fata\NOTARIA 2009\MANDATOS JUDICIALES 2006\2008\2009\AGROVAL A JULIO POLO Y OTRO.doc", "Abrir Documento")</f>
        <v>0</v>
      </c>
      <c r="D11921" t="s">
        <v>23500</v>
      </c>
      <c r="E11921" t="s">
        <v>34396</v>
      </c>
    </row>
    <row r="11922" spans="1:5">
      <c r="A11922" t="s">
        <v>6</v>
      </c>
      <c r="B11922" t="s">
        <v>11927</v>
      </c>
      <c r="C11922">
        <f>HYPERLINK("C:\Users\franc\OneDrive\Documentos\MALENTIN KARIME\BANCO ESTADO\2012 DEPTO ESCRITURAS fata\NOTARIA 2009\MANDATOS JUDICIALES 2006\2008\WLADIMIR VALDIVIA A  IVAN OLAVARRIA.doc", "Abrir Documento")</f>
        <v>0</v>
      </c>
      <c r="D11922" t="s">
        <v>23500</v>
      </c>
      <c r="E11922" t="s">
        <v>34397</v>
      </c>
    </row>
    <row r="11923" spans="1:5">
      <c r="A11923" t="s">
        <v>6</v>
      </c>
      <c r="B11923" t="s">
        <v>11928</v>
      </c>
      <c r="C11923">
        <f>HYPERLINK("C:\Users\franc\OneDrive\Documentos\MALENTIN KARIME\BANCO ESTADO\2012 DEPTO ESCRITURAS fata\NOTARIA 2009\MANDATOS JUDICIALES 2006\2008\WANDA HEREDIA SALINAS A ROSA PIZARRO DUBO.doc", "Abrir Documento")</f>
        <v>0</v>
      </c>
      <c r="D11923" t="s">
        <v>23500</v>
      </c>
      <c r="E11923" t="s">
        <v>34398</v>
      </c>
    </row>
    <row r="11924" spans="1:5">
      <c r="A11924" t="s">
        <v>6</v>
      </c>
      <c r="B11924" t="s">
        <v>11929</v>
      </c>
      <c r="C11924">
        <f>HYPERLINK("C:\Users\franc\OneDrive\Documentos\MALENTIN KARIME\BANCO ESTADO\2012 DEPTO ESCRITURAS fata\NOTARIA 2009\MANDATOS JUDICIALES 2006\2008\VIRTUDES ROJAS Y OTRAS A M. METTIFOGO.doc", "Abrir Documento")</f>
        <v>0</v>
      </c>
      <c r="D11924" t="s">
        <v>23500</v>
      </c>
      <c r="E11924" t="s">
        <v>34399</v>
      </c>
    </row>
    <row r="11925" spans="1:5">
      <c r="A11925" t="s">
        <v>6</v>
      </c>
      <c r="B11925" t="s">
        <v>11930</v>
      </c>
      <c r="C11925">
        <f>HYPERLINK("C:\Users\franc\OneDrive\Documentos\MALENTIN KARIME\BANCO ESTADO\2012 DEPTO ESCRITURAS fata\NOTARIA 2009\MANDATOS JUDICIALES 2006\2008\VINKA MARTINIC A CLAUDIO ARDILES.doc", "Abrir Documento")</f>
        <v>0</v>
      </c>
      <c r="D11925" t="s">
        <v>23500</v>
      </c>
      <c r="E11925" t="s">
        <v>34400</v>
      </c>
    </row>
    <row r="11926" spans="1:5">
      <c r="A11926" t="s">
        <v>6</v>
      </c>
      <c r="B11926" t="s">
        <v>11931</v>
      </c>
      <c r="C11926">
        <f>HYPERLINK("C:\Users\franc\OneDrive\Documentos\MALENTIN KARIME\BANCO ESTADO\2012 DEPTO ESCRITURAS fata\NOTARIA 2009\MANDATOS JUDICIALES 2006\2008\SOC. TRANSPORTES COLECTIVOS S.A..doc", "Abrir Documento")</f>
        <v>0</v>
      </c>
      <c r="D11926" t="s">
        <v>23500</v>
      </c>
      <c r="E11926" t="s">
        <v>34401</v>
      </c>
    </row>
    <row r="11927" spans="1:5">
      <c r="A11927" t="s">
        <v>6</v>
      </c>
      <c r="B11927" t="s">
        <v>11932</v>
      </c>
      <c r="C11927">
        <f>HYPERLINK("C:\Users\franc\OneDrive\Documentos\MALENTIN KARIME\BANCO ESTADO\2012 DEPTO ESCRITURAS fata\NOTARIA 2009\MANDATOS JUDICIALES 2006\2008\SINDICATO TAXIS COLECTIVOS.doc", "Abrir Documento")</f>
        <v>0</v>
      </c>
      <c r="D11927" t="s">
        <v>23500</v>
      </c>
      <c r="E11927" t="s">
        <v>34402</v>
      </c>
    </row>
    <row r="11928" spans="1:5">
      <c r="A11928" t="s">
        <v>6</v>
      </c>
      <c r="B11928" t="s">
        <v>11933</v>
      </c>
      <c r="C11928">
        <f>HYPERLINK("C:\Users\franc\OneDrive\Documentos\MALENTIN KARIME\BANCO ESTADO\2012 DEPTO ESCRITURAS fata\NOTARIA 2009\MANDATOS JUDICIALES 2006\2008\SILVIA ARAYA Y OTROS. A ALFREDO VILLAGRAN.doc", "Abrir Documento")</f>
        <v>0</v>
      </c>
      <c r="D11928" t="s">
        <v>23500</v>
      </c>
      <c r="E11928" t="s">
        <v>34403</v>
      </c>
    </row>
    <row r="11929" spans="1:5">
      <c r="A11929" t="s">
        <v>6</v>
      </c>
      <c r="B11929" t="s">
        <v>11934</v>
      </c>
      <c r="C11929">
        <f>HYPERLINK("C:\Users\franc\OneDrive\Documentos\MALENTIN KARIME\BANCO ESTADO\2012 DEPTO ESCRITURAS fata\NOTARIA 2009\MANDATOS JUDICIALES 2006\2008\SERGIO CASTILLO A PATRICIA CASTRO.doc", "Abrir Documento")</f>
        <v>0</v>
      </c>
      <c r="D11929" t="s">
        <v>23500</v>
      </c>
      <c r="E11929" t="s">
        <v>34404</v>
      </c>
    </row>
    <row r="11930" spans="1:5">
      <c r="A11930" t="s">
        <v>6</v>
      </c>
      <c r="B11930" t="s">
        <v>11935</v>
      </c>
      <c r="C11930">
        <f>HYPERLINK("C:\Users\franc\OneDrive\Documentos\MALENTIN KARIME\BANCO ESTADO\2012 DEPTO ESCRITURAS fata\NOTARIA 2009\MANDATOS JUDICIALES 2006\2008\SERGIO CASTILLO A PATRICIA CASTRO 2.doc", "Abrir Documento")</f>
        <v>0</v>
      </c>
      <c r="D11930" t="s">
        <v>23500</v>
      </c>
      <c r="E11930" t="s">
        <v>34405</v>
      </c>
    </row>
    <row r="11931" spans="1:5">
      <c r="A11931" t="s">
        <v>6</v>
      </c>
      <c r="B11931" t="s">
        <v>11936</v>
      </c>
      <c r="C11931">
        <f>HYPERLINK("C:\Users\franc\OneDrive\Documentos\MALENTIN KARIME\BANCO ESTADO\2012 DEPTO ESCRITURAS fata\NOTARIA 2009\MANDATOS JUDICIALES 2006\2008\SAUL ACOSTA A M. METTIFOGO.doc", "Abrir Documento")</f>
        <v>0</v>
      </c>
      <c r="D11931" t="s">
        <v>23500</v>
      </c>
      <c r="E11931" t="s">
        <v>34406</v>
      </c>
    </row>
    <row r="11932" spans="1:5">
      <c r="A11932" t="s">
        <v>6</v>
      </c>
      <c r="B11932" t="s">
        <v>11937</v>
      </c>
      <c r="C11932">
        <f>HYPERLINK("C:\Users\franc\OneDrive\Documentos\MALENTIN KARIME\BANCO ESTADO\2012 DEPTO ESCRITURAS fata\NOTARIA 2009\MANDATOS JUDICIALES 2006\2008\SALVADOR LEDEZMA A CYNTHIA ESTAY (SUPLENTE).doc", "Abrir Documento")</f>
        <v>0</v>
      </c>
      <c r="D11932" t="s">
        <v>23500</v>
      </c>
      <c r="E11932" t="s">
        <v>34407</v>
      </c>
    </row>
    <row r="11933" spans="1:5">
      <c r="A11933" t="s">
        <v>6</v>
      </c>
      <c r="B11933" t="s">
        <v>11938</v>
      </c>
      <c r="C11933">
        <f>HYPERLINK("C:\Users\franc\OneDrive\Documentos\MALENTIN KARIME\BANCO ESTADO\2012 DEPTO ESCRITURAS fata\NOTARIA 2009\MANDATOS JUDICIALES 2006\2008\RODRIGO BOLVARAN A CAROLINA ADAOS.doc", "Abrir Documento")</f>
        <v>0</v>
      </c>
      <c r="D11933" t="s">
        <v>23500</v>
      </c>
      <c r="E11933" t="s">
        <v>34408</v>
      </c>
    </row>
    <row r="11934" spans="1:5">
      <c r="A11934" t="s">
        <v>6</v>
      </c>
      <c r="B11934" t="s">
        <v>11939</v>
      </c>
      <c r="C11934">
        <f>HYPERLINK("C:\Users\franc\OneDrive\Documentos\MALENTIN KARIME\BANCO ESTADO\2012 DEPTO ESCRITURAS fata\NOTARIA 2009\MANDATOS JUDICIALES 2006\2008\ROBERTO DABED (SOC. LOS RISCOS) A S. CORTES.doc", "Abrir Documento")</f>
        <v>0</v>
      </c>
      <c r="D11934" t="s">
        <v>23500</v>
      </c>
      <c r="E11934" t="s">
        <v>34409</v>
      </c>
    </row>
    <row r="11935" spans="1:5">
      <c r="A11935" t="s">
        <v>6</v>
      </c>
      <c r="B11935" t="s">
        <v>11940</v>
      </c>
      <c r="C11935">
        <f>HYPERLINK("C:\Users\franc\OneDrive\Documentos\MALENTIN KARIME\BANCO ESTADO\2012 DEPTO ESCRITURAS fata\NOTARIA 2009\MANDATOS JUDICIALES 2006\2008\ROBERTO DABED (Selim DABED A OSCAR MUSALEM.doc", "Abrir Documento")</f>
        <v>0</v>
      </c>
      <c r="D11935" t="s">
        <v>23500</v>
      </c>
      <c r="E11935" t="s">
        <v>34410</v>
      </c>
    </row>
    <row r="11936" spans="1:5">
      <c r="A11936" t="s">
        <v>6</v>
      </c>
      <c r="B11936" t="s">
        <v>11941</v>
      </c>
      <c r="C11936">
        <f>HYPERLINK("C:\Users\franc\OneDrive\Documentos\MALENTIN KARIME\BANCO ESTADO\2012 DEPTO ESCRITURAS fata\NOTARIA 2009\MANDATOS JUDICIALES 2006\2008\RAMON RUBILAR A DIEGO MUJICA  (REVOC).doc", "Abrir Documento")</f>
        <v>0</v>
      </c>
      <c r="D11936" t="s">
        <v>23500</v>
      </c>
      <c r="E11936" t="s">
        <v>34411</v>
      </c>
    </row>
    <row r="11937" spans="1:5">
      <c r="A11937" t="s">
        <v>6</v>
      </c>
      <c r="B11937" t="s">
        <v>11942</v>
      </c>
      <c r="C11937">
        <f>HYPERLINK("C:\Users\franc\OneDrive\Documentos\MALENTIN KARIME\BANCO ESTADO\2012 DEPTO ESCRITURAS fata\NOTARIA 2009\MANDATOS JUDICIALES 2006\2008\RAMON HENRIQUEZ A FELIPE ALAMO.doc", "Abrir Documento")</f>
        <v>0</v>
      </c>
      <c r="D11937" t="s">
        <v>23500</v>
      </c>
      <c r="E11937" t="s">
        <v>34412</v>
      </c>
    </row>
    <row r="11938" spans="1:5">
      <c r="A11938" t="s">
        <v>6</v>
      </c>
      <c r="B11938" t="s">
        <v>11943</v>
      </c>
      <c r="C11938">
        <f>HYPERLINK("C:\Users\franc\OneDrive\Documentos\MALENTIN KARIME\BANCO ESTADO\2012 DEPTO ESCRITURAS fata\NOTARIA 2009\MANDATOS JUDICIALES 2006\2008\RAFAEL PROHENS Y CIA A RAUL SALAMANDA.doc", "Abrir Documento")</f>
        <v>0</v>
      </c>
      <c r="D11938" t="s">
        <v>23500</v>
      </c>
      <c r="E11938" t="s">
        <v>34413</v>
      </c>
    </row>
    <row r="11939" spans="1:5">
      <c r="A11939" t="s">
        <v>6</v>
      </c>
      <c r="B11939" t="s">
        <v>11944</v>
      </c>
      <c r="C11939">
        <f>HYPERLINK("C:\Users\franc\OneDrive\Documentos\MALENTIN KARIME\BANCO ESTADO\2012 DEPTO ESCRITURAS fata\NOTARIA 2009\MANDATOS JUDICIALES 2006\2008\PRISCILLA FLORES  A  IVAN OLAVARRIA.doc", "Abrir Documento")</f>
        <v>0</v>
      </c>
      <c r="D11939" t="s">
        <v>23500</v>
      </c>
      <c r="E11939" t="s">
        <v>34414</v>
      </c>
    </row>
    <row r="11940" spans="1:5">
      <c r="A11940" t="s">
        <v>6</v>
      </c>
      <c r="B11940" t="s">
        <v>11945</v>
      </c>
      <c r="C11940">
        <f>HYPERLINK("C:\Users\franc\OneDrive\Documentos\MALENTIN KARIME\BANCO ESTADO\2012 DEPTO ESCRITURAS fata\NOTARIA 2009\MANDATOS JUDICIALES 2006\2008\PASCUALA LEON A S. GALLEGUILLOS.doc", "Abrir Documento")</f>
        <v>0</v>
      </c>
      <c r="D11940" t="s">
        <v>23500</v>
      </c>
      <c r="E11940" t="s">
        <v>34415</v>
      </c>
    </row>
    <row r="11941" spans="1:5">
      <c r="A11941" t="s">
        <v>6</v>
      </c>
      <c r="B11941" t="s">
        <v>11946</v>
      </c>
      <c r="C11941">
        <f>HYPERLINK("C:\Users\franc\OneDrive\Documentos\MALENTIN KARIME\BANCO ESTADO\2012 DEPTO ESCRITURAS fata\NOTARIA 2009\MANDATOS JUDICIALES 2006\2008\OSMAN CORTES A FCO. OSORIO.doc", "Abrir Documento")</f>
        <v>0</v>
      </c>
      <c r="D11941" t="s">
        <v>23500</v>
      </c>
      <c r="E11941" t="s">
        <v>34416</v>
      </c>
    </row>
    <row r="11942" spans="1:5">
      <c r="A11942" t="s">
        <v>6</v>
      </c>
      <c r="B11942" t="s">
        <v>11947</v>
      </c>
      <c r="C11942">
        <f>HYPERLINK("C:\Users\franc\OneDrive\Documentos\MALENTIN KARIME\BANCO ESTADO\2012 DEPTO ESCRITURAS fata\NOTARIA 2009\MANDATOS JUDICIALES 2006\2008\OSCAR TELLO A MARCO JURIN.doc", "Abrir Documento")</f>
        <v>0</v>
      </c>
      <c r="D11942" t="s">
        <v>23500</v>
      </c>
      <c r="E11942" t="s">
        <v>34417</v>
      </c>
    </row>
    <row r="11943" spans="1:5">
      <c r="A11943" t="s">
        <v>6</v>
      </c>
      <c r="B11943" t="s">
        <v>11948</v>
      </c>
      <c r="C11943">
        <f>HYPERLINK("C:\Users\franc\OneDrive\Documentos\MALENTIN KARIME\BANCO ESTADO\2012 DEPTO ESCRITURAS fata\NOTARIA 2009\MANDATOS JUDICIALES 2006\2008\OSCAR ROA A MANLIO METTIFOGO.doc", "Abrir Documento")</f>
        <v>0</v>
      </c>
      <c r="D11943" t="s">
        <v>23500</v>
      </c>
      <c r="E11943" t="s">
        <v>34418</v>
      </c>
    </row>
    <row r="11944" spans="1:5">
      <c r="A11944" t="s">
        <v>6</v>
      </c>
      <c r="B11944" t="s">
        <v>11949</v>
      </c>
      <c r="C11944">
        <f>HYPERLINK("C:\Users\franc\OneDrive\Documentos\MALENTIN KARIME\BANCO ESTADO\2012 DEPTO ESCRITURAS fata\NOTARIA 2009\MANDATOS JUDICIALES 2006\2008\OSCAR ARAYA A ALEJANDRO ROJAS.doc", "Abrir Documento")</f>
        <v>0</v>
      </c>
      <c r="D11944" t="s">
        <v>23500</v>
      </c>
      <c r="E11944" t="s">
        <v>34419</v>
      </c>
    </row>
    <row r="11945" spans="1:5">
      <c r="A11945" t="s">
        <v>6</v>
      </c>
      <c r="B11945" t="s">
        <v>11950</v>
      </c>
      <c r="C11945">
        <f>HYPERLINK("C:\Users\franc\OneDrive\Documentos\MALENTIN KARIME\BANCO ESTADO\2012 DEPTO ESCRITURAS fata\NOTARIA 2009\MANDATOS JUDICIALES 2006\2008\OMAR MUÑOZ  A CLAUDIO ARDILES.doc", "Abrir Documento")</f>
        <v>0</v>
      </c>
      <c r="D11945" t="s">
        <v>23500</v>
      </c>
      <c r="E11945" t="s">
        <v>34420</v>
      </c>
    </row>
    <row r="11946" spans="1:5">
      <c r="A11946" t="s">
        <v>6</v>
      </c>
      <c r="B11946" t="s">
        <v>11951</v>
      </c>
      <c r="C11946">
        <f>HYPERLINK("C:\Users\franc\OneDrive\Documentos\MALENTIN KARIME\BANCO ESTADO\2012 DEPTO ESCRITURAS fata\NOTARIA 2009\MANDATOS JUDICIALES 2006\2008\NOLBERTA GOMEZ A ALEX TAPIA.doc", "Abrir Documento")</f>
        <v>0</v>
      </c>
      <c r="D11946" t="s">
        <v>23500</v>
      </c>
      <c r="E11946" t="s">
        <v>34421</v>
      </c>
    </row>
    <row r="11947" spans="1:5">
      <c r="A11947" t="s">
        <v>6</v>
      </c>
      <c r="B11947" t="s">
        <v>11952</v>
      </c>
      <c r="C11947">
        <f>HYPERLINK("C:\Users\franc\OneDrive\Documentos\MALENTIN KARIME\BANCO ESTADO\2012 DEPTO ESCRITURAS fata\NOTARIA 2009\MANDATOS JUDICIALES 2006\2008\MUNICIPALIDAD DE OVALLE A DANIEL RAPIMAN.doc", "Abrir Documento")</f>
        <v>0</v>
      </c>
      <c r="D11947" t="s">
        <v>23500</v>
      </c>
      <c r="E11947" t="s">
        <v>34422</v>
      </c>
    </row>
    <row r="11948" spans="1:5">
      <c r="A11948" t="s">
        <v>6</v>
      </c>
      <c r="B11948" t="s">
        <v>11953</v>
      </c>
      <c r="C11948">
        <f>HYPERLINK("C:\Users\franc\OneDrive\Documentos\MALENTIN KARIME\BANCO ESTADO\2012 DEPTO ESCRITURAS fata\NOTARIA 2009\MANDATOS JUDICIALES 2006\2008\MODELO (JUDICIAL).doc", "Abrir Documento")</f>
        <v>0</v>
      </c>
      <c r="D11948" t="s">
        <v>23500</v>
      </c>
      <c r="E11948" t="s">
        <v>34423</v>
      </c>
    </row>
    <row r="11949" spans="1:5">
      <c r="A11949" t="s">
        <v>6</v>
      </c>
      <c r="B11949" t="s">
        <v>11954</v>
      </c>
      <c r="C11949">
        <f>HYPERLINK("C:\Users\franc\OneDrive\Documentos\MALENTIN KARIME\BANCO ESTADO\2012 DEPTO ESCRITURAS fata\NOTARIA 2009\MANDATOS JUDICIALES 2006\2008\MIGUEL CASTILLO  A CLAUDIO ARDILES.doc", "Abrir Documento")</f>
        <v>0</v>
      </c>
      <c r="D11949" t="s">
        <v>23500</v>
      </c>
      <c r="E11949" t="s">
        <v>34424</v>
      </c>
    </row>
    <row r="11950" spans="1:5">
      <c r="A11950" t="s">
        <v>6</v>
      </c>
      <c r="B11950" t="s">
        <v>11955</v>
      </c>
      <c r="C11950">
        <f>HYPERLINK("C:\Users\franc\OneDrive\Documentos\MALENTIN KARIME\BANCO ESTADO\2012 DEPTO ESCRITURAS fata\NOTARIA 2009\MANDATOS JUDICIALES 2006\2008\MARJORIE ASTUDILLO A IVAN OLAVARRIA.doc", "Abrir Documento")</f>
        <v>0</v>
      </c>
      <c r="D11950" t="s">
        <v>23500</v>
      </c>
      <c r="E11950" t="s">
        <v>34425</v>
      </c>
    </row>
    <row r="11951" spans="1:5">
      <c r="A11951" t="s">
        <v>6</v>
      </c>
      <c r="B11951" t="s">
        <v>11956</v>
      </c>
      <c r="C11951">
        <f>HYPERLINK("C:\Users\franc\OneDrive\Documentos\MALENTIN KARIME\BANCO ESTADO\2012 DEPTO ESCRITURAS fata\NOTARIA 2009\MANDATOS JUDICIALES 2006\2008\MARIA SOLEDAD VICUÑA BAEZA A RAUL SALAMANCA CARVAJAL.doc", "Abrir Documento")</f>
        <v>0</v>
      </c>
      <c r="D11951" t="s">
        <v>23500</v>
      </c>
      <c r="E11951" t="s">
        <v>34426</v>
      </c>
    </row>
    <row r="11952" spans="1:5">
      <c r="A11952" t="s">
        <v>6</v>
      </c>
      <c r="B11952" t="s">
        <v>11957</v>
      </c>
      <c r="C11952">
        <f>HYPERLINK("C:\Users\franc\OneDrive\Documentos\MALENTIN KARIME\BANCO ESTADO\2012 DEPTO ESCRITURAS fata\NOTARIA 2009\MANDATOS JUDICIALES 2006\2008\MARIA LOLIC A MA. INES NUÑEZ.doc", "Abrir Documento")</f>
        <v>0</v>
      </c>
      <c r="D11952" t="s">
        <v>23500</v>
      </c>
      <c r="E11952" t="s">
        <v>34427</v>
      </c>
    </row>
    <row r="11953" spans="1:5">
      <c r="A11953" t="s">
        <v>6</v>
      </c>
      <c r="B11953" t="s">
        <v>11958</v>
      </c>
      <c r="C11953">
        <f>HYPERLINK("C:\Users\franc\OneDrive\Documentos\MALENTIN KARIME\BANCO ESTADO\2012 DEPTO ESCRITURAS fata\NOTARIA 2009\MANDATOS JUDICIALES 2006\2008\MARIA HENRIQUEZ Y OTRAS A RENE ALLENDE SENTIS.doc", "Abrir Documento")</f>
        <v>0</v>
      </c>
      <c r="D11953" t="s">
        <v>23500</v>
      </c>
      <c r="E11953" t="s">
        <v>34428</v>
      </c>
    </row>
    <row r="11954" spans="1:5">
      <c r="A11954" t="s">
        <v>6</v>
      </c>
      <c r="B11954" t="s">
        <v>11959</v>
      </c>
      <c r="C11954">
        <f>HYPERLINK("C:\Users\franc\OneDrive\Documentos\MALENTIN KARIME\BANCO ESTADO\2012 DEPTO ESCRITURAS fata\NOTARIA 2009\MANDATOS JUDICIALES 2006\2008\MARIA FUENTEALBA A AMERICA CONTRERAS.doc", "Abrir Documento")</f>
        <v>0</v>
      </c>
      <c r="D11954" t="s">
        <v>23500</v>
      </c>
      <c r="E11954" t="s">
        <v>34429</v>
      </c>
    </row>
    <row r="11955" spans="1:5">
      <c r="A11955" t="s">
        <v>6</v>
      </c>
      <c r="B11955" t="s">
        <v>11960</v>
      </c>
      <c r="C11955">
        <f>HYPERLINK("C:\Users\franc\OneDrive\Documentos\MALENTIN KARIME\BANCO ESTADO\2012 DEPTO ESCRITURAS fata\NOTARIA 2009\MANDATOS JUDICIALES 2006\2008\MARIA DE LOS ANGELES A SR. HURTADO.doc", "Abrir Documento")</f>
        <v>0</v>
      </c>
      <c r="D11955" t="s">
        <v>23500</v>
      </c>
      <c r="E11955" t="s">
        <v>34430</v>
      </c>
    </row>
    <row r="11956" spans="1:5">
      <c r="A11956" t="s">
        <v>6</v>
      </c>
      <c r="B11956" t="s">
        <v>11961</v>
      </c>
      <c r="C11956">
        <f>HYPERLINK("C:\Users\franc\OneDrive\Documentos\MALENTIN KARIME\BANCO ESTADO\2012 DEPTO ESCRITURAS fata\NOTARIA 2009\MANDATOS JUDICIALES 2006\2008\MARIA CORDOVA A ALEJANDRO ALVARADO.doc", "Abrir Documento")</f>
        <v>0</v>
      </c>
      <c r="D11956" t="s">
        <v>23500</v>
      </c>
      <c r="E11956" t="s">
        <v>34431</v>
      </c>
    </row>
    <row r="11957" spans="1:5">
      <c r="A11957" t="s">
        <v>6</v>
      </c>
      <c r="B11957" t="s">
        <v>11962</v>
      </c>
      <c r="C11957">
        <f>HYPERLINK("C:\Users\franc\OneDrive\Documentos\MALENTIN KARIME\BANCO ESTADO\2012 DEPTO ESCRITURAS fata\NOTARIA 2009\MANDATOS JUDICIALES 2006\2008\MARGARITA NUÑEZ.doc", "Abrir Documento")</f>
        <v>0</v>
      </c>
      <c r="D11957" t="s">
        <v>23500</v>
      </c>
      <c r="E11957" t="s">
        <v>34432</v>
      </c>
    </row>
    <row r="11958" spans="1:5">
      <c r="A11958" t="s">
        <v>6</v>
      </c>
      <c r="B11958" t="s">
        <v>11963</v>
      </c>
      <c r="C11958">
        <f>HYPERLINK("C:\Users\franc\OneDrive\Documentos\MALENTIN KARIME\BANCO ESTADO\2012 DEPTO ESCRITURAS fata\NOTARIA 2009\MANDATOS JUDICIALES 2006\2008\MARCIAL VEGA NUÑEZ A ROSENDO YAÑEZ.doc", "Abrir Documento")</f>
        <v>0</v>
      </c>
      <c r="D11958" t="s">
        <v>23500</v>
      </c>
      <c r="E11958" t="s">
        <v>34433</v>
      </c>
    </row>
    <row r="11959" spans="1:5">
      <c r="A11959" t="s">
        <v>6</v>
      </c>
      <c r="B11959" t="s">
        <v>11964</v>
      </c>
      <c r="C11959">
        <f>HYPERLINK("C:\Users\franc\OneDrive\Documentos\MALENTIN KARIME\BANCO ESTADO\2012 DEPTO ESCRITURAS fata\NOTARIA 2009\MANDATOS JUDICIALES 2006\2008\MANDATO EXONERADOS.doc", "Abrir Documento")</f>
        <v>0</v>
      </c>
      <c r="D11959" t="s">
        <v>23500</v>
      </c>
      <c r="E11959" t="s">
        <v>34434</v>
      </c>
    </row>
    <row r="11960" spans="1:5">
      <c r="A11960" t="s">
        <v>6</v>
      </c>
      <c r="B11960" t="s">
        <v>11965</v>
      </c>
      <c r="C11960">
        <f>HYPERLINK("C:\Users\franc\OneDrive\Documentos\MALENTIN KARIME\BANCO ESTADO\2012 DEPTO ESCRITURAS fata\NOTARIA 2009\MANDATOS JUDICIALES 2006\2008\MANDATO EXONERADOS varios.doc", "Abrir Documento")</f>
        <v>0</v>
      </c>
      <c r="D11960" t="s">
        <v>23500</v>
      </c>
      <c r="E11960" t="s">
        <v>34435</v>
      </c>
    </row>
    <row r="11961" spans="1:5">
      <c r="A11961" t="s">
        <v>6</v>
      </c>
      <c r="B11961" t="s">
        <v>11966</v>
      </c>
      <c r="C11961">
        <f>HYPERLINK("C:\Users\franc\OneDrive\Documentos\MALENTIN KARIME\BANCO ESTADO\2012 DEPTO ESCRITURAS fata\NOTARIA 2009\MANDATOS JUDICIALES 2006\2008\MANDATO EXONERADOS (1).doc", "Abrir Documento")</f>
        <v>0</v>
      </c>
      <c r="D11961" t="s">
        <v>23500</v>
      </c>
      <c r="E11961" t="s">
        <v>34436</v>
      </c>
    </row>
    <row r="11962" spans="1:5">
      <c r="A11962" t="s">
        <v>6</v>
      </c>
      <c r="B11962" t="s">
        <v>11967</v>
      </c>
      <c r="C11962">
        <f>HYPERLINK("C:\Users\franc\OneDrive\Documentos\MALENTIN KARIME\BANCO ESTADO\2012 DEPTO ESCRITURAS fata\NOTARIA 2009\MANDATOS JUDICIALES 2006\2008\LUIS TORREJON A JUAN PABLO CORRAL.doc", "Abrir Documento")</f>
        <v>0</v>
      </c>
      <c r="D11962" t="s">
        <v>23500</v>
      </c>
      <c r="E11962" t="s">
        <v>34437</v>
      </c>
    </row>
    <row r="11963" spans="1:5">
      <c r="A11963" t="s">
        <v>6</v>
      </c>
      <c r="B11963" t="s">
        <v>11968</v>
      </c>
      <c r="C11963">
        <f>HYPERLINK("C:\Users\franc\OneDrive\Documentos\MALENTIN KARIME\BANCO ESTADO\2012 DEPTO ESCRITURAS fata\NOTARIA 2009\MANDATOS JUDICIALES 2006\2008\LUIS ROJAS A JUAN PABLO CORRAL.doc", "Abrir Documento")</f>
        <v>0</v>
      </c>
      <c r="D11963" t="s">
        <v>23500</v>
      </c>
      <c r="E11963" t="s">
        <v>34438</v>
      </c>
    </row>
    <row r="11964" spans="1:5">
      <c r="A11964" t="s">
        <v>6</v>
      </c>
      <c r="B11964" t="s">
        <v>11969</v>
      </c>
      <c r="C11964">
        <f>HYPERLINK("C:\Users\franc\OneDrive\Documentos\MALENTIN KARIME\BANCO ESTADO\2012 DEPTO ESCRITURAS fata\NOTARIA 2009\MANDATOS JUDICIALES 2006\2008\LUIS NORTES A M. METTIFOGO.doc", "Abrir Documento")</f>
        <v>0</v>
      </c>
      <c r="D11964" t="s">
        <v>23500</v>
      </c>
      <c r="E11964" t="s">
        <v>34439</v>
      </c>
    </row>
    <row r="11965" spans="1:5">
      <c r="A11965" t="s">
        <v>6</v>
      </c>
      <c r="B11965" t="s">
        <v>11970</v>
      </c>
      <c r="C11965">
        <f>HYPERLINK("C:\Users\franc\OneDrive\Documentos\MALENTIN KARIME\BANCO ESTADO\2012 DEPTO ESCRITURAS fata\NOTARIA 2009\MANDATOS JUDICIALES 2006\2008\LUIS CABRERA A CRISTIAN ZEPEDA.doc", "Abrir Documento")</f>
        <v>0</v>
      </c>
      <c r="D11965" t="s">
        <v>23500</v>
      </c>
      <c r="E11965" t="s">
        <v>34440</v>
      </c>
    </row>
    <row r="11966" spans="1:5">
      <c r="A11966" t="s">
        <v>6</v>
      </c>
      <c r="B11966" t="s">
        <v>11971</v>
      </c>
      <c r="C11966">
        <f>HYPERLINK("C:\Users\franc\OneDrive\Documentos\MALENTIN KARIME\BANCO ESTADO\2012 DEPTO ESCRITURAS fata\NOTARIA 2009\MANDATOS JUDICIALES 2006\2008\JUAN ROJAS A ROMUALDO HERNANDEZ.doc", "Abrir Documento")</f>
        <v>0</v>
      </c>
      <c r="D11966" t="s">
        <v>23500</v>
      </c>
      <c r="E11966" t="s">
        <v>34441</v>
      </c>
    </row>
    <row r="11967" spans="1:5">
      <c r="A11967" t="s">
        <v>6</v>
      </c>
      <c r="B11967" t="s">
        <v>11972</v>
      </c>
      <c r="C11967">
        <f>HYPERLINK("C:\Users\franc\OneDrive\Documentos\MALENTIN KARIME\BANCO ESTADO\2012 DEPTO ESCRITURAS fata\NOTARIA 2009\MANDATOS JUDICIALES 2006\2008\JUAN PROHENS A JULIO POLO Y OTRO.doc", "Abrir Documento")</f>
        <v>0</v>
      </c>
      <c r="D11967" t="s">
        <v>23500</v>
      </c>
      <c r="E11967" t="s">
        <v>34442</v>
      </c>
    </row>
    <row r="11968" spans="1:5">
      <c r="A11968" t="s">
        <v>6</v>
      </c>
      <c r="B11968" t="s">
        <v>11973</v>
      </c>
      <c r="C11968">
        <f>HYPERLINK("C:\Users\franc\OneDrive\Documentos\MALENTIN KARIME\BANCO ESTADO\2012 DEPTO ESCRITURAS fata\NOTARIA 2009\MANDATOS JUDICIALES 2006\2008\JUAN JIMENEZ ARAYA  A CLAUDIO ARDILES.doc", "Abrir Documento")</f>
        <v>0</v>
      </c>
      <c r="D11968" t="s">
        <v>23500</v>
      </c>
      <c r="E11968" t="s">
        <v>34443</v>
      </c>
    </row>
    <row r="11969" spans="1:5">
      <c r="A11969" t="s">
        <v>6</v>
      </c>
      <c r="B11969" t="s">
        <v>11974</v>
      </c>
      <c r="C11969">
        <f>HYPERLINK("C:\Users\franc\OneDrive\Documentos\MALENTIN KARIME\BANCO ESTADO\2012 DEPTO ESCRITURAS fata\NOTARIA 2009\MANDATOS JUDICIALES 2006\2008\JUAN CASTRO A SR. MERIÑO.doc", "Abrir Documento")</f>
        <v>0</v>
      </c>
      <c r="D11969" t="s">
        <v>23500</v>
      </c>
      <c r="E11969" t="s">
        <v>34444</v>
      </c>
    </row>
    <row r="11970" spans="1:5">
      <c r="A11970" t="s">
        <v>6</v>
      </c>
      <c r="B11970" t="s">
        <v>11975</v>
      </c>
      <c r="C11970">
        <f>HYPERLINK("C:\Users\franc\OneDrive\Documentos\MALENTIN KARIME\BANCO ESTADO\2012 DEPTO ESCRITURAS fata\NOTARIA 2009\MANDATOS JUDICIALES 2006\2008\JORGE CUEVAS Y OTR. A CLAUDIO ARDILES.doc", "Abrir Documento")</f>
        <v>0</v>
      </c>
      <c r="D11970" t="s">
        <v>23500</v>
      </c>
      <c r="E11970" t="s">
        <v>34445</v>
      </c>
    </row>
    <row r="11971" spans="1:5">
      <c r="A11971" t="s">
        <v>6</v>
      </c>
      <c r="B11971" t="s">
        <v>11976</v>
      </c>
      <c r="C11971">
        <f>HYPERLINK("C:\Users\franc\OneDrive\Documentos\MALENTIN KARIME\BANCO ESTADO\2012 DEPTO ESCRITURAS fata\NOTARIA 2009\MANDATOS JUDICIALES 2006\2008\JAVIER COLLAO A MARCO YURIN.doc", "Abrir Documento")</f>
        <v>0</v>
      </c>
      <c r="D11971" t="s">
        <v>23500</v>
      </c>
      <c r="E11971" t="s">
        <v>34446</v>
      </c>
    </row>
    <row r="11972" spans="1:5">
      <c r="A11972" t="s">
        <v>6</v>
      </c>
      <c r="B11972" t="s">
        <v>11977</v>
      </c>
      <c r="C11972">
        <f>HYPERLINK("C:\Users\franc\OneDrive\Documentos\MALENTIN KARIME\BANCO ESTADO\2012 DEPTO ESCRITURAS fata\NOTARIA 2009\MANDATOS JUDICIALES 2006\2008\JAVIER COLLAO A MARCO JURIN.doc", "Abrir Documento")</f>
        <v>0</v>
      </c>
      <c r="D11972" t="s">
        <v>23500</v>
      </c>
      <c r="E11972" t="s">
        <v>34447</v>
      </c>
    </row>
    <row r="11973" spans="1:5">
      <c r="A11973" t="s">
        <v>6</v>
      </c>
      <c r="B11973" t="s">
        <v>11978</v>
      </c>
      <c r="C11973">
        <f>HYPERLINK("C:\Users\franc\OneDrive\Documentos\MALENTIN KARIME\BANCO ESTADO\2012 DEPTO ESCRITURAS fata\NOTARIA 2009\MANDATOS JUDICIALES 2006\2008\JAIME MONDACA A J. POLANCO.doc", "Abrir Documento")</f>
        <v>0</v>
      </c>
      <c r="D11973" t="s">
        <v>23500</v>
      </c>
      <c r="E11973" t="s">
        <v>34448</v>
      </c>
    </row>
    <row r="11974" spans="1:5">
      <c r="A11974" t="s">
        <v>6</v>
      </c>
      <c r="B11974" t="s">
        <v>11979</v>
      </c>
      <c r="C11974">
        <f>HYPERLINK("C:\Users\franc\OneDrive\Documentos\MALENTIN KARIME\BANCO ESTADO\2012 DEPTO ESCRITURAS fata\NOTARIA 2009\MANDATOS JUDICIALES 2006\2008\HUGO LUCO A PAOLA LUCO.doc", "Abrir Documento")</f>
        <v>0</v>
      </c>
      <c r="D11974" t="s">
        <v>23500</v>
      </c>
      <c r="E11974" t="s">
        <v>34449</v>
      </c>
    </row>
    <row r="11975" spans="1:5">
      <c r="A11975" t="s">
        <v>6</v>
      </c>
      <c r="B11975" t="s">
        <v>11980</v>
      </c>
      <c r="C11975">
        <f>HYPERLINK("C:\Users\franc\OneDrive\Documentos\MALENTIN KARIME\BANCO ESTADO\2012 DEPTO ESCRITURAS fata\NOTARIA 2009\MANDATOS JUDICIALES 2006\2008\HUGO CORTEZ A MIGUEL SANHUEZA.doc", "Abrir Documento")</f>
        <v>0</v>
      </c>
      <c r="D11975" t="s">
        <v>23500</v>
      </c>
      <c r="E11975" t="s">
        <v>34450</v>
      </c>
    </row>
    <row r="11976" spans="1:5">
      <c r="A11976" t="s">
        <v>6</v>
      </c>
      <c r="B11976" t="s">
        <v>11981</v>
      </c>
      <c r="C11976">
        <f>HYPERLINK("C:\Users\franc\OneDrive\Documentos\MALENTIN KARIME\BANCO ESTADO\2012 DEPTO ESCRITURAS fata\NOTARIA 2009\MANDATOS JUDICIALES 2006\2008\HERMAN ANDRADES A CARLOS MARIN (ESPECIAL).doc", "Abrir Documento")</f>
        <v>0</v>
      </c>
      <c r="D11976" t="s">
        <v>23500</v>
      </c>
      <c r="E11976" t="s">
        <v>34451</v>
      </c>
    </row>
    <row r="11977" spans="1:5">
      <c r="A11977" t="s">
        <v>6</v>
      </c>
      <c r="B11977" t="s">
        <v>11982</v>
      </c>
      <c r="C11977">
        <f>HYPERLINK("C:\Users\franc\OneDrive\Documentos\MALENTIN KARIME\BANCO ESTADO\2012 DEPTO ESCRITURAS fata\NOTARIA 2009\MANDATOS JUDICIALES 2006\2008\GALVARINO SANCHEZ (EXONERADO).doc", "Abrir Documento")</f>
        <v>0</v>
      </c>
      <c r="D11977" t="s">
        <v>23500</v>
      </c>
      <c r="E11977" t="s">
        <v>34452</v>
      </c>
    </row>
    <row r="11978" spans="1:5">
      <c r="A11978" t="s">
        <v>6</v>
      </c>
      <c r="B11978" t="s">
        <v>11983</v>
      </c>
      <c r="C11978">
        <f>HYPERLINK("C:\Users\franc\OneDrive\Documentos\MALENTIN KARIME\BANCO ESTADO\2012 DEPTO ESCRITURAS fata\NOTARIA 2009\MANDATOS JUDICIALES 2006\2008\GABRIEL RAMIREZ A JORGE ALVARADO.doc", "Abrir Documento")</f>
        <v>0</v>
      </c>
      <c r="D11978" t="s">
        <v>23500</v>
      </c>
      <c r="E11978" t="s">
        <v>34453</v>
      </c>
    </row>
    <row r="11979" spans="1:5">
      <c r="A11979" t="s">
        <v>6</v>
      </c>
      <c r="B11979" t="s">
        <v>11984</v>
      </c>
      <c r="C11979">
        <f>HYPERLINK("C:\Users\franc\OneDrive\Documentos\MALENTIN KARIME\BANCO ESTADO\2012 DEPTO ESCRITURAS fata\NOTARIA 2009\MANDATOS JUDICIALES 2006\2008\GABRIEL CERDA A SERGIO PERALTA.doc", "Abrir Documento")</f>
        <v>0</v>
      </c>
      <c r="D11979" t="s">
        <v>23500</v>
      </c>
      <c r="E11979" t="s">
        <v>34454</v>
      </c>
    </row>
    <row r="11980" spans="1:5">
      <c r="A11980" t="s">
        <v>6</v>
      </c>
      <c r="B11980" t="s">
        <v>11985</v>
      </c>
      <c r="C11980">
        <f>HYPERLINK("C:\Users\franc\OneDrive\Documentos\MALENTIN KARIME\BANCO ESTADO\2012 DEPTO ESCRITURAS fata\NOTARIA 2009\MANDATOS JUDICIALES 2006\2008\FILADELFIA MALUENDA A S. GALLEGUILLOS.doc", "Abrir Documento")</f>
        <v>0</v>
      </c>
      <c r="D11980" t="s">
        <v>23500</v>
      </c>
      <c r="E11980" t="s">
        <v>34455</v>
      </c>
    </row>
    <row r="11981" spans="1:5">
      <c r="A11981" t="s">
        <v>6</v>
      </c>
      <c r="B11981" t="s">
        <v>11986</v>
      </c>
      <c r="C11981">
        <f>HYPERLINK("C:\Users\franc\OneDrive\Documentos\MALENTIN KARIME\BANCO ESTADO\2012 DEPTO ESCRITURAS fata\NOTARIA 2009\MANDATOS JUDICIALES 2006\2008\FERNANDO SANCHEZ A  IVAN OLAVARRIA.doc", "Abrir Documento")</f>
        <v>0</v>
      </c>
      <c r="D11981" t="s">
        <v>23500</v>
      </c>
      <c r="E11981" t="s">
        <v>34456</v>
      </c>
    </row>
    <row r="11982" spans="1:5">
      <c r="A11982" t="s">
        <v>6</v>
      </c>
      <c r="B11982" t="s">
        <v>11987</v>
      </c>
      <c r="C11982">
        <f>HYPERLINK("C:\Users\franc\OneDrive\Documentos\MALENTIN KARIME\BANCO ESTADO\2012 DEPTO ESCRITURAS fata\NOTARIA 2009\MANDATOS JUDICIALES 2006\2008\FERNANDO CUEVAS A CLAUDIO ARDILES.doc", "Abrir Documento")</f>
        <v>0</v>
      </c>
      <c r="D11982" t="s">
        <v>23500</v>
      </c>
      <c r="E11982" t="s">
        <v>34457</v>
      </c>
    </row>
    <row r="11983" spans="1:5">
      <c r="A11983" t="s">
        <v>6</v>
      </c>
      <c r="B11983" t="s">
        <v>11988</v>
      </c>
      <c r="C11983">
        <f>HYPERLINK("C:\Users\franc\OneDrive\Documentos\MALENTIN KARIME\BANCO ESTADO\2012 DEPTO ESCRITURAS fata\NOTARIA 2009\MANDATOS JUDICIALES 2006\2008\ELVIRA MILLAN (EXONERADO.doc", "Abrir Documento")</f>
        <v>0</v>
      </c>
      <c r="D11983" t="s">
        <v>23500</v>
      </c>
      <c r="E11983" t="s">
        <v>34458</v>
      </c>
    </row>
    <row r="11984" spans="1:5">
      <c r="A11984" t="s">
        <v>6</v>
      </c>
      <c r="B11984" t="s">
        <v>11989</v>
      </c>
      <c r="C11984">
        <f>HYPERLINK("C:\Users\franc\OneDrive\Documentos\MALENTIN KARIME\BANCO ESTADO\2012 DEPTO ESCRITURAS fata\NOTARIA 2009\MANDATOS JUDICIALES 2006\2008\EBRIDIQUE JARAMILLO A JORGE ALVARADO.doc", "Abrir Documento")</f>
        <v>0</v>
      </c>
      <c r="D11984" t="s">
        <v>23500</v>
      </c>
      <c r="E11984" t="s">
        <v>34459</v>
      </c>
    </row>
    <row r="11985" spans="1:5">
      <c r="A11985" t="s">
        <v>6</v>
      </c>
      <c r="B11985" t="s">
        <v>11990</v>
      </c>
      <c r="C11985">
        <f>HYPERLINK("C:\Users\franc\OneDrive\Documentos\MALENTIN KARIME\BANCO ESTADO\2012 DEPTO ESCRITURAS fata\NOTARIA 2009\MANDATOS JUDICIALES 2006\2008\DIEGO GALLARDO A FRANKLIN GALLARDO (NOT. SUPLENTE).doc", "Abrir Documento")</f>
        <v>0</v>
      </c>
      <c r="D11985" t="s">
        <v>23500</v>
      </c>
      <c r="E11985" t="s">
        <v>34460</v>
      </c>
    </row>
    <row r="11986" spans="1:5">
      <c r="A11986" t="s">
        <v>6</v>
      </c>
      <c r="B11986" t="s">
        <v>11991</v>
      </c>
      <c r="C11986">
        <f>HYPERLINK("C:\Users\franc\OneDrive\Documentos\MALENTIN KARIME\BANCO ESTADO\2012 DEPTO ESCRITURAS fata\NOTARIA 2009\MANDATOS JUDICIALES 2006\2008\CRISTIAN GALLEGUILLOS LARA A YASMINA PARDO ILLANES.doc", "Abrir Documento")</f>
        <v>0</v>
      </c>
      <c r="D11986" t="s">
        <v>23500</v>
      </c>
      <c r="E11986" t="s">
        <v>34461</v>
      </c>
    </row>
    <row r="11987" spans="1:5">
      <c r="A11987" t="s">
        <v>6</v>
      </c>
      <c r="B11987" t="s">
        <v>11992</v>
      </c>
      <c r="C11987">
        <f>HYPERLINK("C:\Users\franc\OneDrive\Documentos\MALENTIN KARIME\BANCO ESTADO\2012 DEPTO ESCRITURAS fata\NOTARIA 2009\MANDATOS JUDICIALES 2006\2008\COMUNIDAD JARA O LAJA A PATRICIA ALFARO.doc", "Abrir Documento")</f>
        <v>0</v>
      </c>
      <c r="D11987" t="s">
        <v>23500</v>
      </c>
      <c r="E11987" t="s">
        <v>34462</v>
      </c>
    </row>
    <row r="11988" spans="1:5">
      <c r="A11988" t="s">
        <v>6</v>
      </c>
      <c r="B11988" t="s">
        <v>11993</v>
      </c>
      <c r="C11988">
        <f>HYPERLINK("C:\Users\franc\OneDrive\Documentos\MALENTIN KARIME\BANCO ESTADO\2012 DEPTO ESCRITURAS fata\NOTARIA 2009\MANDATOS JUDICIALES 2006\2008\COMUNIDAD AGRICOLA EL PEÑON A HUGO DEL CAMPO.doc", "Abrir Documento")</f>
        <v>0</v>
      </c>
      <c r="D11988" t="s">
        <v>23500</v>
      </c>
      <c r="E11988" t="s">
        <v>34463</v>
      </c>
    </row>
    <row r="11989" spans="1:5">
      <c r="A11989" t="s">
        <v>6</v>
      </c>
      <c r="B11989" t="s">
        <v>11994</v>
      </c>
      <c r="C11989">
        <f>HYPERLINK("C:\Users\franc\OneDrive\Documentos\MALENTIN KARIME\BANCO ESTADO\2012 DEPTO ESCRITURAS fata\NOTARIA 2009\MANDATOS JUDICIALES 2006\2008\CLAUDIA HENRIQUEZ A JORGE ALVARADO.doc", "Abrir Documento")</f>
        <v>0</v>
      </c>
      <c r="D11989" t="s">
        <v>23500</v>
      </c>
      <c r="E11989" t="s">
        <v>34464</v>
      </c>
    </row>
    <row r="11990" spans="1:5">
      <c r="A11990" t="s">
        <v>6</v>
      </c>
      <c r="B11990" t="s">
        <v>11995</v>
      </c>
      <c r="C11990">
        <f>HYPERLINK("C:\Users\franc\OneDrive\Documentos\MALENTIN KARIME\BANCO ESTADO\2012 DEPTO ESCRITURAS fata\NOTARIA 2009\MANDATOS JUDICIALES 2006\2008\CIA. MRA. TAMAYA  A JAIME MUÑOZ.doc", "Abrir Documento")</f>
        <v>0</v>
      </c>
      <c r="D11990" t="s">
        <v>23500</v>
      </c>
      <c r="E11990" t="s">
        <v>34465</v>
      </c>
    </row>
    <row r="11991" spans="1:5">
      <c r="A11991" t="s">
        <v>6</v>
      </c>
      <c r="B11991" t="s">
        <v>11996</v>
      </c>
      <c r="C11991">
        <f>HYPERLINK("C:\Users\franc\OneDrive\Documentos\MALENTIN KARIME\BANCO ESTADO\2012 DEPTO ESCRITURAS fata\NOTARIA 2009\MANDATOS JUDICIALES 2006\2008\CIA. MRA. PUNITAQUI A JAIME MUÑOZ.doc", "Abrir Documento")</f>
        <v>0</v>
      </c>
      <c r="D11991" t="s">
        <v>23500</v>
      </c>
      <c r="E11991" t="s">
        <v>34466</v>
      </c>
    </row>
    <row r="11992" spans="1:5">
      <c r="A11992" t="s">
        <v>6</v>
      </c>
      <c r="B11992" t="s">
        <v>11997</v>
      </c>
      <c r="C11992">
        <f>HYPERLINK("C:\Users\franc\OneDrive\Documentos\MALENTIN KARIME\BANCO ESTADO\2012 DEPTO ESCRITURAS fata\NOTARIA 2009\MANDATOS JUDICIALES 2006\2008\CESAR VALDIVIA A ALBERTO VIADA.doc", "Abrir Documento")</f>
        <v>0</v>
      </c>
      <c r="D11992" t="s">
        <v>23500</v>
      </c>
      <c r="E11992" t="s">
        <v>34467</v>
      </c>
    </row>
    <row r="11993" spans="1:5">
      <c r="A11993" t="s">
        <v>6</v>
      </c>
      <c r="B11993" t="s">
        <v>11998</v>
      </c>
      <c r="C11993">
        <f>HYPERLINK("C:\Users\franc\OneDrive\Documentos\MALENTIN KARIME\BANCO ESTADO\2012 DEPTO ESCRITURAS fata\NOTARIA 2009\MANDATOS JUDICIALES 2006\2008\CESAR FLORES A PATRICIA CASTRO.doc", "Abrir Documento")</f>
        <v>0</v>
      </c>
      <c r="D11993" t="s">
        <v>23500</v>
      </c>
      <c r="E11993" t="s">
        <v>34468</v>
      </c>
    </row>
    <row r="11994" spans="1:5">
      <c r="A11994" t="s">
        <v>6</v>
      </c>
      <c r="B11994" t="s">
        <v>11999</v>
      </c>
      <c r="C11994">
        <f>HYPERLINK("C:\Users\franc\OneDrive\Documentos\MALENTIN KARIME\BANCO ESTADO\2012 DEPTO ESCRITURAS fata\NOTARIA 2009\MANDATOS JUDICIALES 2006\2008\CESAR FLORES A PATRICIA CASTRO (2).doc", "Abrir Documento")</f>
        <v>0</v>
      </c>
      <c r="D11994" t="s">
        <v>23500</v>
      </c>
      <c r="E11994" t="s">
        <v>34469</v>
      </c>
    </row>
    <row r="11995" spans="1:5">
      <c r="A11995" t="s">
        <v>6</v>
      </c>
      <c r="B11995" t="s">
        <v>12000</v>
      </c>
      <c r="C11995">
        <f>HYPERLINK("C:\Users\franc\OneDrive\Documentos\MALENTIN KARIME\BANCO ESTADO\2012 DEPTO ESCRITURAS fata\NOTARIA 2009\MANDATOS JUDICIALES 2006\2008\CAROLINA CARVAJAL.doc", "Abrir Documento")</f>
        <v>0</v>
      </c>
      <c r="D11995" t="s">
        <v>23500</v>
      </c>
      <c r="E11995" t="s">
        <v>34470</v>
      </c>
    </row>
    <row r="11996" spans="1:5">
      <c r="A11996" t="s">
        <v>6</v>
      </c>
      <c r="B11996" t="s">
        <v>12001</v>
      </c>
      <c r="C11996">
        <f>HYPERLINK("C:\Users\franc\OneDrive\Documentos\MALENTIN KARIME\BANCO ESTADO\2012 DEPTO ESCRITURAS fata\NOTARIA 2009\MANDATOS JUDICIALES 2006\2008\CARLOS OLIVARES (EXONERADO).doc", "Abrir Documento")</f>
        <v>0</v>
      </c>
      <c r="D11996" t="s">
        <v>23500</v>
      </c>
      <c r="E11996" t="s">
        <v>34471</v>
      </c>
    </row>
    <row r="11997" spans="1:5">
      <c r="A11997" t="s">
        <v>6</v>
      </c>
      <c r="B11997" t="s">
        <v>12002</v>
      </c>
      <c r="C11997">
        <f>HYPERLINK("C:\Users\franc\OneDrive\Documentos\MALENTIN KARIME\BANCO ESTADO\2012 DEPTO ESCRITURAS fata\NOTARIA 2009\MANDATOS JUDICIALES 2006\2008\CANAL LOS AZULES A SERGIO CORTES.doc", "Abrir Documento")</f>
        <v>0</v>
      </c>
      <c r="D11997" t="s">
        <v>23500</v>
      </c>
      <c r="E11997" t="s">
        <v>34472</v>
      </c>
    </row>
    <row r="11998" spans="1:5">
      <c r="A11998" t="s">
        <v>6</v>
      </c>
      <c r="B11998" t="s">
        <v>12003</v>
      </c>
      <c r="C11998">
        <f>HYPERLINK("C:\Users\franc\OneDrive\Documentos\MALENTIN KARIME\BANCO ESTADO\2012 DEPTO ESCRITURAS fata\NOTARIA 2009\MANDATOS JUDICIALES 2006\2008\AUSTRALIA JAIME A EUGENIO RIVAS  (REVOC).doc", "Abrir Documento")</f>
        <v>0</v>
      </c>
      <c r="D11998" t="s">
        <v>23500</v>
      </c>
      <c r="E11998" t="s">
        <v>34473</v>
      </c>
    </row>
    <row r="11999" spans="1:5">
      <c r="A11999" t="s">
        <v>6</v>
      </c>
      <c r="B11999" t="s">
        <v>12004</v>
      </c>
      <c r="C11999">
        <f>HYPERLINK("C:\Users\franc\OneDrive\Documentos\MALENTIN KARIME\BANCO ESTADO\2012 DEPTO ESCRITURAS fata\NOTARIA 2009\MANDATOS JUDICIALES 2006\2008\ANTOLIN ARACENA A S. GALLEGUILLOS.doc", "Abrir Documento")</f>
        <v>0</v>
      </c>
      <c r="D11999" t="s">
        <v>23500</v>
      </c>
      <c r="E11999" t="s">
        <v>34474</v>
      </c>
    </row>
    <row r="12000" spans="1:5">
      <c r="A12000" t="s">
        <v>6</v>
      </c>
      <c r="B12000" t="s">
        <v>12005</v>
      </c>
      <c r="C12000">
        <f>HYPERLINK("C:\Users\franc\OneDrive\Documentos\MALENTIN KARIME\BANCO ESTADO\2012 DEPTO ESCRITURAS fata\NOTARIA 2009\MANDATOS JUDICIALES 2006\2008\ANTOLIN ARACENA A RODRIGO CEBALLOS (ESPECIAL).doc", "Abrir Documento")</f>
        <v>0</v>
      </c>
      <c r="D12000" t="s">
        <v>23500</v>
      </c>
      <c r="E12000" t="s">
        <v>34475</v>
      </c>
    </row>
    <row r="12001" spans="1:5">
      <c r="A12001" t="s">
        <v>6</v>
      </c>
      <c r="B12001" t="s">
        <v>12006</v>
      </c>
      <c r="C12001">
        <f>HYPERLINK("C:\Users\franc\OneDrive\Documentos\MALENTIN KARIME\BANCO ESTADO\2012 DEPTO ESCRITURAS fata\NOTARIA 2009\MANDATOS JUDICIALES 2006\2008\ALFONSO PASTEN.doc", "Abrir Documento")</f>
        <v>0</v>
      </c>
      <c r="D12001" t="s">
        <v>23500</v>
      </c>
      <c r="E12001" t="s">
        <v>34476</v>
      </c>
    </row>
    <row r="12002" spans="1:5">
      <c r="A12002" t="s">
        <v>6</v>
      </c>
      <c r="B12002" t="s">
        <v>12007</v>
      </c>
      <c r="C12002">
        <f>HYPERLINK("C:\Users\franc\OneDrive\Documentos\MALENTIN KARIME\BANCO ESTADO\2012 DEPTO ESCRITURAS fata\NOTARIA 2009\MANDATOS JUDICIALES 2006\2008\ALFONSO PASTEN A DANIELA CABRERA.doc", "Abrir Documento")</f>
        <v>0</v>
      </c>
      <c r="D12002" t="s">
        <v>23500</v>
      </c>
      <c r="E12002" t="s">
        <v>34477</v>
      </c>
    </row>
    <row r="12003" spans="1:5">
      <c r="A12003" t="s">
        <v>6</v>
      </c>
      <c r="B12003" t="s">
        <v>12008</v>
      </c>
      <c r="C12003">
        <f>HYPERLINK("C:\Users\franc\OneDrive\Documentos\MALENTIN KARIME\BANCO ESTADO\2012 DEPTO ESCRITURAS fata\NOTARIA 2009\MANDATOS JUDICIALES 2006\2008\ALEJANDRO VEGA A ENRIQUE GARCIA.doc", "Abrir Documento")</f>
        <v>0</v>
      </c>
      <c r="D12003" t="s">
        <v>23500</v>
      </c>
      <c r="E12003" t="s">
        <v>34478</v>
      </c>
    </row>
    <row r="12004" spans="1:5">
      <c r="A12004" t="s">
        <v>6</v>
      </c>
      <c r="B12004" t="s">
        <v>12009</v>
      </c>
      <c r="C12004">
        <f>HYPERLINK("C:\Users\franc\OneDrive\Documentos\MALENTIN KARIME\BANCO ESTADO\2012 DEPTO ESCRITURAS fata\NOTARIA 2009\MANDATOS JUDICIALES 2006\2008\ALEJANDRO PLAZA  A JUAN PABLO CORRAL.doc", "Abrir Documento")</f>
        <v>0</v>
      </c>
      <c r="D12004" t="s">
        <v>23500</v>
      </c>
      <c r="E12004" t="s">
        <v>34479</v>
      </c>
    </row>
    <row r="12005" spans="1:5">
      <c r="A12005" t="s">
        <v>6</v>
      </c>
      <c r="B12005" t="s">
        <v>12010</v>
      </c>
      <c r="C12005">
        <f>HYPERLINK("C:\Users\franc\OneDrive\Documentos\MALENTIN KARIME\BANCO ESTADO\2012 DEPTO ESCRITURAS fata\NOTARIA 2009\MANDATOS JUDICIALES 2006\2008\ALEJANDRA CORTES A PATRICIA CORTES.doc", "Abrir Documento")</f>
        <v>0</v>
      </c>
      <c r="D12005" t="s">
        <v>23500</v>
      </c>
      <c r="E12005" t="s">
        <v>34480</v>
      </c>
    </row>
    <row r="12006" spans="1:5">
      <c r="A12006" t="s">
        <v>6</v>
      </c>
      <c r="B12006" t="s">
        <v>12011</v>
      </c>
      <c r="C12006">
        <f>HYPERLINK("C:\Users\franc\OneDrive\Documentos\MALENTIN KARIME\BANCO ESTADO\2012 DEPTO ESCRITURAS fata\NOTARIA 2009\MANDATOS JUDICIALES 2006\2008\AGRICOLA AGUSTIN ARAYA A CLAUDIO ARDILES.doc", "Abrir Documento")</f>
        <v>0</v>
      </c>
      <c r="D12006" t="s">
        <v>23500</v>
      </c>
      <c r="E12006" t="s">
        <v>34481</v>
      </c>
    </row>
    <row r="12007" spans="1:5">
      <c r="A12007" t="s">
        <v>6</v>
      </c>
      <c r="B12007" t="s">
        <v>12012</v>
      </c>
      <c r="C12007">
        <f>HYPERLINK("C:\Users\franc\OneDrive\Documentos\MALENTIN KARIME\BANCO ESTADO\2012 DEPTO ESCRITURAS fata\NOTARIA 2009\MANDATOS JUDICIALES 2006\ZUNILDA GALLEGUILLOS A ALEJANDRA FARFAN.doc", "Abrir Documento")</f>
        <v>0</v>
      </c>
      <c r="D12007" t="s">
        <v>23500</v>
      </c>
      <c r="E12007" t="s">
        <v>34482</v>
      </c>
    </row>
    <row r="12008" spans="1:5">
      <c r="A12008" t="s">
        <v>6</v>
      </c>
      <c r="B12008" t="s">
        <v>12013</v>
      </c>
      <c r="C12008">
        <f>HYPERLINK("C:\Users\franc\OneDrive\Documentos\MALENTIN KARIME\BANCO ESTADO\2012 DEPTO ESCRITURAS fata\NOTARIA 2009\MANDATOS JUDICIALES 2006\YASMINA PARDO A EDO. PARDO.doc", "Abrir Documento")</f>
        <v>0</v>
      </c>
      <c r="D12008" t="s">
        <v>23500</v>
      </c>
      <c r="E12008" t="s">
        <v>34483</v>
      </c>
    </row>
    <row r="12009" spans="1:5">
      <c r="A12009" t="s">
        <v>6</v>
      </c>
      <c r="B12009" t="s">
        <v>12014</v>
      </c>
      <c r="C12009">
        <f>HYPERLINK("C:\Users\franc\OneDrive\Documentos\MALENTIN KARIME\BANCO ESTADO\2012 DEPTO ESCRITURAS fata\NOTARIA 2009\MANDATOS JUDICIALES 2006\WLADIMIR VALDIVIA ROJAS A IVAN OLAVARRIA.doc", "Abrir Documento")</f>
        <v>0</v>
      </c>
      <c r="D12009" t="s">
        <v>23500</v>
      </c>
      <c r="E12009" t="s">
        <v>34484</v>
      </c>
    </row>
    <row r="12010" spans="1:5">
      <c r="A12010" t="s">
        <v>6</v>
      </c>
      <c r="B12010" t="s">
        <v>12015</v>
      </c>
      <c r="C12010">
        <f>HYPERLINK("C:\Users\franc\OneDrive\Documentos\MALENTIN KARIME\BANCO ESTADO\2012 DEPTO ESCRITURAS fata\NOTARIA 2009\MANDATOS JUDICIALES 2006\WILSON GUERRERO A C. ARDILES Y OTRO.doc", "Abrir Documento")</f>
        <v>0</v>
      </c>
      <c r="D12010" t="s">
        <v>23500</v>
      </c>
      <c r="E12010" t="s">
        <v>34485</v>
      </c>
    </row>
    <row r="12011" spans="1:5">
      <c r="A12011" t="s">
        <v>6</v>
      </c>
      <c r="B12011" t="s">
        <v>12016</v>
      </c>
      <c r="C12011">
        <f>HYPERLINK("C:\Users\franc\OneDrive\Documentos\MALENTIN KARIME\BANCO ESTADO\2012 DEPTO ESCRITURAS fata\NOTARIA 2009\MANDATOS JUDICIALES 2006\WALDO HEREDIA A JULIO POLANCO.doc", "Abrir Documento")</f>
        <v>0</v>
      </c>
      <c r="D12011" t="s">
        <v>23500</v>
      </c>
      <c r="E12011" t="s">
        <v>34486</v>
      </c>
    </row>
    <row r="12012" spans="1:5">
      <c r="A12012" t="s">
        <v>6</v>
      </c>
      <c r="B12012" t="s">
        <v>12017</v>
      </c>
      <c r="C12012">
        <f>HYPERLINK("C:\Users\franc\OneDrive\Documentos\MALENTIN KARIME\BANCO ESTADO\2012 DEPTO ESCRITURAS fata\NOTARIA 2009\MANDATOS JUDICIALES 2006\VIOLETA TORREJON A EVELYN PEREZ.doc", "Abrir Documento")</f>
        <v>0</v>
      </c>
      <c r="D12012" t="s">
        <v>23500</v>
      </c>
      <c r="E12012" t="s">
        <v>34487</v>
      </c>
    </row>
    <row r="12013" spans="1:5">
      <c r="A12013" t="s">
        <v>6</v>
      </c>
      <c r="B12013" t="s">
        <v>12018</v>
      </c>
      <c r="C12013">
        <f>HYPERLINK("C:\Users\franc\OneDrive\Documentos\MALENTIN KARIME\BANCO ESTADO\2012 DEPTO ESCRITURAS fata\NOTARIA 2009\MANDATOS JUDICIALES 2006\VALENTIN CONTRERAS A C. CASTILLO Y OTRO.doc", "Abrir Documento")</f>
        <v>0</v>
      </c>
      <c r="D12013" t="s">
        <v>23500</v>
      </c>
      <c r="E12013" t="s">
        <v>34488</v>
      </c>
    </row>
    <row r="12014" spans="1:5">
      <c r="A12014" t="s">
        <v>6</v>
      </c>
      <c r="B12014" t="s">
        <v>12019</v>
      </c>
      <c r="C12014">
        <f>HYPERLINK("C:\Users\franc\OneDrive\Documentos\MALENTIN KARIME\BANCO ESTADO\2012 DEPTO ESCRITURAS fata\NOTARIA 2009\MANDATOS JUDICIALES 2006\SOCIEDAD CONSTRUCTORA Arkon ltda}.doc", "Abrir Documento")</f>
        <v>0</v>
      </c>
      <c r="D12014" t="s">
        <v>23500</v>
      </c>
      <c r="E12014" t="s">
        <v>34489</v>
      </c>
    </row>
    <row r="12015" spans="1:5">
      <c r="A12015" t="s">
        <v>6</v>
      </c>
      <c r="B12015" t="s">
        <v>12020</v>
      </c>
      <c r="C12015">
        <f>HYPERLINK("C:\Users\franc\OneDrive\Documentos\MALENTIN KARIME\BANCO ESTADO\2012 DEPTO ESCRITURAS fata\NOTARIA 2009\MANDATOS JUDICIALES 2006\SOC. STA TERESA A MANLIO METTIFOGO.doc", "Abrir Documento")</f>
        <v>0</v>
      </c>
      <c r="D12015" t="s">
        <v>23500</v>
      </c>
      <c r="E12015" t="s">
        <v>34490</v>
      </c>
    </row>
    <row r="12016" spans="1:5">
      <c r="A12016" t="s">
        <v>6</v>
      </c>
      <c r="B12016" t="s">
        <v>12021</v>
      </c>
      <c r="C12016">
        <f>HYPERLINK("C:\Users\franc\OneDrive\Documentos\MALENTIN KARIME\BANCO ESTADO\2012 DEPTO ESCRITURAS fata\NOTARIA 2009\MANDATOS JUDICIALES 2006\SILVIA ROMERO A CECILIA TIRADO.doc", "Abrir Documento")</f>
        <v>0</v>
      </c>
      <c r="D12016" t="s">
        <v>23500</v>
      </c>
      <c r="E12016" t="s">
        <v>34491</v>
      </c>
    </row>
    <row r="12017" spans="1:5">
      <c r="A12017" t="s">
        <v>6</v>
      </c>
      <c r="B12017" t="s">
        <v>12022</v>
      </c>
      <c r="C12017">
        <f>HYPERLINK("C:\Users\franc\OneDrive\Documentos\MALENTIN KARIME\BANCO ESTADO\2012 DEPTO ESCRITURAS fata\NOTARIA 2009\MANDATOS JUDICIALES 2006\SILVIA ROJAS A ARMANDO MIRANDA.doc", "Abrir Documento")</f>
        <v>0</v>
      </c>
      <c r="D12017" t="s">
        <v>23500</v>
      </c>
      <c r="E12017" t="s">
        <v>34492</v>
      </c>
    </row>
    <row r="12018" spans="1:5">
      <c r="A12018" t="s">
        <v>6</v>
      </c>
      <c r="B12018" t="s">
        <v>12023</v>
      </c>
      <c r="C12018">
        <f>HYPERLINK("C:\Users\franc\OneDrive\Documentos\MALENTIN KARIME\BANCO ESTADO\2012 DEPTO ESCRITURAS fata\NOTARIA 2009\MANDATOS JUDICIALES 2006\SERGIO BUGUEÑO A MA. INES NUÑEZ.doc", "Abrir Documento")</f>
        <v>0</v>
      </c>
      <c r="D12018" t="s">
        <v>23500</v>
      </c>
      <c r="E12018" t="s">
        <v>34493</v>
      </c>
    </row>
    <row r="12019" spans="1:5">
      <c r="A12019" t="s">
        <v>6</v>
      </c>
      <c r="B12019" t="s">
        <v>12024</v>
      </c>
      <c r="C12019">
        <f>HYPERLINK("C:\Users\franc\OneDrive\Documentos\MALENTIN KARIME\BANCO ESTADO\2012 DEPTO ESCRITURAS fata\NOTARIA 2009\MANDATOS JUDICIALES 2006\SERGIO BUGUEÑO A C. ARDILES Y OTRO.doc", "Abrir Documento")</f>
        <v>0</v>
      </c>
      <c r="D12019" t="s">
        <v>23500</v>
      </c>
      <c r="E12019" t="s">
        <v>34494</v>
      </c>
    </row>
    <row r="12020" spans="1:5">
      <c r="A12020" t="s">
        <v>6</v>
      </c>
      <c r="B12020" t="s">
        <v>12025</v>
      </c>
      <c r="C12020">
        <f>HYPERLINK("C:\Users\franc\OneDrive\Documentos\MALENTIN KARIME\BANCO ESTADO\2012 DEPTO ESCRITURAS fata\NOTARIA 2009\MANDATOS JUDICIALES 2006\SARA ANGEL A CLAUDIO ARDILES.doc", "Abrir Documento")</f>
        <v>0</v>
      </c>
      <c r="D12020" t="s">
        <v>23500</v>
      </c>
      <c r="E12020" t="s">
        <v>34495</v>
      </c>
    </row>
    <row r="12021" spans="1:5">
      <c r="A12021" t="s">
        <v>6</v>
      </c>
      <c r="B12021" t="s">
        <v>12026</v>
      </c>
      <c r="C12021">
        <f>HYPERLINK("C:\Users\franc\OneDrive\Documentos\MALENTIN KARIME\BANCO ESTADO\2012 DEPTO ESCRITURAS fata\NOTARIA 2009\MANDATOS JUDICIALES 2006\ROSA PALACIOS A C. ARDILES Y M. METTIFOGO.doc", "Abrir Documento")</f>
        <v>0</v>
      </c>
      <c r="D12021" t="s">
        <v>23500</v>
      </c>
      <c r="E12021" t="s">
        <v>34496</v>
      </c>
    </row>
    <row r="12022" spans="1:5">
      <c r="A12022" t="s">
        <v>6</v>
      </c>
      <c r="B12022" t="s">
        <v>12027</v>
      </c>
      <c r="C12022">
        <f>HYPERLINK("C:\Users\franc\OneDrive\Documentos\MALENTIN KARIME\BANCO ESTADO\2012 DEPTO ESCRITURAS fata\NOTARIA 2009\MANDATOS JUDICIALES 2006\RODOLFO FERNANDEZ A MA. INES NUÑEZ.doc", "Abrir Documento")</f>
        <v>0</v>
      </c>
      <c r="D12022" t="s">
        <v>23500</v>
      </c>
      <c r="E12022" t="s">
        <v>34497</v>
      </c>
    </row>
    <row r="12023" spans="1:5">
      <c r="A12023" t="s">
        <v>6</v>
      </c>
      <c r="B12023" t="s">
        <v>12028</v>
      </c>
      <c r="C12023">
        <f>HYPERLINK("C:\Users\franc\OneDrive\Documentos\MALENTIN KARIME\BANCO ESTADO\2012 DEPTO ESCRITURAS fata\NOTARIA 2009\MANDATOS JUDICIALES 2006\PEDRO ROJAS A MERCEDES RUBINA.doc", "Abrir Documento")</f>
        <v>0</v>
      </c>
      <c r="D12023" t="s">
        <v>23500</v>
      </c>
      <c r="E12023" t="s">
        <v>34498</v>
      </c>
    </row>
    <row r="12024" spans="1:5">
      <c r="A12024" t="s">
        <v>6</v>
      </c>
      <c r="B12024" t="s">
        <v>12029</v>
      </c>
      <c r="C12024">
        <f>HYPERLINK("C:\Users\franc\OneDrive\Documentos\MALENTIN KARIME\BANCO ESTADO\2012 DEPTO ESCRITURAS fata\NOTARIA 2009\MANDATOS JUDICIALES 2006\PEDRO CANIHUANTE.doc", "Abrir Documento")</f>
        <v>0</v>
      </c>
      <c r="D12024" t="s">
        <v>23500</v>
      </c>
      <c r="E12024" t="s">
        <v>34499</v>
      </c>
    </row>
    <row r="12025" spans="1:5">
      <c r="A12025" t="s">
        <v>6</v>
      </c>
      <c r="B12025" t="s">
        <v>12030</v>
      </c>
      <c r="C12025">
        <f>HYPERLINK("C:\Users\franc\OneDrive\Documentos\MALENTIN KARIME\BANCO ESTADO\2012 DEPTO ESCRITURAS fata\NOTARIA 2009\MANDATOS JUDICIALES 2006\PASCUAL MUÑOZ.doc", "Abrir Documento")</f>
        <v>0</v>
      </c>
      <c r="D12025" t="s">
        <v>23500</v>
      </c>
      <c r="E12025" t="s">
        <v>34500</v>
      </c>
    </row>
    <row r="12026" spans="1:5">
      <c r="A12026" t="s">
        <v>6</v>
      </c>
      <c r="B12026" t="s">
        <v>12031</v>
      </c>
      <c r="C12026">
        <f>HYPERLINK("C:\Users\franc\OneDrive\Documentos\MALENTIN KARIME\BANCO ESTADO\2012 DEPTO ESCRITURAS fata\NOTARIA 2009\MANDATOS JUDICIALES 2006\NANCY CASTRO A CLAUDIO ARDILES.doc", "Abrir Documento")</f>
        <v>0</v>
      </c>
      <c r="D12026" t="s">
        <v>23500</v>
      </c>
      <c r="E12026" t="s">
        <v>34501</v>
      </c>
    </row>
    <row r="12027" spans="1:5">
      <c r="A12027" t="s">
        <v>6</v>
      </c>
      <c r="B12027" t="s">
        <v>12032</v>
      </c>
      <c r="C12027">
        <f>HYPERLINK("C:\Users\franc\OneDrive\Documentos\MALENTIN KARIME\BANCO ESTADO\2012 DEPTO ESCRITURAS fata\NOTARIA 2009\MANDATOS JUDICIALES 2006\MODELO NOTARIO.doc", "Abrir Documento")</f>
        <v>0</v>
      </c>
      <c r="D12027" t="s">
        <v>23500</v>
      </c>
      <c r="E12027" t="s">
        <v>34502</v>
      </c>
    </row>
    <row r="12028" spans="1:5">
      <c r="A12028" t="s">
        <v>6</v>
      </c>
      <c r="B12028" t="s">
        <v>12033</v>
      </c>
      <c r="C12028">
        <f>HYPERLINK("C:\Users\franc\OneDrive\Documentos\MALENTIN KARIME\BANCO ESTADO\2012 DEPTO ESCRITURAS fata\NOTARIA 2009\MANDATOS JUDICIALES 2006\MARTA PONCE A C. ARDILES.doc", "Abrir Documento")</f>
        <v>0</v>
      </c>
      <c r="D12028" t="s">
        <v>23500</v>
      </c>
      <c r="E12028" t="s">
        <v>34503</v>
      </c>
    </row>
    <row r="12029" spans="1:5">
      <c r="A12029" t="s">
        <v>6</v>
      </c>
      <c r="B12029" t="s">
        <v>12034</v>
      </c>
      <c r="C12029">
        <f>HYPERLINK("C:\Users\franc\OneDrive\Documentos\MALENTIN KARIME\BANCO ESTADO\2012 DEPTO ESCRITURAS fata\NOTARIA 2009\MANDATOS JUDICIALES 2006\MARIA FLORES A JUAN GARCIA Y OTRO.doc", "Abrir Documento")</f>
        <v>0</v>
      </c>
      <c r="D12029" t="s">
        <v>23500</v>
      </c>
      <c r="E12029" t="s">
        <v>34504</v>
      </c>
    </row>
    <row r="12030" spans="1:5">
      <c r="A12030" t="s">
        <v>6</v>
      </c>
      <c r="B12030" t="s">
        <v>12035</v>
      </c>
      <c r="C12030">
        <f>HYPERLINK("C:\Users\franc\OneDrive\Documentos\MALENTIN KARIME\BANCO ESTADO\2012 DEPTO ESCRITURAS fata\NOTARIA 2009\MANDATOS JUDICIALES 2006\MARIA CARVAJAL A CLAUDIO ARDILES.doc", "Abrir Documento")</f>
        <v>0</v>
      </c>
      <c r="D12030" t="s">
        <v>23500</v>
      </c>
      <c r="E12030" t="s">
        <v>34505</v>
      </c>
    </row>
    <row r="12031" spans="1:5">
      <c r="A12031" t="s">
        <v>6</v>
      </c>
      <c r="B12031" t="s">
        <v>12036</v>
      </c>
      <c r="C12031">
        <f>HYPERLINK("C:\Users\franc\OneDrive\Documentos\MALENTIN KARIME\BANCO ESTADO\2012 DEPTO ESCRITURAS fata\NOTARIA 2009\MANDATOS JUDICIALES 2006\MARGARITA PARDO A XIMENA DORICH (CORP).doc", "Abrir Documento")</f>
        <v>0</v>
      </c>
      <c r="D12031" t="s">
        <v>23500</v>
      </c>
      <c r="E12031" t="s">
        <v>34506</v>
      </c>
    </row>
    <row r="12032" spans="1:5">
      <c r="A12032" t="s">
        <v>6</v>
      </c>
      <c r="B12032" t="s">
        <v>12037</v>
      </c>
      <c r="C12032">
        <f>HYPERLINK("C:\Users\franc\OneDrive\Documentos\MALENTIN KARIME\BANCO ESTADO\2012 DEPTO ESCRITURAS fata\NOTARIA 2009\MANDATOS JUDICIALES 2006\MARCELO CORRAL Y OT. A CLAUDIO ARDILES.doc", "Abrir Documento")</f>
        <v>0</v>
      </c>
      <c r="D12032" t="s">
        <v>23500</v>
      </c>
      <c r="E12032" t="s">
        <v>34507</v>
      </c>
    </row>
    <row r="12033" spans="1:5">
      <c r="A12033" t="s">
        <v>6</v>
      </c>
      <c r="B12033" t="s">
        <v>12038</v>
      </c>
      <c r="C12033">
        <f>HYPERLINK("C:\Users\franc\OneDrive\Documentos\MALENTIN KARIME\BANCO ESTADO\2012 DEPTO ESCRITURAS fata\NOTARIA 2009\MANDATOS JUDICIALES 2006\manuel alfaro.doc", "Abrir Documento")</f>
        <v>0</v>
      </c>
      <c r="D12033" t="s">
        <v>23500</v>
      </c>
      <c r="E12033" t="s">
        <v>34508</v>
      </c>
    </row>
    <row r="12034" spans="1:5">
      <c r="A12034" t="s">
        <v>6</v>
      </c>
      <c r="B12034" t="s">
        <v>12039</v>
      </c>
      <c r="C12034">
        <f>HYPERLINK("C:\Users\franc\OneDrive\Documentos\MALENTIN KARIME\BANCO ESTADO\2012 DEPTO ESCRITURAS fata\NOTARIA 2009\MANDATOS JUDICIALES 2006\LUMINALDA ORELLANA A MA. NUÑEZ HERRERZ.doc", "Abrir Documento")</f>
        <v>0</v>
      </c>
      <c r="D12034" t="s">
        <v>23500</v>
      </c>
      <c r="E12034" t="s">
        <v>34509</v>
      </c>
    </row>
    <row r="12035" spans="1:5">
      <c r="A12035" t="s">
        <v>6</v>
      </c>
      <c r="B12035" t="s">
        <v>12040</v>
      </c>
      <c r="C12035">
        <f>HYPERLINK("C:\Users\franc\OneDrive\Documentos\MALENTIN KARIME\BANCO ESTADO\2012 DEPTO ESCRITURAS fata\NOTARIA 2009\MANDATOS JUDICIALES 2006\LUIS VILLALOBOS A VERONICA CERDA.doc", "Abrir Documento")</f>
        <v>0</v>
      </c>
      <c r="D12035" t="s">
        <v>23500</v>
      </c>
      <c r="E12035" t="s">
        <v>34510</v>
      </c>
    </row>
    <row r="12036" spans="1:5">
      <c r="A12036" t="s">
        <v>6</v>
      </c>
      <c r="B12036" t="s">
        <v>12041</v>
      </c>
      <c r="C12036">
        <f>HYPERLINK("C:\Users\franc\OneDrive\Documentos\MALENTIN KARIME\BANCO ESTADO\2012 DEPTO ESCRITURAS fata\NOTARIA 2009\MANDATOS JUDICIALES 2006\LUIS TORREJON  A JUAN P. CORRAL (REVOC).doc", "Abrir Documento")</f>
        <v>0</v>
      </c>
      <c r="D12036" t="s">
        <v>23500</v>
      </c>
      <c r="E12036" t="s">
        <v>34511</v>
      </c>
    </row>
    <row r="12037" spans="1:5">
      <c r="A12037" t="s">
        <v>6</v>
      </c>
      <c r="B12037" t="s">
        <v>12042</v>
      </c>
      <c r="C12037">
        <f>HYPERLINK("C:\Users\franc\OneDrive\Documentos\MALENTIN KARIME\BANCO ESTADO\2012 DEPTO ESCRITURAS fata\NOTARIA 2009\MANDATOS JUDICIALES 2006\LUCIA CORRAL A MARCOS LOPEZ.doc", "Abrir Documento")</f>
        <v>0</v>
      </c>
      <c r="D12037" t="s">
        <v>23500</v>
      </c>
      <c r="E12037" t="s">
        <v>34512</v>
      </c>
    </row>
    <row r="12038" spans="1:5">
      <c r="A12038" t="s">
        <v>6</v>
      </c>
      <c r="B12038" t="s">
        <v>12043</v>
      </c>
      <c r="C12038">
        <f>HYPERLINK("C:\Users\franc\OneDrive\Documentos\MALENTIN KARIME\BANCO ESTADO\2012 DEPTO ESCRITURAS fata\NOTARIA 2009\MANDATOS JUDICIALES 2006\LORENZO VELIZ A FLORENCIO MONTENE Y OTRO.doc", "Abrir Documento")</f>
        <v>0</v>
      </c>
      <c r="D12038" t="s">
        <v>23500</v>
      </c>
      <c r="E12038" t="s">
        <v>34513</v>
      </c>
    </row>
    <row r="12039" spans="1:5">
      <c r="A12039" t="s">
        <v>6</v>
      </c>
      <c r="B12039" t="s">
        <v>12044</v>
      </c>
      <c r="C12039">
        <f>HYPERLINK("C:\Users\franc\OneDrive\Documentos\MALENTIN KARIME\BANCO ESTADO\2012 DEPTO ESCRITURAS fata\NOTARIA 2009\MANDATOS JUDICIALES 2006\LIDIA PIZARRO A CAROLINA ADAOS.doc", "Abrir Documento")</f>
        <v>0</v>
      </c>
      <c r="D12039" t="s">
        <v>23500</v>
      </c>
      <c r="E12039" t="s">
        <v>34514</v>
      </c>
    </row>
    <row r="12040" spans="1:5">
      <c r="A12040" t="s">
        <v>6</v>
      </c>
      <c r="B12040" t="s">
        <v>12045</v>
      </c>
      <c r="C12040">
        <f>HYPERLINK("C:\Users\franc\OneDrive\Documentos\MALENTIN KARIME\BANCO ESTADO\2012 DEPTO ESCRITURAS fata\NOTARIA 2009\MANDATOS JUDICIALES 2006\LEONARDO PEREZ.doc", "Abrir Documento")</f>
        <v>0</v>
      </c>
      <c r="D12040" t="s">
        <v>23500</v>
      </c>
      <c r="E12040" t="s">
        <v>34515</v>
      </c>
    </row>
    <row r="12041" spans="1:5">
      <c r="A12041" t="s">
        <v>6</v>
      </c>
      <c r="B12041" t="s">
        <v>12046</v>
      </c>
      <c r="C12041">
        <f>HYPERLINK("C:\Users\franc\OneDrive\Documentos\MALENTIN KARIME\BANCO ESTADO\2012 DEPTO ESCRITURAS fata\NOTARIA 2009\MANDATOS JUDICIALES 2006\LAUREANO RAMOS A C. ARDILES Y OTRO.doc", "Abrir Documento")</f>
        <v>0</v>
      </c>
      <c r="D12041" t="s">
        <v>23500</v>
      </c>
      <c r="E12041" t="s">
        <v>34516</v>
      </c>
    </row>
    <row r="12042" spans="1:5">
      <c r="A12042" t="s">
        <v>6</v>
      </c>
      <c r="B12042" t="s">
        <v>12047</v>
      </c>
      <c r="C12042">
        <f>HYPERLINK("C:\Users\franc\OneDrive\Documentos\MALENTIN KARIME\BANCO ESTADO\2012 DEPTO ESCRITURAS fata\NOTARIA 2009\MANDATOS JUDICIALES 2006\LAURA OLIVARES REVOCACION MANDATO GENERAL.doc", "Abrir Documento")</f>
        <v>0</v>
      </c>
      <c r="D12042" t="s">
        <v>23500</v>
      </c>
      <c r="E12042" t="s">
        <v>34517</v>
      </c>
    </row>
    <row r="12043" spans="1:5">
      <c r="A12043" t="s">
        <v>6</v>
      </c>
      <c r="B12043" t="s">
        <v>12048</v>
      </c>
      <c r="C12043">
        <f>HYPERLINK("C:\Users\franc\OneDrive\Documentos\MALENTIN KARIME\BANCO ESTADO\2012 DEPTO ESCRITURAS fata\NOTARIA 2009\MANDATOS JUDICIALES 2006\JUAN PIZARRO A C. ARDILES Y OTRO.doc", "Abrir Documento")</f>
        <v>0</v>
      </c>
      <c r="D12043" t="s">
        <v>23500</v>
      </c>
      <c r="E12043" t="s">
        <v>34518</v>
      </c>
    </row>
    <row r="12044" spans="1:5">
      <c r="A12044" t="s">
        <v>6</v>
      </c>
      <c r="B12044" t="s">
        <v>12049</v>
      </c>
      <c r="C12044">
        <f>HYPERLINK("C:\Users\franc\OneDrive\Documentos\MALENTIN KARIME\BANCO ESTADO\2012 DEPTO ESCRITURAS fata\NOTARIA 2009\MANDATOS JUDICIALES 2006\JOSE RAMOS A JORGE ALVARADO.doc", "Abrir Documento")</f>
        <v>0</v>
      </c>
      <c r="D12044" t="s">
        <v>23500</v>
      </c>
      <c r="E12044" t="s">
        <v>34519</v>
      </c>
    </row>
    <row r="12045" spans="1:5">
      <c r="A12045" t="s">
        <v>6</v>
      </c>
      <c r="B12045" t="s">
        <v>12050</v>
      </c>
      <c r="C12045">
        <f>HYPERLINK("C:\Users\franc\OneDrive\Documentos\MALENTIN KARIME\BANCO ESTADO\2012 DEPTO ESCRITURAS fata\NOTARIA 2009\MANDATOS JUDICIALES 2006\JOSE GONZALEZ JERIA A M CORTES YCLAUDIO.doc", "Abrir Documento")</f>
        <v>0</v>
      </c>
      <c r="D12045" t="s">
        <v>23500</v>
      </c>
      <c r="E12045" t="s">
        <v>34520</v>
      </c>
    </row>
    <row r="12046" spans="1:5">
      <c r="A12046" t="s">
        <v>6</v>
      </c>
      <c r="B12046" t="s">
        <v>12051</v>
      </c>
      <c r="C12046">
        <f>HYPERLINK("C:\Users\franc\OneDrive\Documentos\MALENTIN KARIME\BANCO ESTADO\2012 DEPTO ESCRITURAS fata\NOTARIA 2009\MANDATOS JUDICIALES 2006\JORGE CASTILLO A CARLOS TELLO ....doc", "Abrir Documento")</f>
        <v>0</v>
      </c>
      <c r="D12046" t="s">
        <v>23500</v>
      </c>
      <c r="E12046" t="s">
        <v>34521</v>
      </c>
    </row>
    <row r="12047" spans="1:5">
      <c r="A12047" t="s">
        <v>6</v>
      </c>
      <c r="B12047" t="s">
        <v>12052</v>
      </c>
      <c r="C12047">
        <f>HYPERLINK("C:\Users\franc\OneDrive\Documentos\MALENTIN KARIME\BANCO ESTADO\2012 DEPTO ESCRITURAS fata\NOTARIA 2009\MANDATOS JUDICIALES 2006\JORGE AGUIRRE.doc", "Abrir Documento")</f>
        <v>0</v>
      </c>
      <c r="D12047" t="s">
        <v>23500</v>
      </c>
      <c r="E12047" t="s">
        <v>34522</v>
      </c>
    </row>
    <row r="12048" spans="1:5">
      <c r="A12048" t="s">
        <v>6</v>
      </c>
      <c r="B12048" t="s">
        <v>12053</v>
      </c>
      <c r="C12048">
        <f>HYPERLINK("C:\Users\franc\OneDrive\Documentos\MALENTIN KARIME\BANCO ESTADO\2012 DEPTO ESCRITURAS fata\NOTARIA 2009\MANDATOS JUDICIALES 2006\JACINTO CARVAJAL A MARCO JURIN.doc", "Abrir Documento")</f>
        <v>0</v>
      </c>
      <c r="D12048" t="s">
        <v>23500</v>
      </c>
      <c r="E12048" t="s">
        <v>34523</v>
      </c>
    </row>
    <row r="12049" spans="1:5">
      <c r="A12049" t="s">
        <v>6</v>
      </c>
      <c r="B12049" t="s">
        <v>12054</v>
      </c>
      <c r="C12049">
        <f>HYPERLINK("C:\Users\franc\OneDrive\Documentos\MALENTIN KARIME\BANCO ESTADO\2012 DEPTO ESCRITURAS fata\NOTARIA 2009\MANDATOS JUDICIALES 2006\IVAN MARTINAC A CLAUDIO ARDILES.doc", "Abrir Documento")</f>
        <v>0</v>
      </c>
      <c r="D12049" t="s">
        <v>23500</v>
      </c>
      <c r="E12049" t="s">
        <v>34524</v>
      </c>
    </row>
    <row r="12050" spans="1:5">
      <c r="A12050" t="s">
        <v>6</v>
      </c>
      <c r="B12050" t="s">
        <v>12055</v>
      </c>
      <c r="C12050">
        <f>HYPERLINK("C:\Users\franc\OneDrive\Documentos\MALENTIN KARIME\BANCO ESTADO\2012 DEPTO ESCRITURAS fata\NOTARIA 2009\MANDATOS JUDICIALES 2006\INVER. ROMERAL SEI LTDA. A S. PERALTA.doc", "Abrir Documento")</f>
        <v>0</v>
      </c>
      <c r="D12050" t="s">
        <v>23500</v>
      </c>
      <c r="E12050" t="s">
        <v>34525</v>
      </c>
    </row>
    <row r="12051" spans="1:5">
      <c r="A12051" t="s">
        <v>6</v>
      </c>
      <c r="B12051" t="s">
        <v>12056</v>
      </c>
      <c r="C12051">
        <f>HYPERLINK("C:\Users\franc\OneDrive\Documentos\MALENTIN KARIME\BANCO ESTADO\2012 DEPTO ESCRITURAS fata\NOTARIA 2009\MANDATOS JUDICIALES 2006\HILDA CARVAJAL A CLAUDIO MARCHANT.doc", "Abrir Documento")</f>
        <v>0</v>
      </c>
      <c r="D12051" t="s">
        <v>23500</v>
      </c>
      <c r="E12051" t="s">
        <v>34526</v>
      </c>
    </row>
    <row r="12052" spans="1:5">
      <c r="A12052" t="s">
        <v>6</v>
      </c>
      <c r="B12052" t="s">
        <v>12057</v>
      </c>
      <c r="C12052">
        <f>HYPERLINK("C:\Users\franc\OneDrive\Documentos\MALENTIN KARIME\BANCO ESTADO\2012 DEPTO ESCRITURAS fata\NOTARIA 2009\MANDATOS JUDICIALES 2006\GONZALO CORTES A PABLO ARRIAGADA.doc", "Abrir Documento")</f>
        <v>0</v>
      </c>
      <c r="D12052" t="s">
        <v>23500</v>
      </c>
      <c r="E12052" t="s">
        <v>34527</v>
      </c>
    </row>
    <row r="12053" spans="1:5">
      <c r="A12053" t="s">
        <v>6</v>
      </c>
      <c r="B12053" t="s">
        <v>12058</v>
      </c>
      <c r="C12053">
        <f>HYPERLINK("C:\Users\franc\OneDrive\Documentos\MALENTIN KARIME\BANCO ESTADO\2012 DEPTO ESCRITURAS fata\NOTARIA 2009\MANDATOS JUDICIALES 2006\GEORGINA ROSARIO A PATRICIO SEGOVIA.doc", "Abrir Documento")</f>
        <v>0</v>
      </c>
      <c r="D12053" t="s">
        <v>23500</v>
      </c>
      <c r="E12053" t="s">
        <v>34528</v>
      </c>
    </row>
    <row r="12054" spans="1:5">
      <c r="A12054" t="s">
        <v>6</v>
      </c>
      <c r="B12054" t="s">
        <v>12059</v>
      </c>
      <c r="C12054">
        <f>HYPERLINK("C:\Users\franc\OneDrive\Documentos\MALENTIN KARIME\BANCO ESTADO\2012 DEPTO ESCRITURAS fata\NOTARIA 2009\MANDATOS JUDICIALES 2006\FIDEL VALERRAMA Y OTRA A JULIO ALVAREZ.doc", "Abrir Documento")</f>
        <v>0</v>
      </c>
      <c r="D12054" t="s">
        <v>23500</v>
      </c>
      <c r="E12054" t="s">
        <v>34529</v>
      </c>
    </row>
    <row r="12055" spans="1:5">
      <c r="A12055" t="s">
        <v>6</v>
      </c>
      <c r="B12055" t="s">
        <v>12060</v>
      </c>
      <c r="C12055">
        <f>HYPERLINK("C:\Users\franc\OneDrive\Documentos\MALENTIN KARIME\BANCO ESTADO\2012 DEPTO ESCRITURAS fata\NOTARIA 2009\MANDATOS JUDICIALES 2006\FCO. ALUCEMA A MARIO BARRIOS.doc", "Abrir Documento")</f>
        <v>0</v>
      </c>
      <c r="D12055" t="s">
        <v>23500</v>
      </c>
      <c r="E12055" t="s">
        <v>34530</v>
      </c>
    </row>
    <row r="12056" spans="1:5">
      <c r="A12056" t="s">
        <v>6</v>
      </c>
      <c r="B12056" t="s">
        <v>12061</v>
      </c>
      <c r="C12056">
        <f>HYPERLINK("C:\Users\franc\OneDrive\Documentos\MALENTIN KARIME\BANCO ESTADO\2012 DEPTO ESCRITURAS fata\NOTARIA 2009\MANDATOS JUDICIALES 2006\EXPORTADORA ACONCAGUA A R. CONTADOR.doc", "Abrir Documento")</f>
        <v>0</v>
      </c>
      <c r="D12056" t="s">
        <v>23500</v>
      </c>
      <c r="E12056" t="s">
        <v>34531</v>
      </c>
    </row>
    <row r="12057" spans="1:5">
      <c r="A12057" t="s">
        <v>6</v>
      </c>
      <c r="B12057" t="s">
        <v>12062</v>
      </c>
      <c r="C12057">
        <f>HYPERLINK("C:\Users\franc\OneDrive\Documentos\MALENTIN KARIME\BANCO ESTADO\2012 DEPTO ESCRITURAS fata\NOTARIA 2009\MANDATOS JUDICIALES 2006\ESPECIERA S.A..doc", "Abrir Documento")</f>
        <v>0</v>
      </c>
      <c r="D12057" t="s">
        <v>23500</v>
      </c>
      <c r="E12057" t="s">
        <v>34532</v>
      </c>
    </row>
    <row r="12058" spans="1:5">
      <c r="A12058" t="s">
        <v>6</v>
      </c>
      <c r="B12058" t="s">
        <v>12063</v>
      </c>
      <c r="C12058">
        <f>HYPERLINK("C:\Users\franc\OneDrive\Documentos\MALENTIN KARIME\BANCO ESTADO\2012 DEPTO ESCRITURAS fata\NOTARIA 2009\MANDATOS JUDICIALES 2006\eglantina mundaca (revocacion).doc", "Abrir Documento")</f>
        <v>0</v>
      </c>
      <c r="D12058" t="s">
        <v>23500</v>
      </c>
      <c r="E12058" t="s">
        <v>34533</v>
      </c>
    </row>
    <row r="12059" spans="1:5">
      <c r="A12059" t="s">
        <v>6</v>
      </c>
      <c r="B12059" t="s">
        <v>12064</v>
      </c>
      <c r="C12059">
        <f>HYPERLINK("C:\Users\franc\OneDrive\Documentos\MALENTIN KARIME\BANCO ESTADO\2012 DEPTO ESCRITURAS fata\NOTARIA 2009\MANDATOS JUDICIALES 2006\DORA VILLAR  REVOCACION MANDATO.doc", "Abrir Documento")</f>
        <v>0</v>
      </c>
      <c r="D12059" t="s">
        <v>23500</v>
      </c>
      <c r="E12059" t="s">
        <v>34534</v>
      </c>
    </row>
    <row r="12060" spans="1:5">
      <c r="A12060" t="s">
        <v>6</v>
      </c>
      <c r="B12060" t="s">
        <v>12065</v>
      </c>
      <c r="C12060">
        <f>HYPERLINK("C:\Users\franc\OneDrive\Documentos\MALENTIN KARIME\BANCO ESTADO\2012 DEPTO ESCRITURAS fata\NOTARIA 2009\MANDATOS JUDICIALES 2006\DORA VILLAR  a CAROLINA ADAOS.doc", "Abrir Documento")</f>
        <v>0</v>
      </c>
      <c r="D12060" t="s">
        <v>23500</v>
      </c>
      <c r="E12060" t="s">
        <v>34535</v>
      </c>
    </row>
    <row r="12061" spans="1:5">
      <c r="A12061" t="s">
        <v>6</v>
      </c>
      <c r="B12061" t="s">
        <v>12066</v>
      </c>
      <c r="C12061">
        <f>HYPERLINK("C:\Users\franc\OneDrive\Documentos\MALENTIN KARIME\BANCO ESTADO\2012 DEPTO ESCRITURAS fata\NOTARIA 2009\MANDATOS JUDICIALES 2006\DELFIA VERGARA A JAIME MUÑOZ (REVOCACION.doc", "Abrir Documento")</f>
        <v>0</v>
      </c>
      <c r="D12061" t="s">
        <v>23500</v>
      </c>
      <c r="E12061" t="s">
        <v>34536</v>
      </c>
    </row>
    <row r="12062" spans="1:5">
      <c r="A12062" t="s">
        <v>6</v>
      </c>
      <c r="B12062" t="s">
        <v>12067</v>
      </c>
      <c r="C12062">
        <f>HYPERLINK("C:\Users\franc\OneDrive\Documentos\MALENTIN KARIME\BANCO ESTADO\2012 DEPTO ESCRITURAS fata\NOTARIA 2009\MANDATOS JUDICIALES 2006\DELADIER VELASQUEZ A C. ARDIELS Y OTRO.doc", "Abrir Documento")</f>
        <v>0</v>
      </c>
      <c r="D12062" t="s">
        <v>23500</v>
      </c>
      <c r="E12062" t="s">
        <v>34537</v>
      </c>
    </row>
    <row r="12063" spans="1:5">
      <c r="A12063" t="s">
        <v>6</v>
      </c>
      <c r="B12063" t="s">
        <v>12068</v>
      </c>
      <c r="C12063">
        <f>HYPERLINK("C:\Users\franc\OneDrive\Documentos\MALENTIN KARIME\BANCO ESTADO\2012 DEPTO ESCRITURAS fata\NOTARIA 2009\MANDATOS JUDICIALES 2006\CIA. MINERA DEMETRIO TELLO.doc", "Abrir Documento")</f>
        <v>0</v>
      </c>
      <c r="D12063" t="s">
        <v>23500</v>
      </c>
      <c r="E12063" t="s">
        <v>34538</v>
      </c>
    </row>
    <row r="12064" spans="1:5">
      <c r="A12064" t="s">
        <v>6</v>
      </c>
      <c r="B12064" t="s">
        <v>12069</v>
      </c>
      <c r="C12064">
        <f>HYPERLINK("C:\Users\franc\OneDrive\Documentos\MALENTIN KARIME\BANCO ESTADO\2012 DEPTO ESCRITURAS fata\NOTARIA 2009\MANDATOS JUDICIALES 2006\BENEDICTA TORO (REVOCACION).doc", "Abrir Documento")</f>
        <v>0</v>
      </c>
      <c r="D12064" t="s">
        <v>23500</v>
      </c>
      <c r="E12064" t="s">
        <v>34539</v>
      </c>
    </row>
    <row r="12065" spans="1:5">
      <c r="A12065" t="s">
        <v>6</v>
      </c>
      <c r="B12065" t="s">
        <v>12070</v>
      </c>
      <c r="C12065">
        <f>HYPERLINK("C:\Users\franc\OneDrive\Documentos\MALENTIN KARIME\BANCO ESTADO\2012 DEPTO ESCRITURAS fata\NOTARIA 2009\MANDATOS JUDICIALES 2006\ASOCIACION DE CANALISTAS DEL EMBALSE COGOTI.doc", "Abrir Documento")</f>
        <v>0</v>
      </c>
      <c r="D12065" t="s">
        <v>23500</v>
      </c>
      <c r="E12065" t="s">
        <v>34540</v>
      </c>
    </row>
    <row r="12066" spans="1:5">
      <c r="A12066" t="s">
        <v>6</v>
      </c>
      <c r="B12066" t="s">
        <v>12071</v>
      </c>
      <c r="C12066">
        <f>HYPERLINK("C:\Users\franc\OneDrive\Documentos\MALENTIN KARIME\BANCO ESTADO\2012 DEPTO ESCRITURAS fata\NOTARIA 2009\MANDATOS JUDICIALES 2006\ARMANDO SALAMANCA A SERGIO PERALTA.doc", "Abrir Documento")</f>
        <v>0</v>
      </c>
      <c r="D12066" t="s">
        <v>23500</v>
      </c>
      <c r="E12066" t="s">
        <v>34541</v>
      </c>
    </row>
    <row r="12067" spans="1:5">
      <c r="A12067" t="s">
        <v>6</v>
      </c>
      <c r="B12067" t="s">
        <v>12072</v>
      </c>
      <c r="C12067">
        <f>HYPERLINK("C:\Users\franc\OneDrive\Documentos\MALENTIN KARIME\BANCO ESTADO\2012 DEPTO ESCRITURAS fata\NOTARIA 2009\MANDATOS JUDICIALES 2006\ARCHIVALDO ARAYA A REINALDO RUDLOFF.doc", "Abrir Documento")</f>
        <v>0</v>
      </c>
      <c r="D12067" t="s">
        <v>23500</v>
      </c>
      <c r="E12067" t="s">
        <v>34542</v>
      </c>
    </row>
    <row r="12068" spans="1:5">
      <c r="A12068" t="s">
        <v>6</v>
      </c>
      <c r="B12068" t="s">
        <v>12073</v>
      </c>
      <c r="C12068">
        <f>HYPERLINK("C:\Users\franc\OneDrive\Documentos\MALENTIN KARIME\BANCO ESTADO\2012 DEPTO ESCRITURAS fata\NOTARIA 2009\MANDATOS JUDICIALES 2006\ANGELICA MIÑO A ROSA GAJARDO.doc", "Abrir Documento")</f>
        <v>0</v>
      </c>
      <c r="D12068" t="s">
        <v>23500</v>
      </c>
      <c r="E12068" t="s">
        <v>34543</v>
      </c>
    </row>
    <row r="12069" spans="1:5">
      <c r="A12069" t="s">
        <v>6</v>
      </c>
      <c r="B12069" t="s">
        <v>12074</v>
      </c>
      <c r="C12069">
        <f>HYPERLINK("C:\Users\franc\OneDrive\Documentos\MALENTIN KARIME\BANCO ESTADO\2012 DEPTO ESCRITURAS fata\NOTARIA 2009\MANDATOS JUDICIALES 2006\ANA MARIA LABARCA A PABLO ARRIAGADA Y OTR.doc", "Abrir Documento")</f>
        <v>0</v>
      </c>
      <c r="D12069" t="s">
        <v>23500</v>
      </c>
      <c r="E12069" t="s">
        <v>34544</v>
      </c>
    </row>
    <row r="12070" spans="1:5">
      <c r="A12070" t="s">
        <v>6</v>
      </c>
      <c r="B12070" t="s">
        <v>12075</v>
      </c>
      <c r="C12070">
        <f>HYPERLINK("C:\Users\franc\OneDrive\Documentos\MALENTIN KARIME\BANCO ESTADO\2012 DEPTO ESCRITURAS fata\NOTARIA 2009\MANDATOS JUDICIALES 2006\ANA MA. LABARCA A LEANDRO GALLARDO (REVOC).doc", "Abrir Documento")</f>
        <v>0</v>
      </c>
      <c r="D12070" t="s">
        <v>23500</v>
      </c>
      <c r="E12070" t="s">
        <v>34545</v>
      </c>
    </row>
    <row r="12071" spans="1:5">
      <c r="A12071" t="s">
        <v>6</v>
      </c>
      <c r="B12071" t="s">
        <v>12076</v>
      </c>
      <c r="C12071">
        <f>HYPERLINK("C:\Users\franc\OneDrive\Documentos\MALENTIN KARIME\BANCO ESTADO\2012 DEPTO ESCRITURAS fata\NOTARIA 2009\MANDATOS JUDICIALES 2006\ANA MA. LABARCA A  PABLO ARRIAGADA Y OTRO.doc", "Abrir Documento")</f>
        <v>0</v>
      </c>
      <c r="D12071" t="s">
        <v>23500</v>
      </c>
      <c r="E12071" t="s">
        <v>34546</v>
      </c>
    </row>
    <row r="12072" spans="1:5">
      <c r="A12072" t="s">
        <v>6</v>
      </c>
      <c r="B12072" t="s">
        <v>12077</v>
      </c>
      <c r="C12072">
        <f>HYPERLINK("C:\Users\franc\OneDrive\Documentos\MALENTIN KARIME\BANCO ESTADO\2012 DEPTO ESCRITURAS fata\NOTARIA 2009\MANDATOS JUDICIALES 2006\AGRICOLA CANTA RANA A RAUL SALAMANCA.doc", "Abrir Documento")</f>
        <v>0</v>
      </c>
      <c r="D12072" t="s">
        <v>23500</v>
      </c>
      <c r="E12072" t="s">
        <v>34547</v>
      </c>
    </row>
    <row r="12073" spans="1:5">
      <c r="A12073" t="s">
        <v>6</v>
      </c>
      <c r="B12073" t="s">
        <v>12078</v>
      </c>
      <c r="C12073">
        <f>HYPERLINK("C:\Users\franc\OneDrive\Documentos\MALENTIN KARIME\BANCO ESTADO\2012 DEPTO ESCRITURAS fata\NOTARIA 2009\MANDATOS JUDICIALES 2006\ADOLFO CORTES A M. CORTES Y OTRO.doc", "Abrir Documento")</f>
        <v>0</v>
      </c>
      <c r="D12073" t="s">
        <v>23500</v>
      </c>
      <c r="E12073" t="s">
        <v>34548</v>
      </c>
    </row>
    <row r="12074" spans="1:5">
      <c r="A12074" t="s">
        <v>6</v>
      </c>
      <c r="B12074" t="s">
        <v>12079</v>
      </c>
      <c r="C12074">
        <f>HYPERLINK("C:\Users\franc\OneDrive\Documentos\MALENTIN KARIME\BANCO ESTADO\2012 DEPTO ESCRITURAS fata\NOTARIA 2009\MANDATOS JUDICIALES 2006\ADOLFO ARAYA A PATRICIA ALFARO.doc", "Abrir Documento")</f>
        <v>0</v>
      </c>
      <c r="D12074" t="s">
        <v>23500</v>
      </c>
      <c r="E12074" t="s">
        <v>34549</v>
      </c>
    </row>
    <row r="12075" spans="1:5">
      <c r="A12075" t="s">
        <v>6</v>
      </c>
      <c r="B12075" t="s">
        <v>12080</v>
      </c>
      <c r="C12075">
        <f>HYPERLINK("C:\Users\franc\OneDrive\Documentos\MALENTIN KARIME\BANCO ESTADO\2012 DEPTO ESCRITURAS fata\NOTARIA 2009\mandatos generales\MARJORIE ASTUDILLO A WLADIMIR VALDIVIA.doc", "Abrir Documento")</f>
        <v>0</v>
      </c>
      <c r="D12075" t="s">
        <v>23500</v>
      </c>
      <c r="E12075" t="s">
        <v>34550</v>
      </c>
    </row>
    <row r="12076" spans="1:5">
      <c r="A12076" t="s">
        <v>6</v>
      </c>
      <c r="B12076" t="s">
        <v>12081</v>
      </c>
      <c r="C12076">
        <f>HYPERLINK("C:\Users\franc\OneDrive\Documentos\MALENTIN KARIME\BANCO ESTADO\2012 DEPTO ESCRITURAS fata\NOTARIA 2009\MANDATOS BANCOS 2009\SOC. JULIO MONTERO A SU HIJO.doc", "Abrir Documento")</f>
        <v>0</v>
      </c>
      <c r="D12076" t="s">
        <v>23500</v>
      </c>
      <c r="E12076" t="s">
        <v>34551</v>
      </c>
    </row>
    <row r="12077" spans="1:5">
      <c r="A12077" t="s">
        <v>6</v>
      </c>
      <c r="B12077" t="s">
        <v>12082</v>
      </c>
      <c r="C12077">
        <f>HYPERLINK("C:\Users\franc\OneDrive\Documentos\MALENTIN KARIME\BANCO ESTADO\2012 DEPTO ESCRITURAS fata\NOTARIA 2009\MANDATOS BANCOS 2009\SOC. JULIO MONTERO A SU HIJO (2).doc", "Abrir Documento")</f>
        <v>0</v>
      </c>
      <c r="D12077" t="s">
        <v>23500</v>
      </c>
      <c r="E12077" t="s">
        <v>34552</v>
      </c>
    </row>
    <row r="12078" spans="1:5">
      <c r="A12078" t="s">
        <v>6</v>
      </c>
      <c r="B12078" t="s">
        <v>12083</v>
      </c>
      <c r="C12078">
        <f>HYPERLINK("C:\Users\franc\OneDrive\Documentos\MALENTIN KARIME\BANCO ESTADO\2012 DEPTO ESCRITURAS fata\NOTARIA 2009\MANDATOS BANCOS 2009\JOSE ARAYA A LORENA GUERRERO  (CTA. CTE.).doc", "Abrir Documento")</f>
        <v>0</v>
      </c>
      <c r="D12078" t="s">
        <v>23500</v>
      </c>
      <c r="E12078" t="s">
        <v>34553</v>
      </c>
    </row>
    <row r="12079" spans="1:5">
      <c r="A12079" t="s">
        <v>6</v>
      </c>
      <c r="B12079" t="s">
        <v>12084</v>
      </c>
      <c r="C12079">
        <f>HYPERLINK("C:\Users\franc\OneDrive\Documentos\MALENTIN KARIME\BANCO ESTADO\2012 DEPTO ESCRITURAS fata\NOTARIA 2009\MANDATOS BANCOS 2009\BERNARDO ARAYA A NOLVIA VILLAR (CTA. CTE.).doc", "Abrir Documento")</f>
        <v>0</v>
      </c>
      <c r="D12079" t="s">
        <v>23500</v>
      </c>
      <c r="E12079" t="s">
        <v>34554</v>
      </c>
    </row>
    <row r="12080" spans="1:5">
      <c r="A12080" t="s">
        <v>6</v>
      </c>
      <c r="B12080" t="s">
        <v>12085</v>
      </c>
      <c r="C12080">
        <f>HYPERLINK("C:\Users\franc\OneDrive\Documentos\MALENTIN KARIME\BANCO ESTADO\2012 DEPTO ESCRITURAS fata\NOTARIA 2009\MANDATOS BANCO\VERONICA ROJAS A JUAN ACUÑA.doc", "Abrir Documento")</f>
        <v>0</v>
      </c>
      <c r="D12080" t="s">
        <v>23500</v>
      </c>
      <c r="E12080" t="s">
        <v>34555</v>
      </c>
    </row>
    <row r="12081" spans="1:5">
      <c r="A12081" t="s">
        <v>6</v>
      </c>
      <c r="B12081" t="s">
        <v>12086</v>
      </c>
      <c r="C12081">
        <f>HYPERLINK("C:\Users\franc\OneDrive\Documentos\MALENTIN KARIME\BANCO ESTADO\2012 DEPTO ESCRITURAS fata\NOTARIA 2009\MANDATOS BANCO\SUCESION VEGA VEGA (posesion efectiva).doc", "Abrir Documento")</f>
        <v>0</v>
      </c>
      <c r="D12081" t="s">
        <v>23500</v>
      </c>
      <c r="E12081" t="s">
        <v>34556</v>
      </c>
    </row>
    <row r="12082" spans="1:5">
      <c r="A12082" t="s">
        <v>6</v>
      </c>
      <c r="B12082" t="s">
        <v>12087</v>
      </c>
      <c r="C12082">
        <f>HYPERLINK("C:\Users\franc\OneDrive\Documentos\MALENTIN KARIME\BANCO ESTADO\2012 DEPTO ESCRITURAS fata\NOTARIA 2009\MANDATOS BANCO\SOC. LAS TINAJAS EDITH PIZARRO.doc", "Abrir Documento")</f>
        <v>0</v>
      </c>
      <c r="D12082" t="s">
        <v>23500</v>
      </c>
      <c r="E12082" t="s">
        <v>34557</v>
      </c>
    </row>
    <row r="12083" spans="1:5">
      <c r="A12083" t="s">
        <v>6</v>
      </c>
      <c r="B12083" t="s">
        <v>12088</v>
      </c>
      <c r="C12083">
        <f>HYPERLINK("C:\Users\franc\OneDrive\Documentos\MALENTIN KARIME\BANCO ESTADO\2012 DEPTO ESCRITURAS fata\NOTARIA 2009\MANDATOS BANCO\RICARDO JOPIA EIRL.doc", "Abrir Documento")</f>
        <v>0</v>
      </c>
      <c r="D12083" t="s">
        <v>23500</v>
      </c>
      <c r="E12083" t="s">
        <v>34558</v>
      </c>
    </row>
    <row r="12084" spans="1:5">
      <c r="A12084" t="s">
        <v>6</v>
      </c>
      <c r="B12084" t="s">
        <v>12089</v>
      </c>
      <c r="C12084">
        <f>HYPERLINK("C:\Users\franc\OneDrive\Documentos\MALENTIN KARIME\BANCO ESTADO\2012 DEPTO ESCRITURAS fata\NOTARIA 2009\MANDATOS BANCO\GUILLERMO ORMEÑO A LORENZO ORMEÑÑO.doc", "Abrir Documento")</f>
        <v>0</v>
      </c>
      <c r="D12084" t="s">
        <v>23500</v>
      </c>
      <c r="E12084" t="s">
        <v>34559</v>
      </c>
    </row>
    <row r="12085" spans="1:5">
      <c r="A12085" t="s">
        <v>6</v>
      </c>
      <c r="B12085" t="s">
        <v>12090</v>
      </c>
      <c r="C12085">
        <f>HYPERLINK("C:\Users\franc\OneDrive\Documentos\MALENTIN KARIME\BANCO ESTADO\2012 DEPTO ESCRITURAS fata\NOTARIA 2009\MANDATOS BANCO\ESMERALDO VALDIVIA.doc", "Abrir Documento")</f>
        <v>0</v>
      </c>
      <c r="D12085" t="s">
        <v>23500</v>
      </c>
      <c r="E12085" t="s">
        <v>34560</v>
      </c>
    </row>
    <row r="12086" spans="1:5">
      <c r="A12086" t="s">
        <v>6</v>
      </c>
      <c r="B12086" t="s">
        <v>12091</v>
      </c>
      <c r="C12086">
        <f>HYPERLINK("C:\Users\franc\OneDrive\Documentos\MALENTIN KARIME\BANCO ESTADO\2012 DEPTO ESCRITURAS fata\NOTARIA 2009\MANDATOS BANCO\ESMERALDO VALDIVIA (solo bco. desarrollo).doc", "Abrir Documento")</f>
        <v>0</v>
      </c>
      <c r="D12086" t="s">
        <v>23500</v>
      </c>
      <c r="E12086" t="s">
        <v>34561</v>
      </c>
    </row>
    <row r="12087" spans="1:5">
      <c r="A12087" t="s">
        <v>6</v>
      </c>
      <c r="B12087" t="s">
        <v>12092</v>
      </c>
      <c r="C12087">
        <f>HYPERLINK("C:\Users\franc\OneDrive\Documentos\MALENTIN KARIME\BANCO ESTADO\2012 DEPTO ESCRITURAS fata\NOTARIA 2009\MANDATOS BANCO\ESMERALDO VALDIVIA (solo bco. CORPBANCA).doc", "Abrir Documento")</f>
        <v>0</v>
      </c>
      <c r="D12087" t="s">
        <v>23500</v>
      </c>
      <c r="E12087" t="s">
        <v>34562</v>
      </c>
    </row>
    <row r="12088" spans="1:5">
      <c r="A12088" t="s">
        <v>6</v>
      </c>
      <c r="B12088" t="s">
        <v>12093</v>
      </c>
      <c r="C12088">
        <f>HYPERLINK("C:\Users\franc\OneDrive\Documentos\MALENTIN KARIME\BANCO ESTADO\2012 DEPTO ESCRITURAS fata\NOTARIA 2009\MANDATOS BANCO\EDUARDO DIAZ A ANA ESPINOSA (BCO. CHILE Ch.doc", "Abrir Documento")</f>
        <v>0</v>
      </c>
      <c r="D12088" t="s">
        <v>23500</v>
      </c>
      <c r="E12088" t="s">
        <v>34563</v>
      </c>
    </row>
    <row r="12089" spans="1:5">
      <c r="A12089" t="s">
        <v>6</v>
      </c>
      <c r="B12089" t="s">
        <v>12094</v>
      </c>
      <c r="C12089">
        <f>HYPERLINK("C:\Users\franc\OneDrive\Documentos\MALENTIN KARIME\BANCO ESTADO\2012 DEPTO ESCRITURAS fata\NOTARIA 2009\MANDATOS BANCO\DORALIZA AGULERA (cta. cte).doc", "Abrir Documento")</f>
        <v>0</v>
      </c>
      <c r="D12089" t="s">
        <v>23500</v>
      </c>
      <c r="E12089" t="s">
        <v>34564</v>
      </c>
    </row>
    <row r="12090" spans="1:5">
      <c r="A12090" t="s">
        <v>6</v>
      </c>
      <c r="B12090" t="s">
        <v>12095</v>
      </c>
      <c r="C12090">
        <f>HYPERLINK("C:\Users\franc\OneDrive\Documentos\MALENTIN KARIME\BANCO ESTADO\2012 DEPTO ESCRITURAS fata\NOTARIA 2009\MANDATOS BANCO\DANIELA ASTORGA A ARACELY ASTORGA.doc", "Abrir Documento")</f>
        <v>0</v>
      </c>
      <c r="D12090" t="s">
        <v>23500</v>
      </c>
      <c r="E12090" t="s">
        <v>34565</v>
      </c>
    </row>
    <row r="12091" spans="1:5">
      <c r="A12091" t="s">
        <v>6</v>
      </c>
      <c r="B12091" t="s">
        <v>12096</v>
      </c>
      <c r="C12091">
        <f>HYPERLINK("C:\Users\franc\OneDrive\Documentos\MALENTIN KARIME\BANCO ESTADO\2012 DEPTO ESCRITURAS fata\NOTARIA 2009\MANDATOS BANCO\ARMANDO SALAMANCA.doc", "Abrir Documento")</f>
        <v>0</v>
      </c>
      <c r="D12091" t="s">
        <v>23500</v>
      </c>
      <c r="E12091" t="s">
        <v>34566</v>
      </c>
    </row>
    <row r="12092" spans="1:5">
      <c r="A12092" t="s">
        <v>6</v>
      </c>
      <c r="B12092" t="s">
        <v>12097</v>
      </c>
      <c r="C12092">
        <f>HYPERLINK("C:\Users\franc\OneDrive\Documentos\MALENTIN KARIME\BANCO ESTADO\2012 DEPTO ESCRITURAS fata\NOTARIA 2009\MANDATOS BANCO\ALEJANDRO ORTIZ A CINTHIA VILLEGAS.doc", "Abrir Documento")</f>
        <v>0</v>
      </c>
      <c r="D12092" t="s">
        <v>23500</v>
      </c>
      <c r="E12092" t="s">
        <v>34567</v>
      </c>
    </row>
    <row r="12093" spans="1:5">
      <c r="A12093" t="s">
        <v>6</v>
      </c>
      <c r="B12093" t="s">
        <v>12098</v>
      </c>
      <c r="C12093">
        <f>HYPERLINK("C:\Users\franc\OneDrive\Documentos\MALENTIN KARIME\BANCO ESTADO\2012 DEPTO ESCRITURAS fata\NOTARIA 2009\MANDATOS BANCO\AGROSERV. SAN CARLOS A JUAN PAZ CORTES.doc", "Abrir Documento")</f>
        <v>0</v>
      </c>
      <c r="D12093" t="s">
        <v>23500</v>
      </c>
      <c r="E12093" t="s">
        <v>34568</v>
      </c>
    </row>
    <row r="12094" spans="1:5">
      <c r="A12094" t="s">
        <v>6</v>
      </c>
      <c r="B12094" t="s">
        <v>12099</v>
      </c>
      <c r="C12094">
        <f>HYPERLINK("C:\Users\franc\OneDrive\Documentos\MALENTIN KARIME\BANCO ESTADO\2012 DEPTO ESCRITURAS fata\NOTARIA 2009\MANDATOS BANCO\AGROSERV. SAN CARLOS A Fernando Ramos.doc", "Abrir Documento")</f>
        <v>0</v>
      </c>
      <c r="D12094" t="s">
        <v>23500</v>
      </c>
      <c r="E12094" t="s">
        <v>34569</v>
      </c>
    </row>
    <row r="12095" spans="1:5">
      <c r="A12095" t="s">
        <v>6</v>
      </c>
      <c r="B12095" t="s">
        <v>12100</v>
      </c>
      <c r="C12095">
        <f>HYPERLINK("C:\Users\franc\OneDrive\Documentos\MALENTIN KARIME\BANCO ESTADO\2012 DEPTO ESCRITURAS fata\NOTARIA 2009\MANDATOS 2008\mandatos 2009\ZUNILDA ALFARO  Y ESPOSO A SU HERMANA (DERECHOS).doc", "Abrir Documento")</f>
        <v>0</v>
      </c>
      <c r="D12095" t="s">
        <v>23500</v>
      </c>
      <c r="E12095" t="s">
        <v>34570</v>
      </c>
    </row>
    <row r="12096" spans="1:5">
      <c r="A12096" t="s">
        <v>6</v>
      </c>
      <c r="B12096" t="s">
        <v>12101</v>
      </c>
      <c r="C12096">
        <f>HYPERLINK("C:\Users\franc\OneDrive\Documentos\MALENTIN KARIME\BANCO ESTADO\2012 DEPTO ESCRITURAS fata\NOTARIA 2009\MANDATOS 2008\mandatos 2009\SOCIEDAD RIO NEGRO LTDA. IGNACIO FLORES.doc", "Abrir Documento")</f>
        <v>0</v>
      </c>
      <c r="D12096" t="s">
        <v>23500</v>
      </c>
      <c r="E12096" t="s">
        <v>34571</v>
      </c>
    </row>
    <row r="12097" spans="1:5">
      <c r="A12097" t="s">
        <v>6</v>
      </c>
      <c r="B12097" t="s">
        <v>12102</v>
      </c>
      <c r="C12097">
        <f>HYPERLINK("C:\Users\franc\OneDrive\Documentos\MALENTIN KARIME\BANCO ESTADO\2012 DEPTO ESCRITURAS fata\NOTARIA 2009\MANDATOS 2008\mandatos 2009\SOCIEDAD RIO NEGRO A IGNACIO FLORES.doc", "Abrir Documento")</f>
        <v>0</v>
      </c>
      <c r="D12097" t="s">
        <v>23500</v>
      </c>
      <c r="E12097" t="s">
        <v>34572</v>
      </c>
    </row>
    <row r="12098" spans="1:5">
      <c r="A12098" t="s">
        <v>6</v>
      </c>
      <c r="B12098" t="s">
        <v>12103</v>
      </c>
      <c r="C12098">
        <f>HYPERLINK("C:\Users\franc\OneDrive\Documentos\MALENTIN KARIME\BANCO ESTADO\2012 DEPTO ESCRITURAS fata\NOTARIA 2009\MANDATOS 2008\mandatos 2009\SOC. PEDREGAL A MARIA PIERA CHACON.doc", "Abrir Documento")</f>
        <v>0</v>
      </c>
      <c r="D12098" t="s">
        <v>23500</v>
      </c>
      <c r="E12098" t="s">
        <v>34573</v>
      </c>
    </row>
    <row r="12099" spans="1:5">
      <c r="A12099" t="s">
        <v>6</v>
      </c>
      <c r="B12099" t="s">
        <v>12104</v>
      </c>
      <c r="C12099">
        <f>HYPERLINK("C:\Users\franc\OneDrive\Documentos\MALENTIN KARIME\BANCO ESTADO\2012 DEPTO ESCRITURAS fata\NOTARIA 2009\MANDATOS 2008\mandatos 2009\SOC. ESPINOZA JEREZ A LUDY JEREZ.doc", "Abrir Documento")</f>
        <v>0</v>
      </c>
      <c r="D12099" t="s">
        <v>23500</v>
      </c>
      <c r="E12099" t="s">
        <v>34574</v>
      </c>
    </row>
    <row r="12100" spans="1:5">
      <c r="A12100" t="s">
        <v>6</v>
      </c>
      <c r="B12100" t="s">
        <v>12105</v>
      </c>
      <c r="C12100">
        <f>HYPERLINK("C:\Users\franc\OneDrive\Documentos\MALENTIN KARIME\BANCO ESTADO\2012 DEPTO ESCRITURAS fata\NOTARIA 2009\MANDATOS 2008\mandatos 2009\SLM LOS MANTOS DE LA CORTADERA A CESAR FLORES Y OTRO (DON FERNANDO).doc", "Abrir Documento")</f>
        <v>0</v>
      </c>
      <c r="D12100" t="s">
        <v>23500</v>
      </c>
      <c r="E12100" t="s">
        <v>34575</v>
      </c>
    </row>
    <row r="12101" spans="1:5">
      <c r="A12101" t="s">
        <v>6</v>
      </c>
      <c r="B12101" t="s">
        <v>12106</v>
      </c>
      <c r="C12101">
        <f>HYPERLINK("C:\Users\franc\OneDrive\Documentos\MALENTIN KARIME\BANCO ESTADO\2012 DEPTO ESCRITURAS fata\NOTARIA 2009\MANDATOS 2008\mandatos 2009\SLM DE JUAN SALINAS A SU HNO Panulcillo.doc", "Abrir Documento")</f>
        <v>0</v>
      </c>
      <c r="D12101" t="s">
        <v>23500</v>
      </c>
      <c r="E12101" t="s">
        <v>34576</v>
      </c>
    </row>
    <row r="12102" spans="1:5">
      <c r="A12102" t="s">
        <v>6</v>
      </c>
      <c r="B12102" t="s">
        <v>12107</v>
      </c>
      <c r="C12102">
        <f>HYPERLINK("C:\Users\franc\OneDrive\Documentos\MALENTIN KARIME\BANCO ESTADO\2012 DEPTO ESCRITURAS fata\NOTARIA 2009\MANDATOS 2008\mandatos 2009\PEDRO MUÑIZ A OLGA LOPEHANDIA.doc", "Abrir Documento")</f>
        <v>0</v>
      </c>
      <c r="D12102" t="s">
        <v>23500</v>
      </c>
      <c r="E12102" t="s">
        <v>34577</v>
      </c>
    </row>
    <row r="12103" spans="1:5">
      <c r="A12103" t="s">
        <v>6</v>
      </c>
      <c r="B12103" t="s">
        <v>12108</v>
      </c>
      <c r="C12103">
        <f>HYPERLINK("C:\Users\franc\OneDrive\Documentos\MALENTIN KARIME\BANCO ESTADO\2012 DEPTO ESCRITURAS fata\NOTARIA 2009\MANDATOS 2008\mandatos 2009\PAULINA GALVEZ A SU HIJO ( PROMESA DE COMPRAVENTA.doc", "Abrir Documento")</f>
        <v>0</v>
      </c>
      <c r="D12103" t="s">
        <v>23500</v>
      </c>
      <c r="E12103" t="s">
        <v>34578</v>
      </c>
    </row>
    <row r="12104" spans="1:5">
      <c r="A12104" t="s">
        <v>6</v>
      </c>
      <c r="B12104" t="s">
        <v>12109</v>
      </c>
      <c r="C12104">
        <f>HYPERLINK("C:\Users\franc\OneDrive\Documentos\MALENTIN KARIME\BANCO ESTADO\2012 DEPTO ESCRITURAS fata\NOTARIA 2009\MANDATOS 2008\mandatos 2009\PATRICIO CONTRERAS A MYRIAM HENRIQUEZ.doc", "Abrir Documento")</f>
        <v>0</v>
      </c>
      <c r="D12104" t="s">
        <v>23500</v>
      </c>
      <c r="E12104" t="s">
        <v>34579</v>
      </c>
    </row>
    <row r="12105" spans="1:5">
      <c r="A12105" t="s">
        <v>6</v>
      </c>
      <c r="B12105" t="s">
        <v>12110</v>
      </c>
      <c r="C12105">
        <f>HYPERLINK("C:\Users\franc\OneDrive\Documentos\MALENTIN KARIME\BANCO ESTADO\2012 DEPTO ESCRITURAS fata\NOTARIA 2009\MANDATOS 2008\mandatos 2009\PATRICIO CONTRERAS A MYRIAM HENRIQUEZ (2).doc", "Abrir Documento")</f>
        <v>0</v>
      </c>
      <c r="D12105" t="s">
        <v>23500</v>
      </c>
      <c r="E12105" t="s">
        <v>34580</v>
      </c>
    </row>
    <row r="12106" spans="1:5">
      <c r="A12106" t="s">
        <v>6</v>
      </c>
      <c r="B12106" t="s">
        <v>12111</v>
      </c>
      <c r="C12106">
        <f>HYPERLINK("C:\Users\franc\OneDrive\Documentos\MALENTIN KARIME\BANCO ESTADO\2012 DEPTO ESCRITURAS fata\NOTARIA 2009\MANDATOS 2008\mandatos 2009\PATRICIO ARAYA A HECTOR TRUJILLO (VENTA MINAS).doc", "Abrir Documento")</f>
        <v>0</v>
      </c>
      <c r="D12106" t="s">
        <v>23500</v>
      </c>
      <c r="E12106" t="s">
        <v>34581</v>
      </c>
    </row>
    <row r="12107" spans="1:5">
      <c r="A12107" t="s">
        <v>6</v>
      </c>
      <c r="B12107" t="s">
        <v>12112</v>
      </c>
      <c r="C12107">
        <f>HYPERLINK("C:\Users\franc\OneDrive\Documentos\MALENTIN KARIME\BANCO ESTADO\2012 DEPTO ESCRITURAS fata\NOTARIA 2009\MANDATOS 2008\mandatos 2009\modelo venta minas.doc", "Abrir Documento")</f>
        <v>0</v>
      </c>
      <c r="D12107" t="s">
        <v>23500</v>
      </c>
      <c r="E12107" t="s">
        <v>34582</v>
      </c>
    </row>
    <row r="12108" spans="1:5">
      <c r="A12108" t="s">
        <v>6</v>
      </c>
      <c r="B12108" t="s">
        <v>12113</v>
      </c>
      <c r="C12108">
        <f>HYPERLINK("C:\Users\franc\OneDrive\Documentos\MALENTIN KARIME\BANCO ESTADO\2012 DEPTO ESCRITURAS fata\NOTARIA 2009\MANDATOS 2008\mandatos 2009\MARLENE COLLAO A HECTOR MEDALLA (CONYUGES).doc", "Abrir Documento")</f>
        <v>0</v>
      </c>
      <c r="D12108" t="s">
        <v>23500</v>
      </c>
      <c r="E12108" t="s">
        <v>34583</v>
      </c>
    </row>
    <row r="12109" spans="1:5">
      <c r="A12109" t="s">
        <v>6</v>
      </c>
      <c r="B12109" t="s">
        <v>12114</v>
      </c>
      <c r="C12109">
        <f>HYPERLINK("C:\Users\franc\OneDrive\Documentos\MALENTIN KARIME\BANCO ESTADO\2012 DEPTO ESCRITURAS fata\NOTARIA 2009\MANDATOS 2008\mandatos 2009\MARIA RAMIREZ A MARIO RAMIREZ (ESPECIAL).doc", "Abrir Documento")</f>
        <v>0</v>
      </c>
      <c r="D12109" t="s">
        <v>23500</v>
      </c>
      <c r="E12109" t="s">
        <v>34584</v>
      </c>
    </row>
    <row r="12110" spans="1:5">
      <c r="A12110" t="s">
        <v>6</v>
      </c>
      <c r="B12110" t="s">
        <v>12115</v>
      </c>
      <c r="C12110">
        <f>HYPERLINK("C:\Users\franc\OneDrive\Documentos\MALENTIN KARIME\BANCO ESTADO\2012 DEPTO ESCRITURAS fata\NOTARIA 2009\MANDATOS 2008\mandatos 2009\LUIS ARAYA A LUCY ARAYA  (DERECHOS).doc", "Abrir Documento")</f>
        <v>0</v>
      </c>
      <c r="D12110" t="s">
        <v>23500</v>
      </c>
      <c r="E12110" t="s">
        <v>34585</v>
      </c>
    </row>
    <row r="12111" spans="1:5">
      <c r="A12111" t="s">
        <v>6</v>
      </c>
      <c r="B12111" t="s">
        <v>12116</v>
      </c>
      <c r="C12111">
        <f>HYPERLINK("C:\Users\franc\OneDrive\Documentos\MALENTIN KARIME\BANCO ESTADO\2012 DEPTO ESCRITURAS fata\NOTARIA 2009\MANDATOS 2008\mandatos 2009\LILIAN MABEL  Y ESPOSO A SU HERMANA (DERECHOS).doc", "Abrir Documento")</f>
        <v>0</v>
      </c>
      <c r="D12111" t="s">
        <v>23500</v>
      </c>
      <c r="E12111" t="s">
        <v>34586</v>
      </c>
    </row>
    <row r="12112" spans="1:5">
      <c r="A12112" t="s">
        <v>6</v>
      </c>
      <c r="B12112" t="s">
        <v>12117</v>
      </c>
      <c r="C12112">
        <f>HYPERLINK("C:\Users\franc\OneDrive\Documentos\MALENTIN KARIME\BANCO ESTADO\2012 DEPTO ESCRITURAS fata\NOTARIA 2009\MANDATOS 2008\mandatos 2009\JUAN PUJADO A SU MAMA  (DERECHOS).doc", "Abrir Documento")</f>
        <v>0</v>
      </c>
      <c r="D12112" t="s">
        <v>23500</v>
      </c>
      <c r="E12112" t="s">
        <v>34587</v>
      </c>
    </row>
    <row r="12113" spans="1:5">
      <c r="A12113" t="s">
        <v>6</v>
      </c>
      <c r="B12113" t="s">
        <v>12118</v>
      </c>
      <c r="C12113">
        <f>HYPERLINK("C:\Users\franc\OneDrive\Documentos\MALENTIN KARIME\BANCO ESTADO\2012 DEPTO ESCRITURAS fata\NOTARIA 2009\MANDATOS 2008\mandatos 2009\HUGO CORTES A ANA GARCIA (COBRO VALE VISTA).doc", "Abrir Documento")</f>
        <v>0</v>
      </c>
      <c r="D12113" t="s">
        <v>23500</v>
      </c>
      <c r="E12113" t="s">
        <v>34588</v>
      </c>
    </row>
    <row r="12114" spans="1:5">
      <c r="A12114" t="s">
        <v>6</v>
      </c>
      <c r="B12114" t="s">
        <v>12119</v>
      </c>
      <c r="C12114">
        <f>HYPERLINK("C:\Users\franc\OneDrive\Documentos\MALENTIN KARIME\BANCO ESTADO\2012 DEPTO ESCRITURAS fata\NOTARIA 2009\MANDATOS 2008\mandatos 2009\HERMINDA MENESES (AUTOR. Y RAT.doc", "Abrir Documento")</f>
        <v>0</v>
      </c>
      <c r="D12114" t="s">
        <v>23500</v>
      </c>
      <c r="E12114" t="s">
        <v>34589</v>
      </c>
    </row>
    <row r="12115" spans="1:5">
      <c r="A12115" t="s">
        <v>6</v>
      </c>
      <c r="B12115" t="s">
        <v>12120</v>
      </c>
      <c r="C12115">
        <f>HYPERLINK("C:\Users\franc\OneDrive\Documentos\MALENTIN KARIME\BANCO ESTADO\2012 DEPTO ESCRITURAS fata\NOTARIA 2009\MANDATOS 2008\mandatos 2009\GRACIELA MALUENDA (AUT. CONYUGE) A NANCY CORTES.doc", "Abrir Documento")</f>
        <v>0</v>
      </c>
      <c r="D12115" t="s">
        <v>23500</v>
      </c>
      <c r="E12115" t="s">
        <v>34590</v>
      </c>
    </row>
    <row r="12116" spans="1:5">
      <c r="A12116" t="s">
        <v>6</v>
      </c>
      <c r="B12116" t="s">
        <v>12121</v>
      </c>
      <c r="C12116">
        <f>HYPERLINK("C:\Users\franc\OneDrive\Documentos\MALENTIN KARIME\BANCO ESTADO\2012 DEPTO ESCRITURAS fata\NOTARIA 2009\MANDATOS 2008\mandatos 2009\FRANCISCO GONZALEZ DEL RIO A SU HNO.doc", "Abrir Documento")</f>
        <v>0</v>
      </c>
      <c r="D12116" t="s">
        <v>23500</v>
      </c>
      <c r="E12116" t="s">
        <v>34591</v>
      </c>
    </row>
    <row r="12117" spans="1:5">
      <c r="A12117" t="s">
        <v>6</v>
      </c>
      <c r="B12117" t="s">
        <v>12122</v>
      </c>
      <c r="C12117">
        <f>HYPERLINK("C:\Users\franc\OneDrive\Documentos\MALENTIN KARIME\BANCO ESTADO\2012 DEPTO ESCRITURAS fata\NOTARIA 2009\MANDATOS 2008\mandatos 2009\ERNESTO CAQUEO A SU HERMANA (DERECHOS).doc", "Abrir Documento")</f>
        <v>0</v>
      </c>
      <c r="D12117" t="s">
        <v>23500</v>
      </c>
      <c r="E12117" t="s">
        <v>34592</v>
      </c>
    </row>
    <row r="12118" spans="1:5">
      <c r="A12118" t="s">
        <v>6</v>
      </c>
      <c r="B12118" t="s">
        <v>12123</v>
      </c>
      <c r="C12118">
        <f>HYPERLINK("C:\Users\franc\OneDrive\Documentos\MALENTIN KARIME\BANCO ESTADO\2012 DEPTO ESCRITURAS fata\NOTARIA 2009\MANDATOS 2008\mandatos 2009\eliana cortes a cristian ardiles.doc", "Abrir Documento")</f>
        <v>0</v>
      </c>
      <c r="D12118" t="s">
        <v>23500</v>
      </c>
      <c r="E12118" t="s">
        <v>34593</v>
      </c>
    </row>
    <row r="12119" spans="1:5">
      <c r="A12119" t="s">
        <v>6</v>
      </c>
      <c r="B12119" t="s">
        <v>12124</v>
      </c>
      <c r="C12119">
        <f>HYPERLINK("C:\Users\franc\OneDrive\Documentos\MALENTIN KARIME\BANCO ESTADO\2012 DEPTO ESCRITURAS fata\NOTARIA 2009\MANDATOS 2008\mandatos 2009\EBRIDIQUE JARAMILLO  Y ESPOSO A SU HERMANA (DERECHOS).doc", "Abrir Documento")</f>
        <v>0</v>
      </c>
      <c r="D12119" t="s">
        <v>23500</v>
      </c>
      <c r="E12119" t="s">
        <v>34594</v>
      </c>
    </row>
    <row r="12120" spans="1:5">
      <c r="A12120" t="s">
        <v>6</v>
      </c>
      <c r="B12120" t="s">
        <v>12125</v>
      </c>
      <c r="C12120">
        <f>HYPERLINK("C:\Users\franc\OneDrive\Documentos\MALENTIN KARIME\BANCO ESTADO\2012 DEPTO ESCRITURAS fata\NOTARIA 2009\MANDATOS 2008\mandatos 2009\CRISTIAN GUZMAN A MARIA PIA GUZMAN.doc", "Abrir Documento")</f>
        <v>0</v>
      </c>
      <c r="D12120" t="s">
        <v>23500</v>
      </c>
      <c r="E12120" t="s">
        <v>34595</v>
      </c>
    </row>
    <row r="12121" spans="1:5">
      <c r="A12121" t="s">
        <v>6</v>
      </c>
      <c r="B12121" t="s">
        <v>12126</v>
      </c>
      <c r="C12121">
        <f>HYPERLINK("C:\Users\franc\OneDrive\Documentos\MALENTIN KARIME\BANCO ESTADO\2012 DEPTO ESCRITURAS fata\NOTARIA 2009\MANDATOS 2008\mandatos 2009\CARLOS RAFAEL GONZALEZ DEL RIO A SU HNO.doc", "Abrir Documento")</f>
        <v>0</v>
      </c>
      <c r="D12121" t="s">
        <v>23500</v>
      </c>
      <c r="E12121" t="s">
        <v>34596</v>
      </c>
    </row>
    <row r="12122" spans="1:5">
      <c r="A12122" t="s">
        <v>6</v>
      </c>
      <c r="B12122" t="s">
        <v>12127</v>
      </c>
      <c r="C12122">
        <f>HYPERLINK("C:\Users\franc\OneDrive\Documentos\MALENTIN KARIME\BANCO ESTADO\2012 DEPTO ESCRITURAS fata\NOTARIA 2009\MANDATOS 2008\mandatos 2009\ALICIA CASTILLO A SU MAMA AUT. CONYUGE (DERECHOS).doc", "Abrir Documento")</f>
        <v>0</v>
      </c>
      <c r="D12122" t="s">
        <v>23500</v>
      </c>
      <c r="E12122" t="s">
        <v>34597</v>
      </c>
    </row>
    <row r="12123" spans="1:5">
      <c r="A12123" t="s">
        <v>6</v>
      </c>
      <c r="B12123" t="s">
        <v>12128</v>
      </c>
      <c r="C12123">
        <f>HYPERLINK("C:\Users\franc\OneDrive\Documentos\MALENTIN KARIME\BANCO ESTADO\2012 DEPTO ESCRITURAS fata\NOTARIA 2009\MANDATOS 2008\mandatos 2009\AGUILERA BUSTAMANTE Y CIA..doc", "Abrir Documento")</f>
        <v>0</v>
      </c>
      <c r="D12123" t="s">
        <v>23500</v>
      </c>
      <c r="E12123" t="s">
        <v>34598</v>
      </c>
    </row>
    <row r="12124" spans="1:5">
      <c r="A12124" t="s">
        <v>6</v>
      </c>
      <c r="B12124" t="s">
        <v>12129</v>
      </c>
      <c r="C12124">
        <f>HYPERLINK("C:\Users\franc\OneDrive\Documentos\MALENTIN KARIME\BANCO ESTADO\2012 DEPTO ESCRITURAS fata\NOTARIA 2009\MANDATOS 2008\VICTOR PIÑONES A SU HIJO (ESPECIALo.doc", "Abrir Documento")</f>
        <v>0</v>
      </c>
      <c r="D12124" t="s">
        <v>23500</v>
      </c>
      <c r="E12124" t="s">
        <v>34599</v>
      </c>
    </row>
    <row r="12125" spans="1:5">
      <c r="A12125" t="s">
        <v>6</v>
      </c>
      <c r="B12125" t="s">
        <v>12130</v>
      </c>
      <c r="C12125">
        <f>HYPERLINK("C:\Users\franc\OneDrive\Documentos\MALENTIN KARIME\BANCO ESTADO\2012 DEPTO ESCRITURAS fata\NOTARIA 2009\MANDATOS 2008\TIO LINO  (VENDER CONYUGE).doc", "Abrir Documento")</f>
        <v>0</v>
      </c>
      <c r="D12125" t="s">
        <v>23500</v>
      </c>
      <c r="E12125" t="s">
        <v>34600</v>
      </c>
    </row>
    <row r="12126" spans="1:5">
      <c r="A12126" t="s">
        <v>6</v>
      </c>
      <c r="B12126" t="s">
        <v>12131</v>
      </c>
      <c r="C12126">
        <f>HYPERLINK("C:\Users\franc\OneDrive\Documentos\MALENTIN KARIME\BANCO ESTADO\2012 DEPTO ESCRITURAS fata\NOTARIA 2009\MANDATOS 2008\SONIA CAMPOSANO (ELECCION MUNICIPAL).doc", "Abrir Documento")</f>
        <v>0</v>
      </c>
      <c r="D12126" t="s">
        <v>23500</v>
      </c>
      <c r="E12126" t="s">
        <v>34601</v>
      </c>
    </row>
    <row r="12127" spans="1:5">
      <c r="A12127" t="s">
        <v>6</v>
      </c>
      <c r="B12127" t="s">
        <v>12132</v>
      </c>
      <c r="C12127">
        <f>HYPERLINK("C:\Users\franc\OneDrive\Documentos\MALENTIN KARIME\BANCO ESTADO\2012 DEPTO ESCRITURAS fata\NOTARIA 2009\MANDATOS 2008\RODRIGO TORRES A ULISES ROJAS (VENTA=.doc", "Abrir Documento")</f>
        <v>0</v>
      </c>
      <c r="D12127" t="s">
        <v>23500</v>
      </c>
      <c r="E12127" t="s">
        <v>34602</v>
      </c>
    </row>
    <row r="12128" spans="1:5">
      <c r="A12128" t="s">
        <v>6</v>
      </c>
      <c r="B12128" t="s">
        <v>12133</v>
      </c>
      <c r="C12128">
        <f>HYPERLINK("C:\Users\franc\OneDrive\Documentos\MALENTIN KARIME\BANCO ESTADO\2012 DEPTO ESCRITURAS fata\NOTARIA 2009\MANDATOS 2008\RICARDO VEGA A MARCIAL (PAPA).doc", "Abrir Documento")</f>
        <v>0</v>
      </c>
      <c r="D12128" t="s">
        <v>23500</v>
      </c>
      <c r="E12128" t="s">
        <v>34603</v>
      </c>
    </row>
    <row r="12129" spans="1:5">
      <c r="A12129" t="s">
        <v>6</v>
      </c>
      <c r="B12129" t="s">
        <v>12134</v>
      </c>
      <c r="C12129">
        <f>HYPERLINK("C:\Users\franc\OneDrive\Documentos\MALENTIN KARIME\BANCO ESTADO\2012 DEPTO ESCRITURAS fata\NOTARIA 2009\MANDATOS 2008\PABLO RODRIGUEZ (ADMINISTRACION).doc", "Abrir Documento")</f>
        <v>0</v>
      </c>
      <c r="D12129" t="s">
        <v>23500</v>
      </c>
      <c r="E12129" t="s">
        <v>34604</v>
      </c>
    </row>
    <row r="12130" spans="1:5">
      <c r="A12130" t="s">
        <v>6</v>
      </c>
      <c r="B12130" t="s">
        <v>12135</v>
      </c>
      <c r="C12130">
        <f>HYPERLINK("C:\Users\franc\OneDrive\Documentos\MALENTIN KARIME\BANCO ESTADO\2012 DEPTO ESCRITURAS fata\NOTARIA 2009\MANDATOS 2008\MONICA ROJAS A PEDRO CAMPUSANO (REFINANCIAMIENTO).doc", "Abrir Documento")</f>
        <v>0</v>
      </c>
      <c r="D12130" t="s">
        <v>23500</v>
      </c>
      <c r="E12130" t="s">
        <v>34605</v>
      </c>
    </row>
    <row r="12131" spans="1:5">
      <c r="A12131" t="s">
        <v>6</v>
      </c>
      <c r="B12131" t="s">
        <v>12136</v>
      </c>
      <c r="C12131">
        <f>HYPERLINK("C:\Users\franc\OneDrive\Documentos\MALENTIN KARIME\BANCO ESTADO\2012 DEPTO ESCRITURAS fata\NOTARIA 2009\MANDATOS 2008\modelo venta derechos con conyuge (DERECHOS).doc", "Abrir Documento")</f>
        <v>0</v>
      </c>
      <c r="D12131" t="s">
        <v>23500</v>
      </c>
      <c r="E12131" t="s">
        <v>34606</v>
      </c>
    </row>
    <row r="12132" spans="1:5">
      <c r="A12132" t="s">
        <v>6</v>
      </c>
      <c r="B12132" t="s">
        <v>12137</v>
      </c>
      <c r="C12132">
        <f>HYPERLINK("C:\Users\franc\OneDrive\Documentos\MALENTIN KARIME\BANCO ESTADO\2012 DEPTO ESCRITURAS fata\NOTARIA 2009\MANDATOS 2008\MODELO PROMESA.doc", "Abrir Documento")</f>
        <v>0</v>
      </c>
      <c r="D12132" t="s">
        <v>23500</v>
      </c>
      <c r="E12132" t="s">
        <v>34607</v>
      </c>
    </row>
    <row r="12133" spans="1:5">
      <c r="A12133" t="s">
        <v>6</v>
      </c>
      <c r="B12133" t="s">
        <v>12138</v>
      </c>
      <c r="C12133">
        <f>HYPERLINK("C:\Users\franc\OneDrive\Documentos\MALENTIN KARIME\BANCO ESTADO\2012 DEPTO ESCRITURAS fata\NOTARIA 2009\MANDATOS 2008\MODELO PROMESA DE COMPRAVENTA con modificaciones.doc", "Abrir Documento")</f>
        <v>0</v>
      </c>
      <c r="D12133" t="s">
        <v>23500</v>
      </c>
      <c r="E12133" t="s">
        <v>34608</v>
      </c>
    </row>
    <row r="12134" spans="1:5">
      <c r="A12134" t="s">
        <v>6</v>
      </c>
      <c r="B12134" t="s">
        <v>12139</v>
      </c>
      <c r="C12134">
        <f>HYPERLINK("C:\Users\franc\OneDrive\Documentos\MALENTIN KARIME\BANCO ESTADO\2012 DEPTO ESCRITURAS fata\NOTARIA 2009\MANDATOS 2008\MODELO p.cvta. SRA. ANA LUISA. ESTE SI.doc", "Abrir Documento")</f>
        <v>0</v>
      </c>
      <c r="D12134" t="s">
        <v>23500</v>
      </c>
      <c r="E12134" t="s">
        <v>34609</v>
      </c>
    </row>
    <row r="12135" spans="1:5">
      <c r="A12135" t="s">
        <v>6</v>
      </c>
      <c r="B12135" t="s">
        <v>12140</v>
      </c>
      <c r="C12135">
        <f>HYPERLINK("C:\Users\franc\OneDrive\Documentos\MALENTIN KARIME\BANCO ESTADO\2012 DEPTO ESCRITURAS fata\NOTARIA 2009\MANDATOS 2008\MIGUEL ARAYA A TERESA SOLAR CON CONYUGE (DERECHOS).doc", "Abrir Documento")</f>
        <v>0</v>
      </c>
      <c r="D12135" t="s">
        <v>23500</v>
      </c>
      <c r="E12135" t="s">
        <v>34610</v>
      </c>
    </row>
    <row r="12136" spans="1:5">
      <c r="A12136" t="s">
        <v>6</v>
      </c>
      <c r="B12136" t="s">
        <v>12141</v>
      </c>
      <c r="C12136">
        <f>HYPERLINK("C:\Users\franc\OneDrive\Documentos\MALENTIN KARIME\BANCO ESTADO\2012 DEPTO ESCRITURAS fata\NOTARIA 2009\MANDATOS 2008\MARJORIE ASTUDILLO A CESAR FLORES.doc", "Abrir Documento")</f>
        <v>0</v>
      </c>
      <c r="D12136" t="s">
        <v>23500</v>
      </c>
      <c r="E12136" t="s">
        <v>34611</v>
      </c>
    </row>
    <row r="12137" spans="1:5">
      <c r="A12137" t="s">
        <v>6</v>
      </c>
      <c r="B12137" t="s">
        <v>12142</v>
      </c>
      <c r="C12137">
        <f>HYPERLINK("C:\Users\franc\OneDrive\Documentos\MALENTIN KARIME\BANCO ESTADO\2012 DEPTO ESCRITURAS fata\NOTARIA 2009\MANDATOS 2008\MANUEL GALLARDO Y OTRO A SU HNO.  (VENTA=.doc", "Abrir Documento")</f>
        <v>0</v>
      </c>
      <c r="D12137" t="s">
        <v>23500</v>
      </c>
      <c r="E12137" t="s">
        <v>34612</v>
      </c>
    </row>
    <row r="12138" spans="1:5">
      <c r="A12138" t="s">
        <v>6</v>
      </c>
      <c r="B12138" t="s">
        <v>12143</v>
      </c>
      <c r="C12138">
        <f>HYPERLINK("C:\Users\franc\OneDrive\Documentos\MALENTIN KARIME\BANCO ESTADO\2012 DEPTO ESCRITURAS fata\NOTARIA 2009\MANDATOS 2008\MANDATO_ESPECIAL_DEFINITIVO[1].doc", "Abrir Documento")</f>
        <v>0</v>
      </c>
      <c r="D12138" t="s">
        <v>23500</v>
      </c>
      <c r="E12138" t="s">
        <v>34613</v>
      </c>
    </row>
    <row r="12139" spans="1:5">
      <c r="A12139" t="s">
        <v>6</v>
      </c>
      <c r="B12139" t="s">
        <v>12144</v>
      </c>
      <c r="C12139">
        <f>HYPERLINK("C:\Users\franc\OneDrive\Documentos\MALENTIN KARIME\BANCO ESTADO\2012 DEPTO ESCRITURAS fata\NOTARIA 2009\MANDATOS 2008\LUCIA OLIVARES A LUIS TIRADO (SII).doc", "Abrir Documento")</f>
        <v>0</v>
      </c>
      <c r="D12139" t="s">
        <v>23500</v>
      </c>
      <c r="E12139" t="s">
        <v>34614</v>
      </c>
    </row>
    <row r="12140" spans="1:5">
      <c r="A12140" t="s">
        <v>6</v>
      </c>
      <c r="B12140" t="s">
        <v>12145</v>
      </c>
      <c r="C12140">
        <f>HYPERLINK("C:\Users\franc\OneDrive\Documentos\MALENTIN KARIME\BANCO ESTADO\2012 DEPTO ESCRITURAS fata\NOTARIA 2009\MANDATOS 2008\JUAN CHEPILLO A ROXANA RAMIREZ (TERESA DABED).doc", "Abrir Documento")</f>
        <v>0</v>
      </c>
      <c r="D12140" t="s">
        <v>23500</v>
      </c>
      <c r="E12140" t="s">
        <v>34615</v>
      </c>
    </row>
    <row r="12141" spans="1:5">
      <c r="A12141" t="s">
        <v>6</v>
      </c>
      <c r="B12141" t="s">
        <v>12146</v>
      </c>
      <c r="C12141">
        <f>HYPERLINK("C:\Users\franc\OneDrive\Documentos\MALENTIN KARIME\BANCO ESTADO\2012 DEPTO ESCRITURAS fata\NOTARIA 2009\MANDATOS 2008\JORGE DIAZ A SU HIJO (PISCO CONTROL).doc", "Abrir Documento")</f>
        <v>0</v>
      </c>
      <c r="D12141" t="s">
        <v>23500</v>
      </c>
      <c r="E12141" t="s">
        <v>34616</v>
      </c>
    </row>
    <row r="12142" spans="1:5">
      <c r="A12142" t="s">
        <v>6</v>
      </c>
      <c r="B12142" t="s">
        <v>12147</v>
      </c>
      <c r="C12142">
        <f>HYPERLINK("C:\Users\franc\OneDrive\Documentos\MALENTIN KARIME\BANCO ESTADO\2012 DEPTO ESCRITURAS fata\NOTARIA 2009\MANDATOS 2008\JACQUELINE COUDRAY Y HNOS..doc", "Abrir Documento")</f>
        <v>0</v>
      </c>
      <c r="D12142" t="s">
        <v>23500</v>
      </c>
      <c r="E12142" t="s">
        <v>34617</v>
      </c>
    </row>
    <row r="12143" spans="1:5">
      <c r="A12143" t="s">
        <v>6</v>
      </c>
      <c r="B12143" t="s">
        <v>12148</v>
      </c>
      <c r="C12143">
        <f>HYPERLINK("C:\Users\franc\OneDrive\Documentos\MALENTIN KARIME\BANCO ESTADO\2012 DEPTO ESCRITURAS fata\NOTARIA 2009\MANDATOS 2008\HNOS MILLAHUALA A ALVARO MILLAHUALA.doc", "Abrir Documento")</f>
        <v>0</v>
      </c>
      <c r="D12143" t="s">
        <v>23500</v>
      </c>
      <c r="E12143" t="s">
        <v>34618</v>
      </c>
    </row>
    <row r="12144" spans="1:5">
      <c r="A12144" t="s">
        <v>6</v>
      </c>
      <c r="B12144" t="s">
        <v>12149</v>
      </c>
      <c r="C12144">
        <f>HYPERLINK("C:\Users\franc\OneDrive\Documentos\MALENTIN KARIME\BANCO ESTADO\2012 DEPTO ESCRITURAS fata\NOTARIA 2009\MANDATOS 2008\GUMERCINDA ARAYA A ROSA ARAYA (Administración).doc", "Abrir Documento")</f>
        <v>0</v>
      </c>
      <c r="D12144" t="s">
        <v>23500</v>
      </c>
      <c r="E12144" t="s">
        <v>34619</v>
      </c>
    </row>
    <row r="12145" spans="1:5">
      <c r="A12145" t="s">
        <v>6</v>
      </c>
      <c r="B12145" t="s">
        <v>12150</v>
      </c>
      <c r="C12145">
        <f>HYPERLINK("C:\Users\franc\OneDrive\Documentos\MALENTIN KARIME\BANCO ESTADO\2012 DEPTO ESCRITURAS fata\NOTARIA 2009\MANDATOS 2008\GUILLERMO CORTES A MABEL RAMIREZ.doc", "Abrir Documento")</f>
        <v>0</v>
      </c>
      <c r="D12145" t="s">
        <v>23500</v>
      </c>
      <c r="E12145" t="s">
        <v>34620</v>
      </c>
    </row>
    <row r="12146" spans="1:5">
      <c r="A12146" t="s">
        <v>6</v>
      </c>
      <c r="B12146" t="s">
        <v>12151</v>
      </c>
      <c r="C12146">
        <f>HYPERLINK("C:\Users\franc\OneDrive\Documentos\MALENTIN KARIME\BANCO ESTADO\2012 DEPTO ESCRITURAS fata\NOTARIA 2009\MANDATOS 2008\GLADYS LASTARRIA Y ESPOSO A SU HERMANA (DERECHOS).doc", "Abrir Documento")</f>
        <v>0</v>
      </c>
      <c r="D12146" t="s">
        <v>23500</v>
      </c>
      <c r="E12146" t="s">
        <v>34621</v>
      </c>
    </row>
    <row r="12147" spans="1:5">
      <c r="A12147" t="s">
        <v>6</v>
      </c>
      <c r="B12147" t="s">
        <v>12152</v>
      </c>
      <c r="C12147">
        <f>HYPERLINK("C:\Users\franc\OneDrive\Documentos\MALENTIN KARIME\BANCO ESTADO\2012 DEPTO ESCRITURAS fata\NOTARIA 2009\MANDATOS 2008\GLADYS CONTRERAS  Y OTROS A SADY CONTRERAS.doc", "Abrir Documento")</f>
        <v>0</v>
      </c>
      <c r="D12147" t="s">
        <v>23500</v>
      </c>
      <c r="E12147" t="s">
        <v>34622</v>
      </c>
    </row>
    <row r="12148" spans="1:5">
      <c r="A12148" t="s">
        <v>6</v>
      </c>
      <c r="B12148" t="s">
        <v>12153</v>
      </c>
      <c r="C12148">
        <f>HYPERLINK("C:\Users\franc\OneDrive\Documentos\MALENTIN KARIME\BANCO ESTADO\2012 DEPTO ESCRITURAS fata\NOTARIA 2009\MANDATOS 2008\FERNANDO PIZARRO  (ELECCION MUNICIPAL).doc", "Abrir Documento")</f>
        <v>0</v>
      </c>
      <c r="D12148" t="s">
        <v>23500</v>
      </c>
      <c r="E12148" t="s">
        <v>34623</v>
      </c>
    </row>
    <row r="12149" spans="1:5">
      <c r="A12149" t="s">
        <v>6</v>
      </c>
      <c r="B12149" t="s">
        <v>12154</v>
      </c>
      <c r="C12149">
        <f>HYPERLINK("C:\Users\franc\OneDrive\Documentos\MALENTIN KARIME\BANCO ESTADO\2012 DEPTO ESCRITURAS fata\NOTARIA 2009\MANDATOS 2008\FABIOLA PERALTA A ABEL MUÑOZ  (VENTA DERECHOS).doc", "Abrir Documento")</f>
        <v>0</v>
      </c>
      <c r="D12149" t="s">
        <v>23500</v>
      </c>
      <c r="E12149" t="s">
        <v>34624</v>
      </c>
    </row>
    <row r="12150" spans="1:5">
      <c r="A12150" t="s">
        <v>6</v>
      </c>
      <c r="B12150" t="s">
        <v>12155</v>
      </c>
      <c r="C12150">
        <f>HYPERLINK("C:\Users\franc\OneDrive\Documentos\MALENTIN KARIME\BANCO ESTADO\2012 DEPTO ESCRITURAS fata\NOTARIA 2009\MANDATOS 2008\ENRIQUE VILLALOBOS A PILAR VILLALOBOS.doc", "Abrir Documento")</f>
        <v>0</v>
      </c>
      <c r="D12150" t="s">
        <v>23500</v>
      </c>
      <c r="E12150" t="s">
        <v>34625</v>
      </c>
    </row>
    <row r="12151" spans="1:5">
      <c r="A12151" t="s">
        <v>6</v>
      </c>
      <c r="B12151" t="s">
        <v>12156</v>
      </c>
      <c r="C12151">
        <f>HYPERLINK("C:\Users\franc\OneDrive\Documentos\MALENTIN KARIME\BANCO ESTADO\2012 DEPTO ESCRITURAS fata\NOTARIA 2009\MANDATOS 2008\ELENA ROJAS Y OTROS A JULIO ROJAS (DERECHOS).doc", "Abrir Documento")</f>
        <v>0</v>
      </c>
      <c r="D12151" t="s">
        <v>23500</v>
      </c>
      <c r="E12151" t="s">
        <v>34626</v>
      </c>
    </row>
    <row r="12152" spans="1:5">
      <c r="A12152" t="s">
        <v>6</v>
      </c>
      <c r="B12152" t="s">
        <v>12157</v>
      </c>
      <c r="C12152">
        <f>HYPERLINK("C:\Users\franc\OneDrive\Documentos\MALENTIN KARIME\BANCO ESTADO\2012 DEPTO ESCRITURAS fata\NOTARIA 2009\MANDATOS 2008\CLOPATRA MALEBRAN A MARIA CASTAÑEDA (VENTA=.doc", "Abrir Documento")</f>
        <v>0</v>
      </c>
      <c r="D12152" t="s">
        <v>23500</v>
      </c>
      <c r="E12152" t="s">
        <v>34627</v>
      </c>
    </row>
    <row r="12153" spans="1:5">
      <c r="A12153" t="s">
        <v>6</v>
      </c>
      <c r="B12153" t="s">
        <v>12158</v>
      </c>
      <c r="C12153">
        <f>HYPERLINK("C:\Users\franc\OneDrive\Documentos\MALENTIN KARIME\BANCO ESTADO\2012 DEPTO ESCRITURAS fata\NOTARIA 2009\MANDATOS 2008\BRIJIDA CISTERNAS A EUGENIO DARRIGRANDE.doc", "Abrir Documento")</f>
        <v>0</v>
      </c>
      <c r="D12153" t="s">
        <v>23500</v>
      </c>
      <c r="E12153" t="s">
        <v>34628</v>
      </c>
    </row>
    <row r="12154" spans="1:5">
      <c r="A12154" t="s">
        <v>6</v>
      </c>
      <c r="B12154" t="s">
        <v>12159</v>
      </c>
      <c r="C12154">
        <f>HYPERLINK("C:\Users\franc\OneDrive\Documentos\MALENTIN KARIME\BANCO ESTADO\2012 DEPTO ESCRITURAS fata\NOTARIA 2009\MANDATOS 2008\ANIBAL RIVERA A SU HIJA LAURA ((EXPROPIACION).doc", "Abrir Documento")</f>
        <v>0</v>
      </c>
      <c r="D12154" t="s">
        <v>23500</v>
      </c>
      <c r="E12154" t="s">
        <v>34629</v>
      </c>
    </row>
    <row r="12155" spans="1:5">
      <c r="A12155" t="s">
        <v>6</v>
      </c>
      <c r="B12155" t="s">
        <v>12160</v>
      </c>
      <c r="C12155">
        <f>HYPERLINK("C:\Users\franc\OneDrive\Documentos\MALENTIN KARIME\BANCO ESTADO\2012 DEPTO ESCRITURAS fata\NOTARIA 2009\MANDATOS 2008\AMERICO CORTES Y OTROS.doc", "Abrir Documento")</f>
        <v>0</v>
      </c>
      <c r="D12155" t="s">
        <v>23500</v>
      </c>
      <c r="E12155" t="s">
        <v>34630</v>
      </c>
    </row>
    <row r="12156" spans="1:5">
      <c r="A12156" t="s">
        <v>6</v>
      </c>
      <c r="B12156" t="s">
        <v>12161</v>
      </c>
      <c r="C12156">
        <f>HYPERLINK("C:\Users\franc\OneDrive\Documentos\MALENTIN KARIME\BANCO ESTADO\2012 DEPTO ESCRITURAS fata\NOTARIA 2009\MANDATOS 2007\VICTOR HUGO JACOB A SU PADRE.doc", "Abrir Documento")</f>
        <v>0</v>
      </c>
      <c r="D12156" t="s">
        <v>23500</v>
      </c>
      <c r="E12156" t="s">
        <v>34631</v>
      </c>
    </row>
    <row r="12157" spans="1:5">
      <c r="A12157" t="s">
        <v>6</v>
      </c>
      <c r="B12157" t="s">
        <v>12162</v>
      </c>
      <c r="C12157">
        <f>HYPERLINK("C:\Users\franc\OneDrive\Documentos\MALENTIN KARIME\BANCO ESTADO\2012 DEPTO ESCRITURAS fata\NOTARIA 2009\MANDATOS 2007\VICENTE CORTES A LUIS CORTES.doc", "Abrir Documento")</f>
        <v>0</v>
      </c>
      <c r="D12157" t="s">
        <v>23500</v>
      </c>
      <c r="E12157" t="s">
        <v>34632</v>
      </c>
    </row>
    <row r="12158" spans="1:5">
      <c r="A12158" t="s">
        <v>6</v>
      </c>
      <c r="B12158" t="s">
        <v>12163</v>
      </c>
      <c r="C12158">
        <f>HYPERLINK("C:\Users\franc\OneDrive\Documentos\MALENTIN KARIME\BANCO ESTADO\2012 DEPTO ESCRITURAS fata\NOTARIA 2009\MANDATOS 2007\TAMARA PAZ A LEONEL TAPIA (VENTA CONYUGE).doc", "Abrir Documento")</f>
        <v>0</v>
      </c>
      <c r="D12158" t="s">
        <v>23500</v>
      </c>
      <c r="E12158" t="s">
        <v>34633</v>
      </c>
    </row>
    <row r="12159" spans="1:5">
      <c r="A12159" t="s">
        <v>6</v>
      </c>
      <c r="B12159" t="s">
        <v>12164</v>
      </c>
      <c r="C12159">
        <f>HYPERLINK("C:\Users\franc\OneDrive\Documentos\MALENTIN KARIME\BANCO ESTADO\2012 DEPTO ESCRITURAS fata\NOTARIA 2009\MANDATOS 2007\SUCESION ARAYA HONORES (EXPROPIACION).doc", "Abrir Documento")</f>
        <v>0</v>
      </c>
      <c r="D12159" t="s">
        <v>23500</v>
      </c>
      <c r="E12159" t="s">
        <v>34634</v>
      </c>
    </row>
    <row r="12160" spans="1:5">
      <c r="A12160" t="s">
        <v>6</v>
      </c>
      <c r="B12160" t="s">
        <v>12165</v>
      </c>
      <c r="C12160">
        <f>HYPERLINK("C:\Users\franc\OneDrive\Documentos\MALENTIN KARIME\BANCO ESTADO\2012 DEPTO ESCRITURAS fata\NOTARIA 2009\MANDATOS 2007\SUC. VALDIVIA VENTA.doc", "Abrir Documento")</f>
        <v>0</v>
      </c>
      <c r="D12160" t="s">
        <v>23500</v>
      </c>
      <c r="E12160" t="s">
        <v>34635</v>
      </c>
    </row>
    <row r="12161" spans="1:5">
      <c r="A12161" t="s">
        <v>6</v>
      </c>
      <c r="B12161" t="s">
        <v>12166</v>
      </c>
      <c r="C12161">
        <f>HYPERLINK("C:\Users\franc\OneDrive\Documentos\MALENTIN KARIME\BANCO ESTADO\2012 DEPTO ESCRITURAS fata\NOTARIA 2009\MANDATOS 2007\SUC. CARVAJAL PARA COMPRAR LOTE.doc", "Abrir Documento")</f>
        <v>0</v>
      </c>
      <c r="D12161" t="s">
        <v>23500</v>
      </c>
      <c r="E12161" t="s">
        <v>34636</v>
      </c>
    </row>
    <row r="12162" spans="1:5">
      <c r="A12162" t="s">
        <v>6</v>
      </c>
      <c r="B12162" t="s">
        <v>12167</v>
      </c>
      <c r="C12162">
        <f>HYPERLINK("C:\Users\franc\OneDrive\Documentos\MALENTIN KARIME\BANCO ESTADO\2012 DEPTO ESCRITURAS fata\NOTARIA 2009\MANDATOS 2007\SORAYA ANICH A JUAN ANICH (VENTA).doc", "Abrir Documento")</f>
        <v>0</v>
      </c>
      <c r="D12162" t="s">
        <v>23500</v>
      </c>
      <c r="E12162" t="s">
        <v>34637</v>
      </c>
    </row>
    <row r="12163" spans="1:5">
      <c r="A12163" t="s">
        <v>6</v>
      </c>
      <c r="B12163" t="s">
        <v>12168</v>
      </c>
      <c r="C12163">
        <f>HYPERLINK("C:\Users\franc\OneDrive\Documentos\MALENTIN KARIME\BANCO ESTADO\2012 DEPTO ESCRITURAS fata\NOTARIA 2009\MANDATOS 2007\SELIM DABED A CLLAUDIO ARDILES.doc", "Abrir Documento")</f>
        <v>0</v>
      </c>
      <c r="D12163" t="s">
        <v>23500</v>
      </c>
      <c r="E12163" t="s">
        <v>34638</v>
      </c>
    </row>
    <row r="12164" spans="1:5">
      <c r="A12164" t="s">
        <v>6</v>
      </c>
      <c r="B12164" t="s">
        <v>12169</v>
      </c>
      <c r="C12164">
        <f>HYPERLINK("C:\Users\franc\OneDrive\Documentos\MALENTIN KARIME\BANCO ESTADO\2012 DEPTO ESCRITURAS fata\NOTARIA 2009\MANDATOS 2007\RUBEN MAYA CON CONYUGE A SU HIJO.doc", "Abrir Documento")</f>
        <v>0</v>
      </c>
      <c r="D12164" t="s">
        <v>23500</v>
      </c>
      <c r="E12164" t="s">
        <v>34639</v>
      </c>
    </row>
    <row r="12165" spans="1:5">
      <c r="A12165" t="s">
        <v>6</v>
      </c>
      <c r="B12165" t="s">
        <v>12170</v>
      </c>
      <c r="C12165">
        <f>HYPERLINK("C:\Users\franc\OneDrive\Documentos\MALENTIN KARIME\BANCO ESTADO\2012 DEPTO ESCRITURAS fata\NOTARIA 2009\MANDATOS 2007\ROSA ECHAVE.doc", "Abrir Documento")</f>
        <v>0</v>
      </c>
      <c r="D12165" t="s">
        <v>23500</v>
      </c>
      <c r="E12165" t="s">
        <v>34640</v>
      </c>
    </row>
    <row r="12166" spans="1:5">
      <c r="A12166" t="s">
        <v>6</v>
      </c>
      <c r="B12166" t="s">
        <v>12171</v>
      </c>
      <c r="C12166">
        <f>HYPERLINK("C:\Users\franc\OneDrive\Documentos\MALENTIN KARIME\BANCO ESTADO\2012 DEPTO ESCRITURAS fata\NOTARIA 2009\MANDATOS 2007\PETRONILA PIZARRO A JAVIER (DERECHOS.doc", "Abrir Documento")</f>
        <v>0</v>
      </c>
      <c r="D12166" t="s">
        <v>23500</v>
      </c>
      <c r="E12166" t="s">
        <v>34641</v>
      </c>
    </row>
    <row r="12167" spans="1:5">
      <c r="A12167" t="s">
        <v>6</v>
      </c>
      <c r="B12167" t="s">
        <v>12172</v>
      </c>
      <c r="C12167">
        <f>HYPERLINK("C:\Users\franc\OneDrive\Documentos\MALENTIN KARIME\BANCO ESTADO\2012 DEPTO ESCRITURAS fata\NOTARIA 2009\MANDATOS 2007\PEDRO CORTES Y OTRA A HERNAN CARVAJAL (VENTA COPIAPO).doc", "Abrir Documento")</f>
        <v>0</v>
      </c>
      <c r="D12167" t="s">
        <v>23500</v>
      </c>
      <c r="E12167" t="s">
        <v>34642</v>
      </c>
    </row>
    <row r="12168" spans="1:5">
      <c r="A12168" t="s">
        <v>6</v>
      </c>
      <c r="B12168" t="s">
        <v>12173</v>
      </c>
      <c r="C12168">
        <f>HYPERLINK("C:\Users\franc\OneDrive\Documentos\MALENTIN KARIME\BANCO ESTADO\2012 DEPTO ESCRITURAS fata\NOTARIA 2009\MANDATOS 2007\ORLANDO MONDACA.doc", "Abrir Documento")</f>
        <v>0</v>
      </c>
      <c r="D12168" t="s">
        <v>23500</v>
      </c>
      <c r="E12168" t="s">
        <v>34643</v>
      </c>
    </row>
    <row r="12169" spans="1:5">
      <c r="A12169" t="s">
        <v>6</v>
      </c>
      <c r="B12169" t="s">
        <v>12174</v>
      </c>
      <c r="C12169">
        <f>HYPERLINK("C:\Users\franc\OneDrive\Documentos\MALENTIN KARIME\BANCO ESTADO\2012 DEPTO ESCRITURAS fata\NOTARIA 2009\MANDATOS 2007\NORMA BECERRA A EDISON JOFRE.doc", "Abrir Documento")</f>
        <v>0</v>
      </c>
      <c r="D12169" t="s">
        <v>23500</v>
      </c>
      <c r="E12169" t="s">
        <v>34644</v>
      </c>
    </row>
    <row r="12170" spans="1:5">
      <c r="A12170" t="s">
        <v>6</v>
      </c>
      <c r="B12170" t="s">
        <v>12175</v>
      </c>
      <c r="C12170">
        <f>HYPERLINK("C:\Users\franc\OneDrive\Documentos\MALENTIN KARIME\BANCO ESTADO\2012 DEPTO ESCRITURAS fata\NOTARIA 2009\MANDATOS 2007\NELSON ARAVENA (ESPECIAL).doc", "Abrir Documento")</f>
        <v>0</v>
      </c>
      <c r="D12170" t="s">
        <v>23500</v>
      </c>
      <c r="E12170" t="s">
        <v>34645</v>
      </c>
    </row>
    <row r="12171" spans="1:5">
      <c r="A12171" t="s">
        <v>6</v>
      </c>
      <c r="B12171" t="s">
        <v>12176</v>
      </c>
      <c r="C12171">
        <f>HYPERLINK("C:\Users\franc\OneDrive\Documentos\MALENTIN KARIME\BANCO ESTADO\2012 DEPTO ESCRITURAS fata\NOTARIA 2009\MANDATOS 2007\MODELO VENTA.doc", "Abrir Documento")</f>
        <v>0</v>
      </c>
      <c r="D12171" t="s">
        <v>23500</v>
      </c>
      <c r="E12171" t="s">
        <v>34646</v>
      </c>
    </row>
    <row r="12172" spans="1:5">
      <c r="A12172" t="s">
        <v>6</v>
      </c>
      <c r="B12172" t="s">
        <v>12177</v>
      </c>
      <c r="C12172">
        <f>HYPERLINK("C:\Users\franc\OneDrive\Documentos\MALENTIN KARIME\BANCO ESTADO\2012 DEPTO ESCRITURAS fata\NOTARIA 2009\MANDATOS 2007\MODELO VENTA NELSON PIZARRO (LA CHIMBA).doc", "Abrir Documento")</f>
        <v>0</v>
      </c>
      <c r="D12172" t="s">
        <v>23500</v>
      </c>
      <c r="E12172" t="s">
        <v>34647</v>
      </c>
    </row>
    <row r="12173" spans="1:5">
      <c r="A12173" t="s">
        <v>6</v>
      </c>
      <c r="B12173" t="s">
        <v>12178</v>
      </c>
      <c r="C12173">
        <f>HYPERLINK("C:\Users\franc\OneDrive\Documentos\MALENTIN KARIME\BANCO ESTADO\2012 DEPTO ESCRITURAS fata\NOTARIA 2009\MANDATOS 2007\MODELO PROMESA DE COMPRAVENTA.doc", "Abrir Documento")</f>
        <v>0</v>
      </c>
      <c r="D12173" t="s">
        <v>23500</v>
      </c>
      <c r="E12173" t="s">
        <v>34648</v>
      </c>
    </row>
    <row r="12174" spans="1:5">
      <c r="A12174" t="s">
        <v>6</v>
      </c>
      <c r="B12174" t="s">
        <v>12179</v>
      </c>
      <c r="C12174">
        <f>HYPERLINK("C:\Users\franc\OneDrive\Documentos\MALENTIN KARIME\BANCO ESTADO\2012 DEPTO ESCRITURAS fata\NOTARIA 2009\MANDATOS 2007\MODELO (BANCO).doc", "Abrir Documento")</f>
        <v>0</v>
      </c>
      <c r="D12174" t="s">
        <v>23500</v>
      </c>
      <c r="E12174" t="s">
        <v>34649</v>
      </c>
    </row>
    <row r="12175" spans="1:5">
      <c r="A12175" t="s">
        <v>6</v>
      </c>
      <c r="B12175" t="s">
        <v>12180</v>
      </c>
      <c r="C12175">
        <f>HYPERLINK("C:\Users\franc\OneDrive\Documentos\MALENTIN KARIME\BANCO ESTADO\2012 DEPTO ESCRITURAS fata\NOTARIA 2009\MANDATOS 2007\MIRTA ROBLES TAPIA Y OTROS  (DERECHOS).doc", "Abrir Documento")</f>
        <v>0</v>
      </c>
      <c r="D12175" t="s">
        <v>23500</v>
      </c>
      <c r="E12175" t="s">
        <v>34650</v>
      </c>
    </row>
    <row r="12176" spans="1:5">
      <c r="A12176" t="s">
        <v>6</v>
      </c>
      <c r="B12176" t="s">
        <v>12181</v>
      </c>
      <c r="C12176">
        <f>HYPERLINK("C:\Users\franc\OneDrive\Documentos\MALENTIN KARIME\BANCO ESTADO\2012 DEPTO ESCRITURAS fata\NOTARIA 2009\MANDATOS 2007\MARY CORTES HENRIQUEZ A PAOLA MIRANDA PODER COMPRAR Y VENDER.doc", "Abrir Documento")</f>
        <v>0</v>
      </c>
      <c r="D12176" t="s">
        <v>23500</v>
      </c>
      <c r="E12176" t="s">
        <v>34651</v>
      </c>
    </row>
    <row r="12177" spans="1:5">
      <c r="A12177" t="s">
        <v>6</v>
      </c>
      <c r="B12177" t="s">
        <v>12182</v>
      </c>
      <c r="C12177">
        <f>HYPERLINK("C:\Users\franc\OneDrive\Documentos\MALENTIN KARIME\BANCO ESTADO\2012 DEPTO ESCRITURAS fata\NOTARIA 2009\MANDATOS 2007\MARTA GARCIA (JUAN ALBURQUENQUE).doc", "Abrir Documento")</f>
        <v>0</v>
      </c>
      <c r="D12177" t="s">
        <v>23500</v>
      </c>
      <c r="E12177" t="s">
        <v>34652</v>
      </c>
    </row>
    <row r="12178" spans="1:5">
      <c r="A12178" t="s">
        <v>6</v>
      </c>
      <c r="B12178" t="s">
        <v>12183</v>
      </c>
      <c r="C12178">
        <f>HYPERLINK("C:\Users\franc\OneDrive\Documentos\MALENTIN KARIME\BANCO ESTADO\2012 DEPTO ESCRITURAS fata\NOTARIA 2009\MANDATOS 2007\MARLENE PIZARRO A DIANA BUSTOS PI.doc", "Abrir Documento")</f>
        <v>0</v>
      </c>
      <c r="D12178" t="s">
        <v>23500</v>
      </c>
      <c r="E12178" t="s">
        <v>34653</v>
      </c>
    </row>
    <row r="12179" spans="1:5">
      <c r="A12179" t="s">
        <v>6</v>
      </c>
      <c r="B12179" t="s">
        <v>12184</v>
      </c>
      <c r="C12179">
        <f>HYPERLINK("C:\Users\franc\OneDrive\Documentos\MALENTIN KARIME\BANCO ESTADO\2012 DEPTO ESCRITURAS fata\NOTARIA 2009\MANDATOS 2007\MARIO TAPIA A GLORIA AGUIRRE (VENDER CONYUGE).doc", "Abrir Documento")</f>
        <v>0</v>
      </c>
      <c r="D12179" t="s">
        <v>23500</v>
      </c>
      <c r="E12179" t="s">
        <v>34654</v>
      </c>
    </row>
    <row r="12180" spans="1:5">
      <c r="A12180" t="s">
        <v>6</v>
      </c>
      <c r="B12180" t="s">
        <v>12185</v>
      </c>
      <c r="C12180">
        <f>HYPERLINK("C:\Users\franc\OneDrive\Documentos\MALENTIN KARIME\BANCO ESTADO\2012 DEPTO ESCRITURAS fata\NOTARIA 2009\MANDATOS 2007\MARIO FIGUEROA A ...... 04-10-2007.doc", "Abrir Documento")</f>
        <v>0</v>
      </c>
      <c r="D12180" t="s">
        <v>23500</v>
      </c>
      <c r="E12180" t="s">
        <v>34655</v>
      </c>
    </row>
    <row r="12181" spans="1:5">
      <c r="A12181" t="s">
        <v>6</v>
      </c>
      <c r="B12181" t="s">
        <v>12186</v>
      </c>
      <c r="C12181">
        <f>HYPERLINK("C:\Users\franc\OneDrive\Documentos\MALENTIN KARIME\BANCO ESTADO\2012 DEPTO ESCRITURAS fata\NOTARIA 2009\MANDATOS 2007\MANUEL LAZO Y OTROS.doc", "Abrir Documento")</f>
        <v>0</v>
      </c>
      <c r="D12181" t="s">
        <v>23500</v>
      </c>
      <c r="E12181" t="s">
        <v>34656</v>
      </c>
    </row>
    <row r="12182" spans="1:5">
      <c r="A12182" t="s">
        <v>6</v>
      </c>
      <c r="B12182" t="s">
        <v>12187</v>
      </c>
      <c r="C12182">
        <f>HYPERLINK("C:\Users\franc\OneDrive\Documentos\MALENTIN KARIME\BANCO ESTADO\2012 DEPTO ESCRITURAS fata\NOTARIA 2009\MANDATOS 2007\MAND.VENDER.doc", "Abrir Documento")</f>
        <v>0</v>
      </c>
      <c r="D12182" t="s">
        <v>23500</v>
      </c>
      <c r="E12182" t="s">
        <v>34657</v>
      </c>
    </row>
    <row r="12183" spans="1:5">
      <c r="A12183" t="s">
        <v>6</v>
      </c>
      <c r="B12183" t="s">
        <v>12188</v>
      </c>
      <c r="C12183">
        <f>HYPERLINK("C:\Users\franc\OneDrive\Documentos\MALENTIN KARIME\BANCO ESTADO\2012 DEPTO ESCRITURAS fata\NOTARIA 2009\MANDATOS 2007\MABEL MALEBRAN (EXPROPIACION).doc", "Abrir Documento")</f>
        <v>0</v>
      </c>
      <c r="D12183" t="s">
        <v>23500</v>
      </c>
      <c r="E12183" t="s">
        <v>34658</v>
      </c>
    </row>
    <row r="12184" spans="1:5">
      <c r="A12184" t="s">
        <v>6</v>
      </c>
      <c r="B12184" t="s">
        <v>12189</v>
      </c>
      <c r="C12184">
        <f>HYPERLINK("C:\Users\franc\OneDrive\Documentos\MALENTIN KARIME\BANCO ESTADO\2012 DEPTO ESCRITURAS fata\NOTARIA 2009\MANDATOS 2007\LUIS RAFFO A VERONICA JORQUERA (VENTA).doc", "Abrir Documento")</f>
        <v>0</v>
      </c>
      <c r="D12184" t="s">
        <v>23500</v>
      </c>
      <c r="E12184" t="s">
        <v>34659</v>
      </c>
    </row>
    <row r="12185" spans="1:5">
      <c r="A12185" t="s">
        <v>6</v>
      </c>
      <c r="B12185" t="s">
        <v>12190</v>
      </c>
      <c r="C12185">
        <f>HYPERLINK("C:\Users\franc\OneDrive\Documentos\MALENTIN KARIME\BANCO ESTADO\2012 DEPTO ESCRITURAS fata\NOTARIA 2009\MANDATOS 2007\LINA KRIEMHILDE HOFTER CORTES A VICTOR VALENTINO.doc", "Abrir Documento")</f>
        <v>0</v>
      </c>
      <c r="D12185" t="s">
        <v>23500</v>
      </c>
      <c r="E12185" t="s">
        <v>34660</v>
      </c>
    </row>
    <row r="12186" spans="1:5">
      <c r="A12186" t="s">
        <v>6</v>
      </c>
      <c r="B12186" t="s">
        <v>12191</v>
      </c>
      <c r="C12186">
        <f>HYPERLINK("C:\Users\franc\OneDrive\Documentos\MALENTIN KARIME\BANCO ESTADO\2012 DEPTO ESCRITURAS fata\NOTARIA 2009\MANDATOS 2007\LINA HOFTER A SU HIJO (AGOSTO 2007).doc", "Abrir Documento")</f>
        <v>0</v>
      </c>
      <c r="D12186" t="s">
        <v>23500</v>
      </c>
      <c r="E12186" t="s">
        <v>34661</v>
      </c>
    </row>
    <row r="12187" spans="1:5">
      <c r="A12187" t="s">
        <v>6</v>
      </c>
      <c r="B12187" t="s">
        <v>12192</v>
      </c>
      <c r="C12187">
        <f>HYPERLINK("C:\Users\franc\OneDrive\Documentos\MALENTIN KARIME\BANCO ESTADO\2012 DEPTO ESCRITURAS fata\NOTARIA 2009\MANDATOS 2007\LIDIA HIDALGO A SU CONYUGE (VENTA).doc", "Abrir Documento")</f>
        <v>0</v>
      </c>
      <c r="D12187" t="s">
        <v>23500</v>
      </c>
      <c r="E12187" t="s">
        <v>34662</v>
      </c>
    </row>
    <row r="12188" spans="1:5">
      <c r="A12188" t="s">
        <v>6</v>
      </c>
      <c r="B12188" t="s">
        <v>12193</v>
      </c>
      <c r="C12188">
        <f>HYPERLINK("C:\Users\franc\OneDrive\Documentos\MALENTIN KARIME\BANCO ESTADO\2012 DEPTO ESCRITURAS fata\NOTARIA 2009\MANDATOS 2007\JUANA VALLES (VENDER).doc", "Abrir Documento")</f>
        <v>0</v>
      </c>
      <c r="D12188" t="s">
        <v>23500</v>
      </c>
      <c r="E12188" t="s">
        <v>34663</v>
      </c>
    </row>
    <row r="12189" spans="1:5">
      <c r="A12189" t="s">
        <v>6</v>
      </c>
      <c r="B12189" t="s">
        <v>12194</v>
      </c>
      <c r="C12189">
        <f>HYPERLINK("C:\Users\franc\OneDrive\Documentos\MALENTIN KARIME\BANCO ESTADO\2012 DEPTO ESCRITURAS fata\NOTARIA 2009\MANDATOS 2007\JUAN MANUEL IBACACHE vta bdd.doc", "Abrir Documento")</f>
        <v>0</v>
      </c>
      <c r="D12189" t="s">
        <v>23500</v>
      </c>
      <c r="E12189" t="s">
        <v>34664</v>
      </c>
    </row>
    <row r="12190" spans="1:5">
      <c r="A12190" t="s">
        <v>6</v>
      </c>
      <c r="B12190" t="s">
        <v>12195</v>
      </c>
      <c r="C12190">
        <f>HYPERLINK("C:\Users\franc\OneDrive\Documentos\MALENTIN KARIME\BANCO ESTADO\2012 DEPTO ESCRITURAS fata\NOTARIA 2009\MANDATOS 2007\JUAN ALBURQUENQUE.doc", "Abrir Documento")</f>
        <v>0</v>
      </c>
      <c r="D12190" t="s">
        <v>23500</v>
      </c>
      <c r="E12190" t="s">
        <v>34665</v>
      </c>
    </row>
    <row r="12191" spans="1:5">
      <c r="A12191" t="s">
        <v>6</v>
      </c>
      <c r="B12191" t="s">
        <v>12196</v>
      </c>
      <c r="C12191">
        <f>HYPERLINK("C:\Users\franc\OneDrive\Documentos\MALENTIN KARIME\BANCO ESTADO\2012 DEPTO ESCRITURAS fata\NOTARIA 2009\MANDATOS 2007\JOSE Y MARIO SALGADO (VENTA).doc", "Abrir Documento")</f>
        <v>0</v>
      </c>
      <c r="D12191" t="s">
        <v>23500</v>
      </c>
      <c r="E12191" t="s">
        <v>34666</v>
      </c>
    </row>
    <row r="12192" spans="1:5">
      <c r="A12192" t="s">
        <v>6</v>
      </c>
      <c r="B12192" t="s">
        <v>12197</v>
      </c>
      <c r="C12192">
        <f>HYPERLINK("C:\Users\franc\OneDrive\Documentos\MALENTIN KARIME\BANCO ESTADO\2012 DEPTO ESCRITURAS fata\NOTARIA 2009\MANDATOS 2007\JOSE NOVOA (VENDER).doc", "Abrir Documento")</f>
        <v>0</v>
      </c>
      <c r="D12192" t="s">
        <v>23500</v>
      </c>
      <c r="E12192" t="s">
        <v>34667</v>
      </c>
    </row>
    <row r="12193" spans="1:5">
      <c r="A12193" t="s">
        <v>6</v>
      </c>
      <c r="B12193" t="s">
        <v>12198</v>
      </c>
      <c r="C12193">
        <f>HYPERLINK("C:\Users\franc\OneDrive\Documentos\MALENTIN KARIME\BANCO ESTADO\2012 DEPTO ESCRITURAS fata\NOTARIA 2009\MANDATOS 2007\JOSE JIMENEZ A HECTOR LEDEZMA.doc", "Abrir Documento")</f>
        <v>0</v>
      </c>
      <c r="D12193" t="s">
        <v>23500</v>
      </c>
      <c r="E12193" t="s">
        <v>34668</v>
      </c>
    </row>
    <row r="12194" spans="1:5">
      <c r="A12194" t="s">
        <v>6</v>
      </c>
      <c r="B12194" t="s">
        <v>12199</v>
      </c>
      <c r="C12194">
        <f>HYPERLINK("C:\Users\franc\OneDrive\Documentos\MALENTIN KARIME\BANCO ESTADO\2012 DEPTO ESCRITURAS fata\NOTARIA 2009\MANDATOS 2007\JOSE AGUILERA (VENDER).doc", "Abrir Documento")</f>
        <v>0</v>
      </c>
      <c r="D12194" t="s">
        <v>23500</v>
      </c>
      <c r="E12194" t="s">
        <v>34669</v>
      </c>
    </row>
    <row r="12195" spans="1:5">
      <c r="A12195" t="s">
        <v>6</v>
      </c>
      <c r="B12195" t="s">
        <v>12200</v>
      </c>
      <c r="C12195">
        <f>HYPERLINK("C:\Users\franc\OneDrive\Documentos\MALENTIN KARIME\BANCO ESTADO\2012 DEPTO ESCRITURAS fata\NOTARIA 2009\MANDATOS 2007\JAVIER TABILO.doc", "Abrir Documento")</f>
        <v>0</v>
      </c>
      <c r="D12195" t="s">
        <v>23500</v>
      </c>
      <c r="E12195" t="s">
        <v>34670</v>
      </c>
    </row>
    <row r="12196" spans="1:5">
      <c r="A12196" t="s">
        <v>6</v>
      </c>
      <c r="B12196" t="s">
        <v>12201</v>
      </c>
      <c r="C12196">
        <f>HYPERLINK("C:\Users\franc\OneDrive\Documentos\MALENTIN KARIME\BANCO ESTADO\2012 DEPTO ESCRITURAS fata\NOTARIA 2009\MANDATOS 2007\HECTOR DOMINGUEZ A SYLVIA ORELLANA (VENTA).doc", "Abrir Documento")</f>
        <v>0</v>
      </c>
      <c r="D12196" t="s">
        <v>23500</v>
      </c>
      <c r="E12196" t="s">
        <v>34671</v>
      </c>
    </row>
    <row r="12197" spans="1:5">
      <c r="A12197" t="s">
        <v>6</v>
      </c>
      <c r="B12197" t="s">
        <v>12202</v>
      </c>
      <c r="C12197">
        <f>HYPERLINK("C:\Users\franc\OneDrive\Documentos\MALENTIN KARIME\BANCO ESTADO\2012 DEPTO ESCRITURAS fata\NOTARIA 2009\MANDATOS 2007\HAROLD TAPIA A SU PADRE (VENTA DERECHOS).doc", "Abrir Documento")</f>
        <v>0</v>
      </c>
      <c r="D12197" t="s">
        <v>23500</v>
      </c>
      <c r="E12197" t="s">
        <v>34672</v>
      </c>
    </row>
    <row r="12198" spans="1:5">
      <c r="A12198" t="s">
        <v>6</v>
      </c>
      <c r="B12198" t="s">
        <v>12203</v>
      </c>
      <c r="C12198">
        <f>HYPERLINK("C:\Users\franc\OneDrive\Documentos\MALENTIN KARIME\BANCO ESTADO\2012 DEPTO ESCRITURAS fata\NOTARIA 2009\MANDATOS 2007\GREGORIO ZEPEDA PERRY  Y OTROS MINAS.doc", "Abrir Documento")</f>
        <v>0</v>
      </c>
      <c r="D12198" t="s">
        <v>23500</v>
      </c>
      <c r="E12198" t="s">
        <v>34673</v>
      </c>
    </row>
    <row r="12199" spans="1:5">
      <c r="A12199" t="s">
        <v>6</v>
      </c>
      <c r="B12199" t="s">
        <v>12204</v>
      </c>
      <c r="C12199">
        <f>HYPERLINK("C:\Users\franc\OneDrive\Documentos\MALENTIN KARIME\BANCO ESTADO\2012 DEPTO ESCRITURAS fata\NOTARIA 2009\MANDATOS 2007\GREGORIO ZEPDA PERRY Y OTROS MINAS.doc", "Abrir Documento")</f>
        <v>0</v>
      </c>
      <c r="D12199" t="s">
        <v>23500</v>
      </c>
      <c r="E12199" t="s">
        <v>34674</v>
      </c>
    </row>
    <row r="12200" spans="1:5">
      <c r="A12200" t="s">
        <v>6</v>
      </c>
      <c r="B12200" t="s">
        <v>12205</v>
      </c>
      <c r="C12200">
        <f>HYPERLINK("C:\Users\franc\OneDrive\Documentos\MALENTIN KARIME\BANCO ESTADO\2012 DEPTO ESCRITURAS fata\NOTARIA 2009\MANDATOS 2007\GLORIA PIZARRO A SU MAMA (COMPRA).doc", "Abrir Documento")</f>
        <v>0</v>
      </c>
      <c r="D12200" t="s">
        <v>23500</v>
      </c>
      <c r="E12200" t="s">
        <v>34675</v>
      </c>
    </row>
    <row r="12201" spans="1:5">
      <c r="A12201" t="s">
        <v>6</v>
      </c>
      <c r="B12201" t="s">
        <v>12206</v>
      </c>
      <c r="C12201">
        <f>HYPERLINK("C:\Users\franc\OneDrive\Documentos\MALENTIN KARIME\BANCO ESTADO\2012 DEPTO ESCRITURAS fata\NOTARIA 2009\MANDATOS 2007\GEORGINA VALDIVIA A GMO. SOTO (VENDER CONYUGE).doc", "Abrir Documento")</f>
        <v>0</v>
      </c>
      <c r="D12201" t="s">
        <v>23500</v>
      </c>
      <c r="E12201" t="s">
        <v>34676</v>
      </c>
    </row>
    <row r="12202" spans="1:5">
      <c r="A12202" t="s">
        <v>6</v>
      </c>
      <c r="B12202" t="s">
        <v>12207</v>
      </c>
      <c r="C12202">
        <f>HYPERLINK("C:\Users\franc\OneDrive\Documentos\MALENTIN KARIME\BANCO ESTADO\2012 DEPTO ESCRITURAS fata\NOTARIA 2009\MANDATOS 2007\GABRIELA CORRAL (BANCO).doc", "Abrir Documento")</f>
        <v>0</v>
      </c>
      <c r="D12202" t="s">
        <v>23500</v>
      </c>
      <c r="E12202" t="s">
        <v>34677</v>
      </c>
    </row>
    <row r="12203" spans="1:5">
      <c r="A12203" t="s">
        <v>6</v>
      </c>
      <c r="B12203" t="s">
        <v>12208</v>
      </c>
      <c r="C12203">
        <f>HYPERLINK("C:\Users\franc\OneDrive\Documentos\MALENTIN KARIME\BANCO ESTADO\2012 DEPTO ESCRITURAS fata\NOTARIA 2009\MANDATOS 2007\FERMIN QUISPE ALDAY (COMPRA PROP).doc", "Abrir Documento")</f>
        <v>0</v>
      </c>
      <c r="D12203" t="s">
        <v>23500</v>
      </c>
      <c r="E12203" t="s">
        <v>34678</v>
      </c>
    </row>
    <row r="12204" spans="1:5">
      <c r="A12204" t="s">
        <v>6</v>
      </c>
      <c r="B12204" t="s">
        <v>12209</v>
      </c>
      <c r="C12204">
        <f>HYPERLINK("C:\Users\franc\OneDrive\Documentos\MALENTIN KARIME\BANCO ESTADO\2012 DEPTO ESCRITURAS fata\NOTARIA 2009\MANDATOS 2007\ERIKA GONZALEZ A FRANK GONZALEZ.doc", "Abrir Documento")</f>
        <v>0</v>
      </c>
      <c r="D12204" t="s">
        <v>23500</v>
      </c>
      <c r="E12204" t="s">
        <v>34679</v>
      </c>
    </row>
    <row r="12205" spans="1:5">
      <c r="A12205" t="s">
        <v>6</v>
      </c>
      <c r="B12205" t="s">
        <v>12210</v>
      </c>
      <c r="C12205">
        <f>HYPERLINK("C:\Users\franc\OneDrive\Documentos\MALENTIN KARIME\BANCO ESTADO\2012 DEPTO ESCRITURAS fata\NOTARIA 2009\MANDATOS 2007\ENILDA CARVAJAL A SU CONYUGE (VENDER).doc", "Abrir Documento")</f>
        <v>0</v>
      </c>
      <c r="D12205" t="s">
        <v>23500</v>
      </c>
      <c r="E12205" t="s">
        <v>34680</v>
      </c>
    </row>
    <row r="12206" spans="1:5">
      <c r="A12206" t="s">
        <v>6</v>
      </c>
      <c r="B12206" t="s">
        <v>12211</v>
      </c>
      <c r="C12206">
        <f>HYPERLINK("C:\Users\franc\OneDrive\Documentos\MALENTIN KARIME\BANCO ESTADO\2012 DEPTO ESCRITURAS fata\NOTARIA 2009\MANDATOS 2007\ELORZA.doc", "Abrir Documento")</f>
        <v>0</v>
      </c>
      <c r="D12206" t="s">
        <v>23500</v>
      </c>
      <c r="E12206" t="s">
        <v>34681</v>
      </c>
    </row>
    <row r="12207" spans="1:5">
      <c r="A12207" t="s">
        <v>6</v>
      </c>
      <c r="B12207" t="s">
        <v>12212</v>
      </c>
      <c r="C12207">
        <f>HYPERLINK("C:\Users\franc\OneDrive\Documentos\MALENTIN KARIME\BANCO ESTADO\2012 DEPTO ESCRITURAS fata\NOTARIA 2009\MANDATOS 2007\ELIANA ARAYA A SU HNO-. PARA COBRAR.doc", "Abrir Documento")</f>
        <v>0</v>
      </c>
      <c r="D12207" t="s">
        <v>23500</v>
      </c>
      <c r="E12207" t="s">
        <v>34682</v>
      </c>
    </row>
    <row r="12208" spans="1:5">
      <c r="A12208" t="s">
        <v>6</v>
      </c>
      <c r="B12208" t="s">
        <v>12213</v>
      </c>
      <c r="C12208">
        <f>HYPERLINK("C:\Users\franc\OneDrive\Documentos\MALENTIN KARIME\BANCO ESTADO\2012 DEPTO ESCRITURAS fata\NOTARIA 2009\MANDATOS 2007\EDUARDO VASQUEZ A SU HIJO (COMPRA PROP).doc", "Abrir Documento")</f>
        <v>0</v>
      </c>
      <c r="D12208" t="s">
        <v>23500</v>
      </c>
      <c r="E12208" t="s">
        <v>34683</v>
      </c>
    </row>
    <row r="12209" spans="1:5">
      <c r="A12209" t="s">
        <v>6</v>
      </c>
      <c r="B12209" t="s">
        <v>12214</v>
      </c>
      <c r="C12209">
        <f>HYPERLINK("C:\Users\franc\OneDrive\Documentos\MALENTIN KARIME\BANCO ESTADO\2012 DEPTO ESCRITURAS fata\NOTARIA 2009\MANDATOS 2007\ECILDA DEL ROSARIO A CESAR ALFARO.doc", "Abrir Documento")</f>
        <v>0</v>
      </c>
      <c r="D12209" t="s">
        <v>23500</v>
      </c>
      <c r="E12209" t="s">
        <v>34684</v>
      </c>
    </row>
    <row r="12210" spans="1:5">
      <c r="A12210" t="s">
        <v>6</v>
      </c>
      <c r="B12210" t="s">
        <v>12215</v>
      </c>
      <c r="C12210">
        <f>HYPERLINK("C:\Users\franc\OneDrive\Documentos\MALENTIN KARIME\BANCO ESTADO\2012 DEPTO ESCRITURAS fata\NOTARIA 2009\MANDATOS 2007\DAGMAR VALENZUELA A ELANDRA FLORES (VENDER CONYUGE).doc", "Abrir Documento")</f>
        <v>0</v>
      </c>
      <c r="D12210" t="s">
        <v>23500</v>
      </c>
      <c r="E12210" t="s">
        <v>34685</v>
      </c>
    </row>
    <row r="12211" spans="1:5">
      <c r="A12211" t="s">
        <v>6</v>
      </c>
      <c r="B12211" t="s">
        <v>12216</v>
      </c>
      <c r="C12211">
        <f>HYPERLINK("C:\Users\franc\OneDrive\Documentos\MALENTIN KARIME\BANCO ESTADO\2012 DEPTO ESCRITURAS fata\NOTARIA 2009\MANDATOS 2007\CISTO VEGA A  LUCILA VEGA (CON CONYUGE).doc", "Abrir Documento")</f>
        <v>0</v>
      </c>
      <c r="D12211" t="s">
        <v>23500</v>
      </c>
      <c r="E12211" t="s">
        <v>34686</v>
      </c>
    </row>
    <row r="12212" spans="1:5">
      <c r="A12212" t="s">
        <v>6</v>
      </c>
      <c r="B12212" t="s">
        <v>12217</v>
      </c>
      <c r="C12212">
        <f>HYPERLINK("C:\Users\franc\OneDrive\Documentos\MALENTIN KARIME\BANCO ESTADO\2012 DEPTO ESCRITURAS fata\NOTARIA 2009\MANDATOS 2007\CELIA PIZARRO Y OT.A SU HNO. (DERECHOS).doc", "Abrir Documento")</f>
        <v>0</v>
      </c>
      <c r="D12212" t="s">
        <v>23500</v>
      </c>
      <c r="E12212" t="s">
        <v>34687</v>
      </c>
    </row>
    <row r="12213" spans="1:5">
      <c r="A12213" t="s">
        <v>6</v>
      </c>
      <c r="B12213" t="s">
        <v>12218</v>
      </c>
      <c r="C12213">
        <f>HYPERLINK("C:\Users\franc\OneDrive\Documentos\MALENTIN KARIME\BANCO ESTADO\2012 DEPTO ESCRITURAS fata\NOTARIA 2009\MANDATOS 2007\CAROLINA ORTIZ A FCO. ORTIZ (COMPRA PROP).doc", "Abrir Documento")</f>
        <v>0</v>
      </c>
      <c r="D12213" t="s">
        <v>23500</v>
      </c>
      <c r="E12213" t="s">
        <v>34688</v>
      </c>
    </row>
    <row r="12214" spans="1:5">
      <c r="A12214" t="s">
        <v>6</v>
      </c>
      <c r="B12214" t="s">
        <v>12219</v>
      </c>
      <c r="C12214">
        <f>HYPERLINK("C:\Users\franc\OneDrive\Documentos\MALENTIN KARIME\BANCO ESTADO\2012 DEPTO ESCRITURAS fata\NOTARIA 2009\MANDATOS 2007\ARINDA MILLA A SU HIJO (ACCIONES).doc", "Abrir Documento")</f>
        <v>0</v>
      </c>
      <c r="D12214" t="s">
        <v>23500</v>
      </c>
      <c r="E12214" t="s">
        <v>34689</v>
      </c>
    </row>
    <row r="12215" spans="1:5">
      <c r="A12215" t="s">
        <v>6</v>
      </c>
      <c r="B12215" t="s">
        <v>12220</v>
      </c>
      <c r="C12215">
        <f>HYPERLINK("C:\Users\franc\OneDrive\Documentos\MALENTIN KARIME\BANCO ESTADO\2012 DEPTO ESCRITURAS fata\NOTARIA 2009\MANDATOS 2007\ANJELINA TREVERTON A SU HIJO (MINAS).doc", "Abrir Documento")</f>
        <v>0</v>
      </c>
      <c r="D12215" t="s">
        <v>23500</v>
      </c>
      <c r="E12215" t="s">
        <v>34690</v>
      </c>
    </row>
    <row r="12216" spans="1:5">
      <c r="A12216" t="s">
        <v>6</v>
      </c>
      <c r="B12216" t="s">
        <v>12221</v>
      </c>
      <c r="C12216">
        <f>HYPERLINK("C:\Users\franc\OneDrive\Documentos\MALENTIN KARIME\BANCO ESTADO\2012 DEPTO ESCRITURAS fata\NOTARIA 2009\MANDATOS 2007\ANEXO 3 MINAS ZEPEDA.doc", "Abrir Documento")</f>
        <v>0</v>
      </c>
      <c r="D12216" t="s">
        <v>23500</v>
      </c>
      <c r="E12216" t="s">
        <v>34691</v>
      </c>
    </row>
    <row r="12217" spans="1:5">
      <c r="A12217" t="s">
        <v>6</v>
      </c>
      <c r="B12217" t="s">
        <v>12222</v>
      </c>
      <c r="C12217">
        <f>HYPERLINK("C:\Users\franc\OneDrive\Documentos\MALENTIN KARIME\BANCO ESTADO\2012 DEPTO ESCRITURAS fata\NOTARIA 2009\MANDATOS 2007\ANEXO 2 MINAS ZEPEDA.doc", "Abrir Documento")</f>
        <v>0</v>
      </c>
      <c r="D12217" t="s">
        <v>23500</v>
      </c>
      <c r="E12217" t="s">
        <v>34692</v>
      </c>
    </row>
    <row r="12218" spans="1:5">
      <c r="A12218" t="s">
        <v>6</v>
      </c>
      <c r="B12218" t="s">
        <v>12223</v>
      </c>
      <c r="C12218">
        <f>HYPERLINK("C:\Users\franc\OneDrive\Documentos\MALENTIN KARIME\BANCO ESTADO\2012 DEPTO ESCRITURAS fata\NOTARIA 2009\MANDATOS 2007\ANA GONZALEZ A HECTOR ADAOS.doc", "Abrir Documento")</f>
        <v>0</v>
      </c>
      <c r="D12218" t="s">
        <v>23500</v>
      </c>
      <c r="E12218" t="s">
        <v>34693</v>
      </c>
    </row>
    <row r="12219" spans="1:5">
      <c r="A12219" t="s">
        <v>6</v>
      </c>
      <c r="B12219" t="s">
        <v>12224</v>
      </c>
      <c r="C12219">
        <f>HYPERLINK("C:\Users\franc\OneDrive\Documentos\MALENTIN KARIME\BANCO ESTADO\2012 DEPTO ESCRITURAS fata\NOTARIA 2009\MANDATOS 2007\ALEXI ORELLANA A JULIETA GALLO (VENTA CONYUGE).doc", "Abrir Documento")</f>
        <v>0</v>
      </c>
      <c r="D12219" t="s">
        <v>23500</v>
      </c>
      <c r="E12219" t="s">
        <v>34694</v>
      </c>
    </row>
    <row r="12220" spans="1:5">
      <c r="A12220" t="s">
        <v>6</v>
      </c>
      <c r="B12220" t="s">
        <v>12225</v>
      </c>
      <c r="C12220">
        <f>HYPERLINK("C:\Users\franc\OneDrive\Documentos\MALENTIN KARIME\BANCO ESTADO\2012 DEPTO ESCRITURAS fata\NOTARIA 2009\MANDATOS 2007\ALADINO ROBLES A SU CONYUGE (VENDER).doc", "Abrir Documento")</f>
        <v>0</v>
      </c>
      <c r="D12220" t="s">
        <v>23500</v>
      </c>
      <c r="E12220" t="s">
        <v>34695</v>
      </c>
    </row>
    <row r="12221" spans="1:5">
      <c r="A12221" t="s">
        <v>6</v>
      </c>
      <c r="B12221" t="s">
        <v>12226</v>
      </c>
      <c r="C12221">
        <f>HYPERLINK("C:\Users\franc\OneDrive\Documentos\MALENTIN KARIME\BANCO ESTADO\2012 DEPTO ESCRITURAS fata\NOTARIA 2009\MANDATOS 2007\AGUSTIN PINTO A  LUZ CASTRO.doc", "Abrir Documento")</f>
        <v>0</v>
      </c>
      <c r="D12221" t="s">
        <v>23500</v>
      </c>
      <c r="E12221" t="s">
        <v>34696</v>
      </c>
    </row>
    <row r="12222" spans="1:5">
      <c r="A12222" t="s">
        <v>6</v>
      </c>
      <c r="B12222" t="s">
        <v>12227</v>
      </c>
      <c r="C12222">
        <f>HYPERLINK("C:\Users\franc\OneDrive\Documentos\MALENTIN KARIME\BANCO ESTADO\2012 DEPTO ESCRITURAS fata\NOTARIA 2009\MANDATOS 2007\).doc", "Abrir Documento")</f>
        <v>0</v>
      </c>
      <c r="D12222" t="s">
        <v>23500</v>
      </c>
      <c r="E12222" t="s">
        <v>34697</v>
      </c>
    </row>
    <row r="12223" spans="1:5">
      <c r="A12223" t="s">
        <v>6</v>
      </c>
      <c r="B12223" t="s">
        <v>12228</v>
      </c>
      <c r="C12223">
        <f>HYPERLINK("C:\Users\franc\OneDrive\Documentos\MALENTIN KARIME\BANCO ESTADO\2012 DEPTO ESCRITURAS fata\NOTARIA 2009\MANDATOS 2006\XIMENA POZO A VICTOR JACOB    BCO.doc", "Abrir Documento")</f>
        <v>0</v>
      </c>
      <c r="D12223" t="s">
        <v>23500</v>
      </c>
      <c r="E12223" t="s">
        <v>34698</v>
      </c>
    </row>
    <row r="12224" spans="1:5">
      <c r="A12224" t="s">
        <v>6</v>
      </c>
      <c r="B12224" t="s">
        <v>12229</v>
      </c>
      <c r="C12224">
        <f>HYPERLINK("C:\Users\franc\OneDrive\Documentos\MALENTIN KARIME\BANCO ESTADO\2012 DEPTO ESCRITURAS fata\NOTARIA 2009\MANDATOS 2006\vilma solar.doc", "Abrir Documento")</f>
        <v>0</v>
      </c>
      <c r="D12224" t="s">
        <v>23500</v>
      </c>
      <c r="E12224" t="s">
        <v>34699</v>
      </c>
    </row>
    <row r="12225" spans="1:5">
      <c r="A12225" t="s">
        <v>6</v>
      </c>
      <c r="B12225" t="s">
        <v>12230</v>
      </c>
      <c r="C12225">
        <f>HYPERLINK("C:\Users\franc\OneDrive\Documentos\MALENTIN KARIME\BANCO ESTADO\2012 DEPTO ESCRITURAS fata\NOTARIA 2009\MANDATOS 2006\VANESSA TAPIA A RODOLFO REY (COMPRA VEH).doc", "Abrir Documento")</f>
        <v>0</v>
      </c>
      <c r="D12225" t="s">
        <v>23500</v>
      </c>
      <c r="E12225" t="s">
        <v>34700</v>
      </c>
    </row>
    <row r="12226" spans="1:5">
      <c r="A12226" t="s">
        <v>6</v>
      </c>
      <c r="B12226" t="s">
        <v>12231</v>
      </c>
      <c r="C12226">
        <f>HYPERLINK("C:\Users\franc\OneDrive\Documentos\MALENTIN KARIME\BANCO ESTADO\2012 DEPTO ESCRITURAS fata\NOTARIA 2009\MANDATOS 2006\TELMA JAIME A GUSTAVO JAIME.doc", "Abrir Documento")</f>
        <v>0</v>
      </c>
      <c r="D12226" t="s">
        <v>23500</v>
      </c>
      <c r="E12226" t="s">
        <v>34701</v>
      </c>
    </row>
    <row r="12227" spans="1:5">
      <c r="A12227" t="s">
        <v>6</v>
      </c>
      <c r="B12227" t="s">
        <v>12232</v>
      </c>
      <c r="C12227">
        <f>HYPERLINK("C:\Users\franc\OneDrive\Documentos\MALENTIN KARIME\BANCO ESTADO\2012 DEPTO ESCRITURAS fata\NOTARIA 2009\MANDATOS 2006\TELLO A IVAN TELLO.doc", "Abrir Documento")</f>
        <v>0</v>
      </c>
      <c r="D12227" t="s">
        <v>23500</v>
      </c>
      <c r="E12227" t="s">
        <v>34702</v>
      </c>
    </row>
    <row r="12228" spans="1:5">
      <c r="A12228" t="s">
        <v>6</v>
      </c>
      <c r="B12228" t="s">
        <v>12233</v>
      </c>
      <c r="C12228">
        <f>HYPERLINK("C:\Users\franc\OneDrive\Documentos\MALENTIN KARIME\BANCO ESTADO\2012 DEPTO ESCRITURAS fata\NOTARIA 2009\MANDATOS 2006\SUC. SARA TAPIA A GUILLERMO ULLOA.doc", "Abrir Documento")</f>
        <v>0</v>
      </c>
      <c r="D12228" t="s">
        <v>23500</v>
      </c>
      <c r="E12228" t="s">
        <v>34703</v>
      </c>
    </row>
    <row r="12229" spans="1:5">
      <c r="A12229" t="s">
        <v>6</v>
      </c>
      <c r="B12229" t="s">
        <v>12234</v>
      </c>
      <c r="C12229">
        <f>HYPERLINK("C:\Users\franc\OneDrive\Documentos\MALENTIN KARIME\BANCO ESTADO\2012 DEPTO ESCRITURAS fata\NOTARIA 2009\MANDATOS 2006\SOC. OCHOTIERRAS LTDA..doc", "Abrir Documento")</f>
        <v>0</v>
      </c>
      <c r="D12229" t="s">
        <v>23500</v>
      </c>
      <c r="E12229" t="s">
        <v>34704</v>
      </c>
    </row>
    <row r="12230" spans="1:5">
      <c r="A12230" t="s">
        <v>6</v>
      </c>
      <c r="B12230" t="s">
        <v>12235</v>
      </c>
      <c r="C12230">
        <f>HYPERLINK("C:\Users\franc\OneDrive\Documentos\MALENTIN KARIME\BANCO ESTADO\2012 DEPTO ESCRITURAS fata\NOTARIA 2009\MANDATOS 2006\SOC. COM. TAMAYA A PATRICIO PINTO Y OTRA.doc", "Abrir Documento")</f>
        <v>0</v>
      </c>
      <c r="D12230" t="s">
        <v>23500</v>
      </c>
      <c r="E12230" t="s">
        <v>34705</v>
      </c>
    </row>
    <row r="12231" spans="1:5">
      <c r="A12231" t="s">
        <v>6</v>
      </c>
      <c r="B12231" t="s">
        <v>12236</v>
      </c>
      <c r="C12231">
        <f>HYPERLINK("C:\Users\franc\OneDrive\Documentos\MALENTIN KARIME\BANCO ESTADO\2012 DEPTO ESCRITURAS fata\NOTARIA 2009\MANDATOS 2006\SLM SN JOSE UNO DE PUNIT. A OMAR BARROS.doc", "Abrir Documento")</f>
        <v>0</v>
      </c>
      <c r="D12231" t="s">
        <v>23500</v>
      </c>
      <c r="E12231" t="s">
        <v>34706</v>
      </c>
    </row>
    <row r="12232" spans="1:5">
      <c r="A12232" t="s">
        <v>6</v>
      </c>
      <c r="B12232" t="s">
        <v>12237</v>
      </c>
      <c r="C12232">
        <f>HYPERLINK("C:\Users\franc\OneDrive\Documentos\MALENTIN KARIME\BANCO ESTADO\2012 DEPTO ESCRITURAS fata\NOTARIA 2009\MANDATOS 2006\Segundo Villalobos a Noelia Santos.doc", "Abrir Documento")</f>
        <v>0</v>
      </c>
      <c r="D12232" t="s">
        <v>23500</v>
      </c>
      <c r="E12232" t="s">
        <v>34707</v>
      </c>
    </row>
    <row r="12233" spans="1:5">
      <c r="A12233" t="s">
        <v>6</v>
      </c>
      <c r="B12233" t="s">
        <v>12238</v>
      </c>
      <c r="C12233">
        <f>HYPERLINK("C:\Users\franc\OneDrive\Documentos\MALENTIN KARIME\BANCO ESTADO\2012 DEPTO ESCRITURAS fata\NOTARIA 2009\MANDATOS 2006\SAN ISIDRO.doc", "Abrir Documento")</f>
        <v>0</v>
      </c>
      <c r="D12233" t="s">
        <v>23500</v>
      </c>
      <c r="E12233" t="s">
        <v>34708</v>
      </c>
    </row>
    <row r="12234" spans="1:5">
      <c r="A12234" t="s">
        <v>6</v>
      </c>
      <c r="B12234" t="s">
        <v>12239</v>
      </c>
      <c r="C12234">
        <f>HYPERLINK("C:\Users\franc\OneDrive\Documentos\MALENTIN KARIME\BANCO ESTADO\2012 DEPTO ESCRITURAS fata\NOTARIA 2009\MANDATOS 2006\SAMUEL COMPRA PROP.doc", "Abrir Documento")</f>
        <v>0</v>
      </c>
      <c r="D12234" t="s">
        <v>23500</v>
      </c>
      <c r="E12234" t="s">
        <v>34709</v>
      </c>
    </row>
    <row r="12235" spans="1:5">
      <c r="A12235" t="s">
        <v>6</v>
      </c>
      <c r="B12235" t="s">
        <v>12240</v>
      </c>
      <c r="C12235">
        <f>HYPERLINK("C:\Users\franc\OneDrive\Documentos\MALENTIN KARIME\BANCO ESTADO\2012 DEPTO ESCRITURAS fata\NOTARIA 2009\MANDATOS 2006\ROSSANA MICCONO A OSCAR GALLEGUILLOS (CTA. CTE..doc", "Abrir Documento")</f>
        <v>0</v>
      </c>
      <c r="D12235" t="s">
        <v>23500</v>
      </c>
      <c r="E12235" t="s">
        <v>34710</v>
      </c>
    </row>
    <row r="12236" spans="1:5">
      <c r="A12236" t="s">
        <v>6</v>
      </c>
      <c r="B12236" t="s">
        <v>12241</v>
      </c>
      <c r="C12236">
        <f>HYPERLINK("C:\Users\franc\OneDrive\Documentos\MALENTIN KARIME\BANCO ESTADO\2012 DEPTO ESCRITURAS fata\NOTARIA 2009\MANDATOS 2006\RODOLFO OLIVARES A RUTH VERAGUA (DERECHOS).doc", "Abrir Documento")</f>
        <v>0</v>
      </c>
      <c r="D12236" t="s">
        <v>23500</v>
      </c>
      <c r="E12236" t="s">
        <v>34711</v>
      </c>
    </row>
    <row r="12237" spans="1:5">
      <c r="A12237" t="s">
        <v>6</v>
      </c>
      <c r="B12237" t="s">
        <v>12242</v>
      </c>
      <c r="C12237">
        <f>HYPERLINK("C:\Users\franc\OneDrive\Documentos\MALENTIN KARIME\BANCO ESTADO\2012 DEPTO ESCRITURAS fata\NOTARIA 2009\MANDATOS 2006\RICARDO JOPIA BUGUEÑO.doc", "Abrir Documento")</f>
        <v>0</v>
      </c>
      <c r="D12237" t="s">
        <v>23500</v>
      </c>
      <c r="E12237" t="s">
        <v>34712</v>
      </c>
    </row>
    <row r="12238" spans="1:5">
      <c r="A12238" t="s">
        <v>6</v>
      </c>
      <c r="B12238" t="s">
        <v>12243</v>
      </c>
      <c r="C12238">
        <f>HYPERLINK("C:\Users\franc\OneDrive\Documentos\MALENTIN KARIME\BANCO ESTADO\2012 DEPTO ESCRITURAS fata\NOTARIA 2009\MANDATOS 2006\PATRICIO PINTO A CARMEN GLORIA (CTA. CTE.).doc", "Abrir Documento")</f>
        <v>0</v>
      </c>
      <c r="D12238" t="s">
        <v>23500</v>
      </c>
      <c r="E12238" t="s">
        <v>34713</v>
      </c>
    </row>
    <row r="12239" spans="1:5">
      <c r="A12239" t="s">
        <v>6</v>
      </c>
      <c r="B12239" t="s">
        <v>12244</v>
      </c>
      <c r="C12239">
        <f>HYPERLINK("C:\Users\franc\OneDrive\Documentos\MALENTIN KARIME\BANCO ESTADO\2012 DEPTO ESCRITURAS fata\NOTARIA 2009\MANDATOS 2006\NERY ARAYA A ROXANA FLORES.doc", "Abrir Documento")</f>
        <v>0</v>
      </c>
      <c r="D12239" t="s">
        <v>23500</v>
      </c>
      <c r="E12239" t="s">
        <v>34714</v>
      </c>
    </row>
    <row r="12240" spans="1:5">
      <c r="A12240" t="s">
        <v>6</v>
      </c>
      <c r="B12240" t="s">
        <v>12245</v>
      </c>
      <c r="C12240">
        <f>HYPERLINK("C:\Users\franc\OneDrive\Documentos\MALENTIN KARIME\BANCO ESTADO\2012 DEPTO ESCRITURAS fata\NOTARIA 2009\MANDATOS 2006\NELLY TORO Y CONYUGE A SU MAMA (DERECHOS).doc", "Abrir Documento")</f>
        <v>0</v>
      </c>
      <c r="D12240" t="s">
        <v>23500</v>
      </c>
      <c r="E12240" t="s">
        <v>34715</v>
      </c>
    </row>
    <row r="12241" spans="1:5">
      <c r="A12241" t="s">
        <v>6</v>
      </c>
      <c r="B12241" t="s">
        <v>12246</v>
      </c>
      <c r="C12241">
        <f>HYPERLINK("C:\Users\franc\OneDrive\Documentos\MALENTIN KARIME\BANCO ESTADO\2012 DEPTO ESCRITURAS fata\NOTARIA 2009\MANDATOS 2006\MIRIAM VILLALOBOS.doc", "Abrir Documento")</f>
        <v>0</v>
      </c>
      <c r="D12241" t="s">
        <v>23500</v>
      </c>
      <c r="E12241" t="s">
        <v>34716</v>
      </c>
    </row>
    <row r="12242" spans="1:5">
      <c r="A12242" t="s">
        <v>6</v>
      </c>
      <c r="B12242" t="s">
        <v>12247</v>
      </c>
      <c r="C12242">
        <f>HYPERLINK("C:\Users\franc\OneDrive\Documentos\MALENTIN KARIME\BANCO ESTADO\2012 DEPTO ESCRITURAS fata\NOTARIA 2009\MANDATOS 2006\MIREYA ELIANA COSIO BELTRAN.doc", "Abrir Documento")</f>
        <v>0</v>
      </c>
      <c r="D12242" t="s">
        <v>23500</v>
      </c>
      <c r="E12242" t="s">
        <v>34717</v>
      </c>
    </row>
    <row r="12243" spans="1:5">
      <c r="A12243" t="s">
        <v>6</v>
      </c>
      <c r="B12243" t="s">
        <v>12248</v>
      </c>
      <c r="C12243">
        <f>HYPERLINK("C:\Users\franc\OneDrive\Documentos\MALENTIN KARIME\BANCO ESTADO\2012 DEPTO ESCRITURAS fata\NOTARIA 2009\MANDATOS 2006\MARLENE FRANULIC A BERNARDO CONTRERA.doc", "Abrir Documento")</f>
        <v>0</v>
      </c>
      <c r="D12243" t="s">
        <v>23500</v>
      </c>
      <c r="E12243" t="s">
        <v>34718</v>
      </c>
    </row>
    <row r="12244" spans="1:5">
      <c r="A12244" t="s">
        <v>6</v>
      </c>
      <c r="B12244" t="s">
        <v>12249</v>
      </c>
      <c r="C12244">
        <f>HYPERLINK("C:\Users\franc\OneDrive\Documentos\MALENTIN KARIME\BANCO ESTADO\2012 DEPTO ESCRITURAS fata\NOTARIA 2009\MANDATOS 2006\MARISOL ESPEJO A ADA ROMERO.doc", "Abrir Documento")</f>
        <v>0</v>
      </c>
      <c r="D12244" t="s">
        <v>23500</v>
      </c>
      <c r="E12244" t="s">
        <v>34719</v>
      </c>
    </row>
    <row r="12245" spans="1:5">
      <c r="A12245" t="s">
        <v>6</v>
      </c>
      <c r="B12245" t="s">
        <v>12250</v>
      </c>
      <c r="C12245">
        <f>HYPERLINK("C:\Users\franc\OneDrive\Documentos\MALENTIN KARIME\BANCO ESTADO\2012 DEPTO ESCRITURAS fata\NOTARIA 2009\MANDATOS 2006\MARIO ARAYA A DAVID ARAYA.doc", "Abrir Documento")</f>
        <v>0</v>
      </c>
      <c r="D12245" t="s">
        <v>23500</v>
      </c>
      <c r="E12245" t="s">
        <v>34720</v>
      </c>
    </row>
    <row r="12246" spans="1:5">
      <c r="A12246" t="s">
        <v>6</v>
      </c>
      <c r="B12246" t="s">
        <v>12251</v>
      </c>
      <c r="C12246">
        <f>HYPERLINK("C:\Users\franc\OneDrive\Documentos\MALENTIN KARIME\BANCO ESTADO\2012 DEPTO ESCRITURAS fata\NOTARIA 2009\MANDATOS 2006\MARIA PABLINA GOMEZ CASTILLO Derecho Herencia.doc", "Abrir Documento")</f>
        <v>0</v>
      </c>
      <c r="D12246" t="s">
        <v>23500</v>
      </c>
      <c r="E12246" t="s">
        <v>34721</v>
      </c>
    </row>
    <row r="12247" spans="1:5">
      <c r="A12247" t="s">
        <v>6</v>
      </c>
      <c r="B12247" t="s">
        <v>12252</v>
      </c>
      <c r="C12247">
        <f>HYPERLINK("C:\Users\franc\OneDrive\Documentos\MALENTIN KARIME\BANCO ESTADO\2012 DEPTO ESCRITURAS fata\NOTARIA 2009\MANDATOS 2006\MARIA MALEBRAN A SU SOBRINA.doc", "Abrir Documento")</f>
        <v>0</v>
      </c>
      <c r="D12247" t="s">
        <v>23500</v>
      </c>
      <c r="E12247" t="s">
        <v>34722</v>
      </c>
    </row>
    <row r="12248" spans="1:5">
      <c r="A12248" t="s">
        <v>6</v>
      </c>
      <c r="B12248" t="s">
        <v>12253</v>
      </c>
      <c r="C12248">
        <f>HYPERLINK("C:\Users\franc\OneDrive\Documentos\MALENTIN KARIME\BANCO ESTADO\2012 DEPTO ESCRITURAS fata\NOTARIA 2009\MANDATOS 2006\MARIA MALEBRAN A SU HERMANA.doc", "Abrir Documento")</f>
        <v>0</v>
      </c>
      <c r="D12248" t="s">
        <v>23500</v>
      </c>
      <c r="E12248" t="s">
        <v>34723</v>
      </c>
    </row>
    <row r="12249" spans="1:5">
      <c r="A12249" t="s">
        <v>6</v>
      </c>
      <c r="B12249" t="s">
        <v>12254</v>
      </c>
      <c r="C12249">
        <f>HYPERLINK("C:\Users\franc\OneDrive\Documentos\MALENTIN KARIME\BANCO ESTADO\2012 DEPTO ESCRITURAS fata\NOTARIA 2009\MANDATOS 2006\MARIA BARRIOS A DANILO PEÑAFIEL (CONYUGE).doc", "Abrir Documento")</f>
        <v>0</v>
      </c>
      <c r="D12249" t="s">
        <v>23500</v>
      </c>
      <c r="E12249" t="s">
        <v>34724</v>
      </c>
    </row>
    <row r="12250" spans="1:5">
      <c r="A12250" t="s">
        <v>6</v>
      </c>
      <c r="B12250" t="s">
        <v>12255</v>
      </c>
      <c r="C12250">
        <f>HYPERLINK("C:\Users\franc\OneDrive\Documentos\MALENTIN KARIME\BANCO ESTADO\2012 DEPTO ESCRITURAS fata\NOTARIA 2009\MANDATOS 2006\MARCO LIBANO A JAIME TORRES (CORPORACION).doc", "Abrir Documento")</f>
        <v>0</v>
      </c>
      <c r="D12250" t="s">
        <v>23500</v>
      </c>
      <c r="E12250" t="s">
        <v>34725</v>
      </c>
    </row>
    <row r="12251" spans="1:5">
      <c r="A12251" t="s">
        <v>6</v>
      </c>
      <c r="B12251" t="s">
        <v>12256</v>
      </c>
      <c r="C12251">
        <f>HYPERLINK("C:\Users\franc\OneDrive\Documentos\MALENTIN KARIME\BANCO ESTADO\2012 DEPTO ESCRITURAS fata\NOTARIA 2009\MANDATOS 2006\MARCELA MANDATO GENRAL.doc", "Abrir Documento")</f>
        <v>0</v>
      </c>
      <c r="D12251" t="s">
        <v>23500</v>
      </c>
      <c r="E12251" t="s">
        <v>34726</v>
      </c>
    </row>
    <row r="12252" spans="1:5">
      <c r="A12252" t="s">
        <v>6</v>
      </c>
      <c r="B12252" t="s">
        <v>12257</v>
      </c>
      <c r="C12252">
        <f>HYPERLINK("C:\Users\franc\OneDrive\Documentos\MALENTIN KARIME\BANCO ESTADO\2012 DEPTO ESCRITURAS fata\NOTARIA 2009\MANDATOS 2006\MANDATO PARA COMPRAR.doc", "Abrir Documento")</f>
        <v>0</v>
      </c>
      <c r="D12252" t="s">
        <v>23500</v>
      </c>
      <c r="E12252" t="s">
        <v>34727</v>
      </c>
    </row>
    <row r="12253" spans="1:5">
      <c r="A12253" t="s">
        <v>6</v>
      </c>
      <c r="B12253" t="s">
        <v>12258</v>
      </c>
      <c r="C12253">
        <f>HYPERLINK("C:\Users\franc\OneDrive\Documentos\MALENTIN KARIME\BANCO ESTADO\2012 DEPTO ESCRITURAS fata\NOTARIA 2009\MANDATOS 2006\LUIS GODOY A GONZALO CAMPUSANO.doc", "Abrir Documento")</f>
        <v>0</v>
      </c>
      <c r="D12253" t="s">
        <v>23500</v>
      </c>
      <c r="E12253" t="s">
        <v>34728</v>
      </c>
    </row>
    <row r="12254" spans="1:5">
      <c r="A12254" t="s">
        <v>6</v>
      </c>
      <c r="B12254" t="s">
        <v>12259</v>
      </c>
      <c r="C12254">
        <f>HYPERLINK("C:\Users\franc\OneDrive\Documentos\MALENTIN KARIME\BANCO ESTADO\2012 DEPTO ESCRITURAS fata\NOTARIA 2009\MANDATOS 2006\LUIS CONTRERAS A MELIDA CASTILLO.doc", "Abrir Documento")</f>
        <v>0</v>
      </c>
      <c r="D12254" t="s">
        <v>23500</v>
      </c>
      <c r="E12254" t="s">
        <v>34729</v>
      </c>
    </row>
    <row r="12255" spans="1:5">
      <c r="A12255" t="s">
        <v>6</v>
      </c>
      <c r="B12255" t="s">
        <v>12260</v>
      </c>
      <c r="C12255">
        <f>HYPERLINK("C:\Users\franc\OneDrive\Documentos\MALENTIN KARIME\BANCO ESTADO\2012 DEPTO ESCRITURAS fata\NOTARIA 2009\MANDATOS 2006\LIDIA CAQUEO FERNANDEZ.doc", "Abrir Documento")</f>
        <v>0</v>
      </c>
      <c r="D12255" t="s">
        <v>23500</v>
      </c>
      <c r="E12255" t="s">
        <v>34730</v>
      </c>
    </row>
    <row r="12256" spans="1:5">
      <c r="A12256" t="s">
        <v>6</v>
      </c>
      <c r="B12256" t="s">
        <v>12261</v>
      </c>
      <c r="C12256">
        <f>HYPERLINK("C:\Users\franc\OneDrive\Documentos\MALENTIN KARIME\BANCO ESTADO\2012 DEPTO ESCRITURAS fata\NOTARIA 2009\MANDATOS 2006\JUANA ENCINA A SU HERMANA (DERECHOS).doc", "Abrir Documento")</f>
        <v>0</v>
      </c>
      <c r="D12256" t="s">
        <v>23500</v>
      </c>
      <c r="E12256" t="s">
        <v>34731</v>
      </c>
    </row>
    <row r="12257" spans="1:5">
      <c r="A12257" t="s">
        <v>6</v>
      </c>
      <c r="B12257" t="s">
        <v>12262</v>
      </c>
      <c r="C12257">
        <f>HYPERLINK("C:\Users\franc\OneDrive\Documentos\MALENTIN KARIME\BANCO ESTADO\2012 DEPTO ESCRITURAS fata\NOTARIA 2009\MANDATOS 2006\JUAN NUÑEZ VENTA VEHICULOS.doc", "Abrir Documento")</f>
        <v>0</v>
      </c>
      <c r="D12257" t="s">
        <v>23500</v>
      </c>
      <c r="E12257" t="s">
        <v>34732</v>
      </c>
    </row>
    <row r="12258" spans="1:5">
      <c r="A12258" t="s">
        <v>6</v>
      </c>
      <c r="B12258" t="s">
        <v>12263</v>
      </c>
      <c r="C12258">
        <f>HYPERLINK("C:\Users\franc\OneDrive\Documentos\MALENTIN KARIME\BANCO ESTADO\2012 DEPTO ESCRITURAS fata\NOTARIA 2009\MANDATOS 2006\JOSE CASTILLO A SILVIA CASTILLO.doc", "Abrir Documento")</f>
        <v>0</v>
      </c>
      <c r="D12258" t="s">
        <v>23500</v>
      </c>
      <c r="E12258" t="s">
        <v>34733</v>
      </c>
    </row>
    <row r="12259" spans="1:5">
      <c r="A12259" t="s">
        <v>6</v>
      </c>
      <c r="B12259" t="s">
        <v>12264</v>
      </c>
      <c r="C12259">
        <f>HYPERLINK("C:\Users\franc\OneDrive\Documentos\MALENTIN KARIME\BANCO ESTADO\2012 DEPTO ESCRITURAS fata\NOTARIA 2009\MANDATOS 2006\jorge segovia cta. cte..doc", "Abrir Documento")</f>
        <v>0</v>
      </c>
      <c r="D12259" t="s">
        <v>23500</v>
      </c>
      <c r="E12259" t="s">
        <v>34734</v>
      </c>
    </row>
    <row r="12260" spans="1:5">
      <c r="A12260" t="s">
        <v>6</v>
      </c>
      <c r="B12260" t="s">
        <v>12265</v>
      </c>
      <c r="C12260">
        <f>HYPERLINK("C:\Users\franc\OneDrive\Documentos\MALENTIN KARIME\BANCO ESTADO\2012 DEPTO ESCRITURAS fata\NOTARIA 2009\MANDATOS 2006\JACOB Y POZO LTDA. A VICTOR HUGO.doc", "Abrir Documento")</f>
        <v>0</v>
      </c>
      <c r="D12260" t="s">
        <v>23500</v>
      </c>
      <c r="E12260" t="s">
        <v>34735</v>
      </c>
    </row>
    <row r="12261" spans="1:5">
      <c r="A12261" t="s">
        <v>6</v>
      </c>
      <c r="B12261" t="s">
        <v>12266</v>
      </c>
      <c r="C12261">
        <f>HYPERLINK("C:\Users\franc\OneDrive\Documentos\MALENTIN KARIME\BANCO ESTADO\2012 DEPTO ESCRITURAS fata\NOTARIA 2009\MANDATOS 2006\GUSTAVO VERDUGO A SU HERMANA (DERECHO).doc", "Abrir Documento")</f>
        <v>0</v>
      </c>
      <c r="D12261" t="s">
        <v>23500</v>
      </c>
      <c r="E12261" t="s">
        <v>34736</v>
      </c>
    </row>
    <row r="12262" spans="1:5">
      <c r="A12262" t="s">
        <v>6</v>
      </c>
      <c r="B12262" t="s">
        <v>12267</v>
      </c>
      <c r="C12262">
        <f>HYPERLINK("C:\Users\franc\OneDrive\Documentos\MALENTIN KARIME\BANCO ESTADO\2012 DEPTO ESCRITURAS fata\NOTARIA 2009\MANDATOS 2006\GUILLERMO ROJAS A MAGALI COFRE.doc", "Abrir Documento")</f>
        <v>0</v>
      </c>
      <c r="D12262" t="s">
        <v>23500</v>
      </c>
      <c r="E12262" t="s">
        <v>34737</v>
      </c>
    </row>
    <row r="12263" spans="1:5">
      <c r="A12263" t="s">
        <v>6</v>
      </c>
      <c r="B12263" t="s">
        <v>12268</v>
      </c>
      <c r="C12263">
        <f>HYPERLINK("C:\Users\franc\OneDrive\Documentos\MALENTIN KARIME\BANCO ESTADO\2012 DEPTO ESCRITURAS fata\NOTARIA 2009\MANDATOS 2006\GUILLERMO ROJAS A MAGALI COFRE cta ahorro.doc", "Abrir Documento")</f>
        <v>0</v>
      </c>
      <c r="D12263" t="s">
        <v>23500</v>
      </c>
      <c r="E12263" t="s">
        <v>34738</v>
      </c>
    </row>
    <row r="12264" spans="1:5">
      <c r="A12264" t="s">
        <v>6</v>
      </c>
      <c r="B12264" t="s">
        <v>12269</v>
      </c>
      <c r="C12264">
        <f>HYPERLINK("C:\Users\franc\OneDrive\Documentos\MALENTIN KARIME\BANCO ESTADO\2012 DEPTO ESCRITURAS fata\NOTARIA 2009\MANDATOS 2006\GUILLERMO LUIS ENRIQUE AGUILERA SALGADO.doc", "Abrir Documento")</f>
        <v>0</v>
      </c>
      <c r="D12264" t="s">
        <v>23500</v>
      </c>
      <c r="E12264" t="s">
        <v>34739</v>
      </c>
    </row>
    <row r="12265" spans="1:5">
      <c r="A12265" t="s">
        <v>6</v>
      </c>
      <c r="B12265" t="s">
        <v>12270</v>
      </c>
      <c r="C12265">
        <f>HYPERLINK("C:\Users\franc\OneDrive\Documentos\MALENTIN KARIME\BANCO ESTADO\2012 DEPTO ESCRITURAS fata\NOTARIA 2009\MANDATOS 2006\FRANCO PEREZ A EDUARDO ALLENDES.doc", "Abrir Documento")</f>
        <v>0</v>
      </c>
      <c r="D12265" t="s">
        <v>23500</v>
      </c>
      <c r="E12265" t="s">
        <v>34740</v>
      </c>
    </row>
    <row r="12266" spans="1:5">
      <c r="A12266" t="s">
        <v>6</v>
      </c>
      <c r="B12266" t="s">
        <v>12271</v>
      </c>
      <c r="C12266">
        <f>HYPERLINK("C:\Users\franc\OneDrive\Documentos\MALENTIN KARIME\BANCO ESTADO\2012 DEPTO ESCRITURAS fata\NOTARIA 2009\MANDATOS 2006\FELIX MORENO TORRES a ANDREA MORENTO SANTANDER.doc", "Abrir Documento")</f>
        <v>0</v>
      </c>
      <c r="D12266" t="s">
        <v>23500</v>
      </c>
      <c r="E12266" t="s">
        <v>34741</v>
      </c>
    </row>
    <row r="12267" spans="1:5">
      <c r="A12267" t="s">
        <v>6</v>
      </c>
      <c r="B12267" t="s">
        <v>12272</v>
      </c>
      <c r="C12267">
        <f>HYPERLINK("C:\Users\franc\OneDrive\Documentos\MALENTIN KARIME\BANCO ESTADO\2012 DEPTO ESCRITURAS fata\NOTARIA 2009\MANDATOS 2006\ECOPRIMITIVAS S.A.  A CARLOS LAGUNAS.doc", "Abrir Documento")</f>
        <v>0</v>
      </c>
      <c r="D12267" t="s">
        <v>23500</v>
      </c>
      <c r="E12267" t="s">
        <v>34742</v>
      </c>
    </row>
    <row r="12268" spans="1:5">
      <c r="A12268" t="s">
        <v>6</v>
      </c>
      <c r="B12268" t="s">
        <v>12273</v>
      </c>
      <c r="C12268">
        <f>HYPERLINK("C:\Users\franc\OneDrive\Documentos\MALENTIN KARIME\BANCO ESTADO\2012 DEPTO ESCRITURAS fata\NOTARIA 2009\MANDATOS 2006\CRISTIAN VEGA  venta propiedad.doc", "Abrir Documento")</f>
        <v>0</v>
      </c>
      <c r="D12268" t="s">
        <v>23500</v>
      </c>
      <c r="E12268" t="s">
        <v>34743</v>
      </c>
    </row>
    <row r="12269" spans="1:5">
      <c r="A12269" t="s">
        <v>6</v>
      </c>
      <c r="B12269" t="s">
        <v>12274</v>
      </c>
      <c r="C12269">
        <f>HYPERLINK("C:\Users\franc\OneDrive\Documentos\MALENTIN KARIME\BANCO ESTADO\2012 DEPTO ESCRITURAS fata\NOTARIA 2009\MANDATOS 2006\CRISPULO LOPEZ A ROSA CASTRO (CTA. CTE.).doc", "Abrir Documento")</f>
        <v>0</v>
      </c>
      <c r="D12269" t="s">
        <v>23500</v>
      </c>
      <c r="E12269" t="s">
        <v>34744</v>
      </c>
    </row>
    <row r="12270" spans="1:5">
      <c r="A12270" t="s">
        <v>6</v>
      </c>
      <c r="B12270" t="s">
        <v>12275</v>
      </c>
      <c r="C12270">
        <f>HYPERLINK("C:\Users\franc\OneDrive\Documentos\MALENTIN KARIME\BANCO ESTADO\2012 DEPTO ESCRITURAS fata\NOTARIA 2009\MANDATOS 2006\COMUNIDAD LAS DAMAS A AMDEZA.doc", "Abrir Documento")</f>
        <v>0</v>
      </c>
      <c r="D12270" t="s">
        <v>23500</v>
      </c>
      <c r="E12270" t="s">
        <v>34745</v>
      </c>
    </row>
    <row r="12271" spans="1:5">
      <c r="A12271" t="s">
        <v>6</v>
      </c>
      <c r="B12271" t="s">
        <v>12276</v>
      </c>
      <c r="C12271">
        <f>HYPERLINK("C:\Users\franc\OneDrive\Documentos\MALENTIN KARIME\BANCO ESTADO\2012 DEPTO ESCRITURAS fata\NOTARIA 2009\MANDATOS 2006\CAROLINA POZO.doc", "Abrir Documento")</f>
        <v>0</v>
      </c>
      <c r="D12271" t="s">
        <v>23500</v>
      </c>
      <c r="E12271" t="s">
        <v>34746</v>
      </c>
    </row>
    <row r="12272" spans="1:5">
      <c r="A12272" t="s">
        <v>6</v>
      </c>
      <c r="B12272" t="s">
        <v>12277</v>
      </c>
      <c r="C12272">
        <f>HYPERLINK("C:\Users\franc\OneDrive\Documentos\MALENTIN KARIME\BANCO ESTADO\2012 DEPTO ESCRITURAS fata\NOTARIA 2009\MANDATOS 2006\AUTORIZACION Rubilan del Rosario Cisternas a Gumercinda Pizarro.doc", "Abrir Documento")</f>
        <v>0</v>
      </c>
      <c r="D12272" t="s">
        <v>23500</v>
      </c>
      <c r="E12272" t="s">
        <v>34747</v>
      </c>
    </row>
    <row r="12273" spans="1:5">
      <c r="A12273" t="s">
        <v>6</v>
      </c>
      <c r="B12273" t="s">
        <v>12278</v>
      </c>
      <c r="C12273">
        <f>HYPERLINK("C:\Users\franc\OneDrive\Documentos\MALENTIN KARIME\BANCO ESTADO\2012 DEPTO ESCRITURAS fata\NOTARIA 2009\MANDATOS 2006\ARMANDO OLIVARES A JOSEFINA OLIVARES.doc", "Abrir Documento")</f>
        <v>0</v>
      </c>
      <c r="D12273" t="s">
        <v>23500</v>
      </c>
      <c r="E12273" t="s">
        <v>34748</v>
      </c>
    </row>
    <row r="12274" spans="1:5">
      <c r="A12274" t="s">
        <v>6</v>
      </c>
      <c r="B12274" t="s">
        <v>12279</v>
      </c>
      <c r="C12274">
        <f>HYPERLINK("C:\Users\franc\OneDrive\Documentos\MALENTIN KARIME\BANCO ESTADO\2012 DEPTO ESCRITURAS fata\NOTARIA 2009\MANDATOS 2006\AGLAYE ARACENA A XIMENA ARAYA (BANCO).doc", "Abrir Documento")</f>
        <v>0</v>
      </c>
      <c r="D12274" t="s">
        <v>23500</v>
      </c>
      <c r="E12274" t="s">
        <v>34749</v>
      </c>
    </row>
    <row r="12275" spans="1:5">
      <c r="A12275" t="s">
        <v>6</v>
      </c>
      <c r="B12275" t="s">
        <v>12280</v>
      </c>
      <c r="C12275">
        <f>HYPERLINK("C:\Users\franc\OneDrive\Documentos\MALENTIN KARIME\BANCO ESTADO\2012 DEPTO ESCRITURAS fata\NOTARIA 2009\MANDATO ADMINISTRACION\MANDATO.DOC", "Abrir Documento")</f>
        <v>0</v>
      </c>
      <c r="D12275" t="s">
        <v>23500</v>
      </c>
      <c r="E12275" t="s">
        <v>34750</v>
      </c>
    </row>
    <row r="12276" spans="1:5">
      <c r="A12276" t="s">
        <v>6</v>
      </c>
      <c r="B12276" t="s">
        <v>12281</v>
      </c>
      <c r="C12276">
        <f>HYPERLINK("C:\Users\franc\OneDrive\Documentos\MALENTIN KARIME\BANCO ESTADO\2012 DEPTO ESCRITURAS fata\NOTARIA 2009\MANDATO ADMINISTRACION\LUIS DIAZ A RAMON DIAZ (MAS COMPLETO).doc", "Abrir Documento")</f>
        <v>0</v>
      </c>
      <c r="D12276" t="s">
        <v>23500</v>
      </c>
      <c r="E12276" t="s">
        <v>34751</v>
      </c>
    </row>
    <row r="12277" spans="1:5">
      <c r="A12277" t="s">
        <v>6</v>
      </c>
      <c r="B12277" t="s">
        <v>12282</v>
      </c>
      <c r="C12277">
        <f>HYPERLINK("C:\Users\franc\OneDrive\Documentos\MALENTIN KARIME\BANCO ESTADO\2012 DEPTO ESCRITURAS fata\NOTARIA 2009\MANDATO ADMINISTRACION\JUAN DE DIOS  CASTILLO ZAMBRA.doc", "Abrir Documento")</f>
        <v>0</v>
      </c>
      <c r="D12277" t="s">
        <v>23500</v>
      </c>
      <c r="E12277" t="s">
        <v>34752</v>
      </c>
    </row>
    <row r="12278" spans="1:5">
      <c r="A12278" t="s">
        <v>6</v>
      </c>
      <c r="B12278" t="s">
        <v>12283</v>
      </c>
      <c r="C12278">
        <f>HYPERLINK("C:\Users\franc\OneDrive\Documentos\MALENTIN KARIME\BANCO ESTADO\2012 DEPTO ESCRITURAS fata\NOTARIA 2009\MANDATO ADMINISTRACION\JAVIER PIZARRO Y OTRA.doc", "Abrir Documento")</f>
        <v>0</v>
      </c>
      <c r="D12278" t="s">
        <v>23500</v>
      </c>
      <c r="E12278" t="s">
        <v>34753</v>
      </c>
    </row>
    <row r="12279" spans="1:5">
      <c r="A12279" t="s">
        <v>6</v>
      </c>
      <c r="B12279" t="s">
        <v>12284</v>
      </c>
      <c r="C12279">
        <f>HYPERLINK("C:\Users\franc\OneDrive\Documentos\MALENTIN KARIME\BANCO ESTADO\2012 DEPTO ESCRITURAS fata\NOTARIA 2009\MANDATO ADMINISTRACION\Guillermo Pizarro Araya.doc", "Abrir Documento")</f>
        <v>0</v>
      </c>
      <c r="D12279" t="s">
        <v>23500</v>
      </c>
      <c r="E12279" t="s">
        <v>34754</v>
      </c>
    </row>
    <row r="12280" spans="1:5">
      <c r="A12280" t="s">
        <v>6</v>
      </c>
      <c r="B12280" t="s">
        <v>12285</v>
      </c>
      <c r="C12280">
        <f>HYPERLINK("C:\Users\franc\OneDrive\Documentos\MALENTIN KARIME\BANCO ESTADO\2012 DEPTO ESCRITURAS fata\NOTARIA 2009\MA. ANGELICA MARIN\OPCION DE COMPRA CIA. MRA. VIENTO NORTE.doc", "Abrir Documento")</f>
        <v>0</v>
      </c>
      <c r="D12280" t="s">
        <v>23500</v>
      </c>
      <c r="E12280" t="s">
        <v>34755</v>
      </c>
    </row>
    <row r="12281" spans="1:5">
      <c r="A12281" t="s">
        <v>6</v>
      </c>
      <c r="B12281" t="s">
        <v>12286</v>
      </c>
      <c r="C12281">
        <f>HYPERLINK("C:\Users\franc\OneDrive\Documentos\MALENTIN KARIME\BANCO ESTADO\2012 DEPTO ESCRITURAS fata\NOTARIA 2009\LUZ TORREJON\yolanda muñoz.doc", "Abrir Documento")</f>
        <v>0</v>
      </c>
      <c r="D12281" t="s">
        <v>23500</v>
      </c>
      <c r="E12281" t="s">
        <v>34756</v>
      </c>
    </row>
    <row r="12282" spans="1:5">
      <c r="A12282" t="s">
        <v>6</v>
      </c>
      <c r="B12282" t="s">
        <v>12287</v>
      </c>
      <c r="C12282">
        <f>HYPERLINK("C:\Users\franc\OneDrive\Documentos\MALENTIN KARIME\BANCO ESTADO\2012 DEPTO ESCRITURAS fata\NOTARIA 2009\LUZ TORREJON\TESTAMENTO ABIERTO.doc", "Abrir Documento")</f>
        <v>0</v>
      </c>
      <c r="D12282" t="s">
        <v>23500</v>
      </c>
      <c r="E12282" t="s">
        <v>34757</v>
      </c>
    </row>
    <row r="12283" spans="1:5">
      <c r="A12283" t="s">
        <v>6</v>
      </c>
      <c r="B12283" t="s">
        <v>12288</v>
      </c>
      <c r="C12283">
        <f>HYPERLINK("C:\Users\franc\OneDrive\Documentos\MALENTIN KARIME\BANCO ESTADO\2012 DEPTO ESCRITURAS fata\NOTARIA 2009\LUZ TORREJON\SOC. TRANSPORTES LUIS Y JOSE TORREJON.doc", "Abrir Documento")</f>
        <v>0</v>
      </c>
      <c r="D12283" t="s">
        <v>23500</v>
      </c>
      <c r="E12283" t="s">
        <v>34758</v>
      </c>
    </row>
    <row r="12284" spans="1:5">
      <c r="A12284" t="s">
        <v>6</v>
      </c>
      <c r="B12284" t="s">
        <v>12289</v>
      </c>
      <c r="C12284">
        <f>HYPERLINK("C:\Users\franc\OneDrive\Documentos\MALENTIN KARIME\BANCO ESTADO\2012 DEPTO ESCRITURAS fata\NOTARIA 2009\LUZ TORREJON\RECTIFICA MANDATO ANITA.doc", "Abrir Documento")</f>
        <v>0</v>
      </c>
      <c r="D12284" t="s">
        <v>23500</v>
      </c>
      <c r="E12284" t="s">
        <v>34759</v>
      </c>
    </row>
    <row r="12285" spans="1:5">
      <c r="A12285" t="s">
        <v>6</v>
      </c>
      <c r="B12285" t="s">
        <v>12290</v>
      </c>
      <c r="C12285">
        <f>HYPERLINK("C:\Users\franc\OneDrive\Documentos\MALENTIN KARIME\BANCO ESTADO\2012 DEPTO ESCRITURAS fata\NOTARIA 2009\LUZ TORREJON\PRUDENCIO ARAYA A SILVIA CORTES.doc", "Abrir Documento")</f>
        <v>0</v>
      </c>
      <c r="D12285" t="s">
        <v>23500</v>
      </c>
      <c r="E12285" t="s">
        <v>34760</v>
      </c>
    </row>
    <row r="12286" spans="1:5">
      <c r="A12286" t="s">
        <v>6</v>
      </c>
      <c r="B12286" t="s">
        <v>12291</v>
      </c>
      <c r="C12286">
        <f>HYPERLINK("C:\Users\franc\OneDrive\Documentos\MALENTIN KARIME\BANCO ESTADO\2012 DEPTO ESCRITURAS fata\NOTARIA 2009\LUZ TORREJON\OMAR ARRENAS EXTRACTO.doc", "Abrir Documento")</f>
        <v>0</v>
      </c>
      <c r="D12286" t="s">
        <v>23500</v>
      </c>
      <c r="E12286" t="s">
        <v>34761</v>
      </c>
    </row>
    <row r="12287" spans="1:5">
      <c r="A12287" t="s">
        <v>6</v>
      </c>
      <c r="B12287" t="s">
        <v>12292</v>
      </c>
      <c r="C12287">
        <f>HYPERLINK("C:\Users\franc\OneDrive\Documentos\MALENTIN KARIME\BANCO ESTADO\2012 DEPTO ESCRITURAS fata\NOTARIA 2009\LUZ TORREJON\OMAR ARENAS E.I.R.L..doc", "Abrir Documento")</f>
        <v>0</v>
      </c>
      <c r="D12287" t="s">
        <v>23500</v>
      </c>
      <c r="E12287" t="s">
        <v>34762</v>
      </c>
    </row>
    <row r="12288" spans="1:5">
      <c r="A12288" t="s">
        <v>6</v>
      </c>
      <c r="B12288" t="s">
        <v>12293</v>
      </c>
      <c r="C12288">
        <f>HYPERLINK("C:\Users\franc\OneDrive\Documentos\MALENTIN KARIME\BANCO ESTADO\2012 DEPTO ESCRITURAS fata\NOTARIA 2009\LUZ TORREJON\LUISA RIOS COMPRAVENTA BS. MUEBLES.doc", "Abrir Documento")</f>
        <v>0</v>
      </c>
      <c r="D12288" t="s">
        <v>23500</v>
      </c>
      <c r="E12288" t="s">
        <v>34763</v>
      </c>
    </row>
    <row r="12289" spans="1:5">
      <c r="A12289" t="s">
        <v>6</v>
      </c>
      <c r="B12289" t="s">
        <v>12294</v>
      </c>
      <c r="C12289">
        <f>HYPERLINK("C:\Users\franc\OneDrive\Documentos\MALENTIN KARIME\BANCO ESTADO\2012 DEPTO ESCRITURAS fata\NOTARIA 2009\LUZ TORREJON\LA ITALIANA ADJUDICACOIN PATENTE COMERCIAL.doc", "Abrir Documento")</f>
        <v>0</v>
      </c>
      <c r="D12289" t="s">
        <v>23500</v>
      </c>
      <c r="E12289" t="s">
        <v>34764</v>
      </c>
    </row>
    <row r="12290" spans="1:5">
      <c r="A12290" t="s">
        <v>6</v>
      </c>
      <c r="B12290" t="s">
        <v>12295</v>
      </c>
      <c r="C12290">
        <f>HYPERLINK("C:\Users\franc\OneDrive\Documentos\MALENTIN KARIME\BANCO ESTADO\2012 DEPTO ESCRITURAS fata\NOTARIA 2009\LUZ TORREJON\LA ITALIANA ADJUDICACION.doc", "Abrir Documento")</f>
        <v>0</v>
      </c>
      <c r="D12290" t="s">
        <v>23500</v>
      </c>
      <c r="E12290" t="s">
        <v>34765</v>
      </c>
    </row>
    <row r="12291" spans="1:5">
      <c r="A12291" t="s">
        <v>6</v>
      </c>
      <c r="B12291" t="s">
        <v>12296</v>
      </c>
      <c r="C12291">
        <f>HYPERLINK("C:\Users\franc\OneDrive\Documentos\MALENTIN KARIME\BANCO ESTADO\2012 DEPTO ESCRITURAS fata\NOTARIA 2009\LUZ TORREJON\JOSE TORREJON A ADRIANA VILLALOBOS.doc", "Abrir Documento")</f>
        <v>0</v>
      </c>
      <c r="D12291" t="s">
        <v>23500</v>
      </c>
      <c r="E12291" t="s">
        <v>34766</v>
      </c>
    </row>
    <row r="12292" spans="1:5">
      <c r="A12292" t="s">
        <v>6</v>
      </c>
      <c r="B12292" t="s">
        <v>12297</v>
      </c>
      <c r="C12292">
        <f>HYPERLINK("C:\Users\franc\OneDrive\Documentos\MALENTIN KARIME\BANCO ESTADO\2012 DEPTO ESCRITURAS fata\NOTARIA 2009\LUZ TORREJON\JACQUELINE HENRIQUEZ A PRUDENCIO ARAYA (ANITA).doc", "Abrir Documento")</f>
        <v>0</v>
      </c>
      <c r="D12292" t="s">
        <v>23500</v>
      </c>
      <c r="E12292" t="s">
        <v>34767</v>
      </c>
    </row>
    <row r="12293" spans="1:5">
      <c r="A12293" t="s">
        <v>6</v>
      </c>
      <c r="B12293" t="s">
        <v>12298</v>
      </c>
      <c r="C12293">
        <f>HYPERLINK("C:\Users\franc\OneDrive\Documentos\MALENTIN KARIME\BANCO ESTADO\2012 DEPTO ESCRITURAS fata\NOTARIA 2009\LUZ TORREJON\ISABEL ARAYA ARANDA.doc", "Abrir Documento")</f>
        <v>0</v>
      </c>
      <c r="D12293" t="s">
        <v>23500</v>
      </c>
      <c r="E12293" t="s">
        <v>34768</v>
      </c>
    </row>
    <row r="12294" spans="1:5">
      <c r="A12294" t="s">
        <v>6</v>
      </c>
      <c r="B12294" t="s">
        <v>12299</v>
      </c>
      <c r="C12294">
        <f>HYPERLINK("C:\Users\franc\OneDrive\Documentos\MALENTIN KARIME\BANCO ESTADO\2012 DEPTO ESCRITURAS fata\NOTARIA 2009\LUZ TORREJON\ISABEL ARAYA ARANDA (CESION DERECHOS HEREDITARIOS.doc", "Abrir Documento")</f>
        <v>0</v>
      </c>
      <c r="D12294" t="s">
        <v>23500</v>
      </c>
      <c r="E12294" t="s">
        <v>34769</v>
      </c>
    </row>
    <row r="12295" spans="1:5">
      <c r="A12295" t="s">
        <v>6</v>
      </c>
      <c r="B12295" t="s">
        <v>12300</v>
      </c>
      <c r="C12295">
        <f>HYPERLINK("C:\Users\franc\OneDrive\Documentos\MALENTIN KARIME\BANCO ESTADO\2012 DEPTO ESCRITURAS fata\NOTARIA 2009\LUZ TORREJON\EXTRACTO SOC. LUIS TORREJON.doc", "Abrir Documento")</f>
        <v>0</v>
      </c>
      <c r="D12295" t="s">
        <v>23500</v>
      </c>
      <c r="E12295" t="s">
        <v>34770</v>
      </c>
    </row>
    <row r="12296" spans="1:5">
      <c r="A12296" t="s">
        <v>6</v>
      </c>
      <c r="B12296" t="s">
        <v>12301</v>
      </c>
      <c r="C12296">
        <f>HYPERLINK("C:\Users\franc\OneDrive\Documentos\MALENTIN KARIME\BANCO ESTADO\2012 DEPTO ESCRITURAS fata\NOTARIA 2009\LUZ TORREJON\ernesto tapia.doc", "Abrir Documento")</f>
        <v>0</v>
      </c>
      <c r="D12296" t="s">
        <v>23500</v>
      </c>
      <c r="E12296" t="s">
        <v>34771</v>
      </c>
    </row>
    <row r="12297" spans="1:5">
      <c r="A12297" t="s">
        <v>6</v>
      </c>
      <c r="B12297" t="s">
        <v>12302</v>
      </c>
      <c r="C12297">
        <f>HYPERLINK("C:\Users\franc\OneDrive\Documentos\MALENTIN KARIME\BANCO ESTADO\2012 DEPTO ESCRITURAS fata\NOTARIA 2009\LUZ TORREJON\EMILIA SANTIBAÑEZ A LORNA NARBONA.doc", "Abrir Documento")</f>
        <v>0</v>
      </c>
      <c r="D12297" t="s">
        <v>23500</v>
      </c>
      <c r="E12297" t="s">
        <v>34772</v>
      </c>
    </row>
    <row r="12298" spans="1:5">
      <c r="A12298" t="s">
        <v>6</v>
      </c>
      <c r="B12298" t="s">
        <v>12303</v>
      </c>
      <c r="C12298">
        <f>HYPERLINK("C:\Users\franc\OneDrive\Documentos\MALENTIN KARIME\BANCO ESTADO\2012 DEPTO ESCRITURAS fata\NOTARIA 2009\LUZ TORREJON\EMILIA SANTIBAÑEZ A FABIAN BECERRA.doc", "Abrir Documento")</f>
        <v>0</v>
      </c>
      <c r="D12298" t="s">
        <v>23500</v>
      </c>
      <c r="E12298" t="s">
        <v>34773</v>
      </c>
    </row>
    <row r="12299" spans="1:5">
      <c r="A12299" t="s">
        <v>6</v>
      </c>
      <c r="B12299" t="s">
        <v>12304</v>
      </c>
      <c r="C12299">
        <f>HYPERLINK("C:\Users\franc\OneDrive\Documentos\MALENTIN KARIME\BANCO ESTADO\2012 DEPTO ESCRITURAS fata\NOTARIA 2009\LUZ TORREJON\ELSA ARAYA A JOSE CORTES.doc", "Abrir Documento")</f>
        <v>0</v>
      </c>
      <c r="D12299" t="s">
        <v>23500</v>
      </c>
      <c r="E12299" t="s">
        <v>34774</v>
      </c>
    </row>
    <row r="12300" spans="1:5">
      <c r="A12300" t="s">
        <v>6</v>
      </c>
      <c r="B12300" t="s">
        <v>12305</v>
      </c>
      <c r="C12300">
        <f>HYPERLINK("C:\Users\franc\OneDrive\Documentos\MALENTIN KARIME\BANCO ESTADO\2012 DEPTO ESCRITURAS fata\NOTARIA 2009\LUZ TORREJON\ELIAS HERRERA A ANA FREDES (BS. MUEBLES).doc", "Abrir Documento")</f>
        <v>0</v>
      </c>
      <c r="D12300" t="s">
        <v>23500</v>
      </c>
      <c r="E12300" t="s">
        <v>34775</v>
      </c>
    </row>
    <row r="12301" spans="1:5">
      <c r="A12301" t="s">
        <v>6</v>
      </c>
      <c r="B12301" t="s">
        <v>12306</v>
      </c>
      <c r="C12301">
        <f>HYPERLINK("C:\Users\franc\OneDrive\Documentos\MALENTIN KARIME\BANCO ESTADO\2012 DEPTO ESCRITURAS fata\NOTARIA 2009\LUZ TORREJON\ELIANA OLIVARES A JAVIER OLIVARES.doc", "Abrir Documento")</f>
        <v>0</v>
      </c>
      <c r="D12301" t="s">
        <v>23500</v>
      </c>
      <c r="E12301" t="s">
        <v>34776</v>
      </c>
    </row>
    <row r="12302" spans="1:5">
      <c r="A12302" t="s">
        <v>6</v>
      </c>
      <c r="B12302" t="s">
        <v>12307</v>
      </c>
      <c r="C12302">
        <f>HYPERLINK("C:\Users\franc\OneDrive\Documentos\MALENTIN KARIME\BANCO ESTADO\2012 DEPTO ESCRITURAS fata\NOTARIA 2009\LUZ TORREJON\ELIANA OLIVARES A FANTINA OLIVARES (RECTIFI).doc", "Abrir Documento")</f>
        <v>0</v>
      </c>
      <c r="D12302" t="s">
        <v>23500</v>
      </c>
      <c r="E12302" t="s">
        <v>34777</v>
      </c>
    </row>
    <row r="12303" spans="1:5">
      <c r="A12303" t="s">
        <v>6</v>
      </c>
      <c r="B12303" t="s">
        <v>12308</v>
      </c>
      <c r="C12303">
        <f>HYPERLINK("C:\Users\franc\OneDrive\Documentos\MALENTIN KARIME\BANCO ESTADO\2012 DEPTO ESCRITURAS fata\NOTARIA 2009\LUZ TORREJON\DIGNA BUGUEÑO A ALBERTO GONZALEZ.doc", "Abrir Documento")</f>
        <v>0</v>
      </c>
      <c r="D12303" t="s">
        <v>23500</v>
      </c>
      <c r="E12303" t="s">
        <v>34778</v>
      </c>
    </row>
    <row r="12304" spans="1:5">
      <c r="A12304" t="s">
        <v>6</v>
      </c>
      <c r="B12304" t="s">
        <v>12309</v>
      </c>
      <c r="C12304">
        <f>HYPERLINK("C:\Users\franc\OneDrive\Documentos\MALENTIN KARIME\BANCO ESTADO\2012 DEPTO ESCRITURAS fata\NOTARIA 2009\LUZ TORREJON\CONTRATO_ARRIENDO_NARBONA[1].doc", "Abrir Documento")</f>
        <v>0</v>
      </c>
      <c r="D12304" t="s">
        <v>23500</v>
      </c>
      <c r="E12304" t="s">
        <v>34779</v>
      </c>
    </row>
    <row r="12305" spans="1:5">
      <c r="A12305" t="s">
        <v>6</v>
      </c>
      <c r="B12305" t="s">
        <v>12310</v>
      </c>
      <c r="C12305">
        <f>HYPERLINK("C:\Users\franc\OneDrive\Documentos\MALENTIN KARIME\BANCO ESTADO\2012 DEPTO ESCRITURAS fata\NOTARIA 2009\LUZ TORREJON\CONTRATO_ARRIENDO_NARBONA FINAL.doc", "Abrir Documento")</f>
        <v>0</v>
      </c>
      <c r="D12305" t="s">
        <v>23500</v>
      </c>
      <c r="E12305" t="s">
        <v>34780</v>
      </c>
    </row>
    <row r="12306" spans="1:5">
      <c r="A12306" t="s">
        <v>6</v>
      </c>
      <c r="B12306" t="s">
        <v>12311</v>
      </c>
      <c r="C12306">
        <f>HYPERLINK("C:\Users\franc\OneDrive\Documentos\MALENTIN KARIME\BANCO ESTADO\2012 DEPTO ESCRITURAS fata\NOTARIA 2009\LUZ TORREJON\COMPRAVENTA BINEES MUEBLES ALCAYAGA.doc", "Abrir Documento")</f>
        <v>0</v>
      </c>
      <c r="D12306" t="s">
        <v>23500</v>
      </c>
      <c r="E12306" t="s">
        <v>34781</v>
      </c>
    </row>
    <row r="12307" spans="1:5">
      <c r="A12307" t="s">
        <v>6</v>
      </c>
      <c r="B12307" t="s">
        <v>12312</v>
      </c>
      <c r="C12307">
        <f>HYPERLINK("C:\Users\franc\OneDrive\Documentos\MALENTIN KARIME\BANCO ESTADO\2012 DEPTO ESCRITURAS fata\NOTARIA 2009\LUZ TORREJON\CESION DE DERECHOS VILLALOBOS.doc", "Abrir Documento")</f>
        <v>0</v>
      </c>
      <c r="D12307" t="s">
        <v>23500</v>
      </c>
      <c r="E12307" t="s">
        <v>34782</v>
      </c>
    </row>
    <row r="12308" spans="1:5">
      <c r="A12308" t="s">
        <v>6</v>
      </c>
      <c r="B12308" t="s">
        <v>12313</v>
      </c>
      <c r="C12308">
        <f>HYPERLINK("C:\Users\franc\OneDrive\Documentos\MALENTIN KARIME\BANCO ESTADO\2012 DEPTO ESCRITURAS fata\NOTARIA 2009\LUZ TORREJON\C.V. INMB.  TORREJON A VARGAS.doc", "Abrir Documento")</f>
        <v>0</v>
      </c>
      <c r="D12308" t="s">
        <v>23500</v>
      </c>
      <c r="E12308" t="s">
        <v>34783</v>
      </c>
    </row>
    <row r="12309" spans="1:5">
      <c r="A12309" t="s">
        <v>6</v>
      </c>
      <c r="B12309" t="s">
        <v>12314</v>
      </c>
      <c r="C12309">
        <f>HYPERLINK("C:\Users\franc\OneDrive\Documentos\MALENTIN KARIME\BANCO ESTADO\2012 DEPTO ESCRITURAS fata\NOTARIA 2009\LUZ TORREJON\AMARO HIDALGO A LUIS TORREJON.doc", "Abrir Documento")</f>
        <v>0</v>
      </c>
      <c r="D12309" t="s">
        <v>23500</v>
      </c>
      <c r="E12309" t="s">
        <v>34784</v>
      </c>
    </row>
    <row r="12310" spans="1:5">
      <c r="A12310" t="s">
        <v>6</v>
      </c>
      <c r="B12310" t="s">
        <v>12315</v>
      </c>
      <c r="C12310">
        <f>HYPERLINK("C:\Users\franc\OneDrive\Documentos\MALENTIN KARIME\BANCO ESTADO\2012 DEPTO ESCRITURAS fata\NOTARIA 2009\LUIS GALLARDO OSORIO\SERGIO CANIHUANTE EXTRACTO.doc", "Abrir Documento")</f>
        <v>0</v>
      </c>
      <c r="D12310" t="s">
        <v>23500</v>
      </c>
      <c r="E12310" t="s">
        <v>34785</v>
      </c>
    </row>
    <row r="12311" spans="1:5">
      <c r="A12311" t="s">
        <v>6</v>
      </c>
      <c r="B12311" t="s">
        <v>12316</v>
      </c>
      <c r="C12311">
        <f>HYPERLINK("C:\Users\franc\OneDrive\Documentos\MALENTIN KARIME\BANCO ESTADO\2012 DEPTO ESCRITURAS fata\NOTARIA 2009\LUIS GALLARDO OSORIO\SERGIO CANIHUANTE E.I.R.L..doc", "Abrir Documento")</f>
        <v>0</v>
      </c>
      <c r="D12311" t="s">
        <v>23500</v>
      </c>
      <c r="E12311" t="s">
        <v>34786</v>
      </c>
    </row>
    <row r="12312" spans="1:5">
      <c r="A12312" t="s">
        <v>6</v>
      </c>
      <c r="B12312" t="s">
        <v>12317</v>
      </c>
      <c r="C12312">
        <f>HYPERLINK("C:\Users\franc\OneDrive\Documentos\MALENTIN KARIME\BANCO ESTADO\2012 DEPTO ESCRITURAS fata\NOTARIA 2009\LUIS GALLARDO OSORIO\RECAREDO GOMEZ A ANA GOMEZ (CESION DE DERECHOS).doc", "Abrir Documento")</f>
        <v>0</v>
      </c>
      <c r="D12312" t="s">
        <v>23500</v>
      </c>
      <c r="E12312" t="s">
        <v>34787</v>
      </c>
    </row>
    <row r="12313" spans="1:5">
      <c r="A12313" t="s">
        <v>6</v>
      </c>
      <c r="B12313" t="s">
        <v>12318</v>
      </c>
      <c r="C12313">
        <f>HYPERLINK("C:\Users\franc\OneDrive\Documentos\MALENTIN KARIME\BANCO ESTADO\2012 DEPTO ESCRITURAS fata\NOTARIA 2009\LUIS GALLARDO OSORIO\REBECA ROSADO.doc", "Abrir Documento")</f>
        <v>0</v>
      </c>
      <c r="D12313" t="s">
        <v>23500</v>
      </c>
      <c r="E12313" t="s">
        <v>34788</v>
      </c>
    </row>
    <row r="12314" spans="1:5">
      <c r="A12314" t="s">
        <v>6</v>
      </c>
      <c r="B12314" t="s">
        <v>12319</v>
      </c>
      <c r="C12314">
        <f>HYPERLINK("C:\Users\franc\OneDrive\Documentos\MALENTIN KARIME\BANCO ESTADO\2012 DEPTO ESCRITURAS fata\NOTARIA 2009\LUIS GALLARDO OSORIO\REBECA ROSADO FINAL.doc", "Abrir Documento")</f>
        <v>0</v>
      </c>
      <c r="D12314" t="s">
        <v>23500</v>
      </c>
      <c r="E12314" t="s">
        <v>34789</v>
      </c>
    </row>
    <row r="12315" spans="1:5">
      <c r="A12315" t="s">
        <v>6</v>
      </c>
      <c r="B12315" t="s">
        <v>12320</v>
      </c>
      <c r="C12315">
        <f>HYPERLINK("C:\Users\franc\OneDrive\Documentos\MALENTIN KARIME\BANCO ESTADO\2012 DEPTO ESCRITURAS fata\NOTARIA 2009\LUIS GALLARDO OSORIO\RAMON HENRIQUEZ (MANDATO GENERAL).doc", "Abrir Documento")</f>
        <v>0</v>
      </c>
      <c r="D12315" t="s">
        <v>23500</v>
      </c>
      <c r="E12315" t="s">
        <v>34790</v>
      </c>
    </row>
    <row r="12316" spans="1:5">
      <c r="A12316" t="s">
        <v>6</v>
      </c>
      <c r="B12316" t="s">
        <v>12321</v>
      </c>
      <c r="C12316">
        <f>HYPERLINK("C:\Users\franc\OneDrive\Documentos\MALENTIN KARIME\BANCO ESTADO\2012 DEPTO ESCRITURAS fata\NOTARIA 2009\LUIS GALLARDO OSORIO\ORLANDO SEGOVIA A JORGE CONTRERAS.doc", "Abrir Documento")</f>
        <v>0</v>
      </c>
      <c r="D12316" t="s">
        <v>23500</v>
      </c>
      <c r="E12316" t="s">
        <v>34791</v>
      </c>
    </row>
    <row r="12317" spans="1:5">
      <c r="A12317" t="s">
        <v>6</v>
      </c>
      <c r="B12317" t="s">
        <v>12322</v>
      </c>
      <c r="C12317">
        <f>HYPERLINK("C:\Users\franc\OneDrive\Documentos\MALENTIN KARIME\BANCO ESTADO\2012 DEPTO ESCRITURAS fata\NOTARIA 2009\LUIS GALLARDO OSORIO\MARY TEMPLEMAN A JAMES TEMPLEMAN (CESION Y URUFRUCTO).doc", "Abrir Documento")</f>
        <v>0</v>
      </c>
      <c r="D12317" t="s">
        <v>23500</v>
      </c>
      <c r="E12317" t="s">
        <v>34792</v>
      </c>
    </row>
    <row r="12318" spans="1:5">
      <c r="A12318" t="s">
        <v>6</v>
      </c>
      <c r="B12318" t="s">
        <v>12323</v>
      </c>
      <c r="C12318">
        <f>HYPERLINK("C:\Users\franc\OneDrive\Documentos\MALENTIN KARIME\BANCO ESTADO\2012 DEPTO ESCRITURAS fata\NOTARIA 2009\LUIS GALLARDO OSORIO\MARIA VERGARA A OLIVA RIVERA (CV Y USU).doc", "Abrir Documento")</f>
        <v>0</v>
      </c>
      <c r="D12318" t="s">
        <v>23500</v>
      </c>
      <c r="E12318" t="s">
        <v>34793</v>
      </c>
    </row>
    <row r="12319" spans="1:5">
      <c r="A12319" t="s">
        <v>6</v>
      </c>
      <c r="B12319" t="s">
        <v>12324</v>
      </c>
      <c r="C12319">
        <f>HYPERLINK("C:\Users\franc\OneDrive\Documentos\MALENTIN KARIME\BANCO ESTADO\2012 DEPTO ESCRITURAS fata\NOTARIA 2009\LUIS GALLARDO OSORIO\MARIA ROJAS A WALTER VEGA.doc", "Abrir Documento")</f>
        <v>0</v>
      </c>
      <c r="D12319" t="s">
        <v>23500</v>
      </c>
      <c r="E12319" t="s">
        <v>34794</v>
      </c>
    </row>
    <row r="12320" spans="1:5">
      <c r="A12320" t="s">
        <v>6</v>
      </c>
      <c r="B12320" t="s">
        <v>12325</v>
      </c>
      <c r="C12320">
        <f>HYPERLINK("C:\Users\franc\OneDrive\Documentos\MALENTIN KARIME\BANCO ESTADO\2012 DEPTO ESCRITURAS fata\NOTARIA 2009\LUIS GALLARDO OSORIO\LUIS GALLARDO OSORIO (ADJUDICACION AGUAS).doc", "Abrir Documento")</f>
        <v>0</v>
      </c>
      <c r="D12320" t="s">
        <v>23500</v>
      </c>
      <c r="E12320" t="s">
        <v>34795</v>
      </c>
    </row>
    <row r="12321" spans="1:5">
      <c r="A12321" t="s">
        <v>6</v>
      </c>
      <c r="B12321" t="s">
        <v>12326</v>
      </c>
      <c r="C12321">
        <f>HYPERLINK("C:\Users\franc\OneDrive\Documentos\MALENTIN KARIME\BANCO ESTADO\2012 DEPTO ESCRITURAS fata\NOTARIA 2009\LUIS GALLARDO OSORIO\LUIS CORTES Y OTRA A LUIS FIGUEROA Y OTROS.doc", "Abrir Documento")</f>
        <v>0</v>
      </c>
      <c r="D12321" t="s">
        <v>23500</v>
      </c>
      <c r="E12321" t="s">
        <v>34796</v>
      </c>
    </row>
    <row r="12322" spans="1:5">
      <c r="A12322" t="s">
        <v>6</v>
      </c>
      <c r="B12322" t="s">
        <v>12327</v>
      </c>
      <c r="C12322">
        <f>HYPERLINK("C:\Users\franc\OneDrive\Documentos\MALENTIN KARIME\BANCO ESTADO\2012 DEPTO ESCRITURAS fata\NOTARIA 2009\LUIS GALLARDO OSORIO\LUIS CORTES Y OTRA A FERNANDO LEAL.doc", "Abrir Documento")</f>
        <v>0</v>
      </c>
      <c r="D12322" t="s">
        <v>23500</v>
      </c>
      <c r="E12322" t="s">
        <v>34797</v>
      </c>
    </row>
    <row r="12323" spans="1:5">
      <c r="A12323" t="s">
        <v>6</v>
      </c>
      <c r="B12323" t="s">
        <v>12328</v>
      </c>
      <c r="C12323">
        <f>HYPERLINK("C:\Users\franc\OneDrive\Documentos\MALENTIN KARIME\BANCO ESTADO\2012 DEPTO ESCRITURAS fata\NOTARIA 2009\LUIS GALLARDO OSORIO\LIDIA GOMEZ Y DANIEL AGUAYO (RATIFICACION).doc", "Abrir Documento")</f>
        <v>0</v>
      </c>
      <c r="D12323" t="s">
        <v>23500</v>
      </c>
      <c r="E12323" t="s">
        <v>34798</v>
      </c>
    </row>
    <row r="12324" spans="1:5">
      <c r="A12324" t="s">
        <v>6</v>
      </c>
      <c r="B12324" t="s">
        <v>12329</v>
      </c>
      <c r="C12324">
        <f>HYPERLINK("C:\Users\franc\OneDrive\Documentos\MALENTIN KARIME\BANCO ESTADO\2012 DEPTO ESCRITURAS fata\NOTARIA 2009\LUIS GALLARDO OSORIO\LEONARDO CORRAL Y OTROS (COMPLEMENTACION).doc", "Abrir Documento")</f>
        <v>0</v>
      </c>
      <c r="D12324" t="s">
        <v>23500</v>
      </c>
      <c r="E12324" t="s">
        <v>34799</v>
      </c>
    </row>
    <row r="12325" spans="1:5">
      <c r="A12325" t="s">
        <v>6</v>
      </c>
      <c r="B12325" t="s">
        <v>12330</v>
      </c>
      <c r="C12325">
        <f>HYPERLINK("C:\Users\franc\OneDrive\Documentos\MALENTIN KARIME\BANCO ESTADO\2012 DEPTO ESCRITURAS fata\NOTARIA 2009\LUIS GALLARDO OSORIO\LEONARDO CORRAL (PARTICION).doc", "Abrir Documento")</f>
        <v>0</v>
      </c>
      <c r="D12325" t="s">
        <v>23500</v>
      </c>
      <c r="E12325" t="s">
        <v>34800</v>
      </c>
    </row>
    <row r="12326" spans="1:5">
      <c r="A12326" t="s">
        <v>6</v>
      </c>
      <c r="B12326" t="s">
        <v>12331</v>
      </c>
      <c r="C12326">
        <f>HYPERLINK("C:\Users\franc\OneDrive\Documentos\MALENTIN KARIME\BANCO ESTADO\2012 DEPTO ESCRITURAS fata\NOTARIA 2009\LUIS GALLARDO OSORIO\JULIA CASTRO Y LUCY CONTRERAS (PROMESA).doc", "Abrir Documento")</f>
        <v>0</v>
      </c>
      <c r="D12326" t="s">
        <v>23500</v>
      </c>
      <c r="E12326" t="s">
        <v>34801</v>
      </c>
    </row>
    <row r="12327" spans="1:5">
      <c r="A12327" t="s">
        <v>6</v>
      </c>
      <c r="B12327" t="s">
        <v>12332</v>
      </c>
      <c r="C12327">
        <f>HYPERLINK("C:\Users\franc\OneDrive\Documentos\MALENTIN KARIME\BANCO ESTADO\2012 DEPTO ESCRITURAS fata\NOTARIA 2009\LUIS GALLARDO OSORIO\JORGE ROJAS (COMPLEMENTACION).doc", "Abrir Documento")</f>
        <v>0</v>
      </c>
      <c r="D12327" t="s">
        <v>23500</v>
      </c>
      <c r="E12327" t="s">
        <v>34802</v>
      </c>
    </row>
    <row r="12328" spans="1:5">
      <c r="A12328" t="s">
        <v>6</v>
      </c>
      <c r="B12328" t="s">
        <v>12333</v>
      </c>
      <c r="C12328">
        <f>HYPERLINK("C:\Users\franc\OneDrive\Documentos\MALENTIN KARIME\BANCO ESTADO\2012 DEPTO ESCRITURAS fata\NOTARIA 2009\LUIS GALLARDO OSORIO\HILDA OVALLE A LUISA LETELIER (PROMESA Y MANDATO).doc", "Abrir Documento")</f>
        <v>0</v>
      </c>
      <c r="D12328" t="s">
        <v>23500</v>
      </c>
      <c r="E12328" t="s">
        <v>34803</v>
      </c>
    </row>
    <row r="12329" spans="1:5">
      <c r="A12329" t="s">
        <v>6</v>
      </c>
      <c r="B12329" t="s">
        <v>12334</v>
      </c>
      <c r="C12329">
        <f>HYPERLINK("C:\Users\franc\OneDrive\Documentos\MALENTIN KARIME\BANCO ESTADO\2012 DEPTO ESCRITURAS fata\NOTARIA 2009\LUIS GALLARDO OSORIO\ELIANA CORTES Y OTROS (PARTICION).doc", "Abrir Documento")</f>
        <v>0</v>
      </c>
      <c r="D12329" t="s">
        <v>23500</v>
      </c>
      <c r="E12329" t="s">
        <v>34804</v>
      </c>
    </row>
    <row r="12330" spans="1:5">
      <c r="A12330" t="s">
        <v>6</v>
      </c>
      <c r="B12330" t="s">
        <v>12335</v>
      </c>
      <c r="C12330">
        <f>HYPERLINK("C:\Users\franc\OneDrive\Documentos\MALENTIN KARIME\BANCO ESTADO\2012 DEPTO ESCRITURAS fata\NOTARIA 2009\LUIS GALLARDO OSORIO\ELADIO CISTERNAS A YARITZA FUENTES Y OTRO.doc", "Abrir Documento")</f>
        <v>0</v>
      </c>
      <c r="D12330" t="s">
        <v>23500</v>
      </c>
      <c r="E12330" t="s">
        <v>34805</v>
      </c>
    </row>
    <row r="12331" spans="1:5">
      <c r="A12331" t="s">
        <v>6</v>
      </c>
      <c r="B12331" t="s">
        <v>12336</v>
      </c>
      <c r="C12331">
        <f>HYPERLINK("C:\Users\franc\OneDrive\Documentos\MALENTIN KARIME\BANCO ESTADO\2012 DEPTO ESCRITURAS fata\NOTARIA 2009\LUIS GALLARDO OSORIO\El Notario que suscribe certifica que.doc", "Abrir Documento")</f>
        <v>0</v>
      </c>
      <c r="D12331" t="s">
        <v>23500</v>
      </c>
      <c r="E12331" t="s">
        <v>34806</v>
      </c>
    </row>
    <row r="12332" spans="1:5">
      <c r="A12332" t="s">
        <v>6</v>
      </c>
      <c r="B12332" t="s">
        <v>12337</v>
      </c>
      <c r="C12332">
        <f>HYPERLINK("C:\Users\franc\OneDrive\Documentos\MALENTIN KARIME\BANCO ESTADO\2012 DEPTO ESCRITURAS fata\NOTARIA 2009\LUIS GALLARDO OSORIO\AMANDA TELLO Y OTROS (PARTICION).doc", "Abrir Documento")</f>
        <v>0</v>
      </c>
      <c r="D12332" t="s">
        <v>23500</v>
      </c>
      <c r="E12332" t="s">
        <v>34807</v>
      </c>
    </row>
    <row r="12333" spans="1:5">
      <c r="A12333" t="s">
        <v>6</v>
      </c>
      <c r="B12333" t="s">
        <v>12338</v>
      </c>
      <c r="C12333">
        <f>HYPERLINK("C:\Users\franc\OneDrive\Documentos\MALENTIN KARIME\BANCO ESTADO\2012 DEPTO ESCRITURAS fata\NOTARIA 2009\LUIS GALLARDO OSORIO\ACLARACION JORGE ROJAS.doc", "Abrir Documento")</f>
        <v>0</v>
      </c>
      <c r="D12333" t="s">
        <v>23500</v>
      </c>
      <c r="E12333" t="s">
        <v>34808</v>
      </c>
    </row>
    <row r="12334" spans="1:5">
      <c r="A12334" t="s">
        <v>6</v>
      </c>
      <c r="B12334" t="s">
        <v>12339</v>
      </c>
      <c r="C12334">
        <f>HYPERLINK("C:\Users\franc\OneDrive\Documentos\MALENTIN KARIME\BANCO ESTADO\2012 DEPTO ESCRITURAS fata\NOTARIA 2009\LUIS ALIAGA\instrucciones Jamett-Nortes.2007doc.doc", "Abrir Documento")</f>
        <v>0</v>
      </c>
      <c r="D12334" t="s">
        <v>23500</v>
      </c>
      <c r="E12334" t="s">
        <v>34809</v>
      </c>
    </row>
    <row r="12335" spans="1:5">
      <c r="A12335" t="s">
        <v>6</v>
      </c>
      <c r="B12335" t="s">
        <v>12340</v>
      </c>
      <c r="C12335">
        <f>HYPERLINK("C:\Users\franc\OneDrive\Documentos\MALENTIN KARIME\BANCO ESTADO\2012 DEPTO ESCRITURAS fata\NOTARIA 2009\LUIS ALIAGA\CESIONES DERECHOS JAMETT.doc", "Abrir Documento")</f>
        <v>0</v>
      </c>
      <c r="D12335" t="s">
        <v>23500</v>
      </c>
      <c r="E12335" t="s">
        <v>34810</v>
      </c>
    </row>
    <row r="12336" spans="1:5">
      <c r="A12336" t="s">
        <v>6</v>
      </c>
      <c r="B12336" t="s">
        <v>12341</v>
      </c>
      <c r="C12336">
        <f>HYPERLINK("C:\Users\franc\OneDrive\Documentos\MALENTIN KARIME\BANCO ESTADO\2012 DEPTO ESCRITURAS fata\NOTARIA 2009\LUIS ALIAGA\CESION JAMETT A ANDRES NORTES.doc", "Abrir Documento")</f>
        <v>0</v>
      </c>
      <c r="D12336" t="s">
        <v>23500</v>
      </c>
      <c r="E12336" t="s">
        <v>34811</v>
      </c>
    </row>
    <row r="12337" spans="1:5">
      <c r="A12337" t="s">
        <v>6</v>
      </c>
      <c r="B12337" t="s">
        <v>12342</v>
      </c>
      <c r="C12337">
        <f>HYPERLINK("C:\Users\franc\OneDrive\Documentos\MALENTIN KARIME\BANCO ESTADO\2012 DEPTO ESCRITURAS fata\NOTARIA 2009\LOGROS\HIPOTECAS\SOC. CONSTRUC. ARKON.doc", "Abrir Documento")</f>
        <v>0</v>
      </c>
      <c r="D12337" t="s">
        <v>23500</v>
      </c>
      <c r="E12337" t="s">
        <v>34812</v>
      </c>
    </row>
    <row r="12338" spans="1:5">
      <c r="A12338" t="s">
        <v>6</v>
      </c>
      <c r="B12338" t="s">
        <v>12343</v>
      </c>
      <c r="C12338">
        <f>HYPERLINK("C:\Users\franc\OneDrive\Documentos\MALENTIN KARIME\BANCO ESTADO\2012 DEPTO ESCRITURAS fata\NOTARIA 2009\LOGROS\ALZAMIENTOS\MODELO ALZAMIENTO ((2 VEHICULOS).doc", "Abrir Documento")</f>
        <v>0</v>
      </c>
      <c r="D12338" t="s">
        <v>23500</v>
      </c>
      <c r="E12338" t="s">
        <v>34813</v>
      </c>
    </row>
    <row r="12339" spans="1:5">
      <c r="A12339" t="s">
        <v>6</v>
      </c>
      <c r="B12339" t="s">
        <v>12344</v>
      </c>
      <c r="C12339">
        <f>HYPERLINK("C:\Users\franc\OneDrive\Documentos\MALENTIN KARIME\BANCO ESTADO\2012 DEPTO ESCRITURAS fata\NOTARIA 2009\LOGROS\ALZAMIENTOS\LUIS TRONCOSO ACEVEDO.doc", "Abrir Documento")</f>
        <v>0</v>
      </c>
      <c r="D12339" t="s">
        <v>23500</v>
      </c>
      <c r="E12339" t="s">
        <v>34814</v>
      </c>
    </row>
    <row r="12340" spans="1:5">
      <c r="A12340" t="s">
        <v>6</v>
      </c>
      <c r="B12340" t="s">
        <v>12345</v>
      </c>
      <c r="C12340">
        <f>HYPERLINK("C:\Users\franc\OneDrive\Documentos\MALENTIN KARIME\BANCO ESTADO\2012 DEPTO ESCRITURAS fata\NOTARIA 2009\LOGROS\ALZAMIENTOS\Doc1.doc", "Abrir Documento")</f>
        <v>0</v>
      </c>
      <c r="D12340" t="s">
        <v>23500</v>
      </c>
      <c r="E12340" t="s">
        <v>34815</v>
      </c>
    </row>
    <row r="12341" spans="1:5">
      <c r="A12341" t="s">
        <v>6</v>
      </c>
      <c r="B12341" t="s">
        <v>12346</v>
      </c>
      <c r="C12341">
        <f>HYPERLINK("C:\Users\franc\OneDrive\Documentos\MALENTIN KARIME\BANCO ESTADO\2012 DEPTO ESCRITURAS fata\NOTARIA 2009\LOGROS\WILSON YAÑEZ AGUILERA.doc", "Abrir Documento")</f>
        <v>0</v>
      </c>
      <c r="D12341" t="s">
        <v>23500</v>
      </c>
      <c r="E12341" t="s">
        <v>34816</v>
      </c>
    </row>
    <row r="12342" spans="1:5">
      <c r="A12342" t="s">
        <v>6</v>
      </c>
      <c r="B12342" t="s">
        <v>12347</v>
      </c>
      <c r="C12342">
        <f>HYPERLINK("C:\Users\franc\OneDrive\Documentos\MALENTIN KARIME\BANCO ESTADO\2012 DEPTO ESCRITURAS fata\NOTARIA 2009\LOGROS\VICTORINA VARGAS.doc", "Abrir Documento")</f>
        <v>0</v>
      </c>
      <c r="D12342" t="s">
        <v>23500</v>
      </c>
      <c r="E12342" t="s">
        <v>34817</v>
      </c>
    </row>
    <row r="12343" spans="1:5">
      <c r="A12343" t="s">
        <v>6</v>
      </c>
      <c r="B12343" t="s">
        <v>12348</v>
      </c>
      <c r="C12343">
        <f>HYPERLINK("C:\Users\franc\OneDrive\Documentos\MALENTIN KARIME\BANCO ESTADO\2012 DEPTO ESCRITURAS fata\NOTARIA 2009\LOGROS\VICTOR CASTEX.doc", "Abrir Documento")</f>
        <v>0</v>
      </c>
      <c r="D12343" t="s">
        <v>23500</v>
      </c>
      <c r="E12343" t="s">
        <v>34818</v>
      </c>
    </row>
    <row r="12344" spans="1:5">
      <c r="A12344" t="s">
        <v>6</v>
      </c>
      <c r="B12344" t="s">
        <v>12349</v>
      </c>
      <c r="C12344">
        <f>HYPERLINK("C:\Users\franc\OneDrive\Documentos\MALENTIN KARIME\BANCO ESTADO\2012 DEPTO ESCRITURAS fata\NOTARIA 2009\LOGROS\TRANSPORTES PEÑAFIEL.doc", "Abrir Documento")</f>
        <v>0</v>
      </c>
      <c r="D12344" t="s">
        <v>23500</v>
      </c>
      <c r="E12344" t="s">
        <v>34819</v>
      </c>
    </row>
    <row r="12345" spans="1:5">
      <c r="A12345" t="s">
        <v>6</v>
      </c>
      <c r="B12345" t="s">
        <v>12350</v>
      </c>
      <c r="C12345">
        <f>HYPERLINK("C:\Users\franc\OneDrive\Documentos\MALENTIN KARIME\BANCO ESTADO\2012 DEPTO ESCRITURAS fata\NOTARIA 2009\LOGROS\SOLANGE YUTRONIC EIRL.doc", "Abrir Documento")</f>
        <v>0</v>
      </c>
      <c r="D12345" t="s">
        <v>23500</v>
      </c>
      <c r="E12345" t="s">
        <v>34820</v>
      </c>
    </row>
    <row r="12346" spans="1:5">
      <c r="A12346" t="s">
        <v>6</v>
      </c>
      <c r="B12346" t="s">
        <v>12351</v>
      </c>
      <c r="C12346">
        <f>HYPERLINK("C:\Users\franc\OneDrive\Documentos\MALENTIN KARIME\BANCO ESTADO\2012 DEPTO ESCRITURAS fata\NOTARIA 2009\LOGROS\SOCIEDAD COMERCIAL OFFICE (Mandato).doc", "Abrir Documento")</f>
        <v>0</v>
      </c>
      <c r="D12346" t="s">
        <v>23500</v>
      </c>
      <c r="E12346" t="s">
        <v>34821</v>
      </c>
    </row>
    <row r="12347" spans="1:5">
      <c r="A12347" t="s">
        <v>6</v>
      </c>
      <c r="B12347" t="s">
        <v>12352</v>
      </c>
      <c r="C12347">
        <f>HYPERLINK("C:\Users\franc\OneDrive\Documentos\MALENTIN KARIME\BANCO ESTADO\2012 DEPTO ESCRITURAS fata\NOTARIA 2009\LOGROS\Sociedad Agricola y Comercial RENGO.doc", "Abrir Documento")</f>
        <v>0</v>
      </c>
      <c r="D12347" t="s">
        <v>23500</v>
      </c>
      <c r="E12347" t="s">
        <v>34822</v>
      </c>
    </row>
    <row r="12348" spans="1:5">
      <c r="A12348" t="s">
        <v>6</v>
      </c>
      <c r="B12348" t="s">
        <v>12353</v>
      </c>
      <c r="C12348">
        <f>HYPERLINK("C:\Users\franc\OneDrive\Documentos\MALENTIN KARIME\BANCO ESTADO\2012 DEPTO ESCRITURAS fata\NOTARIA 2009\LOGROS\SOC. LOS PRIMOS.doc", "Abrir Documento")</f>
        <v>0</v>
      </c>
      <c r="D12348" t="s">
        <v>23500</v>
      </c>
      <c r="E12348" t="s">
        <v>34823</v>
      </c>
    </row>
    <row r="12349" spans="1:5">
      <c r="A12349" t="s">
        <v>6</v>
      </c>
      <c r="B12349" t="s">
        <v>12354</v>
      </c>
      <c r="C12349">
        <f>HYPERLINK("C:\Users\franc\OneDrive\Documentos\MALENTIN KARIME\BANCO ESTADO\2012 DEPTO ESCRITURAS fata\NOTARIA 2009\LOGROS\SOC. ARKON ABRIL 2008.doc", "Abrir Documento")</f>
        <v>0</v>
      </c>
      <c r="D12349" t="s">
        <v>23500</v>
      </c>
      <c r="E12349" t="s">
        <v>34824</v>
      </c>
    </row>
    <row r="12350" spans="1:5">
      <c r="A12350" t="s">
        <v>6</v>
      </c>
      <c r="B12350" t="s">
        <v>12355</v>
      </c>
      <c r="C12350">
        <f>HYPERLINK("C:\Users\franc\OneDrive\Documentos\MALENTIN KARIME\BANCO ESTADO\2012 DEPTO ESCRITURAS fata\NOTARIA 2009\LOGROS\SANTA CATALINA.doc", "Abrir Documento")</f>
        <v>0</v>
      </c>
      <c r="D12350" t="s">
        <v>23500</v>
      </c>
      <c r="E12350" t="s">
        <v>34825</v>
      </c>
    </row>
    <row r="12351" spans="1:5">
      <c r="A12351" t="s">
        <v>6</v>
      </c>
      <c r="B12351" t="s">
        <v>12356</v>
      </c>
      <c r="C12351">
        <f>HYPERLINK("C:\Users\franc\OneDrive\Documentos\MALENTIN KARIME\BANCO ESTADO\2012 DEPTO ESCRITURAS fata\NOTARIA 2009\LOGROS\ROLDAN ROJO LEYSSEN.doc", "Abrir Documento")</f>
        <v>0</v>
      </c>
      <c r="D12351" t="s">
        <v>23500</v>
      </c>
      <c r="E12351" t="s">
        <v>34826</v>
      </c>
    </row>
    <row r="12352" spans="1:5">
      <c r="A12352" t="s">
        <v>6</v>
      </c>
      <c r="B12352" t="s">
        <v>12357</v>
      </c>
      <c r="C12352">
        <f>HYPERLINK("C:\Users\franc\OneDrive\Documentos\MALENTIN KARIME\BANCO ESTADO\2012 DEPTO ESCRITURAS fata\NOTARIA 2009\LOGROS\RICARDO MONTERO.doc", "Abrir Documento")</f>
        <v>0</v>
      </c>
      <c r="D12352" t="s">
        <v>23500</v>
      </c>
      <c r="E12352" t="s">
        <v>34827</v>
      </c>
    </row>
    <row r="12353" spans="1:5">
      <c r="A12353" t="s">
        <v>6</v>
      </c>
      <c r="B12353" t="s">
        <v>12358</v>
      </c>
      <c r="C12353">
        <f>HYPERLINK("C:\Users\franc\OneDrive\Documentos\MALENTIN KARIME\BANCO ESTADO\2012 DEPTO ESCRITURAS fata\NOTARIA 2009\LOGROS\RICARDO FIGUEROA.doc", "Abrir Documento")</f>
        <v>0</v>
      </c>
      <c r="D12353" t="s">
        <v>23500</v>
      </c>
      <c r="E12353" t="s">
        <v>34828</v>
      </c>
    </row>
    <row r="12354" spans="1:5">
      <c r="A12354" t="s">
        <v>6</v>
      </c>
      <c r="B12354" t="s">
        <v>12359</v>
      </c>
      <c r="C12354">
        <f>HYPERLINK("C:\Users\franc\OneDrive\Documentos\MALENTIN KARIME\BANCO ESTADO\2012 DEPTO ESCRITURAS fata\NOTARIA 2009\LOGROS\RICARDO ALLLENDE.doc", "Abrir Documento")</f>
        <v>0</v>
      </c>
      <c r="D12354" t="s">
        <v>23500</v>
      </c>
      <c r="E12354" t="s">
        <v>34829</v>
      </c>
    </row>
    <row r="12355" spans="1:5">
      <c r="A12355" t="s">
        <v>6</v>
      </c>
      <c r="B12355" t="s">
        <v>12360</v>
      </c>
      <c r="C12355">
        <f>HYPERLINK("C:\Users\franc\OneDrive\Documentos\MALENTIN KARIME\BANCO ESTADO\2012 DEPTO ESCRITURAS fata\NOTARIA 2009\LOGROS\RENE URZUA.doc", "Abrir Documento")</f>
        <v>0</v>
      </c>
      <c r="D12355" t="s">
        <v>23500</v>
      </c>
      <c r="E12355" t="s">
        <v>34830</v>
      </c>
    </row>
    <row r="12356" spans="1:5">
      <c r="A12356" t="s">
        <v>6</v>
      </c>
      <c r="B12356" t="s">
        <v>12361</v>
      </c>
      <c r="C12356">
        <f>HYPERLINK("C:\Users\franc\OneDrive\Documentos\MALENTIN KARIME\BANCO ESTADO\2012 DEPTO ESCRITURAS fata\NOTARIA 2009\LOGROS\Raúl Rodríguez Diaz.doc", "Abrir Documento")</f>
        <v>0</v>
      </c>
      <c r="D12356" t="s">
        <v>23500</v>
      </c>
      <c r="E12356" t="s">
        <v>34831</v>
      </c>
    </row>
    <row r="12357" spans="1:5">
      <c r="A12357" t="s">
        <v>6</v>
      </c>
      <c r="B12357" t="s">
        <v>12362</v>
      </c>
      <c r="C12357">
        <f>HYPERLINK("C:\Users\franc\OneDrive\Documentos\MALENTIN KARIME\BANCO ESTADO\2012 DEPTO ESCRITURAS fata\NOTARIA 2009\LOGROS\RAMON VIVES.doc", "Abrir Documento")</f>
        <v>0</v>
      </c>
      <c r="D12357" t="s">
        <v>23500</v>
      </c>
      <c r="E12357" t="s">
        <v>34832</v>
      </c>
    </row>
    <row r="12358" spans="1:5">
      <c r="A12358" t="s">
        <v>6</v>
      </c>
      <c r="B12358" t="s">
        <v>12363</v>
      </c>
      <c r="C12358">
        <f>HYPERLINK("C:\Users\franc\OneDrive\Documentos\MALENTIN KARIME\BANCO ESTADO\2012 DEPTO ESCRITURAS fata\NOTARIA 2009\LOGROS\RAMON LUNA.doc", "Abrir Documento")</f>
        <v>0</v>
      </c>
      <c r="D12358" t="s">
        <v>23500</v>
      </c>
      <c r="E12358" t="s">
        <v>34833</v>
      </c>
    </row>
    <row r="12359" spans="1:5">
      <c r="A12359" t="s">
        <v>6</v>
      </c>
      <c r="B12359" t="s">
        <v>12364</v>
      </c>
      <c r="C12359">
        <f>HYPERLINK("C:\Users\franc\OneDrive\Documentos\MALENTIN KARIME\BANCO ESTADO\2012 DEPTO ESCRITURAS fata\NOTARIA 2009\LOGROS\PAULINA GALVEZ Y CIA..doc", "Abrir Documento")</f>
        <v>0</v>
      </c>
      <c r="D12359" t="s">
        <v>23500</v>
      </c>
      <c r="E12359" t="s">
        <v>34834</v>
      </c>
    </row>
    <row r="12360" spans="1:5">
      <c r="A12360" t="s">
        <v>6</v>
      </c>
      <c r="B12360" t="s">
        <v>12365</v>
      </c>
      <c r="C12360">
        <f>HYPERLINK("C:\Users\franc\OneDrive\Documentos\MALENTIN KARIME\BANCO ESTADO\2012 DEPTO ESCRITURAS fata\NOTARIA 2009\LOGROS\PATRICIO SASTRE.doc", "Abrir Documento")</f>
        <v>0</v>
      </c>
      <c r="D12360" t="s">
        <v>23500</v>
      </c>
      <c r="E12360" t="s">
        <v>34835</v>
      </c>
    </row>
    <row r="12361" spans="1:5">
      <c r="A12361" t="s">
        <v>6</v>
      </c>
      <c r="B12361" t="s">
        <v>12366</v>
      </c>
      <c r="C12361">
        <f>HYPERLINK("C:\Users\franc\OneDrive\Documentos\MALENTIN KARIME\BANCO ESTADO\2012 DEPTO ESCRITURAS fata\NOTARIA 2009\LOGROS\PATRICIO SASTRE (FINAL).doc", "Abrir Documento")</f>
        <v>0</v>
      </c>
      <c r="D12361" t="s">
        <v>23500</v>
      </c>
      <c r="E12361" t="s">
        <v>34836</v>
      </c>
    </row>
    <row r="12362" spans="1:5">
      <c r="A12362" t="s">
        <v>6</v>
      </c>
      <c r="B12362" t="s">
        <v>12367</v>
      </c>
      <c r="C12362">
        <f>HYPERLINK("C:\Users\franc\OneDrive\Documentos\MALENTIN KARIME\BANCO ESTADO\2012 DEPTO ESCRITURAS fata\NOTARIA 2009\LOGROS\PAMELA GONZALEZ.doc", "Abrir Documento")</f>
        <v>0</v>
      </c>
      <c r="D12362" t="s">
        <v>23500</v>
      </c>
      <c r="E12362" t="s">
        <v>34837</v>
      </c>
    </row>
    <row r="12363" spans="1:5">
      <c r="A12363" t="s">
        <v>6</v>
      </c>
      <c r="B12363" t="s">
        <v>12368</v>
      </c>
      <c r="C12363">
        <f>HYPERLINK("C:\Users\franc\OneDrive\Documentos\MALENTIN KARIME\BANCO ESTADO\2012 DEPTO ESCRITURAS fata\NOTARIA 2009\LOGROS\NISAL.doc", "Abrir Documento")</f>
        <v>0</v>
      </c>
      <c r="D12363" t="s">
        <v>23500</v>
      </c>
      <c r="E12363" t="s">
        <v>34838</v>
      </c>
    </row>
    <row r="12364" spans="1:5">
      <c r="A12364" t="s">
        <v>6</v>
      </c>
      <c r="B12364" t="s">
        <v>12369</v>
      </c>
      <c r="C12364">
        <f>HYPERLINK("C:\Users\franc\OneDrive\Documentos\MALENTIN KARIME\BANCO ESTADO\2012 DEPTO ESCRITURAS fata\NOTARIA 2009\LOGROS\Modelo_Contrato_Factoring_Juan_Carlos_Campos[1].doc", "Abrir Documento")</f>
        <v>0</v>
      </c>
      <c r="D12364" t="s">
        <v>23500</v>
      </c>
      <c r="E12364" t="s">
        <v>34839</v>
      </c>
    </row>
    <row r="12365" spans="1:5">
      <c r="A12365" t="s">
        <v>6</v>
      </c>
      <c r="B12365" t="s">
        <v>12370</v>
      </c>
      <c r="C12365">
        <f>HYPERLINK("C:\Users\franc\OneDrive\Documentos\MALENTIN KARIME\BANCO ESTADO\2012 DEPTO ESCRITURAS fata\NOTARIA 2009\LOGROS\MODELO NOTARIO.doc", "Abrir Documento")</f>
        <v>0</v>
      </c>
      <c r="D12365" t="s">
        <v>23500</v>
      </c>
      <c r="E12365" t="s">
        <v>34840</v>
      </c>
    </row>
    <row r="12366" spans="1:5">
      <c r="A12366" t="s">
        <v>6</v>
      </c>
      <c r="B12366" t="s">
        <v>12371</v>
      </c>
      <c r="C12366">
        <f>HYPERLINK("C:\Users\franc\OneDrive\Documentos\MALENTIN KARIME\BANCO ESTADO\2012 DEPTO ESCRITURAS fata\NOTARIA 2009\LOGROS\Modelo Contrato Factoring Herga Pinto Jure.doc", "Abrir Documento")</f>
        <v>0</v>
      </c>
      <c r="D12366" t="s">
        <v>23500</v>
      </c>
      <c r="E12366" t="s">
        <v>34841</v>
      </c>
    </row>
    <row r="12367" spans="1:5">
      <c r="A12367" t="s">
        <v>6</v>
      </c>
      <c r="B12367" t="s">
        <v>12372</v>
      </c>
      <c r="C12367">
        <f>HYPERLINK("C:\Users\franc\OneDrive\Documentos\MALENTIN KARIME\BANCO ESTADO\2012 DEPTO ESCRITURAS fata\NOTARIA 2009\LOGROS\MAURICIO MARIN (HIPOTECA).doc", "Abrir Documento")</f>
        <v>0</v>
      </c>
      <c r="D12367" t="s">
        <v>23500</v>
      </c>
      <c r="E12367" t="s">
        <v>34842</v>
      </c>
    </row>
    <row r="12368" spans="1:5">
      <c r="A12368" t="s">
        <v>6</v>
      </c>
      <c r="B12368" t="s">
        <v>12373</v>
      </c>
      <c r="C12368">
        <f>HYPERLINK("C:\Users\franc\OneDrive\Documentos\MALENTIN KARIME\BANCO ESTADO\2012 DEPTO ESCRITURAS fata\NOTARIA 2009\LOGROS\MARGARITA MORGADO.doc", "Abrir Documento")</f>
        <v>0</v>
      </c>
      <c r="D12368" t="s">
        <v>23500</v>
      </c>
      <c r="E12368" t="s">
        <v>34843</v>
      </c>
    </row>
    <row r="12369" spans="1:5">
      <c r="A12369" t="s">
        <v>6</v>
      </c>
      <c r="B12369" t="s">
        <v>12374</v>
      </c>
      <c r="C12369">
        <f>HYPERLINK("C:\Users\franc\OneDrive\Documentos\MALENTIN KARIME\BANCO ESTADO\2012 DEPTO ESCRITURAS fata\NOTARIA 2009\LOGROS\MANUEL CHRISTIANSEN.doc", "Abrir Documento")</f>
        <v>0</v>
      </c>
      <c r="D12369" t="s">
        <v>23500</v>
      </c>
      <c r="E12369" t="s">
        <v>34844</v>
      </c>
    </row>
    <row r="12370" spans="1:5">
      <c r="A12370" t="s">
        <v>6</v>
      </c>
      <c r="B12370" t="s">
        <v>12375</v>
      </c>
      <c r="C12370">
        <f>HYPERLINK("C:\Users\franc\OneDrive\Documentos\MALENTIN KARIME\BANCO ESTADO\2012 DEPTO ESCRITURAS fata\NOTARIA 2009\LOGROS\MANDATO FACT. HECTOR BARRAZA ARAYA.doc", "Abrir Documento")</f>
        <v>0</v>
      </c>
      <c r="D12370" t="s">
        <v>23500</v>
      </c>
      <c r="E12370" t="s">
        <v>34845</v>
      </c>
    </row>
    <row r="12371" spans="1:5">
      <c r="A12371" t="s">
        <v>6</v>
      </c>
      <c r="B12371" t="s">
        <v>12376</v>
      </c>
      <c r="C12371">
        <f>HYPERLINK("C:\Users\franc\OneDrive\Documentos\MALENTIN KARIME\BANCO ESTADO\2012 DEPTO ESCRITURAS fata\NOTARIA 2009\LOGROS\LUIS CORTES JOFRE.doc", "Abrir Documento")</f>
        <v>0</v>
      </c>
      <c r="D12371" t="s">
        <v>23500</v>
      </c>
      <c r="E12371" t="s">
        <v>34846</v>
      </c>
    </row>
    <row r="12372" spans="1:5">
      <c r="A12372" t="s">
        <v>6</v>
      </c>
      <c r="B12372" t="s">
        <v>12377</v>
      </c>
      <c r="C12372">
        <f>HYPERLINK("C:\Users\franc\OneDrive\Documentos\MALENTIN KARIME\BANCO ESTADO\2012 DEPTO ESCRITURAS fata\NOTARIA 2009\LOGROS\LUIS CASTAÑEDA CASTILLO.doc", "Abrir Documento")</f>
        <v>0</v>
      </c>
      <c r="D12372" t="s">
        <v>23500</v>
      </c>
      <c r="E12372" t="s">
        <v>34847</v>
      </c>
    </row>
    <row r="12373" spans="1:5">
      <c r="A12373" t="s">
        <v>6</v>
      </c>
      <c r="B12373" t="s">
        <v>12378</v>
      </c>
      <c r="C12373">
        <f>HYPERLINK("C:\Users\franc\OneDrive\Documentos\MALENTIN KARIME\BANCO ESTADO\2012 DEPTO ESCRITURAS fata\NOTARIA 2009\LOGROS\LEYLA RAMIREZ AGUILERA.doc", "Abrir Documento")</f>
        <v>0</v>
      </c>
      <c r="D12373" t="s">
        <v>23500</v>
      </c>
      <c r="E12373" t="s">
        <v>34848</v>
      </c>
    </row>
    <row r="12374" spans="1:5">
      <c r="A12374" t="s">
        <v>6</v>
      </c>
      <c r="B12374" t="s">
        <v>12379</v>
      </c>
      <c r="C12374">
        <f>HYPERLINK("C:\Users\franc\OneDrive\Documentos\MALENTIN KARIME\BANCO ESTADO\2012 DEPTO ESCRITURAS fata\NOTARIA 2009\LOGROS\LEONARDO GONZALEZ MORALES 04-10-2007.doc", "Abrir Documento")</f>
        <v>0</v>
      </c>
      <c r="D12374" t="s">
        <v>23500</v>
      </c>
      <c r="E12374" t="s">
        <v>34849</v>
      </c>
    </row>
    <row r="12375" spans="1:5">
      <c r="A12375" t="s">
        <v>6</v>
      </c>
      <c r="B12375" t="s">
        <v>12380</v>
      </c>
      <c r="C12375">
        <f>HYPERLINK("C:\Users\franc\OneDrive\Documentos\MALENTIN KARIME\BANCO ESTADO\2012 DEPTO ESCRITURAS fata\NOTARIA 2009\LOGROS\JUANA GONZALEZ MODIF. SOC.doc", "Abrir Documento")</f>
        <v>0</v>
      </c>
      <c r="D12375" t="s">
        <v>23500</v>
      </c>
      <c r="E12375" t="s">
        <v>34850</v>
      </c>
    </row>
    <row r="12376" spans="1:5">
      <c r="A12376" t="s">
        <v>6</v>
      </c>
      <c r="B12376" t="s">
        <v>12381</v>
      </c>
      <c r="C12376">
        <f>HYPERLINK("C:\Users\franc\OneDrive\Documentos\MALENTIN KARIME\BANCO ESTADO\2012 DEPTO ESCRITURAS fata\NOTARIA 2009\LOGROS\JUAN GONZALEZ FLORES (VINKA).doc", "Abrir Documento")</f>
        <v>0</v>
      </c>
      <c r="D12376" t="s">
        <v>23500</v>
      </c>
      <c r="E12376" t="s">
        <v>34851</v>
      </c>
    </row>
    <row r="12377" spans="1:5">
      <c r="A12377" t="s">
        <v>6</v>
      </c>
      <c r="B12377" t="s">
        <v>12382</v>
      </c>
      <c r="C12377">
        <f>HYPERLINK("C:\Users\franc\OneDrive\Documentos\MALENTIN KARIME\BANCO ESTADO\2012 DEPTO ESCRITURAS fata\NOTARIA 2009\LOGROS\JUAN DIAZ BUGUEÑO.doc", "Abrir Documento")</f>
        <v>0</v>
      </c>
      <c r="D12377" t="s">
        <v>23500</v>
      </c>
      <c r="E12377" t="s">
        <v>34852</v>
      </c>
    </row>
    <row r="12378" spans="1:5">
      <c r="A12378" t="s">
        <v>6</v>
      </c>
      <c r="B12378" t="s">
        <v>12383</v>
      </c>
      <c r="C12378">
        <f>HYPERLINK("C:\Users\franc\OneDrive\Documentos\MALENTIN KARIME\BANCO ESTADO\2012 DEPTO ESCRITURAS fata\NOTARIA 2009\LOGROS\JUAN ARAYA.doc", "Abrir Documento")</f>
        <v>0</v>
      </c>
      <c r="D12378" t="s">
        <v>23500</v>
      </c>
      <c r="E12378" t="s">
        <v>34853</v>
      </c>
    </row>
    <row r="12379" spans="1:5">
      <c r="A12379" t="s">
        <v>6</v>
      </c>
      <c r="B12379" t="s">
        <v>12384</v>
      </c>
      <c r="C12379">
        <f>HYPERLINK("C:\Users\franc\OneDrive\Documentos\MALENTIN KARIME\BANCO ESTADO\2012 DEPTO ESCRITURAS fata\NOTARIA 2009\LOGROS\IVAN LAGUNAS.doc", "Abrir Documento")</f>
        <v>0</v>
      </c>
      <c r="D12379" t="s">
        <v>23500</v>
      </c>
      <c r="E12379" t="s">
        <v>34854</v>
      </c>
    </row>
    <row r="12380" spans="1:5">
      <c r="A12380" t="s">
        <v>6</v>
      </c>
      <c r="B12380" t="s">
        <v>12385</v>
      </c>
      <c r="C12380">
        <f>HYPERLINK("C:\Users\franc\OneDrive\Documentos\MALENTIN KARIME\BANCO ESTADO\2012 DEPTO ESCRITURAS fata\NOTARIA 2009\LOGROS\HONORIO TAPIA.doc", "Abrir Documento")</f>
        <v>0</v>
      </c>
      <c r="D12380" t="s">
        <v>23500</v>
      </c>
      <c r="E12380" t="s">
        <v>34855</v>
      </c>
    </row>
    <row r="12381" spans="1:5">
      <c r="A12381" t="s">
        <v>6</v>
      </c>
      <c r="B12381" t="s">
        <v>12386</v>
      </c>
      <c r="C12381">
        <f>HYPERLINK("C:\Users\franc\OneDrive\Documentos\MALENTIN KARIME\BANCO ESTADO\2012 DEPTO ESCRITURAS fata\NOTARIA 2009\LOGROS\Hernan Cabrera Miranda.doc", "Abrir Documento")</f>
        <v>0</v>
      </c>
      <c r="D12381" t="s">
        <v>23500</v>
      </c>
      <c r="E12381" t="s">
        <v>34856</v>
      </c>
    </row>
    <row r="12382" spans="1:5">
      <c r="A12382" t="s">
        <v>6</v>
      </c>
      <c r="B12382" t="s">
        <v>12387</v>
      </c>
      <c r="C12382">
        <f>HYPERLINK("C:\Users\franc\OneDrive\Documentos\MALENTIN KARIME\BANCO ESTADO\2012 DEPTO ESCRITURAS fata\NOTARIA 2009\LOGROS\HERNAN ARAYA ARACENA.doc", "Abrir Documento")</f>
        <v>0</v>
      </c>
      <c r="D12382" t="s">
        <v>23500</v>
      </c>
      <c r="E12382" t="s">
        <v>34857</v>
      </c>
    </row>
    <row r="12383" spans="1:5">
      <c r="A12383" t="s">
        <v>6</v>
      </c>
      <c r="B12383" t="s">
        <v>12388</v>
      </c>
      <c r="C12383">
        <f>HYPERLINK("C:\Users\franc\OneDrive\Documentos\MALENTIN KARIME\BANCO ESTADO\2012 DEPTO ESCRITURAS fata\NOTARIA 2009\LOGROS\GLORIA TAPIA.doc", "Abrir Documento")</f>
        <v>0</v>
      </c>
      <c r="D12383" t="s">
        <v>23500</v>
      </c>
      <c r="E12383" t="s">
        <v>34858</v>
      </c>
    </row>
    <row r="12384" spans="1:5">
      <c r="A12384" t="s">
        <v>6</v>
      </c>
      <c r="B12384" t="s">
        <v>12389</v>
      </c>
      <c r="C12384">
        <f>HYPERLINK("C:\Users\franc\OneDrive\Documentos\MALENTIN KARIME\BANCO ESTADO\2012 DEPTO ESCRITURAS fata\NOTARIA 2009\LOGROS\GILBERTO PARDO.doc", "Abrir Documento")</f>
        <v>0</v>
      </c>
      <c r="D12384" t="s">
        <v>23500</v>
      </c>
      <c r="E12384" t="s">
        <v>34859</v>
      </c>
    </row>
    <row r="12385" spans="1:5">
      <c r="A12385" t="s">
        <v>6</v>
      </c>
      <c r="B12385" t="s">
        <v>12390</v>
      </c>
      <c r="C12385">
        <f>HYPERLINK("C:\Users\franc\OneDrive\Documentos\MALENTIN KARIME\BANCO ESTADO\2012 DEPTO ESCRITURAS fata\NOTARIA 2009\LOGROS\FRANCISCO HERNANDEZ MUÑOZ.doc", "Abrir Documento")</f>
        <v>0</v>
      </c>
      <c r="D12385" t="s">
        <v>23500</v>
      </c>
      <c r="E12385" t="s">
        <v>34860</v>
      </c>
    </row>
    <row r="12386" spans="1:5">
      <c r="A12386" t="s">
        <v>6</v>
      </c>
      <c r="B12386" t="s">
        <v>12391</v>
      </c>
      <c r="C12386">
        <f>HYPERLINK("C:\Users\franc\OneDrive\Documentos\MALENTIN KARIME\BANCO ESTADO\2012 DEPTO ESCRITURAS fata\NOTARIA 2009\LOGROS\FERNANDO PEÑAFIEL.doc", "Abrir Documento")</f>
        <v>0</v>
      </c>
      <c r="D12386" t="s">
        <v>23500</v>
      </c>
      <c r="E12386" t="s">
        <v>34861</v>
      </c>
    </row>
    <row r="12387" spans="1:5">
      <c r="A12387" t="s">
        <v>6</v>
      </c>
      <c r="B12387" t="s">
        <v>12392</v>
      </c>
      <c r="C12387">
        <f>HYPERLINK("C:\Users\franc\OneDrive\Documentos\MALENTIN KARIME\BANCO ESTADO\2012 DEPTO ESCRITURAS fata\NOTARIA 2009\LOGROS\ELIANA CORTES PIZARRO.doc", "Abrir Documento")</f>
        <v>0</v>
      </c>
      <c r="D12387" t="s">
        <v>23500</v>
      </c>
      <c r="E12387" t="s">
        <v>34862</v>
      </c>
    </row>
    <row r="12388" spans="1:5">
      <c r="A12388" t="s">
        <v>6</v>
      </c>
      <c r="B12388" t="s">
        <v>12393</v>
      </c>
      <c r="C12388">
        <f>HYPERLINK("C:\Users\franc\OneDrive\Documentos\MALENTIN KARIME\BANCO ESTADO\2012 DEPTO ESCRITURAS fata\NOTARIA 2009\LOGROS\EDUARDO CORTES AROSTICA.doc", "Abrir Documento")</f>
        <v>0</v>
      </c>
      <c r="D12388" t="s">
        <v>23500</v>
      </c>
      <c r="E12388" t="s">
        <v>34863</v>
      </c>
    </row>
    <row r="12389" spans="1:5">
      <c r="A12389" t="s">
        <v>6</v>
      </c>
      <c r="B12389" t="s">
        <v>12394</v>
      </c>
      <c r="C12389">
        <f>HYPERLINK("C:\Users\franc\OneDrive\Documentos\MALENTIN KARIME\BANCO ESTADO\2012 DEPTO ESCRITURAS fata\NOTARIA 2009\LOGROS\COMERCIAL NISAL LTDA..doc", "Abrir Documento")</f>
        <v>0</v>
      </c>
      <c r="D12389" t="s">
        <v>23500</v>
      </c>
      <c r="E12389" t="s">
        <v>34864</v>
      </c>
    </row>
    <row r="12390" spans="1:5">
      <c r="A12390" t="s">
        <v>6</v>
      </c>
      <c r="B12390" t="s">
        <v>12395</v>
      </c>
      <c r="C12390">
        <f>HYPERLINK("C:\Users\franc\OneDrive\Documentos\MALENTIN KARIME\BANCO ESTADO\2012 DEPTO ESCRITURAS fata\NOTARIA 2009\LOGROS\CLAUDIO MOLINA GONZALEZ.doc", "Abrir Documento")</f>
        <v>0</v>
      </c>
      <c r="D12390" t="s">
        <v>23500</v>
      </c>
      <c r="E12390" t="s">
        <v>34865</v>
      </c>
    </row>
    <row r="12391" spans="1:5">
      <c r="A12391" t="s">
        <v>6</v>
      </c>
      <c r="B12391" t="s">
        <v>12396</v>
      </c>
      <c r="C12391">
        <f>HYPERLINK("C:\Users\franc\OneDrive\Documentos\MALENTIN KARIME\BANCO ESTADO\2012 DEPTO ESCRITURAS fata\NOTARIA 2009\LOGROS\CECILIA URIBE.doc", "Abrir Documento")</f>
        <v>0</v>
      </c>
      <c r="D12391" t="s">
        <v>23500</v>
      </c>
      <c r="E12391" t="s">
        <v>34866</v>
      </c>
    </row>
    <row r="12392" spans="1:5">
      <c r="A12392" t="s">
        <v>6</v>
      </c>
      <c r="B12392" t="s">
        <v>12397</v>
      </c>
      <c r="C12392">
        <f>HYPERLINK("C:\Users\franc\OneDrive\Documentos\MALENTIN KARIME\BANCO ESTADO\2012 DEPTO ESCRITURAS fata\NOTARIA 2009\LOGROS\CECILIA ROJAS QUINZACARA.doc", "Abrir Documento")</f>
        <v>0</v>
      </c>
      <c r="D12392" t="s">
        <v>23500</v>
      </c>
      <c r="E12392" t="s">
        <v>34867</v>
      </c>
    </row>
    <row r="12393" spans="1:5">
      <c r="A12393" t="s">
        <v>6</v>
      </c>
      <c r="B12393" t="s">
        <v>12398</v>
      </c>
      <c r="C12393">
        <f>HYPERLINK("C:\Users\franc\OneDrive\Documentos\MALENTIN KARIME\BANCO ESTADO\2012 DEPTO ESCRITURAS fata\NOTARIA 2009\LOGROS\CARMEN MONDACA SANTIAGO.doc", "Abrir Documento")</f>
        <v>0</v>
      </c>
      <c r="D12393" t="s">
        <v>23500</v>
      </c>
      <c r="E12393" t="s">
        <v>34868</v>
      </c>
    </row>
    <row r="12394" spans="1:5">
      <c r="A12394" t="s">
        <v>6</v>
      </c>
      <c r="B12394" t="s">
        <v>12399</v>
      </c>
      <c r="C12394">
        <f>HYPERLINK("C:\Users\franc\OneDrive\Documentos\MALENTIN KARIME\BANCO ESTADO\2012 DEPTO ESCRITURAS fata\NOTARIA 2009\LOGROS\CARLOS MILLA.doc", "Abrir Documento")</f>
        <v>0</v>
      </c>
      <c r="D12394" t="s">
        <v>23500</v>
      </c>
      <c r="E12394" t="s">
        <v>34869</v>
      </c>
    </row>
    <row r="12395" spans="1:5">
      <c r="A12395" t="s">
        <v>6</v>
      </c>
      <c r="B12395" t="s">
        <v>12400</v>
      </c>
      <c r="C12395">
        <f>HYPERLINK("C:\Users\franc\OneDrive\Documentos\MALENTIN KARIME\BANCO ESTADO\2012 DEPTO ESCRITURAS fata\NOTARIA 2009\LOGROS\CAPRIGEN.doc", "Abrir Documento")</f>
        <v>0</v>
      </c>
      <c r="D12395" t="s">
        <v>23500</v>
      </c>
      <c r="E12395" t="s">
        <v>34870</v>
      </c>
    </row>
    <row r="12396" spans="1:5">
      <c r="A12396" t="s">
        <v>6</v>
      </c>
      <c r="B12396" t="s">
        <v>12401</v>
      </c>
      <c r="C12396">
        <f>HYPERLINK("C:\Users\franc\OneDrive\Documentos\MALENTIN KARIME\BANCO ESTADO\2012 DEPTO ESCRITURAS fata\NOTARIA 2009\LOGROS\ANICETO GUTIERREZ.doc", "Abrir Documento")</f>
        <v>0</v>
      </c>
      <c r="D12396" t="s">
        <v>23500</v>
      </c>
      <c r="E12396" t="s">
        <v>34871</v>
      </c>
    </row>
    <row r="12397" spans="1:5">
      <c r="A12397" t="s">
        <v>6</v>
      </c>
      <c r="B12397" t="s">
        <v>12402</v>
      </c>
      <c r="C12397">
        <f>HYPERLINK("C:\Users\franc\OneDrive\Documentos\MALENTIN KARIME\BANCO ESTADO\2012 DEPTO ESCRITURAS fata\NOTARIA 2009\LOGROS\AMILCAR NUÑEZ.doc", "Abrir Documento")</f>
        <v>0</v>
      </c>
      <c r="D12397" t="s">
        <v>23500</v>
      </c>
      <c r="E12397" t="s">
        <v>34872</v>
      </c>
    </row>
    <row r="12398" spans="1:5">
      <c r="A12398" t="s">
        <v>6</v>
      </c>
      <c r="B12398" t="s">
        <v>12403</v>
      </c>
      <c r="C12398">
        <f>HYPERLINK("C:\Users\franc\OneDrive\Documentos\MALENTIN KARIME\BANCO ESTADO\2012 DEPTO ESCRITURAS fata\NOTARIA 2009\LOGROS\ALIRO FLORES VELASQUEZ.doc", "Abrir Documento")</f>
        <v>0</v>
      </c>
      <c r="D12398" t="s">
        <v>23500</v>
      </c>
      <c r="E12398" t="s">
        <v>34873</v>
      </c>
    </row>
    <row r="12399" spans="1:5">
      <c r="A12399" t="s">
        <v>6</v>
      </c>
      <c r="B12399" t="s">
        <v>12404</v>
      </c>
      <c r="C12399">
        <f>HYPERLINK("C:\Users\franc\OneDrive\Documentos\MALENTIN KARIME\BANCO ESTADO\2012 DEPTO ESCRITURAS fata\NOTARIA 2009\LOGROS\ALEJANDRO ROJAS ZAPATA.doc", "Abrir Documento")</f>
        <v>0</v>
      </c>
      <c r="D12399" t="s">
        <v>23500</v>
      </c>
      <c r="E12399" t="s">
        <v>34874</v>
      </c>
    </row>
    <row r="12400" spans="1:5">
      <c r="A12400" t="s">
        <v>6</v>
      </c>
      <c r="B12400" t="s">
        <v>12405</v>
      </c>
      <c r="C12400">
        <f>HYPERLINK("C:\Users\franc\OneDrive\Documentos\MALENTIN KARIME\BANCO ESTADO\2012 DEPTO ESCRITURAS fata\NOTARIA 2009\LOGROS\AGROSERVICIOS LIMITADA.doc", "Abrir Documento")</f>
        <v>0</v>
      </c>
      <c r="D12400" t="s">
        <v>23500</v>
      </c>
      <c r="E12400" t="s">
        <v>34875</v>
      </c>
    </row>
    <row r="12401" spans="1:5">
      <c r="A12401" t="s">
        <v>6</v>
      </c>
      <c r="B12401" t="s">
        <v>12406</v>
      </c>
      <c r="C12401">
        <f>HYPERLINK("C:\Users\franc\OneDrive\Documentos\MALENTIN KARIME\BANCO ESTADO\2012 DEPTO ESCRITURAS fata\NOTARIA 2009\LOGROS\ABEL GALLARDO.doc", "Abrir Documento")</f>
        <v>0</v>
      </c>
      <c r="D12401" t="s">
        <v>23500</v>
      </c>
      <c r="E12401" t="s">
        <v>34876</v>
      </c>
    </row>
    <row r="12402" spans="1:5">
      <c r="A12402" t="s">
        <v>6</v>
      </c>
      <c r="B12402" t="s">
        <v>12407</v>
      </c>
      <c r="C12402">
        <f>HYPERLINK("C:\Users\franc\OneDrive\Documentos\MALENTIN KARIME\BANCO ESTADO\2012 DEPTO ESCRITURAS fata\NOTARIA 2009\LIQUIDACION SOC. Y SEP. BIENES\VICENTE RODRIGUEZ.doc", "Abrir Documento")</f>
        <v>0</v>
      </c>
      <c r="D12402" t="s">
        <v>23500</v>
      </c>
      <c r="E12402" t="s">
        <v>34877</v>
      </c>
    </row>
    <row r="12403" spans="1:5">
      <c r="A12403" t="s">
        <v>6</v>
      </c>
      <c r="B12403" t="s">
        <v>12408</v>
      </c>
      <c r="C12403">
        <f>HYPERLINK("C:\Users\franc\OneDrive\Documentos\MALENTIN KARIME\BANCO ESTADO\2012 DEPTO ESCRITURAS fata\NOTARIA 2009\LIQUIDACION SOC. Y SEP. BIENES\MODELO.doc", "Abrir Documento")</f>
        <v>0</v>
      </c>
      <c r="D12403" t="s">
        <v>23500</v>
      </c>
      <c r="E12403" t="s">
        <v>34878</v>
      </c>
    </row>
    <row r="12404" spans="1:5">
      <c r="A12404" t="s">
        <v>6</v>
      </c>
      <c r="B12404" t="s">
        <v>12409</v>
      </c>
      <c r="C12404">
        <f>HYPERLINK("C:\Users\franc\OneDrive\Documentos\MALENTIN KARIME\BANCO ESTADO\2012 DEPTO ESCRITURAS fata\NOTARIA 2009\LIQUIDACION SOC. Y SEP. BIENES\MODELO LIQUIDACION.doc", "Abrir Documento")</f>
        <v>0</v>
      </c>
      <c r="D12404" t="s">
        <v>23500</v>
      </c>
      <c r="E12404" t="s">
        <v>34879</v>
      </c>
    </row>
    <row r="12405" spans="1:5">
      <c r="A12405" t="s">
        <v>6</v>
      </c>
      <c r="B12405" t="s">
        <v>12410</v>
      </c>
      <c r="C12405">
        <f>HYPERLINK("C:\Users\franc\OneDrive\Documentos\MALENTIN KARIME\BANCO ESTADO\2012 DEPTO ESCRITURAS fata\NOTARIA 2009\LIQUIDACION SOC. Y SEP. BIENES\modelo ii.doc", "Abrir Documento")</f>
        <v>0</v>
      </c>
      <c r="D12405" t="s">
        <v>23500</v>
      </c>
      <c r="E12405" t="s">
        <v>34880</v>
      </c>
    </row>
    <row r="12406" spans="1:5">
      <c r="A12406" t="s">
        <v>6</v>
      </c>
      <c r="B12406" t="s">
        <v>12411</v>
      </c>
      <c r="C12406">
        <f>HYPERLINK("C:\Users\franc\OneDrive\Documentos\MALENTIN KARIME\BANCO ESTADO\2012 DEPTO ESCRITURAS fata\NOTARIA 2009\LIQUIDACION SOC. Y SEP. BIENES\HUGO GALVEZ A ANA DARRIGRANDE.doc", "Abrir Documento")</f>
        <v>0</v>
      </c>
      <c r="D12406" t="s">
        <v>23500</v>
      </c>
      <c r="E12406" t="s">
        <v>34881</v>
      </c>
    </row>
    <row r="12407" spans="1:5">
      <c r="A12407" t="s">
        <v>6</v>
      </c>
      <c r="B12407" t="s">
        <v>12412</v>
      </c>
      <c r="C12407">
        <f>HYPERLINK("C:\Users\franc\OneDrive\Documentos\MALENTIN KARIME\BANCO ESTADO\2012 DEPTO ESCRITURAS fata\NOTARIA 2009\LIQUIDACION SOC. Y SEP. BIENES\GLADYS CASTELLANOS A HECTOR ARACENA.doc", "Abrir Documento")</f>
        <v>0</v>
      </c>
      <c r="D12407" t="s">
        <v>23500</v>
      </c>
      <c r="E12407" t="s">
        <v>34882</v>
      </c>
    </row>
    <row r="12408" spans="1:5">
      <c r="A12408" t="s">
        <v>6</v>
      </c>
      <c r="B12408" t="s">
        <v>12413</v>
      </c>
      <c r="C12408">
        <f>HYPERLINK("C:\Users\franc\OneDrive\Documentos\MALENTIN KARIME\BANCO ESTADO\2012 DEPTO ESCRITURAS fata\NOTARIA 2009\LIQUIDACION SOC. Y SEP. BIENES\FERNANDO BOZZO Y MARIA CORDOVA.doc", "Abrir Documento")</f>
        <v>0</v>
      </c>
      <c r="D12408" t="s">
        <v>23500</v>
      </c>
      <c r="E12408" t="s">
        <v>34883</v>
      </c>
    </row>
    <row r="12409" spans="1:5">
      <c r="A12409" t="s">
        <v>6</v>
      </c>
      <c r="B12409" t="s">
        <v>12414</v>
      </c>
      <c r="C12409">
        <f>HYPERLINK("C:\Users\franc\OneDrive\Documentos\MALENTIN KARIME\BANCO ESTADO\2012 DEPTO ESCRITURAS fata\NOTARIA 2009\LIQUIDACION SOC. Y SEP. BIENES\EDGARDO SAUD ROJAS.doc", "Abrir Documento")</f>
        <v>0</v>
      </c>
      <c r="D12409" t="s">
        <v>23500</v>
      </c>
      <c r="E12409" t="s">
        <v>34884</v>
      </c>
    </row>
    <row r="12410" spans="1:5">
      <c r="A12410" t="s">
        <v>6</v>
      </c>
      <c r="B12410" t="s">
        <v>12415</v>
      </c>
      <c r="C12410">
        <f>HYPERLINK("C:\Users\franc\OneDrive\Documentos\MALENTIN KARIME\BANCO ESTADO\2012 DEPTO ESCRITURAS fata\NOTARIA 2009\LA ELEGANTE\MODELO PRENDA.doc", "Abrir Documento")</f>
        <v>0</v>
      </c>
      <c r="D12410" t="s">
        <v>23500</v>
      </c>
      <c r="E12410" t="s">
        <v>34885</v>
      </c>
    </row>
    <row r="12411" spans="1:5">
      <c r="A12411" t="s">
        <v>6</v>
      </c>
      <c r="B12411" t="s">
        <v>12416</v>
      </c>
      <c r="C12411">
        <f>HYPERLINK("C:\Users\franc\OneDrive\Documentos\MALENTIN KARIME\BANCO ESTADO\2012 DEPTO ESCRITURAS fata\NOTARIA 2009\JUNTA VIGILANCIA RIO HURTADO\ACTA SEPTIMA ASAMBLEA.doc", "Abrir Documento")</f>
        <v>0</v>
      </c>
      <c r="D12411" t="s">
        <v>23500</v>
      </c>
      <c r="E12411" t="s">
        <v>34886</v>
      </c>
    </row>
    <row r="12412" spans="1:5">
      <c r="A12412" t="s">
        <v>6</v>
      </c>
      <c r="B12412" t="s">
        <v>12417</v>
      </c>
      <c r="C12412">
        <f>HYPERLINK("C:\Users\franc\OneDrive\Documentos\MALENTIN KARIME\BANCO ESTADO\2012 DEPTO ESCRITURAS fata\NOTARIA 2009\JUNTA VIGILANCIA RIO HURTADO\ACTA CANAL TOMA CORRAL.doc", "Abrir Documento")</f>
        <v>0</v>
      </c>
      <c r="D12412" t="s">
        <v>23500</v>
      </c>
      <c r="E12412" t="s">
        <v>34887</v>
      </c>
    </row>
    <row r="12413" spans="1:5">
      <c r="A12413" t="s">
        <v>6</v>
      </c>
      <c r="B12413" t="s">
        <v>12418</v>
      </c>
      <c r="C12413">
        <f>HYPERLINK("C:\Users\franc\OneDrive\Documentos\MALENTIN KARIME\BANCO ESTADO\2012 DEPTO ESCRITURAS fata\NOTARIA 2009\JUNTA VIGILANCIA RIO HURTADO\ACTA CANAL EL MOLINO.doc", "Abrir Documento")</f>
        <v>0</v>
      </c>
      <c r="D12413" t="s">
        <v>23500</v>
      </c>
      <c r="E12413" t="s">
        <v>34888</v>
      </c>
    </row>
    <row r="12414" spans="1:5">
      <c r="A12414" t="s">
        <v>6</v>
      </c>
      <c r="B12414" t="s">
        <v>12419</v>
      </c>
      <c r="C12414">
        <f>HYPERLINK("C:\Users\franc\OneDrive\Documentos\MALENTIN KARIME\BANCO ESTADO\2012 DEPTO ESCRITURAS fata\NOTARIA 2009\JUNTA DE ACCIONISTAS\SLM MINA LA MURIENTE UNA DEL CERRO PIEGREGOSO.doc", "Abrir Documento")</f>
        <v>0</v>
      </c>
      <c r="D12414" t="s">
        <v>23500</v>
      </c>
      <c r="E12414" t="s">
        <v>34889</v>
      </c>
    </row>
    <row r="12415" spans="1:5">
      <c r="A12415" t="s">
        <v>6</v>
      </c>
      <c r="B12415" t="s">
        <v>12420</v>
      </c>
      <c r="C12415">
        <f>HYPERLINK("C:\Users\franc\OneDrive\Documentos\MALENTIN KARIME\BANCO ESTADO\2012 DEPTO ESCRITURAS fata\NOTARIA 2009\JUNTA DE ACCIONISTAS\SLM LA CORTADERA.doc", "Abrir Documento")</f>
        <v>0</v>
      </c>
      <c r="D12415" t="s">
        <v>23500</v>
      </c>
      <c r="E12415" t="s">
        <v>34890</v>
      </c>
    </row>
    <row r="12416" spans="1:5">
      <c r="A12416" t="s">
        <v>6</v>
      </c>
      <c r="B12416" t="s">
        <v>12421</v>
      </c>
      <c r="C12416">
        <f>HYPERLINK("C:\Users\franc\OneDrive\Documentos\MALENTIN KARIME\BANCO ESTADO\2012 DEPTO ESCRITURAS fata\NOTARIA 2009\JULIO POLO\ROSANNA SANTIBAÑEZ - GREEN GARDEN (CONSTURCCION).doc", "Abrir Documento")</f>
        <v>0</v>
      </c>
      <c r="D12416" t="s">
        <v>23500</v>
      </c>
      <c r="E12416" t="s">
        <v>34891</v>
      </c>
    </row>
    <row r="12417" spans="1:5">
      <c r="A12417" t="s">
        <v>6</v>
      </c>
      <c r="B12417" t="s">
        <v>12422</v>
      </c>
      <c r="C12417">
        <f>HYPERLINK("C:\Users\franc\OneDrive\Documentos\MALENTIN KARIME\BANCO ESTADO\2012 DEPTO ESCRITURAS fata\NOTARIA 2009\JULIO POLO\RECTIFICACION MARIA.doc", "Abrir Documento")</f>
        <v>0</v>
      </c>
      <c r="D12417" t="s">
        <v>23500</v>
      </c>
      <c r="E12417" t="s">
        <v>34892</v>
      </c>
    </row>
    <row r="12418" spans="1:5">
      <c r="A12418" t="s">
        <v>6</v>
      </c>
      <c r="B12418" t="s">
        <v>12423</v>
      </c>
      <c r="C12418">
        <f>HYPERLINK("C:\Users\franc\OneDrive\Documentos\MALENTIN KARIME\BANCO ESTADO\2012 DEPTO ESCRITURAS fata\NOTARIA 2009\JULIO POLO\LA  ITALIANA.doc", "Abrir Documento")</f>
        <v>0</v>
      </c>
      <c r="D12418" t="s">
        <v>23500</v>
      </c>
      <c r="E12418" t="s">
        <v>34893</v>
      </c>
    </row>
    <row r="12419" spans="1:5">
      <c r="A12419" t="s">
        <v>6</v>
      </c>
      <c r="B12419" t="s">
        <v>12424</v>
      </c>
      <c r="C12419">
        <f>HYPERLINK("C:\Users\franc\OneDrive\Documentos\MALENTIN KARIME\BANCO ESTADO\2012 DEPTO ESCRITURAS fata\NOTARIA 2009\JULIO POLO\DACION EN PAGO AGUIRRE Y AGUIRRE STGO. BOSMAN.doc", "Abrir Documento")</f>
        <v>0</v>
      </c>
      <c r="D12419" t="s">
        <v>23500</v>
      </c>
      <c r="E12419" t="s">
        <v>34894</v>
      </c>
    </row>
    <row r="12420" spans="1:5">
      <c r="A12420" t="s">
        <v>6</v>
      </c>
      <c r="B12420" t="s">
        <v>12425</v>
      </c>
      <c r="C12420">
        <f>HYPERLINK("C:\Users\franc\OneDrive\Documentos\MALENTIN KARIME\BANCO ESTADO\2012 DEPTO ESCRITURAS fata\NOTARIA 2009\JULIO POLO\CV. MARGARITA BORIC Y OTROS.doc", "Abrir Documento")</f>
        <v>0</v>
      </c>
      <c r="D12420" t="s">
        <v>23500</v>
      </c>
      <c r="E12420" t="s">
        <v>34895</v>
      </c>
    </row>
    <row r="12421" spans="1:5">
      <c r="A12421" t="s">
        <v>6</v>
      </c>
      <c r="B12421" t="s">
        <v>12426</v>
      </c>
      <c r="C12421">
        <f>HYPERLINK("C:\Users\franc\OneDrive\Documentos\MALENTIN KARIME\BANCO ESTADO\2012 DEPTO ESCRITURAS fata\NOTARIA 2009\JULIO POLO\CARTA INSTRUCCIONES AGUIRRE Y AGUIRRE.doc", "Abrir Documento")</f>
        <v>0</v>
      </c>
      <c r="D12421" t="s">
        <v>23500</v>
      </c>
      <c r="E12421" t="s">
        <v>34896</v>
      </c>
    </row>
    <row r="12422" spans="1:5">
      <c r="A12422" t="s">
        <v>6</v>
      </c>
      <c r="B12422" t="s">
        <v>12427</v>
      </c>
      <c r="C12422">
        <f>HYPERLINK("C:\Users\franc\OneDrive\Documentos\MALENTIN KARIME\BANCO ESTADO\2012 DEPTO ESCRITURAS fata\NOTARIA 2009\JULIO POLANCO\Promesa Dolores hectasreas.doc", "Abrir Documento")</f>
        <v>0</v>
      </c>
      <c r="D12422" t="s">
        <v>23500</v>
      </c>
      <c r="E12422" t="s">
        <v>34897</v>
      </c>
    </row>
    <row r="12423" spans="1:5">
      <c r="A12423" t="s">
        <v>6</v>
      </c>
      <c r="B12423" t="s">
        <v>12428</v>
      </c>
      <c r="C12423">
        <f>HYPERLINK("C:\Users\franc\OneDrive\Documentos\MALENTIN KARIME\BANCO ESTADO\2012 DEPTO ESCRITURAS fata\NOTARIA 2009\JULIO POLANCO\Lote Doce Feria a Doble M2.doc", "Abrir Documento")</f>
        <v>0</v>
      </c>
      <c r="D12423" t="s">
        <v>23500</v>
      </c>
      <c r="E12423" t="s">
        <v>34898</v>
      </c>
    </row>
    <row r="12424" spans="1:5">
      <c r="A12424" t="s">
        <v>6</v>
      </c>
      <c r="B12424" t="s">
        <v>12429</v>
      </c>
      <c r="C12424">
        <f>HYPERLINK("C:\Users\franc\OneDrive\Documentos\MALENTIN KARIME\BANCO ESTADO\2012 DEPTO ESCRITURAS fata\NOTARIA 2009\JULIO POLANCO\Instrucciones Lote 12.doc", "Abrir Documento")</f>
        <v>0</v>
      </c>
      <c r="D12424" t="s">
        <v>23500</v>
      </c>
      <c r="E12424" t="s">
        <v>34899</v>
      </c>
    </row>
    <row r="12425" spans="1:5">
      <c r="A12425" t="s">
        <v>6</v>
      </c>
      <c r="B12425" t="s">
        <v>12430</v>
      </c>
      <c r="C12425">
        <f>HYPERLINK("C:\Users\franc\OneDrive\Documentos\MALENTIN KARIME\BANCO ESTADO\2012 DEPTO ESCRITURAS fata\NOTARIA 2009\JULIO POLANCO\extracto cvta d%C2%BAs jpd a pmr futuro huana (2)[1].doc", "Abrir Documento")</f>
        <v>0</v>
      </c>
      <c r="D12425" t="s">
        <v>23500</v>
      </c>
      <c r="E12425" t="s">
        <v>34900</v>
      </c>
    </row>
    <row r="12426" spans="1:5">
      <c r="A12426" t="s">
        <v>6</v>
      </c>
      <c r="B12426" t="s">
        <v>12431</v>
      </c>
      <c r="C12426">
        <f>HYPERLINK("C:\Users\franc\OneDrive\Documentos\MALENTIN KARIME\BANCO ESTADO\2012 DEPTO ESCRITURAS fata\NOTARIA 2009\JULIO POLANCO\COMPRAVENTA contador.doc", "Abrir Documento")</f>
        <v>0</v>
      </c>
      <c r="D12426" t="s">
        <v>23500</v>
      </c>
      <c r="E12426" t="s">
        <v>34901</v>
      </c>
    </row>
    <row r="12427" spans="1:5">
      <c r="A12427" t="s">
        <v>6</v>
      </c>
      <c r="B12427" t="s">
        <v>12432</v>
      </c>
      <c r="C12427">
        <f>HYPERLINK("C:\Users\franc\OneDrive\Documentos\MALENTIN KARIME\BANCO ESTADO\2012 DEPTO ESCRITURAS fata\NOTARIA 2009\JULIO POLANCO\aclaracion.doc", "Abrir Documento")</f>
        <v>0</v>
      </c>
      <c r="D12427" t="s">
        <v>23500</v>
      </c>
      <c r="E12427" t="s">
        <v>34902</v>
      </c>
    </row>
    <row r="12428" spans="1:5">
      <c r="A12428" t="s">
        <v>6</v>
      </c>
      <c r="B12428" t="s">
        <v>12433</v>
      </c>
      <c r="C12428">
        <f>HYPERLINK("C:\Users\franc\OneDrive\Documentos\MALENTIN KARIME\BANCO ESTADO\2012 DEPTO ESCRITURAS fata\NOTARIA 2009\JUAN PABLO CORRAL\ORIANA MUNDACA A CATALINA MUNDACA.doc", "Abrir Documento")</f>
        <v>0</v>
      </c>
      <c r="D12428" t="s">
        <v>23500</v>
      </c>
      <c r="E12428" t="s">
        <v>34903</v>
      </c>
    </row>
    <row r="12429" spans="1:5">
      <c r="A12429" t="s">
        <v>6</v>
      </c>
      <c r="B12429" t="s">
        <v>12434</v>
      </c>
      <c r="C12429">
        <f>HYPERLINK("C:\Users\franc\OneDrive\Documentos\MALENTIN KARIME\BANCO ESTADO\2012 DEPTO ESCRITURAS fata\NOTARIA 2009\JUAN CAMPAÑA\JUAN GARCIA\OSCIEL URQUETA A SERGIO URQUETA LOTE 2E.doc", "Abrir Documento")</f>
        <v>0</v>
      </c>
      <c r="D12429" t="s">
        <v>23500</v>
      </c>
      <c r="E12429" t="s">
        <v>34904</v>
      </c>
    </row>
    <row r="12430" spans="1:5">
      <c r="A12430" t="s">
        <v>6</v>
      </c>
      <c r="B12430" t="s">
        <v>12435</v>
      </c>
      <c r="C12430">
        <f>HYPERLINK("C:\Users\franc\OneDrive\Documentos\MALENTIN KARIME\BANCO ESTADO\2012 DEPTO ESCRITURAS fata\NOTARIA 2009\JUAN CAMPAÑA\JUAN GARCIA\OSCIEL URQUETA A ROSA URQUETA LOTE 2 F.doc", "Abrir Documento")</f>
        <v>0</v>
      </c>
      <c r="D12430" t="s">
        <v>23500</v>
      </c>
      <c r="E12430" t="s">
        <v>34905</v>
      </c>
    </row>
    <row r="12431" spans="1:5">
      <c r="A12431" t="s">
        <v>6</v>
      </c>
      <c r="B12431" t="s">
        <v>12436</v>
      </c>
      <c r="C12431">
        <f>HYPERLINK("C:\Users\franc\OneDrive\Documentos\MALENTIN KARIME\BANCO ESTADO\2012 DEPTO ESCRITURAS fata\NOTARIA 2009\JUAN CAMPAÑA\JUAN GARCIA\OSCIEL URQUETA A OSVALDO URQUETA LOTE 2A.doc", "Abrir Documento")</f>
        <v>0</v>
      </c>
      <c r="D12431" t="s">
        <v>23500</v>
      </c>
      <c r="E12431" t="s">
        <v>34906</v>
      </c>
    </row>
    <row r="12432" spans="1:5">
      <c r="A12432" t="s">
        <v>6</v>
      </c>
      <c r="B12432" t="s">
        <v>12437</v>
      </c>
      <c r="C12432">
        <f>HYPERLINK("C:\Users\franc\OneDrive\Documentos\MALENTIN KARIME\BANCO ESTADO\2012 DEPTO ESCRITURAS fata\NOTARIA 2009\JUAN CAMPAÑA\JUAN GARCIA\OSCIEL URQUETA A LUIS URQUETA LOTE 2B.doc", "Abrir Documento")</f>
        <v>0</v>
      </c>
      <c r="D12432" t="s">
        <v>23500</v>
      </c>
      <c r="E12432" t="s">
        <v>34907</v>
      </c>
    </row>
    <row r="12433" spans="1:5">
      <c r="A12433" t="s">
        <v>6</v>
      </c>
      <c r="B12433" t="s">
        <v>12438</v>
      </c>
      <c r="C12433">
        <f>HYPERLINK("C:\Users\franc\OneDrive\Documentos\MALENTIN KARIME\BANCO ESTADO\2012 DEPTO ESCRITURAS fata\NOTARIA 2009\JUAN CAMPAÑA\JUAN GARCIA\OSCIEL URQUETA A CARMEN URQUETA LOTE C2.doc", "Abrir Documento")</f>
        <v>0</v>
      </c>
      <c r="D12433" t="s">
        <v>23500</v>
      </c>
      <c r="E12433" t="s">
        <v>34908</v>
      </c>
    </row>
    <row r="12434" spans="1:5">
      <c r="A12434" t="s">
        <v>6</v>
      </c>
      <c r="B12434" t="s">
        <v>12439</v>
      </c>
      <c r="C12434">
        <f>HYPERLINK("C:\Users\franc\OneDrive\Documentos\MALENTIN KARIME\BANCO ESTADO\2012 DEPTO ESCRITURAS fata\NOTARIA 2009\JUAN CAMPAÑA\JUAN GARCIA\OSCIEL URQUETA A CARLOS URQUETA LOTE 2D.doc", "Abrir Documento")</f>
        <v>0</v>
      </c>
      <c r="D12434" t="s">
        <v>23500</v>
      </c>
      <c r="E12434" t="s">
        <v>34909</v>
      </c>
    </row>
    <row r="12435" spans="1:5">
      <c r="A12435" t="s">
        <v>6</v>
      </c>
      <c r="B12435" t="s">
        <v>12440</v>
      </c>
      <c r="C12435">
        <f>HYPERLINK("C:\Users\franc\OneDrive\Documentos\MALENTIN KARIME\BANCO ESTADO\2012 DEPTO ESCRITURAS fata\NOTARIA 2009\JUAN CAMPAÑA\JUAN GARCIA\MODELO 19807.doc", "Abrir Documento")</f>
        <v>0</v>
      </c>
      <c r="D12435" t="s">
        <v>23500</v>
      </c>
      <c r="E12435" t="s">
        <v>34910</v>
      </c>
    </row>
    <row r="12436" spans="1:5">
      <c r="A12436" t="s">
        <v>6</v>
      </c>
      <c r="B12436" t="s">
        <v>12441</v>
      </c>
      <c r="C12436">
        <f>HYPERLINK("C:\Users\franc\OneDrive\Documentos\MALENTIN KARIME\BANCO ESTADO\2012 DEPTO ESCRITURAS fata\NOTARIA 2009\JUAN CAMPAÑA\ELIANA CRESPO  COMPRAVENTA.doc", "Abrir Documento")</f>
        <v>0</v>
      </c>
      <c r="D12436" t="s">
        <v>23500</v>
      </c>
      <c r="E12436" t="s">
        <v>34911</v>
      </c>
    </row>
    <row r="12437" spans="1:5">
      <c r="A12437" t="s">
        <v>6</v>
      </c>
      <c r="B12437" t="s">
        <v>12442</v>
      </c>
      <c r="C12437">
        <f>HYPERLINK("C:\Users\franc\OneDrive\Documentos\MALENTIN KARIME\BANCO ESTADO\2012 DEPTO ESCRITURAS fata\NOTARIA 2009\JUAN CAMPAÑA\ATILIANO CID A ELIANA CRESPO MANDATO GENERAL.doc", "Abrir Documento")</f>
        <v>0</v>
      </c>
      <c r="D12437" t="s">
        <v>23500</v>
      </c>
      <c r="E12437" t="s">
        <v>34912</v>
      </c>
    </row>
    <row r="12438" spans="1:5">
      <c r="A12438" t="s">
        <v>6</v>
      </c>
      <c r="B12438" t="s">
        <v>12443</v>
      </c>
      <c r="C12438">
        <f>HYPERLINK("C:\Users\franc\OneDrive\Documentos\MALENTIN KARIME\BANCO ESTADO\2012 DEPTO ESCRITURAS fata\NOTARIA 2009\JORGE HERNANDEZ\TERMINO Y FINIQUITO.doc", "Abrir Documento")</f>
        <v>0</v>
      </c>
      <c r="D12438" t="s">
        <v>23500</v>
      </c>
      <c r="E12438" t="s">
        <v>34913</v>
      </c>
    </row>
    <row r="12439" spans="1:5">
      <c r="A12439" t="s">
        <v>6</v>
      </c>
      <c r="B12439" t="s">
        <v>12444</v>
      </c>
      <c r="C12439">
        <f>HYPERLINK("C:\Users\franc\OneDrive\Documentos\MALENTIN KARIME\BANCO ESTADO\2012 DEPTO ESCRITURAS fata\NOTARIA 2009\JORGE HERNANDEZ\RATIFICACION CONJUGE CONTRATISTA.doc", "Abrir Documento")</f>
        <v>0</v>
      </c>
      <c r="D12439" t="s">
        <v>23500</v>
      </c>
      <c r="E12439" t="s">
        <v>34914</v>
      </c>
    </row>
    <row r="12440" spans="1:5">
      <c r="A12440" t="s">
        <v>6</v>
      </c>
      <c r="B12440" t="s">
        <v>12445</v>
      </c>
      <c r="C12440">
        <f>HYPERLINK("C:\Users\franc\OneDrive\Documentos\MALENTIN KARIME\BANCO ESTADO\2012 DEPTO ESCRITURAS fata\NOTARIA 2009\JORGE HERNANDEZ\CONTRATO CONSTRUCCION.doc", "Abrir Documento")</f>
        <v>0</v>
      </c>
      <c r="D12440" t="s">
        <v>23500</v>
      </c>
      <c r="E12440" t="s">
        <v>34915</v>
      </c>
    </row>
    <row r="12441" spans="1:5">
      <c r="A12441" t="s">
        <v>6</v>
      </c>
      <c r="B12441" t="s">
        <v>12446</v>
      </c>
      <c r="C12441">
        <f>HYPERLINK("C:\Users\franc\OneDrive\Documentos\MALENTIN KARIME\BANCO ESTADO\2012 DEPTO ESCRITURAS fata\NOTARIA 2009\JORGE ALVARADO\PARTICION OLIVARES MILLA.doc", "Abrir Documento")</f>
        <v>0</v>
      </c>
      <c r="D12441" t="s">
        <v>23500</v>
      </c>
      <c r="E12441" t="s">
        <v>34916</v>
      </c>
    </row>
    <row r="12442" spans="1:5">
      <c r="A12442" t="s">
        <v>6</v>
      </c>
      <c r="B12442" t="s">
        <v>12447</v>
      </c>
      <c r="C12442">
        <f>HYPERLINK("C:\Users\franc\OneDrive\Documentos\MALENTIN KARIME\BANCO ESTADO\2012 DEPTO ESCRITURAS fata\NOTARIA 2009\JERONIMO ROJAS\VENTA NUDA PROPIEDAD.doc", "Abrir Documento")</f>
        <v>0</v>
      </c>
      <c r="D12442" t="s">
        <v>23500</v>
      </c>
      <c r="E12442" t="s">
        <v>34917</v>
      </c>
    </row>
    <row r="12443" spans="1:5">
      <c r="A12443" t="s">
        <v>6</v>
      </c>
      <c r="B12443" t="s">
        <v>12448</v>
      </c>
      <c r="C12443">
        <f>HYPERLINK("C:\Users\franc\OneDrive\Documentos\MALENTIN KARIME\BANCO ESTADO\2012 DEPTO ESCRITURAS fata\NOTARIA 2009\JERONIMO ROJAS\JAVIER OLIVARES.doc", "Abrir Documento")</f>
        <v>0</v>
      </c>
      <c r="D12443" t="s">
        <v>23500</v>
      </c>
      <c r="E12443" t="s">
        <v>34918</v>
      </c>
    </row>
    <row r="12444" spans="1:5">
      <c r="A12444" t="s">
        <v>6</v>
      </c>
      <c r="B12444" t="s">
        <v>12449</v>
      </c>
      <c r="C12444">
        <f>HYPERLINK("C:\Users\franc\OneDrive\Documentos\MALENTIN KARIME\BANCO ESTADO\2012 DEPTO ESCRITURAS fata\NOTARIA 2009\JERONIMO ROJAS\GUMERCINDO HUERTA A ERNESTO HUERTA.doc", "Abrir Documento")</f>
        <v>0</v>
      </c>
      <c r="D12444" t="s">
        <v>23500</v>
      </c>
      <c r="E12444" t="s">
        <v>34919</v>
      </c>
    </row>
    <row r="12445" spans="1:5">
      <c r="A12445" t="s">
        <v>6</v>
      </c>
      <c r="B12445" t="s">
        <v>12450</v>
      </c>
      <c r="C12445">
        <f>HYPERLINK("C:\Users\franc\OneDrive\Documentos\MALENTIN KARIME\BANCO ESTADO\2012 DEPTO ESCRITURAS fata\NOTARIA 2009\JERONIMO ROJAS\FANTINA OLIVARES (NIETOS).doc", "Abrir Documento")</f>
        <v>0</v>
      </c>
      <c r="D12445" t="s">
        <v>23500</v>
      </c>
      <c r="E12445" t="s">
        <v>34920</v>
      </c>
    </row>
    <row r="12446" spans="1:5">
      <c r="A12446" t="s">
        <v>6</v>
      </c>
      <c r="B12446" t="s">
        <v>12451</v>
      </c>
      <c r="C12446">
        <f>HYPERLINK("C:\Users\franc\OneDrive\Documentos\MALENTIN KARIME\BANCO ESTADO\2012 DEPTO ESCRITURAS fata\NOTARIA 2009\JAIME MUÑOZ ALMAZAN\VIRGINIA AGUILERA USUFRUCTO.doc", "Abrir Documento")</f>
        <v>0</v>
      </c>
      <c r="D12446" t="s">
        <v>23500</v>
      </c>
      <c r="E12446" t="s">
        <v>34921</v>
      </c>
    </row>
    <row r="12447" spans="1:5">
      <c r="A12447" t="s">
        <v>6</v>
      </c>
      <c r="B12447" t="s">
        <v>12452</v>
      </c>
      <c r="C12447">
        <f>HYPERLINK("C:\Users\franc\OneDrive\Documentos\MALENTIN KARIME\BANCO ESTADO\2012 DEPTO ESCRITURAS fata\NOTARIA 2009\JAIME MUÑOZ ALMAZAN\SOC. VERANEO PACIFICO A HANALI BARRANTES.doc", "Abrir Documento")</f>
        <v>0</v>
      </c>
      <c r="D12447" t="s">
        <v>23500</v>
      </c>
      <c r="E12447" t="s">
        <v>34922</v>
      </c>
    </row>
    <row r="12448" spans="1:5">
      <c r="A12448" t="s">
        <v>6</v>
      </c>
      <c r="B12448" t="s">
        <v>12453</v>
      </c>
      <c r="C12448">
        <f>HYPERLINK("C:\Users\franc\OneDrive\Documentos\MALENTIN KARIME\BANCO ESTADO\2012 DEPTO ESCRITURAS fata\NOTARIA 2009\JAIME MUÑOZ ALMAZAN\SILVIA RODRIGUEZ.doc", "Abrir Documento")</f>
        <v>0</v>
      </c>
      <c r="D12448" t="s">
        <v>23500</v>
      </c>
      <c r="E12448" t="s">
        <v>34923</v>
      </c>
    </row>
    <row r="12449" spans="1:5">
      <c r="A12449" t="s">
        <v>6</v>
      </c>
      <c r="B12449" t="s">
        <v>12454</v>
      </c>
      <c r="C12449">
        <f>HYPERLINK("C:\Users\franc\OneDrive\Documentos\MALENTIN KARIME\BANCO ESTADO\2012 DEPTO ESCRITURAS fata\NOTARIA 2009\JAIME MUÑOZ ALMAZAN\SERVIDUMBRE CIA. MINERA PUNITAQUI.doc", "Abrir Documento")</f>
        <v>0</v>
      </c>
      <c r="D12449" t="s">
        <v>23500</v>
      </c>
      <c r="E12449" t="s">
        <v>34924</v>
      </c>
    </row>
    <row r="12450" spans="1:5">
      <c r="A12450" t="s">
        <v>6</v>
      </c>
      <c r="B12450" t="s">
        <v>12455</v>
      </c>
      <c r="C12450">
        <f>HYPERLINK("C:\Users\franc\OneDrive\Documentos\MALENTIN KARIME\BANCO ESTADO\2012 DEPTO ESCRITURAS fata\NOTARIA 2009\JAIME MUÑOZ ALMAZAN\RICARDO TELLO.doc", "Abrir Documento")</f>
        <v>0</v>
      </c>
      <c r="D12450" t="s">
        <v>23500</v>
      </c>
      <c r="E12450" t="s">
        <v>34925</v>
      </c>
    </row>
    <row r="12451" spans="1:5">
      <c r="A12451" t="s">
        <v>6</v>
      </c>
      <c r="B12451" t="s">
        <v>12456</v>
      </c>
      <c r="C12451">
        <f>HYPERLINK("C:\Users\franc\OneDrive\Documentos\MALENTIN KARIME\BANCO ESTADO\2012 DEPTO ESCRITURAS fata\NOTARIA 2009\JAIME MUÑOZ ALMAZAN\RECTIFICAC JAMIE MUÑOZ.doc", "Abrir Documento")</f>
        <v>0</v>
      </c>
      <c r="D12451" t="s">
        <v>23500</v>
      </c>
      <c r="E12451" t="s">
        <v>34926</v>
      </c>
    </row>
    <row r="12452" spans="1:5">
      <c r="A12452" t="s">
        <v>6</v>
      </c>
      <c r="B12452" t="s">
        <v>12457</v>
      </c>
      <c r="C12452">
        <f>HYPERLINK("C:\Users\franc\OneDrive\Documentos\MALENTIN KARIME\BANCO ESTADO\2012 DEPTO ESCRITURAS fata\NOTARIA 2009\JAIME MUÑOZ ALMAZAN\RECTIFICA ERIC MUÑOZ A COMITE NUEVA ESPERANZA.doc", "Abrir Documento")</f>
        <v>0</v>
      </c>
      <c r="D12452" t="s">
        <v>23500</v>
      </c>
      <c r="E12452" t="s">
        <v>34927</v>
      </c>
    </row>
    <row r="12453" spans="1:5">
      <c r="A12453" t="s">
        <v>6</v>
      </c>
      <c r="B12453" t="s">
        <v>12458</v>
      </c>
      <c r="C12453">
        <f>HYPERLINK("C:\Users\franc\OneDrive\Documentos\MALENTIN KARIME\BANCO ESTADO\2012 DEPTO ESCRITURAS fata\NOTARIA 2009\JAIME MUÑOZ ALMAZAN\RECTIFI HILDA BILBAO A COMITE NUEVA ESPERANZA.doc", "Abrir Documento")</f>
        <v>0</v>
      </c>
      <c r="D12453" t="s">
        <v>23500</v>
      </c>
      <c r="E12453" t="s">
        <v>34928</v>
      </c>
    </row>
    <row r="12454" spans="1:5">
      <c r="A12454" t="s">
        <v>6</v>
      </c>
      <c r="B12454" t="s">
        <v>12459</v>
      </c>
      <c r="C12454">
        <f>HYPERLINK("C:\Users\franc\OneDrive\Documentos\MALENTIN KARIME\BANCO ESTADO\2012 DEPTO ESCRITURAS fata\NOTARIA 2009\JAIME MUÑOZ ALMAZAN\PEDRO GALLARDO.doc", "Abrir Documento")</f>
        <v>0</v>
      </c>
      <c r="D12454" t="s">
        <v>23500</v>
      </c>
      <c r="E12454" t="s">
        <v>34929</v>
      </c>
    </row>
    <row r="12455" spans="1:5">
      <c r="A12455" t="s">
        <v>6</v>
      </c>
      <c r="B12455" t="s">
        <v>12460</v>
      </c>
      <c r="C12455">
        <f>HYPERLINK("C:\Users\franc\OneDrive\Documentos\MALENTIN KARIME\BANCO ESTADO\2012 DEPTO ESCRITURAS fata\NOTARIA 2009\JAIME MUÑOZ ALMAZAN\NORMA VERDEJO A CIA. MRA. PUNITAQUI.doc", "Abrir Documento")</f>
        <v>0</v>
      </c>
      <c r="D12455" t="s">
        <v>23500</v>
      </c>
      <c r="E12455" t="s">
        <v>34930</v>
      </c>
    </row>
    <row r="12456" spans="1:5">
      <c r="A12456" t="s">
        <v>6</v>
      </c>
      <c r="B12456" t="s">
        <v>12461</v>
      </c>
      <c r="C12456">
        <f>HYPERLINK("C:\Users\franc\OneDrive\Documentos\MALENTIN KARIME\BANCO ESTADO\2012 DEPTO ESCRITURAS fata\NOTARIA 2009\JAIME MUÑOZ ALMAZAN\LORENZO MUÑOZ Y OTROS.doc", "Abrir Documento")</f>
        <v>0</v>
      </c>
      <c r="D12456" t="s">
        <v>23500</v>
      </c>
      <c r="E12456" t="s">
        <v>34931</v>
      </c>
    </row>
    <row r="12457" spans="1:5">
      <c r="A12457" t="s">
        <v>6</v>
      </c>
      <c r="B12457" t="s">
        <v>12462</v>
      </c>
      <c r="C12457">
        <f>HYPERLINK("C:\Users\franc\OneDrive\Documentos\MALENTIN KARIME\BANCO ESTADO\2012 DEPTO ESCRITURAS fata\NOTARIA 2009\JAIME MUÑOZ ALMAZAN\LORENZO MUÑOZ Y OTROS A CIA. MRA..doc", "Abrir Documento")</f>
        <v>0</v>
      </c>
      <c r="D12457" t="s">
        <v>23500</v>
      </c>
      <c r="E12457" t="s">
        <v>34932</v>
      </c>
    </row>
    <row r="12458" spans="1:5">
      <c r="A12458" t="s">
        <v>6</v>
      </c>
      <c r="B12458" t="s">
        <v>12463</v>
      </c>
      <c r="C12458">
        <f>HYPERLINK("C:\Users\franc\OneDrive\Documentos\MALENTIN KARIME\BANCO ESTADO\2012 DEPTO ESCRITURAS fata\NOTARIA 2009\JAIME MUÑOZ ALMAZAN\JUANA CANIBILO A CIA. PUNITAQUI.doc", "Abrir Documento")</f>
        <v>0</v>
      </c>
      <c r="D12458" t="s">
        <v>23500</v>
      </c>
      <c r="E12458" t="s">
        <v>34933</v>
      </c>
    </row>
    <row r="12459" spans="1:5">
      <c r="A12459" t="s">
        <v>6</v>
      </c>
      <c r="B12459" t="s">
        <v>12464</v>
      </c>
      <c r="C12459">
        <f>HYPERLINK("C:\Users\franc\OneDrive\Documentos\MALENTIN KARIME\BANCO ESTADO\2012 DEPTO ESCRITURAS fata\NOTARIA 2009\JAIME MUÑOZ ALMAZAN\JOSE ARAYA.doc", "Abrir Documento")</f>
        <v>0</v>
      </c>
      <c r="D12459" t="s">
        <v>23500</v>
      </c>
      <c r="E12459" t="s">
        <v>34934</v>
      </c>
    </row>
    <row r="12460" spans="1:5">
      <c r="A12460" t="s">
        <v>6</v>
      </c>
      <c r="B12460" t="s">
        <v>12465</v>
      </c>
      <c r="C12460">
        <f>HYPERLINK("C:\Users\franc\OneDrive\Documentos\MALENTIN KARIME\BANCO ESTADO\2012 DEPTO ESCRITURAS fata\NOTARIA 2009\JAIME MUÑOZ ALMAZAN\Instruciones al Notario servidumbre dalmacia.doc", "Abrir Documento")</f>
        <v>0</v>
      </c>
      <c r="D12460" t="s">
        <v>23500</v>
      </c>
      <c r="E12460" t="s">
        <v>34935</v>
      </c>
    </row>
    <row r="12461" spans="1:5">
      <c r="A12461" t="s">
        <v>6</v>
      </c>
      <c r="B12461" t="s">
        <v>12466</v>
      </c>
      <c r="C12461">
        <f>HYPERLINK("C:\Users\franc\OneDrive\Documentos\MALENTIN KARIME\BANCO ESTADO\2012 DEPTO ESCRITURAS fata\NOTARIA 2009\JAIME MUÑOZ ALMAZAN\IDA GUERRA.doc", "Abrir Documento")</f>
        <v>0</v>
      </c>
      <c r="D12461" t="s">
        <v>23500</v>
      </c>
      <c r="E12461" t="s">
        <v>34936</v>
      </c>
    </row>
    <row r="12462" spans="1:5">
      <c r="A12462" t="s">
        <v>6</v>
      </c>
      <c r="B12462" t="s">
        <v>12467</v>
      </c>
      <c r="C12462">
        <f>HYPERLINK("C:\Users\franc\OneDrive\Documentos\MALENTIN KARIME\BANCO ESTADO\2012 DEPTO ESCRITURAS fata\NOTARIA 2009\JAIME MUÑOZ ALMAZAN\HILDA BONILLA.doc", "Abrir Documento")</f>
        <v>0</v>
      </c>
      <c r="D12462" t="s">
        <v>23500</v>
      </c>
      <c r="E12462" t="s">
        <v>34937</v>
      </c>
    </row>
    <row r="12463" spans="1:5">
      <c r="A12463" t="s">
        <v>6</v>
      </c>
      <c r="B12463" t="s">
        <v>12468</v>
      </c>
      <c r="C12463">
        <f>HYPERLINK("C:\Users\franc\OneDrive\Documentos\MALENTIN KARIME\BANCO ESTADO\2012 DEPTO ESCRITURAS fata\NOTARIA 2009\JAIME MUÑOZ ALMAZAN\ELVIRA VEGA.doc", "Abrir Documento")</f>
        <v>0</v>
      </c>
      <c r="D12463" t="s">
        <v>23500</v>
      </c>
      <c r="E12463" t="s">
        <v>34938</v>
      </c>
    </row>
    <row r="12464" spans="1:5">
      <c r="A12464" t="s">
        <v>6</v>
      </c>
      <c r="B12464" t="s">
        <v>12469</v>
      </c>
      <c r="C12464">
        <f>HYPERLINK("C:\Users\franc\OneDrive\Documentos\MALENTIN KARIME\BANCO ESTADO\2012 DEPTO ESCRITURAS fata\NOTARIA 2009\JAIME MUÑOZ ALMAZAN\ELIZABETH ECHEVERRIA.doc", "Abrir Documento")</f>
        <v>0</v>
      </c>
      <c r="D12464" t="s">
        <v>23500</v>
      </c>
      <c r="E12464" t="s">
        <v>34939</v>
      </c>
    </row>
    <row r="12465" spans="1:5">
      <c r="A12465" t="s">
        <v>6</v>
      </c>
      <c r="B12465" t="s">
        <v>12470</v>
      </c>
      <c r="C12465">
        <f>HYPERLINK("C:\Users\franc\OneDrive\Documentos\MALENTIN KARIME\BANCO ESTADO\2012 DEPTO ESCRITURAS fata\NOTARIA 2009\JAIME MUÑOZ ALMAZAN\BERNARDINA MARIN A CIA. PUNITAQUI.doc", "Abrir Documento")</f>
        <v>0</v>
      </c>
      <c r="D12465" t="s">
        <v>23500</v>
      </c>
      <c r="E12465" t="s">
        <v>34940</v>
      </c>
    </row>
    <row r="12466" spans="1:5">
      <c r="A12466" t="s">
        <v>6</v>
      </c>
      <c r="B12466" t="s">
        <v>12471</v>
      </c>
      <c r="C12466">
        <f>HYPERLINK("C:\Users\franc\OneDrive\Documentos\MALENTIN KARIME\BANCO ESTADO\2012 DEPTO ESCRITURAS fata\NOTARIA 2009\JAIME MUÑOZ ALMAZAN\ANA ROJO A CIA. PUNITAQUI.doc", "Abrir Documento")</f>
        <v>0</v>
      </c>
      <c r="D12466" t="s">
        <v>23500</v>
      </c>
      <c r="E12466" t="s">
        <v>34941</v>
      </c>
    </row>
    <row r="12467" spans="1:5">
      <c r="A12467" t="s">
        <v>6</v>
      </c>
      <c r="B12467" t="s">
        <v>12472</v>
      </c>
      <c r="C12467">
        <f>HYPERLINK("C:\Users\franc\OneDrive\Documentos\MALENTIN KARIME\BANCO ESTADO\2012 DEPTO ESCRITURAS fata\NOTARIA 2009\JAIME CRISTI ROMANI\MAVIS ALVAREZ Y OTROS A FDO. ZAPATA (MINAS).doc", "Abrir Documento")</f>
        <v>0</v>
      </c>
      <c r="D12467" t="s">
        <v>23500</v>
      </c>
      <c r="E12467" t="s">
        <v>34942</v>
      </c>
    </row>
    <row r="12468" spans="1:5">
      <c r="A12468" t="s">
        <v>6</v>
      </c>
      <c r="B12468" t="s">
        <v>12473</v>
      </c>
      <c r="C12468">
        <f>HYPERLINK("C:\Users\franc\OneDrive\Documentos\MALENTIN KARIME\BANCO ESTADO\2012 DEPTO ESCRITURAS fata\NOTARIA 2009\JACQUELINE PIZARRO\TESTAMENTO DE MARIA TERESA PONCE DE LEON.doc", "Abrir Documento")</f>
        <v>0</v>
      </c>
      <c r="D12468" t="s">
        <v>23500</v>
      </c>
      <c r="E12468" t="s">
        <v>34943</v>
      </c>
    </row>
    <row r="12469" spans="1:5">
      <c r="A12469" t="s">
        <v>6</v>
      </c>
      <c r="B12469" t="s">
        <v>12474</v>
      </c>
      <c r="C12469">
        <f>HYPERLINK("C:\Users\franc\OneDrive\Documentos\MALENTIN KARIME\BANCO ESTADO\2012 DEPTO ESCRITURAS fata\NOTARIA 2009\INPROCOL\REDUCCION A ESCRITURA PUBLICA ESCUELA HELENE LANG.doc", "Abrir Documento")</f>
        <v>0</v>
      </c>
      <c r="D12469" t="s">
        <v>23500</v>
      </c>
      <c r="E12469" t="s">
        <v>34944</v>
      </c>
    </row>
    <row r="12470" spans="1:5">
      <c r="A12470" t="s">
        <v>6</v>
      </c>
      <c r="B12470" t="s">
        <v>12475</v>
      </c>
      <c r="C12470">
        <f>HYPERLINK("C:\Users\franc\OneDrive\Documentos\MALENTIN KARIME\BANCO ESTADO\2012 DEPTO ESCRITURAS fata\NOTARIA 2009\HUGO PATRICIO LAGUNAS\IVAN PAVLETICH A IRMA PEREZ.doc", "Abrir Documento")</f>
        <v>0</v>
      </c>
      <c r="D12470" t="s">
        <v>23500</v>
      </c>
      <c r="E12470" t="s">
        <v>34945</v>
      </c>
    </row>
    <row r="12471" spans="1:5">
      <c r="A12471" t="s">
        <v>6</v>
      </c>
      <c r="B12471" t="s">
        <v>12476</v>
      </c>
      <c r="C12471">
        <f>HYPERLINK("C:\Users\franc\OneDrive\Documentos\MALENTIN KARIME\BANCO ESTADO\2012 DEPTO ESCRITURAS fata\NOTARIA 2009\HUGO PATRICIO LAGUNAS\FCO. RODRIGUEZ A GERMAN RODRIGUEZ (VENTA DERECHOS).doc", "Abrir Documento")</f>
        <v>0</v>
      </c>
      <c r="D12471" t="s">
        <v>23500</v>
      </c>
      <c r="E12471" t="s">
        <v>34946</v>
      </c>
    </row>
    <row r="12472" spans="1:5">
      <c r="A12472" t="s">
        <v>6</v>
      </c>
      <c r="B12472" t="s">
        <v>12477</v>
      </c>
      <c r="C12472">
        <f>HYPERLINK("C:\Users\franc\OneDrive\Documentos\MALENTIN KARIME\BANCO ESTADO\2012 DEPTO ESCRITURAS fata\NOTARIA 2009\HUGO PATRICIO LAGUNAS\FCO. RODRIGUEZ A GERMAN RODRIGUEZ (VENTA DERECHOS) II.doc", "Abrir Documento")</f>
        <v>0</v>
      </c>
      <c r="D12472" t="s">
        <v>23500</v>
      </c>
      <c r="E12472" t="s">
        <v>34947</v>
      </c>
    </row>
    <row r="12473" spans="1:5">
      <c r="A12473" t="s">
        <v>6</v>
      </c>
      <c r="B12473" t="s">
        <v>12478</v>
      </c>
      <c r="C12473">
        <f>HYPERLINK("C:\Users\franc\OneDrive\Documentos\MALENTIN KARIME\BANCO ESTADO\2012 DEPTO ESCRITURAS fata\NOTARIA 2009\HUGO DEL CAMPO\IRELDA CARVAJAL Y OT. A HUGO DEL CAMPO.doc", "Abrir Documento")</f>
        <v>0</v>
      </c>
      <c r="D12473" t="s">
        <v>23500</v>
      </c>
      <c r="E12473" t="s">
        <v>34948</v>
      </c>
    </row>
    <row r="12474" spans="1:5">
      <c r="A12474" t="s">
        <v>6</v>
      </c>
      <c r="B12474" t="s">
        <v>12479</v>
      </c>
      <c r="C12474">
        <f>HYPERLINK("C:\Users\franc\OneDrive\Documentos\MALENTIN KARIME\BANCO ESTADO\2012 DEPTO ESCRITURAS fata\NOTARIA 2009\HUGO DEL CAMPO\COMUNIDAD AGRICOLA EL PEÑON A HUGO DEL CAMPO.doc", "Abrir Documento")</f>
        <v>0</v>
      </c>
      <c r="D12474" t="s">
        <v>23500</v>
      </c>
      <c r="E12474" t="s">
        <v>34949</v>
      </c>
    </row>
    <row r="12475" spans="1:5">
      <c r="A12475" t="s">
        <v>6</v>
      </c>
      <c r="B12475" t="s">
        <v>12480</v>
      </c>
      <c r="C12475">
        <f>HYPERLINK("C:\Users\franc\OneDrive\Documentos\MALENTIN KARIME\BANCO ESTADO\2012 DEPTO ESCRITURAS fata\NOTARIA 2009\HIPOTECAS\ROSA VELIZ A ALDO CORDERO.doc", "Abrir Documento")</f>
        <v>0</v>
      </c>
      <c r="D12475" t="s">
        <v>23500</v>
      </c>
      <c r="E12475" t="s">
        <v>34950</v>
      </c>
    </row>
    <row r="12476" spans="1:5">
      <c r="A12476" t="s">
        <v>6</v>
      </c>
      <c r="B12476" t="s">
        <v>12481</v>
      </c>
      <c r="C12476">
        <f>HYPERLINK("C:\Users\franc\OneDrive\Documentos\MALENTIN KARIME\BANCO ESTADO\2012 DEPTO ESCRITURAS fata\NOTARIA 2009\HIPOTECAS\JAIME MONDACA A SOC..doc", "Abrir Documento")</f>
        <v>0</v>
      </c>
      <c r="D12476" t="s">
        <v>23500</v>
      </c>
      <c r="E12476" t="s">
        <v>34951</v>
      </c>
    </row>
    <row r="12477" spans="1:5">
      <c r="A12477" t="s">
        <v>6</v>
      </c>
      <c r="B12477" t="s">
        <v>12482</v>
      </c>
      <c r="C12477">
        <f>HYPERLINK("C:\Users\franc\OneDrive\Documentos\MALENTIN KARIME\BANCO ESTADO\2012 DEPTO ESCRITURAS fata\NOTARIA 2009\HIPOTECAS\COMITE VILLA ESPERANZA A SERVIU.doc", "Abrir Documento")</f>
        <v>0</v>
      </c>
      <c r="D12477" t="s">
        <v>23500</v>
      </c>
      <c r="E12477" t="s">
        <v>34952</v>
      </c>
    </row>
    <row r="12478" spans="1:5">
      <c r="A12478" t="s">
        <v>6</v>
      </c>
      <c r="B12478" t="s">
        <v>12483</v>
      </c>
      <c r="C12478">
        <f>HYPERLINK("C:\Users\franc\OneDrive\Documentos\MALENTIN KARIME\BANCO ESTADO\2012 DEPTO ESCRITURAS fata\NOTARIA 2009\HERNAN PEREZ\ALEJANDRO BARRAZA A COMITE AGUA POTABLE EL MAQUI.doc", "Abrir Documento")</f>
        <v>0</v>
      </c>
      <c r="D12478" t="s">
        <v>23500</v>
      </c>
      <c r="E12478" t="s">
        <v>34953</v>
      </c>
    </row>
    <row r="12479" spans="1:5">
      <c r="A12479" t="s">
        <v>6</v>
      </c>
      <c r="B12479" t="s">
        <v>12484</v>
      </c>
      <c r="C12479">
        <f>HYPERLINK("C:\Users\franc\OneDrive\Documentos\MALENTIN KARIME\BANCO ESTADO\2012 DEPTO ESCRITURAS fata\NOTARIA 2009\GASTON IVER\RENATO PEÑAFIEL A BELTRAN ZEPEDA SODECA.doc", "Abrir Documento")</f>
        <v>0</v>
      </c>
      <c r="D12479" t="s">
        <v>23500</v>
      </c>
      <c r="E12479" t="s">
        <v>34954</v>
      </c>
    </row>
    <row r="12480" spans="1:5">
      <c r="A12480" t="s">
        <v>6</v>
      </c>
      <c r="B12480" t="s">
        <v>12485</v>
      </c>
      <c r="C12480">
        <f>HYPERLINK("C:\Users\franc\OneDrive\Documentos\MALENTIN KARIME\BANCO ESTADO\2012 DEPTO ESCRITURAS fata\NOTARIA 2009\FRIGORIFICO SOTAQUI\ARRENDAMIENTO.doc", "Abrir Documento")</f>
        <v>0</v>
      </c>
      <c r="D12480" t="s">
        <v>23500</v>
      </c>
      <c r="E12480" t="s">
        <v>34955</v>
      </c>
    </row>
    <row r="12481" spans="1:5">
      <c r="A12481" t="s">
        <v>6</v>
      </c>
      <c r="B12481" t="s">
        <v>12486</v>
      </c>
      <c r="C12481">
        <f>HYPERLINK("C:\Users\franc\OneDrive\Documentos\MALENTIN KARIME\BANCO ESTADO\2012 DEPTO ESCRITURAS fata\NOTARIA 2009\FRANCISCO SAAVEDRA\SOBRE.doc", "Abrir Documento")</f>
        <v>0</v>
      </c>
      <c r="D12481" t="s">
        <v>23500</v>
      </c>
      <c r="E12481" t="s">
        <v>34956</v>
      </c>
    </row>
    <row r="12482" spans="1:5">
      <c r="A12482" t="s">
        <v>6</v>
      </c>
      <c r="B12482" t="s">
        <v>12487</v>
      </c>
      <c r="C12482">
        <f>HYPERLINK("C:\Users\franc\OneDrive\Documentos\MALENTIN KARIME\BANCO ESTADO\2012 DEPTO ESCRITURAS fata\NOTARIA 2009\FRANCISCO SAAVEDRA\SLM PRETECATEMU.doc", "Abrir Documento")</f>
        <v>0</v>
      </c>
      <c r="D12482" t="s">
        <v>23500</v>
      </c>
      <c r="E12482" t="s">
        <v>34957</v>
      </c>
    </row>
    <row r="12483" spans="1:5">
      <c r="A12483" t="s">
        <v>6</v>
      </c>
      <c r="B12483" t="s">
        <v>12488</v>
      </c>
      <c r="C12483">
        <f>HYPERLINK("C:\Users\franc\OneDrive\Documentos\MALENTIN KARIME\BANCO ESTADO\2012 DEPTO ESCRITURAS fata\NOTARIA 2009\FRANCISCO SAAVEDRA\SLM PRETECATEMU MODIFICACION.doc", "Abrir Documento")</f>
        <v>0</v>
      </c>
      <c r="D12483" t="s">
        <v>23500</v>
      </c>
      <c r="E12483" t="s">
        <v>34958</v>
      </c>
    </row>
    <row r="12484" spans="1:5">
      <c r="A12484" t="s">
        <v>6</v>
      </c>
      <c r="B12484" t="s">
        <v>12489</v>
      </c>
      <c r="C12484">
        <f>HYPERLINK("C:\Users\franc\OneDrive\Documentos\MALENTIN KARIME\BANCO ESTADO\2012 DEPTO ESCRITURAS fata\NOTARIA 2009\FRANCISCO SAAVEDRA\QUILLAYES (PAGO).doc", "Abrir Documento")</f>
        <v>0</v>
      </c>
      <c r="D12484" t="s">
        <v>23500</v>
      </c>
      <c r="E12484" t="s">
        <v>34959</v>
      </c>
    </row>
    <row r="12485" spans="1:5">
      <c r="A12485" t="s">
        <v>6</v>
      </c>
      <c r="B12485" t="s">
        <v>12490</v>
      </c>
      <c r="C12485">
        <f>HYPERLINK("C:\Users\franc\OneDrive\Documentos\MALENTIN KARIME\BANCO ESTADO\2012 DEPTO ESCRITURAS fata\NOTARIA 2009\FRANCISCO SAAVEDRA\PRETECATEMO PAGO CUOTA MAYO 2009.doc", "Abrir Documento")</f>
        <v>0</v>
      </c>
      <c r="D12485" t="s">
        <v>23500</v>
      </c>
      <c r="E12485" t="s">
        <v>34960</v>
      </c>
    </row>
    <row r="12486" spans="1:5">
      <c r="A12486" t="s">
        <v>6</v>
      </c>
      <c r="B12486" t="s">
        <v>12491</v>
      </c>
      <c r="C12486">
        <f>HYPERLINK("C:\Users\franc\OneDrive\Documentos\MALENTIN KARIME\BANCO ESTADO\2012 DEPTO ESCRITURAS fata\NOTARIA 2009\FRANCISCO SAAVEDRA\PRETECATEMO (PAGO).doc", "Abrir Documento")</f>
        <v>0</v>
      </c>
      <c r="D12486" t="s">
        <v>23500</v>
      </c>
      <c r="E12486" t="s">
        <v>34961</v>
      </c>
    </row>
    <row r="12487" spans="1:5">
      <c r="A12487" t="s">
        <v>6</v>
      </c>
      <c r="B12487" t="s">
        <v>12492</v>
      </c>
      <c r="C12487">
        <f>HYPERLINK("C:\Users\franc\OneDrive\Documentos\MALENTIN KARIME\BANCO ESTADO\2012 DEPTO ESCRITURAS fata\NOTARIA 2009\FRANCISCO SAAVEDRA\OLGA ALFARO Y OTRO A MILTON EGAÑA Y OTRO.doc", "Abrir Documento")</f>
        <v>0</v>
      </c>
      <c r="D12487" t="s">
        <v>23500</v>
      </c>
      <c r="E12487" t="s">
        <v>34962</v>
      </c>
    </row>
    <row r="12488" spans="1:5">
      <c r="A12488" t="s">
        <v>6</v>
      </c>
      <c r="B12488" t="s">
        <v>12493</v>
      </c>
      <c r="C12488">
        <f>HYPERLINK("C:\Users\franc\OneDrive\Documentos\MALENTIN KARIME\BANCO ESTADO\2012 DEPTO ESCRITURAS fata\NOTARIA 2009\FRANCISCO SAAVEDRA\modelo  EN REMATE.doc", "Abrir Documento")</f>
        <v>0</v>
      </c>
      <c r="D12488" t="s">
        <v>23500</v>
      </c>
      <c r="E12488" t="s">
        <v>34963</v>
      </c>
    </row>
    <row r="12489" spans="1:5">
      <c r="A12489" t="s">
        <v>6</v>
      </c>
      <c r="B12489" t="s">
        <v>12494</v>
      </c>
      <c r="C12489">
        <f>HYPERLINK("C:\Users\franc\OneDrive\Documentos\MALENTIN KARIME\BANCO ESTADO\2012 DEPTO ESCRITURAS fata\NOTARIA 2009\FRANCISCO SAAVEDRA\MIGUEL TAPIA PAGO CUOTA MAYO 2009.doc", "Abrir Documento")</f>
        <v>0</v>
      </c>
      <c r="D12489" t="s">
        <v>23500</v>
      </c>
      <c r="E12489" t="s">
        <v>34964</v>
      </c>
    </row>
    <row r="12490" spans="1:5">
      <c r="A12490" t="s">
        <v>6</v>
      </c>
      <c r="B12490" t="s">
        <v>12495</v>
      </c>
      <c r="C12490">
        <f>HYPERLINK("C:\Users\franc\OneDrive\Documentos\MALENTIN KARIME\BANCO ESTADO\2012 DEPTO ESCRITURAS fata\NOTARIA 2009\FRANCISCO SAAVEDRA\MIGUEL TAPIA A INVERS. EM DOS (PROMESA).doc", "Abrir Documento")</f>
        <v>0</v>
      </c>
      <c r="D12490" t="s">
        <v>23500</v>
      </c>
      <c r="E12490" t="s">
        <v>34965</v>
      </c>
    </row>
    <row r="12491" spans="1:5">
      <c r="A12491" t="s">
        <v>6</v>
      </c>
      <c r="B12491" t="s">
        <v>12496</v>
      </c>
      <c r="C12491">
        <f>HYPERLINK("C:\Users\franc\OneDrive\Documentos\MALENTIN KARIME\BANCO ESTADO\2012 DEPTO ESCRITURAS fata\NOTARIA 2009\FRANCISCO SAAVEDRA\MIGUEL TAPIA - INV. EM DOS (PAGO).doc", "Abrir Documento")</f>
        <v>0</v>
      </c>
      <c r="D12491" t="s">
        <v>23500</v>
      </c>
      <c r="E12491" t="s">
        <v>34966</v>
      </c>
    </row>
    <row r="12492" spans="1:5">
      <c r="A12492" t="s">
        <v>6</v>
      </c>
      <c r="B12492" t="s">
        <v>12497</v>
      </c>
      <c r="C12492">
        <f>HYPERLINK("C:\Users\franc\OneDrive\Documentos\MALENTIN KARIME\BANCO ESTADO\2012 DEPTO ESCRITURAS fata\NOTARIA 2009\FRANCISCO SAAVEDRA\MIGUEL TAPIA  (MODIFICACION).doc", "Abrir Documento")</f>
        <v>0</v>
      </c>
      <c r="D12492" t="s">
        <v>23500</v>
      </c>
      <c r="E12492" t="s">
        <v>34967</v>
      </c>
    </row>
    <row r="12493" spans="1:5">
      <c r="A12493" t="s">
        <v>6</v>
      </c>
      <c r="B12493" t="s">
        <v>12498</v>
      </c>
      <c r="C12493">
        <f>HYPERLINK("C:\Users\franc\OneDrive\Documentos\MALENTIN KARIME\BANCO ESTADO\2012 DEPTO ESCRITURAS fata\NOTARIA 2009\FRANCISCO SAAVEDRA\LOS QUILLAYES PAGO CUOTA MAYO 2009.doc", "Abrir Documento")</f>
        <v>0</v>
      </c>
      <c r="D12493" t="s">
        <v>23500</v>
      </c>
      <c r="E12493" t="s">
        <v>34968</v>
      </c>
    </row>
    <row r="12494" spans="1:5">
      <c r="A12494" t="s">
        <v>6</v>
      </c>
      <c r="B12494" t="s">
        <v>12499</v>
      </c>
      <c r="C12494">
        <f>HYPERLINK("C:\Users\franc\OneDrive\Documentos\MALENTIN KARIME\BANCO ESTADO\2012 DEPTO ESCRITURAS fata\NOTARIA 2009\FRANCISCO SAAVEDRA\LILIANA ALFARO Y OTROS COMPLEMENTACION (AGOSTO 2009).doc", "Abrir Documento")</f>
        <v>0</v>
      </c>
      <c r="D12494" t="s">
        <v>23500</v>
      </c>
      <c r="E12494" t="s">
        <v>34969</v>
      </c>
    </row>
    <row r="12495" spans="1:5">
      <c r="A12495" t="s">
        <v>6</v>
      </c>
      <c r="B12495" t="s">
        <v>12500</v>
      </c>
      <c r="C12495">
        <f>HYPERLINK("C:\Users\franc\OneDrive\Documentos\MALENTIN KARIME\BANCO ESTADO\2012 DEPTO ESCRITURAS fata\NOTARIA 2009\FRANCISCO SAAVEDRA\LILIANA ALFARO PAGO CUOTA MAYO 2009.doc", "Abrir Documento")</f>
        <v>0</v>
      </c>
      <c r="D12495" t="s">
        <v>23500</v>
      </c>
      <c r="E12495" t="s">
        <v>34970</v>
      </c>
    </row>
    <row r="12496" spans="1:5">
      <c r="A12496" t="s">
        <v>6</v>
      </c>
      <c r="B12496" t="s">
        <v>12501</v>
      </c>
      <c r="C12496">
        <f>HYPERLINK("C:\Users\franc\OneDrive\Documentos\MALENTIN KARIME\BANCO ESTADO\2012 DEPTO ESCRITURAS fata\NOTARIA 2009\FRANCISCO SAAVEDRA\LILIANA ALFARO - MANDATO (OCT. 2009).doc", "Abrir Documento")</f>
        <v>0</v>
      </c>
      <c r="D12496" t="s">
        <v>23500</v>
      </c>
      <c r="E12496" t="s">
        <v>34971</v>
      </c>
    </row>
    <row r="12497" spans="1:5">
      <c r="A12497" t="s">
        <v>6</v>
      </c>
      <c r="B12497" t="s">
        <v>12502</v>
      </c>
      <c r="C12497">
        <f>HYPERLINK("C:\Users\franc\OneDrive\Documentos\MALENTIN KARIME\BANCO ESTADO\2012 DEPTO ESCRITURAS fata\NOTARIA 2009\FRANCISCO SAAVEDRA\LILIANA ALFARO (PAGO).doc", "Abrir Documento")</f>
        <v>0</v>
      </c>
      <c r="D12497" t="s">
        <v>23500</v>
      </c>
      <c r="E12497" t="s">
        <v>34972</v>
      </c>
    </row>
    <row r="12498" spans="1:5">
      <c r="A12498" t="s">
        <v>6</v>
      </c>
      <c r="B12498" t="s">
        <v>12503</v>
      </c>
      <c r="C12498">
        <f>HYPERLINK("C:\Users\franc\OneDrive\Documentos\MALENTIN KARIME\BANCO ESTADO\2012 DEPTO ESCRITURAS fata\NOTARIA 2009\FRANCISCO SAAVEDRA\instrucciones_pago_cuotas_mayo_2009[1].doc", "Abrir Documento")</f>
        <v>0</v>
      </c>
      <c r="D12498" t="s">
        <v>23500</v>
      </c>
      <c r="E12498" t="s">
        <v>34973</v>
      </c>
    </row>
    <row r="12499" spans="1:5">
      <c r="A12499" t="s">
        <v>6</v>
      </c>
      <c r="B12499" t="s">
        <v>12504</v>
      </c>
      <c r="C12499">
        <f>HYPERLINK("C:\Users\franc\OneDrive\Documentos\MALENTIN KARIME\BANCO ESTADO\2012 DEPTO ESCRITURAS fata\NOTARIA 2009\FRANCISCO SAAVEDRA\FINAL PRETECATEMO.doc", "Abrir Documento")</f>
        <v>0</v>
      </c>
      <c r="D12499" t="s">
        <v>23500</v>
      </c>
      <c r="E12499" t="s">
        <v>34974</v>
      </c>
    </row>
    <row r="12500" spans="1:5">
      <c r="A12500" t="s">
        <v>6</v>
      </c>
      <c r="B12500" t="s">
        <v>12505</v>
      </c>
      <c r="C12500">
        <f>HYPERLINK("C:\Users\franc\OneDrive\Documentos\MALENTIN KARIME\BANCO ESTADO\2012 DEPTO ESCRITURAS fata\NOTARIA 2009\FRANCISCO SAAVEDRA\CARTA PRIVADA.doc", "Abrir Documento")</f>
        <v>0</v>
      </c>
      <c r="D12500" t="s">
        <v>23500</v>
      </c>
      <c r="E12500" t="s">
        <v>34975</v>
      </c>
    </row>
    <row r="12501" spans="1:5">
      <c r="A12501" t="s">
        <v>6</v>
      </c>
      <c r="B12501" t="s">
        <v>12506</v>
      </c>
      <c r="C12501">
        <f>HYPERLINK("C:\Users\franc\OneDrive\Documentos\MALENTIN KARIME\BANCO ESTADO\2012 DEPTO ESCRITURAS fata\NOTARIA 2009\FRANCISCO SAAVEDRA\CANCELACION ROSENDO CORTES Y OTROS.doc", "Abrir Documento")</f>
        <v>0</v>
      </c>
      <c r="D12501" t="s">
        <v>23500</v>
      </c>
      <c r="E12501" t="s">
        <v>34976</v>
      </c>
    </row>
    <row r="12502" spans="1:5">
      <c r="A12502" t="s">
        <v>6</v>
      </c>
      <c r="B12502" t="s">
        <v>12507</v>
      </c>
      <c r="C12502">
        <f>HYPERLINK("C:\Users\franc\OneDrive\Documentos\MALENTIN KARIME\BANCO ESTADO\2012 DEPTO ESCRITURAS fata\NOTARIA 2009\FRANCISCO SAAVEDRA\ALFONSO OPAZO PAGO CUOTA MAYO 2009.doc", "Abrir Documento")</f>
        <v>0</v>
      </c>
      <c r="D12502" t="s">
        <v>23500</v>
      </c>
      <c r="E12502" t="s">
        <v>34977</v>
      </c>
    </row>
    <row r="12503" spans="1:5">
      <c r="A12503" t="s">
        <v>6</v>
      </c>
      <c r="B12503" t="s">
        <v>12508</v>
      </c>
      <c r="C12503">
        <f>HYPERLINK("C:\Users\franc\OneDrive\Documentos\MALENTIN KARIME\BANCO ESTADO\2012 DEPTO ESCRITURAS fata\NOTARIA 2009\FRANCISCO SAAVEDRA\ALFONSO OPAZO MODIF. LA FLORIDA MAYO 2009.doc", "Abrir Documento")</f>
        <v>0</v>
      </c>
      <c r="D12503" t="s">
        <v>23500</v>
      </c>
      <c r="E12503" t="s">
        <v>34978</v>
      </c>
    </row>
    <row r="12504" spans="1:5">
      <c r="A12504" t="s">
        <v>6</v>
      </c>
      <c r="B12504" t="s">
        <v>12509</v>
      </c>
      <c r="C12504">
        <f>HYPERLINK("C:\Users\franc\OneDrive\Documentos\MALENTIN KARIME\BANCO ESTADO\2012 DEPTO ESCRITURAS fata\NOTARIA 2009\FRANCISCO SAAVEDRA\ALFONSO OPAZO LEIVA - INVERSIONES EM DOS (PROMESA).doc", "Abrir Documento")</f>
        <v>0</v>
      </c>
      <c r="D12504" t="s">
        <v>23500</v>
      </c>
      <c r="E12504" t="s">
        <v>34979</v>
      </c>
    </row>
    <row r="12505" spans="1:5">
      <c r="A12505" t="s">
        <v>6</v>
      </c>
      <c r="B12505" t="s">
        <v>12510</v>
      </c>
      <c r="C12505">
        <f>HYPERLINK("C:\Users\franc\OneDrive\Documentos\MALENTIN KARIME\BANCO ESTADO\2012 DEPTO ESCRITURAS fata\NOTARIA 2009\FRANCISCO SAAVEDRA\ALFONSO OPAZO A INV. EM DOS (MODIFIC LA FLORIDA).doc", "Abrir Documento")</f>
        <v>0</v>
      </c>
      <c r="D12505" t="s">
        <v>23500</v>
      </c>
      <c r="E12505" t="s">
        <v>34980</v>
      </c>
    </row>
    <row r="12506" spans="1:5">
      <c r="A12506" t="s">
        <v>6</v>
      </c>
      <c r="B12506" t="s">
        <v>12511</v>
      </c>
      <c r="C12506">
        <f>HYPERLINK("C:\Users\franc\OneDrive\Documentos\MALENTIN KARIME\BANCO ESTADO\2012 DEPTO ESCRITURAS fata\NOTARIA 2009\FRANCISCO SAAVEDRA\ALFONSO OPAZO A  (LA FLORIDA) PAGO.doc", "Abrir Documento")</f>
        <v>0</v>
      </c>
      <c r="D12506" t="s">
        <v>23500</v>
      </c>
      <c r="E12506" t="s">
        <v>34981</v>
      </c>
    </row>
    <row r="12507" spans="1:5">
      <c r="A12507" t="s">
        <v>6</v>
      </c>
      <c r="B12507" t="s">
        <v>12512</v>
      </c>
      <c r="C12507">
        <f>HYPERLINK("C:\Users\franc\OneDrive\Documentos\MALENTIN KARIME\BANCO ESTADO\2012 DEPTO ESCRITURAS fata\NOTARIA 2009\FRANCISCO SAAVEDRA\ADJUDICACION EN REMATE.doc", "Abrir Documento")</f>
        <v>0</v>
      </c>
      <c r="D12507" t="s">
        <v>23500</v>
      </c>
      <c r="E12507" t="s">
        <v>34982</v>
      </c>
    </row>
    <row r="12508" spans="1:5">
      <c r="A12508" t="s">
        <v>6</v>
      </c>
      <c r="B12508" t="s">
        <v>12513</v>
      </c>
      <c r="C12508">
        <f>HYPERLINK("C:\Users\franc\OneDrive\Documentos\MALENTIN KARIME\BANCO ESTADO\2012 DEPTO ESCRITURAS fata\NOTARIA 2009\FRANCISCO SAAVEDRA\ADJUDICACION EN REMATE - BASILIO DIEZ.doc", "Abrir Documento")</f>
        <v>0</v>
      </c>
      <c r="D12508" t="s">
        <v>23500</v>
      </c>
      <c r="E12508" t="s">
        <v>34983</v>
      </c>
    </row>
    <row r="12509" spans="1:5">
      <c r="A12509" t="s">
        <v>6</v>
      </c>
      <c r="B12509" t="s">
        <v>12514</v>
      </c>
      <c r="C12509">
        <f>HYPERLINK("C:\Users\franc\OneDrive\Documentos\MALENTIN KARIME\BANCO ESTADO\2012 DEPTO ESCRITURAS fata\NOTARIA 2009\FERNANDO ZAPATA\FELIX CORTES A PAMELA RIVERA EIRL (ARRIENDO).doc", "Abrir Documento")</f>
        <v>0</v>
      </c>
      <c r="D12509" t="s">
        <v>23500</v>
      </c>
      <c r="E12509" t="s">
        <v>34984</v>
      </c>
    </row>
    <row r="12510" spans="1:5">
      <c r="A12510" t="s">
        <v>6</v>
      </c>
      <c r="B12510" t="s">
        <v>12515</v>
      </c>
      <c r="C12510">
        <f>HYPERLINK("C:\Users\franc\OneDrive\Documentos\MALENTIN KARIME\BANCO ESTADO\2012 DEPTO ESCRITURAS fata\NOTARIA 2009\FELIPE ALAMO\SUC. ADRIANA ALAMO A ROBERTO DABED (2).doc", "Abrir Documento")</f>
        <v>0</v>
      </c>
      <c r="D12510" t="s">
        <v>23500</v>
      </c>
      <c r="E12510" t="s">
        <v>34985</v>
      </c>
    </row>
    <row r="12511" spans="1:5">
      <c r="A12511" t="s">
        <v>6</v>
      </c>
      <c r="B12511" t="s">
        <v>12516</v>
      </c>
      <c r="C12511">
        <f>HYPERLINK("C:\Users\franc\OneDrive\Documentos\MALENTIN KARIME\BANCO ESTADO\2012 DEPTO ESCRITURAS fata\NOTARIA 2009\FELIPE ALAMO\SUC ADRIANA ALAMO A ROBERTO DABED.doc", "Abrir Documento")</f>
        <v>0</v>
      </c>
      <c r="D12511" t="s">
        <v>23500</v>
      </c>
      <c r="E12511" t="s">
        <v>34986</v>
      </c>
    </row>
    <row r="12512" spans="1:5">
      <c r="A12512" t="s">
        <v>6</v>
      </c>
      <c r="B12512" t="s">
        <v>12517</v>
      </c>
      <c r="C12512">
        <f>HYPERLINK("C:\Users\franc\OneDrive\Documentos\MALENTIN KARIME\BANCO ESTADO\2012 DEPTO ESCRITURAS fata\NOTARIA 2009\FELIPE ALAMO\LIQUIDACION SOC. CONYUGAL ALFREDO ALAMO.doc", "Abrir Documento")</f>
        <v>0</v>
      </c>
      <c r="D12512" t="s">
        <v>23500</v>
      </c>
      <c r="E12512" t="s">
        <v>34987</v>
      </c>
    </row>
    <row r="12513" spans="1:5">
      <c r="A12513" t="s">
        <v>6</v>
      </c>
      <c r="B12513" t="s">
        <v>12518</v>
      </c>
      <c r="C12513">
        <f>HYPERLINK("C:\Users\franc\OneDrive\Documentos\MALENTIN KARIME\BANCO ESTADO\2012 DEPTO ESCRITURAS fata\NOTARIA 2009\FACTORONE\Soc._Agr%C3%ADcola_Calichera_Ltda.[1].doc", "Abrir Documento")</f>
        <v>0</v>
      </c>
      <c r="D12513" t="s">
        <v>23500</v>
      </c>
      <c r="E12513" t="s">
        <v>34988</v>
      </c>
    </row>
    <row r="12514" spans="1:5">
      <c r="A12514" t="s">
        <v>6</v>
      </c>
      <c r="B12514" t="s">
        <v>12519</v>
      </c>
      <c r="C12514">
        <f>HYPERLINK("C:\Users\franc\OneDrive\Documentos\MALENTIN KARIME\BANCO ESTADO\2012 DEPTO ESCRITURAS fata\NOTARIA 2009\FACTORONE\SILVIA CORTES LAZO (FACTORING).doc", "Abrir Documento")</f>
        <v>0</v>
      </c>
      <c r="D12514" t="s">
        <v>23500</v>
      </c>
      <c r="E12514" t="s">
        <v>34989</v>
      </c>
    </row>
    <row r="12515" spans="1:5">
      <c r="A12515" t="s">
        <v>6</v>
      </c>
      <c r="B12515" t="s">
        <v>12520</v>
      </c>
      <c r="C12515">
        <f>HYPERLINK("C:\Users\franc\OneDrive\Documentos\MALENTIN KARIME\BANCO ESTADO\2012 DEPTO ESCRITURAS fata\NOTARIA 2009\FACTORONE\SANTA CATALINA (HIPOTECA ABRIL 2009).doc", "Abrir Documento")</f>
        <v>0</v>
      </c>
      <c r="D12515" t="s">
        <v>23500</v>
      </c>
      <c r="E12515" t="s">
        <v>34990</v>
      </c>
    </row>
    <row r="12516" spans="1:5">
      <c r="A12516" t="s">
        <v>6</v>
      </c>
      <c r="B12516" t="s">
        <v>12521</v>
      </c>
      <c r="C12516">
        <f>HYPERLINK("C:\Users\franc\OneDrive\Documentos\MALENTIN KARIME\BANCO ESTADO\2012 DEPTO ESCRITURAS fata\NOTARIA 2009\FACTORONE\MARIA VALENZUELA ROJAS (FACTORING).doc", "Abrir Documento")</f>
        <v>0</v>
      </c>
      <c r="D12516" t="s">
        <v>23500</v>
      </c>
      <c r="E12516" t="s">
        <v>34991</v>
      </c>
    </row>
    <row r="12517" spans="1:5">
      <c r="A12517" t="s">
        <v>6</v>
      </c>
      <c r="B12517" t="s">
        <v>12522</v>
      </c>
      <c r="C12517">
        <f>HYPERLINK("C:\Users\franc\OneDrive\Documentos\MALENTIN KARIME\BANCO ESTADO\2012 DEPTO ESCRITURAS fata\NOTARIA 2009\FACTORONE\MARIA ARGANDOÑA (JUNIO 2009).doc", "Abrir Documento")</f>
        <v>0</v>
      </c>
      <c r="D12517" t="s">
        <v>23500</v>
      </c>
      <c r="E12517" t="s">
        <v>34992</v>
      </c>
    </row>
    <row r="12518" spans="1:5">
      <c r="A12518" t="s">
        <v>6</v>
      </c>
      <c r="B12518" t="s">
        <v>12523</v>
      </c>
      <c r="C12518">
        <f>HYPERLINK("C:\Users\franc\OneDrive\Documentos\MALENTIN KARIME\BANCO ESTADO\2012 DEPTO ESCRITURAS fata\NOTARIA 2009\FACTORONE\Mandato_cobra_Ana_M._Osorio[1].doc", "Abrir Documento")</f>
        <v>0</v>
      </c>
      <c r="D12518" t="s">
        <v>23500</v>
      </c>
      <c r="E12518" t="s">
        <v>34993</v>
      </c>
    </row>
    <row r="12519" spans="1:5">
      <c r="A12519" t="s">
        <v>6</v>
      </c>
      <c r="B12519" t="s">
        <v>12524</v>
      </c>
      <c r="C12519">
        <f>HYPERLINK("C:\Users\franc\OneDrive\Documentos\MALENTIN KARIME\BANCO ESTADO\2012 DEPTO ESCRITURAS fata\NOTARIA 2009\FACTORONE\LUIS CASTAÑEDA.doc", "Abrir Documento")</f>
        <v>0</v>
      </c>
      <c r="D12519" t="s">
        <v>23500</v>
      </c>
      <c r="E12519" t="s">
        <v>34994</v>
      </c>
    </row>
    <row r="12520" spans="1:5">
      <c r="A12520" t="s">
        <v>6</v>
      </c>
      <c r="B12520" t="s">
        <v>12525</v>
      </c>
      <c r="C12520">
        <f>HYPERLINK("C:\Users\franc\OneDrive\Documentos\MALENTIN KARIME\BANCO ESTADO\2012 DEPTO ESCRITURAS fata\NOTARIA 2009\FACTORONE\Extracto_-_Soc._Agr%C3%ADcola_Calichera_Ltda.[1].doc", "Abrir Documento")</f>
        <v>0</v>
      </c>
      <c r="D12520" t="s">
        <v>23500</v>
      </c>
      <c r="E12520" t="s">
        <v>34995</v>
      </c>
    </row>
    <row r="12521" spans="1:5">
      <c r="A12521" t="s">
        <v>6</v>
      </c>
      <c r="B12521" t="s">
        <v>12526</v>
      </c>
      <c r="C12521">
        <f>HYPERLINK("C:\Users\franc\OneDrive\Documentos\MALENTIN KARIME\BANCO ESTADO\2012 DEPTO ESCRITURAS fata\NOTARIA 2009\FACTORONE\Extracto_-_constructora_ARKON_Ltda.[1].doc", "Abrir Documento")</f>
        <v>0</v>
      </c>
      <c r="D12521" t="s">
        <v>23500</v>
      </c>
      <c r="E12521" t="s">
        <v>34996</v>
      </c>
    </row>
    <row r="12522" spans="1:5">
      <c r="A12522" t="s">
        <v>6</v>
      </c>
      <c r="B12522" t="s">
        <v>12527</v>
      </c>
      <c r="C12522">
        <f>HYPERLINK("C:\Users\franc\OneDrive\Documentos\MALENTIN KARIME\BANCO ESTADO\2012 DEPTO ESCRITURAS fata\NOTARIA 2009\FACTORONE\Extracto_-_Amilcar_N%C3%BA%C3%B1ez[1].doc", "Abrir Documento")</f>
        <v>0</v>
      </c>
      <c r="D12522" t="s">
        <v>23500</v>
      </c>
      <c r="E12522" t="s">
        <v>34997</v>
      </c>
    </row>
    <row r="12523" spans="1:5">
      <c r="A12523" t="s">
        <v>6</v>
      </c>
      <c r="B12523" t="s">
        <v>12528</v>
      </c>
      <c r="C12523">
        <f>HYPERLINK("C:\Users\franc\OneDrive\Documentos\MALENTIN KARIME\BANCO ESTADO\2012 DEPTO ESCRITURAS fata\NOTARIA 2009\FACTORONE\constructora_ARKON_ltda[1].doc", "Abrir Documento")</f>
        <v>0</v>
      </c>
      <c r="D12523" t="s">
        <v>23500</v>
      </c>
      <c r="E12523" t="s">
        <v>34998</v>
      </c>
    </row>
    <row r="12524" spans="1:5">
      <c r="A12524" t="s">
        <v>6</v>
      </c>
      <c r="B12524" t="s">
        <v>12529</v>
      </c>
      <c r="C12524">
        <f>HYPERLINK("C:\Users\franc\OneDrive\Documentos\MALENTIN KARIME\BANCO ESTADO\2012 DEPTO ESCRITURAS fata\NOTARIA 2009\FACTORONE\ANA MARIA BOU A FACTORONE (HIPOTECA).doc", "Abrir Documento")</f>
        <v>0</v>
      </c>
      <c r="D12524" t="s">
        <v>23500</v>
      </c>
      <c r="E12524" t="s">
        <v>34999</v>
      </c>
    </row>
    <row r="12525" spans="1:5">
      <c r="A12525" t="s">
        <v>6</v>
      </c>
      <c r="B12525" t="s">
        <v>12530</v>
      </c>
      <c r="C12525">
        <f>HYPERLINK("C:\Users\franc\OneDrive\Documentos\MALENTIN KARIME\BANCO ESTADO\2012 DEPTO ESCRITURAS fata\NOTARIA 2009\FACTORONE\AMILCAR NUÑEZ PRENDA.doc", "Abrir Documento")</f>
        <v>0</v>
      </c>
      <c r="D12525" t="s">
        <v>23500</v>
      </c>
      <c r="E12525" t="s">
        <v>35000</v>
      </c>
    </row>
    <row r="12526" spans="1:5">
      <c r="A12526" t="s">
        <v>6</v>
      </c>
      <c r="B12526" t="s">
        <v>12531</v>
      </c>
      <c r="C12526">
        <f>HYPERLINK("C:\Users\franc\OneDrive\Documentos\MALENTIN KARIME\BANCO ESTADO\2012 DEPTO ESCRITURAS fata\NOTARIA 2009\FACTORONE\AMILCAR NUÑEZ PRENDA   final.doc", "Abrir Documento")</f>
        <v>0</v>
      </c>
      <c r="D12526" t="s">
        <v>23500</v>
      </c>
      <c r="E12526" t="s">
        <v>35001</v>
      </c>
    </row>
    <row r="12527" spans="1:5">
      <c r="A12527" t="s">
        <v>6</v>
      </c>
      <c r="B12527" t="s">
        <v>12532</v>
      </c>
      <c r="C12527">
        <f>HYPERLINK("C:\Users\franc\OneDrive\Documentos\MALENTIN KARIME\BANCO ESTADO\2012 DEPTO ESCRITURAS fata\NOTARIA 2009\FACTORONE\ALEJANDRO ROJAS ZAPATA.doc", "Abrir Documento")</f>
        <v>0</v>
      </c>
      <c r="D12527" t="s">
        <v>23500</v>
      </c>
      <c r="E12527" t="s">
        <v>35002</v>
      </c>
    </row>
    <row r="12528" spans="1:5">
      <c r="A12528" t="s">
        <v>6</v>
      </c>
      <c r="B12528" t="s">
        <v>12533</v>
      </c>
      <c r="C12528">
        <f>HYPERLINK("C:\Users\franc\OneDrive\Documentos\MALENTIN KARIME\BANCO ESTADO\2012 DEPTO ESCRITURAS fata\NOTARIA 2009\FACTORONE\ABEL GALLARDO VALDIVIA.doc", "Abrir Documento")</f>
        <v>0</v>
      </c>
      <c r="D12528" t="s">
        <v>23500</v>
      </c>
      <c r="E12528" t="s">
        <v>35003</v>
      </c>
    </row>
    <row r="12529" spans="1:5">
      <c r="A12529" t="s">
        <v>6</v>
      </c>
      <c r="B12529" t="s">
        <v>12534</v>
      </c>
      <c r="C12529">
        <f>HYPERLINK("C:\Users\franc\OneDrive\Documentos\MALENTIN KARIME\BANCO ESTADO\2012 DEPTO ESCRITURAS fata\NOTARIA 2009\EVALUACION\Evaluacion desempeño modelo.xls", "Abrir Documento")</f>
        <v>0</v>
      </c>
      <c r="D12529" t="s">
        <v>23500</v>
      </c>
      <c r="E12529" t="s">
        <v>35004</v>
      </c>
    </row>
    <row r="12530" spans="1:5">
      <c r="A12530" t="s">
        <v>6</v>
      </c>
      <c r="B12530" t="s">
        <v>12535</v>
      </c>
      <c r="C12530">
        <f>HYPERLINK("C:\Users\franc\OneDrive\Documentos\MALENTIN KARIME\BANCO ESTADO\2012 DEPTO ESCRITURAS fata\NOTARIA 2009\ESTANCIA EL DURAZNO\PARTICION  ESTANCIA EL DURAZNO.doc", "Abrir Documento")</f>
        <v>0</v>
      </c>
      <c r="D12530" t="s">
        <v>23500</v>
      </c>
      <c r="E12530" t="s">
        <v>35005</v>
      </c>
    </row>
    <row r="12531" spans="1:5">
      <c r="A12531" t="s">
        <v>6</v>
      </c>
      <c r="B12531" t="s">
        <v>12536</v>
      </c>
      <c r="C12531">
        <f>HYPERLINK("C:\Users\franc\OneDrive\Documentos\MALENTIN KARIME\BANCO ESTADO\2012 DEPTO ESCRITURAS fata\NOTARIA 2009\ESTANCIA EL DURAZNO\PARTICION  ESTANCIA EL DURAZNO 2.doc", "Abrir Documento")</f>
        <v>0</v>
      </c>
      <c r="D12531" t="s">
        <v>23500</v>
      </c>
      <c r="E12531" t="s">
        <v>35006</v>
      </c>
    </row>
    <row r="12532" spans="1:5">
      <c r="A12532" t="s">
        <v>6</v>
      </c>
      <c r="B12532" t="s">
        <v>12537</v>
      </c>
      <c r="C12532">
        <f>HYPERLINK("C:\Users\franc\OneDrive\Documentos\MALENTIN KARIME\BANCO ESTADO\2012 DEPTO ESCRITURAS fata\NOTARIA 2009\ENTEL - SOLOMON\PODER ALCONES.doc", "Abrir Documento")</f>
        <v>0</v>
      </c>
      <c r="D12532" t="s">
        <v>23500</v>
      </c>
      <c r="E12532" t="s">
        <v>35007</v>
      </c>
    </row>
    <row r="12533" spans="1:5">
      <c r="A12533" t="s">
        <v>6</v>
      </c>
      <c r="B12533" t="s">
        <v>12538</v>
      </c>
      <c r="C12533">
        <f>HYPERLINK("C:\Users\franc\OneDrive\Documentos\MALENTIN KARIME\BANCO ESTADO\2012 DEPTO ESCRITURAS fata\NOTARIA 2009\ENTEL - SOLOMON\PODER  ORURO - CLARO.doc", "Abrir Documento")</f>
        <v>0</v>
      </c>
      <c r="D12533" t="s">
        <v>23500</v>
      </c>
      <c r="E12533" t="s">
        <v>35008</v>
      </c>
    </row>
    <row r="12534" spans="1:5">
      <c r="A12534" t="s">
        <v>6</v>
      </c>
      <c r="B12534" t="s">
        <v>12539</v>
      </c>
      <c r="C12534">
        <f>HYPERLINK("C:\Users\franc\OneDrive\Documentos\MALENTIN KARIME\BANCO ESTADO\2012 DEPTO ESCRITURAS fata\NOTARIA 2009\ENTEL - SOLOMON\JACINTO LABARCA (ARRENDAMIENTO).doc", "Abrir Documento")</f>
        <v>0</v>
      </c>
      <c r="D12534" t="s">
        <v>23500</v>
      </c>
      <c r="E12534" t="s">
        <v>35009</v>
      </c>
    </row>
    <row r="12535" spans="1:5">
      <c r="A12535" t="s">
        <v>6</v>
      </c>
      <c r="B12535" t="s">
        <v>12540</v>
      </c>
      <c r="C12535">
        <f>HYPERLINK("C:\Users\franc\OneDrive\Documentos\MALENTIN KARIME\BANCO ESTADO\2012 DEPTO ESCRITURAS fata\NOTARIA 2009\ENTEL - SOLOMON\instrucciones_Ovalle[1].doc", "Abrir Documento")</f>
        <v>0</v>
      </c>
      <c r="D12535" t="s">
        <v>23500</v>
      </c>
      <c r="E12535" t="s">
        <v>35010</v>
      </c>
    </row>
    <row r="12536" spans="1:5">
      <c r="A12536" t="s">
        <v>6</v>
      </c>
      <c r="B12536" t="s">
        <v>12541</v>
      </c>
      <c r="C12536">
        <f>HYPERLINK("C:\Users\franc\OneDrive\Documentos\MALENTIN KARIME\BANCO ESTADO\2012 DEPTO ESCRITURAS fata\NOTARIA 2009\ENTEL - SOLOMON\DECLARACION ORURO - CLARO.doc", "Abrir Documento")</f>
        <v>0</v>
      </c>
      <c r="D12536" t="s">
        <v>23500</v>
      </c>
      <c r="E12536" t="s">
        <v>35011</v>
      </c>
    </row>
    <row r="12537" spans="1:5">
      <c r="A12537" t="s">
        <v>6</v>
      </c>
      <c r="B12537" t="s">
        <v>12542</v>
      </c>
      <c r="C12537">
        <f>HYPERLINK("C:\Users\franc\OneDrive\Documentos\MALENTIN KARIME\BANCO ESTADO\2012 DEPTO ESCRITURAS fata\NOTARIA 2009\ENTEL - SOLOMON\DECLARACION ALCONES.doc", "Abrir Documento")</f>
        <v>0</v>
      </c>
      <c r="D12537" t="s">
        <v>23500</v>
      </c>
      <c r="E12537" t="s">
        <v>35012</v>
      </c>
    </row>
    <row r="12538" spans="1:5">
      <c r="A12538" t="s">
        <v>6</v>
      </c>
      <c r="B12538" t="s">
        <v>12543</v>
      </c>
      <c r="C12538">
        <f>HYPERLINK("C:\Users\franc\OneDrive\Documentos\MALENTIN KARIME\BANCO ESTADO\2012 DEPTO ESCRITURAS fata\NOTARIA 2009\ENTEL - SOLOMON\DECLARACION - MANDATO Y ORO.doc", "Abrir Documento")</f>
        <v>0</v>
      </c>
      <c r="D12538" t="s">
        <v>23500</v>
      </c>
      <c r="E12538" t="s">
        <v>35013</v>
      </c>
    </row>
    <row r="12539" spans="1:5">
      <c r="A12539" t="s">
        <v>6</v>
      </c>
      <c r="B12539" t="s">
        <v>12544</v>
      </c>
      <c r="C12539">
        <f>HYPERLINK("C:\Users\franc\OneDrive\Documentos\MALENTIN KARIME\BANCO ESTADO\2012 DEPTO ESCRITURAS fata\NOTARIA 2009\ENTEL - SOLOMON\COMUNIDAD ORURO - CLARO.doc", "Abrir Documento")</f>
        <v>0</v>
      </c>
      <c r="D12539" t="s">
        <v>23500</v>
      </c>
      <c r="E12539" t="s">
        <v>35014</v>
      </c>
    </row>
    <row r="12540" spans="1:5">
      <c r="A12540" t="s">
        <v>6</v>
      </c>
      <c r="B12540" t="s">
        <v>12545</v>
      </c>
      <c r="C12540">
        <f>HYPERLINK("C:\Users\franc\OneDrive\Documentos\MALENTIN KARIME\BANCO ESTADO\2012 DEPTO ESCRITURAS fata\NOTARIA 2009\ENTEL - SOLOMON\COMUNIDAD ORURO (MANDATO).doc", "Abrir Documento")</f>
        <v>0</v>
      </c>
      <c r="D12540" t="s">
        <v>23500</v>
      </c>
      <c r="E12540" t="s">
        <v>35015</v>
      </c>
    </row>
    <row r="12541" spans="1:5">
      <c r="A12541" t="s">
        <v>6</v>
      </c>
      <c r="B12541" t="s">
        <v>12546</v>
      </c>
      <c r="C12541">
        <f>HYPERLINK("C:\Users\franc\OneDrive\Documentos\MALENTIN KARIME\BANCO ESTADO\2012 DEPTO ESCRITURAS fata\NOTARIA 2009\ENTEL - SOLOMON\COMUNIDAD ORURO (DECLARACION).doc", "Abrir Documento")</f>
        <v>0</v>
      </c>
      <c r="D12541" t="s">
        <v>23500</v>
      </c>
      <c r="E12541" t="s">
        <v>35016</v>
      </c>
    </row>
    <row r="12542" spans="1:5">
      <c r="A12542" t="s">
        <v>6</v>
      </c>
      <c r="B12542" t="s">
        <v>12547</v>
      </c>
      <c r="C12542">
        <f>HYPERLINK("C:\Users\franc\OneDrive\Documentos\MALENTIN KARIME\BANCO ESTADO\2012 DEPTO ESCRITURAS fata\NOTARIA 2009\ENTEL - SOLOMON\COMUNIDAD ORURO (AUTORIZACION).doc", "Abrir Documento")</f>
        <v>0</v>
      </c>
      <c r="D12542" t="s">
        <v>23500</v>
      </c>
      <c r="E12542" t="s">
        <v>35017</v>
      </c>
    </row>
    <row r="12543" spans="1:5">
      <c r="A12543" t="s">
        <v>6</v>
      </c>
      <c r="B12543" t="s">
        <v>12548</v>
      </c>
      <c r="C12543">
        <f>HYPERLINK("C:\Users\franc\OneDrive\Documentos\MALENTIN KARIME\BANCO ESTADO\2012 DEPTO ESCRITURAS fata\NOTARIA 2009\ENTEL - SOLOMON\COMUNIDAD ORURO (ARRENDAMIENTO).doc", "Abrir Documento")</f>
        <v>0</v>
      </c>
      <c r="D12543" t="s">
        <v>23500</v>
      </c>
      <c r="E12543" t="s">
        <v>35018</v>
      </c>
    </row>
    <row r="12544" spans="1:5">
      <c r="A12544" t="s">
        <v>6</v>
      </c>
      <c r="B12544" t="s">
        <v>12549</v>
      </c>
      <c r="C12544">
        <f>HYPERLINK("C:\Users\franc\OneDrive\Documentos\MALENTIN KARIME\BANCO ESTADO\2012 DEPTO ESCRITURAS fata\NOTARIA 2009\ENTEL - SOLOMON\COMUNIDAD CARRIZAL Y LAGUNA DE SERON - ENTEL.doc", "Abrir Documento")</f>
        <v>0</v>
      </c>
      <c r="D12544" t="s">
        <v>23500</v>
      </c>
      <c r="E12544" t="s">
        <v>35019</v>
      </c>
    </row>
    <row r="12545" spans="1:5">
      <c r="A12545" t="s">
        <v>6</v>
      </c>
      <c r="B12545" t="s">
        <v>12550</v>
      </c>
      <c r="C12545">
        <f>HYPERLINK("C:\Users\franc\OneDrive\Documentos\MALENTIN KARIME\BANCO ESTADO\2012 DEPTO ESCRITURAS fata\NOTARIA 2009\ENTEL - SOLOMON\COMUNIDAD ALCONES (ARRENDAMIENTO).doc", "Abrir Documento")</f>
        <v>0</v>
      </c>
      <c r="D12545" t="s">
        <v>23500</v>
      </c>
      <c r="E12545" t="s">
        <v>35020</v>
      </c>
    </row>
    <row r="12546" spans="1:5">
      <c r="A12546" t="s">
        <v>6</v>
      </c>
      <c r="B12546" t="s">
        <v>12551</v>
      </c>
      <c r="C12546">
        <f>HYPERLINK("C:\Users\franc\OneDrive\Documentos\MALENTIN KARIME\BANCO ESTADO\2012 DEPTO ESCRITURAS fata\NOTARIA 2009\ENTEL - SOLOMON\COMUNIDA ORURO - CLARO (MARZO 2009).doc", "Abrir Documento")</f>
        <v>0</v>
      </c>
      <c r="D12546" t="s">
        <v>23500</v>
      </c>
      <c r="E12546" t="s">
        <v>35021</v>
      </c>
    </row>
    <row r="12547" spans="1:5">
      <c r="A12547" t="s">
        <v>6</v>
      </c>
      <c r="B12547" t="s">
        <v>12552</v>
      </c>
      <c r="C12547">
        <f>HYPERLINK("C:\Users\franc\OneDrive\Documentos\MALENTIN KARIME\BANCO ESTADO\2012 DEPTO ESCRITURAS fata\NOTARIA 2009\ENTEL - SOLOMON\CARTA INSTRUC COMUNIDAD ORURO.doc", "Abrir Documento")</f>
        <v>0</v>
      </c>
      <c r="D12547" t="s">
        <v>23500</v>
      </c>
      <c r="E12547" t="s">
        <v>35022</v>
      </c>
    </row>
    <row r="12548" spans="1:5">
      <c r="A12548" t="s">
        <v>6</v>
      </c>
      <c r="B12548" t="s">
        <v>12553</v>
      </c>
      <c r="C12548">
        <f>HYPERLINK("C:\Users\franc\OneDrive\Documentos\MALENTIN KARIME\BANCO ESTADO\2012 DEPTO ESCRITURAS fata\NOTARIA 2009\ENTEL - SOLOMON\Autorizo la firma de don GUIDELFREDO DEL TRANSITO TABILO.doc", "Abrir Documento")</f>
        <v>0</v>
      </c>
      <c r="D12548" t="s">
        <v>23500</v>
      </c>
      <c r="E12548" t="s">
        <v>35023</v>
      </c>
    </row>
    <row r="12549" spans="1:5">
      <c r="A12549" t="s">
        <v>6</v>
      </c>
      <c r="B12549" t="s">
        <v>12554</v>
      </c>
      <c r="C12549">
        <f>HYPERLINK("C:\Users\franc\OneDrive\Documentos\MALENTIN KARIME\BANCO ESTADO\2012 DEPTO ESCRITURAS fata\NOTARIA 2009\ENTEL - SOLOMON\AUTORIZACION EMPALME - ALCONES.doc", "Abrir Documento")</f>
        <v>0</v>
      </c>
      <c r="D12549" t="s">
        <v>23500</v>
      </c>
      <c r="E12549" t="s">
        <v>35024</v>
      </c>
    </row>
    <row r="12550" spans="1:5">
      <c r="A12550" t="s">
        <v>6</v>
      </c>
      <c r="B12550" t="s">
        <v>12555</v>
      </c>
      <c r="C12550">
        <f>HYPERLINK("C:\Users\franc\OneDrive\Documentos\MALENTIN KARIME\BANCO ESTADO\2012 DEPTO ESCRITURAS fata\NOTARIA 2009\DERECHO REAL DE USO\JOHANA\GRIMALDINA CARVAJAL A HIJA.doc", "Abrir Documento")</f>
        <v>0</v>
      </c>
      <c r="D12550" t="s">
        <v>23500</v>
      </c>
      <c r="E12550" t="s">
        <v>35025</v>
      </c>
    </row>
    <row r="12551" spans="1:5">
      <c r="A12551" t="s">
        <v>6</v>
      </c>
      <c r="B12551" t="s">
        <v>12556</v>
      </c>
      <c r="C12551">
        <f>HYPERLINK("C:\Users\franc\OneDrive\Documentos\MALENTIN KARIME\BANCO ESTADO\2012 DEPTO ESCRITURAS fata\NOTARIA 2009\DERECHO REAL DE USO\ALZAMIENTO SERVIU\CESAR VEGA.doc", "Abrir Documento")</f>
        <v>0</v>
      </c>
      <c r="D12551" t="s">
        <v>23500</v>
      </c>
      <c r="E12551" t="s">
        <v>35026</v>
      </c>
    </row>
    <row r="12552" spans="1:5">
      <c r="A12552" t="s">
        <v>6</v>
      </c>
      <c r="B12552" t="s">
        <v>12557</v>
      </c>
      <c r="C12552">
        <f>HYPERLINK("C:\Users\franc\OneDrive\Documentos\MALENTIN KARIME\BANCO ESTADO\2012 DEPTO ESCRITURAS fata\NOTARIA 2009\DERECHO REAL DE USO\SUSANA VARGAS A PRIMO OCARANZA (SOLTERA).doc", "Abrir Documento")</f>
        <v>0</v>
      </c>
      <c r="D12552" t="s">
        <v>23500</v>
      </c>
      <c r="E12552" t="s">
        <v>35027</v>
      </c>
    </row>
    <row r="12553" spans="1:5">
      <c r="A12553" t="s">
        <v>6</v>
      </c>
      <c r="B12553" t="s">
        <v>12558</v>
      </c>
      <c r="C12553">
        <f>HYPERLINK("C:\Users\franc\OneDrive\Documentos\MALENTIN KARIME\BANCO ESTADO\2012 DEPTO ESCRITURAS fata\NOTARIA 2009\DERECHO REAL DE USO\SUC. CORTES MINCHEA A ELENA CORTES.doc", "Abrir Documento")</f>
        <v>0</v>
      </c>
      <c r="D12553" t="s">
        <v>23500</v>
      </c>
      <c r="E12553" t="s">
        <v>35028</v>
      </c>
    </row>
    <row r="12554" spans="1:5">
      <c r="A12554" t="s">
        <v>6</v>
      </c>
      <c r="B12554" t="s">
        <v>12559</v>
      </c>
      <c r="C12554">
        <f>HYPERLINK("C:\Users\franc\OneDrive\Documentos\MALENTIN KARIME\BANCO ESTADO\2012 DEPTO ESCRITURAS fata\NOTARIA 2009\DERECHO REAL DE USO\SALVDOR CASTILLO (CASADO) A SU NIETO.doc", "Abrir Documento")</f>
        <v>0</v>
      </c>
      <c r="D12554" t="s">
        <v>23500</v>
      </c>
      <c r="E12554" t="s">
        <v>35029</v>
      </c>
    </row>
    <row r="12555" spans="1:5">
      <c r="A12555" t="s">
        <v>6</v>
      </c>
      <c r="B12555" t="s">
        <v>12560</v>
      </c>
      <c r="C12555">
        <f>HYPERLINK("C:\Users\franc\OneDrive\Documentos\MALENTIN KARIME\BANCO ESTADO\2012 DEPTO ESCRITURAS fata\NOTARIA 2009\DERECHO REAL DE USO\RUDELINDO OLIVARES A RUDY OLIVARES.doc", "Abrir Documento")</f>
        <v>0</v>
      </c>
      <c r="D12555" t="s">
        <v>23500</v>
      </c>
      <c r="E12555" t="s">
        <v>35030</v>
      </c>
    </row>
    <row r="12556" spans="1:5">
      <c r="A12556" t="s">
        <v>6</v>
      </c>
      <c r="B12556" t="s">
        <v>12561</v>
      </c>
      <c r="C12556">
        <f>HYPERLINK("C:\Users\franc\OneDrive\Documentos\MALENTIN KARIME\BANCO ESTADO\2012 DEPTO ESCRITURAS fata\NOTARIA 2009\DERECHO REAL DE USO\RUDELINDO OLIVARES A PAMELA OLIVARES.doc", "Abrir Documento")</f>
        <v>0</v>
      </c>
      <c r="D12556" t="s">
        <v>23500</v>
      </c>
      <c r="E12556" t="s">
        <v>35031</v>
      </c>
    </row>
    <row r="12557" spans="1:5">
      <c r="A12557" t="s">
        <v>6</v>
      </c>
      <c r="B12557" t="s">
        <v>12562</v>
      </c>
      <c r="C12557">
        <f>HYPERLINK("C:\Users\franc\OneDrive\Documentos\MALENTIN KARIME\BANCO ESTADO\2012 DEPTO ESCRITURAS fata\NOTARIA 2009\DERECHO REAL DE USO\RUDELINDO OLIVARES A ALVARO OLIVARES.doc", "Abrir Documento")</f>
        <v>0</v>
      </c>
      <c r="D12557" t="s">
        <v>23500</v>
      </c>
      <c r="E12557" t="s">
        <v>35032</v>
      </c>
    </row>
    <row r="12558" spans="1:5">
      <c r="A12558" t="s">
        <v>6</v>
      </c>
      <c r="B12558" t="s">
        <v>12563</v>
      </c>
      <c r="C12558">
        <f>HYPERLINK("C:\Users\franc\OneDrive\Documentos\MALENTIN KARIME\BANCO ESTADO\2012 DEPTO ESCRITURAS fata\NOTARIA 2009\DERECHO REAL DE USO\RUBEN RODRIGUEZ A SU HIJA (CON CONYUGE).doc", "Abrir Documento")</f>
        <v>0</v>
      </c>
      <c r="D12558" t="s">
        <v>23500</v>
      </c>
      <c r="E12558" t="s">
        <v>35033</v>
      </c>
    </row>
    <row r="12559" spans="1:5">
      <c r="A12559" t="s">
        <v>6</v>
      </c>
      <c r="B12559" t="s">
        <v>12564</v>
      </c>
      <c r="C12559">
        <f>HYPERLINK("C:\Users\franc\OneDrive\Documentos\MALENTIN KARIME\BANCO ESTADO\2012 DEPTO ESCRITURAS fata\NOTARIA 2009\DERECHO REAL DE USO\RAIMUNDO PIZARRO  A TAMARA PIZARRO.doc", "Abrir Documento")</f>
        <v>0</v>
      </c>
      <c r="D12559" t="s">
        <v>23500</v>
      </c>
      <c r="E12559" t="s">
        <v>35034</v>
      </c>
    </row>
    <row r="12560" spans="1:5">
      <c r="A12560" t="s">
        <v>6</v>
      </c>
      <c r="B12560" t="s">
        <v>12565</v>
      </c>
      <c r="C12560">
        <f>HYPERLINK("C:\Users\franc\OneDrive\Documentos\MALENTIN KARIME\BANCO ESTADO\2012 DEPTO ESCRITURAS fata\NOTARIA 2009\DERECHO REAL DE USO\PEDRO ROJAS A SARA ROJAS (SOLO).doc", "Abrir Documento")</f>
        <v>0</v>
      </c>
      <c r="D12560" t="s">
        <v>23500</v>
      </c>
      <c r="E12560" t="s">
        <v>35035</v>
      </c>
    </row>
    <row r="12561" spans="1:5">
      <c r="A12561" t="s">
        <v>6</v>
      </c>
      <c r="B12561" t="s">
        <v>12566</v>
      </c>
      <c r="C12561">
        <f>HYPERLINK("C:\Users\franc\OneDrive\Documentos\MALENTIN KARIME\BANCO ESTADO\2012 DEPTO ESCRITURAS fata\NOTARIA 2009\DERECHO REAL DE USO\PEDRO CORTES A MIGUEL CORTES (CON CONYUGE).doc", "Abrir Documento")</f>
        <v>0</v>
      </c>
      <c r="D12561" t="s">
        <v>23500</v>
      </c>
      <c r="E12561" t="s">
        <v>35036</v>
      </c>
    </row>
    <row r="12562" spans="1:5">
      <c r="A12562" t="s">
        <v>6</v>
      </c>
      <c r="B12562" t="s">
        <v>12567</v>
      </c>
      <c r="C12562">
        <f>HYPERLINK("C:\Users\franc\OneDrive\Documentos\MALENTIN KARIME\BANCO ESTADO\2012 DEPTO ESCRITURAS fata\NOTARIA 2009\DERECHO REAL DE USO\NORMA ROJAS A OLFA ROMAN (COM. EL ALTAR).doc", "Abrir Documento")</f>
        <v>0</v>
      </c>
      <c r="D12562" t="s">
        <v>23500</v>
      </c>
      <c r="E12562" t="s">
        <v>35037</v>
      </c>
    </row>
    <row r="12563" spans="1:5">
      <c r="A12563" t="s">
        <v>6</v>
      </c>
      <c r="B12563" t="s">
        <v>12568</v>
      </c>
      <c r="C12563">
        <f>HYPERLINK("C:\Users\franc\OneDrive\Documentos\MALENTIN KARIME\BANCO ESTADO\2012 DEPTO ESCRITURAS fata\NOTARIA 2009\DERECHO REAL DE USO\MODELO NOTARIO.doc", "Abrir Documento")</f>
        <v>0</v>
      </c>
      <c r="D12563" t="s">
        <v>23500</v>
      </c>
      <c r="E12563" t="s">
        <v>35038</v>
      </c>
    </row>
    <row r="12564" spans="1:5">
      <c r="A12564" t="s">
        <v>6</v>
      </c>
      <c r="B12564" t="s">
        <v>12569</v>
      </c>
      <c r="C12564">
        <f>HYPERLINK("C:\Users\franc\OneDrive\Documentos\MALENTIN KARIME\BANCO ESTADO\2012 DEPTO ESCRITURAS fata\NOTARIA 2009\DERECHO REAL DE USO\MARTINA ARAYA A JUAN ARAYA.doc", "Abrir Documento")</f>
        <v>0</v>
      </c>
      <c r="D12564" t="s">
        <v>23500</v>
      </c>
      <c r="E12564" t="s">
        <v>35039</v>
      </c>
    </row>
    <row r="12565" spans="1:5">
      <c r="A12565" t="s">
        <v>6</v>
      </c>
      <c r="B12565" t="s">
        <v>12570</v>
      </c>
      <c r="C12565">
        <f>HYPERLINK("C:\Users\franc\OneDrive\Documentos\MALENTIN KARIME\BANCO ESTADO\2012 DEPTO ESCRITURAS fata\NOTARIA 2009\DERECHO REAL DE USO\MARIO ANGEL A SU HIJO.doc", "Abrir Documento")</f>
        <v>0</v>
      </c>
      <c r="D12565" t="s">
        <v>23500</v>
      </c>
      <c r="E12565" t="s">
        <v>35040</v>
      </c>
    </row>
    <row r="12566" spans="1:5">
      <c r="A12566" t="s">
        <v>6</v>
      </c>
      <c r="B12566" t="s">
        <v>12571</v>
      </c>
      <c r="C12566">
        <f>HYPERLINK("C:\Users\franc\OneDrive\Documentos\MALENTIN KARIME\BANCO ESTADO\2012 DEPTO ESCRITURAS fata\NOTARIA 2009\DERECHO REAL DE USO\MARIA ARDILES A SU HIJO (CON CONYUGE).doc", "Abrir Documento")</f>
        <v>0</v>
      </c>
      <c r="D12566" t="s">
        <v>23500</v>
      </c>
      <c r="E12566" t="s">
        <v>35041</v>
      </c>
    </row>
    <row r="12567" spans="1:5">
      <c r="A12567" t="s">
        <v>6</v>
      </c>
      <c r="B12567" t="s">
        <v>12572</v>
      </c>
      <c r="C12567">
        <f>HYPERLINK("C:\Users\franc\OneDrive\Documentos\MALENTIN KARIME\BANCO ESTADO\2012 DEPTO ESCRITURAS fata\NOTARIA 2009\DERECHO REAL DE USO\MARCELINA CORTES A MARCELO MUÑOZ CORTES  (SOLA).doc", "Abrir Documento")</f>
        <v>0</v>
      </c>
      <c r="D12567" t="s">
        <v>23500</v>
      </c>
      <c r="E12567" t="s">
        <v>35042</v>
      </c>
    </row>
    <row r="12568" spans="1:5">
      <c r="A12568" t="s">
        <v>6</v>
      </c>
      <c r="B12568" t="s">
        <v>12573</v>
      </c>
      <c r="C12568">
        <f>HYPERLINK("C:\Users\franc\OneDrive\Documentos\MALENTIN KARIME\BANCO ESTADO\2012 DEPTO ESCRITURAS fata\NOTARIA 2009\DERECHO REAL DE USO\JAVIER TABILO A OCTAVIO TABILO.doc", "Abrir Documento")</f>
        <v>0</v>
      </c>
      <c r="D12568" t="s">
        <v>23500</v>
      </c>
      <c r="E12568" t="s">
        <v>35043</v>
      </c>
    </row>
    <row r="12569" spans="1:5">
      <c r="A12569" t="s">
        <v>6</v>
      </c>
      <c r="B12569" t="s">
        <v>12574</v>
      </c>
      <c r="C12569">
        <f>HYPERLINK("C:\Users\franc\OneDrive\Documentos\MALENTIN KARIME\BANCO ESTADO\2012 DEPTO ESCRITURAS fata\NOTARIA 2009\DERECHO REAL DE USO\JACQUELINE MATURANA.doc", "Abrir Documento")</f>
        <v>0</v>
      </c>
      <c r="D12569" t="s">
        <v>23500</v>
      </c>
      <c r="E12569" t="s">
        <v>35044</v>
      </c>
    </row>
    <row r="12570" spans="1:5">
      <c r="A12570" t="s">
        <v>6</v>
      </c>
      <c r="B12570" t="s">
        <v>12575</v>
      </c>
      <c r="C12570">
        <f>HYPERLINK("C:\Users\franc\OneDrive\Documentos\MALENTIN KARIME\BANCO ESTADO\2012 DEPTO ESCRITURAS fata\NOTARIA 2009\DERECHO REAL DE USO\IRMA VIORKLUMDS A ASTRID HUERTA.doc", "Abrir Documento")</f>
        <v>0</v>
      </c>
      <c r="D12570" t="s">
        <v>23500</v>
      </c>
      <c r="E12570" t="s">
        <v>35045</v>
      </c>
    </row>
    <row r="12571" spans="1:5">
      <c r="A12571" t="s">
        <v>6</v>
      </c>
      <c r="B12571" t="s">
        <v>12576</v>
      </c>
      <c r="C12571">
        <f>HYPERLINK("C:\Users\franc\OneDrive\Documentos\MALENTIN KARIME\BANCO ESTADO\2012 DEPTO ESCRITURAS fata\NOTARIA 2009\DERECHO REAL DE USO\IRENE NAVARRO A MARIA SEGOVIA.doc", "Abrir Documento")</f>
        <v>0</v>
      </c>
      <c r="D12571" t="s">
        <v>23500</v>
      </c>
      <c r="E12571" t="s">
        <v>35046</v>
      </c>
    </row>
    <row r="12572" spans="1:5">
      <c r="A12572" t="s">
        <v>6</v>
      </c>
      <c r="B12572" t="s">
        <v>12577</v>
      </c>
      <c r="C12572">
        <f>HYPERLINK("C:\Users\franc\OneDrive\Documentos\MALENTIN KARIME\BANCO ESTADO\2012 DEPTO ESCRITURAS fata\NOTARIA 2009\DERECHO REAL DE USO\HERNAN Y SAMUEL.doc", "Abrir Documento")</f>
        <v>0</v>
      </c>
      <c r="D12572" t="s">
        <v>23500</v>
      </c>
      <c r="E12572" t="s">
        <v>35047</v>
      </c>
    </row>
    <row r="12573" spans="1:5">
      <c r="A12573" t="s">
        <v>6</v>
      </c>
      <c r="B12573" t="s">
        <v>12578</v>
      </c>
      <c r="C12573">
        <f>HYPERLINK("C:\Users\franc\OneDrive\Documentos\MALENTIN KARIME\BANCO ESTADO\2012 DEPTO ESCRITURAS fata\NOTARIA 2009\DERECHO REAL DE USO\HERMAN VALDIVIA A MARCELA VALDIVIA.doc", "Abrir Documento")</f>
        <v>0</v>
      </c>
      <c r="D12573" t="s">
        <v>23500</v>
      </c>
      <c r="E12573" t="s">
        <v>35048</v>
      </c>
    </row>
    <row r="12574" spans="1:5">
      <c r="A12574" t="s">
        <v>6</v>
      </c>
      <c r="B12574" t="s">
        <v>12579</v>
      </c>
      <c r="C12574">
        <f>HYPERLINK("C:\Users\franc\OneDrive\Documentos\MALENTIN KARIME\BANCO ESTADO\2012 DEPTO ESCRITURAS fata\NOTARIA 2009\DERECHO REAL DE USO\GRIMALDINA CARVAJAL A MARIA.doc", "Abrir Documento")</f>
        <v>0</v>
      </c>
      <c r="D12574" t="s">
        <v>23500</v>
      </c>
      <c r="E12574" t="s">
        <v>35049</v>
      </c>
    </row>
    <row r="12575" spans="1:5">
      <c r="A12575" t="s">
        <v>6</v>
      </c>
      <c r="B12575" t="s">
        <v>12580</v>
      </c>
      <c r="C12575">
        <f>HYPERLINK("C:\Users\franc\OneDrive\Documentos\MALENTIN KARIME\BANCO ESTADO\2012 DEPTO ESCRITURAS fata\NOTARIA 2009\DERECHO REAL DE USO\FCO. MILLA A JUVENAL.doc", "Abrir Documento")</f>
        <v>0</v>
      </c>
      <c r="D12575" t="s">
        <v>23500</v>
      </c>
      <c r="E12575" t="s">
        <v>35050</v>
      </c>
    </row>
    <row r="12576" spans="1:5">
      <c r="A12576" t="s">
        <v>6</v>
      </c>
      <c r="B12576" t="s">
        <v>12581</v>
      </c>
      <c r="C12576">
        <f>HYPERLINK("C:\Users\franc\OneDrive\Documentos\MALENTIN KARIME\BANCO ESTADO\2012 DEPTO ESCRITURAS fata\NOTARIA 2009\DERECHO REAL DE USO\FCO. MILLA A ADRIANA.doc", "Abrir Documento")</f>
        <v>0</v>
      </c>
      <c r="D12576" t="s">
        <v>23500</v>
      </c>
      <c r="E12576" t="s">
        <v>35051</v>
      </c>
    </row>
    <row r="12577" spans="1:5">
      <c r="A12577" t="s">
        <v>6</v>
      </c>
      <c r="B12577" t="s">
        <v>12582</v>
      </c>
      <c r="C12577">
        <f>HYPERLINK("C:\Users\franc\OneDrive\Documentos\MALENTIN KARIME\BANCO ESTADO\2012 DEPTO ESCRITURAS fata\NOTARIA 2009\DERECHO REAL DE USO\ESTER VALVERDE A BLAS OLIVARES (SOLA).doc", "Abrir Documento")</f>
        <v>0</v>
      </c>
      <c r="D12577" t="s">
        <v>23500</v>
      </c>
      <c r="E12577" t="s">
        <v>35052</v>
      </c>
    </row>
    <row r="12578" spans="1:5">
      <c r="A12578" t="s">
        <v>6</v>
      </c>
      <c r="B12578" t="s">
        <v>12583</v>
      </c>
      <c r="C12578">
        <f>HYPERLINK("C:\Users\franc\OneDrive\Documentos\MALENTIN KARIME\BANCO ESTADO\2012 DEPTO ESCRITURAS fata\NOTARIA 2009\DERECHO REAL DE USO\DERECHO REAL DE USO EN COMUNIDAD.doc", "Abrir Documento")</f>
        <v>0</v>
      </c>
      <c r="D12578" t="s">
        <v>23500</v>
      </c>
      <c r="E12578" t="s">
        <v>35053</v>
      </c>
    </row>
    <row r="12579" spans="1:5">
      <c r="A12579" t="s">
        <v>6</v>
      </c>
      <c r="B12579" t="s">
        <v>12584</v>
      </c>
      <c r="C12579">
        <f>HYPERLINK("C:\Users\franc\OneDrive\Documentos\MALENTIN KARIME\BANCO ESTADO\2012 DEPTO ESCRITURAS fata\NOTARIA 2009\DERECHO REAL DE USO\DECLARA DOS.doc", "Abrir Documento")</f>
        <v>0</v>
      </c>
      <c r="D12579" t="s">
        <v>23500</v>
      </c>
      <c r="E12579" t="s">
        <v>35054</v>
      </c>
    </row>
    <row r="12580" spans="1:5">
      <c r="A12580" t="s">
        <v>6</v>
      </c>
      <c r="B12580" t="s">
        <v>12585</v>
      </c>
      <c r="C12580">
        <f>HYPERLINK("C:\Users\franc\OneDrive\Documentos\MALENTIN KARIME\BANCO ESTADO\2012 DEPTO ESCRITURAS fata\NOTARIA 2009\DERECHO REAL DE USO\DECLARA 3.doc", "Abrir Documento")</f>
        <v>0</v>
      </c>
      <c r="D12580" t="s">
        <v>23500</v>
      </c>
      <c r="E12580" t="s">
        <v>35055</v>
      </c>
    </row>
    <row r="12581" spans="1:5">
      <c r="A12581" t="s">
        <v>6</v>
      </c>
      <c r="B12581" t="s">
        <v>12586</v>
      </c>
      <c r="C12581">
        <f>HYPERLINK("C:\Users\franc\OneDrive\Documentos\MALENTIN KARIME\BANCO ESTADO\2012 DEPTO ESCRITURAS fata\NOTARIA 2009\DERECHO REAL DE USO\dec.jurada derecho real de uso.doc", "Abrir Documento")</f>
        <v>0</v>
      </c>
      <c r="D12581" t="s">
        <v>23500</v>
      </c>
      <c r="E12581" t="s">
        <v>35056</v>
      </c>
    </row>
    <row r="12582" spans="1:5">
      <c r="A12582" t="s">
        <v>6</v>
      </c>
      <c r="B12582" t="s">
        <v>12587</v>
      </c>
      <c r="C12582">
        <f>HYPERLINK("C:\Users\franc\OneDrive\Documentos\MALENTIN KARIME\BANCO ESTADO\2012 DEPTO ESCRITURAS fata\NOTARIA 2009\DERECHO REAL DE USO\DAVID CORTES A NORMAN CORTES LAGUNILLAS.doc", "Abrir Documento")</f>
        <v>0</v>
      </c>
      <c r="D12582" t="s">
        <v>23500</v>
      </c>
      <c r="E12582" t="s">
        <v>35057</v>
      </c>
    </row>
    <row r="12583" spans="1:5">
      <c r="A12583" t="s">
        <v>6</v>
      </c>
      <c r="B12583" t="s">
        <v>12588</v>
      </c>
      <c r="C12583">
        <f>HYPERLINK("C:\Users\franc\OneDrive\Documentos\MALENTIN KARIME\BANCO ESTADO\2012 DEPTO ESCRITURAS fata\NOTARIA 2009\DERECHO REAL DE USO\DAVID CORTES A JUANA CORTES (LAGUNILLAS).doc", "Abrir Documento")</f>
        <v>0</v>
      </c>
      <c r="D12583" t="s">
        <v>23500</v>
      </c>
      <c r="E12583" t="s">
        <v>35058</v>
      </c>
    </row>
    <row r="12584" spans="1:5">
      <c r="A12584" t="s">
        <v>6</v>
      </c>
      <c r="B12584" t="s">
        <v>12589</v>
      </c>
      <c r="C12584">
        <f>HYPERLINK("C:\Users\franc\OneDrive\Documentos\MALENTIN KARIME\BANCO ESTADO\2012 DEPTO ESCRITURAS fata\NOTARIA 2009\DERECHO REAL DE USO\DAVID CORTES A JAVIER EDUARDO CORTES.doc", "Abrir Documento")</f>
        <v>0</v>
      </c>
      <c r="D12584" t="s">
        <v>23500</v>
      </c>
      <c r="E12584" t="s">
        <v>35059</v>
      </c>
    </row>
    <row r="12585" spans="1:5">
      <c r="A12585" t="s">
        <v>6</v>
      </c>
      <c r="B12585" t="s">
        <v>12590</v>
      </c>
      <c r="C12585">
        <f>HYPERLINK("C:\Users\franc\OneDrive\Documentos\MALENTIN KARIME\BANCO ESTADO\2012 DEPTO ESCRITURAS fata\NOTARIA 2009\DERECHO REAL DE USO\DAVID CORTES A IRMA.doc", "Abrir Documento")</f>
        <v>0</v>
      </c>
      <c r="D12585" t="s">
        <v>23500</v>
      </c>
      <c r="E12585" t="s">
        <v>35060</v>
      </c>
    </row>
    <row r="12586" spans="1:5">
      <c r="A12586" t="s">
        <v>6</v>
      </c>
      <c r="B12586" t="s">
        <v>12591</v>
      </c>
      <c r="C12586">
        <f>HYPERLINK("C:\Users\franc\OneDrive\Documentos\MALENTIN KARIME\BANCO ESTADO\2012 DEPTO ESCRITURAS fata\NOTARIA 2009\DERECHO REAL DE USO\DAVID CORTES A CLAUDIO CORTES.doc", "Abrir Documento")</f>
        <v>0</v>
      </c>
      <c r="D12586" t="s">
        <v>23500</v>
      </c>
      <c r="E12586" t="s">
        <v>35061</v>
      </c>
    </row>
    <row r="12587" spans="1:5">
      <c r="A12587" t="s">
        <v>6</v>
      </c>
      <c r="B12587" t="s">
        <v>12592</v>
      </c>
      <c r="C12587">
        <f>HYPERLINK("C:\Users\franc\OneDrive\Documentos\MALENTIN KARIME\BANCO ESTADO\2012 DEPTO ESCRITURAS fata\NOTARIA 2009\DERECHO REAL DE USO\COMUNIDAD LAS DAMAS.doc", "Abrir Documento")</f>
        <v>0</v>
      </c>
      <c r="D12587" t="s">
        <v>23500</v>
      </c>
      <c r="E12587" t="s">
        <v>35062</v>
      </c>
    </row>
    <row r="12588" spans="1:5">
      <c r="A12588" t="s">
        <v>6</v>
      </c>
      <c r="B12588" t="s">
        <v>12593</v>
      </c>
      <c r="C12588">
        <f>HYPERLINK("C:\Users\franc\OneDrive\Documentos\MALENTIN KARIME\BANCO ESTADO\2012 DEPTO ESCRITURAS fata\NOTARIA 2009\DERECHO REAL DE USO\COMUNIDAD EL DURAZNO A LUCY CASTILLO.doc", "Abrir Documento")</f>
        <v>0</v>
      </c>
      <c r="D12588" t="s">
        <v>23500</v>
      </c>
      <c r="E12588" t="s">
        <v>35063</v>
      </c>
    </row>
    <row r="12589" spans="1:5">
      <c r="A12589" t="s">
        <v>6</v>
      </c>
      <c r="B12589" t="s">
        <v>12594</v>
      </c>
      <c r="C12589">
        <f>HYPERLINK("C:\Users\franc\OneDrive\Documentos\MALENTIN KARIME\BANCO ESTADO\2012 DEPTO ESCRITURAS fata\NOTARIA 2009\DERECHO REAL DE USO\COMUNIDAD ALCONES WILLIAM ARIAS.doc", "Abrir Documento")</f>
        <v>0</v>
      </c>
      <c r="D12589" t="s">
        <v>23500</v>
      </c>
      <c r="E12589" t="s">
        <v>35064</v>
      </c>
    </row>
    <row r="12590" spans="1:5">
      <c r="A12590" t="s">
        <v>6</v>
      </c>
      <c r="B12590" t="s">
        <v>12595</v>
      </c>
      <c r="C12590">
        <f>HYPERLINK("C:\Users\franc\OneDrive\Documentos\MALENTIN KARIME\BANCO ESTADO\2012 DEPTO ESCRITURAS fata\NOTARIA 2009\DERECHO REAL DE USO\COMUNIDAD ALCONES GRICELDA VEGA.doc", "Abrir Documento")</f>
        <v>0</v>
      </c>
      <c r="D12590" t="s">
        <v>23500</v>
      </c>
      <c r="E12590" t="s">
        <v>35065</v>
      </c>
    </row>
    <row r="12591" spans="1:5">
      <c r="A12591" t="s">
        <v>6</v>
      </c>
      <c r="B12591" t="s">
        <v>12596</v>
      </c>
      <c r="C12591">
        <f>HYPERLINK("C:\Users\franc\OneDrive\Documentos\MALENTIN KARIME\BANCO ESTADO\2012 DEPTO ESCRITURAS fata\NOTARIA 2009\DERECHO REAL DE USO\COMUNIDAD ALCONES A CESAR ROBLES.doc", "Abrir Documento")</f>
        <v>0</v>
      </c>
      <c r="D12591" t="s">
        <v>23500</v>
      </c>
      <c r="E12591" t="s">
        <v>35066</v>
      </c>
    </row>
    <row r="12592" spans="1:5">
      <c r="A12592" t="s">
        <v>6</v>
      </c>
      <c r="B12592" t="s">
        <v>12597</v>
      </c>
      <c r="C12592">
        <f>HYPERLINK("C:\Users\franc\OneDrive\Documentos\MALENTIN KARIME\BANCO ESTADO\2012 DEPTO ESCRITURAS fata\NOTARIA 2009\DERECHO REAL DE USO\CERTIFICADO.doc", "Abrir Documento")</f>
        <v>0</v>
      </c>
      <c r="D12592" t="s">
        <v>23500</v>
      </c>
      <c r="E12592" t="s">
        <v>35067</v>
      </c>
    </row>
    <row r="12593" spans="1:5">
      <c r="A12593" t="s">
        <v>6</v>
      </c>
      <c r="B12593" t="s">
        <v>12598</v>
      </c>
      <c r="C12593">
        <f>HYPERLINK("C:\Users\franc\OneDrive\Documentos\MALENTIN KARIME\BANCO ESTADO\2012 DEPTO ESCRITURAS fata\NOTARIA 2009\DERECHO REAL DE USO\BLANCA CORTES A IVAN SALINAS I El Divisadero.doc", "Abrir Documento")</f>
        <v>0</v>
      </c>
      <c r="D12593" t="s">
        <v>23500</v>
      </c>
      <c r="E12593" t="s">
        <v>35068</v>
      </c>
    </row>
    <row r="12594" spans="1:5">
      <c r="A12594" t="s">
        <v>6</v>
      </c>
      <c r="B12594" t="s">
        <v>12599</v>
      </c>
      <c r="C12594">
        <f>HYPERLINK("C:\Users\franc\OneDrive\Documentos\MALENTIN KARIME\BANCO ESTADO\2012 DEPTO ESCRITURAS fata\NOTARIA 2009\DERECHO REAL DE USO\ARNOLDO ARANCIBIA A SU NIETA (CON CONYUGE).doc", "Abrir Documento")</f>
        <v>0</v>
      </c>
      <c r="D12594" t="s">
        <v>23500</v>
      </c>
      <c r="E12594" t="s">
        <v>35069</v>
      </c>
    </row>
    <row r="12595" spans="1:5">
      <c r="A12595" t="s">
        <v>6</v>
      </c>
      <c r="B12595" t="s">
        <v>12600</v>
      </c>
      <c r="C12595">
        <f>HYPERLINK("C:\Users\franc\OneDrive\Documentos\MALENTIN KARIME\BANCO ESTADO\2012 DEPTO ESCRITURAS fata\NOTARIA 2009\DERECHO REAL DE USO\ANTONIA GALLEGOS A FRANCO MARTINEZ.doc", "Abrir Documento")</f>
        <v>0</v>
      </c>
      <c r="D12595" t="s">
        <v>23500</v>
      </c>
      <c r="E12595" t="s">
        <v>35070</v>
      </c>
    </row>
    <row r="12596" spans="1:5">
      <c r="A12596" t="s">
        <v>6</v>
      </c>
      <c r="B12596" t="s">
        <v>12601</v>
      </c>
      <c r="C12596">
        <f>HYPERLINK("C:\Users\franc\OneDrive\Documentos\MALENTIN KARIME\BANCO ESTADO\2012 DEPTO ESCRITURAS fata\NOTARIA 2009\DERECHO REAL DE USO\ANGEL CASTRO A MONICA CASTRO.doc", "Abrir Documento")</f>
        <v>0</v>
      </c>
      <c r="D12596" t="s">
        <v>23500</v>
      </c>
      <c r="E12596" t="s">
        <v>35071</v>
      </c>
    </row>
    <row r="12597" spans="1:5">
      <c r="A12597" t="s">
        <v>6</v>
      </c>
      <c r="B12597" t="s">
        <v>12602</v>
      </c>
      <c r="C12597">
        <f>HYPERLINK("C:\Users\franc\OneDrive\Documentos\MALENTIN KARIME\BANCO ESTADO\2012 DEPTO ESCRITURAS fata\NOTARIA 2009\DERECHO REAL DE USO\ANA PEREZ A SU HIJO.doc", "Abrir Documento")</f>
        <v>0</v>
      </c>
      <c r="D12597" t="s">
        <v>23500</v>
      </c>
      <c r="E12597" t="s">
        <v>35072</v>
      </c>
    </row>
    <row r="12598" spans="1:5">
      <c r="A12598" t="s">
        <v>6</v>
      </c>
      <c r="B12598" t="s">
        <v>12603</v>
      </c>
      <c r="C12598">
        <f>HYPERLINK("C:\Users\franc\OneDrive\Documentos\MALENTIN KARIME\BANCO ESTADO\2012 DEPTO ESCRITURAS fata\NOTARIA 2009\DERECHO REAL DE USO\ANA PEREZ A JUAN LEMUS.doc", "Abrir Documento")</f>
        <v>0</v>
      </c>
      <c r="D12598" t="s">
        <v>23500</v>
      </c>
      <c r="E12598" t="s">
        <v>35073</v>
      </c>
    </row>
    <row r="12599" spans="1:5">
      <c r="A12599" t="s">
        <v>6</v>
      </c>
      <c r="B12599" t="s">
        <v>12604</v>
      </c>
      <c r="C12599">
        <f>HYPERLINK("C:\Users\franc\OneDrive\Documentos\MALENTIN KARIME\BANCO ESTADO\2012 DEPTO ESCRITURAS fata\NOTARIA 2009\DERECHO REAL DE USO\ANA PEREZ A DORTY PEREZ.doc", "Abrir Documento")</f>
        <v>0</v>
      </c>
      <c r="D12599" t="s">
        <v>23500</v>
      </c>
      <c r="E12599" t="s">
        <v>35074</v>
      </c>
    </row>
    <row r="12600" spans="1:5">
      <c r="A12600" t="s">
        <v>6</v>
      </c>
      <c r="B12600" t="s">
        <v>12605</v>
      </c>
      <c r="C12600">
        <f>HYPERLINK("C:\Users\franc\OneDrive\Documentos\MALENTIN KARIME\BANCO ESTADO\2012 DEPTO ESCRITURAS fata\NOTARIA 2009\DERECHO REAL DE USO\AMERICA ROBLES A GABRIELA ROBLES.doc", "Abrir Documento")</f>
        <v>0</v>
      </c>
      <c r="D12600" t="s">
        <v>23500</v>
      </c>
      <c r="E12600" t="s">
        <v>35075</v>
      </c>
    </row>
    <row r="12601" spans="1:5">
      <c r="A12601" t="s">
        <v>6</v>
      </c>
      <c r="B12601" t="s">
        <v>12606</v>
      </c>
      <c r="C12601">
        <f>HYPERLINK("C:\Users\franc\OneDrive\Documentos\MALENTIN KARIME\BANCO ESTADO\2012 DEPTO ESCRITURAS fata\NOTARIA 2009\DERECHO REAL DE USO\AMERICA ROBLES A FRANCISCO ARAYA.doc", "Abrir Documento")</f>
        <v>0</v>
      </c>
      <c r="D12601" t="s">
        <v>23500</v>
      </c>
      <c r="E12601" t="s">
        <v>35076</v>
      </c>
    </row>
    <row r="12602" spans="1:5">
      <c r="A12602" t="s">
        <v>6</v>
      </c>
      <c r="B12602" t="s">
        <v>12607</v>
      </c>
      <c r="C12602">
        <f>HYPERLINK("C:\Users\franc\OneDrive\Documentos\MALENTIN KARIME\BANCO ESTADO\2012 DEPTO ESCRITURAS fata\NOTARIA 2009\DERECHO REAL DE USO\ALEJANDRO ROJAS Y PAPA A GLADYS ROJAS.doc", "Abrir Documento")</f>
        <v>0</v>
      </c>
      <c r="D12602" t="s">
        <v>23500</v>
      </c>
      <c r="E12602" t="s">
        <v>35077</v>
      </c>
    </row>
    <row r="12603" spans="1:5">
      <c r="A12603" t="s">
        <v>6</v>
      </c>
      <c r="B12603" t="s">
        <v>12608</v>
      </c>
      <c r="C12603">
        <f>HYPERLINK("C:\Users\franc\OneDrive\Documentos\MALENTIN KARIME\BANCO ESTADO\2012 DEPTO ESCRITURAS fata\NOTARIA 2009\DELEGACION FACULTADES\MARIA RAMOS.doc", "Abrir Documento")</f>
        <v>0</v>
      </c>
      <c r="D12603" t="s">
        <v>23500</v>
      </c>
      <c r="E12603" t="s">
        <v>35078</v>
      </c>
    </row>
    <row r="12604" spans="1:5">
      <c r="A12604" t="s">
        <v>6</v>
      </c>
      <c r="B12604" t="s">
        <v>12609</v>
      </c>
      <c r="C12604">
        <f>HYPERLINK("C:\Users\franc\OneDrive\Documentos\MALENTIN KARIME\BANCO ESTADO\2012 DEPTO ESCRITURAS fata\NOTARIA 2009\DELEGACION FACULTADES\CARMEN GLORIA PINTO.doc", "Abrir Documento")</f>
        <v>0</v>
      </c>
      <c r="D12604" t="s">
        <v>23500</v>
      </c>
      <c r="E12604" t="s">
        <v>35079</v>
      </c>
    </row>
    <row r="12605" spans="1:5">
      <c r="A12605" t="s">
        <v>6</v>
      </c>
      <c r="B12605" t="s">
        <v>12610</v>
      </c>
      <c r="C12605">
        <f>HYPERLINK("C:\Users\franc\OneDrive\Documentos\MALENTIN KARIME\BANCO ESTADO\2012 DEPTO ESCRITURAS fata\NOTARIA 2009\DACION EN PAGO\JOSE IZQUIERDO A CECILIA IZQUIERDO.doc", "Abrir Documento")</f>
        <v>0</v>
      </c>
      <c r="D12605" t="s">
        <v>23500</v>
      </c>
      <c r="E12605" t="s">
        <v>35080</v>
      </c>
    </row>
    <row r="12606" spans="1:5">
      <c r="A12606" t="s">
        <v>6</v>
      </c>
      <c r="B12606" t="s">
        <v>12611</v>
      </c>
      <c r="C12606">
        <f>HYPERLINK("C:\Users\franc\OneDrive\Documentos\MALENTIN KARIME\BANCO ESTADO\2012 DEPTO ESCRITURAS fata\NOTARIA 2009\DABED\SOC. ARKON A DABED HOSPITAL VICUÑA.doc", "Abrir Documento")</f>
        <v>0</v>
      </c>
      <c r="D12606" t="s">
        <v>23500</v>
      </c>
      <c r="E12606" t="s">
        <v>35081</v>
      </c>
    </row>
    <row r="12607" spans="1:5">
      <c r="A12607" t="s">
        <v>6</v>
      </c>
      <c r="B12607" t="s">
        <v>12612</v>
      </c>
      <c r="C12607">
        <f>HYPERLINK("C:\Users\franc\OneDrive\Documentos\MALENTIN KARIME\BANCO ESTADO\2012 DEPTO ESCRITURAS fata\NOTARIA 2009\DABED\SOC. ARKON A DABED HOSPITAL OVALLE.doc", "Abrir Documento")</f>
        <v>0</v>
      </c>
      <c r="D12607" t="s">
        <v>23500</v>
      </c>
      <c r="E12607" t="s">
        <v>35082</v>
      </c>
    </row>
    <row r="12608" spans="1:5">
      <c r="A12608" t="s">
        <v>6</v>
      </c>
      <c r="B12608" t="s">
        <v>12613</v>
      </c>
      <c r="C12608">
        <f>HYPERLINK("C:\Users\franc\OneDrive\Documentos\MALENTIN KARIME\BANCO ESTADO\2012 DEPTO ESCRITURAS fata\NOTARIA 2009\DABED\SOC. ARKON A DABED (PRENDA SIN DESPLAZAMIENTO).doc", "Abrir Documento")</f>
        <v>0</v>
      </c>
      <c r="D12608" t="s">
        <v>23500</v>
      </c>
      <c r="E12608" t="s">
        <v>35083</v>
      </c>
    </row>
    <row r="12609" spans="1:5">
      <c r="A12609" t="s">
        <v>6</v>
      </c>
      <c r="B12609" t="s">
        <v>12614</v>
      </c>
      <c r="C12609">
        <f>HYPERLINK("C:\Users\franc\OneDrive\Documentos\MALENTIN KARIME\BANCO ESTADO\2012 DEPTO ESCRITURAS fata\NOTARIA 2009\DABED\SOC. ARKON A DABED (MANDATO).doc", "Abrir Documento")</f>
        <v>0</v>
      </c>
      <c r="D12609" t="s">
        <v>23500</v>
      </c>
      <c r="E12609" t="s">
        <v>35084</v>
      </c>
    </row>
    <row r="12610" spans="1:5">
      <c r="A12610" t="s">
        <v>6</v>
      </c>
      <c r="B12610" t="s">
        <v>12615</v>
      </c>
      <c r="C12610">
        <f>HYPERLINK("C:\Users\franc\OneDrive\Documentos\MALENTIN KARIME\BANCO ESTADO\2012 DEPTO ESCRITURAS fata\NOTARIA 2009\DABED\INPROCOL LTD - AGUAS SERVIDAS.doc", "Abrir Documento")</f>
        <v>0</v>
      </c>
      <c r="D12610" t="s">
        <v>23500</v>
      </c>
      <c r="E12610" t="s">
        <v>35085</v>
      </c>
    </row>
    <row r="12611" spans="1:5">
      <c r="A12611" t="s">
        <v>6</v>
      </c>
      <c r="B12611" t="s">
        <v>12616</v>
      </c>
      <c r="C12611">
        <f>HYPERLINK("C:\Users\franc\OneDrive\Documentos\MALENTIN KARIME\BANCO ESTADO\2012 DEPTO ESCRITURAS fata\NOTARIA 2009\DABED\INPROCOL A LOS RISCOS.doc", "Abrir Documento")</f>
        <v>0</v>
      </c>
      <c r="D12611" t="s">
        <v>23500</v>
      </c>
      <c r="E12611" t="s">
        <v>35086</v>
      </c>
    </row>
    <row r="12612" spans="1:5">
      <c r="A12612" t="s">
        <v>6</v>
      </c>
      <c r="B12612" t="s">
        <v>12617</v>
      </c>
      <c r="C12612">
        <f>HYPERLINK("C:\Users\franc\OneDrive\Documentos\MALENTIN KARIME\BANCO ESTADO\2012 DEPTO ESCRITURAS fata\NOTARIA 2009\DABED\INPROCOL - ADISON.doc", "Abrir Documento")</f>
        <v>0</v>
      </c>
      <c r="D12612" t="s">
        <v>23500</v>
      </c>
      <c r="E12612" t="s">
        <v>35087</v>
      </c>
    </row>
    <row r="12613" spans="1:5">
      <c r="A12613" t="s">
        <v>6</v>
      </c>
      <c r="B12613" t="s">
        <v>12618</v>
      </c>
      <c r="C12613">
        <f>HYPERLINK("C:\Users\franc\OneDrive\Documentos\MALENTIN KARIME\BANCO ESTADO\2012 DEPTO ESCRITURAS fata\NOTARIA 2009\DABED\INPROCOL  - HELEN LANG.doc", "Abrir Documento")</f>
        <v>0</v>
      </c>
      <c r="D12613" t="s">
        <v>23500</v>
      </c>
      <c r="E12613" t="s">
        <v>35088</v>
      </c>
    </row>
    <row r="12614" spans="1:5">
      <c r="A12614" t="s">
        <v>6</v>
      </c>
      <c r="B12614" t="s">
        <v>12619</v>
      </c>
      <c r="C12614">
        <f>HYPERLINK("C:\Users\franc\OneDrive\Documentos\MALENTIN KARIME\BANCO ESTADO\2012 DEPTO ESCRITURAS fata\NOTARIA 2009\DABED\EDUARDO CORTES AROSTICA.doc", "Abrir Documento")</f>
        <v>0</v>
      </c>
      <c r="D12614" t="s">
        <v>23500</v>
      </c>
      <c r="E12614" t="s">
        <v>35089</v>
      </c>
    </row>
    <row r="12615" spans="1:5">
      <c r="A12615" t="s">
        <v>6</v>
      </c>
      <c r="B12615" t="s">
        <v>12620</v>
      </c>
      <c r="C12615">
        <f>HYPERLINK("C:\Users\franc\OneDrive\Documentos\MALENTIN KARIME\BANCO ESTADO\2012 DEPTO ESCRITURAS fata\NOTARIA 2009\DABED\Doc1.doc", "Abrir Documento")</f>
        <v>0</v>
      </c>
      <c r="D12615" t="s">
        <v>23500</v>
      </c>
      <c r="E12615" t="s">
        <v>35090</v>
      </c>
    </row>
    <row r="12616" spans="1:5">
      <c r="A12616" t="s">
        <v>6</v>
      </c>
      <c r="B12616" t="s">
        <v>12621</v>
      </c>
      <c r="C12616">
        <f>HYPERLINK("C:\Users\franc\OneDrive\Documentos\MALENTIN KARIME\BANCO ESTADO\2012 DEPTO ESCRITURAS fata\NOTARIA 2009\DABED\Autorizo la firma de don ROBERTO SELIM DABED ALAMO.doc", "Abrir Documento")</f>
        <v>0</v>
      </c>
      <c r="D12616" t="s">
        <v>23500</v>
      </c>
      <c r="E12616" t="s">
        <v>35091</v>
      </c>
    </row>
    <row r="12617" spans="1:5">
      <c r="A12617" t="s">
        <v>6</v>
      </c>
      <c r="B12617" t="s">
        <v>12622</v>
      </c>
      <c r="C12617">
        <f>HYPERLINK("C:\Users\franc\OneDrive\Documentos\MALENTIN KARIME\BANCO ESTADO\2012 DEPTO ESCRITURAS fata\NOTARIA 2009\DABED\AUTORIZACIONE.doc", "Abrir Documento")</f>
        <v>0</v>
      </c>
      <c r="D12617" t="s">
        <v>23500</v>
      </c>
      <c r="E12617" t="s">
        <v>35092</v>
      </c>
    </row>
    <row r="12618" spans="1:5">
      <c r="A12618" t="s">
        <v>6</v>
      </c>
      <c r="B12618" t="s">
        <v>12623</v>
      </c>
      <c r="C12618">
        <f>HYPERLINK("C:\Users\franc\OneDrive\Documentos\MALENTIN KARIME\BANCO ESTADO\2012 DEPTO ESCRITURAS fata\NOTARIA 2009\CVI  AGUAS\ZOYLO GONZALEZ A EDUARDO NARANJO (SIN INSCRIP).doc", "Abrir Documento")</f>
        <v>0</v>
      </c>
      <c r="D12618" t="s">
        <v>23500</v>
      </c>
      <c r="E12618" t="s">
        <v>35093</v>
      </c>
    </row>
    <row r="12619" spans="1:5">
      <c r="A12619" t="s">
        <v>6</v>
      </c>
      <c r="B12619" t="s">
        <v>12624</v>
      </c>
      <c r="C12619">
        <f>HYPERLINK("C:\Users\franc\OneDrive\Documentos\MALENTIN KARIME\BANCO ESTADO\2012 DEPTO ESCRITURAS fata\NOTARIA 2009\CVI  AGUAS\YUVOMIR IRIARTE A INMOB. LOS ALERCES.doc", "Abrir Documento")</f>
        <v>0</v>
      </c>
      <c r="D12619" t="s">
        <v>23500</v>
      </c>
      <c r="E12619" t="s">
        <v>35094</v>
      </c>
    </row>
    <row r="12620" spans="1:5">
      <c r="A12620" t="s">
        <v>6</v>
      </c>
      <c r="B12620" t="s">
        <v>12625</v>
      </c>
      <c r="C12620">
        <f>HYPERLINK("C:\Users\franc\OneDrive\Documentos\MALENTIN KARIME\BANCO ESTADO\2012 DEPTO ESCRITURAS fata\NOTARIA 2009\CVI  AGUAS\VICTOR MUÑOZ A RAUL DEL BARRIO.doc", "Abrir Documento")</f>
        <v>0</v>
      </c>
      <c r="D12620" t="s">
        <v>23500</v>
      </c>
      <c r="E12620" t="s">
        <v>35095</v>
      </c>
    </row>
    <row r="12621" spans="1:5">
      <c r="A12621" t="s">
        <v>6</v>
      </c>
      <c r="B12621" t="s">
        <v>12626</v>
      </c>
      <c r="C12621">
        <f>HYPERLINK("C:\Users\franc\OneDrive\Documentos\MALENTIN KARIME\BANCO ESTADO\2012 DEPTO ESCRITURAS fata\NOTARIA 2009\CVI  AGUAS\SUC. SANTANDER A JORGE GOMILA Y OTROS.doc", "Abrir Documento")</f>
        <v>0</v>
      </c>
      <c r="D12621" t="s">
        <v>23500</v>
      </c>
      <c r="E12621" t="s">
        <v>35096</v>
      </c>
    </row>
    <row r="12622" spans="1:5">
      <c r="A12622" t="s">
        <v>6</v>
      </c>
      <c r="B12622" t="s">
        <v>12627</v>
      </c>
      <c r="C12622">
        <f>HYPERLINK("C:\Users\franc\OneDrive\Documentos\MALENTIN KARIME\BANCO ESTADO\2012 DEPTO ESCRITURAS fata\NOTARIA 2009\CVI  AGUAS\SOC. ESTONIA S.A. A SOC. MILAGRO S.A..doc", "Abrir Documento")</f>
        <v>0</v>
      </c>
      <c r="D12622" t="s">
        <v>23500</v>
      </c>
      <c r="E12622" t="s">
        <v>35097</v>
      </c>
    </row>
    <row r="12623" spans="1:5">
      <c r="A12623" t="s">
        <v>6</v>
      </c>
      <c r="B12623" t="s">
        <v>12628</v>
      </c>
      <c r="C12623">
        <f>HYPERLINK("C:\Users\franc\OneDrive\Documentos\MALENTIN KARIME\BANCO ESTADO\2012 DEPTO ESCRITURAS fata\NOTARIA 2009\CVI  AGUAS\OMAR ARTAL A CARLOS QUIROZ.doc", "Abrir Documento")</f>
        <v>0</v>
      </c>
      <c r="D12623" t="s">
        <v>23500</v>
      </c>
      <c r="E12623" t="s">
        <v>35098</v>
      </c>
    </row>
    <row r="12624" spans="1:5">
      <c r="A12624" t="s">
        <v>6</v>
      </c>
      <c r="B12624" t="s">
        <v>12629</v>
      </c>
      <c r="C12624">
        <f>HYPERLINK("C:\Users\franc\OneDrive\Documentos\MALENTIN KARIME\BANCO ESTADO\2012 DEPTO ESCRITURAS fata\NOTARIA 2009\CVI  AGUAS\OLGA CONTRERAS A SOC. COM FLOR MARIA.doc", "Abrir Documento")</f>
        <v>0</v>
      </c>
      <c r="D12624" t="s">
        <v>23500</v>
      </c>
      <c r="E12624" t="s">
        <v>35099</v>
      </c>
    </row>
    <row r="12625" spans="1:5">
      <c r="A12625" t="s">
        <v>6</v>
      </c>
      <c r="B12625" t="s">
        <v>12630</v>
      </c>
      <c r="C12625">
        <f>HYPERLINK("C:\Users\franc\OneDrive\Documentos\MALENTIN KARIME\BANCO ESTADO\2012 DEPTO ESCRITURAS fata\NOTARIA 2009\CVI  AGUAS\MARTA VENEGAS A ABEL GONZALEZ.doc", "Abrir Documento")</f>
        <v>0</v>
      </c>
      <c r="D12625" t="s">
        <v>23500</v>
      </c>
      <c r="E12625" t="s">
        <v>35100</v>
      </c>
    </row>
    <row r="12626" spans="1:5">
      <c r="A12626" t="s">
        <v>6</v>
      </c>
      <c r="B12626" t="s">
        <v>12631</v>
      </c>
      <c r="C12626">
        <f>HYPERLINK("C:\Users\franc\OneDrive\Documentos\MALENTIN KARIME\BANCO ESTADO\2012 DEPTO ESCRITURAS fata\NOTARIA 2009\CVI  AGUAS\MARIA AGUIRRE A DOMINGO VERGARA (SIN INSCRIP).doc", "Abrir Documento")</f>
        <v>0</v>
      </c>
      <c r="D12626" t="s">
        <v>23500</v>
      </c>
      <c r="E12626" t="s">
        <v>35101</v>
      </c>
    </row>
    <row r="12627" spans="1:5">
      <c r="A12627" t="s">
        <v>6</v>
      </c>
      <c r="B12627" t="s">
        <v>12632</v>
      </c>
      <c r="C12627">
        <f>HYPERLINK("C:\Users\franc\OneDrive\Documentos\MALENTIN KARIME\BANCO ESTADO\2012 DEPTO ESCRITURAS fata\NOTARIA 2009\CVI  AGUAS\LUISA MOLINA A AGRICOLA LOS ALERCES.doc", "Abrir Documento")</f>
        <v>0</v>
      </c>
      <c r="D12627" t="s">
        <v>23500</v>
      </c>
      <c r="E12627" t="s">
        <v>35102</v>
      </c>
    </row>
    <row r="12628" spans="1:5">
      <c r="A12628" t="s">
        <v>6</v>
      </c>
      <c r="B12628" t="s">
        <v>12633</v>
      </c>
      <c r="C12628">
        <f>HYPERLINK("C:\Users\franc\OneDrive\Documentos\MALENTIN KARIME\BANCO ESTADO\2012 DEPTO ESCRITURAS fata\NOTARIA 2009\CVI  AGUAS\IVAN DIAZ A AURA NEYRA ERAZO.doc", "Abrir Documento")</f>
        <v>0</v>
      </c>
      <c r="D12628" t="s">
        <v>23500</v>
      </c>
      <c r="E12628" t="s">
        <v>35103</v>
      </c>
    </row>
    <row r="12629" spans="1:5">
      <c r="A12629" t="s">
        <v>6</v>
      </c>
      <c r="B12629" t="s">
        <v>12634</v>
      </c>
      <c r="C12629">
        <f>HYPERLINK("C:\Users\franc\OneDrive\Documentos\MALENTIN KARIME\BANCO ESTADO\2012 DEPTO ESCRITURAS fata\NOTARIA 2009\CVI  AGUAS\Instrucciones%20Notariales%20Sucesi%C3%B3n%20Toro%2020%2008%2009[1].doc", "Abrir Documento")</f>
        <v>0</v>
      </c>
      <c r="D12629" t="s">
        <v>23500</v>
      </c>
      <c r="E12629" t="s">
        <v>35104</v>
      </c>
    </row>
    <row r="12630" spans="1:5">
      <c r="A12630" t="s">
        <v>6</v>
      </c>
      <c r="B12630" t="s">
        <v>12635</v>
      </c>
      <c r="C12630">
        <f>HYPERLINK("C:\Users\franc\OneDrive\Documentos\MALENTIN KARIME\BANCO ESTADO\2012 DEPTO ESCRITURAS fata\NOTARIA 2009\CVI  AGUAS\INSTR. LUISA MOLINA.doc", "Abrir Documento")</f>
        <v>0</v>
      </c>
      <c r="D12630" t="s">
        <v>23500</v>
      </c>
      <c r="E12630" t="s">
        <v>35105</v>
      </c>
    </row>
    <row r="12631" spans="1:5">
      <c r="A12631" t="s">
        <v>6</v>
      </c>
      <c r="B12631" t="s">
        <v>12636</v>
      </c>
      <c r="C12631">
        <f>HYPERLINK("C:\Users\franc\OneDrive\Documentos\MALENTIN KARIME\BANCO ESTADO\2012 DEPTO ESCRITURAS fata\NOTARIA 2009\CVI  AGUAS\HUGO SEGOVIA A LUIS OGALDE.doc", "Abrir Documento")</f>
        <v>0</v>
      </c>
      <c r="D12631" t="s">
        <v>23500</v>
      </c>
      <c r="E12631" t="s">
        <v>35106</v>
      </c>
    </row>
    <row r="12632" spans="1:5">
      <c r="A12632" t="s">
        <v>6</v>
      </c>
      <c r="B12632" t="s">
        <v>12637</v>
      </c>
      <c r="C12632">
        <f>HYPERLINK("C:\Users\franc\OneDrive\Documentos\MALENTIN KARIME\BANCO ESTADO\2012 DEPTO ESCRITURAS fata\NOTARIA 2009\CVI  AGUAS\EVELINA TORO PIZARRO Y OTR A VIÑA SUTIL S.A..doc", "Abrir Documento")</f>
        <v>0</v>
      </c>
      <c r="D12632" t="s">
        <v>23500</v>
      </c>
      <c r="E12632" t="s">
        <v>35107</v>
      </c>
    </row>
    <row r="12633" spans="1:5">
      <c r="A12633" t="s">
        <v>6</v>
      </c>
      <c r="B12633" t="s">
        <v>12638</v>
      </c>
      <c r="C12633">
        <f>HYPERLINK("C:\Users\franc\OneDrive\Documentos\MALENTIN KARIME\BANCO ESTADO\2012 DEPTO ESCRITURAS fata\NOTARIA 2009\CVI  AGUAS\EUGENIO DARRIGRANDE A ELIO ELORZA.doc", "Abrir Documento")</f>
        <v>0</v>
      </c>
      <c r="D12633" t="s">
        <v>23500</v>
      </c>
      <c r="E12633" t="s">
        <v>35108</v>
      </c>
    </row>
    <row r="12634" spans="1:5">
      <c r="A12634" t="s">
        <v>6</v>
      </c>
      <c r="B12634" t="s">
        <v>12639</v>
      </c>
      <c r="C12634">
        <f>HYPERLINK("C:\Users\franc\OneDrive\Documentos\MALENTIN KARIME\BANCO ESTADO\2012 DEPTO ESCRITURAS fata\NOTARIA 2009\CVI  AGUAS\COMPAÑIA PISQUERA DE CHILE A juan santibañez.doc", "Abrir Documento")</f>
        <v>0</v>
      </c>
      <c r="D12634" t="s">
        <v>23500</v>
      </c>
      <c r="E12634" t="s">
        <v>35109</v>
      </c>
    </row>
    <row r="12635" spans="1:5">
      <c r="A12635" t="s">
        <v>6</v>
      </c>
      <c r="B12635" t="s">
        <v>12640</v>
      </c>
      <c r="C12635">
        <f>HYPERLINK("C:\Users\franc\OneDrive\Documentos\MALENTIN KARIME\BANCO ESTADO\2012 DEPTO ESCRITURAS fata\NOTARIA 2009\CVI  AGUAS\CARLOS ALCAYAGA A SU HIJA LILIANA.doc", "Abrir Documento")</f>
        <v>0</v>
      </c>
      <c r="D12635" t="s">
        <v>23500</v>
      </c>
      <c r="E12635" t="s">
        <v>35110</v>
      </c>
    </row>
    <row r="12636" spans="1:5">
      <c r="A12636" t="s">
        <v>6</v>
      </c>
      <c r="B12636" t="s">
        <v>12641</v>
      </c>
      <c r="C12636">
        <f>HYPERLINK("C:\Users\franc\OneDrive\Documentos\MALENTIN KARIME\BANCO ESTADO\2012 DEPTO ESCRITURAS fata\NOTARIA 2009\CVI  AGUAS\CARLOS ALCAYAGA A GALVARINO VIORKLUMDS.doc", "Abrir Documento")</f>
        <v>0</v>
      </c>
      <c r="D12636" t="s">
        <v>23500</v>
      </c>
      <c r="E12636" t="s">
        <v>35111</v>
      </c>
    </row>
    <row r="12637" spans="1:5">
      <c r="A12637" t="s">
        <v>6</v>
      </c>
      <c r="B12637" t="s">
        <v>12642</v>
      </c>
      <c r="C12637">
        <f>HYPERLINK("C:\Users\franc\OneDrive\Documentos\MALENTIN KARIME\BANCO ESTADO\2012 DEPTO ESCRITURAS fata\NOTARIA 2009\CVI  AGUAS\CARLOS ALCAYAGA A  JULIA.doc", "Abrir Documento")</f>
        <v>0</v>
      </c>
      <c r="D12637" t="s">
        <v>23500</v>
      </c>
      <c r="E12637" t="s">
        <v>35112</v>
      </c>
    </row>
    <row r="12638" spans="1:5">
      <c r="A12638" t="s">
        <v>6</v>
      </c>
      <c r="B12638" t="s">
        <v>12643</v>
      </c>
      <c r="C12638">
        <f>HYPERLINK("C:\Users\franc\OneDrive\Documentos\MALENTIN KARIME\BANCO ESTADO\2012 DEPTO ESCRITURAS fata\NOTARIA 2009\CRISTIAN ZEPEDA\GABRIEL CUEVAS Y OTROS A JUAN CORTES.doc", "Abrir Documento")</f>
        <v>0</v>
      </c>
      <c r="D12638" t="s">
        <v>23500</v>
      </c>
      <c r="E12638" t="s">
        <v>35113</v>
      </c>
    </row>
    <row r="12639" spans="1:5">
      <c r="A12639" t="s">
        <v>6</v>
      </c>
      <c r="B12639" t="s">
        <v>12644</v>
      </c>
      <c r="C12639">
        <f>HYPERLINK("C:\Users\franc\OneDrive\Documentos\MALENTIN KARIME\BANCO ESTADO\2012 DEPTO ESCRITURAS fata\NOTARIA 2009\CRISTIAN VEGA\Doc1.doc", "Abrir Documento")</f>
        <v>0</v>
      </c>
      <c r="D12639" t="s">
        <v>23500</v>
      </c>
      <c r="E12639" t="s">
        <v>35114</v>
      </c>
    </row>
    <row r="12640" spans="1:5">
      <c r="A12640" t="s">
        <v>6</v>
      </c>
      <c r="B12640" t="s">
        <v>12645</v>
      </c>
      <c r="C12640">
        <f>HYPERLINK("C:\Users\franc\OneDrive\Documentos\MALENTIN KARIME\BANCO ESTADO\2012 DEPTO ESCRITURAS fata\NOTARIA 2009\CRISTIAN VEGA\ANTONIA RODRIGUEZ A MABEL CORTES CVI.doc", "Abrir Documento")</f>
        <v>0</v>
      </c>
      <c r="D12640" t="s">
        <v>23500</v>
      </c>
      <c r="E12640" t="s">
        <v>35115</v>
      </c>
    </row>
    <row r="12641" spans="1:5">
      <c r="A12641" t="s">
        <v>6</v>
      </c>
      <c r="B12641" t="s">
        <v>12646</v>
      </c>
      <c r="C12641">
        <f>HYPERLINK("C:\Users\franc\OneDrive\Documentos\MALENTIN KARIME\BANCO ESTADO\2012 DEPTO ESCRITURAS fata\NOTARIA 2009\COVALSA\SUBDIVISION.doc", "Abrir Documento")</f>
        <v>0</v>
      </c>
      <c r="D12641" t="s">
        <v>23500</v>
      </c>
      <c r="E12641" t="s">
        <v>35116</v>
      </c>
    </row>
    <row r="12642" spans="1:5">
      <c r="A12642" t="s">
        <v>6</v>
      </c>
      <c r="B12642" t="s">
        <v>12647</v>
      </c>
      <c r="C12642">
        <f>HYPERLINK("C:\Users\franc\OneDrive\Documentos\MALENTIN KARIME\BANCO ESTADO\2012 DEPTO ESCRITURAS fata\NOTARIA 2009\COVALSA\SOC. ANGOSTURA EXTRACTO.doc", "Abrir Documento")</f>
        <v>0</v>
      </c>
      <c r="D12642" t="s">
        <v>23500</v>
      </c>
      <c r="E12642" t="s">
        <v>35117</v>
      </c>
    </row>
    <row r="12643" spans="1:5">
      <c r="A12643" t="s">
        <v>6</v>
      </c>
      <c r="B12643" t="s">
        <v>12648</v>
      </c>
      <c r="C12643">
        <f>HYPERLINK("C:\Users\franc\OneDrive\Documentos\MALENTIN KARIME\BANCO ESTADO\2012 DEPTO ESCRITURAS fata\NOTARIA 2009\COVALSA\SOC. ANGOSTURA (DISOLUCION).doc", "Abrir Documento")</f>
        <v>0</v>
      </c>
      <c r="D12643" t="s">
        <v>23500</v>
      </c>
      <c r="E12643" t="s">
        <v>35118</v>
      </c>
    </row>
    <row r="12644" spans="1:5">
      <c r="A12644" t="s">
        <v>6</v>
      </c>
      <c r="B12644" t="s">
        <v>12649</v>
      </c>
      <c r="C12644">
        <f>HYPERLINK("C:\Users\franc\OneDrive\Documentos\MALENTIN KARIME\BANCO ESTADO\2012 DEPTO ESCRITURAS fata\NOTARIA 2009\COVALSA\SERPROCAR (MANDATO JUDICIAL).doc", "Abrir Documento")</f>
        <v>0</v>
      </c>
      <c r="D12644" t="s">
        <v>23500</v>
      </c>
      <c r="E12644" t="s">
        <v>35119</v>
      </c>
    </row>
    <row r="12645" spans="1:5">
      <c r="A12645" t="s">
        <v>6</v>
      </c>
      <c r="B12645" t="s">
        <v>12650</v>
      </c>
      <c r="C12645">
        <f>HYPERLINK("C:\Users\franc\OneDrive\Documentos\MALENTIN KARIME\BANCO ESTADO\2012 DEPTO ESCRITURAS fata\NOTARIA 2009\COVALSA\MANDATO JUDICIAL A SERGIO PERALTA.doc", "Abrir Documento")</f>
        <v>0</v>
      </c>
      <c r="D12645" t="s">
        <v>23500</v>
      </c>
      <c r="E12645" t="s">
        <v>35120</v>
      </c>
    </row>
    <row r="12646" spans="1:5">
      <c r="A12646" t="s">
        <v>6</v>
      </c>
      <c r="B12646" t="s">
        <v>12651</v>
      </c>
      <c r="C12646">
        <f>HYPERLINK("C:\Users\franc\OneDrive\Documentos\MALENTIN KARIME\BANCO ESTADO\2012 DEPTO ESCRITURAS fata\NOTARIA 2009\COVALSA\MANDATO JUDICIAL 2 A S. PERALTA.doc", "Abrir Documento")</f>
        <v>0</v>
      </c>
      <c r="D12646" t="s">
        <v>23500</v>
      </c>
      <c r="E12646" t="s">
        <v>35121</v>
      </c>
    </row>
    <row r="12647" spans="1:5">
      <c r="A12647" t="s">
        <v>6</v>
      </c>
      <c r="B12647" t="s">
        <v>12652</v>
      </c>
      <c r="C12647">
        <f>HYPERLINK("C:\Users\franc\OneDrive\Documentos\MALENTIN KARIME\BANCO ESTADO\2012 DEPTO ESCRITURAS fata\NOTARIA 2009\COVALSA\INVERSIONES ARTIGUES A PEDRO BARRIOS (LOTE).doc", "Abrir Documento")</f>
        <v>0</v>
      </c>
      <c r="D12647" t="s">
        <v>23500</v>
      </c>
      <c r="E12647" t="s">
        <v>35122</v>
      </c>
    </row>
    <row r="12648" spans="1:5">
      <c r="A12648" t="s">
        <v>6</v>
      </c>
      <c r="B12648" t="s">
        <v>12653</v>
      </c>
      <c r="C12648">
        <f>HYPERLINK("C:\Users\franc\OneDrive\Documentos\MALENTIN KARIME\BANCO ESTADO\2012 DEPTO ESCRITURAS fata\NOTARIA 2009\COVALSA\COVALSA A CHRISTIAN ROJAS (MANDATO).doc", "Abrir Documento")</f>
        <v>0</v>
      </c>
      <c r="D12648" t="s">
        <v>23500</v>
      </c>
      <c r="E12648" t="s">
        <v>35123</v>
      </c>
    </row>
    <row r="12649" spans="1:5">
      <c r="A12649" t="s">
        <v>6</v>
      </c>
      <c r="B12649" t="s">
        <v>12654</v>
      </c>
      <c r="C12649">
        <f>HYPERLINK("C:\Users\franc\OneDrive\Documentos\MALENTIN KARIME\BANCO ESTADO\2012 DEPTO ESCRITURAS fata\NOTARIA 2009\COVALSA\CLARO S.A. a SOC. ANGUSTURA PODER ESPECIAL.doc", "Abrir Documento")</f>
        <v>0</v>
      </c>
      <c r="D12649" t="s">
        <v>23500</v>
      </c>
      <c r="E12649" t="s">
        <v>35124</v>
      </c>
    </row>
    <row r="12650" spans="1:5">
      <c r="A12650" t="s">
        <v>6</v>
      </c>
      <c r="B12650" t="s">
        <v>12655</v>
      </c>
      <c r="C12650">
        <f>HYPERLINK("C:\Users\franc\OneDrive\Documentos\MALENTIN KARIME\BANCO ESTADO\2012 DEPTO ESCRITURAS fata\NOTARIA 2009\COVALSA\CLARO S.A. a SOC. ANGUSTURA DECLARACION.doc", "Abrir Documento")</f>
        <v>0</v>
      </c>
      <c r="D12650" t="s">
        <v>23500</v>
      </c>
      <c r="E12650" t="s">
        <v>35125</v>
      </c>
    </row>
    <row r="12651" spans="1:5">
      <c r="A12651" t="s">
        <v>6</v>
      </c>
      <c r="B12651" t="s">
        <v>12656</v>
      </c>
      <c r="C12651">
        <f>HYPERLINK("C:\Users\franc\OneDrive\Documentos\MALENTIN KARIME\BANCO ESTADO\2012 DEPTO ESCRITURAS fata\NOTARIA 2009\COVALSA\CLARO S.A. a SOC. ANGUSTURA (ARRENDAMIENTO).doc", "Abrir Documento")</f>
        <v>0</v>
      </c>
      <c r="D12651" t="s">
        <v>23500</v>
      </c>
      <c r="E12651" t="s">
        <v>35126</v>
      </c>
    </row>
    <row r="12652" spans="1:5">
      <c r="A12652" t="s">
        <v>6</v>
      </c>
      <c r="B12652" t="s">
        <v>12657</v>
      </c>
      <c r="C12652">
        <f>HYPERLINK("C:\Users\franc\OneDrive\Documentos\MALENTIN KARIME\BANCO ESTADO\2012 DEPTO ESCRITURAS fata\NOTARIA 2009\COVALSA\AGRO LA RECOLETA EXTRACTO.doc", "Abrir Documento")</f>
        <v>0</v>
      </c>
      <c r="D12652" t="s">
        <v>23500</v>
      </c>
      <c r="E12652" t="s">
        <v>35127</v>
      </c>
    </row>
    <row r="12653" spans="1:5">
      <c r="A12653" t="s">
        <v>6</v>
      </c>
      <c r="B12653" t="s">
        <v>12658</v>
      </c>
      <c r="C12653">
        <f>HYPERLINK("C:\Users\franc\OneDrive\Documentos\MALENTIN KARIME\BANCO ESTADO\2012 DEPTO ESCRITURAS fata\NOTARIA 2009\COVALSA\AGRO LA RECOLETA (DISOLUCION).doc", "Abrir Documento")</f>
        <v>0</v>
      </c>
      <c r="D12653" t="s">
        <v>23500</v>
      </c>
      <c r="E12653" t="s">
        <v>35128</v>
      </c>
    </row>
    <row r="12654" spans="1:5">
      <c r="A12654" t="s">
        <v>6</v>
      </c>
      <c r="B12654" t="s">
        <v>12659</v>
      </c>
      <c r="C12654">
        <f>HYPERLINK("C:\Users\franc\OneDrive\Documentos\MALENTIN KARIME\BANCO ESTADO\2012 DEPTO ESCRITURAS fata\NOTARIA 2009\COVALSA\ACTA.doc", "Abrir Documento")</f>
        <v>0</v>
      </c>
      <c r="D12654" t="s">
        <v>23500</v>
      </c>
      <c r="E12654" t="s">
        <v>35129</v>
      </c>
    </row>
    <row r="12655" spans="1:5">
      <c r="A12655" t="s">
        <v>6</v>
      </c>
      <c r="B12655" t="s">
        <v>12660</v>
      </c>
      <c r="C12655">
        <f>HYPERLINK("C:\Users\franc\OneDrive\Documentos\MALENTIN KARIME\BANCO ESTADO\2012 DEPTO ESCRITURAS fata\NOTARIA 2009\CORPORACION ASISTENCIA\YASNA RODRIGUEZ.doc", "Abrir Documento")</f>
        <v>0</v>
      </c>
      <c r="D12655" t="s">
        <v>23500</v>
      </c>
      <c r="E12655" t="s">
        <v>35130</v>
      </c>
    </row>
    <row r="12656" spans="1:5">
      <c r="A12656" t="s">
        <v>6</v>
      </c>
      <c r="B12656" t="s">
        <v>12661</v>
      </c>
      <c r="C12656">
        <f>HYPERLINK("C:\Users\franc\OneDrive\Documentos\MALENTIN KARIME\BANCO ESTADO\2012 DEPTO ESCRITURAS fata\NOTARIA 2009\CORPORACION ASISTENCIA\RAUL VALDERRAMA.doc", "Abrir Documento")</f>
        <v>0</v>
      </c>
      <c r="D12656" t="s">
        <v>23500</v>
      </c>
      <c r="E12656" t="s">
        <v>35131</v>
      </c>
    </row>
    <row r="12657" spans="1:5">
      <c r="A12657" t="s">
        <v>6</v>
      </c>
      <c r="B12657" t="s">
        <v>12662</v>
      </c>
      <c r="C12657">
        <f>HYPERLINK("C:\Users\franc\OneDrive\Documentos\MALENTIN KARIME\BANCO ESTADO\2012 DEPTO ESCRITURAS fata\NOTARIA 2009\CORPORACION ASISTENCIA\NILO ORTIZ.doc", "Abrir Documento")</f>
        <v>0</v>
      </c>
      <c r="D12657" t="s">
        <v>23500</v>
      </c>
      <c r="E12657" t="s">
        <v>35132</v>
      </c>
    </row>
    <row r="12658" spans="1:5">
      <c r="A12658" t="s">
        <v>6</v>
      </c>
      <c r="B12658" t="s">
        <v>12663</v>
      </c>
      <c r="C12658">
        <f>HYPERLINK("C:\Users\franc\OneDrive\Documentos\MALENTIN KARIME\BANCO ESTADO\2012 DEPTO ESCRITURAS fata\NOTARIA 2009\CORPORACION ASISTENCIA\MANDATO GENERAL ANJELINA.doc", "Abrir Documento")</f>
        <v>0</v>
      </c>
      <c r="D12658" t="s">
        <v>23500</v>
      </c>
      <c r="E12658" t="s">
        <v>35133</v>
      </c>
    </row>
    <row r="12659" spans="1:5">
      <c r="A12659" t="s">
        <v>6</v>
      </c>
      <c r="B12659" t="s">
        <v>12664</v>
      </c>
      <c r="C12659">
        <f>HYPERLINK("C:\Users\franc\OneDrive\Documentos\MALENTIN KARIME\BANCO ESTADO\2012 DEPTO ESCRITURAS fata\NOTARIA 2009\CORPORACION ASISTENCIA\JACQUELINE ZUÑIGA.doc", "Abrir Documento")</f>
        <v>0</v>
      </c>
      <c r="D12659" t="s">
        <v>23500</v>
      </c>
      <c r="E12659" t="s">
        <v>35134</v>
      </c>
    </row>
    <row r="12660" spans="1:5">
      <c r="A12660" t="s">
        <v>6</v>
      </c>
      <c r="B12660" t="s">
        <v>12665</v>
      </c>
      <c r="C12660">
        <f>HYPERLINK("C:\Users\franc\OneDrive\Documentos\MALENTIN KARIME\BANCO ESTADO\2012 DEPTO ESCRITURAS fata\NOTARIA 2009\CORPORACION ASISTENCIA\CRISTIAN ALVAREZ.doc", "Abrir Documento")</f>
        <v>0</v>
      </c>
      <c r="D12660" t="s">
        <v>23500</v>
      </c>
      <c r="E12660" t="s">
        <v>35135</v>
      </c>
    </row>
    <row r="12661" spans="1:5">
      <c r="A12661" t="s">
        <v>6</v>
      </c>
      <c r="B12661" t="s">
        <v>12666</v>
      </c>
      <c r="C12661">
        <f>HYPERLINK("C:\Users\franc\OneDrive\Documentos\MALENTIN KARIME\BANCO ESTADO\2012 DEPTO ESCRITURAS fata\NOTARIA 2009\CORPORACION\WILDO VILLALOBOS MANDATO ESPECIAL.doc", "Abrir Documento")</f>
        <v>0</v>
      </c>
      <c r="D12661" t="s">
        <v>23500</v>
      </c>
      <c r="E12661" t="s">
        <v>35136</v>
      </c>
    </row>
    <row r="12662" spans="1:5">
      <c r="A12662" t="s">
        <v>6</v>
      </c>
      <c r="B12662" t="s">
        <v>12667</v>
      </c>
      <c r="C12662">
        <f>HYPERLINK("C:\Users\franc\OneDrive\Documentos\MALENTIN KARIME\BANCO ESTADO\2012 DEPTO ESCRITURAS fata\NOTARIA 2009\CORPORACION\TRANCITO ROJAS.doc", "Abrir Documento")</f>
        <v>0</v>
      </c>
      <c r="D12662" t="s">
        <v>23500</v>
      </c>
      <c r="E12662" t="s">
        <v>35137</v>
      </c>
    </row>
    <row r="12663" spans="1:5">
      <c r="A12663" t="s">
        <v>6</v>
      </c>
      <c r="B12663" t="s">
        <v>12668</v>
      </c>
      <c r="C12663">
        <f>HYPERLINK("C:\Users\franc\OneDrive\Documentos\MALENTIN KARIME\BANCO ESTADO\2012 DEPTO ESCRITURAS fata\NOTARIA 2009\CORPORACION\MARITZA CORTES.doc", "Abrir Documento")</f>
        <v>0</v>
      </c>
      <c r="D12663" t="s">
        <v>23500</v>
      </c>
      <c r="E12663" t="s">
        <v>35138</v>
      </c>
    </row>
    <row r="12664" spans="1:5">
      <c r="A12664" t="s">
        <v>6</v>
      </c>
      <c r="B12664" t="s">
        <v>12669</v>
      </c>
      <c r="C12664">
        <f>HYPERLINK("C:\Users\franc\OneDrive\Documentos\MALENTIN KARIME\BANCO ESTADO\2012 DEPTO ESCRITURAS fata\NOTARIA 2009\CORPORACION\JULIO ARAYA BENITEZ.doc", "Abrir Documento")</f>
        <v>0</v>
      </c>
      <c r="D12664" t="s">
        <v>23500</v>
      </c>
      <c r="E12664" t="s">
        <v>35139</v>
      </c>
    </row>
    <row r="12665" spans="1:5">
      <c r="A12665" t="s">
        <v>6</v>
      </c>
      <c r="B12665" t="s">
        <v>12670</v>
      </c>
      <c r="C12665">
        <f>HYPERLINK("C:\Users\franc\OneDrive\Documentos\MALENTIN KARIME\BANCO ESTADO\2012 DEPTO ESCRITURAS fata\NOTARIA 2009\CORPBANCA 2006  M CORTES\RECTIFICACION\RIO LIMARI uno.doc", "Abrir Documento")</f>
        <v>0</v>
      </c>
      <c r="D12665" t="s">
        <v>23500</v>
      </c>
      <c r="E12665" t="s">
        <v>35140</v>
      </c>
    </row>
    <row r="12666" spans="1:5">
      <c r="A12666" t="s">
        <v>6</v>
      </c>
      <c r="B12666" t="s">
        <v>12671</v>
      </c>
      <c r="C12666">
        <f>HYPERLINK("C:\Users\franc\OneDrive\Documentos\MALENTIN KARIME\BANCO ESTADO\2012 DEPTO ESCRITURAS fata\NOTARIA 2009\CORPBANCA 2006  M CORTES\RECTIFICACION\RIO LIMARI 2.doc", "Abrir Documento")</f>
        <v>0</v>
      </c>
      <c r="D12666" t="s">
        <v>23500</v>
      </c>
      <c r="E12666" t="s">
        <v>35141</v>
      </c>
    </row>
    <row r="12667" spans="1:5">
      <c r="A12667" t="s">
        <v>6</v>
      </c>
      <c r="B12667" t="s">
        <v>12672</v>
      </c>
      <c r="C12667">
        <f>HYPERLINK("C:\Users\franc\OneDrive\Documentos\MALENTIN KARIME\BANCO ESTADO\2012 DEPTO ESCRITURAS fata\NOTARIA 2009\CORPBANCA 2006  M CORTES\RECTIFICACION\RIO LIMARI  dos.doc", "Abrir Documento")</f>
        <v>0</v>
      </c>
      <c r="D12667" t="s">
        <v>23500</v>
      </c>
      <c r="E12667" t="s">
        <v>35142</v>
      </c>
    </row>
    <row r="12668" spans="1:5">
      <c r="A12668" t="s">
        <v>6</v>
      </c>
      <c r="B12668" t="s">
        <v>12673</v>
      </c>
      <c r="C12668">
        <f>HYPERLINK("C:\Users\franc\OneDrive\Documentos\MALENTIN KARIME\BANCO ESTADO\2012 DEPTO ESCRITURAS fata\NOTARIA 2009\CORPBANCA 2006  M CORTES\RECTIFICACION\ANDRES PIZARRO GARAY (2).doc", "Abrir Documento")</f>
        <v>0</v>
      </c>
      <c r="D12668" t="s">
        <v>23500</v>
      </c>
      <c r="E12668" t="s">
        <v>35143</v>
      </c>
    </row>
    <row r="12669" spans="1:5">
      <c r="A12669" t="s">
        <v>6</v>
      </c>
      <c r="B12669" t="s">
        <v>12674</v>
      </c>
      <c r="C12669">
        <f>HYPERLINK("C:\Users\franc\OneDrive\Documentos\MALENTIN KARIME\BANCO ESTADO\2012 DEPTO ESCRITURAS fata\NOTARIA 2009\CORPBANCA 2006  M CORTES\RECTIFICACION\ANDRES PIZARRO GARAY (1).doc", "Abrir Documento")</f>
        <v>0</v>
      </c>
      <c r="D12669" t="s">
        <v>23500</v>
      </c>
      <c r="E12669" t="s">
        <v>35144</v>
      </c>
    </row>
    <row r="12670" spans="1:5">
      <c r="A12670" t="s">
        <v>6</v>
      </c>
      <c r="B12670" t="s">
        <v>12675</v>
      </c>
      <c r="C12670">
        <f>HYPERLINK("C:\Users\franc\OneDrive\Documentos\MALENTIN KARIME\BANCO ESTADO\2012 DEPTO ESCRITURAS fata\NOTARIA 2009\CORPBANCA 2006  M CORTES\RATIFICA\SOC. CERRO CAMPANARIO EXTRACTO.doc", "Abrir Documento")</f>
        <v>0</v>
      </c>
      <c r="D12670" t="s">
        <v>23500</v>
      </c>
      <c r="E12670" t="s">
        <v>35145</v>
      </c>
    </row>
    <row r="12671" spans="1:5">
      <c r="A12671" t="s">
        <v>6</v>
      </c>
      <c r="B12671" t="s">
        <v>12676</v>
      </c>
      <c r="C12671">
        <f>HYPERLINK("C:\Users\franc\OneDrive\Documentos\MALENTIN KARIME\BANCO ESTADO\2012 DEPTO ESCRITURAS fata\NOTARIA 2009\CORPBANCA 2006  M CORTES\RATIFICA\SOC. CERRO CAMPANARIO EXTRACTO FINAL.doc", "Abrir Documento")</f>
        <v>0</v>
      </c>
      <c r="D12671" t="s">
        <v>23500</v>
      </c>
      <c r="E12671" t="s">
        <v>35146</v>
      </c>
    </row>
    <row r="12672" spans="1:5">
      <c r="A12672" t="s">
        <v>6</v>
      </c>
      <c r="B12672" t="s">
        <v>12677</v>
      </c>
      <c r="C12672">
        <f>HYPERLINK("C:\Users\franc\OneDrive\Documentos\MALENTIN KARIME\BANCO ESTADO\2012 DEPTO ESCRITURAS fata\NOTARIA 2009\CORPBANCA 2006  M CORTES\RATIFICA\SOC. CERRO CAMPANARIO (MANUEL CORTES).doc", "Abrir Documento")</f>
        <v>0</v>
      </c>
      <c r="D12672" t="s">
        <v>23500</v>
      </c>
      <c r="E12672" t="s">
        <v>35147</v>
      </c>
    </row>
    <row r="12673" spans="1:5">
      <c r="A12673" t="s">
        <v>6</v>
      </c>
      <c r="B12673" t="s">
        <v>12678</v>
      </c>
      <c r="C12673">
        <f>HYPERLINK("C:\Users\franc\OneDrive\Documentos\MALENTIN KARIME\BANCO ESTADO\2012 DEPTO ESCRITURAS fata\NOTARIA 2009\CORPBANCA 2006  M CORTES\RATIFICA\SAMUEL BOZO.doc", "Abrir Documento")</f>
        <v>0</v>
      </c>
      <c r="D12673" t="s">
        <v>23500</v>
      </c>
      <c r="E12673" t="s">
        <v>35148</v>
      </c>
    </row>
    <row r="12674" spans="1:5">
      <c r="A12674" t="s">
        <v>6</v>
      </c>
      <c r="B12674" t="s">
        <v>12679</v>
      </c>
      <c r="C12674">
        <f>HYPERLINK("C:\Users\franc\OneDrive\Documentos\MALENTIN KARIME\BANCO ESTADO\2012 DEPTO ESCRITURAS fata\NOTARIA 2009\CORPBANCA 2006  M CORTES\RATIFICA\EXTRACTO SOC[1]. CERRO CAMPANARIO CORREGIDO POR DON MANUEL.doc", "Abrir Documento")</f>
        <v>0</v>
      </c>
      <c r="D12674" t="s">
        <v>23500</v>
      </c>
      <c r="E12674" t="s">
        <v>35149</v>
      </c>
    </row>
    <row r="12675" spans="1:5">
      <c r="A12675" t="s">
        <v>6</v>
      </c>
      <c r="B12675" t="s">
        <v>12680</v>
      </c>
      <c r="C12675">
        <f>HYPERLINK("C:\Users\franc\OneDrive\Documentos\MALENTIN KARIME\BANCO ESTADO\2012 DEPTO ESCRITURAS fata\NOTARIA 2009\CORPBANCA 2006  M CORTES\PRENDAS\Victor Herrera 3.doc", "Abrir Documento")</f>
        <v>0</v>
      </c>
      <c r="D12675" t="s">
        <v>23500</v>
      </c>
      <c r="E12675" t="s">
        <v>35150</v>
      </c>
    </row>
    <row r="12676" spans="1:5">
      <c r="A12676" t="s">
        <v>6</v>
      </c>
      <c r="B12676" t="s">
        <v>12681</v>
      </c>
      <c r="C12676">
        <f>HYPERLINK("C:\Users\franc\OneDrive\Documentos\MALENTIN KARIME\BANCO ESTADO\2012 DEPTO ESCRITURAS fata\NOTARIA 2009\CORPBANCA 2006  M CORTES\PRENDAS\Victor Herrera 3 extracto.doc", "Abrir Documento")</f>
        <v>0</v>
      </c>
      <c r="D12676" t="s">
        <v>23500</v>
      </c>
      <c r="E12676" t="s">
        <v>35151</v>
      </c>
    </row>
    <row r="12677" spans="1:5">
      <c r="A12677" t="s">
        <v>6</v>
      </c>
      <c r="B12677" t="s">
        <v>12682</v>
      </c>
      <c r="C12677">
        <f>HYPERLINK("C:\Users\franc\OneDrive\Documentos\MALENTIN KARIME\BANCO ESTADO\2012 DEPTO ESCRITURAS fata\NOTARIA 2009\CORPBANCA 2006  M CORTES\PRENDAS\Victor Herrera 2.doc", "Abrir Documento")</f>
        <v>0</v>
      </c>
      <c r="D12677" t="s">
        <v>23500</v>
      </c>
      <c r="E12677" t="s">
        <v>35152</v>
      </c>
    </row>
    <row r="12678" spans="1:5">
      <c r="A12678" t="s">
        <v>6</v>
      </c>
      <c r="B12678" t="s">
        <v>12683</v>
      </c>
      <c r="C12678">
        <f>HYPERLINK("C:\Users\franc\OneDrive\Documentos\MALENTIN KARIME\BANCO ESTADO\2012 DEPTO ESCRITURAS fata\NOTARIA 2009\CORPBANCA 2006  M CORTES\PRENDAS\Victor Herrera 2 extracto.doc", "Abrir Documento")</f>
        <v>0</v>
      </c>
      <c r="D12678" t="s">
        <v>23500</v>
      </c>
      <c r="E12678" t="s">
        <v>35153</v>
      </c>
    </row>
    <row r="12679" spans="1:5">
      <c r="A12679" t="s">
        <v>6</v>
      </c>
      <c r="B12679" t="s">
        <v>12684</v>
      </c>
      <c r="C12679">
        <f>HYPERLINK("C:\Users\franc\OneDrive\Documentos\MALENTIN KARIME\BANCO ESTADO\2012 DEPTO ESCRITURAS fata\NOTARIA 2009\CORPBANCA 2006  M CORTES\PRENDAS\Victor Herrera 1.doc", "Abrir Documento")</f>
        <v>0</v>
      </c>
      <c r="D12679" t="s">
        <v>23500</v>
      </c>
      <c r="E12679" t="s">
        <v>35154</v>
      </c>
    </row>
    <row r="12680" spans="1:5">
      <c r="A12680" t="s">
        <v>6</v>
      </c>
      <c r="B12680" t="s">
        <v>12685</v>
      </c>
      <c r="C12680">
        <f>HYPERLINK("C:\Users\franc\OneDrive\Documentos\MALENTIN KARIME\BANCO ESTADO\2012 DEPTO ESCRITURAS fata\NOTARIA 2009\CORPBANCA 2006  M CORTES\PRENDAS\Victor Herrera 1 EXTRACTO.doc", "Abrir Documento")</f>
        <v>0</v>
      </c>
      <c r="D12680" t="s">
        <v>23500</v>
      </c>
      <c r="E12680" t="s">
        <v>35155</v>
      </c>
    </row>
    <row r="12681" spans="1:5">
      <c r="A12681" t="s">
        <v>6</v>
      </c>
      <c r="B12681" t="s">
        <v>12686</v>
      </c>
      <c r="C12681">
        <f>HYPERLINK("C:\Users\franc\OneDrive\Documentos\MALENTIN KARIME\BANCO ESTADO\2012 DEPTO ESCRITURAS fata\NOTARIA 2009\CORPBANCA 2006  M CORTES\PRENDAS\SOCIEDAD LOS PRIMOS.doc", "Abrir Documento")</f>
        <v>0</v>
      </c>
      <c r="D12681" t="s">
        <v>23500</v>
      </c>
      <c r="E12681" t="s">
        <v>35156</v>
      </c>
    </row>
    <row r="12682" spans="1:5">
      <c r="A12682" t="s">
        <v>6</v>
      </c>
      <c r="B12682" t="s">
        <v>12687</v>
      </c>
      <c r="C12682">
        <f>HYPERLINK("C:\Users\franc\OneDrive\Documentos\MALENTIN KARIME\BANCO ESTADO\2012 DEPTO ESCRITURAS fata\NOTARIA 2009\CORPBANCA 2006  M CORTES\PRENDAS\SOC. VINICOLA OCHOTIERRAS LTDA..doc", "Abrir Documento")</f>
        <v>0</v>
      </c>
      <c r="D12682" t="s">
        <v>23500</v>
      </c>
      <c r="E12682" t="s">
        <v>35157</v>
      </c>
    </row>
    <row r="12683" spans="1:5">
      <c r="A12683" t="s">
        <v>6</v>
      </c>
      <c r="B12683" t="s">
        <v>12688</v>
      </c>
      <c r="C12683">
        <f>HYPERLINK("C:\Users\franc\OneDrive\Documentos\MALENTIN KARIME\BANCO ESTADO\2012 DEPTO ESCRITURAS fata\NOTARIA 2009\CORPBANCA 2006  M CORTES\PRENDAS\SOC. VINICOLA OCHOTIERRAS EXTRACTO.doc", "Abrir Documento")</f>
        <v>0</v>
      </c>
      <c r="D12683" t="s">
        <v>23500</v>
      </c>
      <c r="E12683" t="s">
        <v>35158</v>
      </c>
    </row>
    <row r="12684" spans="1:5">
      <c r="A12684" t="s">
        <v>6</v>
      </c>
      <c r="B12684" t="s">
        <v>12689</v>
      </c>
      <c r="C12684">
        <f>HYPERLINK("C:\Users\franc\OneDrive\Documentos\MALENTIN KARIME\BANCO ESTADO\2012 DEPTO ESCRITURAS fata\NOTARIA 2009\CORPBANCA 2006  M CORTES\PRENDAS\SOC. VINICOLA OCHOTIERRAS EXTRACTO (JUNIO 2008).doc", "Abrir Documento")</f>
        <v>0</v>
      </c>
      <c r="D12684" t="s">
        <v>23500</v>
      </c>
      <c r="E12684" t="s">
        <v>35159</v>
      </c>
    </row>
    <row r="12685" spans="1:5">
      <c r="A12685" t="s">
        <v>6</v>
      </c>
      <c r="B12685" t="s">
        <v>12690</v>
      </c>
      <c r="C12685">
        <f>HYPERLINK("C:\Users\franc\OneDrive\Documentos\MALENTIN KARIME\BANCO ESTADO\2012 DEPTO ESCRITURAS fata\NOTARIA 2009\CORPBANCA 2006  M CORTES\PRENDAS\SOC. OCHOTIERRAS (JUNIO 2008).doc", "Abrir Documento")</f>
        <v>0</v>
      </c>
      <c r="D12685" t="s">
        <v>23500</v>
      </c>
      <c r="E12685" t="s">
        <v>35160</v>
      </c>
    </row>
    <row r="12686" spans="1:5">
      <c r="A12686" t="s">
        <v>6</v>
      </c>
      <c r="B12686" t="s">
        <v>12691</v>
      </c>
      <c r="C12686">
        <f>HYPERLINK("C:\Users\franc\OneDrive\Documentos\MALENTIN KARIME\BANCO ESTADO\2012 DEPTO ESCRITURAS fata\NOTARIA 2009\CORPBANCA 2006  M CORTES\PRENDAS\SOC. LOS PRIMOS LTDA. (EXTRACTO).doc", "Abrir Documento")</f>
        <v>0</v>
      </c>
      <c r="D12686" t="s">
        <v>23500</v>
      </c>
      <c r="E12686" t="s">
        <v>35161</v>
      </c>
    </row>
    <row r="12687" spans="1:5">
      <c r="A12687" t="s">
        <v>6</v>
      </c>
      <c r="B12687" t="s">
        <v>12692</v>
      </c>
      <c r="C12687">
        <f>HYPERLINK("C:\Users\franc\OneDrive\Documentos\MALENTIN KARIME\BANCO ESTADO\2012 DEPTO ESCRITURAS fata\NOTARIA 2009\CORPBANCA 2006  M CORTES\PRENDAS\SOC. EXP. RIO RAPEL S.A..doc", "Abrir Documento")</f>
        <v>0</v>
      </c>
      <c r="D12687" t="s">
        <v>23500</v>
      </c>
      <c r="E12687" t="s">
        <v>35162</v>
      </c>
    </row>
    <row r="12688" spans="1:5">
      <c r="A12688" t="s">
        <v>6</v>
      </c>
      <c r="B12688" t="s">
        <v>12693</v>
      </c>
      <c r="C12688">
        <f>HYPERLINK("C:\Users\franc\OneDrive\Documentos\MALENTIN KARIME\BANCO ESTADO\2012 DEPTO ESCRITURAS fata\NOTARIA 2009\CORPBANCA 2006  M CORTES\PRENDAS\SAN JULIAN EXT.doc", "Abrir Documento")</f>
        <v>0</v>
      </c>
      <c r="D12688" t="s">
        <v>23500</v>
      </c>
      <c r="E12688" t="s">
        <v>35163</v>
      </c>
    </row>
    <row r="12689" spans="1:5">
      <c r="A12689" t="s">
        <v>6</v>
      </c>
      <c r="B12689" t="s">
        <v>12694</v>
      </c>
      <c r="C12689">
        <f>HYPERLINK("C:\Users\franc\OneDrive\Documentos\MALENTIN KARIME\BANCO ESTADO\2012 DEPTO ESCRITURAS fata\NOTARIA 2009\CORPBANCA 2006  M CORTES\PRENDAS\ROMERALCILLO EXT.doc", "Abrir Documento")</f>
        <v>0</v>
      </c>
      <c r="D12689" t="s">
        <v>23500</v>
      </c>
      <c r="E12689" t="s">
        <v>35164</v>
      </c>
    </row>
    <row r="12690" spans="1:5">
      <c r="A12690" t="s">
        <v>6</v>
      </c>
      <c r="B12690" t="s">
        <v>12695</v>
      </c>
      <c r="C12690">
        <f>HYPERLINK("C:\Users\franc\OneDrive\Documentos\MALENTIN KARIME\BANCO ESTADO\2012 DEPTO ESCRITURAS fata\NOTARIA 2009\CORPBANCA 2006  M CORTES\PRENDAS\RICARDO ALLENDE SENTIS.doc", "Abrir Documento")</f>
        <v>0</v>
      </c>
      <c r="D12690" t="s">
        <v>23500</v>
      </c>
      <c r="E12690" t="s">
        <v>35165</v>
      </c>
    </row>
    <row r="12691" spans="1:5">
      <c r="A12691" t="s">
        <v>6</v>
      </c>
      <c r="B12691" t="s">
        <v>12696</v>
      </c>
      <c r="C12691">
        <f>HYPERLINK("C:\Users\franc\OneDrive\Documentos\MALENTIN KARIME\BANCO ESTADO\2012 DEPTO ESCRITURAS fata\NOTARIA 2009\CORPBANCA 2006  M CORTES\PRENDAS\RENE MUÑOZ.doc", "Abrir Documento")</f>
        <v>0</v>
      </c>
      <c r="D12691" t="s">
        <v>23500</v>
      </c>
      <c r="E12691" t="s">
        <v>35166</v>
      </c>
    </row>
    <row r="12692" spans="1:5">
      <c r="A12692" t="s">
        <v>6</v>
      </c>
      <c r="B12692" t="s">
        <v>12697</v>
      </c>
      <c r="C12692">
        <f>HYPERLINK("C:\Users\franc\OneDrive\Documentos\MALENTIN KARIME\BANCO ESTADO\2012 DEPTO ESCRITURAS fata\NOTARIA 2009\CORPBANCA 2006  M CORTES\PRENDAS\RENE ALLENDE EXTRACTO.doc", "Abrir Documento")</f>
        <v>0</v>
      </c>
      <c r="D12692" t="s">
        <v>23500</v>
      </c>
      <c r="E12692" t="s">
        <v>35167</v>
      </c>
    </row>
    <row r="12693" spans="1:5">
      <c r="A12693" t="s">
        <v>6</v>
      </c>
      <c r="B12693" t="s">
        <v>12698</v>
      </c>
      <c r="C12693">
        <f>HYPERLINK("C:\Users\franc\OneDrive\Documentos\MALENTIN KARIME\BANCO ESTADO\2012 DEPTO ESCRITURAS fata\NOTARIA 2009\CORPBANCA 2006  M CORTES\PRENDAS\RENA MUÑOZ EXT.doc", "Abrir Documento")</f>
        <v>0</v>
      </c>
      <c r="D12693" t="s">
        <v>23500</v>
      </c>
      <c r="E12693" t="s">
        <v>35168</v>
      </c>
    </row>
    <row r="12694" spans="1:5">
      <c r="A12694" t="s">
        <v>6</v>
      </c>
      <c r="B12694" t="s">
        <v>12699</v>
      </c>
      <c r="C12694">
        <f>HYPERLINK("C:\Users\franc\OneDrive\Documentos\MALENTIN KARIME\BANCO ESTADO\2012 DEPTO ESCRITURAS fata\NOTARIA 2009\CORPBANCA 2006  M CORTES\PRENDAS\PROVIDENCIA EXT.doc", "Abrir Documento")</f>
        <v>0</v>
      </c>
      <c r="D12694" t="s">
        <v>23500</v>
      </c>
      <c r="E12694" t="s">
        <v>35169</v>
      </c>
    </row>
    <row r="12695" spans="1:5">
      <c r="A12695" t="s">
        <v>6</v>
      </c>
      <c r="B12695" t="s">
        <v>12700</v>
      </c>
      <c r="C12695">
        <f>HYPERLINK("C:\Users\franc\OneDrive\Documentos\MALENTIN KARIME\BANCO ESTADO\2012 DEPTO ESCRITURAS fata\NOTARIA 2009\CORPBANCA 2006  M CORTES\PRENDAS\MARIANO DIAZ Y CIA. LTDA..doc", "Abrir Documento")</f>
        <v>0</v>
      </c>
      <c r="D12695" t="s">
        <v>23500</v>
      </c>
      <c r="E12695" t="s">
        <v>35170</v>
      </c>
    </row>
    <row r="12696" spans="1:5">
      <c r="A12696" t="s">
        <v>6</v>
      </c>
      <c r="B12696" t="s">
        <v>12701</v>
      </c>
      <c r="C12696">
        <f>HYPERLINK("C:\Users\franc\OneDrive\Documentos\MALENTIN KARIME\BANCO ESTADO\2012 DEPTO ESCRITURAS fata\NOTARIA 2009\CORPBANCA 2006  M CORTES\PRENDAS\MARIANO DIAZ Y CIA. LTDA. EXTRACTO.doc", "Abrir Documento")</f>
        <v>0</v>
      </c>
      <c r="D12696" t="s">
        <v>23500</v>
      </c>
      <c r="E12696" t="s">
        <v>35171</v>
      </c>
    </row>
    <row r="12697" spans="1:5">
      <c r="A12697" t="s">
        <v>6</v>
      </c>
      <c r="B12697" t="s">
        <v>12702</v>
      </c>
      <c r="C12697">
        <f>HYPERLINK("C:\Users\franc\OneDrive\Documentos\MALENTIN KARIME\BANCO ESTADO\2012 DEPTO ESCRITURAS fata\NOTARIA 2009\CORPBANCA 2006  M CORTES\PRENDAS\MAITEN EXT.doc", "Abrir Documento")</f>
        <v>0</v>
      </c>
      <c r="D12697" t="s">
        <v>23500</v>
      </c>
      <c r="E12697" t="s">
        <v>35172</v>
      </c>
    </row>
    <row r="12698" spans="1:5">
      <c r="A12698" t="s">
        <v>6</v>
      </c>
      <c r="B12698" t="s">
        <v>12703</v>
      </c>
      <c r="C12698">
        <f>HYPERLINK("C:\Users\franc\OneDrive\Documentos\MALENTIN KARIME\BANCO ESTADO\2012 DEPTO ESCRITURAS fata\NOTARIA 2009\CORPBANCA 2006  M CORTES\PRENDAS\JORGE CUELLAR ROJAS.doc", "Abrir Documento")</f>
        <v>0</v>
      </c>
      <c r="D12698" t="s">
        <v>23500</v>
      </c>
      <c r="E12698" t="s">
        <v>35173</v>
      </c>
    </row>
    <row r="12699" spans="1:5">
      <c r="A12699" t="s">
        <v>6</v>
      </c>
      <c r="B12699" t="s">
        <v>12704</v>
      </c>
      <c r="C12699">
        <f>HYPERLINK("C:\Users\franc\OneDrive\Documentos\MALENTIN KARIME\BANCO ESTADO\2012 DEPTO ESCRITURAS fata\NOTARIA 2009\CORPBANCA 2006  M CORTES\PRENDAS\JORGE CUELLAR ROJAS EXTRACTO.doc", "Abrir Documento")</f>
        <v>0</v>
      </c>
      <c r="D12699" t="s">
        <v>23500</v>
      </c>
      <c r="E12699" t="s">
        <v>35174</v>
      </c>
    </row>
    <row r="12700" spans="1:5">
      <c r="A12700" t="s">
        <v>6</v>
      </c>
      <c r="B12700" t="s">
        <v>12705</v>
      </c>
      <c r="C12700">
        <f>HYPERLINK("C:\Users\franc\OneDrive\Documentos\MALENTIN KARIME\BANCO ESTADO\2012 DEPTO ESCRITURAS fata\NOTARIA 2009\CORPBANCA 2006  M CORTES\PRENDAS\JORGE CARVAJAL EXTRACTO.doc", "Abrir Documento")</f>
        <v>0</v>
      </c>
      <c r="D12700" t="s">
        <v>23500</v>
      </c>
      <c r="E12700" t="s">
        <v>35175</v>
      </c>
    </row>
    <row r="12701" spans="1:5">
      <c r="A12701" t="s">
        <v>6</v>
      </c>
      <c r="B12701" t="s">
        <v>12706</v>
      </c>
      <c r="C12701">
        <f>HYPERLINK("C:\Users\franc\OneDrive\Documentos\MALENTIN KARIME\BANCO ESTADO\2012 DEPTO ESCRITURAS fata\NOTARIA 2009\CORPBANCA 2006  M CORTES\PRENDAS\JORGE CARVAJAL CORTES.doc", "Abrir Documento")</f>
        <v>0</v>
      </c>
      <c r="D12701" t="s">
        <v>23500</v>
      </c>
      <c r="E12701" t="s">
        <v>35176</v>
      </c>
    </row>
    <row r="12702" spans="1:5">
      <c r="A12702" t="s">
        <v>6</v>
      </c>
      <c r="B12702" t="s">
        <v>12707</v>
      </c>
      <c r="C12702">
        <f>HYPERLINK("C:\Users\franc\OneDrive\Documentos\MALENTIN KARIME\BANCO ESTADO\2012 DEPTO ESCRITURAS fata\NOTARIA 2009\CORPBANCA 2006  M CORTES\PRENDAS\INVERSIONES TALQUILLA LTDA..doc", "Abrir Documento")</f>
        <v>0</v>
      </c>
      <c r="D12702" t="s">
        <v>23500</v>
      </c>
      <c r="E12702" t="s">
        <v>35177</v>
      </c>
    </row>
    <row r="12703" spans="1:5">
      <c r="A12703" t="s">
        <v>6</v>
      </c>
      <c r="B12703" t="s">
        <v>12708</v>
      </c>
      <c r="C12703">
        <f>HYPERLINK("C:\Users\franc\OneDrive\Documentos\MALENTIN KARIME\BANCO ESTADO\2012 DEPTO ESCRITURAS fata\NOTARIA 2009\CORPBANCA 2006  M CORTES\PRENDAS\INVERSIONES TALQUILLA EXTRACTO.doc", "Abrir Documento")</f>
        <v>0</v>
      </c>
      <c r="D12703" t="s">
        <v>23500</v>
      </c>
      <c r="E12703" t="s">
        <v>35178</v>
      </c>
    </row>
    <row r="12704" spans="1:5">
      <c r="A12704" t="s">
        <v>6</v>
      </c>
      <c r="B12704" t="s">
        <v>12709</v>
      </c>
      <c r="C12704">
        <f>HYPERLINK("C:\Users\franc\OneDrive\Documentos\MALENTIN KARIME\BANCO ESTADO\2012 DEPTO ESCRITURAS fata\NOTARIA 2009\CORPBANCA 2006  M CORTES\PRENDAS\INVERSIONES TALQUILLA (ABRIL 2009).doc", "Abrir Documento")</f>
        <v>0</v>
      </c>
      <c r="D12704" t="s">
        <v>23500</v>
      </c>
      <c r="E12704" t="s">
        <v>35179</v>
      </c>
    </row>
    <row r="12705" spans="1:5">
      <c r="A12705" t="s">
        <v>6</v>
      </c>
      <c r="B12705" t="s">
        <v>12710</v>
      </c>
      <c r="C12705">
        <f>HYPERLINK("C:\Users\franc\OneDrive\Documentos\MALENTIN KARIME\BANCO ESTADO\2012 DEPTO ESCRITURAS fata\NOTARIA 2009\CORPBANCA 2006  M CORTES\PRENDAS\GANADERA LOMA LARGA LTDA..doc", "Abrir Documento")</f>
        <v>0</v>
      </c>
      <c r="D12705" t="s">
        <v>23500</v>
      </c>
      <c r="E12705" t="s">
        <v>35180</v>
      </c>
    </row>
    <row r="12706" spans="1:5">
      <c r="A12706" t="s">
        <v>6</v>
      </c>
      <c r="B12706" t="s">
        <v>12711</v>
      </c>
      <c r="C12706">
        <f>HYPERLINK("C:\Users\franc\OneDrive\Documentos\MALENTIN KARIME\BANCO ESTADO\2012 DEPTO ESCRITURAS fata\NOTARIA 2009\CORPBANCA 2006  M CORTES\PRENDAS\GANADERA LOMA LARGA EXTRACTO.doc", "Abrir Documento")</f>
        <v>0</v>
      </c>
      <c r="D12706" t="s">
        <v>23500</v>
      </c>
      <c r="E12706" t="s">
        <v>35181</v>
      </c>
    </row>
    <row r="12707" spans="1:5">
      <c r="A12707" t="s">
        <v>6</v>
      </c>
      <c r="B12707" t="s">
        <v>12712</v>
      </c>
      <c r="C12707">
        <f>HYPERLINK("C:\Users\franc\OneDrive\Documentos\MALENTIN KARIME\BANCO ESTADO\2012 DEPTO ESCRITURAS fata\NOTARIA 2009\CORPBANCA 2006  M CORTES\PRENDAS\FRIGORIFICO SOTAQUI.doc", "Abrir Documento")</f>
        <v>0</v>
      </c>
      <c r="D12707" t="s">
        <v>23500</v>
      </c>
      <c r="E12707" t="s">
        <v>35182</v>
      </c>
    </row>
    <row r="12708" spans="1:5">
      <c r="A12708" t="s">
        <v>6</v>
      </c>
      <c r="B12708" t="s">
        <v>12713</v>
      </c>
      <c r="C12708">
        <f>HYPERLINK("C:\Users\franc\OneDrive\Documentos\MALENTIN KARIME\BANCO ESTADO\2012 DEPTO ESCRITURAS fata\NOTARIA 2009\CORPBANCA 2006  M CORTES\PRENDAS\FRIGORIFICO SOTAQUI EXTRACO.doc", "Abrir Documento")</f>
        <v>0</v>
      </c>
      <c r="D12708" t="s">
        <v>23500</v>
      </c>
      <c r="E12708" t="s">
        <v>35183</v>
      </c>
    </row>
    <row r="12709" spans="1:5">
      <c r="A12709" t="s">
        <v>6</v>
      </c>
      <c r="B12709" t="s">
        <v>12714</v>
      </c>
      <c r="C12709">
        <f>HYPERLINK("C:\Users\franc\OneDrive\Documentos\MALENTIN KARIME\BANCO ESTADO\2012 DEPTO ESCRITURAS fata\NOTARIA 2009\CORPBANCA 2006  M CORTES\PRENDAS\Doc1.doc", "Abrir Documento")</f>
        <v>0</v>
      </c>
      <c r="D12709" t="s">
        <v>23500</v>
      </c>
      <c r="E12709" t="s">
        <v>35184</v>
      </c>
    </row>
    <row r="12710" spans="1:5">
      <c r="A12710" t="s">
        <v>6</v>
      </c>
      <c r="B12710" t="s">
        <v>12715</v>
      </c>
      <c r="C12710">
        <f>HYPERLINK("C:\Users\franc\OneDrive\Documentos\MALENTIN KARIME\BANCO ESTADO\2012 DEPTO ESCRITURAS fata\NOTARIA 2009\CORPBANCA 2006  M CORTES\PRENDAS\DAVID PERRY EXT.doc", "Abrir Documento")</f>
        <v>0</v>
      </c>
      <c r="D12710" t="s">
        <v>23500</v>
      </c>
      <c r="E12710" t="s">
        <v>35185</v>
      </c>
    </row>
    <row r="12711" spans="1:5">
      <c r="A12711" t="s">
        <v>6</v>
      </c>
      <c r="B12711" t="s">
        <v>12716</v>
      </c>
      <c r="C12711">
        <f>HYPERLINK("C:\Users\franc\OneDrive\Documentos\MALENTIN KARIME\BANCO ESTADO\2012 DEPTO ESCRITURAS fata\NOTARIA 2009\CORPBANCA 2006  M CORTES\PRENDAS\CARTA GASTOS.doc", "Abrir Documento")</f>
        <v>0</v>
      </c>
      <c r="D12711" t="s">
        <v>23500</v>
      </c>
      <c r="E12711" t="s">
        <v>35186</v>
      </c>
    </row>
    <row r="12712" spans="1:5">
      <c r="A12712" t="s">
        <v>6</v>
      </c>
      <c r="B12712" t="s">
        <v>12717</v>
      </c>
      <c r="C12712">
        <f>HYPERLINK("C:\Users\franc\OneDrive\Documentos\MALENTIN KARIME\BANCO ESTADO\2012 DEPTO ESCRITURAS fata\NOTARIA 2009\CORPBANCA 2006  M CORTES\PRENDAS\CAPRIGEN LTDA.doc", "Abrir Documento")</f>
        <v>0</v>
      </c>
      <c r="D12712" t="s">
        <v>23500</v>
      </c>
      <c r="E12712" t="s">
        <v>35187</v>
      </c>
    </row>
    <row r="12713" spans="1:5">
      <c r="A12713" t="s">
        <v>6</v>
      </c>
      <c r="B12713" t="s">
        <v>12718</v>
      </c>
      <c r="C12713">
        <f>HYPERLINK("C:\Users\franc\OneDrive\Documentos\MALENTIN KARIME\BANCO ESTADO\2012 DEPTO ESCRITURAS fata\NOTARIA 2009\CORPBANCA 2006  M CORTES\PRENDAS\CAPRIGEN EXTRACTO.doc", "Abrir Documento")</f>
        <v>0</v>
      </c>
      <c r="D12713" t="s">
        <v>23500</v>
      </c>
      <c r="E12713" t="s">
        <v>35188</v>
      </c>
    </row>
    <row r="12714" spans="1:5">
      <c r="A12714" t="s">
        <v>6</v>
      </c>
      <c r="B12714" t="s">
        <v>12719</v>
      </c>
      <c r="C12714">
        <f>HYPERLINK("C:\Users\franc\OneDrive\Documentos\MALENTIN KARIME\BANCO ESTADO\2012 DEPTO ESCRITURAS fata\NOTARIA 2009\CORPBANCA 2006  M CORTES\PRENDAS\AGRONOBLE S.A..doc", "Abrir Documento")</f>
        <v>0</v>
      </c>
      <c r="D12714" t="s">
        <v>23500</v>
      </c>
      <c r="E12714" t="s">
        <v>35189</v>
      </c>
    </row>
    <row r="12715" spans="1:5">
      <c r="A12715" t="s">
        <v>6</v>
      </c>
      <c r="B12715" t="s">
        <v>12720</v>
      </c>
      <c r="C12715">
        <f>HYPERLINK("C:\Users\franc\OneDrive\Documentos\MALENTIN KARIME\BANCO ESTADO\2012 DEPTO ESCRITURAS fata\NOTARIA 2009\CORPBANCA 2006  M CORTES\PRENDAS\AGRICOLA GONAGRO SR..doc", "Abrir Documento")</f>
        <v>0</v>
      </c>
      <c r="D12715" t="s">
        <v>23500</v>
      </c>
      <c r="E12715" t="s">
        <v>35190</v>
      </c>
    </row>
    <row r="12716" spans="1:5">
      <c r="A12716" t="s">
        <v>6</v>
      </c>
      <c r="B12716" t="s">
        <v>12721</v>
      </c>
      <c r="C12716">
        <f>HYPERLINK("C:\Users\franc\OneDrive\Documentos\MALENTIN KARIME\BANCO ESTADO\2012 DEPTO ESCRITURAS fata\NOTARIA 2009\CORPBANCA 2006  M CORTES\PRENDAS\AGRICOLA GONAGRO EXTRACTO.doc", "Abrir Documento")</f>
        <v>0</v>
      </c>
      <c r="D12716" t="s">
        <v>23500</v>
      </c>
      <c r="E12716" t="s">
        <v>35191</v>
      </c>
    </row>
    <row r="12717" spans="1:5">
      <c r="A12717" t="s">
        <v>6</v>
      </c>
      <c r="B12717" t="s">
        <v>12722</v>
      </c>
      <c r="C12717">
        <f>HYPERLINK("C:\Users\franc\OneDrive\Documentos\MALENTIN KARIME\BANCO ESTADO\2012 DEPTO ESCRITURAS fata\NOTARIA 2009\CORPBANCA 2006  M CORTES\PRENDAS\AGRICOLA CORDILLERA EXTRACTO.doc", "Abrir Documento")</f>
        <v>0</v>
      </c>
      <c r="D12717" t="s">
        <v>23500</v>
      </c>
      <c r="E12717" t="s">
        <v>35192</v>
      </c>
    </row>
    <row r="12718" spans="1:5">
      <c r="A12718" t="s">
        <v>6</v>
      </c>
      <c r="B12718" t="s">
        <v>12723</v>
      </c>
      <c r="C12718">
        <f>HYPERLINK("C:\Users\franc\OneDrive\Documentos\MALENTIN KARIME\BANCO ESTADO\2012 DEPTO ESCRITURAS fata\NOTARIA 2009\CORPBANCA 2006  M CORTES\PRENDAS\AGRICOLA CORDILLERA DE RAPEL.doc", "Abrir Documento")</f>
        <v>0</v>
      </c>
      <c r="D12718" t="s">
        <v>23500</v>
      </c>
      <c r="E12718" t="s">
        <v>35193</v>
      </c>
    </row>
    <row r="12719" spans="1:5">
      <c r="A12719" t="s">
        <v>6</v>
      </c>
      <c r="B12719" t="s">
        <v>12724</v>
      </c>
      <c r="C12719">
        <f>HYPERLINK("C:\Users\franc\OneDrive\Documentos\MALENTIN KARIME\BANCO ESTADO\2012 DEPTO ESCRITURAS fata\NOTARIA 2009\CORPBANCA 2006  M CORTES\PRENDAS\AGRIC. JUAN PABLO - SAN JULIAN.doc", "Abrir Documento")</f>
        <v>0</v>
      </c>
      <c r="D12719" t="s">
        <v>23500</v>
      </c>
      <c r="E12719" t="s">
        <v>35194</v>
      </c>
    </row>
    <row r="12720" spans="1:5">
      <c r="A12720" t="s">
        <v>6</v>
      </c>
      <c r="B12720" t="s">
        <v>12725</v>
      </c>
      <c r="C12720">
        <f>HYPERLINK("C:\Users\franc\OneDrive\Documentos\MALENTIN KARIME\BANCO ESTADO\2012 DEPTO ESCRITURAS fata\NOTARIA 2009\CORPBANCA 2006  M CORTES\PRENDAS\AGRIC. JUAN PABLO - ROMERALCILLO.doc", "Abrir Documento")</f>
        <v>0</v>
      </c>
      <c r="D12720" t="s">
        <v>23500</v>
      </c>
      <c r="E12720" t="s">
        <v>35195</v>
      </c>
    </row>
    <row r="12721" spans="1:5">
      <c r="A12721" t="s">
        <v>6</v>
      </c>
      <c r="B12721" t="s">
        <v>12726</v>
      </c>
      <c r="C12721">
        <f>HYPERLINK("C:\Users\franc\OneDrive\Documentos\MALENTIN KARIME\BANCO ESTADO\2012 DEPTO ESCRITURAS fata\NOTARIA 2009\CORPBANCA 2006  M CORTES\PRENDAS\AGRIC. JUAN PABLO - MAITEN.doc", "Abrir Documento")</f>
        <v>0</v>
      </c>
      <c r="D12721" t="s">
        <v>23500</v>
      </c>
      <c r="E12721" t="s">
        <v>35196</v>
      </c>
    </row>
    <row r="12722" spans="1:5">
      <c r="A12722" t="s">
        <v>6</v>
      </c>
      <c r="B12722" t="s">
        <v>12727</v>
      </c>
      <c r="C12722">
        <f>HYPERLINK("C:\Users\franc\OneDrive\Documentos\MALENTIN KARIME\BANCO ESTADO\2012 DEPTO ESCRITURAS fata\NOTARIA 2009\CORPBANCA 2006  M CORTES\PRENDAS\AGRIC. JUAN PABLO - DAVID PERRY.doc", "Abrir Documento")</f>
        <v>0</v>
      </c>
      <c r="D12722" t="s">
        <v>23500</v>
      </c>
      <c r="E12722" t="s">
        <v>35197</v>
      </c>
    </row>
    <row r="12723" spans="1:5">
      <c r="A12723" t="s">
        <v>6</v>
      </c>
      <c r="B12723" t="s">
        <v>12728</v>
      </c>
      <c r="C12723">
        <f>HYPERLINK("C:\Users\franc\OneDrive\Documentos\MALENTIN KARIME\BANCO ESTADO\2012 DEPTO ESCRITURAS fata\NOTARIA 2009\CORPBANCA 2006  M CORTES\PRENDAS\AGRIC. JUAN PABLO - ALFALFA -PROVI.doc", "Abrir Documento")</f>
        <v>0</v>
      </c>
      <c r="D12723" t="s">
        <v>23500</v>
      </c>
      <c r="E12723" t="s">
        <v>35198</v>
      </c>
    </row>
    <row r="12724" spans="1:5">
      <c r="A12724" t="s">
        <v>6</v>
      </c>
      <c r="B12724" t="s">
        <v>12729</v>
      </c>
      <c r="C12724">
        <f>HYPERLINK("C:\Users\franc\OneDrive\Documentos\MALENTIN KARIME\BANCO ESTADO\2012 DEPTO ESCRITURAS fata\NOTARIA 2009\CORPBANCA 2006  M CORTES\MUTUO E HIPOTECA\WALTER DIAZ   ULTIMA .... FIN.doc", "Abrir Documento")</f>
        <v>0</v>
      </c>
      <c r="D12724" t="s">
        <v>23500</v>
      </c>
      <c r="E12724" t="s">
        <v>35199</v>
      </c>
    </row>
    <row r="12725" spans="1:5">
      <c r="A12725" t="s">
        <v>6</v>
      </c>
      <c r="B12725" t="s">
        <v>12730</v>
      </c>
      <c r="C12725">
        <f>HYPERLINK("C:\Users\franc\OneDrive\Documentos\MALENTIN KARIME\BANCO ESTADO\2012 DEPTO ESCRITURAS fata\NOTARIA 2009\CORPBANCA 2006  M CORTES\MUTUO E HIPOTECA\TOMAS CARVAJAL MORA.doc", "Abrir Documento")</f>
        <v>0</v>
      </c>
      <c r="D12725" t="s">
        <v>23500</v>
      </c>
      <c r="E12725" t="s">
        <v>35200</v>
      </c>
    </row>
    <row r="12726" spans="1:5">
      <c r="A12726" t="s">
        <v>6</v>
      </c>
      <c r="B12726" t="s">
        <v>12731</v>
      </c>
      <c r="C12726">
        <f>HYPERLINK("C:\Users\franc\OneDrive\Documentos\MALENTIN KARIME\BANCO ESTADO\2012 DEPTO ESCRITURAS fata\NOTARIA 2009\CORPBANCA 2006  M CORTES\MUTUO E HIPOTECA\SOC. AGRICOLA CARRIZAL.doc", "Abrir Documento")</f>
        <v>0</v>
      </c>
      <c r="D12726" t="s">
        <v>23500</v>
      </c>
      <c r="E12726" t="s">
        <v>35201</v>
      </c>
    </row>
    <row r="12727" spans="1:5">
      <c r="A12727" t="s">
        <v>6</v>
      </c>
      <c r="B12727" t="s">
        <v>12732</v>
      </c>
      <c r="C12727">
        <f>HYPERLINK("C:\Users\franc\OneDrive\Documentos\MALENTIN KARIME\BANCO ESTADO\2012 DEPTO ESCRITURAS fata\NOTARIA 2009\CORPBANCA 2006  M CORTES\MUTUO E HIPOTECA\SERGIO GALLEGUILLOS ALVAREZ.doc", "Abrir Documento")</f>
        <v>0</v>
      </c>
      <c r="D12727" t="s">
        <v>23500</v>
      </c>
      <c r="E12727" t="s">
        <v>35202</v>
      </c>
    </row>
    <row r="12728" spans="1:5">
      <c r="A12728" t="s">
        <v>6</v>
      </c>
      <c r="B12728" t="s">
        <v>12733</v>
      </c>
      <c r="C12728">
        <f>HYPERLINK("C:\Users\franc\OneDrive\Documentos\MALENTIN KARIME\BANCO ESTADO\2012 DEPTO ESCRITURAS fata\NOTARIA 2009\CORPBANCA 2006  M CORTES\MUTUO E HIPOTECA\SERGIO BOZO LORCA.doc", "Abrir Documento")</f>
        <v>0</v>
      </c>
      <c r="D12728" t="s">
        <v>23500</v>
      </c>
      <c r="E12728" t="s">
        <v>35203</v>
      </c>
    </row>
    <row r="12729" spans="1:5">
      <c r="A12729" t="s">
        <v>6</v>
      </c>
      <c r="B12729" t="s">
        <v>12734</v>
      </c>
      <c r="C12729">
        <f>HYPERLINK("C:\Users\franc\OneDrive\Documentos\MALENTIN KARIME\BANCO ESTADO\2012 DEPTO ESCRITURAS fata\NOTARIA 2009\CORPBANCA 2006  M CORTES\MUTUO E HIPOTECA\ROXANA RIVERA ARABENA.doc", "Abrir Documento")</f>
        <v>0</v>
      </c>
      <c r="D12729" t="s">
        <v>23500</v>
      </c>
      <c r="E12729" t="s">
        <v>35204</v>
      </c>
    </row>
    <row r="12730" spans="1:5">
      <c r="A12730" t="s">
        <v>6</v>
      </c>
      <c r="B12730" t="s">
        <v>12735</v>
      </c>
      <c r="C12730">
        <f>HYPERLINK("C:\Users\franc\OneDrive\Documentos\MALENTIN KARIME\BANCO ESTADO\2012 DEPTO ESCRITURAS fata\NOTARIA 2009\CORPBANCA 2006  M CORTES\MUTUO E HIPOTECA\ROSA LARA AVALOS.doc", "Abrir Documento")</f>
        <v>0</v>
      </c>
      <c r="D12730" t="s">
        <v>23500</v>
      </c>
      <c r="E12730" t="s">
        <v>35205</v>
      </c>
    </row>
    <row r="12731" spans="1:5">
      <c r="A12731" t="s">
        <v>6</v>
      </c>
      <c r="B12731" t="s">
        <v>12736</v>
      </c>
      <c r="C12731">
        <f>HYPERLINK("C:\Users\franc\OneDrive\Documentos\MALENTIN KARIME\BANCO ESTADO\2012 DEPTO ESCRITURAS fata\NOTARIA 2009\CORPBANCA 2006  M CORTES\MUTUO E HIPOTECA\RODRIGO TELLO.doc", "Abrir Documento")</f>
        <v>0</v>
      </c>
      <c r="D12731" t="s">
        <v>23500</v>
      </c>
      <c r="E12731" t="s">
        <v>35206</v>
      </c>
    </row>
    <row r="12732" spans="1:5">
      <c r="A12732" t="s">
        <v>6</v>
      </c>
      <c r="B12732" t="s">
        <v>12737</v>
      </c>
      <c r="C12732">
        <f>HYPERLINK("C:\Users\franc\OneDrive\Documentos\MALENTIN KARIME\BANCO ESTADO\2012 DEPTO ESCRITURAS fata\NOTARIA 2009\CORPBANCA 2006  M CORTES\MUTUO E HIPOTECA\RENE MUÑOZ (ENDOSABLE).doc", "Abrir Documento")</f>
        <v>0</v>
      </c>
      <c r="D12732" t="s">
        <v>23500</v>
      </c>
      <c r="E12732" t="s">
        <v>35207</v>
      </c>
    </row>
    <row r="12733" spans="1:5">
      <c r="A12733" t="s">
        <v>6</v>
      </c>
      <c r="B12733" t="s">
        <v>12738</v>
      </c>
      <c r="C12733">
        <f>HYPERLINK("C:\Users\franc\OneDrive\Documentos\MALENTIN KARIME\BANCO ESTADO\2012 DEPTO ESCRITURAS fata\NOTARIA 2009\CORPBANCA 2006  M CORTES\MUTUO E HIPOTECA\RENE MUÑOZ (COMPLEMENTARIO).doc", "Abrir Documento")</f>
        <v>0</v>
      </c>
      <c r="D12733" t="s">
        <v>23500</v>
      </c>
      <c r="E12733" t="s">
        <v>35208</v>
      </c>
    </row>
    <row r="12734" spans="1:5">
      <c r="A12734" t="s">
        <v>6</v>
      </c>
      <c r="B12734" t="s">
        <v>12739</v>
      </c>
      <c r="C12734">
        <f>HYPERLINK("C:\Users\franc\OneDrive\Documentos\MALENTIN KARIME\BANCO ESTADO\2012 DEPTO ESCRITURAS fata\NOTARIA 2009\CORPBANCA 2006  M CORTES\MUTUO E HIPOTECA\PERSONERIA BCI.doc", "Abrir Documento")</f>
        <v>0</v>
      </c>
      <c r="D12734" t="s">
        <v>23500</v>
      </c>
      <c r="E12734" t="s">
        <v>35209</v>
      </c>
    </row>
    <row r="12735" spans="1:5">
      <c r="A12735" t="s">
        <v>6</v>
      </c>
      <c r="B12735" t="s">
        <v>12740</v>
      </c>
      <c r="C12735">
        <f>HYPERLINK("C:\Users\franc\OneDrive\Documentos\MALENTIN KARIME\BANCO ESTADO\2012 DEPTO ESCRITURAS fata\NOTARIA 2009\CORPBANCA 2006  M CORTES\MUTUO E HIPOTECA\PAULINA GALVEZ LEY 20130.doc", "Abrir Documento")</f>
        <v>0</v>
      </c>
      <c r="D12735" t="s">
        <v>23500</v>
      </c>
      <c r="E12735" t="s">
        <v>35210</v>
      </c>
    </row>
    <row r="12736" spans="1:5">
      <c r="A12736" t="s">
        <v>6</v>
      </c>
      <c r="B12736" t="s">
        <v>12741</v>
      </c>
      <c r="C12736">
        <f>HYPERLINK("C:\Users\franc\OneDrive\Documentos\MALENTIN KARIME\BANCO ESTADO\2012 DEPTO ESCRITURAS fata\NOTARIA 2009\CORPBANCA 2006  M CORTES\MUTUO E HIPOTECA\PAOLA CARVAJAL ENDOSABLE.doc", "Abrir Documento")</f>
        <v>0</v>
      </c>
      <c r="D12736" t="s">
        <v>23500</v>
      </c>
      <c r="E12736" t="s">
        <v>35211</v>
      </c>
    </row>
    <row r="12737" spans="1:5">
      <c r="A12737" t="s">
        <v>6</v>
      </c>
      <c r="B12737" t="s">
        <v>12742</v>
      </c>
      <c r="C12737">
        <f>HYPERLINK("C:\Users\franc\OneDrive\Documentos\MALENTIN KARIME\BANCO ESTADO\2012 DEPTO ESCRITURAS fata\NOTARIA 2009\CORPBANCA 2006  M CORTES\MUTUO E HIPOTECA\OSVALDO MEDINA H. LEY 19840.doc", "Abrir Documento")</f>
        <v>0</v>
      </c>
      <c r="D12737" t="s">
        <v>23500</v>
      </c>
      <c r="E12737" t="s">
        <v>35212</v>
      </c>
    </row>
    <row r="12738" spans="1:5">
      <c r="A12738" t="s">
        <v>6</v>
      </c>
      <c r="B12738" t="s">
        <v>12743</v>
      </c>
      <c r="C12738">
        <f>HYPERLINK("C:\Users\franc\OneDrive\Documentos\MALENTIN KARIME\BANCO ESTADO\2012 DEPTO ESCRITURAS fata\NOTARIA 2009\CORPBANCA 2006  M CORTES\MUTUO E HIPOTECA\OSVALDO MEDINA 1.doc", "Abrir Documento")</f>
        <v>0</v>
      </c>
      <c r="D12738" t="s">
        <v>23500</v>
      </c>
      <c r="E12738" t="s">
        <v>35213</v>
      </c>
    </row>
    <row r="12739" spans="1:5">
      <c r="A12739" t="s">
        <v>6</v>
      </c>
      <c r="B12739" t="s">
        <v>12744</v>
      </c>
      <c r="C12739">
        <f>HYPERLINK("C:\Users\franc\OneDrive\Documentos\MALENTIN KARIME\BANCO ESTADO\2012 DEPTO ESCRITURAS fata\NOTARIA 2009\CORPBANCA 2006  M CORTES\MUTUO E HIPOTECA\ORLANDO SALAS.doc", "Abrir Documento")</f>
        <v>0</v>
      </c>
      <c r="D12739" t="s">
        <v>23500</v>
      </c>
      <c r="E12739" t="s">
        <v>35214</v>
      </c>
    </row>
    <row r="12740" spans="1:5">
      <c r="A12740" t="s">
        <v>6</v>
      </c>
      <c r="B12740" t="s">
        <v>12745</v>
      </c>
      <c r="C12740">
        <f>HYPERLINK("C:\Users\franc\OneDrive\Documentos\MALENTIN KARIME\BANCO ESTADO\2012 DEPTO ESCRITURAS fata\NOTARIA 2009\CORPBANCA 2006  M CORTES\MUTUO E HIPOTECA\NORA VEGA RAMOS.doc", "Abrir Documento")</f>
        <v>0</v>
      </c>
      <c r="D12740" t="s">
        <v>23500</v>
      </c>
      <c r="E12740" t="s">
        <v>35215</v>
      </c>
    </row>
    <row r="12741" spans="1:5">
      <c r="A12741" t="s">
        <v>6</v>
      </c>
      <c r="B12741" t="s">
        <v>12746</v>
      </c>
      <c r="C12741">
        <f>HYPERLINK("C:\Users\franc\OneDrive\Documentos\MALENTIN KARIME\BANCO ESTADO\2012 DEPTO ESCRITURAS fata\NOTARIA 2009\CORPBANCA 2006  M CORTES\MUTUO E HIPOTECA\MARIANO DIAZ Y CIA. LTDA..doc", "Abrir Documento")</f>
        <v>0</v>
      </c>
      <c r="D12741" t="s">
        <v>23500</v>
      </c>
      <c r="E12741" t="s">
        <v>35216</v>
      </c>
    </row>
    <row r="12742" spans="1:5">
      <c r="A12742" t="s">
        <v>6</v>
      </c>
      <c r="B12742" t="s">
        <v>12747</v>
      </c>
      <c r="C12742">
        <f>HYPERLINK("C:\Users\franc\OneDrive\Documentos\MALENTIN KARIME\BANCO ESTADO\2012 DEPTO ESCRITURAS fata\NOTARIA 2009\CORPBANCA 2006  M CORTES\MUTUO E HIPOTECA\MARIA MARTINEZ (ENDOSABLE).doc", "Abrir Documento")</f>
        <v>0</v>
      </c>
      <c r="D12742" t="s">
        <v>23500</v>
      </c>
      <c r="E12742" t="s">
        <v>35217</v>
      </c>
    </row>
    <row r="12743" spans="1:5">
      <c r="A12743" t="s">
        <v>6</v>
      </c>
      <c r="B12743" t="s">
        <v>12748</v>
      </c>
      <c r="C12743">
        <f>HYPERLINK("C:\Users\franc\OneDrive\Documentos\MALENTIN KARIME\BANCO ESTADO\2012 DEPTO ESCRITURAS fata\NOTARIA 2009\CORPBANCA 2006  M CORTES\MUTUO E HIPOTECA\MARIA MARTINEZ (COMPLEMENTARIO).doc", "Abrir Documento")</f>
        <v>0</v>
      </c>
      <c r="D12743" t="s">
        <v>23500</v>
      </c>
      <c r="E12743" t="s">
        <v>35218</v>
      </c>
    </row>
    <row r="12744" spans="1:5">
      <c r="A12744" t="s">
        <v>6</v>
      </c>
      <c r="B12744" t="s">
        <v>12749</v>
      </c>
      <c r="C12744">
        <f>HYPERLINK("C:\Users\franc\OneDrive\Documentos\MALENTIN KARIME\BANCO ESTADO\2012 DEPTO ESCRITURAS fata\NOTARIA 2009\CORPBANCA 2006  M CORTES\MUTUO E HIPOTECA\MARIA ARAYA.doc", "Abrir Documento")</f>
        <v>0</v>
      </c>
      <c r="D12744" t="s">
        <v>23500</v>
      </c>
      <c r="E12744" t="s">
        <v>35219</v>
      </c>
    </row>
    <row r="12745" spans="1:5">
      <c r="A12745" t="s">
        <v>6</v>
      </c>
      <c r="B12745" t="s">
        <v>12750</v>
      </c>
      <c r="C12745">
        <f>HYPERLINK("C:\Users\franc\OneDrive\Documentos\MALENTIN KARIME\BANCO ESTADO\2012 DEPTO ESCRITURAS fata\NOTARIA 2009\CORPBANCA 2006  M CORTES\MUTUO E HIPOTECA\MARCELO CORTES LEY 20130..doc", "Abrir Documento")</f>
        <v>0</v>
      </c>
      <c r="D12745" t="s">
        <v>23500</v>
      </c>
      <c r="E12745" t="s">
        <v>35220</v>
      </c>
    </row>
    <row r="12746" spans="1:5">
      <c r="A12746" t="s">
        <v>6</v>
      </c>
      <c r="B12746" t="s">
        <v>12751</v>
      </c>
      <c r="C12746">
        <f>HYPERLINK("C:\Users\franc\OneDrive\Documentos\MALENTIN KARIME\BANCO ESTADO\2012 DEPTO ESCRITURAS fata\NOTARIA 2009\CORPBANCA 2006  M CORTES\MUTUO E HIPOTECA\MANUEL ZAVALA BRICEÑO MUT HIP FINES GENERALES.doc", "Abrir Documento")</f>
        <v>0</v>
      </c>
      <c r="D12746" t="s">
        <v>23500</v>
      </c>
      <c r="E12746" t="s">
        <v>35221</v>
      </c>
    </row>
    <row r="12747" spans="1:5">
      <c r="A12747" t="s">
        <v>6</v>
      </c>
      <c r="B12747" t="s">
        <v>12752</v>
      </c>
      <c r="C12747">
        <f>HYPERLINK("C:\Users\franc\OneDrive\Documentos\MALENTIN KARIME\BANCO ESTADO\2012 DEPTO ESCRITURAS fata\NOTARIA 2009\CORPBANCA 2006  M CORTES\MUTUO E HIPOTECA\MANUEL ZAVALA  LEY 20.130.doc", "Abrir Documento")</f>
        <v>0</v>
      </c>
      <c r="D12747" t="s">
        <v>23500</v>
      </c>
      <c r="E12747" t="s">
        <v>35222</v>
      </c>
    </row>
    <row r="12748" spans="1:5">
      <c r="A12748" t="s">
        <v>6</v>
      </c>
      <c r="B12748" t="s">
        <v>12753</v>
      </c>
      <c r="C12748">
        <f>HYPERLINK("C:\Users\franc\OneDrive\Documentos\MALENTIN KARIME\BANCO ESTADO\2012 DEPTO ESCRITURAS fata\NOTARIA 2009\CORPBANCA 2006  M CORTES\MUTUO E HIPOTECA\MANDATO SOC. CARRIZAL A ELENA FELLAY.doc", "Abrir Documento")</f>
        <v>0</v>
      </c>
      <c r="D12748" t="s">
        <v>23500</v>
      </c>
      <c r="E12748" t="s">
        <v>35223</v>
      </c>
    </row>
    <row r="12749" spans="1:5">
      <c r="A12749" t="s">
        <v>6</v>
      </c>
      <c r="B12749" t="s">
        <v>12754</v>
      </c>
      <c r="C12749">
        <f>HYPERLINK("C:\Users\franc\OneDrive\Documentos\MALENTIN KARIME\BANCO ESTADO\2012 DEPTO ESCRITURAS fata\NOTARIA 2009\CORPBANCA 2006  M CORTES\MUTUO E HIPOTECA\LUIS JAMEL DIAZ ARAYA.doc", "Abrir Documento")</f>
        <v>0</v>
      </c>
      <c r="D12749" t="s">
        <v>23500</v>
      </c>
      <c r="E12749" t="s">
        <v>35224</v>
      </c>
    </row>
    <row r="12750" spans="1:5">
      <c r="A12750" t="s">
        <v>6</v>
      </c>
      <c r="B12750" t="s">
        <v>12755</v>
      </c>
      <c r="C12750">
        <f>HYPERLINK("C:\Users\franc\OneDrive\Documentos\MALENTIN KARIME\BANCO ESTADO\2012 DEPTO ESCRITURAS fata\NOTARIA 2009\CORPBANCA 2006  M CORTES\MUTUO E HIPOTECA\Lorena Veliz Angel Ley 20130.doc", "Abrir Documento")</f>
        <v>0</v>
      </c>
      <c r="D12750" t="s">
        <v>23500</v>
      </c>
      <c r="E12750" t="s">
        <v>35225</v>
      </c>
    </row>
    <row r="12751" spans="1:5">
      <c r="A12751" t="s">
        <v>6</v>
      </c>
      <c r="B12751" t="s">
        <v>12756</v>
      </c>
      <c r="C12751">
        <f>HYPERLINK("C:\Users\franc\OneDrive\Documentos\MALENTIN KARIME\BANCO ESTADO\2012 DEPTO ESCRITURAS fata\NOTARIA 2009\CORPBANCA 2006  M CORTES\MUTUO E HIPOTECA\JUAN SALINAS LEDEZMA.doc", "Abrir Documento")</f>
        <v>0</v>
      </c>
      <c r="D12751" t="s">
        <v>23500</v>
      </c>
      <c r="E12751" t="s">
        <v>35226</v>
      </c>
    </row>
    <row r="12752" spans="1:5">
      <c r="A12752" t="s">
        <v>6</v>
      </c>
      <c r="B12752" t="s">
        <v>12757</v>
      </c>
      <c r="C12752">
        <f>HYPERLINK("C:\Users\franc\OneDrive\Documentos\MALENTIN KARIME\BANCO ESTADO\2012 DEPTO ESCRITURAS fata\NOTARIA 2009\CORPBANCA 2006  M CORTES\MUTUO E HIPOTECA\JUAN SAAVEDRA ST. 24 (ENDOSABLE).doc", "Abrir Documento")</f>
        <v>0</v>
      </c>
      <c r="D12752" t="s">
        <v>23500</v>
      </c>
      <c r="E12752" t="s">
        <v>35227</v>
      </c>
    </row>
    <row r="12753" spans="1:5">
      <c r="A12753" t="s">
        <v>6</v>
      </c>
      <c r="B12753" t="s">
        <v>12758</v>
      </c>
      <c r="C12753">
        <f>HYPERLINK("C:\Users\franc\OneDrive\Documentos\MALENTIN KARIME\BANCO ESTADO\2012 DEPTO ESCRITURAS fata\NOTARIA 2009\CORPBANCA 2006  M CORTES\MUTUO E HIPOTECA\JUAN SAAVEDRA ST. 20 (ENDOSABLE).doc", "Abrir Documento")</f>
        <v>0</v>
      </c>
      <c r="D12753" t="s">
        <v>23500</v>
      </c>
      <c r="E12753" t="s">
        <v>35228</v>
      </c>
    </row>
    <row r="12754" spans="1:5">
      <c r="A12754" t="s">
        <v>6</v>
      </c>
      <c r="B12754" t="s">
        <v>12759</v>
      </c>
      <c r="C12754">
        <f>HYPERLINK("C:\Users\franc\OneDrive\Documentos\MALENTIN KARIME\BANCO ESTADO\2012 DEPTO ESCRITURAS fata\NOTARIA 2009\CORPBANCA 2006  M CORTES\MUTUO E HIPOTECA\JUAN SAAVEDRA ST. 20  (COMPLEMENTARIO).doc", "Abrir Documento")</f>
        <v>0</v>
      </c>
      <c r="D12754" t="s">
        <v>23500</v>
      </c>
      <c r="E12754" t="s">
        <v>35229</v>
      </c>
    </row>
    <row r="12755" spans="1:5">
      <c r="A12755" t="s">
        <v>6</v>
      </c>
      <c r="B12755" t="s">
        <v>12760</v>
      </c>
      <c r="C12755">
        <f>HYPERLINK("C:\Users\franc\OneDrive\Documentos\MALENTIN KARIME\BANCO ESTADO\2012 DEPTO ESCRITURAS fata\NOTARIA 2009\CORPBANCA 2006  M CORTES\MUTUO E HIPOTECA\JUAN SAAVEDRA ST. 19 (ENDOSABLE).doc", "Abrir Documento")</f>
        <v>0</v>
      </c>
      <c r="D12755" t="s">
        <v>23500</v>
      </c>
      <c r="E12755" t="s">
        <v>35230</v>
      </c>
    </row>
    <row r="12756" spans="1:5">
      <c r="A12756" t="s">
        <v>6</v>
      </c>
      <c r="B12756" t="s">
        <v>12761</v>
      </c>
      <c r="C12756">
        <f>HYPERLINK("C:\Users\franc\OneDrive\Documentos\MALENTIN KARIME\BANCO ESTADO\2012 DEPTO ESCRITURAS fata\NOTARIA 2009\CORPBANCA 2006  M CORTES\MUTUO E HIPOTECA\JUAN SAAVEDRA ST. 19 (COMPLEMENTARIO).doc", "Abrir Documento")</f>
        <v>0</v>
      </c>
      <c r="D12756" t="s">
        <v>23500</v>
      </c>
      <c r="E12756" t="s">
        <v>35231</v>
      </c>
    </row>
    <row r="12757" spans="1:5">
      <c r="A12757" t="s">
        <v>6</v>
      </c>
      <c r="B12757" t="s">
        <v>12762</v>
      </c>
      <c r="C12757">
        <f>HYPERLINK("C:\Users\franc\OneDrive\Documentos\MALENTIN KARIME\BANCO ESTADO\2012 DEPTO ESCRITURAS fata\NOTARIA 2009\CORPBANCA 2006  M CORTES\MUTUO E HIPOTECA\JUAN PROHENS (ENDOSABLE).doc", "Abrir Documento")</f>
        <v>0</v>
      </c>
      <c r="D12757" t="s">
        <v>23500</v>
      </c>
      <c r="E12757" t="s">
        <v>35232</v>
      </c>
    </row>
    <row r="12758" spans="1:5">
      <c r="A12758" t="s">
        <v>6</v>
      </c>
      <c r="B12758" t="s">
        <v>12763</v>
      </c>
      <c r="C12758">
        <f>HYPERLINK("C:\Users\franc\OneDrive\Documentos\MALENTIN KARIME\BANCO ESTADO\2012 DEPTO ESCRITURAS fata\NOTARIA 2009\CORPBANCA 2006  M CORTES\MUTUO E HIPOTECA\JUAN PROHENS (COMPLEMENTARIO).doc", "Abrir Documento")</f>
        <v>0</v>
      </c>
      <c r="D12758" t="s">
        <v>23500</v>
      </c>
      <c r="E12758" t="s">
        <v>35233</v>
      </c>
    </row>
    <row r="12759" spans="1:5">
      <c r="A12759" t="s">
        <v>6</v>
      </c>
      <c r="B12759" t="s">
        <v>12764</v>
      </c>
      <c r="C12759">
        <f>HYPERLINK("C:\Users\franc\OneDrive\Documentos\MALENTIN KARIME\BANCO ESTADO\2012 DEPTO ESCRITURAS fata\NOTARIA 2009\CORPBANCA 2006  M CORTES\MUTUO E HIPOTECA\JUAN GRACIA MUTUO E HIPOTECA LEY 19840.doc", "Abrir Documento")</f>
        <v>0</v>
      </c>
      <c r="D12759" t="s">
        <v>23500</v>
      </c>
      <c r="E12759" t="s">
        <v>35234</v>
      </c>
    </row>
    <row r="12760" spans="1:5">
      <c r="A12760" t="s">
        <v>6</v>
      </c>
      <c r="B12760" t="s">
        <v>12765</v>
      </c>
      <c r="C12760">
        <f>HYPERLINK("C:\Users\franc\OneDrive\Documentos\MALENTIN KARIME\BANCO ESTADO\2012 DEPTO ESCRITURAS fata\NOTARIA 2009\CORPBANCA 2006  M CORTES\MUTUO E HIPOTECA\JORGE ROJAS Y SU PAPA.doc", "Abrir Documento")</f>
        <v>0</v>
      </c>
      <c r="D12760" t="s">
        <v>23500</v>
      </c>
      <c r="E12760" t="s">
        <v>35235</v>
      </c>
    </row>
    <row r="12761" spans="1:5">
      <c r="A12761" t="s">
        <v>6</v>
      </c>
      <c r="B12761" t="s">
        <v>12766</v>
      </c>
      <c r="C12761">
        <f>HYPERLINK("C:\Users\franc\OneDrive\Documentos\MALENTIN KARIME\BANCO ESTADO\2012 DEPTO ESCRITURAS fata\NOTARIA 2009\CORPBANCA 2006  M CORTES\MUTUO E HIPOTECA\JOCELYN RAMIREZ - ENDOSABLE.doc", "Abrir Documento")</f>
        <v>0</v>
      </c>
      <c r="D12761" t="s">
        <v>23500</v>
      </c>
      <c r="E12761" t="s">
        <v>35236</v>
      </c>
    </row>
    <row r="12762" spans="1:5">
      <c r="A12762" t="s">
        <v>6</v>
      </c>
      <c r="B12762" t="s">
        <v>12767</v>
      </c>
      <c r="C12762">
        <f>HYPERLINK("C:\Users\franc\OneDrive\Documentos\MALENTIN KARIME\BANCO ESTADO\2012 DEPTO ESCRITURAS fata\NOTARIA 2009\CORPBANCA 2006  M CORTES\MUTUO E HIPOTECA\JOCELYN RAMIREZ - COMPLEMENTARIO.doc", "Abrir Documento")</f>
        <v>0</v>
      </c>
      <c r="D12762" t="s">
        <v>23500</v>
      </c>
      <c r="E12762" t="s">
        <v>35237</v>
      </c>
    </row>
    <row r="12763" spans="1:5">
      <c r="A12763" t="s">
        <v>6</v>
      </c>
      <c r="B12763" t="s">
        <v>12768</v>
      </c>
      <c r="C12763">
        <f>HYPERLINK("C:\Users\franc\OneDrive\Documentos\MALENTIN KARIME\BANCO ESTADO\2012 DEPTO ESCRITURAS fata\NOTARIA 2009\CORPBANCA 2006  M CORTES\MUTUO E HIPOTECA\JESSICA MILLAN A CORPBANCA.doc", "Abrir Documento")</f>
        <v>0</v>
      </c>
      <c r="D12763" t="s">
        <v>23500</v>
      </c>
      <c r="E12763" t="s">
        <v>35238</v>
      </c>
    </row>
    <row r="12764" spans="1:5">
      <c r="A12764" t="s">
        <v>6</v>
      </c>
      <c r="B12764" t="s">
        <v>12769</v>
      </c>
      <c r="C12764">
        <f>HYPERLINK("C:\Users\franc\OneDrive\Documentos\MALENTIN KARIME\BANCO ESTADO\2012 DEPTO ESCRITURAS fata\NOTARIA 2009\CORPBANCA 2006  M CORTES\MUTUO E HIPOTECA\ITALO CONTRERAS LEY 20.130.doc", "Abrir Documento")</f>
        <v>0</v>
      </c>
      <c r="D12764" t="s">
        <v>23500</v>
      </c>
      <c r="E12764" t="s">
        <v>35239</v>
      </c>
    </row>
    <row r="12765" spans="1:5">
      <c r="A12765" t="s">
        <v>6</v>
      </c>
      <c r="B12765" t="s">
        <v>12770</v>
      </c>
      <c r="C12765">
        <f>HYPERLINK("C:\Users\franc\OneDrive\Documentos\MALENTIN KARIME\BANCO ESTADO\2012 DEPTO ESCRITURAS fata\NOTARIA 2009\CORPBANCA 2006  M CORTES\MUTUO E HIPOTECA\HUGO PATRICIO LAGUNAS (ENDOSABLE).doc", "Abrir Documento")</f>
        <v>0</v>
      </c>
      <c r="D12765" t="s">
        <v>23500</v>
      </c>
      <c r="E12765" t="s">
        <v>35240</v>
      </c>
    </row>
    <row r="12766" spans="1:5">
      <c r="A12766" t="s">
        <v>6</v>
      </c>
      <c r="B12766" t="s">
        <v>12771</v>
      </c>
      <c r="C12766">
        <f>HYPERLINK("C:\Users\franc\OneDrive\Documentos\MALENTIN KARIME\BANCO ESTADO\2012 DEPTO ESCRITURAS fata\NOTARIA 2009\CORPBANCA 2006  M CORTES\MUTUO E HIPOTECA\HUGO PATRICIO LAGUNAS (COMPLEMENTARIO).doc", "Abrir Documento")</f>
        <v>0</v>
      </c>
      <c r="D12766" t="s">
        <v>23500</v>
      </c>
      <c r="E12766" t="s">
        <v>35241</v>
      </c>
    </row>
    <row r="12767" spans="1:5">
      <c r="A12767" t="s">
        <v>6</v>
      </c>
      <c r="B12767" t="s">
        <v>12772</v>
      </c>
      <c r="C12767">
        <f>HYPERLINK("C:\Users\franc\OneDrive\Documentos\MALENTIN KARIME\BANCO ESTADO\2012 DEPTO ESCRITURAS fata\NOTARIA 2009\CORPBANCA 2006  M CORTES\MUTUO E HIPOTECA\HERNAN ZAMORANO.doc", "Abrir Documento")</f>
        <v>0</v>
      </c>
      <c r="D12767" t="s">
        <v>23500</v>
      </c>
      <c r="E12767" t="s">
        <v>35242</v>
      </c>
    </row>
    <row r="12768" spans="1:5">
      <c r="A12768" t="s">
        <v>6</v>
      </c>
      <c r="B12768" t="s">
        <v>12773</v>
      </c>
      <c r="C12768">
        <f>HYPERLINK("C:\Users\franc\OneDrive\Documentos\MALENTIN KARIME\BANCO ESTADO\2012 DEPTO ESCRITURAS fata\NOTARIA 2009\CORPBANCA 2006  M CORTES\MUTUO E HIPOTECA\HECTOR GUZMAN ENDOSABLE.doc", "Abrir Documento")</f>
        <v>0</v>
      </c>
      <c r="D12768" t="s">
        <v>23500</v>
      </c>
      <c r="E12768" t="s">
        <v>35243</v>
      </c>
    </row>
    <row r="12769" spans="1:5">
      <c r="A12769" t="s">
        <v>6</v>
      </c>
      <c r="B12769" t="s">
        <v>12774</v>
      </c>
      <c r="C12769">
        <f>HYPERLINK("C:\Users\franc\OneDrive\Documentos\MALENTIN KARIME\BANCO ESTADO\2012 DEPTO ESCRITURAS fata\NOTARIA 2009\CORPBANCA 2006  M CORTES\MUTUO E HIPOTECA\HECTOR GUZMAN - COMPLEMENTARIO.doc", "Abrir Documento")</f>
        <v>0</v>
      </c>
      <c r="D12769" t="s">
        <v>23500</v>
      </c>
      <c r="E12769" t="s">
        <v>35244</v>
      </c>
    </row>
    <row r="12770" spans="1:5">
      <c r="A12770" t="s">
        <v>6</v>
      </c>
      <c r="B12770" t="s">
        <v>12775</v>
      </c>
      <c r="C12770">
        <f>HYPERLINK("C:\Users\franc\OneDrive\Documentos\MALENTIN KARIME\BANCO ESTADO\2012 DEPTO ESCRITURAS fata\NOTARIA 2009\CORPBANCA 2006  M CORTES\MUTUO E HIPOTECA\GUILLERMO ROJAS.LEY 20130.CORREGIDA.doc", "Abrir Documento")</f>
        <v>0</v>
      </c>
      <c r="D12770" t="s">
        <v>23500</v>
      </c>
      <c r="E12770" t="s">
        <v>35245</v>
      </c>
    </row>
    <row r="12771" spans="1:5">
      <c r="A12771" t="s">
        <v>6</v>
      </c>
      <c r="B12771" t="s">
        <v>12776</v>
      </c>
      <c r="C12771">
        <f>HYPERLINK("C:\Users\franc\OneDrive\Documentos\MALENTIN KARIME\BANCO ESTADO\2012 DEPTO ESCRITURAS fata\NOTARIA 2009\CORPBANCA 2006  M CORTES\MUTUO E HIPOTECA\GUILLERMO ROJAS.doc", "Abrir Documento")</f>
        <v>0</v>
      </c>
      <c r="D12771" t="s">
        <v>23500</v>
      </c>
      <c r="E12771" t="s">
        <v>35246</v>
      </c>
    </row>
    <row r="12772" spans="1:5">
      <c r="A12772" t="s">
        <v>6</v>
      </c>
      <c r="B12772" t="s">
        <v>12777</v>
      </c>
      <c r="C12772">
        <f>HYPERLINK("C:\Users\franc\OneDrive\Documentos\MALENTIN KARIME\BANCO ESTADO\2012 DEPTO ESCRITURAS fata\NOTARIA 2009\CORPBANCA 2006  M CORTES\MUTUO E HIPOTECA\FABIO VALERI A CORPBANCA.doc", "Abrir Documento")</f>
        <v>0</v>
      </c>
      <c r="D12772" t="s">
        <v>23500</v>
      </c>
      <c r="E12772" t="s">
        <v>35247</v>
      </c>
    </row>
    <row r="12773" spans="1:5">
      <c r="A12773" t="s">
        <v>6</v>
      </c>
      <c r="B12773" t="s">
        <v>12778</v>
      </c>
      <c r="C12773">
        <f>HYPERLINK("C:\Users\franc\OneDrive\Documentos\MALENTIN KARIME\BANCO ESTADO\2012 DEPTO ESCRITURAS fata\NOTARIA 2009\CORPBANCA 2006  M CORTES\MUTUO E HIPOTECA\ESTELA SANCHEZ ZAMORANO (KARIME).doc", "Abrir Documento")</f>
        <v>0</v>
      </c>
      <c r="D12773" t="s">
        <v>23500</v>
      </c>
      <c r="E12773" t="s">
        <v>35248</v>
      </c>
    </row>
    <row r="12774" spans="1:5">
      <c r="A12774" t="s">
        <v>6</v>
      </c>
      <c r="B12774" t="s">
        <v>12779</v>
      </c>
      <c r="C12774">
        <f>HYPERLINK("C:\Users\franc\OneDrive\Documentos\MALENTIN KARIME\BANCO ESTADO\2012 DEPTO ESCRITURAS fata\NOTARIA 2009\CORPBANCA 2006  M CORTES\MUTUO E HIPOTECA\ERNESTO FELIPE HANG.doc", "Abrir Documento")</f>
        <v>0</v>
      </c>
      <c r="D12774" t="s">
        <v>23500</v>
      </c>
      <c r="E12774" t="s">
        <v>35249</v>
      </c>
    </row>
    <row r="12775" spans="1:5">
      <c r="A12775" t="s">
        <v>6</v>
      </c>
      <c r="B12775" t="s">
        <v>12780</v>
      </c>
      <c r="C12775">
        <f>HYPERLINK("C:\Users\franc\OneDrive\Documentos\MALENTIN KARIME\BANCO ESTADO\2012 DEPTO ESCRITURAS fata\NOTARIA 2009\CORPBANCA 2006  M CORTES\MUTUO E HIPOTECA\ERNESTO CONTRERAS FLORES.doc", "Abrir Documento")</f>
        <v>0</v>
      </c>
      <c r="D12775" t="s">
        <v>23500</v>
      </c>
      <c r="E12775" t="s">
        <v>35250</v>
      </c>
    </row>
    <row r="12776" spans="1:5">
      <c r="A12776" t="s">
        <v>6</v>
      </c>
      <c r="B12776" t="s">
        <v>12781</v>
      </c>
      <c r="C12776">
        <f>HYPERLINK("C:\Users\franc\OneDrive\Documentos\MALENTIN KARIME\BANCO ESTADO\2012 DEPTO ESCRITURAS fata\NOTARIA 2009\CORPBANCA 2006  M CORTES\MUTUO E HIPOTECA\ELIZABETH ZARATE.doc", "Abrir Documento")</f>
        <v>0</v>
      </c>
      <c r="D12776" t="s">
        <v>23500</v>
      </c>
      <c r="E12776" t="s">
        <v>35251</v>
      </c>
    </row>
    <row r="12777" spans="1:5">
      <c r="A12777" t="s">
        <v>6</v>
      </c>
      <c r="B12777" t="s">
        <v>12782</v>
      </c>
      <c r="C12777">
        <f>HYPERLINK("C:\Users\franc\OneDrive\Documentos\MALENTIN KARIME\BANCO ESTADO\2012 DEPTO ESCRITURAS fata\NOTARIA 2009\CORPBANCA 2006  M CORTES\MUTUO E HIPOTECA\ELIAS ROJAS CONTADOR.doc", "Abrir Documento")</f>
        <v>0</v>
      </c>
      <c r="D12777" t="s">
        <v>23500</v>
      </c>
      <c r="E12777" t="s">
        <v>35252</v>
      </c>
    </row>
    <row r="12778" spans="1:5">
      <c r="A12778" t="s">
        <v>6</v>
      </c>
      <c r="B12778" t="s">
        <v>12783</v>
      </c>
      <c r="C12778">
        <f>HYPERLINK("C:\Users\franc\OneDrive\Documentos\MALENTIN KARIME\BANCO ESTADO\2012 DEPTO ESCRITURAS fata\NOTARIA 2009\CORPBANCA 2006  M CORTES\MUTUO E HIPOTECA\EDGARDO GOMEZ (ENDOSABLE).doc", "Abrir Documento")</f>
        <v>0</v>
      </c>
      <c r="D12778" t="s">
        <v>23500</v>
      </c>
      <c r="E12778" t="s">
        <v>35253</v>
      </c>
    </row>
    <row r="12779" spans="1:5">
      <c r="A12779" t="s">
        <v>6</v>
      </c>
      <c r="B12779" t="s">
        <v>12784</v>
      </c>
      <c r="C12779">
        <f>HYPERLINK("C:\Users\franc\OneDrive\Documentos\MALENTIN KARIME\BANCO ESTADO\2012 DEPTO ESCRITURAS fata\NOTARIA 2009\CORPBANCA 2006  M CORTES\MUTUO E HIPOTECA\EDGARDO GOMEZ (COMPLEMENTARIO).doc", "Abrir Documento")</f>
        <v>0</v>
      </c>
      <c r="D12779" t="s">
        <v>23500</v>
      </c>
      <c r="E12779" t="s">
        <v>35254</v>
      </c>
    </row>
    <row r="12780" spans="1:5">
      <c r="A12780" t="s">
        <v>6</v>
      </c>
      <c r="B12780" t="s">
        <v>12785</v>
      </c>
      <c r="C12780">
        <f>HYPERLINK("C:\Users\franc\OneDrive\Documentos\MALENTIN KARIME\BANCO ESTADO\2012 DEPTO ESCRITURAS fata\NOTARIA 2009\CORPBANCA 2006  M CORTES\MUTUO E HIPOTECA\DIEGO GONZALEZ - INV. STA. BARBARA.doc", "Abrir Documento")</f>
        <v>0</v>
      </c>
      <c r="D12780" t="s">
        <v>23500</v>
      </c>
      <c r="E12780" t="s">
        <v>35255</v>
      </c>
    </row>
    <row r="12781" spans="1:5">
      <c r="A12781" t="s">
        <v>6</v>
      </c>
      <c r="B12781" t="s">
        <v>12786</v>
      </c>
      <c r="C12781">
        <f>HYPERLINK("C:\Users\franc\OneDrive\Documentos\MALENTIN KARIME\BANCO ESTADO\2012 DEPTO ESCRITURAS fata\NOTARIA 2009\CORPBANCA 2006  M CORTES\MUTUO E HIPOTECA\COMERCIAL IFMAN FOTO LIMITADA.doc", "Abrir Documento")</f>
        <v>0</v>
      </c>
      <c r="D12781" t="s">
        <v>23500</v>
      </c>
      <c r="E12781" t="s">
        <v>35256</v>
      </c>
    </row>
    <row r="12782" spans="1:5">
      <c r="A12782" t="s">
        <v>6</v>
      </c>
      <c r="B12782" t="s">
        <v>12787</v>
      </c>
      <c r="C12782">
        <f>HYPERLINK("C:\Users\franc\OneDrive\Documentos\MALENTIN KARIME\BANCO ESTADO\2012 DEPTO ESCRITURAS fata\NOTARIA 2009\CORPBANCA 2006  M CORTES\MUTUO E HIPOTECA\CIPRIANO MIRANDA.doc", "Abrir Documento")</f>
        <v>0</v>
      </c>
      <c r="D12782" t="s">
        <v>23500</v>
      </c>
      <c r="E12782" t="s">
        <v>35257</v>
      </c>
    </row>
    <row r="12783" spans="1:5">
      <c r="A12783" t="s">
        <v>6</v>
      </c>
      <c r="B12783" t="s">
        <v>12788</v>
      </c>
      <c r="C12783">
        <f>HYPERLINK("C:\Users\franc\OneDrive\Documentos\MALENTIN KARIME\BANCO ESTADO\2012 DEPTO ESCRITURAS fata\NOTARIA 2009\CORPBANCA 2006  M CORTES\MUTUO E HIPOTECA\CIPRIANO MIRANDA LEY 19840.doc", "Abrir Documento")</f>
        <v>0</v>
      </c>
      <c r="D12783" t="s">
        <v>23500</v>
      </c>
      <c r="E12783" t="s">
        <v>35258</v>
      </c>
    </row>
    <row r="12784" spans="1:5">
      <c r="A12784" t="s">
        <v>6</v>
      </c>
      <c r="B12784" t="s">
        <v>12789</v>
      </c>
      <c r="C12784">
        <f>HYPERLINK("C:\Users\franc\OneDrive\Documentos\MALENTIN KARIME\BANCO ESTADO\2012 DEPTO ESCRITURAS fata\NOTARIA 2009\CORPBANCA 2006  M CORTES\MUTUO E HIPOTECA\CIPRIANO MIRANDA FINAL.doc", "Abrir Documento")</f>
        <v>0</v>
      </c>
      <c r="D12784" t="s">
        <v>23500</v>
      </c>
      <c r="E12784" t="s">
        <v>35259</v>
      </c>
    </row>
    <row r="12785" spans="1:5">
      <c r="A12785" t="s">
        <v>6</v>
      </c>
      <c r="B12785" t="s">
        <v>12790</v>
      </c>
      <c r="C12785">
        <f>HYPERLINK("C:\Users\franc\OneDrive\Documentos\MALENTIN KARIME\BANCO ESTADO\2012 DEPTO ESCRITURAS fata\NOTARIA 2009\CORPBANCA 2006  M CORTES\MUTUO E HIPOTECA\CHRISTIAN CASTILLO.doc", "Abrir Documento")</f>
        <v>0</v>
      </c>
      <c r="D12785" t="s">
        <v>23500</v>
      </c>
      <c r="E12785" t="s">
        <v>35260</v>
      </c>
    </row>
    <row r="12786" spans="1:5">
      <c r="A12786" t="s">
        <v>6</v>
      </c>
      <c r="B12786" t="s">
        <v>12791</v>
      </c>
      <c r="C12786">
        <f>HYPERLINK("C:\Users\franc\OneDrive\Documentos\MALENTIN KARIME\BANCO ESTADO\2012 DEPTO ESCRITURAS fata\NOTARIA 2009\CORPBANCA 2006  M CORTES\MUTUO E HIPOTECA\CARLOS BUGUEÑO.doc", "Abrir Documento")</f>
        <v>0</v>
      </c>
      <c r="D12786" t="s">
        <v>23500</v>
      </c>
      <c r="E12786" t="s">
        <v>35261</v>
      </c>
    </row>
    <row r="12787" spans="1:5">
      <c r="A12787" t="s">
        <v>6</v>
      </c>
      <c r="B12787" t="s">
        <v>12792</v>
      </c>
      <c r="C12787">
        <f>HYPERLINK("C:\Users\franc\OneDrive\Documentos\MALENTIN KARIME\BANCO ESTADO\2012 DEPTO ESCRITURAS fata\NOTARIA 2009\CORPBANCA 2006  M CORTES\MUTUO E HIPOTECA\BARBARA ALVAREZ CONTRERAS.doc", "Abrir Documento")</f>
        <v>0</v>
      </c>
      <c r="D12787" t="s">
        <v>23500</v>
      </c>
      <c r="E12787" t="s">
        <v>35262</v>
      </c>
    </row>
    <row r="12788" spans="1:5">
      <c r="A12788" t="s">
        <v>6</v>
      </c>
      <c r="B12788" t="s">
        <v>12793</v>
      </c>
      <c r="C12788">
        <f>HYPERLINK("C:\Users\franc\OneDrive\Documentos\MALENTIN KARIME\BANCO ESTADO\2012 DEPTO ESCRITURAS fata\NOTARIA 2009\CORPBANCA 2006  M CORTES\MUTUO E HIPOTECA\ANGELICA ROJAS (ENDOSABLE9.doc", "Abrir Documento")</f>
        <v>0</v>
      </c>
      <c r="D12788" t="s">
        <v>23500</v>
      </c>
      <c r="E12788" t="s">
        <v>35263</v>
      </c>
    </row>
    <row r="12789" spans="1:5">
      <c r="A12789" t="s">
        <v>6</v>
      </c>
      <c r="B12789" t="s">
        <v>12794</v>
      </c>
      <c r="C12789">
        <f>HYPERLINK("C:\Users\franc\OneDrive\Documentos\MALENTIN KARIME\BANCO ESTADO\2012 DEPTO ESCRITURAS fata\NOTARIA 2009\CORPBANCA 2006  M CORTES\MUTUO E HIPOTECA\ANGELICA ROJAS (ENDOSABLE9 CON AGENTE ANDREA COSTAG.doc", "Abrir Documento")</f>
        <v>0</v>
      </c>
      <c r="D12789" t="s">
        <v>23500</v>
      </c>
      <c r="E12789" t="s">
        <v>35264</v>
      </c>
    </row>
    <row r="12790" spans="1:5">
      <c r="A12790" t="s">
        <v>6</v>
      </c>
      <c r="B12790" t="s">
        <v>12795</v>
      </c>
      <c r="C12790">
        <f>HYPERLINK("C:\Users\franc\OneDrive\Documentos\MALENTIN KARIME\BANCO ESTADO\2012 DEPTO ESCRITURAS fata\NOTARIA 2009\CORPBANCA 2006  M CORTES\MUTUO E HIPOTECA\ANGELICA ROJAS (COMPLEMENTARIO).doc", "Abrir Documento")</f>
        <v>0</v>
      </c>
      <c r="D12790" t="s">
        <v>23500</v>
      </c>
      <c r="E12790" t="s">
        <v>35265</v>
      </c>
    </row>
    <row r="12791" spans="1:5">
      <c r="A12791" t="s">
        <v>6</v>
      </c>
      <c r="B12791" t="s">
        <v>12796</v>
      </c>
      <c r="C12791">
        <f>HYPERLINK("C:\Users\franc\OneDrive\Documentos\MALENTIN KARIME\BANCO ESTADO\2012 DEPTO ESCRITURAS fata\NOTARIA 2009\CORPBANCA 2006  M CORTES\MUTUO E HIPOTECA\ANDRES GUZMAN FINES GENERALES.doc", "Abrir Documento")</f>
        <v>0</v>
      </c>
      <c r="D12791" t="s">
        <v>23500</v>
      </c>
      <c r="E12791" t="s">
        <v>35266</v>
      </c>
    </row>
    <row r="12792" spans="1:5">
      <c r="A12792" t="s">
        <v>6</v>
      </c>
      <c r="B12792" t="s">
        <v>12797</v>
      </c>
      <c r="C12792">
        <f>HYPERLINK("C:\Users\franc\OneDrive\Documentos\MALENTIN KARIME\BANCO ESTADO\2012 DEPTO ESCRITURAS fata\NOTARIA 2009\CORPBANCA 2006  M CORTES\MUTUO E HIPOTECA\ANA MARIA ORTEGA.doc", "Abrir Documento")</f>
        <v>0</v>
      </c>
      <c r="D12792" t="s">
        <v>23500</v>
      </c>
      <c r="E12792" t="s">
        <v>35267</v>
      </c>
    </row>
    <row r="12793" spans="1:5">
      <c r="A12793" t="s">
        <v>6</v>
      </c>
      <c r="B12793" t="s">
        <v>12798</v>
      </c>
      <c r="C12793">
        <f>HYPERLINK("C:\Users\franc\OneDrive\Documentos\MALENTIN KARIME\BANCO ESTADO\2012 DEPTO ESCRITURAS fata\NOTARIA 2009\CORPBANCA 2006  M CORTES\MUTUO E HIPOTECA\ALICIA SANDOVAL.doc", "Abrir Documento")</f>
        <v>0</v>
      </c>
      <c r="D12793" t="s">
        <v>23500</v>
      </c>
      <c r="E12793" t="s">
        <v>35268</v>
      </c>
    </row>
    <row r="12794" spans="1:5">
      <c r="A12794" t="s">
        <v>6</v>
      </c>
      <c r="B12794" t="s">
        <v>12799</v>
      </c>
      <c r="C12794">
        <f>HYPERLINK("C:\Users\franc\OneDrive\Documentos\MALENTIN KARIME\BANCO ESTADO\2012 DEPTO ESCRITURAS fata\NOTARIA 2009\CORPBANCA 2006  M CORTES\MUTUO E HIPOTECA\ALICIA ACEVEDO.doc", "Abrir Documento")</f>
        <v>0</v>
      </c>
      <c r="D12794" t="s">
        <v>23500</v>
      </c>
      <c r="E12794" t="s">
        <v>35269</v>
      </c>
    </row>
    <row r="12795" spans="1:5">
      <c r="A12795" t="s">
        <v>6</v>
      </c>
      <c r="B12795" t="s">
        <v>12800</v>
      </c>
      <c r="C12795">
        <f>HYPERLINK("C:\Users\franc\OneDrive\Documentos\MALENTIN KARIME\BANCO ESTADO\2012 DEPTO ESCRITURAS fata\NOTARIA 2009\CORPBANCA 2006  M CORTES\MUTUO E HIPOTECA\ALBERTO JOPIA.doc", "Abrir Documento")</f>
        <v>0</v>
      </c>
      <c r="D12795" t="s">
        <v>23500</v>
      </c>
      <c r="E12795" t="s">
        <v>35270</v>
      </c>
    </row>
    <row r="12796" spans="1:5">
      <c r="A12796" t="s">
        <v>6</v>
      </c>
      <c r="B12796" t="s">
        <v>12801</v>
      </c>
      <c r="C12796">
        <f>HYPERLINK("C:\Users\franc\OneDrive\Documentos\MALENTIN KARIME\BANCO ESTADO\2012 DEPTO ESCRITURAS fata\NOTARIA 2009\CORPBANCA 2006  M CORTES\MUTUO E HIPOTECA\AGRICOLA PAULA Y CONSUELO.doc", "Abrir Documento")</f>
        <v>0</v>
      </c>
      <c r="D12796" t="s">
        <v>23500</v>
      </c>
      <c r="E12796" t="s">
        <v>35271</v>
      </c>
    </row>
    <row r="12797" spans="1:5">
      <c r="A12797" t="s">
        <v>6</v>
      </c>
      <c r="B12797" t="s">
        <v>12802</v>
      </c>
      <c r="C12797">
        <f>HYPERLINK("C:\Users\franc\OneDrive\Documentos\MALENTIN KARIME\BANCO ESTADO\2012 DEPTO ESCRITURAS fata\NOTARIA 2009\CORPBANCA 2006  M CORTES\MANDATOS\Victor Herrera.DOC", "Abrir Documento")</f>
        <v>0</v>
      </c>
      <c r="D12797" t="s">
        <v>23500</v>
      </c>
      <c r="E12797" t="s">
        <v>35272</v>
      </c>
    </row>
    <row r="12798" spans="1:5">
      <c r="A12798" t="s">
        <v>6</v>
      </c>
      <c r="B12798" t="s">
        <v>12803</v>
      </c>
      <c r="C12798">
        <f>HYPERLINK("C:\Users\franc\OneDrive\Documentos\MALENTIN KARIME\BANCO ESTADO\2012 DEPTO ESCRITURAS fata\NOTARIA 2009\CORPBANCA 2006  M CORTES\MANDATOS\Doc3.doc", "Abrir Documento")</f>
        <v>0</v>
      </c>
      <c r="D12798" t="s">
        <v>23500</v>
      </c>
      <c r="E12798" t="s">
        <v>35273</v>
      </c>
    </row>
    <row r="12799" spans="1:5">
      <c r="A12799" t="s">
        <v>6</v>
      </c>
      <c r="B12799" t="s">
        <v>12804</v>
      </c>
      <c r="C12799">
        <f>HYPERLINK("C:\Users\franc\OneDrive\Documentos\MALENTIN KARIME\BANCO ESTADO\2012 DEPTO ESCRITURAS fata\NOTARIA 2009\CORPBANCA 2006  M CORTES\MANDATOS\ASOCIACION DE CANALISTAS CAMARICO.doc", "Abrir Documento")</f>
        <v>0</v>
      </c>
      <c r="D12799" t="s">
        <v>23500</v>
      </c>
      <c r="E12799" t="s">
        <v>35274</v>
      </c>
    </row>
    <row r="12800" spans="1:5">
      <c r="A12800" t="s">
        <v>6</v>
      </c>
      <c r="B12800" t="s">
        <v>12805</v>
      </c>
      <c r="C12800">
        <f>HYPERLINK("C:\Users\franc\OneDrive\Documentos\MALENTIN KARIME\BANCO ESTADO\2012 DEPTO ESCRITURAS fata\NOTARIA 2009\CORPBANCA 2006  M CORTES\MANDATOS\ASOC. CANALISTAS CAMARICO FINAL.doc", "Abrir Documento")</f>
        <v>0</v>
      </c>
      <c r="D12800" t="s">
        <v>23500</v>
      </c>
      <c r="E12800" t="s">
        <v>35275</v>
      </c>
    </row>
    <row r="12801" spans="1:5">
      <c r="A12801" t="s">
        <v>6</v>
      </c>
      <c r="B12801" t="s">
        <v>12806</v>
      </c>
      <c r="C12801">
        <f>HYPERLINK("C:\Users\franc\OneDrive\Documentos\MALENTIN KARIME\BANCO ESTADO\2012 DEPTO ESCRITURAS fata\NOTARIA 2009\CORPBANCA 2006  M CORTES\LIBERACION\SOC. AGRICOLA CARRIZAL LTDA..doc", "Abrir Documento")</f>
        <v>0</v>
      </c>
      <c r="D12801" t="s">
        <v>23500</v>
      </c>
      <c r="E12801" t="s">
        <v>35276</v>
      </c>
    </row>
    <row r="12802" spans="1:5">
      <c r="A12802" t="s">
        <v>6</v>
      </c>
      <c r="B12802" t="s">
        <v>12807</v>
      </c>
      <c r="C12802">
        <f>HYPERLINK("C:\Users\franc\OneDrive\Documentos\MALENTIN KARIME\BANCO ESTADO\2012 DEPTO ESCRITURAS fata\NOTARIA 2009\CORPBANCA 2006  M CORTES\LIBERACION\MARIANO DIAZ Y CIA. LTDA..doc", "Abrir Documento")</f>
        <v>0</v>
      </c>
      <c r="D12802" t="s">
        <v>23500</v>
      </c>
      <c r="E12802" t="s">
        <v>35277</v>
      </c>
    </row>
    <row r="12803" spans="1:5">
      <c r="A12803" t="s">
        <v>6</v>
      </c>
      <c r="B12803" t="s">
        <v>12808</v>
      </c>
      <c r="C12803">
        <f>HYPERLINK("C:\Users\franc\OneDrive\Documentos\MALENTIN KARIME\BANCO ESTADO\2012 DEPTO ESCRITURAS fata\NOTARIA 2009\CORPBANCA 2006  M CORTES\LIBERACION\LUCIA JULIA  Y PATRICIO GONZALEZ.doc", "Abrir Documento")</f>
        <v>0</v>
      </c>
      <c r="D12803" t="s">
        <v>23500</v>
      </c>
      <c r="E12803" t="s">
        <v>35278</v>
      </c>
    </row>
    <row r="12804" spans="1:5">
      <c r="A12804" t="s">
        <v>6</v>
      </c>
      <c r="B12804" t="s">
        <v>12809</v>
      </c>
      <c r="C12804">
        <f>HYPERLINK("C:\Users\franc\OneDrive\Documentos\MALENTIN KARIME\BANCO ESTADO\2012 DEPTO ESCRITURAS fata\NOTARIA 2009\CORPBANCA 2006  M CORTES\HIPOTECAS Y FIANZA\LOS ALAMOS (CORTES JILES).doc", "Abrir Documento")</f>
        <v>0</v>
      </c>
      <c r="D12804" t="s">
        <v>23500</v>
      </c>
      <c r="E12804" t="s">
        <v>35279</v>
      </c>
    </row>
    <row r="12805" spans="1:5">
      <c r="A12805" t="s">
        <v>6</v>
      </c>
      <c r="B12805" t="s">
        <v>12810</v>
      </c>
      <c r="C12805">
        <f>HYPERLINK("C:\Users\franc\OneDrive\Documentos\MALENTIN KARIME\BANCO ESTADO\2012 DEPTO ESCRITURAS fata\NOTARIA 2009\CORPBANCA 2006  M CORTES\HIPOTECAS Y FIANZA\INVERSIONES TALQUILLA REVISADA.doc", "Abrir Documento")</f>
        <v>0</v>
      </c>
      <c r="D12805" t="s">
        <v>23500</v>
      </c>
      <c r="E12805" t="s">
        <v>35280</v>
      </c>
    </row>
    <row r="12806" spans="1:5">
      <c r="A12806" t="s">
        <v>6</v>
      </c>
      <c r="B12806" t="s">
        <v>12811</v>
      </c>
      <c r="C12806">
        <f>HYPERLINK("C:\Users\franc\OneDrive\Documentos\MALENTIN KARIME\BANCO ESTADO\2012 DEPTO ESCRITURAS fata\NOTARIA 2009\CORPBANCA 2006  M CORTES\HIPOTECAS Y FIANZA\INVERSIONES TALQUILLA LTDA..doc", "Abrir Documento")</f>
        <v>0</v>
      </c>
      <c r="D12806" t="s">
        <v>23500</v>
      </c>
      <c r="E12806" t="s">
        <v>35281</v>
      </c>
    </row>
    <row r="12807" spans="1:5">
      <c r="A12807" t="s">
        <v>6</v>
      </c>
      <c r="B12807" t="s">
        <v>12812</v>
      </c>
      <c r="C12807">
        <f>HYPERLINK("C:\Users\franc\OneDrive\Documentos\MALENTIN KARIME\BANCO ESTADO\2012 DEPTO ESCRITURAS fata\NOTARIA 2009\CORPBANCA 2006  M CORTES\HIPOTECAS Y FIANZA\ADOLFO CORTES J Y OTRO.doc", "Abrir Documento")</f>
        <v>0</v>
      </c>
      <c r="D12807" t="s">
        <v>23500</v>
      </c>
      <c r="E12807" t="s">
        <v>35282</v>
      </c>
    </row>
    <row r="12808" spans="1:5">
      <c r="A12808" t="s">
        <v>6</v>
      </c>
      <c r="B12808" t="s">
        <v>12813</v>
      </c>
      <c r="C12808">
        <f>HYPERLINK("C:\Users\franc\OneDrive\Documentos\MALENTIN KARIME\BANCO ESTADO\2012 DEPTO ESCRITURAS fata\NOTARIA 2009\CORPBANCA 2006  M CORTES\HIPOTECAS\Victor Herrera Muñoz[1].doc", "Abrir Documento")</f>
        <v>0</v>
      </c>
      <c r="D12808" t="s">
        <v>23500</v>
      </c>
      <c r="E12808" t="s">
        <v>35283</v>
      </c>
    </row>
    <row r="12809" spans="1:5">
      <c r="A12809" t="s">
        <v>6</v>
      </c>
      <c r="B12809" t="s">
        <v>12814</v>
      </c>
      <c r="C12809">
        <f>HYPERLINK("C:\Users\franc\OneDrive\Documentos\MALENTIN KARIME\BANCO ESTADO\2012 DEPTO ESCRITURAS fata\NOTARIA 2009\CORPBANCA 2006  M CORTES\HIPOTECAS\Victor Herrera Muñoz  FINAL.doc", "Abrir Documento")</f>
        <v>0</v>
      </c>
      <c r="D12809" t="s">
        <v>23500</v>
      </c>
      <c r="E12809" t="s">
        <v>35284</v>
      </c>
    </row>
    <row r="12810" spans="1:5">
      <c r="A12810" t="s">
        <v>6</v>
      </c>
      <c r="B12810" t="s">
        <v>12815</v>
      </c>
      <c r="C12810">
        <f>HYPERLINK("C:\Users\franc\OneDrive\Documentos\MALENTIN KARIME\BANCO ESTADO\2012 DEPTO ESCRITURAS fata\NOTARIA 2009\CORPBANCA 2006  M CORTES\HIPOTECAS\SOCIEDAD AGRICOLA MITIMAE LTDA..doc", "Abrir Documento")</f>
        <v>0</v>
      </c>
      <c r="D12810" t="s">
        <v>23500</v>
      </c>
      <c r="E12810" t="s">
        <v>35285</v>
      </c>
    </row>
    <row r="12811" spans="1:5">
      <c r="A12811" t="s">
        <v>6</v>
      </c>
      <c r="B12811" t="s">
        <v>12816</v>
      </c>
      <c r="C12811">
        <f>HYPERLINK("C:\Users\franc\OneDrive\Documentos\MALENTIN KARIME\BANCO ESTADO\2012 DEPTO ESCRITURAS fata\NOTARIA 2009\CORPBANCA 2006  M CORTES\HIPOTECAS\SOC. VINICOLA OCHOTIERRAS LTDA..doc", "Abrir Documento")</f>
        <v>0</v>
      </c>
      <c r="D12811" t="s">
        <v>23500</v>
      </c>
      <c r="E12811" t="s">
        <v>35286</v>
      </c>
    </row>
    <row r="12812" spans="1:5">
      <c r="A12812" t="s">
        <v>6</v>
      </c>
      <c r="B12812" t="s">
        <v>12817</v>
      </c>
      <c r="C12812">
        <f>HYPERLINK("C:\Users\franc\OneDrive\Documentos\MALENTIN KARIME\BANCO ESTADO\2012 DEPTO ESCRITURAS fata\NOTARIA 2009\CORPBANCA 2006  M CORTES\HIPOTECAS\SOC. RIO RAPEL.doc", "Abrir Documento")</f>
        <v>0</v>
      </c>
      <c r="D12812" t="s">
        <v>23500</v>
      </c>
      <c r="E12812" t="s">
        <v>35287</v>
      </c>
    </row>
    <row r="12813" spans="1:5">
      <c r="A12813" t="s">
        <v>6</v>
      </c>
      <c r="B12813" t="s">
        <v>12818</v>
      </c>
      <c r="C12813">
        <f>HYPERLINK("C:\Users\franc\OneDrive\Documentos\MALENTIN KARIME\BANCO ESTADO\2012 DEPTO ESCRITURAS fata\NOTARIA 2009\CORPBANCA 2006  M CORTES\HIPOTECAS\SOC. INVERS. ARTIGUES S.A.Ç.doc", "Abrir Documento")</f>
        <v>0</v>
      </c>
      <c r="D12813" t="s">
        <v>23500</v>
      </c>
      <c r="E12813" t="s">
        <v>35288</v>
      </c>
    </row>
    <row r="12814" spans="1:5">
      <c r="A12814" t="s">
        <v>6</v>
      </c>
      <c r="B12814" t="s">
        <v>12819</v>
      </c>
      <c r="C12814">
        <f>HYPERLINK("C:\Users\franc\OneDrive\Documentos\MALENTIN KARIME\BANCO ESTADO\2012 DEPTO ESCRITURAS fata\NOTARIA 2009\CORPBANCA 2006  M CORTES\HIPOTECAS\SOC. INMOB. RIO LIMARI (NOV. 2009).doc", "Abrir Documento")</f>
        <v>0</v>
      </c>
      <c r="D12814" t="s">
        <v>23500</v>
      </c>
      <c r="E12814" t="s">
        <v>35289</v>
      </c>
    </row>
    <row r="12815" spans="1:5">
      <c r="A12815" t="s">
        <v>6</v>
      </c>
      <c r="B12815" t="s">
        <v>12820</v>
      </c>
      <c r="C12815">
        <f>HYPERLINK("C:\Users\franc\OneDrive\Documentos\MALENTIN KARIME\BANCO ESTADO\2012 DEPTO ESCRITURAS fata\NOTARIA 2009\CORPBANCA 2006  M CORTES\HIPOTECAS\SOC. FORESTAL TALINAY LTDA..doc", "Abrir Documento")</f>
        <v>0</v>
      </c>
      <c r="D12815" t="s">
        <v>23500</v>
      </c>
      <c r="E12815" t="s">
        <v>35290</v>
      </c>
    </row>
    <row r="12816" spans="1:5">
      <c r="A12816" t="s">
        <v>6</v>
      </c>
      <c r="B12816" t="s">
        <v>12821</v>
      </c>
      <c r="C12816">
        <f>HYPERLINK("C:\Users\franc\OneDrive\Documentos\MALENTIN KARIME\BANCO ESTADO\2012 DEPTO ESCRITURAS fata\NOTARIA 2009\CORPBANCA 2006  M CORTES\HIPOTECAS\SOC. CUELLAR LIMITADA A OCHOTIERRAS LTDA..doc", "Abrir Documento")</f>
        <v>0</v>
      </c>
      <c r="D12816" t="s">
        <v>23500</v>
      </c>
      <c r="E12816" t="s">
        <v>35291</v>
      </c>
    </row>
    <row r="12817" spans="1:5">
      <c r="A12817" t="s">
        <v>6</v>
      </c>
      <c r="B12817" t="s">
        <v>12822</v>
      </c>
      <c r="C12817">
        <f>HYPERLINK("C:\Users\franc\OneDrive\Documentos\MALENTIN KARIME\BANCO ESTADO\2012 DEPTO ESCRITURAS fata\NOTARIA 2009\CORPBANCA 2006  M CORTES\HIPOTECAS\SAMUEL BOZO Y CONYUGE.doc", "Abrir Documento")</f>
        <v>0</v>
      </c>
      <c r="D12817" t="s">
        <v>23500</v>
      </c>
      <c r="E12817" t="s">
        <v>35292</v>
      </c>
    </row>
    <row r="12818" spans="1:5">
      <c r="A12818" t="s">
        <v>6</v>
      </c>
      <c r="B12818" t="s">
        <v>12823</v>
      </c>
      <c r="C12818">
        <f>HYPERLINK("C:\Users\franc\OneDrive\Documentos\MALENTIN KARIME\BANCO ESTADO\2012 DEPTO ESCRITURAS fata\NOTARIA 2009\CORPBANCA 2006  M CORTES\HIPOTECAS\ROSA LARA AVALOS.doc", "Abrir Documento")</f>
        <v>0</v>
      </c>
      <c r="D12818" t="s">
        <v>23500</v>
      </c>
      <c r="E12818" t="s">
        <v>35293</v>
      </c>
    </row>
    <row r="12819" spans="1:5">
      <c r="A12819" t="s">
        <v>6</v>
      </c>
      <c r="B12819" t="s">
        <v>12824</v>
      </c>
      <c r="C12819">
        <f>HYPERLINK("C:\Users\franc\OneDrive\Documentos\MALENTIN KARIME\BANCO ESTADO\2012 DEPTO ESCRITURAS fata\NOTARIA 2009\CORPBANCA 2006  M CORTES\HIPOTECAS\RICARDO ALLENDE SENTIS.doc", "Abrir Documento")</f>
        <v>0</v>
      </c>
      <c r="D12819" t="s">
        <v>23500</v>
      </c>
      <c r="E12819" t="s">
        <v>35294</v>
      </c>
    </row>
    <row r="12820" spans="1:5">
      <c r="A12820" t="s">
        <v>6</v>
      </c>
      <c r="B12820" t="s">
        <v>12825</v>
      </c>
      <c r="C12820">
        <f>HYPERLINK("C:\Users\franc\OneDrive\Documentos\MALENTIN KARIME\BANCO ESTADO\2012 DEPTO ESCRITURAS fata\NOTARIA 2009\CORPBANCA 2006  M CORTES\HIPOTECAS\MINERA CRUZ LTADA. (DIOMEDES CRUZ).doc", "Abrir Documento")</f>
        <v>0</v>
      </c>
      <c r="D12820" t="s">
        <v>23500</v>
      </c>
      <c r="E12820" t="s">
        <v>35295</v>
      </c>
    </row>
    <row r="12821" spans="1:5">
      <c r="A12821" t="s">
        <v>6</v>
      </c>
      <c r="B12821" t="s">
        <v>12826</v>
      </c>
      <c r="C12821">
        <f>HYPERLINK("C:\Users\franc\OneDrive\Documentos\MALENTIN KARIME\BANCO ESTADO\2012 DEPTO ESCRITURAS fata\NOTARIA 2009\CORPBANCA 2006  M CORTES\HIPOTECAS\JUAN FRANCISCO SOTO.doc", "Abrir Documento")</f>
        <v>0</v>
      </c>
      <c r="D12821" t="s">
        <v>23500</v>
      </c>
      <c r="E12821" t="s">
        <v>35296</v>
      </c>
    </row>
    <row r="12822" spans="1:5">
      <c r="A12822" t="s">
        <v>6</v>
      </c>
      <c r="B12822" t="s">
        <v>12827</v>
      </c>
      <c r="C12822">
        <f>HYPERLINK("C:\Users\franc\OneDrive\Documentos\MALENTIN KARIME\BANCO ESTADO\2012 DEPTO ESCRITURAS fata\NOTARIA 2009\CORPBANCA 2006  M CORTES\HIPOTECAS\JUAN ALUCEMA GODOY.doc", "Abrir Documento")</f>
        <v>0</v>
      </c>
      <c r="D12822" t="s">
        <v>23500</v>
      </c>
      <c r="E12822" t="s">
        <v>35297</v>
      </c>
    </row>
    <row r="12823" spans="1:5">
      <c r="A12823" t="s">
        <v>6</v>
      </c>
      <c r="B12823" t="s">
        <v>12828</v>
      </c>
      <c r="C12823">
        <f>HYPERLINK("C:\Users\franc\OneDrive\Documentos\MALENTIN KARIME\BANCO ESTADO\2012 DEPTO ESCRITURAS fata\NOTARIA 2009\CORPBANCA 2006  M CORTES\HIPOTECAS\JOSE OSSA HUENOLAF.doc", "Abrir Documento")</f>
        <v>0</v>
      </c>
      <c r="D12823" t="s">
        <v>23500</v>
      </c>
      <c r="E12823" t="s">
        <v>35298</v>
      </c>
    </row>
    <row r="12824" spans="1:5">
      <c r="A12824" t="s">
        <v>6</v>
      </c>
      <c r="B12824" t="s">
        <v>12829</v>
      </c>
      <c r="C12824">
        <f>HYPERLINK("C:\Users\franc\OneDrive\Documentos\MALENTIN KARIME\BANCO ESTADO\2012 DEPTO ESCRITURAS fata\NOTARIA 2009\CORPBANCA 2006  M CORTES\HIPOTECAS\JOSE OSSA HUENOLAF  2.doc", "Abrir Documento")</f>
        <v>0</v>
      </c>
      <c r="D12824" t="s">
        <v>23500</v>
      </c>
      <c r="E12824" t="s">
        <v>35299</v>
      </c>
    </row>
    <row r="12825" spans="1:5">
      <c r="A12825" t="s">
        <v>6</v>
      </c>
      <c r="B12825" t="s">
        <v>12830</v>
      </c>
      <c r="C12825">
        <f>HYPERLINK("C:\Users\franc\OneDrive\Documentos\MALENTIN KARIME\BANCO ESTADO\2012 DEPTO ESCRITURAS fata\NOTARIA 2009\CORPBANCA 2006  M CORTES\HIPOTECAS\JESSICA MILLAN.doc", "Abrir Documento")</f>
        <v>0</v>
      </c>
      <c r="D12825" t="s">
        <v>23500</v>
      </c>
      <c r="E12825" t="s">
        <v>35300</v>
      </c>
    </row>
    <row r="12826" spans="1:5">
      <c r="A12826" t="s">
        <v>6</v>
      </c>
      <c r="B12826" t="s">
        <v>12831</v>
      </c>
      <c r="C12826">
        <f>HYPERLINK("C:\Users\franc\OneDrive\Documentos\MALENTIN KARIME\BANCO ESTADO\2012 DEPTO ESCRITURAS fata\NOTARIA 2009\CORPBANCA 2006  M CORTES\HIPOTECAS\JAIME PROHENS PENDIENTE F.doc", "Abrir Documento")</f>
        <v>0</v>
      </c>
      <c r="D12826" t="s">
        <v>23500</v>
      </c>
      <c r="E12826" t="s">
        <v>35301</v>
      </c>
    </row>
    <row r="12827" spans="1:5">
      <c r="A12827" t="s">
        <v>6</v>
      </c>
      <c r="B12827" t="s">
        <v>12832</v>
      </c>
      <c r="C12827">
        <f>HYPERLINK("C:\Users\franc\OneDrive\Documentos\MALENTIN KARIME\BANCO ESTADO\2012 DEPTO ESCRITURAS fata\NOTARIA 2009\CORPBANCA 2006  M CORTES\HIPOTECAS\JAIME PROHENS FINAL.doc", "Abrir Documento")</f>
        <v>0</v>
      </c>
      <c r="D12827" t="s">
        <v>23500</v>
      </c>
      <c r="E12827" t="s">
        <v>35302</v>
      </c>
    </row>
    <row r="12828" spans="1:5">
      <c r="A12828" t="s">
        <v>6</v>
      </c>
      <c r="B12828" t="s">
        <v>12833</v>
      </c>
      <c r="C12828">
        <f>HYPERLINK("C:\Users\franc\OneDrive\Documentos\MALENTIN KARIME\BANCO ESTADO\2012 DEPTO ESCRITURAS fata\NOTARIA 2009\CORPBANCA 2006  M CORTES\HIPOTECAS\INVERSIONES ZEPEDA HERMANOS LTDA.doc", "Abrir Documento")</f>
        <v>0</v>
      </c>
      <c r="D12828" t="s">
        <v>23500</v>
      </c>
      <c r="E12828" t="s">
        <v>35303</v>
      </c>
    </row>
    <row r="12829" spans="1:5">
      <c r="A12829" t="s">
        <v>6</v>
      </c>
      <c r="B12829" t="s">
        <v>12834</v>
      </c>
      <c r="C12829">
        <f>HYPERLINK("C:\Users\franc\OneDrive\Documentos\MALENTIN KARIME\BANCO ESTADO\2012 DEPTO ESCRITURAS fata\NOTARIA 2009\CORPBANCA 2006  M CORTES\HIPOTECAS\INVERSIONES TALQUILLA.doc", "Abrir Documento")</f>
        <v>0</v>
      </c>
      <c r="D12829" t="s">
        <v>23500</v>
      </c>
      <c r="E12829" t="s">
        <v>35304</v>
      </c>
    </row>
    <row r="12830" spans="1:5">
      <c r="A12830" t="s">
        <v>6</v>
      </c>
      <c r="B12830" t="s">
        <v>12835</v>
      </c>
      <c r="C12830">
        <f>HYPERLINK("C:\Users\franc\OneDrive\Documentos\MALENTIN KARIME\BANCO ESTADO\2012 DEPTO ESCRITURAS fata\NOTARIA 2009\CORPBANCA 2006  M CORTES\HIPOTECAS\GUILLERMO ROJAS.doc", "Abrir Documento")</f>
        <v>0</v>
      </c>
      <c r="D12830" t="s">
        <v>23500</v>
      </c>
      <c r="E12830" t="s">
        <v>35305</v>
      </c>
    </row>
    <row r="12831" spans="1:5">
      <c r="A12831" t="s">
        <v>6</v>
      </c>
      <c r="B12831" t="s">
        <v>12836</v>
      </c>
      <c r="C12831">
        <f>HYPERLINK("C:\Users\franc\OneDrive\Documentos\MALENTIN KARIME\BANCO ESTADO\2012 DEPTO ESCRITURAS fata\NOTARIA 2009\CORPBANCA 2006  M CORTES\HIPOTECAS\ELENA SERRANO.doc", "Abrir Documento")</f>
        <v>0</v>
      </c>
      <c r="D12831" t="s">
        <v>23500</v>
      </c>
      <c r="E12831" t="s">
        <v>35306</v>
      </c>
    </row>
    <row r="12832" spans="1:5">
      <c r="A12832" t="s">
        <v>6</v>
      </c>
      <c r="B12832" t="s">
        <v>12837</v>
      </c>
      <c r="C12832">
        <f>HYPERLINK("C:\Users\franc\OneDrive\Documentos\MALENTIN KARIME\BANCO ESTADO\2012 DEPTO ESCRITURAS fata\NOTARIA 2009\CORPBANCA 2006  M CORTES\HIPOTECAS\CIA. MINERA POTRERILLOS LTDA. (DIOMEDES CRUZ).doc", "Abrir Documento")</f>
        <v>0</v>
      </c>
      <c r="D12832" t="s">
        <v>23500</v>
      </c>
      <c r="E12832" t="s">
        <v>35307</v>
      </c>
    </row>
    <row r="12833" spans="1:5">
      <c r="A12833" t="s">
        <v>6</v>
      </c>
      <c r="B12833" t="s">
        <v>12838</v>
      </c>
      <c r="C12833">
        <f>HYPERLINK("C:\Users\franc\OneDrive\Documentos\MALENTIN KARIME\BANCO ESTADO\2012 DEPTO ESCRITURAS fata\NOTARIA 2009\CORPBANCA 2006  M CORTES\HIPOTECAS\CARLOS BUGUEÑO.doc", "Abrir Documento")</f>
        <v>0</v>
      </c>
      <c r="D12833" t="s">
        <v>23500</v>
      </c>
      <c r="E12833" t="s">
        <v>35308</v>
      </c>
    </row>
    <row r="12834" spans="1:5">
      <c r="A12834" t="s">
        <v>6</v>
      </c>
      <c r="B12834" t="s">
        <v>12839</v>
      </c>
      <c r="C12834">
        <f>HYPERLINK("C:\Users\franc\OneDrive\Documentos\MALENTIN KARIME\BANCO ESTADO\2012 DEPTO ESCRITURAS fata\NOTARIA 2009\CORPBANCA 2006  M CORTES\HIPOTECAS\AGRONOBLE (2).doc", "Abrir Documento")</f>
        <v>0</v>
      </c>
      <c r="D12834" t="s">
        <v>23500</v>
      </c>
      <c r="E12834" t="s">
        <v>35309</v>
      </c>
    </row>
    <row r="12835" spans="1:5">
      <c r="A12835" t="s">
        <v>6</v>
      </c>
      <c r="B12835" t="s">
        <v>12840</v>
      </c>
      <c r="C12835">
        <f>HYPERLINK("C:\Users\franc\OneDrive\Documentos\MALENTIN KARIME\BANCO ESTADO\2012 DEPTO ESCRITURAS fata\NOTARIA 2009\CORPBANCA 2006  M CORTES\HIPOTECAS\AGRONOBLE (1).doc", "Abrir Documento")</f>
        <v>0</v>
      </c>
      <c r="D12835" t="s">
        <v>23500</v>
      </c>
      <c r="E12835" t="s">
        <v>35310</v>
      </c>
    </row>
    <row r="12836" spans="1:5">
      <c r="A12836" t="s">
        <v>6</v>
      </c>
      <c r="B12836" t="s">
        <v>12841</v>
      </c>
      <c r="C12836">
        <f>HYPERLINK("C:\Users\franc\OneDrive\Documentos\MALENTIN KARIME\BANCO ESTADO\2012 DEPTO ESCRITURAS fata\NOTARIA 2009\CORPBANCA 2006  M CORTES\HIPOTECAS\AGRICOLA LOS PRIMOS.doc", "Abrir Documento")</f>
        <v>0</v>
      </c>
      <c r="D12836" t="s">
        <v>23500</v>
      </c>
      <c r="E12836" t="s">
        <v>35311</v>
      </c>
    </row>
    <row r="12837" spans="1:5">
      <c r="A12837" t="s">
        <v>6</v>
      </c>
      <c r="B12837" t="s">
        <v>12842</v>
      </c>
      <c r="C12837">
        <f>HYPERLINK("C:\Users\franc\OneDrive\Documentos\MALENTIN KARIME\BANCO ESTADO\2012 DEPTO ESCRITURAS fata\NOTARIA 2009\CORPBANCA 2006  M CORTES\HIPOTECAS\AGRICOLA GONAGRO LIMITADA.doc", "Abrir Documento")</f>
        <v>0</v>
      </c>
      <c r="D12837" t="s">
        <v>23500</v>
      </c>
      <c r="E12837" t="s">
        <v>35312</v>
      </c>
    </row>
    <row r="12838" spans="1:5">
      <c r="A12838" t="s">
        <v>6</v>
      </c>
      <c r="B12838" t="s">
        <v>12843</v>
      </c>
      <c r="C12838">
        <f>HYPERLINK("C:\Users\franc\OneDrive\Documentos\MALENTIN KARIME\BANCO ESTADO\2012 DEPTO ESCRITURAS fata\NOTARIA 2009\CORPBANCA 2006  M CORTES\HIPOTECAS\AGRICOLA CORDILLERA DE RAPEL.doc", "Abrir Documento")</f>
        <v>0</v>
      </c>
      <c r="D12838" t="s">
        <v>23500</v>
      </c>
      <c r="E12838" t="s">
        <v>35313</v>
      </c>
    </row>
    <row r="12839" spans="1:5">
      <c r="A12839" t="s">
        <v>6</v>
      </c>
      <c r="B12839" t="s">
        <v>12844</v>
      </c>
      <c r="C12839">
        <f>HYPERLINK("C:\Users\franc\OneDrive\Documentos\MALENTIN KARIME\BANCO ESTADO\2012 DEPTO ESCRITURAS fata\NOTARIA 2009\CORPBANCA 2006  M CORTES\HIPOTECAS\AGRICOLA  JUAN PABLO LIMITADA 29-10-2007.doc", "Abrir Documento")</f>
        <v>0</v>
      </c>
      <c r="D12839" t="s">
        <v>23500</v>
      </c>
      <c r="E12839" t="s">
        <v>35314</v>
      </c>
    </row>
    <row r="12840" spans="1:5">
      <c r="A12840" t="s">
        <v>6</v>
      </c>
      <c r="B12840" t="s">
        <v>12845</v>
      </c>
      <c r="C12840">
        <f>HYPERLINK("C:\Users\franc\OneDrive\Documentos\MALENTIN KARIME\BANCO ESTADO\2012 DEPTO ESCRITURAS fata\NOTARIA 2009\CORPBANCA 2006  M CORTES\FIANZA\ALZAMIENTO\JUAN OTEIZA.doc", "Abrir Documento")</f>
        <v>0</v>
      </c>
      <c r="D12840" t="s">
        <v>23500</v>
      </c>
      <c r="E12840" t="s">
        <v>35315</v>
      </c>
    </row>
    <row r="12841" spans="1:5">
      <c r="A12841" t="s">
        <v>6</v>
      </c>
      <c r="B12841" t="s">
        <v>12846</v>
      </c>
      <c r="C12841">
        <f>HYPERLINK("C:\Users\franc\OneDrive\Documentos\MALENTIN KARIME\BANCO ESTADO\2012 DEPTO ESCRITURAS fata\NOTARIA 2009\CORPBANCA 2006  M CORTES\FIANZA\ROBERTO VEGA A ALFALFARES.doc", "Abrir Documento")</f>
        <v>0</v>
      </c>
      <c r="D12841" t="s">
        <v>23500</v>
      </c>
      <c r="E12841" t="s">
        <v>35316</v>
      </c>
    </row>
    <row r="12842" spans="1:5">
      <c r="A12842" t="s">
        <v>6</v>
      </c>
      <c r="B12842" t="s">
        <v>12847</v>
      </c>
      <c r="C12842">
        <f>HYPERLINK("C:\Users\franc\OneDrive\Documentos\MALENTIN KARIME\BANCO ESTADO\2012 DEPTO ESCRITURAS fata\NOTARIA 2009\CORPBANCA 2006  M CORTES\FIANZA\LUCIA CORRAL A SOC. OCHOTIERRAS LTDA..doc", "Abrir Documento")</f>
        <v>0</v>
      </c>
      <c r="D12842" t="s">
        <v>23500</v>
      </c>
      <c r="E12842" t="s">
        <v>35317</v>
      </c>
    </row>
    <row r="12843" spans="1:5">
      <c r="A12843" t="s">
        <v>6</v>
      </c>
      <c r="B12843" t="s">
        <v>12848</v>
      </c>
      <c r="C12843">
        <f>HYPERLINK("C:\Users\franc\OneDrive\Documentos\MALENTIN KARIME\BANCO ESTADO\2012 DEPTO ESCRITURAS fata\NOTARIA 2009\CORPBANCA 2006  M CORTES\FIANZA\GALVARINO VIORKLUMDS A INPROCOL.doc", "Abrir Documento")</f>
        <v>0</v>
      </c>
      <c r="D12843" t="s">
        <v>23500</v>
      </c>
      <c r="E12843" t="s">
        <v>35318</v>
      </c>
    </row>
    <row r="12844" spans="1:5">
      <c r="A12844" t="s">
        <v>6</v>
      </c>
      <c r="B12844" t="s">
        <v>12849</v>
      </c>
      <c r="C12844">
        <f>HYPERLINK("C:\Users\franc\OneDrive\Documentos\MALENTIN KARIME\BANCO ESTADO\2012 DEPTO ESCRITURAS fata\NOTARIA 2009\CORPBANCA 2006  M CORTES\FIANZA\EDITH ARAYA A VICTOR HERRERA.doc", "Abrir Documento")</f>
        <v>0</v>
      </c>
      <c r="D12844" t="s">
        <v>23500</v>
      </c>
      <c r="E12844" t="s">
        <v>35319</v>
      </c>
    </row>
    <row r="12845" spans="1:5">
      <c r="A12845" t="s">
        <v>6</v>
      </c>
      <c r="B12845" t="s">
        <v>12850</v>
      </c>
      <c r="C12845">
        <f>HYPERLINK("C:\Users\franc\OneDrive\Documentos\MALENTIN KARIME\BANCO ESTADO\2012 DEPTO ESCRITURAS fata\NOTARIA 2009\CORPBANCA 2006  M CORTES\FIANZA\COOPERATIVA ELECTRICA ELECOOP.doc", "Abrir Documento")</f>
        <v>0</v>
      </c>
      <c r="D12845" t="s">
        <v>23500</v>
      </c>
      <c r="E12845" t="s">
        <v>35320</v>
      </c>
    </row>
    <row r="12846" spans="1:5">
      <c r="A12846" t="s">
        <v>6</v>
      </c>
      <c r="B12846" t="s">
        <v>12851</v>
      </c>
      <c r="C12846">
        <f>HYPERLINK("C:\Users\franc\OneDrive\Documentos\MALENTIN KARIME\BANCO ESTADO\2012 DEPTO ESCRITURAS fata\NOTARIA 2009\CORPBANCA 2006  M CORTES\FIANZA\CANTA RANA - INVERSIONES TALQUILLA.doc", "Abrir Documento")</f>
        <v>0</v>
      </c>
      <c r="D12846" t="s">
        <v>23500</v>
      </c>
      <c r="E12846" t="s">
        <v>35321</v>
      </c>
    </row>
    <row r="12847" spans="1:5">
      <c r="A12847" t="s">
        <v>6</v>
      </c>
      <c r="B12847" t="s">
        <v>12852</v>
      </c>
      <c r="C12847">
        <f>HYPERLINK("C:\Users\franc\OneDrive\Documentos\MALENTIN KARIME\BANCO ESTADO\2012 DEPTO ESCRITURAS fata\NOTARIA 2009\CORPBANCA 2006  M CORTES\FIANZA\AGRICOLA CORDILLERAS 2.doc", "Abrir Documento")</f>
        <v>0</v>
      </c>
      <c r="D12847" t="s">
        <v>23500</v>
      </c>
      <c r="E12847" t="s">
        <v>35322</v>
      </c>
    </row>
    <row r="12848" spans="1:5">
      <c r="A12848" t="s">
        <v>6</v>
      </c>
      <c r="B12848" t="s">
        <v>12853</v>
      </c>
      <c r="C12848">
        <f>HYPERLINK("C:\Users\franc\OneDrive\Documentos\MALENTIN KARIME\BANCO ESTADO\2012 DEPTO ESCRITURAS fata\NOTARIA 2009\CORPBANCA 2006  M CORTES\FIANZA\AGRICOLA CORDILLERAS 1.doc", "Abrir Documento")</f>
        <v>0</v>
      </c>
      <c r="D12848" t="s">
        <v>23500</v>
      </c>
      <c r="E12848" t="s">
        <v>35323</v>
      </c>
    </row>
    <row r="12849" spans="1:5">
      <c r="A12849" t="s">
        <v>6</v>
      </c>
      <c r="B12849" t="s">
        <v>12854</v>
      </c>
      <c r="C12849">
        <f>HYPERLINK("C:\Users\franc\OneDrive\Documentos\MALENTIN KARIME\BANCO ESTADO\2012 DEPTO ESCRITURAS fata\NOTARIA 2009\CORPBANCA 2006  M CORTES\FACTORING\LUIS CARVAJAL.doc", "Abrir Documento")</f>
        <v>0</v>
      </c>
      <c r="D12849" t="s">
        <v>23500</v>
      </c>
      <c r="E12849" t="s">
        <v>35324</v>
      </c>
    </row>
    <row r="12850" spans="1:5">
      <c r="A12850" t="s">
        <v>6</v>
      </c>
      <c r="B12850" t="s">
        <v>12855</v>
      </c>
      <c r="C12850">
        <f>HYPERLINK("C:\Users\franc\OneDrive\Documentos\MALENTIN KARIME\BANCO ESTADO\2012 DEPTO ESCRITURAS fata\NOTARIA 2009\CORPBANCA 2006  M CORTES\CV E HIPOTECA\SOC. CAPRIGEN LTDA..doc", "Abrir Documento")</f>
        <v>0</v>
      </c>
      <c r="D12850" t="s">
        <v>23500</v>
      </c>
      <c r="E12850" t="s">
        <v>35325</v>
      </c>
    </row>
    <row r="12851" spans="1:5">
      <c r="A12851" t="s">
        <v>6</v>
      </c>
      <c r="B12851" t="s">
        <v>12856</v>
      </c>
      <c r="C12851">
        <f>HYPERLINK("C:\Users\franc\OneDrive\Documentos\MALENTIN KARIME\BANCO ESTADO\2012 DEPTO ESCRITURAS fata\NOTARIA 2009\CORPBANCA 2006  M CORTES\CV E HIPOTECA\SOC. ALFALFARES A AGRIC. LAS CASAS.doc", "Abrir Documento")</f>
        <v>0</v>
      </c>
      <c r="D12851" t="s">
        <v>23500</v>
      </c>
      <c r="E12851" t="s">
        <v>35326</v>
      </c>
    </row>
    <row r="12852" spans="1:5">
      <c r="A12852" t="s">
        <v>6</v>
      </c>
      <c r="B12852" t="s">
        <v>12857</v>
      </c>
      <c r="C12852">
        <f>HYPERLINK("C:\Users\franc\OneDrive\Documentos\MALENTIN KARIME\BANCO ESTADO\2012 DEPTO ESCRITURAS fata\NOTARIA 2009\CORPBANCA 2006  M CORTES\CV E HIPOTECA\SOC. AGRIC. CERRILLOS A LAS CASAS.doc", "Abrir Documento")</f>
        <v>0</v>
      </c>
      <c r="D12852" t="s">
        <v>23500</v>
      </c>
      <c r="E12852" t="s">
        <v>35327</v>
      </c>
    </row>
    <row r="12853" spans="1:5">
      <c r="A12853" t="s">
        <v>6</v>
      </c>
      <c r="B12853" t="s">
        <v>12858</v>
      </c>
      <c r="C12853">
        <f>HYPERLINK("C:\Users\franc\OneDrive\Documentos\MALENTIN KARIME\BANCO ESTADO\2012 DEPTO ESCRITURAS fata\NOTARIA 2009\CORPBANCA 2006  M CORTES\CV E HIPOTECA\MARIANO DIAZ A AGRICOLA LLANO NEGRO.doc", "Abrir Documento")</f>
        <v>0</v>
      </c>
      <c r="D12853" t="s">
        <v>23500</v>
      </c>
      <c r="E12853" t="s">
        <v>35328</v>
      </c>
    </row>
    <row r="12854" spans="1:5">
      <c r="A12854" t="s">
        <v>6</v>
      </c>
      <c r="B12854" t="s">
        <v>12859</v>
      </c>
      <c r="C12854">
        <f>HYPERLINK("C:\Users\franc\OneDrive\Documentos\MALENTIN KARIME\BANCO ESTADO\2012 DEPTO ESCRITURAS fata\NOTARIA 2009\CORPBANCA 2006  M CORTES\CV E HIPOTECA\HOJA CORREGIDA.doc", "Abrir Documento")</f>
        <v>0</v>
      </c>
      <c r="D12854" t="s">
        <v>23500</v>
      </c>
      <c r="E12854" t="s">
        <v>35329</v>
      </c>
    </row>
    <row r="12855" spans="1:5">
      <c r="A12855" t="s">
        <v>6</v>
      </c>
      <c r="B12855" t="s">
        <v>12860</v>
      </c>
      <c r="C12855">
        <f>HYPERLINK("C:\Users\franc\OneDrive\Documentos\MALENTIN KARIME\BANCO ESTADO\2012 DEPTO ESCRITURAS fata\NOTARIA 2009\CORPBANCA 2006  M CORTES\CV E HIPOTECA\HECTOR BARRAZA - C. BUGUEÑO.doc", "Abrir Documento")</f>
        <v>0</v>
      </c>
      <c r="D12855" t="s">
        <v>23500</v>
      </c>
      <c r="E12855" t="s">
        <v>35330</v>
      </c>
    </row>
    <row r="12856" spans="1:5">
      <c r="A12856" t="s">
        <v>6</v>
      </c>
      <c r="B12856" t="s">
        <v>12861</v>
      </c>
      <c r="C12856">
        <f>HYPERLINK("C:\Users\franc\OneDrive\Documentos\MALENTIN KARIME\BANCO ESTADO\2012 DEPTO ESCRITURAS fata\NOTARIA 2009\CORPBANCA 2006  M CORTES\CV E HIPOTECA\Doc1.doc", "Abrir Documento")</f>
        <v>0</v>
      </c>
      <c r="D12856" t="s">
        <v>23500</v>
      </c>
      <c r="E12856" t="s">
        <v>35331</v>
      </c>
    </row>
    <row r="12857" spans="1:5">
      <c r="A12857" t="s">
        <v>6</v>
      </c>
      <c r="B12857" t="s">
        <v>12862</v>
      </c>
      <c r="C12857">
        <f>HYPERLINK("C:\Users\franc\OneDrive\Documentos\MALENTIN KARIME\BANCO ESTADO\2012 DEPTO ESCRITURAS fata\NOTARIA 2009\CORPBANCA 2006  M CORTES\CV E HIPOTECA\CORPBANCA A MARIANO DIAZ.doc", "Abrir Documento")</f>
        <v>0</v>
      </c>
      <c r="D12857" t="s">
        <v>23500</v>
      </c>
      <c r="E12857" t="s">
        <v>35332</v>
      </c>
    </row>
    <row r="12858" spans="1:5">
      <c r="A12858" t="s">
        <v>6</v>
      </c>
      <c r="B12858" t="s">
        <v>12863</v>
      </c>
      <c r="C12858">
        <f>HYPERLINK("C:\Users\franc\OneDrive\Documentos\MALENTIN KARIME\BANCO ESTADO\2012 DEPTO ESCRITURAS fata\NOTARIA 2009\CORPBANCA 2006  M CORTES\CV E HIPOTECA\CLAUDIA TELLO A ARTURO ANDRADE.doc", "Abrir Documento")</f>
        <v>0</v>
      </c>
      <c r="D12858" t="s">
        <v>23500</v>
      </c>
      <c r="E12858" t="s">
        <v>35333</v>
      </c>
    </row>
    <row r="12859" spans="1:5">
      <c r="A12859" t="s">
        <v>6</v>
      </c>
      <c r="B12859" t="s">
        <v>12864</v>
      </c>
      <c r="C12859">
        <f>HYPERLINK("C:\Users\franc\OneDrive\Documentos\MALENTIN KARIME\BANCO ESTADO\2012 DEPTO ESCRITURAS fata\NOTARIA 2009\CORPBANCA 2006  M CORTES\CV E HIPOTECA\ARTIGUES A COVALSA - CORPBANCA.doc", "Abrir Documento")</f>
        <v>0</v>
      </c>
      <c r="D12859" t="s">
        <v>23500</v>
      </c>
      <c r="E12859" t="s">
        <v>35334</v>
      </c>
    </row>
    <row r="12860" spans="1:5">
      <c r="A12860" t="s">
        <v>6</v>
      </c>
      <c r="B12860" t="s">
        <v>12865</v>
      </c>
      <c r="C12860">
        <f>HYPERLINK("C:\Users\franc\OneDrive\Documentos\MALENTIN KARIME\BANCO ESTADO\2012 DEPTO ESCRITURAS fata\NOTARIA 2009\CORPBANCA 2006  M CORTES\COMPRAVENTAS\SELIM DABED A CORPBANCA2.doc", "Abrir Documento")</f>
        <v>0</v>
      </c>
      <c r="D12860" t="s">
        <v>23500</v>
      </c>
      <c r="E12860" t="s">
        <v>35335</v>
      </c>
    </row>
    <row r="12861" spans="1:5">
      <c r="A12861" t="s">
        <v>6</v>
      </c>
      <c r="B12861" t="s">
        <v>12866</v>
      </c>
      <c r="C12861">
        <f>HYPERLINK("C:\Users\franc\OneDrive\Documentos\MALENTIN KARIME\BANCO ESTADO\2012 DEPTO ESCRITURAS fata\NOTARIA 2009\CORPBANCA 2006  M CORTES\COMPRAVENTAS\SELIM DABED A CORPBANCA.doc", "Abrir Documento")</f>
        <v>0</v>
      </c>
      <c r="D12861" t="s">
        <v>23500</v>
      </c>
      <c r="E12861" t="s">
        <v>35336</v>
      </c>
    </row>
    <row r="12862" spans="1:5">
      <c r="A12862" t="s">
        <v>6</v>
      </c>
      <c r="B12862" t="s">
        <v>12867</v>
      </c>
      <c r="C12862">
        <f>HYPERLINK("C:\Users\franc\OneDrive\Documentos\MALENTIN KARIME\BANCO ESTADO\2012 DEPTO ESCRITURAS fata\NOTARIA 2009\CORPBANCA 2006  M CORTES\COMPRAVENTAS\JUAN DURRUTY  A JULIO MONTERO.doc", "Abrir Documento")</f>
        <v>0</v>
      </c>
      <c r="D12862" t="s">
        <v>23500</v>
      </c>
      <c r="E12862" t="s">
        <v>35337</v>
      </c>
    </row>
    <row r="12863" spans="1:5">
      <c r="A12863" t="s">
        <v>6</v>
      </c>
      <c r="B12863" t="s">
        <v>12868</v>
      </c>
      <c r="C12863">
        <f>HYPERLINK("C:\Users\franc\OneDrive\Documentos\MALENTIN KARIME\BANCO ESTADO\2012 DEPTO ESCRITURAS fata\NOTARIA 2009\CORPBANCA 2006  M CORTES\COMPRAVENTAS\CARTA INSTRUCCIONES SELIM DABED.doc", "Abrir Documento")</f>
        <v>0</v>
      </c>
      <c r="D12863" t="s">
        <v>23500</v>
      </c>
      <c r="E12863" t="s">
        <v>35338</v>
      </c>
    </row>
    <row r="12864" spans="1:5">
      <c r="A12864" t="s">
        <v>6</v>
      </c>
      <c r="B12864" t="s">
        <v>12869</v>
      </c>
      <c r="C12864">
        <f>HYPERLINK("C:\Users\franc\OneDrive\Documentos\MALENTIN KARIME\BANCO ESTADO\2012 DEPTO ESCRITURAS fata\NOTARIA 2009\CORPBANCA 2006  M CORTES\AUTORIZACION\SOC. AGRICOLA ENTRE RIOS LTDA..doc", "Abrir Documento")</f>
        <v>0</v>
      </c>
      <c r="D12864" t="s">
        <v>23500</v>
      </c>
      <c r="E12864" t="s">
        <v>35339</v>
      </c>
    </row>
    <row r="12865" spans="1:5">
      <c r="A12865" t="s">
        <v>6</v>
      </c>
      <c r="B12865" t="s">
        <v>12870</v>
      </c>
      <c r="C12865">
        <f>HYPERLINK("C:\Users\franc\OneDrive\Documentos\MALENTIN KARIME\BANCO ESTADO\2012 DEPTO ESCRITURAS fata\NOTARIA 2009\CORPBANCA 2006  M CORTES\AUTORIZACION\SOC. AGRICOLA EL MILAGRO DE RAPEL.doc", "Abrir Documento")</f>
        <v>0</v>
      </c>
      <c r="D12865" t="s">
        <v>23500</v>
      </c>
      <c r="E12865" t="s">
        <v>35340</v>
      </c>
    </row>
    <row r="12866" spans="1:5">
      <c r="A12866" t="s">
        <v>6</v>
      </c>
      <c r="B12866" t="s">
        <v>12871</v>
      </c>
      <c r="C12866">
        <f>HYPERLINK("C:\Users\franc\OneDrive\Documentos\MALENTIN KARIME\BANCO ESTADO\2012 DEPTO ESCRITURAS fata\NOTARIA 2009\CORPBANCA 2006  M CORTES\AUTORIZACION\AGRICOLA EL ALGARROBO DE RAPEL.doc", "Abrir Documento")</f>
        <v>0</v>
      </c>
      <c r="D12866" t="s">
        <v>23500</v>
      </c>
      <c r="E12866" t="s">
        <v>35341</v>
      </c>
    </row>
    <row r="12867" spans="1:5">
      <c r="A12867" t="s">
        <v>6</v>
      </c>
      <c r="B12867" t="s">
        <v>12872</v>
      </c>
      <c r="C12867">
        <f>HYPERLINK("C:\Users\franc\OneDrive\Documentos\MALENTIN KARIME\BANCO ESTADO\2012 DEPTO ESCRITURAS fata\NOTARIA 2009\CORPBANCA 2006  M CORTES\AUTORIZACION\AGRICOLA CORDILLERA DE RAPEL.doc", "Abrir Documento")</f>
        <v>0</v>
      </c>
      <c r="D12867" t="s">
        <v>23500</v>
      </c>
      <c r="E12867" t="s">
        <v>35342</v>
      </c>
    </row>
    <row r="12868" spans="1:5">
      <c r="A12868" t="s">
        <v>6</v>
      </c>
      <c r="B12868" t="s">
        <v>12873</v>
      </c>
      <c r="C12868">
        <f>HYPERLINK("C:\Users\franc\OneDrive\Documentos\MALENTIN KARIME\BANCO ESTADO\2012 DEPTO ESCRITURAS fata\NOTARIA 2009\CORPBANCA 2006  M CORTES\AUTORIZACION\AGRICOLA BOU DE RAPEL.doc", "Abrir Documento")</f>
        <v>0</v>
      </c>
      <c r="D12868" t="s">
        <v>23500</v>
      </c>
      <c r="E12868" t="s">
        <v>35343</v>
      </c>
    </row>
    <row r="12869" spans="1:5">
      <c r="A12869" t="s">
        <v>6</v>
      </c>
      <c r="B12869" t="s">
        <v>12874</v>
      </c>
      <c r="C12869">
        <f>HYPERLINK("C:\Users\franc\OneDrive\Documentos\MALENTIN KARIME\BANCO ESTADO\2012 DEPTO ESCRITURAS fata\NOTARIA 2009\CORPBANCA 2006  M CORTES\ARRENDAMIENTOS\TRANSPORTES DABED LTDA. (DEFINITIVA).doc", "Abrir Documento")</f>
        <v>0</v>
      </c>
      <c r="D12869" t="s">
        <v>23500</v>
      </c>
      <c r="E12869" t="s">
        <v>35344</v>
      </c>
    </row>
    <row r="12870" spans="1:5">
      <c r="A12870" t="s">
        <v>6</v>
      </c>
      <c r="B12870" t="s">
        <v>12875</v>
      </c>
      <c r="C12870">
        <f>HYPERLINK("C:\Users\franc\OneDrive\Documentos\MALENTIN KARIME\BANCO ESTADO\2012 DEPTO ESCRITURAS fata\NOTARIA 2009\CORPBANCA 2006  M CORTES\ARRENDAMIENTOS\TRANSPORTES ABRILOT MODIFI.doc", "Abrir Documento")</f>
        <v>0</v>
      </c>
      <c r="D12870" t="s">
        <v>23500</v>
      </c>
      <c r="E12870" t="s">
        <v>35345</v>
      </c>
    </row>
    <row r="12871" spans="1:5">
      <c r="A12871" t="s">
        <v>6</v>
      </c>
      <c r="B12871" t="s">
        <v>12876</v>
      </c>
      <c r="C12871">
        <f>HYPERLINK("C:\Users\franc\OneDrive\Documentos\MALENTIN KARIME\BANCO ESTADO\2012 DEPTO ESCRITURAS fata\NOTARIA 2009\CORPBANCA 2006  M CORTES\ARRENDAMIENTOS\sociedad minera punitaqui scm 9932.doc", "Abrir Documento")</f>
        <v>0</v>
      </c>
      <c r="D12871" t="s">
        <v>23500</v>
      </c>
      <c r="E12871" t="s">
        <v>35346</v>
      </c>
    </row>
    <row r="12872" spans="1:5">
      <c r="A12872" t="s">
        <v>6</v>
      </c>
      <c r="B12872" t="s">
        <v>12877</v>
      </c>
      <c r="C12872">
        <f>HYPERLINK("C:\Users\franc\OneDrive\Documentos\MALENTIN KARIME\BANCO ESTADO\2012 DEPTO ESCRITURAS fata\NOTARIA 2009\CORPBANCA 2006  M CORTES\ARRENDAMIENTOS\SOC. ERIC CONTRERAS.doc", "Abrir Documento")</f>
        <v>0</v>
      </c>
      <c r="D12872" t="s">
        <v>23500</v>
      </c>
      <c r="E12872" t="s">
        <v>35347</v>
      </c>
    </row>
    <row r="12873" spans="1:5">
      <c r="A12873" t="s">
        <v>6</v>
      </c>
      <c r="B12873" t="s">
        <v>12878</v>
      </c>
      <c r="C12873">
        <f>HYPERLINK("C:\Users\franc\OneDrive\Documentos\MALENTIN KARIME\BANCO ESTADO\2012 DEPTO ESCRITURAS fata\NOTARIA 2009\CORPBANCA 2006  M CORTES\ARRENDAMIENTOS\SOC. ERIC CONTRERAS (MARZO 2008).doc", "Abrir Documento")</f>
        <v>0</v>
      </c>
      <c r="D12873" t="s">
        <v>23500</v>
      </c>
      <c r="E12873" t="s">
        <v>35348</v>
      </c>
    </row>
    <row r="12874" spans="1:5">
      <c r="A12874" t="s">
        <v>6</v>
      </c>
      <c r="B12874" t="s">
        <v>12879</v>
      </c>
      <c r="C12874">
        <f>HYPERLINK("C:\Users\franc\OneDrive\Documentos\MALENTIN KARIME\BANCO ESTADO\2012 DEPTO ESCRITURAS fata\NOTARIA 2009\CORPBANCA 2006  M CORTES\ARRENDAMIENTOS\SOC. ERIC CONTRERAS (FEBRERO 2007).doc", "Abrir Documento")</f>
        <v>0</v>
      </c>
      <c r="D12874" t="s">
        <v>23500</v>
      </c>
      <c r="E12874" t="s">
        <v>35349</v>
      </c>
    </row>
    <row r="12875" spans="1:5">
      <c r="A12875" t="s">
        <v>6</v>
      </c>
      <c r="B12875" t="s">
        <v>12880</v>
      </c>
      <c r="C12875">
        <f>HYPERLINK("C:\Users\franc\OneDrive\Documentos\MALENTIN KARIME\BANCO ESTADO\2012 DEPTO ESCRITURAS fata\NOTARIA 2009\CORPBANCA 2006  M CORTES\ARRENDAMIENTOS\SOC. ARKON (CESION).doc", "Abrir Documento")</f>
        <v>0</v>
      </c>
      <c r="D12875" t="s">
        <v>23500</v>
      </c>
      <c r="E12875" t="s">
        <v>35350</v>
      </c>
    </row>
    <row r="12876" spans="1:5">
      <c r="A12876" t="s">
        <v>6</v>
      </c>
      <c r="B12876" t="s">
        <v>12881</v>
      </c>
      <c r="C12876">
        <f>HYPERLINK("C:\Users\franc\OneDrive\Documentos\MALENTIN KARIME\BANCO ESTADO\2012 DEPTO ESCRITURAS fata\NOTARIA 2009\CORPBANCA 2006  M CORTES\ARRENDAMIENTOS\SOC. ANGOSTURA.doc", "Abrir Documento")</f>
        <v>0</v>
      </c>
      <c r="D12876" t="s">
        <v>23500</v>
      </c>
      <c r="E12876" t="s">
        <v>35351</v>
      </c>
    </row>
    <row r="12877" spans="1:5">
      <c r="A12877" t="s">
        <v>6</v>
      </c>
      <c r="B12877" t="s">
        <v>12882</v>
      </c>
      <c r="C12877">
        <f>HYPERLINK("C:\Users\franc\OneDrive\Documentos\MALENTIN KARIME\BANCO ESTADO\2012 DEPTO ESCRITURAS fata\NOTARIA 2009\CORPBANCA 2006  M CORTES\ARRENDAMIENTOS\SOC. AGR. Y FRIGORIFICO SOTAQUI S.A..doc", "Abrir Documento")</f>
        <v>0</v>
      </c>
      <c r="D12877" t="s">
        <v>23500</v>
      </c>
      <c r="E12877" t="s">
        <v>35352</v>
      </c>
    </row>
    <row r="12878" spans="1:5">
      <c r="A12878" t="s">
        <v>6</v>
      </c>
      <c r="B12878" t="s">
        <v>12883</v>
      </c>
      <c r="C12878">
        <f>HYPERLINK("C:\Users\franc\OneDrive\Documentos\MALENTIN KARIME\BANCO ESTADO\2012 DEPTO ESCRITURAS fata\NOTARIA 2009\CORPBANCA 2006  M CORTES\ARRENDAMIENTOS\SERGIO GUERRERO.doc", "Abrir Documento")</f>
        <v>0</v>
      </c>
      <c r="D12878" t="s">
        <v>23500</v>
      </c>
      <c r="E12878" t="s">
        <v>35353</v>
      </c>
    </row>
    <row r="12879" spans="1:5">
      <c r="A12879" t="s">
        <v>6</v>
      </c>
      <c r="B12879" t="s">
        <v>12884</v>
      </c>
      <c r="C12879">
        <f>HYPERLINK("C:\Users\franc\OneDrive\Documentos\MALENTIN KARIME\BANCO ESTADO\2012 DEPTO ESCRITURAS fata\NOTARIA 2009\CORPBANCA 2006  M CORTES\ARRENDAMIENTOS\RICARDO ALLENDE SENTIS.doc", "Abrir Documento")</f>
        <v>0</v>
      </c>
      <c r="D12879" t="s">
        <v>23500</v>
      </c>
      <c r="E12879" t="s">
        <v>35354</v>
      </c>
    </row>
    <row r="12880" spans="1:5">
      <c r="A12880" t="s">
        <v>6</v>
      </c>
      <c r="B12880" t="s">
        <v>12885</v>
      </c>
      <c r="C12880">
        <f>HYPERLINK("C:\Users\franc\OneDrive\Documentos\MALENTIN KARIME\BANCO ESTADO\2012 DEPTO ESCRITURAS fata\NOTARIA 2009\CORPBANCA 2006  M CORTES\ARRENDAMIENTOS\LUISA TORREJON.doc", "Abrir Documento")</f>
        <v>0</v>
      </c>
      <c r="D12880" t="s">
        <v>23500</v>
      </c>
      <c r="E12880" t="s">
        <v>35355</v>
      </c>
    </row>
    <row r="12881" spans="1:5">
      <c r="A12881" t="s">
        <v>6</v>
      </c>
      <c r="B12881" t="s">
        <v>12886</v>
      </c>
      <c r="C12881">
        <f>HYPERLINK("C:\Users\franc\OneDrive\Documentos\MALENTIN KARIME\BANCO ESTADO\2012 DEPTO ESCRITURAS fata\NOTARIA 2009\CORPBANCA 2006  M CORTES\ARRENDAMIENTOS\LUIS MARIN EIRL JUNIO 2009.doc", "Abrir Documento")</f>
        <v>0</v>
      </c>
      <c r="D12881" t="s">
        <v>23500</v>
      </c>
      <c r="E12881" t="s">
        <v>35356</v>
      </c>
    </row>
    <row r="12882" spans="1:5">
      <c r="A12882" t="s">
        <v>6</v>
      </c>
      <c r="B12882" t="s">
        <v>12887</v>
      </c>
      <c r="C12882">
        <f>HYPERLINK("C:\Users\franc\OneDrive\Documentos\MALENTIN KARIME\BANCO ESTADO\2012 DEPTO ESCRITURAS fata\NOTARIA 2009\CORPBANCA 2006  M CORTES\ARRENDAMIENTOS\LUIS MARIN E.I.R.L. 2.000.006.doc", "Abrir Documento")</f>
        <v>0</v>
      </c>
      <c r="D12882" t="s">
        <v>23500</v>
      </c>
      <c r="E12882" t="s">
        <v>35357</v>
      </c>
    </row>
    <row r="12883" spans="1:5">
      <c r="A12883" t="s">
        <v>6</v>
      </c>
      <c r="B12883" t="s">
        <v>12888</v>
      </c>
      <c r="C12883">
        <f>HYPERLINK("C:\Users\franc\OneDrive\Documentos\MALENTIN KARIME\BANCO ESTADO\2012 DEPTO ESCRITURAS fata\NOTARIA 2009\CORPBANCA 2006  M CORTES\ARRENDAMIENTOS\LUIS MARIN 12266.doc", "Abrir Documento")</f>
        <v>0</v>
      </c>
      <c r="D12883" t="s">
        <v>23500</v>
      </c>
      <c r="E12883" t="s">
        <v>35358</v>
      </c>
    </row>
    <row r="12884" spans="1:5">
      <c r="A12884" t="s">
        <v>6</v>
      </c>
      <c r="B12884" t="s">
        <v>12889</v>
      </c>
      <c r="C12884">
        <f>HYPERLINK("C:\Users\franc\OneDrive\Documentos\MALENTIN KARIME\BANCO ESTADO\2012 DEPTO ESCRITURAS fata\NOTARIA 2009\CORPBANCA 2006  M CORTES\ARRENDAMIENTOS\LUIS MARIN 12265.doc", "Abrir Documento")</f>
        <v>0</v>
      </c>
      <c r="D12884" t="s">
        <v>23500</v>
      </c>
      <c r="E12884" t="s">
        <v>35359</v>
      </c>
    </row>
    <row r="12885" spans="1:5">
      <c r="A12885" t="s">
        <v>6</v>
      </c>
      <c r="B12885" t="s">
        <v>12890</v>
      </c>
      <c r="C12885">
        <f>HYPERLINK("C:\Users\franc\OneDrive\Documentos\MALENTIN KARIME\BANCO ESTADO\2012 DEPTO ESCRITURAS fata\NOTARIA 2009\CORPBANCA 2006  M CORTES\ARRENDAMIENTOS\IMPUESTO VEHICULO.doc", "Abrir Documento")</f>
        <v>0</v>
      </c>
      <c r="D12885" t="s">
        <v>23500</v>
      </c>
      <c r="E12885" t="s">
        <v>35360</v>
      </c>
    </row>
    <row r="12886" spans="1:5">
      <c r="A12886" t="s">
        <v>6</v>
      </c>
      <c r="B12886" t="s">
        <v>12891</v>
      </c>
      <c r="C12886">
        <f>HYPERLINK("C:\Users\franc\OneDrive\Documentos\MALENTIN KARIME\BANCO ESTADO\2012 DEPTO ESCRITURAS fata\NOTARIA 2009\CORPBANCA 2006  M CORTES\ARRENDAMIENTOS\HERNAN CONTRERAS.doc", "Abrir Documento")</f>
        <v>0</v>
      </c>
      <c r="D12886" t="s">
        <v>23500</v>
      </c>
      <c r="E12886" t="s">
        <v>35361</v>
      </c>
    </row>
    <row r="12887" spans="1:5">
      <c r="A12887" t="s">
        <v>6</v>
      </c>
      <c r="B12887" t="s">
        <v>12892</v>
      </c>
      <c r="C12887">
        <f>HYPERLINK("C:\Users\franc\OneDrive\Documentos\MALENTIN KARIME\BANCO ESTADO\2012 DEPTO ESCRITURAS fata\NOTARIA 2009\CORPBANCA 2006  M CORTES\ARRENDAMIENTOS\HERNAN CONTRERAS Y CONYUGE.doc", "Abrir Documento")</f>
        <v>0</v>
      </c>
      <c r="D12887" t="s">
        <v>23500</v>
      </c>
      <c r="E12887" t="s">
        <v>35362</v>
      </c>
    </row>
    <row r="12888" spans="1:5">
      <c r="A12888" t="s">
        <v>6</v>
      </c>
      <c r="B12888" t="s">
        <v>12893</v>
      </c>
      <c r="C12888">
        <f>HYPERLINK("C:\Users\franc\OneDrive\Documentos\MALENTIN KARIME\BANCO ESTADO\2012 DEPTO ESCRITURAS fata\NOTARIA 2009\CORPBANCA 2006  M CORTES\ARRENDAMIENTOS\HERMAN TELLO MARIN.doc", "Abrir Documento")</f>
        <v>0</v>
      </c>
      <c r="D12888" t="s">
        <v>23500</v>
      </c>
      <c r="E12888" t="s">
        <v>35363</v>
      </c>
    </row>
    <row r="12889" spans="1:5">
      <c r="A12889" t="s">
        <v>6</v>
      </c>
      <c r="B12889" t="s">
        <v>12894</v>
      </c>
      <c r="C12889">
        <f>HYPERLINK("C:\Users\franc\OneDrive\Documentos\MALENTIN KARIME\BANCO ESTADO\2012 DEPTO ESCRITURAS fata\NOTARIA 2009\CORPBANCA 2006  M CORTES\ARRENDAMIENTOS\HERMAN TELLO FINAL.doc", "Abrir Documento")</f>
        <v>0</v>
      </c>
      <c r="D12889" t="s">
        <v>23500</v>
      </c>
      <c r="E12889" t="s">
        <v>35364</v>
      </c>
    </row>
    <row r="12890" spans="1:5">
      <c r="A12890" t="s">
        <v>6</v>
      </c>
      <c r="B12890" t="s">
        <v>12895</v>
      </c>
      <c r="C12890">
        <f>HYPERLINK("C:\Users\franc\OneDrive\Documentos\MALENTIN KARIME\BANCO ESTADO\2012 DEPTO ESCRITURAS fata\NOTARIA 2009\CORPBANCA 2006  M CORTES\ARRENDAMIENTOS\ENIO ARAYA Y SOC..doc", "Abrir Documento")</f>
        <v>0</v>
      </c>
      <c r="D12890" t="s">
        <v>23500</v>
      </c>
      <c r="E12890" t="s">
        <v>35365</v>
      </c>
    </row>
    <row r="12891" spans="1:5">
      <c r="A12891" t="s">
        <v>6</v>
      </c>
      <c r="B12891" t="s">
        <v>12896</v>
      </c>
      <c r="C12891">
        <f>HYPERLINK("C:\Users\franc\OneDrive\Documentos\MALENTIN KARIME\BANCO ESTADO\2012 DEPTO ESCRITURAS fata\NOTARIA 2009\CORPBANCA 2006  M CORTES\ARRENDAMIENTOS\ENIO ARAYA FINAL.doc", "Abrir Documento")</f>
        <v>0</v>
      </c>
      <c r="D12891" t="s">
        <v>23500</v>
      </c>
      <c r="E12891" t="s">
        <v>35366</v>
      </c>
    </row>
    <row r="12892" spans="1:5">
      <c r="A12892" t="s">
        <v>6</v>
      </c>
      <c r="B12892" t="s">
        <v>12897</v>
      </c>
      <c r="C12892">
        <f>HYPERLINK("C:\Users\franc\OneDrive\Documentos\MALENTIN KARIME\BANCO ESTADO\2012 DEPTO ESCRITURAS fata\NOTARIA 2009\CORPBANCA 2006  M CORTES\ARRENDAMIENTOS\COMERCIAL IFMAN FOTO.doc", "Abrir Documento")</f>
        <v>0</v>
      </c>
      <c r="D12892" t="s">
        <v>23500</v>
      </c>
      <c r="E12892" t="s">
        <v>35367</v>
      </c>
    </row>
    <row r="12893" spans="1:5">
      <c r="A12893" t="s">
        <v>6</v>
      </c>
      <c r="B12893" t="s">
        <v>12898</v>
      </c>
      <c r="C12893">
        <f>HYPERLINK("C:\Users\franc\OneDrive\Documentos\MALENTIN KARIME\BANCO ESTADO\2012 DEPTO ESCRITURAS fata\NOTARIA 2009\CORPBANCA 2006  M CORTES\ARRENDAMIENTOS\COMERCIAL ARTIGUES MARZO 2008.doc", "Abrir Documento")</f>
        <v>0</v>
      </c>
      <c r="D12893" t="s">
        <v>23500</v>
      </c>
      <c r="E12893" t="s">
        <v>35368</v>
      </c>
    </row>
    <row r="12894" spans="1:5">
      <c r="A12894" t="s">
        <v>6</v>
      </c>
      <c r="B12894" t="s">
        <v>12899</v>
      </c>
      <c r="C12894">
        <f>HYPERLINK("C:\Users\franc\OneDrive\Documentos\MALENTIN KARIME\BANCO ESTADO\2012 DEPTO ESCRITURAS fata\NOTARIA 2009\CORPBANCA 2006  M CORTES\ARRENDAMIENTOS\COMERCIAL ARTIGUES (NOV. 2007).doc", "Abrir Documento")</f>
        <v>0</v>
      </c>
      <c r="D12894" t="s">
        <v>23500</v>
      </c>
      <c r="E12894" t="s">
        <v>35369</v>
      </c>
    </row>
    <row r="12895" spans="1:5">
      <c r="A12895" t="s">
        <v>6</v>
      </c>
      <c r="B12895" t="s">
        <v>12900</v>
      </c>
      <c r="C12895">
        <f>HYPERLINK("C:\Users\franc\OneDrive\Documentos\MALENTIN KARIME\BANCO ESTADO\2012 DEPTO ESCRITURAS fata\NOTARIA 2009\CORPBANCA 2006  M CORTES\ARRENDAMIENTOS\CARLOS LEON PERINES.doc", "Abrir Documento")</f>
        <v>0</v>
      </c>
      <c r="D12895" t="s">
        <v>23500</v>
      </c>
      <c r="E12895" t="s">
        <v>35370</v>
      </c>
    </row>
    <row r="12896" spans="1:5">
      <c r="A12896" t="s">
        <v>6</v>
      </c>
      <c r="B12896" t="s">
        <v>12901</v>
      </c>
      <c r="C12896">
        <f>HYPERLINK("C:\Users\franc\OneDrive\Documentos\MALENTIN KARIME\BANCO ESTADO\2012 DEPTO ESCRITURAS fata\NOTARIA 2009\CORPBANCA 2006  M CORTES\ARRENDAMIENTOS\CANTA RANA.doc", "Abrir Documento")</f>
        <v>0</v>
      </c>
      <c r="D12896" t="s">
        <v>23500</v>
      </c>
      <c r="E12896" t="s">
        <v>35371</v>
      </c>
    </row>
    <row r="12897" spans="1:5">
      <c r="A12897" t="s">
        <v>6</v>
      </c>
      <c r="B12897" t="s">
        <v>12902</v>
      </c>
      <c r="C12897">
        <f>HYPERLINK("C:\Users\franc\OneDrive\Documentos\MALENTIN KARIME\BANCO ESTADO\2012 DEPTO ESCRITURAS fata\NOTARIA 2009\CORPBANCA 2006  M CORTES\ARRENDAMIENTOS\ALICIA CUEVAS.doc", "Abrir Documento")</f>
        <v>0</v>
      </c>
      <c r="D12897" t="s">
        <v>23500</v>
      </c>
      <c r="E12897" t="s">
        <v>35372</v>
      </c>
    </row>
    <row r="12898" spans="1:5">
      <c r="A12898" t="s">
        <v>6</v>
      </c>
      <c r="B12898" t="s">
        <v>12903</v>
      </c>
      <c r="C12898">
        <f>HYPERLINK("C:\Users\franc\OneDrive\Documentos\MALENTIN KARIME\BANCO ESTADO\2012 DEPTO ESCRITURAS fata\NOTARIA 2009\CORPBANCA 2006  M CORTES\ARRENDAMIENTOS\AGRONOBLE S.A. CTTO. 10158.doc", "Abrir Documento")</f>
        <v>0</v>
      </c>
      <c r="D12898" t="s">
        <v>23500</v>
      </c>
      <c r="E12898" t="s">
        <v>35373</v>
      </c>
    </row>
    <row r="12899" spans="1:5">
      <c r="A12899" t="s">
        <v>6</v>
      </c>
      <c r="B12899" t="s">
        <v>12904</v>
      </c>
      <c r="C12899">
        <f>HYPERLINK("C:\Users\franc\OneDrive\Documentos\MALENTIN KARIME\BANCO ESTADO\2012 DEPTO ESCRITURAS fata\NOTARIA 2009\CORPBANCA 2006  M CORTES\ARRENDAMIENTOS\AGRONOBLE S.A. CTT. 10.157.doc", "Abrir Documento")</f>
        <v>0</v>
      </c>
      <c r="D12899" t="s">
        <v>23500</v>
      </c>
      <c r="E12899" t="s">
        <v>35374</v>
      </c>
    </row>
    <row r="12900" spans="1:5">
      <c r="A12900" t="s">
        <v>6</v>
      </c>
      <c r="B12900" t="s">
        <v>12905</v>
      </c>
      <c r="C12900">
        <f>HYPERLINK("C:\Users\franc\OneDrive\Documentos\MALENTIN KARIME\BANCO ESTADO\2012 DEPTO ESCRITURAS fata\NOTARIA 2009\CORPBANCA 2006  M CORTES\ARRENDAMIENTOS\AGRONOBLE DICIEMBRE 2008.doc", "Abrir Documento")</f>
        <v>0</v>
      </c>
      <c r="D12900" t="s">
        <v>23500</v>
      </c>
      <c r="E12900" t="s">
        <v>35375</v>
      </c>
    </row>
    <row r="12901" spans="1:5">
      <c r="A12901" t="s">
        <v>6</v>
      </c>
      <c r="B12901" t="s">
        <v>12906</v>
      </c>
      <c r="C12901">
        <f>HYPERLINK("C:\Users\franc\OneDrive\Documentos\MALENTIN KARIME\BANCO ESTADO\2012 DEPTO ESCRITURAS fata\NOTARIA 2009\CORPBANCA 2006  M CORTES\ARRENDAMIENTOS\AGROINDUSTRIAL SOTAQUI S.A (MARZO 2008).doc", "Abrir Documento")</f>
        <v>0</v>
      </c>
      <c r="D12901" t="s">
        <v>23500</v>
      </c>
      <c r="E12901" t="s">
        <v>35376</v>
      </c>
    </row>
    <row r="12902" spans="1:5">
      <c r="A12902" t="s">
        <v>6</v>
      </c>
      <c r="B12902" t="s">
        <v>12907</v>
      </c>
      <c r="C12902">
        <f>HYPERLINK("C:\Users\franc\OneDrive\Documentos\MALENTIN KARIME\BANCO ESTADO\2012 DEPTO ESCRITURAS fata\NOTARIA 2009\CORPBANCA 2006  M CORTES\ARRENDAMIENTOS\AGRICOLA CANTA RANA (OCTUBRE 2009).doc", "Abrir Documento")</f>
        <v>0</v>
      </c>
      <c r="D12902" t="s">
        <v>23500</v>
      </c>
      <c r="E12902" t="s">
        <v>35377</v>
      </c>
    </row>
    <row r="12903" spans="1:5">
      <c r="A12903" t="s">
        <v>6</v>
      </c>
      <c r="B12903" t="s">
        <v>12908</v>
      </c>
      <c r="C12903">
        <f>HYPERLINK("C:\Users\franc\OneDrive\Documentos\MALENTIN KARIME\BANCO ESTADO\2012 DEPTO ESCRITURAS fata\NOTARIA 2009\CORPBANCA 2006  M CORTES\ARRENDAMIENTOS\9682 Soc Constra Arkon.doc", "Abrir Documento")</f>
        <v>0</v>
      </c>
      <c r="D12903" t="s">
        <v>23500</v>
      </c>
      <c r="E12903" t="s">
        <v>35378</v>
      </c>
    </row>
    <row r="12904" spans="1:5">
      <c r="A12904" t="s">
        <v>6</v>
      </c>
      <c r="B12904" t="s">
        <v>12909</v>
      </c>
      <c r="C12904">
        <f>HYPERLINK("C:\Users\franc\OneDrive\Documentos\MALENTIN KARIME\BANCO ESTADO\2012 DEPTO ESCRITURAS fata\NOTARIA 2009\CORPBANCA 2006  M CORTES\ARRENDAMIENTOS\9682 Soc Constra Arkon FINAL.doc", "Abrir Documento")</f>
        <v>0</v>
      </c>
      <c r="D12904" t="s">
        <v>23500</v>
      </c>
      <c r="E12904" t="s">
        <v>35379</v>
      </c>
    </row>
    <row r="12905" spans="1:5">
      <c r="A12905" t="s">
        <v>6</v>
      </c>
      <c r="B12905" t="s">
        <v>12910</v>
      </c>
      <c r="C12905">
        <f>HYPERLINK("C:\Users\franc\OneDrive\Documentos\MALENTIN KARIME\BANCO ESTADO\2012 DEPTO ESCRITURAS fata\NOTARIA 2009\CORPBANCA 2006  M CORTES\ARRENDAMIENTOS\9610 ACTA Soc Eric Contreras.doc", "Abrir Documento")</f>
        <v>0</v>
      </c>
      <c r="D12905" t="s">
        <v>23500</v>
      </c>
      <c r="E12905" t="s">
        <v>35380</v>
      </c>
    </row>
    <row r="12906" spans="1:5">
      <c r="A12906" t="s">
        <v>6</v>
      </c>
      <c r="B12906" t="s">
        <v>12911</v>
      </c>
      <c r="C12906">
        <f>HYPERLINK("C:\Users\franc\OneDrive\Documentos\MALENTIN KARIME\BANCO ESTADO\2012 DEPTO ESCRITURAS fata\NOTARIA 2009\CORPBANCA 2006  M CORTES\ARRENDAMIENTOS\9307 Selim Dabed publica GOR.doc", "Abrir Documento")</f>
        <v>0</v>
      </c>
      <c r="D12906" t="s">
        <v>23500</v>
      </c>
      <c r="E12906" t="s">
        <v>35381</v>
      </c>
    </row>
    <row r="12907" spans="1:5">
      <c r="A12907" t="s">
        <v>6</v>
      </c>
      <c r="B12907" t="s">
        <v>12912</v>
      </c>
      <c r="C12907">
        <f>HYPERLINK("C:\Users\franc\OneDrive\Documentos\MALENTIN KARIME\BANCO ESTADO\2012 DEPTO ESCRITURAS fata\NOTARIA 2009\CORPBANCA 2006  M CORTES\ALZAMIENTOS\WILSON PIZARRO.doc", "Abrir Documento")</f>
        <v>0</v>
      </c>
      <c r="D12907" t="s">
        <v>23500</v>
      </c>
      <c r="E12907" t="s">
        <v>35382</v>
      </c>
    </row>
    <row r="12908" spans="1:5">
      <c r="A12908" t="s">
        <v>6</v>
      </c>
      <c r="B12908" t="s">
        <v>12913</v>
      </c>
      <c r="C12908">
        <f>HYPERLINK("C:\Users\franc\OneDrive\Documentos\MALENTIN KARIME\BANCO ESTADO\2012 DEPTO ESCRITURAS fata\NOTARIA 2009\CORPBANCA 2006  M CORTES\ALZAMIENTOS\SEGUNDO TAPIA.doc", "Abrir Documento")</f>
        <v>0</v>
      </c>
      <c r="D12908" t="s">
        <v>23500</v>
      </c>
      <c r="E12908" t="s">
        <v>35383</v>
      </c>
    </row>
    <row r="12909" spans="1:5">
      <c r="A12909" t="s">
        <v>6</v>
      </c>
      <c r="B12909" t="s">
        <v>12914</v>
      </c>
      <c r="C12909">
        <f>HYPERLINK("C:\Users\franc\OneDrive\Documentos\MALENTIN KARIME\BANCO ESTADO\2012 DEPTO ESCRITURAS fata\NOTARIA 2009\CORPBANCA 2006  M CORTES\ALZAMIENTOS\RICARDO ALLENDE SENTIS.doc", "Abrir Documento")</f>
        <v>0</v>
      </c>
      <c r="D12909" t="s">
        <v>23500</v>
      </c>
      <c r="E12909" t="s">
        <v>35384</v>
      </c>
    </row>
    <row r="12910" spans="1:5">
      <c r="A12910" t="s">
        <v>6</v>
      </c>
      <c r="B12910" t="s">
        <v>12915</v>
      </c>
      <c r="C12910">
        <f>HYPERLINK("C:\Users\franc\OneDrive\Documentos\MALENTIN KARIME\BANCO ESTADO\2012 DEPTO ESCRITURAS fata\NOTARIA 2009\CORPBANCA 2006  M CORTES\ALZAMIENTOS\PAULA CORRRAL.doc", "Abrir Documento")</f>
        <v>0</v>
      </c>
      <c r="D12910" t="s">
        <v>23500</v>
      </c>
      <c r="E12910" t="s">
        <v>35385</v>
      </c>
    </row>
    <row r="12911" spans="1:5">
      <c r="A12911" t="s">
        <v>6</v>
      </c>
      <c r="B12911" t="s">
        <v>12916</v>
      </c>
      <c r="C12911">
        <f>HYPERLINK("C:\Users\franc\OneDrive\Documentos\MALENTIN KARIME\BANCO ESTADO\2012 DEPTO ESCRITURAS fata\NOTARIA 2009\CORPBANCA 2006  M CORTES\ALZAMIENTOS\NORA ALFONSO PERALTA.doc", "Abrir Documento")</f>
        <v>0</v>
      </c>
      <c r="D12911" t="s">
        <v>23500</v>
      </c>
      <c r="E12911" t="s">
        <v>35386</v>
      </c>
    </row>
    <row r="12912" spans="1:5">
      <c r="A12912" t="s">
        <v>6</v>
      </c>
      <c r="B12912" t="s">
        <v>12917</v>
      </c>
      <c r="C12912">
        <f>HYPERLINK("C:\Users\franc\OneDrive\Documentos\MALENTIN KARIME\BANCO ESTADO\2012 DEPTO ESCRITURAS fata\NOTARIA 2009\CORPBANCA 2006  M CORTES\ALZAMIENTOS\MARIO BARRIOS.doc", "Abrir Documento")</f>
        <v>0</v>
      </c>
      <c r="D12912" t="s">
        <v>23500</v>
      </c>
      <c r="E12912" t="s">
        <v>35387</v>
      </c>
    </row>
    <row r="12913" spans="1:5">
      <c r="A12913" t="s">
        <v>6</v>
      </c>
      <c r="B12913" t="s">
        <v>12918</v>
      </c>
      <c r="C12913">
        <f>HYPERLINK("C:\Users\franc\OneDrive\Documentos\MALENTIN KARIME\BANCO ESTADO\2012 DEPTO ESCRITURAS fata\NOTARIA 2009\CORPBANCA 2006  M CORTES\ALZAMIENTOS\MARIA CASANOVA PINTO.doc", "Abrir Documento")</f>
        <v>0</v>
      </c>
      <c r="D12913" t="s">
        <v>23500</v>
      </c>
      <c r="E12913" t="s">
        <v>35388</v>
      </c>
    </row>
    <row r="12914" spans="1:5">
      <c r="A12914" t="s">
        <v>6</v>
      </c>
      <c r="B12914" t="s">
        <v>12919</v>
      </c>
      <c r="C12914">
        <f>HYPERLINK("C:\Users\franc\OneDrive\Documentos\MALENTIN KARIME\BANCO ESTADO\2012 DEPTO ESCRITURAS fata\NOTARIA 2009\CORPBANCA 2006  M CORTES\ALZAMIENTOS\LUIS MORGADO ILLANES.doc", "Abrir Documento")</f>
        <v>0</v>
      </c>
      <c r="D12914" t="s">
        <v>23500</v>
      </c>
      <c r="E12914" t="s">
        <v>35389</v>
      </c>
    </row>
    <row r="12915" spans="1:5">
      <c r="A12915" t="s">
        <v>6</v>
      </c>
      <c r="B12915" t="s">
        <v>12920</v>
      </c>
      <c r="C12915">
        <f>HYPERLINK("C:\Users\franc\OneDrive\Documentos\MALENTIN KARIME\BANCO ESTADO\2012 DEPTO ESCRITURAS fata\NOTARIA 2009\CORPBANCA 2006  M CORTES\ALZAMIENTOS\JOSE OSSA HUENOLAF.doc", "Abrir Documento")</f>
        <v>0</v>
      </c>
      <c r="D12915" t="s">
        <v>23500</v>
      </c>
      <c r="E12915" t="s">
        <v>35390</v>
      </c>
    </row>
    <row r="12916" spans="1:5">
      <c r="A12916" t="s">
        <v>6</v>
      </c>
      <c r="B12916" t="s">
        <v>12921</v>
      </c>
      <c r="C12916">
        <f>HYPERLINK("C:\Users\franc\OneDrive\Documentos\MALENTIN KARIME\BANCO ESTADO\2012 DEPTO ESCRITURAS fata\NOTARIA 2009\CORPBANCA 2006  M CORTES\ALZAMIENTOS\JOHANNA SEGOVIA PIZARRO.doc", "Abrir Documento")</f>
        <v>0</v>
      </c>
      <c r="D12916" t="s">
        <v>23500</v>
      </c>
      <c r="E12916" t="s">
        <v>35391</v>
      </c>
    </row>
    <row r="12917" spans="1:5">
      <c r="A12917" t="s">
        <v>6</v>
      </c>
      <c r="B12917" t="s">
        <v>12922</v>
      </c>
      <c r="C12917">
        <f>HYPERLINK("C:\Users\franc\OneDrive\Documentos\MALENTIN KARIME\BANCO ESTADO\2012 DEPTO ESCRITURAS fata\NOTARIA 2009\CORPBANCA 2006  M CORTES\ALZAMIENTOS\JOHANNA BORDONES CARVAJAL.doc", "Abrir Documento")</f>
        <v>0</v>
      </c>
      <c r="D12917" t="s">
        <v>23500</v>
      </c>
      <c r="E12917" t="s">
        <v>35392</v>
      </c>
    </row>
    <row r="12918" spans="1:5">
      <c r="A12918" t="s">
        <v>6</v>
      </c>
      <c r="B12918" t="s">
        <v>12923</v>
      </c>
      <c r="C12918">
        <f>HYPERLINK("C:\Users\franc\OneDrive\Documentos\MALENTIN KARIME\BANCO ESTADO\2012 DEPTO ESCRITURAS fata\NOTARIA 2009\CORPBANCA 2006  M CORTES\ALZAMIENTOS\HUGO MARTINEZ GALVEZ.doc", "Abrir Documento")</f>
        <v>0</v>
      </c>
      <c r="D12918" t="s">
        <v>23500</v>
      </c>
      <c r="E12918" t="s">
        <v>35393</v>
      </c>
    </row>
    <row r="12919" spans="1:5">
      <c r="A12919" t="s">
        <v>6</v>
      </c>
      <c r="B12919" t="s">
        <v>12924</v>
      </c>
      <c r="C12919">
        <f>HYPERLINK("C:\Users\franc\OneDrive\Documentos\MALENTIN KARIME\BANCO ESTADO\2012 DEPTO ESCRITURAS fata\NOTARIA 2009\CORPBANCA 2006  M CORTES\ALZAMIENTOS\HECTOR HENOTT (CALLEGARI).doc", "Abrir Documento")</f>
        <v>0</v>
      </c>
      <c r="D12919" t="s">
        <v>23500</v>
      </c>
      <c r="E12919" t="s">
        <v>35394</v>
      </c>
    </row>
    <row r="12920" spans="1:5">
      <c r="A12920" t="s">
        <v>6</v>
      </c>
      <c r="B12920" t="s">
        <v>12925</v>
      </c>
      <c r="C12920">
        <f>HYPERLINK("C:\Users\franc\OneDrive\Documentos\MALENTIN KARIME\BANCO ESTADO\2012 DEPTO ESCRITURAS fata\NOTARIA 2009\CORPBANCA 2006  M CORTES\ALZAMIENTOS\GUTIERREZ HNOS. 2.doc", "Abrir Documento")</f>
        <v>0</v>
      </c>
      <c r="D12920" t="s">
        <v>23500</v>
      </c>
      <c r="E12920" t="s">
        <v>35395</v>
      </c>
    </row>
    <row r="12921" spans="1:5">
      <c r="A12921" t="s">
        <v>6</v>
      </c>
      <c r="B12921" t="s">
        <v>12926</v>
      </c>
      <c r="C12921">
        <f>HYPERLINK("C:\Users\franc\OneDrive\Documentos\MALENTIN KARIME\BANCO ESTADO\2012 DEPTO ESCRITURAS fata\NOTARIA 2009\CORPBANCA 2006  M CORTES\ALZAMIENTOS\GUTIERREZ HNOS. 1.doc", "Abrir Documento")</f>
        <v>0</v>
      </c>
      <c r="D12921" t="s">
        <v>23500</v>
      </c>
      <c r="E12921" t="s">
        <v>35396</v>
      </c>
    </row>
    <row r="12922" spans="1:5">
      <c r="A12922" t="s">
        <v>6</v>
      </c>
      <c r="B12922" t="s">
        <v>12927</v>
      </c>
      <c r="C12922">
        <f>HYPERLINK("C:\Users\franc\OneDrive\Documentos\MALENTIN KARIME\BANCO ESTADO\2012 DEPTO ESCRITURAS fata\NOTARIA 2009\CORPBANCA 2006  M CORTES\ALZAMIENTOS\GALVARINO VIORKLUMDS.doc", "Abrir Documento")</f>
        <v>0</v>
      </c>
      <c r="D12922" t="s">
        <v>23500</v>
      </c>
      <c r="E12922" t="s">
        <v>35397</v>
      </c>
    </row>
    <row r="12923" spans="1:5">
      <c r="A12923" t="s">
        <v>6</v>
      </c>
      <c r="B12923" t="s">
        <v>12928</v>
      </c>
      <c r="C12923">
        <f>HYPERLINK("C:\Users\franc\OneDrive\Documentos\MALENTIN KARIME\BANCO ESTADO\2012 DEPTO ESCRITURAS fata\NOTARIA 2009\CORPBANCA 2006  M CORTES\ALZAMIENTOS\ELIANA CARVAJAL.doc", "Abrir Documento")</f>
        <v>0</v>
      </c>
      <c r="D12923" t="s">
        <v>23500</v>
      </c>
      <c r="E12923" t="s">
        <v>35398</v>
      </c>
    </row>
    <row r="12924" spans="1:5">
      <c r="A12924" t="s">
        <v>6</v>
      </c>
      <c r="B12924" t="s">
        <v>12929</v>
      </c>
      <c r="C12924">
        <f>HYPERLINK("C:\Users\franc\OneDrive\Documentos\MALENTIN KARIME\BANCO ESTADO\2012 DEPTO ESCRITURAS fata\NOTARIA 2009\CORPBANCA 2006  M CORTES\ALZAMIENTOS\CONSTRUCTORA RIO LIMARI.doc", "Abrir Documento")</f>
        <v>0</v>
      </c>
      <c r="D12924" t="s">
        <v>23500</v>
      </c>
      <c r="E12924" t="s">
        <v>35399</v>
      </c>
    </row>
    <row r="12925" spans="1:5">
      <c r="A12925" t="s">
        <v>6</v>
      </c>
      <c r="B12925" t="s">
        <v>12930</v>
      </c>
      <c r="C12925">
        <f>HYPERLINK("C:\Users\franc\OneDrive\Documentos\MALENTIN KARIME\BANCO ESTADO\2012 DEPTO ESCRITURAS fata\NOTARIA 2009\CORPBANCA 2006  M CORTES\ALZAMIENTOS\BANIA OLIVARES (LIBERACION).doc", "Abrir Documento")</f>
        <v>0</v>
      </c>
      <c r="D12925" t="s">
        <v>23500</v>
      </c>
      <c r="E12925" t="s">
        <v>35400</v>
      </c>
    </row>
    <row r="12926" spans="1:5">
      <c r="A12926" t="s">
        <v>6</v>
      </c>
      <c r="B12926" t="s">
        <v>12931</v>
      </c>
      <c r="C12926">
        <f>HYPERLINK("C:\Users\franc\OneDrive\Documentos\MALENTIN KARIME\BANCO ESTADO\2012 DEPTO ESCRITURAS fata\NOTARIA 2009\CORPBANCA 2006  M CORTES\ALZAMIENTOS\ALFONSO ARTIGUES Y OTRO.doc", "Abrir Documento")</f>
        <v>0</v>
      </c>
      <c r="D12926" t="s">
        <v>23500</v>
      </c>
      <c r="E12926" t="s">
        <v>35401</v>
      </c>
    </row>
    <row r="12927" spans="1:5">
      <c r="A12927" t="s">
        <v>6</v>
      </c>
      <c r="B12927" t="s">
        <v>12932</v>
      </c>
      <c r="C12927">
        <f>HYPERLINK("C:\Users\franc\OneDrive\Documentos\MALENTIN KARIME\BANCO ESTADO\2012 DEPTO ESCRITURAS fata\NOTARIA 2009\CORPBANCA 2006  M CORTES\ACLARACION\SOCIEDAD AGRICOLA CAMPANARIO.doc", "Abrir Documento")</f>
        <v>0</v>
      </c>
      <c r="D12927" t="s">
        <v>23500</v>
      </c>
      <c r="E12927" t="s">
        <v>35402</v>
      </c>
    </row>
    <row r="12928" spans="1:5">
      <c r="A12928" t="s">
        <v>6</v>
      </c>
      <c r="B12928" t="s">
        <v>12933</v>
      </c>
      <c r="C12928">
        <f>HYPERLINK("C:\Users\franc\OneDrive\Documentos\MALENTIN KARIME\BANCO ESTADO\2012 DEPTO ESCRITURAS fata\NOTARIA 2009\CORPBANCA 2006  M CORTES\ACLARACION\PAULA Y CONSUELO.doc", "Abrir Documento")</f>
        <v>0</v>
      </c>
      <c r="D12928" t="s">
        <v>23500</v>
      </c>
      <c r="E12928" t="s">
        <v>35403</v>
      </c>
    </row>
    <row r="12929" spans="1:5">
      <c r="A12929" t="s">
        <v>6</v>
      </c>
      <c r="B12929" t="s">
        <v>12934</v>
      </c>
      <c r="C12929">
        <f>HYPERLINK("C:\Users\franc\OneDrive\Documentos\MALENTIN KARIME\BANCO ESTADO\2012 DEPTO ESCRITURAS fata\NOTARIA 2009\CORPBANCA 2006  M CORTES\ACLARACION\JESSICA MILLAN.doc", "Abrir Documento")</f>
        <v>0</v>
      </c>
      <c r="D12929" t="s">
        <v>23500</v>
      </c>
      <c r="E12929" t="s">
        <v>35404</v>
      </c>
    </row>
    <row r="12930" spans="1:5">
      <c r="A12930" t="s">
        <v>6</v>
      </c>
      <c r="B12930" t="s">
        <v>12935</v>
      </c>
      <c r="C12930">
        <f>HYPERLINK("C:\Users\franc\OneDrive\Documentos\MALENTIN KARIME\BANCO ESTADO\2012 DEPTO ESCRITURAS fata\NOTARIA 2009\CORPBANCA 2006  M CORTES\ACLARACION\INES VARAS.doc", "Abrir Documento")</f>
        <v>0</v>
      </c>
      <c r="D12930" t="s">
        <v>23500</v>
      </c>
      <c r="E12930" t="s">
        <v>35405</v>
      </c>
    </row>
    <row r="12931" spans="1:5">
      <c r="A12931" t="s">
        <v>6</v>
      </c>
      <c r="B12931" t="s">
        <v>12936</v>
      </c>
      <c r="C12931">
        <f>HYPERLINK("C:\Users\franc\OneDrive\Documentos\MALENTIN KARIME\BANCO ESTADO\2012 DEPTO ESCRITURAS fata\NOTARIA 2009\CORPBANCA 2006  M CORTES\SOBRE.doc", "Abrir Documento")</f>
        <v>0</v>
      </c>
      <c r="D12931" t="s">
        <v>23500</v>
      </c>
      <c r="E12931" t="s">
        <v>35406</v>
      </c>
    </row>
    <row r="12932" spans="1:5">
      <c r="A12932" t="s">
        <v>6</v>
      </c>
      <c r="B12932" t="s">
        <v>12937</v>
      </c>
      <c r="C12932">
        <f>HYPERLINK("C:\Users\franc\OneDrive\Documentos\MALENTIN KARIME\BANCO ESTADO\2012 DEPTO ESCRITURAS fata\NOTARIA 2009\CORPBANCA 2006  M CORTES\RENE MUÑOZ (ENDOSABLE).doc", "Abrir Documento")</f>
        <v>0</v>
      </c>
      <c r="D12932" t="s">
        <v>23500</v>
      </c>
      <c r="E12932" t="s">
        <v>35407</v>
      </c>
    </row>
    <row r="12933" spans="1:5">
      <c r="A12933" t="s">
        <v>6</v>
      </c>
      <c r="B12933" t="s">
        <v>12938</v>
      </c>
      <c r="C12933">
        <f>HYPERLINK("C:\Users\franc\OneDrive\Documentos\MALENTIN KARIME\BANCO ESTADO\2012 DEPTO ESCRITURAS fata\NOTARIA 2009\CORPBANCA 2006  M CORTES\MODELO NOTARIO.doc", "Abrir Documento")</f>
        <v>0</v>
      </c>
      <c r="D12933" t="s">
        <v>23500</v>
      </c>
      <c r="E12933" t="s">
        <v>35408</v>
      </c>
    </row>
    <row r="12934" spans="1:5">
      <c r="A12934" t="s">
        <v>6</v>
      </c>
      <c r="B12934" t="s">
        <v>12939</v>
      </c>
      <c r="C12934">
        <f>HYPERLINK("C:\Users\franc\OneDrive\Documentos\MALENTIN KARIME\BANCO ESTADO\2012 DEPTO ESCRITURAS fata\NOTARIA 2009\CORPBANCA 2006  M CORTES\MANDATO JAIMEN PROHENS.doc", "Abrir Documento")</f>
        <v>0</v>
      </c>
      <c r="D12934" t="s">
        <v>23500</v>
      </c>
      <c r="E12934" t="s">
        <v>35409</v>
      </c>
    </row>
    <row r="12935" spans="1:5">
      <c r="A12935" t="s">
        <v>6</v>
      </c>
      <c r="B12935" t="s">
        <v>12940</v>
      </c>
      <c r="C12935">
        <f>HYPERLINK("C:\Users\franc\OneDrive\Documentos\MALENTIN KARIME\BANCO ESTADO\2012 DEPTO ESCRITURAS fata\NOTARIA 2009\CORPBANCA 2006  M CORTES\fianza edith araya a victor herrea.doc", "Abrir Documento")</f>
        <v>0</v>
      </c>
      <c r="D12935" t="s">
        <v>23500</v>
      </c>
      <c r="E12935" t="s">
        <v>35410</v>
      </c>
    </row>
    <row r="12936" spans="1:5">
      <c r="A12936" t="s">
        <v>6</v>
      </c>
      <c r="B12936" t="s">
        <v>12941</v>
      </c>
      <c r="C12936">
        <f>HYPERLINK("C:\Users\franc\OneDrive\Documentos\MALENTIN KARIME\BANCO ESTADO\2012 DEPTO ESCRITURAS fata\NOTARIA 2009\CORPBANCA 2006  M CORTES\CV E HIPOTECA ESMERALDO VALDIVIA VALDIVIA.doc", "Abrir Documento")</f>
        <v>0</v>
      </c>
      <c r="D12936" t="s">
        <v>23500</v>
      </c>
      <c r="E12936" t="s">
        <v>35411</v>
      </c>
    </row>
    <row r="12937" spans="1:5">
      <c r="A12937" t="s">
        <v>6</v>
      </c>
      <c r="B12937" t="s">
        <v>12942</v>
      </c>
      <c r="C12937">
        <f>HYPERLINK("C:\Users\franc\OneDrive\Documentos\MALENTIN KARIME\BANCO ESTADO\2012 DEPTO ESCRITURAS fata\NOTARIA 2009\CORPBANCA 2006  M CORTES\CV E HIPOTECA ESMERALDO VALDIVIA VALDIVIA AGUAS.doc", "Abrir Documento")</f>
        <v>0</v>
      </c>
      <c r="D12937" t="s">
        <v>23500</v>
      </c>
      <c r="E12937" t="s">
        <v>35412</v>
      </c>
    </row>
    <row r="12938" spans="1:5">
      <c r="A12938" t="s">
        <v>6</v>
      </c>
      <c r="B12938" t="s">
        <v>12943</v>
      </c>
      <c r="C12938">
        <f>HYPERLINK("C:\Users\franc\OneDrive\Documentos\MALENTIN KARIME\BANCO ESTADO\2012 DEPTO ESCRITURAS fata\NOTARIA 2009\CORPBANCA 2006  M CORTES\CARTA STGO.doc", "Abrir Documento")</f>
        <v>0</v>
      </c>
      <c r="D12938" t="s">
        <v>23500</v>
      </c>
      <c r="E12938" t="s">
        <v>35413</v>
      </c>
    </row>
    <row r="12939" spans="1:5">
      <c r="A12939" t="s">
        <v>6</v>
      </c>
      <c r="B12939" t="s">
        <v>12944</v>
      </c>
      <c r="C12939">
        <f>HYPERLINK("C:\Users\franc\OneDrive\Documentos\MALENTIN KARIME\BANCO ESTADO\2012 DEPTO ESCRITURAS fata\NOTARIA 2009\CORPBANCA 2006  M CORTES\CARTA BANCO DOS.doc", "Abrir Documento")</f>
        <v>0</v>
      </c>
      <c r="D12939" t="s">
        <v>23500</v>
      </c>
      <c r="E12939" t="s">
        <v>35414</v>
      </c>
    </row>
    <row r="12940" spans="1:5">
      <c r="A12940" t="s">
        <v>6</v>
      </c>
      <c r="B12940" t="s">
        <v>12945</v>
      </c>
      <c r="C12940">
        <f>HYPERLINK("C:\Users\franc\OneDrive\Documentos\MALENTIN KARIME\BANCO ESTADO\2012 DEPTO ESCRITURAS fata\NOTARIA 2009\CORPBANCA 2006  M CORTES\carta banc.doc", "Abrir Documento")</f>
        <v>0</v>
      </c>
      <c r="D12940" t="s">
        <v>23500</v>
      </c>
      <c r="E12940" t="s">
        <v>35415</v>
      </c>
    </row>
    <row r="12941" spans="1:5">
      <c r="A12941" t="s">
        <v>6</v>
      </c>
      <c r="B12941" t="s">
        <v>12946</v>
      </c>
      <c r="C12941">
        <f>HYPERLINK("C:\Users\franc\OneDrive\Documentos\MALENTIN KARIME\BANCO ESTADO\2012 DEPTO ESCRITURAS fata\NOTARIA 2009\CORPBANCA 2006  M CORTES\Berta_Diaz_Astroquiza___7_C_V_letras_viv_y_complementario[1].doc", "Abrir Documento")</f>
        <v>0</v>
      </c>
      <c r="D12941" t="s">
        <v>23500</v>
      </c>
      <c r="E12941" t="s">
        <v>35416</v>
      </c>
    </row>
    <row r="12942" spans="1:5">
      <c r="A12942" t="s">
        <v>6</v>
      </c>
      <c r="B12942" t="s">
        <v>12947</v>
      </c>
      <c r="C12942">
        <f>HYPERLINK("C:\Users\franc\OneDrive\Documentos\MALENTIN KARIME\BANCO ESTADO\2012 DEPTO ESCRITURAS fata\NOTARIA 2009\CORPBANCA 2006  M CORTES\AGREGA HOJA (CLAUSULA).doc", "Abrir Documento")</f>
        <v>0</v>
      </c>
      <c r="D12942" t="s">
        <v>23500</v>
      </c>
      <c r="E12942" t="s">
        <v>35417</v>
      </c>
    </row>
    <row r="12943" spans="1:5">
      <c r="A12943" t="s">
        <v>6</v>
      </c>
      <c r="B12943" t="s">
        <v>12948</v>
      </c>
      <c r="C12943">
        <f>HYPERLINK("C:\Users\franc\OneDrive\Documentos\MALENTIN KARIME\BANCO ESTADO\2012 DEPTO ESCRITURAS fata\NOTARIA 2009\COPEVAL\JUAN MARAMBIO EXTRACTO.doc", "Abrir Documento")</f>
        <v>0</v>
      </c>
      <c r="D12943" t="s">
        <v>23500</v>
      </c>
      <c r="E12943" t="s">
        <v>35418</v>
      </c>
    </row>
    <row r="12944" spans="1:5">
      <c r="A12944" t="s">
        <v>6</v>
      </c>
      <c r="B12944" t="s">
        <v>12949</v>
      </c>
      <c r="C12944">
        <f>HYPERLINK("C:\Users\franc\OneDrive\Documentos\MALENTIN KARIME\BANCO ESTADO\2012 DEPTO ESCRITURAS fata\NOTARIA 2009\COPEVAL\JUAN MARAMBIO ANDUEZA - PRENDA SIN DESPLAZAMIENTO.doc", "Abrir Documento")</f>
        <v>0</v>
      </c>
      <c r="D12944" t="s">
        <v>23500</v>
      </c>
      <c r="E12944" t="s">
        <v>35419</v>
      </c>
    </row>
    <row r="12945" spans="1:5">
      <c r="A12945" t="s">
        <v>6</v>
      </c>
      <c r="B12945" t="s">
        <v>12950</v>
      </c>
      <c r="C12945">
        <f>HYPERLINK("C:\Users\franc\OneDrive\Documentos\MALENTIN KARIME\BANCO ESTADO\2012 DEPTO ESCRITURAS fata\NOTARIA 2009\CONSTRUCTORA RIO LIMARI\LAS ACACIAS  CONST  RIO LIMARI  DIC 2004.doc", "Abrir Documento")</f>
        <v>0</v>
      </c>
      <c r="D12945" t="s">
        <v>23500</v>
      </c>
      <c r="E12945" t="s">
        <v>35420</v>
      </c>
    </row>
    <row r="12946" spans="1:5">
      <c r="A12946" t="s">
        <v>6</v>
      </c>
      <c r="B12946" t="s">
        <v>12951</v>
      </c>
      <c r="C12946">
        <f>HYPERLINK("C:\Users\franc\OneDrive\Documentos\MALENTIN KARIME\BANCO ESTADO\2012 DEPTO ESCRITURAS fata\NOTARIA 2009\COMUNIDAD PUNITAQUI\PROMESA DE ARRENDAMIENTO.doc", "Abrir Documento")</f>
        <v>0</v>
      </c>
      <c r="D12946" t="s">
        <v>23500</v>
      </c>
      <c r="E12946" t="s">
        <v>35421</v>
      </c>
    </row>
    <row r="12947" spans="1:5">
      <c r="A12947" t="s">
        <v>6</v>
      </c>
      <c r="B12947" t="s">
        <v>12952</v>
      </c>
      <c r="C12947">
        <f>HYPERLINK("C:\Users\franc\OneDrive\Documentos\MALENTIN KARIME\BANCO ESTADO\2012 DEPTO ESCRITURAS fata\NOTARIA 2009\COMUNIDAD PUNITAQUI\MODELO.doc", "Abrir Documento")</f>
        <v>0</v>
      </c>
      <c r="D12947" t="s">
        <v>23500</v>
      </c>
      <c r="E12947" t="s">
        <v>35422</v>
      </c>
    </row>
    <row r="12948" spans="1:5">
      <c r="A12948" t="s">
        <v>6</v>
      </c>
      <c r="B12948" t="s">
        <v>12953</v>
      </c>
      <c r="C12948">
        <f>HYPERLINK("C:\Users\franc\OneDrive\Documentos\MALENTIN KARIME\BANCO ESTADO\2012 DEPTO ESCRITURAS fata\NOTARIA 2009\COMUNIDAD PUNITAQUI\COMUNIDAD PUNITAQUI A I. MUNICIPALIDA PUNITAQUI.doc", "Abrir Documento")</f>
        <v>0</v>
      </c>
      <c r="D12948" t="s">
        <v>23500</v>
      </c>
      <c r="E12948" t="s">
        <v>35423</v>
      </c>
    </row>
    <row r="12949" spans="1:5">
      <c r="A12949" t="s">
        <v>6</v>
      </c>
      <c r="B12949" t="s">
        <v>12954</v>
      </c>
      <c r="C12949">
        <f>HYPERLINK("C:\Users\franc\OneDrive\Documentos\MALENTIN KARIME\BANCO ESTADO\2012 DEPTO ESCRITURAS fata\NOTARIA 2009\COMUNIDAD PUNITAQUI\COM. AGRICOLA PUNITAQUI A JAIME CONTRERAS (ARRENDAMIENTO).doc", "Abrir Documento")</f>
        <v>0</v>
      </c>
      <c r="D12949" t="s">
        <v>23500</v>
      </c>
      <c r="E12949" t="s">
        <v>35424</v>
      </c>
    </row>
    <row r="12950" spans="1:5">
      <c r="A12950" t="s">
        <v>6</v>
      </c>
      <c r="B12950" t="s">
        <v>12955</v>
      </c>
      <c r="C12950">
        <f>HYPERLINK("C:\Users\franc\OneDrive\Documentos\MALENTIN KARIME\BANCO ESTADO\2012 DEPTO ESCRITURAS fata\NOTARIA 2009\COMUNIDAD PUNITAQUI\Carta Comunidad Punitaqui.doc", "Abrir Documento")</f>
        <v>0</v>
      </c>
      <c r="D12950" t="s">
        <v>23500</v>
      </c>
      <c r="E12950" t="s">
        <v>35425</v>
      </c>
    </row>
    <row r="12951" spans="1:5">
      <c r="A12951" t="s">
        <v>6</v>
      </c>
      <c r="B12951" t="s">
        <v>12956</v>
      </c>
      <c r="C12951">
        <f>HYPERLINK("C:\Users\franc\OneDrive\Documentos\MALENTIN KARIME\BANCO ESTADO\2012 DEPTO ESCRITURAS fata\NOTARIA 2009\COMPRAVENTAS INMUEBLES\SUBDIVISION Y COMPRAVENTA\12\9.doc", "Abrir Documento")</f>
        <v>0</v>
      </c>
      <c r="D12951" t="s">
        <v>23500</v>
      </c>
      <c r="E12951" t="s">
        <v>35426</v>
      </c>
    </row>
    <row r="12952" spans="1:5">
      <c r="A12952" t="s">
        <v>6</v>
      </c>
      <c r="B12952" t="s">
        <v>12957</v>
      </c>
      <c r="C12952">
        <f>HYPERLINK("C:\Users\franc\OneDrive\Documentos\MALENTIN KARIME\BANCO ESTADO\2012 DEPTO ESCRITURAS fata\NOTARIA 2009\COMPRAVENTAS INMUEBLES\SUBDIVISION Y COMPRAVENTA\12\8.doc", "Abrir Documento")</f>
        <v>0</v>
      </c>
      <c r="D12952" t="s">
        <v>23500</v>
      </c>
      <c r="E12952" t="s">
        <v>35427</v>
      </c>
    </row>
    <row r="12953" spans="1:5">
      <c r="A12953" t="s">
        <v>6</v>
      </c>
      <c r="B12953" t="s">
        <v>12958</v>
      </c>
      <c r="C12953">
        <f>HYPERLINK("C:\Users\franc\OneDrive\Documentos\MALENTIN KARIME\BANCO ESTADO\2012 DEPTO ESCRITURAS fata\NOTARIA 2009\COMPRAVENTAS INMUEBLES\SUBDIVISION Y COMPRAVENTA\12\7.doc", "Abrir Documento")</f>
        <v>0</v>
      </c>
      <c r="D12953" t="s">
        <v>23500</v>
      </c>
      <c r="E12953" t="s">
        <v>35428</v>
      </c>
    </row>
    <row r="12954" spans="1:5">
      <c r="A12954" t="s">
        <v>6</v>
      </c>
      <c r="B12954" t="s">
        <v>12959</v>
      </c>
      <c r="C12954">
        <f>HYPERLINK("C:\Users\franc\OneDrive\Documentos\MALENTIN KARIME\BANCO ESTADO\2012 DEPTO ESCRITURAS fata\NOTARIA 2009\COMPRAVENTAS INMUEBLES\SUBDIVISION Y COMPRAVENTA\12\6.doc", "Abrir Documento")</f>
        <v>0</v>
      </c>
      <c r="D12954" t="s">
        <v>23500</v>
      </c>
      <c r="E12954" t="s">
        <v>35429</v>
      </c>
    </row>
    <row r="12955" spans="1:5">
      <c r="A12955" t="s">
        <v>6</v>
      </c>
      <c r="B12955" t="s">
        <v>12960</v>
      </c>
      <c r="C12955">
        <f>HYPERLINK("C:\Users\franc\OneDrive\Documentos\MALENTIN KARIME\BANCO ESTADO\2012 DEPTO ESCRITURAS fata\NOTARIA 2009\COMPRAVENTAS INMUEBLES\SUBDIVISION Y COMPRAVENTA\12\5.doc", "Abrir Documento")</f>
        <v>0</v>
      </c>
      <c r="D12955" t="s">
        <v>23500</v>
      </c>
      <c r="E12955" t="s">
        <v>35430</v>
      </c>
    </row>
    <row r="12956" spans="1:5">
      <c r="A12956" t="s">
        <v>6</v>
      </c>
      <c r="B12956" t="s">
        <v>12961</v>
      </c>
      <c r="C12956">
        <f>HYPERLINK("C:\Users\franc\OneDrive\Documentos\MALENTIN KARIME\BANCO ESTADO\2012 DEPTO ESCRITURAS fata\NOTARIA 2009\COMPRAVENTAS INMUEBLES\SUBDIVISION Y COMPRAVENTA\12\4.doc", "Abrir Documento")</f>
        <v>0</v>
      </c>
      <c r="D12956" t="s">
        <v>23500</v>
      </c>
      <c r="E12956" t="s">
        <v>35431</v>
      </c>
    </row>
    <row r="12957" spans="1:5">
      <c r="A12957" t="s">
        <v>6</v>
      </c>
      <c r="B12957" t="s">
        <v>12962</v>
      </c>
      <c r="C12957">
        <f>HYPERLINK("C:\Users\franc\OneDrive\Documentos\MALENTIN KARIME\BANCO ESTADO\2012 DEPTO ESCRITURAS fata\NOTARIA 2009\COMPRAVENTAS INMUEBLES\SUBDIVISION Y COMPRAVENTA\12\3.doc", "Abrir Documento")</f>
        <v>0</v>
      </c>
      <c r="D12957" t="s">
        <v>23500</v>
      </c>
      <c r="E12957" t="s">
        <v>35432</v>
      </c>
    </row>
    <row r="12958" spans="1:5">
      <c r="A12958" t="s">
        <v>6</v>
      </c>
      <c r="B12958" t="s">
        <v>12963</v>
      </c>
      <c r="C12958">
        <f>HYPERLINK("C:\Users\franc\OneDrive\Documentos\MALENTIN KARIME\BANCO ESTADO\2012 DEPTO ESCRITURAS fata\NOTARIA 2009\COMPRAVENTAS INMUEBLES\SUBDIVISION Y COMPRAVENTA\12\2.doc", "Abrir Documento")</f>
        <v>0</v>
      </c>
      <c r="D12958" t="s">
        <v>23500</v>
      </c>
      <c r="E12958" t="s">
        <v>35433</v>
      </c>
    </row>
    <row r="12959" spans="1:5">
      <c r="A12959" t="s">
        <v>6</v>
      </c>
      <c r="B12959" t="s">
        <v>12964</v>
      </c>
      <c r="C12959">
        <f>HYPERLINK("C:\Users\franc\OneDrive\Documentos\MALENTIN KARIME\BANCO ESTADO\2012 DEPTO ESCRITURAS fata\NOTARIA 2009\COMPRAVENTAS INMUEBLES\SUBDIVISION Y COMPRAVENTA\12\13.doc", "Abrir Documento")</f>
        <v>0</v>
      </c>
      <c r="D12959" t="s">
        <v>23500</v>
      </c>
      <c r="E12959" t="s">
        <v>35434</v>
      </c>
    </row>
    <row r="12960" spans="1:5">
      <c r="A12960" t="s">
        <v>6</v>
      </c>
      <c r="B12960" t="s">
        <v>12965</v>
      </c>
      <c r="C12960">
        <f>HYPERLINK("C:\Users\franc\OneDrive\Documentos\MALENTIN KARIME\BANCO ESTADO\2012 DEPTO ESCRITURAS fata\NOTARIA 2009\COMPRAVENTAS INMUEBLES\SUBDIVISION Y COMPRAVENTA\12\12.doc", "Abrir Documento")</f>
        <v>0</v>
      </c>
      <c r="D12960" t="s">
        <v>23500</v>
      </c>
      <c r="E12960" t="s">
        <v>35435</v>
      </c>
    </row>
    <row r="12961" spans="1:5">
      <c r="A12961" t="s">
        <v>6</v>
      </c>
      <c r="B12961" t="s">
        <v>12966</v>
      </c>
      <c r="C12961">
        <f>HYPERLINK("C:\Users\franc\OneDrive\Documentos\MALENTIN KARIME\BANCO ESTADO\2012 DEPTO ESCRITURAS fata\NOTARIA 2009\COMPRAVENTAS INMUEBLES\SUBDIVISION Y COMPRAVENTA\12\11.doc", "Abrir Documento")</f>
        <v>0</v>
      </c>
      <c r="D12961" t="s">
        <v>23500</v>
      </c>
      <c r="E12961" t="s">
        <v>35436</v>
      </c>
    </row>
    <row r="12962" spans="1:5">
      <c r="A12962" t="s">
        <v>6</v>
      </c>
      <c r="B12962" t="s">
        <v>12967</v>
      </c>
      <c r="C12962">
        <f>HYPERLINK("C:\Users\franc\OneDrive\Documentos\MALENTIN KARIME\BANCO ESTADO\2012 DEPTO ESCRITURAS fata\NOTARIA 2009\COMPRAVENTAS INMUEBLES\SUBDIVISION Y COMPRAVENTA\12\10.doc", "Abrir Documento")</f>
        <v>0</v>
      </c>
      <c r="D12962" t="s">
        <v>23500</v>
      </c>
      <c r="E12962" t="s">
        <v>35437</v>
      </c>
    </row>
    <row r="12963" spans="1:5">
      <c r="A12963" t="s">
        <v>6</v>
      </c>
      <c r="B12963" t="s">
        <v>12968</v>
      </c>
      <c r="C12963">
        <f>HYPERLINK("C:\Users\franc\OneDrive\Documentos\MALENTIN KARIME\BANCO ESTADO\2012 DEPTO ESCRITURAS fata\NOTARIA 2009\COMPRAVENTAS INMUEBLES\SUBDIVISION Y COMPRAVENTA\12\1.doc", "Abrir Documento")</f>
        <v>0</v>
      </c>
      <c r="D12963" t="s">
        <v>23500</v>
      </c>
      <c r="E12963" t="s">
        <v>35438</v>
      </c>
    </row>
    <row r="12964" spans="1:5">
      <c r="A12964" t="s">
        <v>6</v>
      </c>
      <c r="B12964" t="s">
        <v>12969</v>
      </c>
      <c r="C12964">
        <f>HYPERLINK("C:\Users\franc\OneDrive\Documentos\MALENTIN KARIME\BANCO ESTADO\2012 DEPTO ESCRITURAS fata\NOTARIA 2009\COMPRAVENTAS INMUEBLES\SUBDIVISION Y COMPRAVENTA\VERONICA MELLA.doc", "Abrir Documento")</f>
        <v>0</v>
      </c>
      <c r="D12964" t="s">
        <v>23500</v>
      </c>
      <c r="E12964" t="s">
        <v>35439</v>
      </c>
    </row>
    <row r="12965" spans="1:5">
      <c r="A12965" t="s">
        <v>6</v>
      </c>
      <c r="B12965" t="s">
        <v>12970</v>
      </c>
      <c r="C12965">
        <f>HYPERLINK("C:\Users\franc\OneDrive\Documentos\MALENTIN KARIME\BANCO ESTADO\2012 DEPTO ESCRITURAS fata\NOTARIA 2009\COMPRAVENTAS INMUEBLES\SUBDIVISION Y COMPRAVENTA\VALLE TUQUI A JOSE ZEPEDA CARMONA.doc", "Abrir Documento")</f>
        <v>0</v>
      </c>
      <c r="D12965" t="s">
        <v>23500</v>
      </c>
      <c r="E12965" t="s">
        <v>35440</v>
      </c>
    </row>
    <row r="12966" spans="1:5">
      <c r="A12966" t="s">
        <v>6</v>
      </c>
      <c r="B12966" t="s">
        <v>12971</v>
      </c>
      <c r="C12966">
        <f>HYPERLINK("C:\Users\franc\OneDrive\Documentos\MALENTIN KARIME\BANCO ESTADO\2012 DEPTO ESCRITURAS fata\NOTARIA 2009\COMPRAVENTAS INMUEBLES\SUBDIVISION Y COMPRAVENTA\VALLE TUQUI A EUGENIA GALLARDO.doc", "Abrir Documento")</f>
        <v>0</v>
      </c>
      <c r="D12966" t="s">
        <v>23500</v>
      </c>
      <c r="E12966" t="s">
        <v>35441</v>
      </c>
    </row>
    <row r="12967" spans="1:5">
      <c r="A12967" t="s">
        <v>6</v>
      </c>
      <c r="B12967" t="s">
        <v>12972</v>
      </c>
      <c r="C12967">
        <f>HYPERLINK("C:\Users\franc\OneDrive\Documentos\MALENTIN KARIME\BANCO ESTADO\2012 DEPTO ESCRITURAS fata\NOTARIA 2009\COMPRAVENTAS INMUEBLES\SUBDIVISION Y COMPRAVENTA\SUCESION PIZARRO ARAYA A NELSON PIZARRO.doc", "Abrir Documento")</f>
        <v>0</v>
      </c>
      <c r="D12967" t="s">
        <v>23500</v>
      </c>
      <c r="E12967" t="s">
        <v>35442</v>
      </c>
    </row>
    <row r="12968" spans="1:5">
      <c r="A12968" t="s">
        <v>6</v>
      </c>
      <c r="B12968" t="s">
        <v>12973</v>
      </c>
      <c r="C12968">
        <f>HYPERLINK("C:\Users\franc\OneDrive\Documentos\MALENTIN KARIME\BANCO ESTADO\2012 DEPTO ESCRITURAS fata\NOTARIA 2009\COMPRAVENTAS INMUEBLES\SUBDIVISION Y COMPRAVENTA\SUCESION PIZARRO ARAYA A JORGEÇ.doc", "Abrir Documento")</f>
        <v>0</v>
      </c>
      <c r="D12968" t="s">
        <v>23500</v>
      </c>
      <c r="E12968" t="s">
        <v>35443</v>
      </c>
    </row>
    <row r="12969" spans="1:5">
      <c r="A12969" t="s">
        <v>6</v>
      </c>
      <c r="B12969" t="s">
        <v>12974</v>
      </c>
      <c r="C12969">
        <f>HYPERLINK("C:\Users\franc\OneDrive\Documentos\MALENTIN KARIME\BANCO ESTADO\2012 DEPTO ESCRITURAS fata\NOTARIA 2009\COMPRAVENTAS INMUEBLES\SUBDIVISION Y COMPRAVENTA\SUCESION PIZARRO ARAYA A ADELINA.doc", "Abrir Documento")</f>
        <v>0</v>
      </c>
      <c r="D12969" t="s">
        <v>23500</v>
      </c>
      <c r="E12969" t="s">
        <v>35444</v>
      </c>
    </row>
    <row r="12970" spans="1:5">
      <c r="A12970" t="s">
        <v>6</v>
      </c>
      <c r="B12970" t="s">
        <v>12975</v>
      </c>
      <c r="C12970">
        <f>HYPERLINK("C:\Users\franc\OneDrive\Documentos\MALENTIN KARIME\BANCO ESTADO\2012 DEPTO ESCRITURAS fata\NOTARIA 2009\COMPRAVENTAS INMUEBLES\SUBDIVISION Y COMPRAVENTA\SUC. SANTANDER A ........doc", "Abrir Documento")</f>
        <v>0</v>
      </c>
      <c r="D12970" t="s">
        <v>23500</v>
      </c>
      <c r="E12970" t="s">
        <v>35445</v>
      </c>
    </row>
    <row r="12971" spans="1:5">
      <c r="A12971" t="s">
        <v>6</v>
      </c>
      <c r="B12971" t="s">
        <v>12976</v>
      </c>
      <c r="C12971">
        <f>HYPERLINK("C:\Users\franc\OneDrive\Documentos\MALENTIN KARIME\BANCO ESTADO\2012 DEPTO ESCRITURAS fata\NOTARIA 2009\COMPRAVENTAS INMUEBLES\SUBDIVISION Y COMPRAVENTA\SUC. PIZARRO  A SUS HIJOS.doc", "Abrir Documento")</f>
        <v>0</v>
      </c>
      <c r="D12971" t="s">
        <v>23500</v>
      </c>
      <c r="E12971" t="s">
        <v>35446</v>
      </c>
    </row>
    <row r="12972" spans="1:5">
      <c r="A12972" t="s">
        <v>6</v>
      </c>
      <c r="B12972" t="s">
        <v>12977</v>
      </c>
      <c r="C12972">
        <f>HYPERLINK("C:\Users\franc\OneDrive\Documentos\MALENTIN KARIME\BANCO ESTADO\2012 DEPTO ESCRITURAS fata\NOTARIA 2009\COMPRAVENTAS INMUEBLES\SUBDIVISION Y COMPRAVENTA\PEDRO RIVERA A LANDER RIVERA.doc", "Abrir Documento")</f>
        <v>0</v>
      </c>
      <c r="D12972" t="s">
        <v>23500</v>
      </c>
      <c r="E12972" t="s">
        <v>35447</v>
      </c>
    </row>
    <row r="12973" spans="1:5">
      <c r="A12973" t="s">
        <v>6</v>
      </c>
      <c r="B12973" t="s">
        <v>12978</v>
      </c>
      <c r="C12973">
        <f>HYPERLINK("C:\Users\franc\OneDrive\Documentos\MALENTIN KARIME\BANCO ESTADO\2012 DEPTO ESCRITURAS fata\NOTARIA 2009\COMPRAVENTAS INMUEBLES\SUBDIVISION Y COMPRAVENTA\PEDRO MERY A COMITE AGUA POTABLE LAS BREAS.doc", "Abrir Documento")</f>
        <v>0</v>
      </c>
      <c r="D12973" t="s">
        <v>23500</v>
      </c>
      <c r="E12973" t="s">
        <v>35448</v>
      </c>
    </row>
    <row r="12974" spans="1:5">
      <c r="A12974" t="s">
        <v>6</v>
      </c>
      <c r="B12974" t="s">
        <v>12979</v>
      </c>
      <c r="C12974">
        <f>HYPERLINK("C:\Users\franc\OneDrive\Documentos\MALENTIN KARIME\BANCO ESTADO\2012 DEPTO ESCRITURAS fata\NOTARIA 2009\COMPRAVENTAS INMUEBLES\SUBDIVISION Y COMPRAVENTA\MODELO.doc", "Abrir Documento")</f>
        <v>0</v>
      </c>
      <c r="D12974" t="s">
        <v>23500</v>
      </c>
      <c r="E12974" t="s">
        <v>35449</v>
      </c>
    </row>
    <row r="12975" spans="1:5">
      <c r="A12975" t="s">
        <v>6</v>
      </c>
      <c r="B12975" t="s">
        <v>12980</v>
      </c>
      <c r="C12975">
        <f>HYPERLINK("C:\Users\franc\OneDrive\Documentos\MALENTIN KARIME\BANCO ESTADO\2012 DEPTO ESCRITURAS fata\NOTARIA 2009\COMPRAVENTAS INMUEBLES\SUBDIVISION Y COMPRAVENTA\MODELO SUBDIVISION.doc", "Abrir Documento")</f>
        <v>0</v>
      </c>
      <c r="D12975" t="s">
        <v>23500</v>
      </c>
      <c r="E12975" t="s">
        <v>35450</v>
      </c>
    </row>
    <row r="12976" spans="1:5">
      <c r="A12976" t="s">
        <v>6</v>
      </c>
      <c r="B12976" t="s">
        <v>12981</v>
      </c>
      <c r="C12976">
        <f>HYPERLINK("C:\Users\franc\OneDrive\Documentos\MALENTIN KARIME\BANCO ESTADO\2012 DEPTO ESCRITURAS fata\NOTARIA 2009\COMPRAVENTAS INMUEBLES\SUBDIVISION Y COMPRAVENTA\MODELO LEY 19807.doc", "Abrir Documento")</f>
        <v>0</v>
      </c>
      <c r="D12976" t="s">
        <v>23500</v>
      </c>
      <c r="E12976" t="s">
        <v>35451</v>
      </c>
    </row>
    <row r="12977" spans="1:5">
      <c r="A12977" t="s">
        <v>6</v>
      </c>
      <c r="B12977" t="s">
        <v>12982</v>
      </c>
      <c r="C12977">
        <f>HYPERLINK("C:\Users\franc\OneDrive\Documentos\MALENTIN KARIME\BANCO ESTADO\2012 DEPTO ESCRITURAS fata\NOTARIA 2009\COMPRAVENTAS INMUEBLES\SUBDIVISION Y COMPRAVENTA\MANUEL SAN FRANCISCO A MAILIN SAN FRANCISCO.doc", "Abrir Documento")</f>
        <v>0</v>
      </c>
      <c r="D12977" t="s">
        <v>23500</v>
      </c>
      <c r="E12977" t="s">
        <v>35452</v>
      </c>
    </row>
    <row r="12978" spans="1:5">
      <c r="A12978" t="s">
        <v>6</v>
      </c>
      <c r="B12978" t="s">
        <v>12983</v>
      </c>
      <c r="C12978">
        <f>HYPERLINK("C:\Users\franc\OneDrive\Documentos\MALENTIN KARIME\BANCO ESTADO\2012 DEPTO ESCRITURAS fata\NOTARIA 2009\COMPRAVENTAS INMUEBLES\SUBDIVISION Y COMPRAVENTA\MANUEL SAN FRANCISCO A GLORIA CASTILLO.doc", "Abrir Documento")</f>
        <v>0</v>
      </c>
      <c r="D12978" t="s">
        <v>23500</v>
      </c>
      <c r="E12978" t="s">
        <v>35453</v>
      </c>
    </row>
    <row r="12979" spans="1:5">
      <c r="A12979" t="s">
        <v>6</v>
      </c>
      <c r="B12979" t="s">
        <v>12984</v>
      </c>
      <c r="C12979">
        <f>HYPERLINK("C:\Users\franc\OneDrive\Documentos\MALENTIN KARIME\BANCO ESTADO\2012 DEPTO ESCRITURAS fata\NOTARIA 2009\COMPRAVENTAS INMUEBLES\SUBDIVISION Y COMPRAVENTA\MANUEL GARCIA A BERMECIDES ROJAS.doc", "Abrir Documento")</f>
        <v>0</v>
      </c>
      <c r="D12979" t="s">
        <v>23500</v>
      </c>
      <c r="E12979" t="s">
        <v>35454</v>
      </c>
    </row>
    <row r="12980" spans="1:5">
      <c r="A12980" t="s">
        <v>6</v>
      </c>
      <c r="B12980" t="s">
        <v>12985</v>
      </c>
      <c r="C12980">
        <f>HYPERLINK("C:\Users\franc\OneDrive\Documentos\MALENTIN KARIME\BANCO ESTADO\2012 DEPTO ESCRITURAS fata\NOTARIA 2009\COMPRAVENTAS INMUEBLES\SUBDIVISION Y COMPRAVENTA\HERMOGENES VENEGAS A ESTEPHANIE BANDA (LEY 17 ...doc", "Abrir Documento")</f>
        <v>0</v>
      </c>
      <c r="D12980" t="s">
        <v>23500</v>
      </c>
      <c r="E12980" t="s">
        <v>35455</v>
      </c>
    </row>
    <row r="12981" spans="1:5">
      <c r="A12981" t="s">
        <v>6</v>
      </c>
      <c r="B12981" t="s">
        <v>12986</v>
      </c>
      <c r="C12981">
        <f>HYPERLINK("C:\Users\franc\OneDrive\Documentos\MALENTIN KARIME\BANCO ESTADO\2012 DEPTO ESCRITURAS fata\NOTARIA 2009\COMPRAVENTAS INMUEBLES\SUBDIVISION Y COMPRAVENTA\ELEMBER GONZALEZ A JUAN GARCIA (LOTE C).doc", "Abrir Documento")</f>
        <v>0</v>
      </c>
      <c r="D12981" t="s">
        <v>23500</v>
      </c>
      <c r="E12981" t="s">
        <v>35456</v>
      </c>
    </row>
    <row r="12982" spans="1:5">
      <c r="A12982" t="s">
        <v>6</v>
      </c>
      <c r="B12982" t="s">
        <v>12987</v>
      </c>
      <c r="C12982">
        <f>HYPERLINK("C:\Users\franc\OneDrive\Documentos\MALENTIN KARIME\BANCO ESTADO\2012 DEPTO ESCRITURAS fata\NOTARIA 2009\COMPRAVENTAS INMUEBLES\SUBDIVISION Y COMPRAVENTA\ELEMBER GONZALEZ A EGIDIO ARAYA (LOTE 47 -A).doc", "Abrir Documento")</f>
        <v>0</v>
      </c>
      <c r="D12982" t="s">
        <v>23500</v>
      </c>
      <c r="E12982" t="s">
        <v>35457</v>
      </c>
    </row>
    <row r="12983" spans="1:5">
      <c r="A12983" t="s">
        <v>6</v>
      </c>
      <c r="B12983" t="s">
        <v>12988</v>
      </c>
      <c r="C12983">
        <f>HYPERLINK("C:\Users\franc\OneDrive\Documentos\MALENTIN KARIME\BANCO ESTADO\2012 DEPTO ESCRITURAS fata\NOTARIA 2009\COMPRAVENTAS INMUEBLES\SUBDIVISION Y COMPRAVENTA\ELDA ORTIZ A WILSON GONZALEZ AVILA.doc", "Abrir Documento")</f>
        <v>0</v>
      </c>
      <c r="D12983" t="s">
        <v>23500</v>
      </c>
      <c r="E12983" t="s">
        <v>35458</v>
      </c>
    </row>
    <row r="12984" spans="1:5">
      <c r="A12984" t="s">
        <v>6</v>
      </c>
      <c r="B12984" t="s">
        <v>12989</v>
      </c>
      <c r="C12984">
        <f>HYPERLINK("C:\Users\franc\OneDrive\Documentos\MALENTIN KARIME\BANCO ESTADO\2012 DEPTO ESCRITURAS fata\NOTARIA 2009\COMPRAVENTAS INMUEBLES\SUBDIVISION Y COMPRAVENTA\ELDA ORTIZ A WILSON GONZALEZ (PROMESA).doc", "Abrir Documento")</f>
        <v>0</v>
      </c>
      <c r="D12984" t="s">
        <v>23500</v>
      </c>
      <c r="E12984" t="s">
        <v>35459</v>
      </c>
    </row>
    <row r="12985" spans="1:5">
      <c r="A12985" t="s">
        <v>6</v>
      </c>
      <c r="B12985" t="s">
        <v>12990</v>
      </c>
      <c r="C12985">
        <f>HYPERLINK("C:\Users\franc\OneDrive\Documentos\MALENTIN KARIME\BANCO ESTADO\2012 DEPTO ESCRITURAS fata\NOTARIA 2009\COMPRAVENTAS INMUEBLES\SUBDIVISION Y COMPRAVENTA\ELDA ORTIZ A WENDY ARAYA GUERRERO.- DIC. 2009.doc", "Abrir Documento")</f>
        <v>0</v>
      </c>
      <c r="D12985" t="s">
        <v>23500</v>
      </c>
      <c r="E12985" t="s">
        <v>35460</v>
      </c>
    </row>
    <row r="12986" spans="1:5">
      <c r="A12986" t="s">
        <v>6</v>
      </c>
      <c r="B12986" t="s">
        <v>12991</v>
      </c>
      <c r="C12986">
        <f>HYPERLINK("C:\Users\franc\OneDrive\Documentos\MALENTIN KARIME\BANCO ESTADO\2012 DEPTO ESCRITURAS fata\NOTARIA 2009\COMPRAVENTAS INMUEBLES\SUBDIVISION Y COMPRAVENTA\ELDA ORTIZ A SILVIA CORTES.- NOV. 2009.doc", "Abrir Documento")</f>
        <v>0</v>
      </c>
      <c r="D12986" t="s">
        <v>23500</v>
      </c>
      <c r="E12986" t="s">
        <v>35461</v>
      </c>
    </row>
    <row r="12987" spans="1:5">
      <c r="A12987" t="s">
        <v>6</v>
      </c>
      <c r="B12987" t="s">
        <v>12992</v>
      </c>
      <c r="C12987">
        <f>HYPERLINK("C:\Users\franc\OneDrive\Documentos\MALENTIN KARIME\BANCO ESTADO\2012 DEPTO ESCRITURAS fata\NOTARIA 2009\COMPRAVENTAS INMUEBLES\SUBDIVISION Y COMPRAVENTA\ELDA ORTIZ A ROSA ARAYA VELASQUEZ Y SUS HIJAS.doc", "Abrir Documento")</f>
        <v>0</v>
      </c>
      <c r="D12987" t="s">
        <v>23500</v>
      </c>
      <c r="E12987" t="s">
        <v>35462</v>
      </c>
    </row>
    <row r="12988" spans="1:5">
      <c r="A12988" t="s">
        <v>6</v>
      </c>
      <c r="B12988" t="s">
        <v>12993</v>
      </c>
      <c r="C12988">
        <f>HYPERLINK("C:\Users\franc\OneDrive\Documentos\MALENTIN KARIME\BANCO ESTADO\2012 DEPTO ESCRITURAS fata\NOTARIA 2009\COMPRAVENTAS INMUEBLES\SUBDIVISION Y COMPRAVENTA\ELDA ORTIZ A RAMON AVILES OCT 2009.doc", "Abrir Documento")</f>
        <v>0</v>
      </c>
      <c r="D12988" t="s">
        <v>23500</v>
      </c>
      <c r="E12988" t="s">
        <v>35463</v>
      </c>
    </row>
    <row r="12989" spans="1:5">
      <c r="A12989" t="s">
        <v>6</v>
      </c>
      <c r="B12989" t="s">
        <v>12994</v>
      </c>
      <c r="C12989">
        <f>HYPERLINK("C:\Users\franc\OneDrive\Documentos\MALENTIN KARIME\BANCO ESTADO\2012 DEPTO ESCRITURAS fata\NOTARIA 2009\COMPRAVENTAS INMUEBLES\SUBDIVISION Y COMPRAVENTA\ELDA ORTIZ A PATRICIO OLIVARES.doc", "Abrir Documento")</f>
        <v>0</v>
      </c>
      <c r="D12989" t="s">
        <v>23500</v>
      </c>
      <c r="E12989" t="s">
        <v>35464</v>
      </c>
    </row>
    <row r="12990" spans="1:5">
      <c r="A12990" t="s">
        <v>6</v>
      </c>
      <c r="B12990" t="s">
        <v>12995</v>
      </c>
      <c r="C12990">
        <f>HYPERLINK("C:\Users\franc\OneDrive\Documentos\MALENTIN KARIME\BANCO ESTADO\2012 DEPTO ESCRITURAS fata\NOTARIA 2009\COMPRAVENTAS INMUEBLES\SUBDIVISION Y COMPRAVENTA\ELDA ORTIZ A MAURICIO PEREZ ESCOBAR.doc", "Abrir Documento")</f>
        <v>0</v>
      </c>
      <c r="D12990" t="s">
        <v>23500</v>
      </c>
      <c r="E12990" t="s">
        <v>35465</v>
      </c>
    </row>
    <row r="12991" spans="1:5">
      <c r="A12991" t="s">
        <v>6</v>
      </c>
      <c r="B12991" t="s">
        <v>12996</v>
      </c>
      <c r="C12991">
        <f>HYPERLINK("C:\Users\franc\OneDrive\Documentos\MALENTIN KARIME\BANCO ESTADO\2012 DEPTO ESCRITURAS fata\NOTARIA 2009\COMPRAVENTAS INMUEBLES\SUBDIVISION Y COMPRAVENTA\ELDA ORTIZ A MAURICIO PEREZ ESCOBAR (PROMESA).doc", "Abrir Documento")</f>
        <v>0</v>
      </c>
      <c r="D12991" t="s">
        <v>23500</v>
      </c>
      <c r="E12991" t="s">
        <v>35466</v>
      </c>
    </row>
    <row r="12992" spans="1:5">
      <c r="A12992" t="s">
        <v>6</v>
      </c>
      <c r="B12992" t="s">
        <v>12997</v>
      </c>
      <c r="C12992">
        <f>HYPERLINK("C:\Users\franc\OneDrive\Documentos\MALENTIN KARIME\BANCO ESTADO\2012 DEPTO ESCRITURAS fata\NOTARIA 2009\COMPRAVENTAS INMUEBLES\SUBDIVISION Y COMPRAVENTA\ELDA ORTIZ A JUAN CARLOS RAMOS.doc", "Abrir Documento")</f>
        <v>0</v>
      </c>
      <c r="D12992" t="s">
        <v>23500</v>
      </c>
      <c r="E12992" t="s">
        <v>35467</v>
      </c>
    </row>
    <row r="12993" spans="1:5">
      <c r="A12993" t="s">
        <v>6</v>
      </c>
      <c r="B12993" t="s">
        <v>12998</v>
      </c>
      <c r="C12993">
        <f>HYPERLINK("C:\Users\franc\OneDrive\Documentos\MALENTIN KARIME\BANCO ESTADO\2012 DEPTO ESCRITURAS fata\NOTARIA 2009\COMPRAVENTAS INMUEBLES\SUBDIVISION Y COMPRAVENTA\ELDA ORTIZ A INVERSIONES TRANSMAQUI LTDA.-.doc", "Abrir Documento")</f>
        <v>0</v>
      </c>
      <c r="D12993" t="s">
        <v>23500</v>
      </c>
      <c r="E12993" t="s">
        <v>35468</v>
      </c>
    </row>
    <row r="12994" spans="1:5">
      <c r="A12994" t="s">
        <v>6</v>
      </c>
      <c r="B12994" t="s">
        <v>12999</v>
      </c>
      <c r="C12994">
        <f>HYPERLINK("C:\Users\franc\OneDrive\Documentos\MALENTIN KARIME\BANCO ESTADO\2012 DEPTO ESCRITURAS fata\NOTARIA 2009\COMPRAVENTAS INMUEBLES\SUBDIVISION Y COMPRAVENTA\ELDA ORTIZ A INGRID PASTEN OCT 2009.doc", "Abrir Documento")</f>
        <v>0</v>
      </c>
      <c r="D12994" t="s">
        <v>23500</v>
      </c>
      <c r="E12994" t="s">
        <v>35469</v>
      </c>
    </row>
    <row r="12995" spans="1:5">
      <c r="A12995" t="s">
        <v>6</v>
      </c>
      <c r="B12995" t="s">
        <v>13000</v>
      </c>
      <c r="C12995">
        <f>HYPERLINK("C:\Users\franc\OneDrive\Documentos\MALENTIN KARIME\BANCO ESTADO\2012 DEPTO ESCRITURAS fata\NOTARIA 2009\COMPRAVENTAS INMUEBLES\SUBDIVISION Y COMPRAVENTA\ELDA ORTIZ A CONSTRUCCION RENOVACION.doc", "Abrir Documento")</f>
        <v>0</v>
      </c>
      <c r="D12995" t="s">
        <v>23500</v>
      </c>
      <c r="E12995" t="s">
        <v>35470</v>
      </c>
    </row>
    <row r="12996" spans="1:5">
      <c r="A12996" t="s">
        <v>6</v>
      </c>
      <c r="B12996" t="s">
        <v>13001</v>
      </c>
      <c r="C12996">
        <f>HYPERLINK("C:\Users\franc\OneDrive\Documentos\MALENTIN KARIME\BANCO ESTADO\2012 DEPTO ESCRITURAS fata\NOTARIA 2009\COMPRAVENTAS INMUEBLES\SUBDIVISION Y COMPRAVENTA\ELDA ORTIZ A CONSTRUCCION RENOVACION.- DIC. 2009.doc", "Abrir Documento")</f>
        <v>0</v>
      </c>
      <c r="D12996" t="s">
        <v>23500</v>
      </c>
      <c r="E12996" t="s">
        <v>35471</v>
      </c>
    </row>
    <row r="12997" spans="1:5">
      <c r="A12997" t="s">
        <v>6</v>
      </c>
      <c r="B12997" t="s">
        <v>13002</v>
      </c>
      <c r="C12997">
        <f>HYPERLINK("C:\Users\franc\OneDrive\Documentos\MALENTIN KARIME\BANCO ESTADO\2012 DEPTO ESCRITURAS fata\NOTARIA 2009\COMPRAVENTAS INMUEBLES\SUBDIVISION Y COMPRAVENTA\ELDA ORTIZ A CONST. VIVIENDA Y RENOVAC (PROMESA).doc", "Abrir Documento")</f>
        <v>0</v>
      </c>
      <c r="D12997" t="s">
        <v>23500</v>
      </c>
      <c r="E12997" t="s">
        <v>35472</v>
      </c>
    </row>
    <row r="12998" spans="1:5">
      <c r="A12998" t="s">
        <v>6</v>
      </c>
      <c r="B12998" t="s">
        <v>13003</v>
      </c>
      <c r="C12998">
        <f>HYPERLINK("C:\Users\franc\OneDrive\Documentos\MALENTIN KARIME\BANCO ESTADO\2012 DEPTO ESCRITURAS fata\NOTARIA 2009\COMPRAVENTAS INMUEBLES\SUBDIVISION Y COMPRAVENTA\ELDA ORTIZ A CHRISTIAN ORTIZ.doc", "Abrir Documento")</f>
        <v>0</v>
      </c>
      <c r="D12998" t="s">
        <v>23500</v>
      </c>
      <c r="E12998" t="s">
        <v>35473</v>
      </c>
    </row>
    <row r="12999" spans="1:5">
      <c r="A12999" t="s">
        <v>6</v>
      </c>
      <c r="B12999" t="s">
        <v>13004</v>
      </c>
      <c r="C12999">
        <f>HYPERLINK("C:\Users\franc\OneDrive\Documentos\MALENTIN KARIME\BANCO ESTADO\2012 DEPTO ESCRITURAS fata\NOTARIA 2009\COMPRAVENTAS INMUEBLES\SUBDIVISION Y COMPRAVENTA\ELDA ORTIZ A ALBERTO OGALDE.doc", "Abrir Documento")</f>
        <v>0</v>
      </c>
      <c r="D12999" t="s">
        <v>23500</v>
      </c>
      <c r="E12999" t="s">
        <v>35474</v>
      </c>
    </row>
    <row r="13000" spans="1:5">
      <c r="A13000" t="s">
        <v>6</v>
      </c>
      <c r="B13000" t="s">
        <v>13005</v>
      </c>
      <c r="C13000">
        <f>HYPERLINK("C:\Users\franc\OneDrive\Documentos\MALENTIN KARIME\BANCO ESTADO\2012 DEPTO ESCRITURAS fata\NOTARIA 2009\COMPRAVENTAS INMUEBLES\SUBDIVISION Y COMPRAVENTA\DINA ARAYA A RODOLFO ARAYA LEY 19807.doc", "Abrir Documento")</f>
        <v>0</v>
      </c>
      <c r="D13000" t="s">
        <v>23500</v>
      </c>
      <c r="E13000" t="s">
        <v>35475</v>
      </c>
    </row>
    <row r="13001" spans="1:5">
      <c r="A13001" t="s">
        <v>6</v>
      </c>
      <c r="B13001" t="s">
        <v>13006</v>
      </c>
      <c r="C13001">
        <f>HYPERLINK("C:\Users\franc\OneDrive\Documentos\MALENTIN KARIME\BANCO ESTADO\2012 DEPTO ESCRITURAS fata\NOTARIA 2009\COMPRAVENTAS INMUEBLES\SUBDIVISION Y COMPRAVENTA\COMUNIDAD PIEDRA LISA A COMITE PRO-SITIO S EL MIRADOR.doc", "Abrir Documento")</f>
        <v>0</v>
      </c>
      <c r="D13001" t="s">
        <v>23500</v>
      </c>
      <c r="E13001" t="s">
        <v>35476</v>
      </c>
    </row>
    <row r="13002" spans="1:5">
      <c r="A13002" t="s">
        <v>6</v>
      </c>
      <c r="B13002" t="s">
        <v>13007</v>
      </c>
      <c r="C13002">
        <f>HYPERLINK("C:\Users\franc\OneDrive\Documentos\MALENTIN KARIME\BANCO ESTADO\2012 DEPTO ESCRITURAS fata\NOTARIA 2009\COMPRAVENTAS INMUEBLES\SUBDIVISION Y COMPRAVENTA\COMITE PRO CASA VILLA LOS CACTUS A ..... (MODELO).doc", "Abrir Documento")</f>
        <v>0</v>
      </c>
      <c r="D13002" t="s">
        <v>23500</v>
      </c>
      <c r="E13002" t="s">
        <v>35477</v>
      </c>
    </row>
    <row r="13003" spans="1:5">
      <c r="A13003" t="s">
        <v>6</v>
      </c>
      <c r="B13003" t="s">
        <v>13008</v>
      </c>
      <c r="C13003">
        <f>HYPERLINK("C:\Users\franc\OneDrive\Documentos\MALENTIN KARIME\BANCO ESTADO\2012 DEPTO ESCRITURAS fata\NOTARIA 2009\COMPRAVENTAS INMUEBLES\SUBDIVISION Y COMPRAVENTA\CLAUDIA SEGUEL.doc", "Abrir Documento")</f>
        <v>0</v>
      </c>
      <c r="D13003" t="s">
        <v>23500</v>
      </c>
      <c r="E13003" t="s">
        <v>35478</v>
      </c>
    </row>
    <row r="13004" spans="1:5">
      <c r="A13004" t="s">
        <v>6</v>
      </c>
      <c r="B13004" t="s">
        <v>13009</v>
      </c>
      <c r="C13004">
        <f>HYPERLINK("C:\Users\franc\OneDrive\Documentos\MALENTIN KARIME\BANCO ESTADO\2012 DEPTO ESCRITURAS fata\NOTARIA 2009\COMPRAVENTAS INMUEBLES\SUBDIVISION Y COMPRAVENTA\ANTONIA VILLALOBOS A JORGE (SU HIJO).doc", "Abrir Documento")</f>
        <v>0</v>
      </c>
      <c r="D13004" t="s">
        <v>23500</v>
      </c>
      <c r="E13004" t="s">
        <v>35479</v>
      </c>
    </row>
    <row r="13005" spans="1:5">
      <c r="A13005" t="s">
        <v>6</v>
      </c>
      <c r="B13005" t="s">
        <v>13010</v>
      </c>
      <c r="C13005">
        <f>HYPERLINK("C:\Users\franc\OneDrive\Documentos\MALENTIN KARIME\BANCO ESTADO\2012 DEPTO ESCRITURAS fata\NOTARIA 2009\COMPRAVENTAS INMUEBLES\SUBDIVISION Y COMPRAVENTA\AMERICA ROBLES A VIVIANA ROBLES.doc", "Abrir Documento")</f>
        <v>0</v>
      </c>
      <c r="D13005" t="s">
        <v>23500</v>
      </c>
      <c r="E13005" t="s">
        <v>35480</v>
      </c>
    </row>
    <row r="13006" spans="1:5">
      <c r="A13006" t="s">
        <v>6</v>
      </c>
      <c r="B13006" t="s">
        <v>13011</v>
      </c>
      <c r="C13006">
        <f>HYPERLINK("C:\Users\franc\OneDrive\Documentos\MALENTIN KARIME\BANCO ESTADO\2012 DEPTO ESCRITURAS fata\NOTARIA 2009\COMPRAVENTAS INMUEBLES\SUBDIVISION Y COMPRAVENTA\AMERICA CARVAJAL A ALDO CARVAJAL.doc", "Abrir Documento")</f>
        <v>0</v>
      </c>
      <c r="D13006" t="s">
        <v>23500</v>
      </c>
      <c r="E13006" t="s">
        <v>35481</v>
      </c>
    </row>
    <row r="13007" spans="1:5">
      <c r="A13007" t="s">
        <v>6</v>
      </c>
      <c r="B13007" t="s">
        <v>13012</v>
      </c>
      <c r="C13007">
        <f>HYPERLINK("C:\Users\franc\OneDrive\Documentos\MALENTIN KARIME\BANCO ESTADO\2012 DEPTO ESCRITURAS fata\NOTARIA 2009\COMPRAVENTAS INMUEBLES\CV AGUAS\OLGA CONTRERAS A SOC. COM FLOR MARIA.doc", "Abrir Documento")</f>
        <v>0</v>
      </c>
      <c r="D13007" t="s">
        <v>23500</v>
      </c>
      <c r="E13007" t="s">
        <v>35482</v>
      </c>
    </row>
    <row r="13008" spans="1:5">
      <c r="A13008" t="s">
        <v>6</v>
      </c>
      <c r="B13008" t="s">
        <v>13013</v>
      </c>
      <c r="C13008">
        <f>HYPERLINK("C:\Users\franc\OneDrive\Documentos\MALENTIN KARIME\BANCO ESTADO\2012 DEPTO ESCRITURAS fata\NOTARIA 2009\COMPRAVENTAS INMUEBLES\CESION ACCIONES MINERAS\HUGO CASTILLO A JUANA CASTILLO.doc", "Abrir Documento")</f>
        <v>0</v>
      </c>
      <c r="D13008" t="s">
        <v>23500</v>
      </c>
      <c r="E13008" t="s">
        <v>35483</v>
      </c>
    </row>
    <row r="13009" spans="1:5">
      <c r="A13009" t="s">
        <v>6</v>
      </c>
      <c r="B13009" t="s">
        <v>13014</v>
      </c>
      <c r="C13009">
        <f>HYPERLINK("C:\Users\franc\OneDrive\Documentos\MALENTIN KARIME\BANCO ESTADO\2012 DEPTO ESCRITURAS fata\NOTARIA 2009\COMPRAVENTAS INMUEBLES\2009\YURY ROJAS A LIDIA VALDIVIA (SEP. DE BIENES).doc", "Abrir Documento")</f>
        <v>0</v>
      </c>
      <c r="D13009" t="s">
        <v>23500</v>
      </c>
      <c r="E13009" t="s">
        <v>35484</v>
      </c>
    </row>
    <row r="13010" spans="1:5">
      <c r="A13010" t="s">
        <v>6</v>
      </c>
      <c r="B13010" t="s">
        <v>13015</v>
      </c>
      <c r="C13010">
        <f>HYPERLINK("C:\Users\franc\OneDrive\Documentos\MALENTIN KARIME\BANCO ESTADO\2012 DEPTO ESCRITURAS fata\NOTARIA 2009\COMPRAVENTAS INMUEBLES\2009\WHASHIGTON FONFACH  A BERTA MALEBRAN (ELLA SEPA DE BIENES).doc", "Abrir Documento")</f>
        <v>0</v>
      </c>
      <c r="D13010" t="s">
        <v>23500</v>
      </c>
      <c r="E13010" t="s">
        <v>35485</v>
      </c>
    </row>
    <row r="13011" spans="1:5">
      <c r="A13011" t="s">
        <v>6</v>
      </c>
      <c r="B13011" t="s">
        <v>13016</v>
      </c>
      <c r="C13011">
        <f>HYPERLINK("C:\Users\franc\OneDrive\Documentos\MALENTIN KARIME\BANCO ESTADO\2012 DEPTO ESCRITURAS fata\NOTARIA 2009\COMPRAVENTAS INMUEBLES\2009\VIVIANA ROJAS A JORGE VEGA (ELLA SOLA).doc", "Abrir Documento")</f>
        <v>0</v>
      </c>
      <c r="D13011" t="s">
        <v>23500</v>
      </c>
      <c r="E13011" t="s">
        <v>35486</v>
      </c>
    </row>
    <row r="13012" spans="1:5">
      <c r="A13012" t="s">
        <v>6</v>
      </c>
      <c r="B13012" t="s">
        <v>13017</v>
      </c>
      <c r="C13012">
        <f>HYPERLINK("C:\Users\franc\OneDrive\Documentos\MALENTIN KARIME\BANCO ESTADO\2012 DEPTO ESCRITURAS fata\NOTARIA 2009\COMPRAVENTAS INMUEBLES\2009\vigia a serravalle.doc", "Abrir Documento")</f>
        <v>0</v>
      </c>
      <c r="D13012" t="s">
        <v>23500</v>
      </c>
      <c r="E13012" t="s">
        <v>35487</v>
      </c>
    </row>
    <row r="13013" spans="1:5">
      <c r="A13013" t="s">
        <v>6</v>
      </c>
      <c r="B13013" t="s">
        <v>13018</v>
      </c>
      <c r="C13013">
        <f>HYPERLINK("C:\Users\franc\OneDrive\Documentos\MALENTIN KARIME\BANCO ESTADO\2012 DEPTO ESCRITURAS fata\NOTARIA 2009\COMPRAVENTAS INMUEBLES\2009\TERESA ITE A VIVIANA BERRIOS   (CONYUGE)  SOLTERA.doc", "Abrir Documento")</f>
        <v>0</v>
      </c>
      <c r="D13013" t="s">
        <v>23500</v>
      </c>
      <c r="E13013" t="s">
        <v>35488</v>
      </c>
    </row>
    <row r="13014" spans="1:5">
      <c r="A13014" t="s">
        <v>6</v>
      </c>
      <c r="B13014" t="s">
        <v>13019</v>
      </c>
      <c r="C13014">
        <f>HYPERLINK("C:\Users\franc\OneDrive\Documentos\MALENTIN KARIME\BANCO ESTADO\2012 DEPTO ESCRITURAS fata\NOTARIA 2009\COMPRAVENTAS INMUEBLES\2009\SYLVIA ALVAREZ A VERONICA GUERRERO (TIERRA Y AUGAS).doc", "Abrir Documento")</f>
        <v>0</v>
      </c>
      <c r="D13014" t="s">
        <v>23500</v>
      </c>
      <c r="E13014" t="s">
        <v>35489</v>
      </c>
    </row>
    <row r="13015" spans="1:5">
      <c r="A13015" t="s">
        <v>6</v>
      </c>
      <c r="B13015" t="s">
        <v>13020</v>
      </c>
      <c r="C13015">
        <f>HYPERLINK("C:\Users\franc\OneDrive\Documentos\MALENTIN KARIME\BANCO ESTADO\2012 DEPTO ESCRITURAS fata\NOTARIA 2009\COMPRAVENTAS INMUEBLES\2009\SUC. VILLAR CARVAJLA (CARTA INSTRUCCIONES).doc", "Abrir Documento")</f>
        <v>0</v>
      </c>
      <c r="D13015" t="s">
        <v>23500</v>
      </c>
      <c r="E13015" t="s">
        <v>35490</v>
      </c>
    </row>
    <row r="13016" spans="1:5">
      <c r="A13016" t="s">
        <v>6</v>
      </c>
      <c r="B13016" t="s">
        <v>13021</v>
      </c>
      <c r="C13016">
        <f>HYPERLINK("C:\Users\franc\OneDrive\Documentos\MALENTIN KARIME\BANCO ESTADO\2012 DEPTO ESCRITURAS fata\NOTARIA 2009\COMPRAVENTAS INMUEBLES\2009\SUC. VILLAR CARVAJAL A GUILLERMO ARAYA R..doc", "Abrir Documento")</f>
        <v>0</v>
      </c>
      <c r="D13016" t="s">
        <v>23500</v>
      </c>
      <c r="E13016" t="s">
        <v>35491</v>
      </c>
    </row>
    <row r="13017" spans="1:5">
      <c r="A13017" t="s">
        <v>6</v>
      </c>
      <c r="B13017" t="s">
        <v>13022</v>
      </c>
      <c r="C13017">
        <f>HYPERLINK("C:\Users\franc\OneDrive\Documentos\MALENTIN KARIME\BANCO ESTADO\2012 DEPTO ESCRITURAS fata\NOTARIA 2009\COMPRAVENTAS INMUEBLES\2009\SERVICIOS EVC LTDA. A ING. LOS NIETOS (E. DARRIGRANDE).doc", "Abrir Documento")</f>
        <v>0</v>
      </c>
      <c r="D13017" t="s">
        <v>23500</v>
      </c>
      <c r="E13017" t="s">
        <v>35492</v>
      </c>
    </row>
    <row r="13018" spans="1:5">
      <c r="A13018" t="s">
        <v>6</v>
      </c>
      <c r="B13018" t="s">
        <v>13023</v>
      </c>
      <c r="C13018">
        <f>HYPERLINK("C:\Users\franc\OneDrive\Documentos\MALENTIN KARIME\BANCO ESTADO\2012 DEPTO ESCRITURAS fata\NOTARIA 2009\COMPRAVENTAS INMUEBLES\2009\ROSA POZO A DILEMA ROJAS  (SOLTERAS).doc", "Abrir Documento")</f>
        <v>0</v>
      </c>
      <c r="D13018" t="s">
        <v>23500</v>
      </c>
      <c r="E13018" t="s">
        <v>35493</v>
      </c>
    </row>
    <row r="13019" spans="1:5">
      <c r="A13019" t="s">
        <v>6</v>
      </c>
      <c r="B13019" t="s">
        <v>13024</v>
      </c>
      <c r="C13019">
        <f>HYPERLINK("C:\Users\franc\OneDrive\Documentos\MALENTIN KARIME\BANCO ESTADO\2012 DEPTO ESCRITURAS fata\NOTARIA 2009\COMPRAVENTAS INMUEBLES\2009\ROSA ARAYA Y OTRA A PAOLA CORTES (SEP. BIENES).doc", "Abrir Documento")</f>
        <v>0</v>
      </c>
      <c r="D13019" t="s">
        <v>23500</v>
      </c>
      <c r="E13019" t="s">
        <v>35494</v>
      </c>
    </row>
    <row r="13020" spans="1:5">
      <c r="A13020" t="s">
        <v>6</v>
      </c>
      <c r="B13020" t="s">
        <v>13025</v>
      </c>
      <c r="C13020">
        <f>HYPERLINK("C:\Users\franc\OneDrive\Documentos\MALENTIN KARIME\BANCO ESTADO\2012 DEPTO ESCRITURAS fata\NOTARIA 2009\COMPRAVENTAS INMUEBLES\2009\RODRIGO ANDRADE A HERMAN ANDRADES  (50% DERECHOS).doc", "Abrir Documento")</f>
        <v>0</v>
      </c>
      <c r="D13020" t="s">
        <v>23500</v>
      </c>
      <c r="E13020" t="s">
        <v>35495</v>
      </c>
    </row>
    <row r="13021" spans="1:5">
      <c r="A13021" t="s">
        <v>6</v>
      </c>
      <c r="B13021" t="s">
        <v>13026</v>
      </c>
      <c r="C13021">
        <f>HYPERLINK("C:\Users\franc\OneDrive\Documentos\MALENTIN KARIME\BANCO ESTADO\2012 DEPTO ESCRITURAS fata\NOTARIA 2009\COMPRAVENTAS INMUEBLES\2009\RODOLFO ALVAREZ A INMOB. MEKANO.doc", "Abrir Documento")</f>
        <v>0</v>
      </c>
      <c r="D13021" t="s">
        <v>23500</v>
      </c>
      <c r="E13021" t="s">
        <v>35496</v>
      </c>
    </row>
    <row r="13022" spans="1:5">
      <c r="A13022" t="s">
        <v>6</v>
      </c>
      <c r="B13022" t="s">
        <v>13027</v>
      </c>
      <c r="C13022">
        <f>HYPERLINK("C:\Users\franc\OneDrive\Documentos\MALENTIN KARIME\BANCO ESTADO\2012 DEPTO ESCRITURAS fata\NOTARIA 2009\COMPRAVENTAS INMUEBLES\2009\ROBIN MALTES A MANUEL BUGUEÑO (CON CONYUGE).doc", "Abrir Documento")</f>
        <v>0</v>
      </c>
      <c r="D13022" t="s">
        <v>23500</v>
      </c>
      <c r="E13022" t="s">
        <v>35497</v>
      </c>
    </row>
    <row r="13023" spans="1:5">
      <c r="A13023" t="s">
        <v>6</v>
      </c>
      <c r="B13023" t="s">
        <v>13028</v>
      </c>
      <c r="C13023">
        <f>HYPERLINK("C:\Users\franc\OneDrive\Documentos\MALENTIN KARIME\BANCO ESTADO\2012 DEPTO ESCRITURAS fata\NOTARIA 2009\COMPRAVENTAS INMUEBLES\2009\RENATO PEÑAFIEL A JOSE TOMAS PEÑAFIEL (DERECHOS).doc", "Abrir Documento")</f>
        <v>0</v>
      </c>
      <c r="D13023" t="s">
        <v>23500</v>
      </c>
      <c r="E13023" t="s">
        <v>35498</v>
      </c>
    </row>
    <row r="13024" spans="1:5">
      <c r="A13024" t="s">
        <v>6</v>
      </c>
      <c r="B13024" t="s">
        <v>13029</v>
      </c>
      <c r="C13024">
        <f>HYPERLINK("C:\Users\franc\OneDrive\Documentos\MALENTIN KARIME\BANCO ESTADO\2012 DEPTO ESCRITURAS fata\NOTARIA 2009\COMPRAVENTAS INMUEBLES\2009\REBECA RODRIGUEZ Y OTROS A ROSA RODRIGUEZ HIJ. 15 (CESION DE DERECHOS.doc", "Abrir Documento")</f>
        <v>0</v>
      </c>
      <c r="D13024" t="s">
        <v>23500</v>
      </c>
      <c r="E13024" t="s">
        <v>35499</v>
      </c>
    </row>
    <row r="13025" spans="1:5">
      <c r="A13025" t="s">
        <v>6</v>
      </c>
      <c r="B13025" t="s">
        <v>13030</v>
      </c>
      <c r="C13025">
        <f>HYPERLINK("C:\Users\franc\OneDrive\Documentos\MALENTIN KARIME\BANCO ESTADO\2012 DEPTO ESCRITURAS fata\NOTARIA 2009\COMPRAVENTAS INMUEBLES\2009\REBECA RODRIGUEZ Y OTROS A GMO. VILLALOBOS  (CESION DE DERECHOS.doc", "Abrir Documento")</f>
        <v>0</v>
      </c>
      <c r="D13025" t="s">
        <v>23500</v>
      </c>
      <c r="E13025" t="s">
        <v>35500</v>
      </c>
    </row>
    <row r="13026" spans="1:5">
      <c r="A13026" t="s">
        <v>6</v>
      </c>
      <c r="B13026" t="s">
        <v>13031</v>
      </c>
      <c r="C13026">
        <f>HYPERLINK("C:\Users\franc\OneDrive\Documentos\MALENTIN KARIME\BANCO ESTADO\2012 DEPTO ESCRITURAS fata\NOTARIA 2009\COMPRAVENTAS INMUEBLES\2009\RAFAEL SALFATE A INMOB. COLOMBRES.doc", "Abrir Documento")</f>
        <v>0</v>
      </c>
      <c r="D13026" t="s">
        <v>23500</v>
      </c>
      <c r="E13026" t="s">
        <v>35501</v>
      </c>
    </row>
    <row r="13027" spans="1:5">
      <c r="A13027" t="s">
        <v>6</v>
      </c>
      <c r="B13027" t="s">
        <v>13032</v>
      </c>
      <c r="C13027">
        <f>HYPERLINK("C:\Users\franc\OneDrive\Documentos\MALENTIN KARIME\BANCO ESTADO\2012 DEPTO ESCRITURAS fata\NOTARIA 2009\COMPRAVENTAS INMUEBLES\2009\PEDRO AVILA DIAZ A (NOSE).doc", "Abrir Documento")</f>
        <v>0</v>
      </c>
      <c r="D13027" t="s">
        <v>23500</v>
      </c>
      <c r="E13027" t="s">
        <v>35502</v>
      </c>
    </row>
    <row r="13028" spans="1:5">
      <c r="A13028" t="s">
        <v>6</v>
      </c>
      <c r="B13028" t="s">
        <v>13033</v>
      </c>
      <c r="C13028">
        <f>HYPERLINK("C:\Users\franc\OneDrive\Documentos\MALENTIN KARIME\BANCO ESTADO\2012 DEPTO ESCRITURAS fata\NOTARIA 2009\COMPRAVENTAS INMUEBLES\2009\PATRICIA TORRES A JULIO TORRES (CESION DE DERECHOS.doc", "Abrir Documento")</f>
        <v>0</v>
      </c>
      <c r="D13028" t="s">
        <v>23500</v>
      </c>
      <c r="E13028" t="s">
        <v>35503</v>
      </c>
    </row>
    <row r="13029" spans="1:5">
      <c r="A13029" t="s">
        <v>6</v>
      </c>
      <c r="B13029" t="s">
        <v>13034</v>
      </c>
      <c r="C13029">
        <f>HYPERLINK("C:\Users\franc\OneDrive\Documentos\MALENTIN KARIME\BANCO ESTADO\2012 DEPTO ESCRITURAS fata\NOTARIA 2009\COMPRAVENTAS INMUEBLES\2009\MIRTA ALVAREZ Y OTROS A CARMEN GALLEGUILOS  (SEP. BIENES).doc", "Abrir Documento")</f>
        <v>0</v>
      </c>
      <c r="D13029" t="s">
        <v>23500</v>
      </c>
      <c r="E13029" t="s">
        <v>35504</v>
      </c>
    </row>
    <row r="13030" spans="1:5">
      <c r="A13030" t="s">
        <v>6</v>
      </c>
      <c r="B13030" t="s">
        <v>13035</v>
      </c>
      <c r="C13030">
        <f>HYPERLINK("C:\Users\franc\OneDrive\Documentos\MALENTIN KARIME\BANCO ESTADO\2012 DEPTO ESCRITURAS fata\NOTARIA 2009\COMPRAVENTAS INMUEBLES\2009\MAURICIO FIGUEROA A REBECA OLMEDO.doc", "Abrir Documento")</f>
        <v>0</v>
      </c>
      <c r="D13030" t="s">
        <v>23500</v>
      </c>
      <c r="E13030" t="s">
        <v>35505</v>
      </c>
    </row>
    <row r="13031" spans="1:5">
      <c r="A13031" t="s">
        <v>6</v>
      </c>
      <c r="B13031" t="s">
        <v>13036</v>
      </c>
      <c r="C13031">
        <f>HYPERLINK("C:\Users\franc\OneDrive\Documentos\MALENTIN KARIME\BANCO ESTADO\2012 DEPTO ESCRITURAS fata\NOTARIA 2009\COMPRAVENTAS INMUEBLES\2009\MARIO TAPIA LAGUNAS A PABLA CASTILLO (CON PROH. LEGAL).doc", "Abrir Documento")</f>
        <v>0</v>
      </c>
      <c r="D13031" t="s">
        <v>23500</v>
      </c>
      <c r="E13031" t="s">
        <v>35506</v>
      </c>
    </row>
    <row r="13032" spans="1:5">
      <c r="A13032" t="s">
        <v>6</v>
      </c>
      <c r="B13032" t="s">
        <v>13037</v>
      </c>
      <c r="C13032">
        <f>HYPERLINK("C:\Users\franc\OneDrive\Documentos\MALENTIN KARIME\BANCO ESTADO\2012 DEPTO ESCRITURAS fata\NOTARIA 2009\COMPRAVENTAS INMUEBLES\2009\MARINA JOFRE A JOVITA GONZALEZ (D. RAPIMAN).doc", "Abrir Documento")</f>
        <v>0</v>
      </c>
      <c r="D13032" t="s">
        <v>23500</v>
      </c>
      <c r="E13032" t="s">
        <v>35507</v>
      </c>
    </row>
    <row r="13033" spans="1:5">
      <c r="A13033" t="s">
        <v>6</v>
      </c>
      <c r="B13033" t="s">
        <v>13038</v>
      </c>
      <c r="C13033">
        <f>HYPERLINK("C:\Users\franc\OneDrive\Documentos\MALENTIN KARIME\BANCO ESTADO\2012 DEPTO ESCRITURAS fata\NOTARIA 2009\COMPRAVENTAS INMUEBLES\2009\MARIA RAMIREZ A ANA VILLARROEL  (SOLTEROS).doc", "Abrir Documento")</f>
        <v>0</v>
      </c>
      <c r="D13033" t="s">
        <v>23500</v>
      </c>
      <c r="E13033" t="s">
        <v>35508</v>
      </c>
    </row>
    <row r="13034" spans="1:5">
      <c r="A13034" t="s">
        <v>6</v>
      </c>
      <c r="B13034" t="s">
        <v>13039</v>
      </c>
      <c r="C13034">
        <f>HYPERLINK("C:\Users\franc\OneDrive\Documentos\MALENTIN KARIME\BANCO ESTADO\2012 DEPTO ESCRITURAS fata\NOTARIA 2009\COMPRAVENTAS INMUEBLES\2009\MARIA OLIVARES A  (COMPARECE CONYUGE).doc", "Abrir Documento")</f>
        <v>0</v>
      </c>
      <c r="D13034" t="s">
        <v>23500</v>
      </c>
      <c r="E13034" t="s">
        <v>35509</v>
      </c>
    </row>
    <row r="13035" spans="1:5">
      <c r="A13035" t="s">
        <v>6</v>
      </c>
      <c r="B13035" t="s">
        <v>13040</v>
      </c>
      <c r="C13035">
        <f>HYPERLINK("C:\Users\franc\OneDrive\Documentos\MALENTIN KARIME\BANCO ESTADO\2012 DEPTO ESCRITURAS fata\NOTARIA 2009\COMPRAVENTAS INMUEBLES\2009\MARIA MANZANO A SU PADRE  (COMPARECE CONYUGE).doc", "Abrir Documento")</f>
        <v>0</v>
      </c>
      <c r="D13035" t="s">
        <v>23500</v>
      </c>
      <c r="E13035" t="s">
        <v>35510</v>
      </c>
    </row>
    <row r="13036" spans="1:5">
      <c r="A13036" t="s">
        <v>6</v>
      </c>
      <c r="B13036" t="s">
        <v>13041</v>
      </c>
      <c r="C13036">
        <f>HYPERLINK("C:\Users\franc\OneDrive\Documentos\MALENTIN KARIME\BANCO ESTADO\2012 DEPTO ESCRITURAS fata\NOTARIA 2009\COMPRAVENTAS INMUEBLES\2009\MARCELA%20PE%C3%91A[1].%20SITIO%20N%C2%BA%203..doc", "Abrir Documento")</f>
        <v>0</v>
      </c>
      <c r="D13036" t="s">
        <v>23500</v>
      </c>
      <c r="E13036" t="s">
        <v>35511</v>
      </c>
    </row>
    <row r="13037" spans="1:5">
      <c r="A13037" t="s">
        <v>6</v>
      </c>
      <c r="B13037" t="s">
        <v>13042</v>
      </c>
      <c r="C13037">
        <f>HYPERLINK("C:\Users\franc\OneDrive\Documentos\MALENTIN KARIME\BANCO ESTADO\2012 DEPTO ESCRITURAS fata\NOTARIA 2009\COMPRAVENTAS INMUEBLES\2009\MARCELA%20PE%C3%91A[1].%20SITIO%20N%C2%BA%202..doc", "Abrir Documento")</f>
        <v>0</v>
      </c>
      <c r="D13037" t="s">
        <v>23500</v>
      </c>
      <c r="E13037" t="s">
        <v>35512</v>
      </c>
    </row>
    <row r="13038" spans="1:5">
      <c r="A13038" t="s">
        <v>6</v>
      </c>
      <c r="B13038" t="s">
        <v>13043</v>
      </c>
      <c r="C13038">
        <f>HYPERLINK("C:\Users\franc\OneDrive\Documentos\MALENTIN KARIME\BANCO ESTADO\2012 DEPTO ESCRITURAS fata\NOTARIA 2009\COMPRAVENTAS INMUEBLES\2009\MANUEL SAN FRANCISCO A GLORIA CASTILLO.doc", "Abrir Documento")</f>
        <v>0</v>
      </c>
      <c r="D13038" t="s">
        <v>23500</v>
      </c>
      <c r="E13038" t="s">
        <v>35513</v>
      </c>
    </row>
    <row r="13039" spans="1:5">
      <c r="A13039" t="s">
        <v>6</v>
      </c>
      <c r="B13039" t="s">
        <v>13044</v>
      </c>
      <c r="C13039">
        <f>HYPERLINK("C:\Users\franc\OneDrive\Documentos\MALENTIN KARIME\BANCO ESTADO\2012 DEPTO ESCRITURAS fata\NOTARIA 2009\COMPRAVENTAS INMUEBLES\2009\MANUEL CISTERNA A  (NO SE )(CON PROH. LEGAL).doc", "Abrir Documento")</f>
        <v>0</v>
      </c>
      <c r="D13039" t="s">
        <v>23500</v>
      </c>
      <c r="E13039" t="s">
        <v>35514</v>
      </c>
    </row>
    <row r="13040" spans="1:5">
      <c r="A13040" t="s">
        <v>6</v>
      </c>
      <c r="B13040" t="s">
        <v>13045</v>
      </c>
      <c r="C13040">
        <f>HYPERLINK("C:\Users\franc\OneDrive\Documentos\MALENTIN KARIME\BANCO ESTADO\2012 DEPTO ESCRITURAS fata\NOTARIA 2009\COMPRAVENTAS INMUEBLES\2009\MA HERNANDEZ BARBASE Y OTRAS A PATRICIO ROCO.doc", "Abrir Documento")</f>
        <v>0</v>
      </c>
      <c r="D13040" t="s">
        <v>23500</v>
      </c>
      <c r="E13040" t="s">
        <v>35515</v>
      </c>
    </row>
    <row r="13041" spans="1:5">
      <c r="A13041" t="s">
        <v>6</v>
      </c>
      <c r="B13041" t="s">
        <v>13046</v>
      </c>
      <c r="C13041">
        <f>HYPERLINK("C:\Users\franc\OneDrive\Documentos\MALENTIN KARIME\BANCO ESTADO\2012 DEPTO ESCRITURAS fata\NOTARIA 2009\COMPRAVENTAS INMUEBLES\2009\LUISA SEGURA A SU HNA. (SOLTERAS).doc", "Abrir Documento")</f>
        <v>0</v>
      </c>
      <c r="D13041" t="s">
        <v>23500</v>
      </c>
      <c r="E13041" t="s">
        <v>35516</v>
      </c>
    </row>
    <row r="13042" spans="1:5">
      <c r="A13042" t="s">
        <v>6</v>
      </c>
      <c r="B13042" t="s">
        <v>13047</v>
      </c>
      <c r="C13042">
        <f>HYPERLINK("C:\Users\franc\OneDrive\Documentos\MALENTIN KARIME\BANCO ESTADO\2012 DEPTO ESCRITURAS fata\NOTARIA 2009\COMPRAVENTAS INMUEBLES\2009\LUIS GARRIDO A VARIOS (DERECHOS GUANAQUEROS).doc", "Abrir Documento")</f>
        <v>0</v>
      </c>
      <c r="D13042" t="s">
        <v>23500</v>
      </c>
      <c r="E13042" t="s">
        <v>35517</v>
      </c>
    </row>
    <row r="13043" spans="1:5">
      <c r="A13043" t="s">
        <v>6</v>
      </c>
      <c r="B13043" t="s">
        <v>13048</v>
      </c>
      <c r="C13043">
        <f>HYPERLINK("C:\Users\franc\OneDrive\Documentos\MALENTIN KARIME\BANCO ESTADO\2012 DEPTO ESCRITURAS fata\NOTARIA 2009\COMPRAVENTAS INMUEBLES\2009\LUIS CASTILLO A PEDRO VILLACORTA.doc", "Abrir Documento")</f>
        <v>0</v>
      </c>
      <c r="D13043" t="s">
        <v>23500</v>
      </c>
      <c r="E13043" t="s">
        <v>35518</v>
      </c>
    </row>
    <row r="13044" spans="1:5">
      <c r="A13044" t="s">
        <v>6</v>
      </c>
      <c r="B13044" t="s">
        <v>13049</v>
      </c>
      <c r="C13044">
        <f>HYPERLINK("C:\Users\franc\OneDrive\Documentos\MALENTIN KARIME\BANCO ESTADO\2012 DEPTO ESCRITURAS fata\NOTARIA 2009\COMPRAVENTAS INMUEBLES\2009\LUCIA GUERRERO A JESSICA ZANABRIA (LA TORRE).doc", "Abrir Documento")</f>
        <v>0</v>
      </c>
      <c r="D13044" t="s">
        <v>23500</v>
      </c>
      <c r="E13044" t="s">
        <v>35519</v>
      </c>
    </row>
    <row r="13045" spans="1:5">
      <c r="A13045" t="s">
        <v>6</v>
      </c>
      <c r="B13045" t="s">
        <v>13050</v>
      </c>
      <c r="C13045">
        <f>HYPERLINK("C:\Users\franc\OneDrive\Documentos\MALENTIN KARIME\BANCO ESTADO\2012 DEPTO ESCRITURAS fata\NOTARIA 2009\COMPRAVENTAS INMUEBLES\2009\liliana alfaro lagunas[1].doc", "Abrir Documento")</f>
        <v>0</v>
      </c>
      <c r="D13045" t="s">
        <v>23500</v>
      </c>
      <c r="E13045" t="s">
        <v>35520</v>
      </c>
    </row>
    <row r="13046" spans="1:5">
      <c r="A13046" t="s">
        <v>6</v>
      </c>
      <c r="B13046" t="s">
        <v>13051</v>
      </c>
      <c r="C13046">
        <f>HYPERLINK("C:\Users\franc\OneDrive\Documentos\MALENTIN KARIME\BANCO ESTADO\2012 DEPTO ESCRITURAS fata\NOTARIA 2009\COMPRAVENTAS INMUEBLES\2009\LILIANA ALFARO A LUIS SEGOVIA (CON PROH. LEGAL).doc", "Abrir Documento")</f>
        <v>0</v>
      </c>
      <c r="D13046" t="s">
        <v>23500</v>
      </c>
      <c r="E13046" t="s">
        <v>35521</v>
      </c>
    </row>
    <row r="13047" spans="1:5">
      <c r="A13047" t="s">
        <v>6</v>
      </c>
      <c r="B13047" t="s">
        <v>13052</v>
      </c>
      <c r="C13047">
        <f>HYPERLINK("C:\Users\franc\OneDrive\Documentos\MALENTIN KARIME\BANCO ESTADO\2012 DEPTO ESCRITURAS fata\NOTARIA 2009\COMPRAVENTAS INMUEBLES\2009\LILIAN VELIZ Y OTRAS A CARMENSA ANGEL TAPIA.doc", "Abrir Documento")</f>
        <v>0</v>
      </c>
      <c r="D13047" t="s">
        <v>23500</v>
      </c>
      <c r="E13047" t="s">
        <v>35522</v>
      </c>
    </row>
    <row r="13048" spans="1:5">
      <c r="A13048" t="s">
        <v>6</v>
      </c>
      <c r="B13048" t="s">
        <v>13053</v>
      </c>
      <c r="C13048">
        <f>HYPERLINK("C:\Users\franc\OneDrive\Documentos\MALENTIN KARIME\BANCO ESTADO\2012 DEPTO ESCRITURAS fata\NOTARIA 2009\COMPRAVENTAS INMUEBLES\2009\LILIAN VELIZ Y OTRAS A CARMENSA ANGEL CON PODER).doc", "Abrir Documento")</f>
        <v>0</v>
      </c>
      <c r="D13048" t="s">
        <v>23500</v>
      </c>
      <c r="E13048" t="s">
        <v>35523</v>
      </c>
    </row>
    <row r="13049" spans="1:5">
      <c r="A13049" t="s">
        <v>6</v>
      </c>
      <c r="B13049" t="s">
        <v>13054</v>
      </c>
      <c r="C13049">
        <f>HYPERLINK("C:\Users\franc\OneDrive\Documentos\MALENTIN KARIME\BANCO ESTADO\2012 DEPTO ESCRITURAS fata\NOTARIA 2009\COMPRAVENTAS INMUEBLES\2009\JUANA ADAOS A OWEN CASTILLO  (M HDA.) CON BS. MB.doc", "Abrir Documento")</f>
        <v>0</v>
      </c>
      <c r="D13049" t="s">
        <v>23500</v>
      </c>
      <c r="E13049" t="s">
        <v>35524</v>
      </c>
    </row>
    <row r="13050" spans="1:5">
      <c r="A13050" t="s">
        <v>6</v>
      </c>
      <c r="B13050" t="s">
        <v>13055</v>
      </c>
      <c r="C13050">
        <f>HYPERLINK("C:\Users\franc\OneDrive\Documentos\MALENTIN KARIME\BANCO ESTADO\2012 DEPTO ESCRITURAS fata\NOTARIA 2009\COMPRAVENTAS INMUEBLES\2009\JUAN ALAMO , COMPRAVENTA[1].doc", "Abrir Documento")</f>
        <v>0</v>
      </c>
      <c r="D13050" t="s">
        <v>23500</v>
      </c>
      <c r="E13050" t="s">
        <v>35525</v>
      </c>
    </row>
    <row r="13051" spans="1:5">
      <c r="A13051" t="s">
        <v>6</v>
      </c>
      <c r="B13051" t="s">
        <v>13056</v>
      </c>
      <c r="C13051">
        <f>HYPERLINK("C:\Users\franc\OneDrive\Documentos\MALENTIN KARIME\BANCO ESTADO\2012 DEPTO ESCRITURAS fata\NOTARIA 2009\COMPRAVENTAS INMUEBLES\2009\JUAN ADAOS y NELSON ADAOS a WILLIAM GONZALEZ.doc", "Abrir Documento")</f>
        <v>0</v>
      </c>
      <c r="D13051" t="s">
        <v>23500</v>
      </c>
      <c r="E13051" t="s">
        <v>35526</v>
      </c>
    </row>
    <row r="13052" spans="1:5">
      <c r="A13052" t="s">
        <v>6</v>
      </c>
      <c r="B13052" t="s">
        <v>13057</v>
      </c>
      <c r="C13052">
        <f>HYPERLINK("C:\Users\franc\OneDrive\Documentos\MALENTIN KARIME\BANCO ESTADO\2012 DEPTO ESCRITURAS fata\NOTARIA 2009\COMPRAVENTAS INMUEBLES\2009\JUAN ADAOS A NELSON ADAOS (50% DERECHOS).doc", "Abrir Documento")</f>
        <v>0</v>
      </c>
      <c r="D13052" t="s">
        <v>23500</v>
      </c>
      <c r="E13052" t="s">
        <v>35527</v>
      </c>
    </row>
    <row r="13053" spans="1:5">
      <c r="A13053" t="s">
        <v>6</v>
      </c>
      <c r="B13053" t="s">
        <v>13058</v>
      </c>
      <c r="C13053">
        <f>HYPERLINK("C:\Users\franc\OneDrive\Documentos\MALENTIN KARIME\BANCO ESTADO\2012 DEPTO ESCRITURAS fata\NOTARIA 2009\COMPRAVENTAS INMUEBLES\2009\JOSE CODOCEO A GRACIELA CODOCEO  (SOLTEROS).doc", "Abrir Documento")</f>
        <v>0</v>
      </c>
      <c r="D13053" t="s">
        <v>23500</v>
      </c>
      <c r="E13053" t="s">
        <v>35528</v>
      </c>
    </row>
    <row r="13054" spans="1:5">
      <c r="A13054" t="s">
        <v>6</v>
      </c>
      <c r="B13054" t="s">
        <v>13059</v>
      </c>
      <c r="C13054">
        <f>HYPERLINK("C:\Users\franc\OneDrive\Documentos\MALENTIN KARIME\BANCO ESTADO\2012 DEPTO ESCRITURAS fata\NOTARIA 2009\COMPRAVENTAS INMUEBLES\2009\JORGE ARAYA A ROSA PIZARRO (SOLTEROS).doc", "Abrir Documento")</f>
        <v>0</v>
      </c>
      <c r="D13054" t="s">
        <v>23500</v>
      </c>
      <c r="E13054" t="s">
        <v>35529</v>
      </c>
    </row>
    <row r="13055" spans="1:5">
      <c r="A13055" t="s">
        <v>6</v>
      </c>
      <c r="B13055" t="s">
        <v>13060</v>
      </c>
      <c r="C13055">
        <f>HYPERLINK("C:\Users\franc\OneDrive\Documentos\MALENTIN KARIME\BANCO ESTADO\2012 DEPTO ESCRITURAS fata\NOTARIA 2009\COMPRAVENTAS INMUEBLES\2009\JAVIER JOFRE A ELIZA FERNANDEZ (CASADO EL).doc", "Abrir Documento")</f>
        <v>0</v>
      </c>
      <c r="D13055" t="s">
        <v>23500</v>
      </c>
      <c r="E13055" t="s">
        <v>35530</v>
      </c>
    </row>
    <row r="13056" spans="1:5">
      <c r="A13056" t="s">
        <v>6</v>
      </c>
      <c r="B13056" t="s">
        <v>13061</v>
      </c>
      <c r="C13056">
        <f>HYPERLINK("C:\Users\franc\OneDrive\Documentos\MALENTIN KARIME\BANCO ESTADO\2012 DEPTO ESCRITURAS fata\NOTARIA 2009\COMPRAVENTAS INMUEBLES\2009\JAIME VILLARROEL A MIGUEL JULIA  (CASADO).doc", "Abrir Documento")</f>
        <v>0</v>
      </c>
      <c r="D13056" t="s">
        <v>23500</v>
      </c>
      <c r="E13056" t="s">
        <v>35531</v>
      </c>
    </row>
    <row r="13057" spans="1:5">
      <c r="A13057" t="s">
        <v>6</v>
      </c>
      <c r="B13057" t="s">
        <v>13062</v>
      </c>
      <c r="C13057">
        <f>HYPERLINK("C:\Users\franc\OneDrive\Documentos\MALENTIN KARIME\BANCO ESTADO\2012 DEPTO ESCRITURAS fata\NOTARIA 2009\COMPRAVENTAS INMUEBLES\2009\INSTRUCCIONES WILMA BARRAZA.doc", "Abrir Documento")</f>
        <v>0</v>
      </c>
      <c r="D13057" t="s">
        <v>23500</v>
      </c>
      <c r="E13057" t="s">
        <v>35532</v>
      </c>
    </row>
    <row r="13058" spans="1:5">
      <c r="A13058" t="s">
        <v>6</v>
      </c>
      <c r="B13058" t="s">
        <v>13063</v>
      </c>
      <c r="C13058">
        <f>HYPERLINK("C:\Users\franc\OneDrive\Documentos\MALENTIN KARIME\BANCO ESTADO\2012 DEPTO ESCRITURAS fata\NOTARIA 2009\COMPRAVENTAS INMUEBLES\2009\INSTRUCCIONES JAIME VILLARROEL.doc", "Abrir Documento")</f>
        <v>0</v>
      </c>
      <c r="D13058" t="s">
        <v>23500</v>
      </c>
      <c r="E13058" t="s">
        <v>35533</v>
      </c>
    </row>
    <row r="13059" spans="1:5">
      <c r="A13059" t="s">
        <v>6</v>
      </c>
      <c r="B13059" t="s">
        <v>13064</v>
      </c>
      <c r="C13059">
        <f>HYPERLINK("C:\Users\franc\OneDrive\Documentos\MALENTIN KARIME\BANCO ESTADO\2012 DEPTO ESCRITURAS fata\NOTARIA 2009\COMPRAVENTAS INMUEBLES\2009\INES LEDEZMA A MARIA LEDEZMA  (50% DERECHOS).doc", "Abrir Documento")</f>
        <v>0</v>
      </c>
      <c r="D13059" t="s">
        <v>23500</v>
      </c>
      <c r="E13059" t="s">
        <v>35534</v>
      </c>
    </row>
    <row r="13060" spans="1:5">
      <c r="A13060" t="s">
        <v>6</v>
      </c>
      <c r="B13060" t="s">
        <v>13065</v>
      </c>
      <c r="C13060">
        <f>HYPERLINK("C:\Users\franc\OneDrive\Documentos\MALENTIN KARIME\BANCO ESTADO\2012 DEPTO ESCRITURAS fata\NOTARIA 2009\COMPRAVENTAS INMUEBLES\2009\INES BUGUEÑO A VERONICA CORDERO  (CONYUGE) COM. SOLTERA.doc", "Abrir Documento")</f>
        <v>0</v>
      </c>
      <c r="D13060" t="s">
        <v>23500</v>
      </c>
      <c r="E13060" t="s">
        <v>35535</v>
      </c>
    </row>
    <row r="13061" spans="1:5">
      <c r="A13061" t="s">
        <v>6</v>
      </c>
      <c r="B13061" t="s">
        <v>13066</v>
      </c>
      <c r="C13061">
        <f>HYPERLINK("C:\Users\franc\OneDrive\Documentos\MALENTIN KARIME\BANCO ESTADO\2012 DEPTO ESCRITURAS fata\NOTARIA 2009\COMPRAVENTAS INMUEBLES\2009\IDA LOPEZ A ANA ECHEVERRIA  (CONYUGE) ART. 150.doc", "Abrir Documento")</f>
        <v>0</v>
      </c>
      <c r="D13061" t="s">
        <v>23500</v>
      </c>
      <c r="E13061" t="s">
        <v>35536</v>
      </c>
    </row>
    <row r="13062" spans="1:5">
      <c r="A13062" t="s">
        <v>6</v>
      </c>
      <c r="B13062" t="s">
        <v>13067</v>
      </c>
      <c r="C13062">
        <f>HYPERLINK("C:\Users\franc\OneDrive\Documentos\MALENTIN KARIME\BANCO ESTADO\2012 DEPTO ESCRITURAS fata\NOTARIA 2009\COMPRAVENTAS INMUEBLES\2009\HERNAN ZEPEDA GOMILA A SU HIJO NICOLAS.doc", "Abrir Documento")</f>
        <v>0</v>
      </c>
      <c r="D13062" t="s">
        <v>23500</v>
      </c>
      <c r="E13062" t="s">
        <v>35537</v>
      </c>
    </row>
    <row r="13063" spans="1:5">
      <c r="A13063" t="s">
        <v>6</v>
      </c>
      <c r="B13063" t="s">
        <v>13068</v>
      </c>
      <c r="C13063">
        <f>HYPERLINK("C:\Users\franc\OneDrive\Documentos\MALENTIN KARIME\BANCO ESTADO\2012 DEPTO ESCRITURAS fata\NOTARIA 2009\COMPRAVENTAS INMUEBLES\2009\HERMAN TELLO A CRISTIAN ZAPATA  (CON PROH. LEGAL).doc", "Abrir Documento")</f>
        <v>0</v>
      </c>
      <c r="D13063" t="s">
        <v>23500</v>
      </c>
      <c r="E13063" t="s">
        <v>35538</v>
      </c>
    </row>
    <row r="13064" spans="1:5">
      <c r="A13064" t="s">
        <v>6</v>
      </c>
      <c r="B13064" t="s">
        <v>13069</v>
      </c>
      <c r="C13064">
        <f>HYPERLINK("C:\Users\franc\OneDrive\Documentos\MALENTIN KARIME\BANCO ESTADO\2012 DEPTO ESCRITURAS fata\NOTARIA 2009\COMPRAVENTAS INMUEBLES\2009\GUILLERMO OSSANDON A DANIEL ZAPATA.doc", "Abrir Documento")</f>
        <v>0</v>
      </c>
      <c r="D13064" t="s">
        <v>23500</v>
      </c>
      <c r="E13064" t="s">
        <v>35539</v>
      </c>
    </row>
    <row r="13065" spans="1:5">
      <c r="A13065" t="s">
        <v>6</v>
      </c>
      <c r="B13065" t="s">
        <v>13070</v>
      </c>
      <c r="C13065">
        <f>HYPERLINK("C:\Users\franc\OneDrive\Documentos\MALENTIN KARIME\BANCO ESTADO\2012 DEPTO ESCRITURAS fata\NOTARIA 2009\COMPRAVENTAS INMUEBLES\2009\GABRIELA BRAVO A PABLA CASTILLO (CON PROH. LEGAL).doc", "Abrir Documento")</f>
        <v>0</v>
      </c>
      <c r="D13065" t="s">
        <v>23500</v>
      </c>
      <c r="E13065" t="s">
        <v>35540</v>
      </c>
    </row>
    <row r="13066" spans="1:5">
      <c r="A13066" t="s">
        <v>6</v>
      </c>
      <c r="B13066" t="s">
        <v>13071</v>
      </c>
      <c r="C13066">
        <f>HYPERLINK("C:\Users\franc\OneDrive\Documentos\MALENTIN KARIME\BANCO ESTADO\2012 DEPTO ESCRITURAS fata\NOTARIA 2009\COMPRAVENTAS INMUEBLES\2009\FRANCISC RODRIGUEZ A GMO. VILLALOBOS  (CESION DE DERECHOS.doc", "Abrir Documento")</f>
        <v>0</v>
      </c>
      <c r="D13066" t="s">
        <v>23500</v>
      </c>
      <c r="E13066" t="s">
        <v>35541</v>
      </c>
    </row>
    <row r="13067" spans="1:5">
      <c r="A13067" t="s">
        <v>6</v>
      </c>
      <c r="B13067" t="s">
        <v>13072</v>
      </c>
      <c r="C13067">
        <f>HYPERLINK("C:\Users\franc\OneDrive\Documentos\MALENTIN KARIME\BANCO ESTADO\2012 DEPTO ESCRITURAS fata\NOTARIA 2009\COMPRAVENTAS INMUEBLES\2009\FORTUNATO GONZALEZ A JOSE VEGA (PICHASCA).doc", "Abrir Documento")</f>
        <v>0</v>
      </c>
      <c r="D13067" t="s">
        <v>23500</v>
      </c>
      <c r="E13067" t="s">
        <v>35542</v>
      </c>
    </row>
    <row r="13068" spans="1:5">
      <c r="A13068" t="s">
        <v>6</v>
      </c>
      <c r="B13068" t="s">
        <v>13073</v>
      </c>
      <c r="C13068">
        <f>HYPERLINK("C:\Users\franc\OneDrive\Documentos\MALENTIN KARIME\BANCO ESTADO\2012 DEPTO ESCRITURAS fata\NOTARIA 2009\COMPRAVENTAS INMUEBLES\2009\ERASMO BUGUEÑO A LEONCIO BUGUEÑO - LA TORRE.doc", "Abrir Documento")</f>
        <v>0</v>
      </c>
      <c r="D13068" t="s">
        <v>23500</v>
      </c>
      <c r="E13068" t="s">
        <v>35543</v>
      </c>
    </row>
    <row r="13069" spans="1:5">
      <c r="A13069" t="s">
        <v>6</v>
      </c>
      <c r="B13069" t="s">
        <v>13074</v>
      </c>
      <c r="C13069">
        <f>HYPERLINK("C:\Users\franc\OneDrive\Documentos\MALENTIN KARIME\BANCO ESTADO\2012 DEPTO ESCRITURAS fata\NOTARIA 2009\COMPRAVENTAS INMUEBLES\2009\ELIZABETH CORTES A CONSTANZA BUGUEÑO Y USUFRUCTO  (COMPARECE CONYUGE).doc", "Abrir Documento")</f>
        <v>0</v>
      </c>
      <c r="D13069" t="s">
        <v>23500</v>
      </c>
      <c r="E13069" t="s">
        <v>35544</v>
      </c>
    </row>
    <row r="13070" spans="1:5">
      <c r="A13070" t="s">
        <v>6</v>
      </c>
      <c r="B13070" t="s">
        <v>13075</v>
      </c>
      <c r="C13070">
        <f>HYPERLINK("C:\Users\franc\OneDrive\Documentos\MALENTIN KARIME\BANCO ESTADO\2012 DEPTO ESCRITURAS fata\NOTARIA 2009\COMPRAVENTAS INMUEBLES\2009\ELIZA FERNANDEZ A JAVIER JOFRE.doc", "Abrir Documento")</f>
        <v>0</v>
      </c>
      <c r="D13070" t="s">
        <v>23500</v>
      </c>
      <c r="E13070" t="s">
        <v>35545</v>
      </c>
    </row>
    <row r="13071" spans="1:5">
      <c r="A13071" t="s">
        <v>6</v>
      </c>
      <c r="B13071" t="s">
        <v>13076</v>
      </c>
      <c r="C13071">
        <f>HYPERLINK("C:\Users\franc\OneDrive\Documentos\MALENTIN KARIME\BANCO ESTADO\2012 DEPTO ESCRITURAS fata\NOTARIA 2009\COMPRAVENTAS INMUEBLES\2009\ELIEL MUNDACA A HECTOR MUNDACA Y OTRO.doc", "Abrir Documento")</f>
        <v>0</v>
      </c>
      <c r="D13071" t="s">
        <v>23500</v>
      </c>
      <c r="E13071" t="s">
        <v>35546</v>
      </c>
    </row>
    <row r="13072" spans="1:5">
      <c r="A13072" t="s">
        <v>6</v>
      </c>
      <c r="B13072" t="s">
        <v>13077</v>
      </c>
      <c r="C13072">
        <f>HYPERLINK("C:\Users\franc\OneDrive\Documentos\MALENTIN KARIME\BANCO ESTADO\2012 DEPTO ESCRITURAS fata\NOTARIA 2009\COMPRAVENTAS INMUEBLES\2009\EDUARDO ROBLES A HUMBERTO ARAYA (CON CERTIF. CORA).doc", "Abrir Documento")</f>
        <v>0</v>
      </c>
      <c r="D13072" t="s">
        <v>23500</v>
      </c>
      <c r="E13072" t="s">
        <v>35547</v>
      </c>
    </row>
    <row r="13073" spans="1:5">
      <c r="A13073" t="s">
        <v>6</v>
      </c>
      <c r="B13073" t="s">
        <v>13078</v>
      </c>
      <c r="C13073">
        <f>HYPERLINK("C:\Users\franc\OneDrive\Documentos\MALENTIN KARIME\BANCO ESTADO\2012 DEPTO ESCRITURAS fata\NOTARIA 2009\COMPRAVENTAS INMUEBLES\2009\EDUARDO JOFRE A WILMA BARRAZA (ELLA SEP. BIENES).doc", "Abrir Documento")</f>
        <v>0</v>
      </c>
      <c r="D13073" t="s">
        <v>23500</v>
      </c>
      <c r="E13073" t="s">
        <v>35548</v>
      </c>
    </row>
    <row r="13074" spans="1:5">
      <c r="A13074" t="s">
        <v>6</v>
      </c>
      <c r="B13074" t="s">
        <v>13079</v>
      </c>
      <c r="C13074">
        <f>HYPERLINK("C:\Users\franc\OneDrive\Documentos\MALENTIN KARIME\BANCO ESTADO\2012 DEPTO ESCRITURAS fata\NOTARIA 2009\COMPRAVENTAS INMUEBLES\2009\DOLORES RODRIGUEZ A FAVIO ROBLEDO  (CESION DE DERECHOS.doc", "Abrir Documento")</f>
        <v>0</v>
      </c>
      <c r="D13074" t="s">
        <v>23500</v>
      </c>
      <c r="E13074" t="s">
        <v>35549</v>
      </c>
    </row>
    <row r="13075" spans="1:5">
      <c r="A13075" t="s">
        <v>6</v>
      </c>
      <c r="B13075" t="s">
        <v>13080</v>
      </c>
      <c r="C13075">
        <f>HYPERLINK("C:\Users\franc\OneDrive\Documentos\MALENTIN KARIME\BANCO ESTADO\2012 DEPTO ESCRITURAS fata\NOTARIA 2009\COMPRAVENTAS INMUEBLES\2009\Doc1.doc", "Abrir Documento")</f>
        <v>0</v>
      </c>
      <c r="D13075" t="s">
        <v>23500</v>
      </c>
      <c r="E13075" t="s">
        <v>35550</v>
      </c>
    </row>
    <row r="13076" spans="1:5">
      <c r="A13076" t="s">
        <v>6</v>
      </c>
      <c r="B13076" t="s">
        <v>13081</v>
      </c>
      <c r="C13076">
        <f>HYPERLINK("C:\Users\franc\OneDrive\Documentos\MALENTIN KARIME\BANCO ESTADO\2012 DEPTO ESCRITURAS fata\NOTARIA 2009\COMPRAVENTAS INMUEBLES\2009\CV SAMUEL VILLARROEL[1].doc", "Abrir Documento")</f>
        <v>0</v>
      </c>
      <c r="D13076" t="s">
        <v>23500</v>
      </c>
      <c r="E13076" t="s">
        <v>35551</v>
      </c>
    </row>
    <row r="13077" spans="1:5">
      <c r="A13077" t="s">
        <v>6</v>
      </c>
      <c r="B13077" t="s">
        <v>13082</v>
      </c>
      <c r="C13077">
        <f>HYPERLINK("C:\Users\franc\OneDrive\Documentos\MALENTIN KARIME\BANCO ESTADO\2012 DEPTO ESCRITURAS fata\NOTARIA 2009\COMPRAVENTAS INMUEBLES\2009\CLAUDIA MOLINA A ESTELVINA OLIVARES.doc", "Abrir Documento")</f>
        <v>0</v>
      </c>
      <c r="D13077" t="s">
        <v>23500</v>
      </c>
      <c r="E13077" t="s">
        <v>35552</v>
      </c>
    </row>
    <row r="13078" spans="1:5">
      <c r="A13078" t="s">
        <v>6</v>
      </c>
      <c r="B13078" t="s">
        <v>13083</v>
      </c>
      <c r="C13078">
        <f>HYPERLINK("C:\Users\franc\OneDrive\Documentos\MALENTIN KARIME\BANCO ESTADO\2012 DEPTO ESCRITURAS fata\NOTARIA 2009\COMPRAVENTAS INMUEBLES\2009\CARLOS MUÑOZ A ARNALDO RIVERA  (SOLTEROS).doc", "Abrir Documento")</f>
        <v>0</v>
      </c>
      <c r="D13078" t="s">
        <v>23500</v>
      </c>
      <c r="E13078" t="s">
        <v>35553</v>
      </c>
    </row>
    <row r="13079" spans="1:5">
      <c r="A13079" t="s">
        <v>6</v>
      </c>
      <c r="B13079" t="s">
        <v>13084</v>
      </c>
      <c r="C13079">
        <f>HYPERLINK("C:\Users\franc\OneDrive\Documentos\MALENTIN KARIME\BANCO ESTADO\2012 DEPTO ESCRITURAS fata\NOTARIA 2009\COMPRAVENTAS INMUEBLES\2009\BELTRAN PIZARRO A MARIA VELASQUEZ (EL TRAPICHE).doc", "Abrir Documento")</f>
        <v>0</v>
      </c>
      <c r="D13079" t="s">
        <v>23500</v>
      </c>
      <c r="E13079" t="s">
        <v>35554</v>
      </c>
    </row>
    <row r="13080" spans="1:5">
      <c r="A13080" t="s">
        <v>6</v>
      </c>
      <c r="B13080" t="s">
        <v>13085</v>
      </c>
      <c r="C13080">
        <f>HYPERLINK("C:\Users\franc\OneDrive\Documentos\MALENTIN KARIME\BANCO ESTADO\2012 DEPTO ESCRITURAS fata\NOTARIA 2009\COMPRAVENTAS INMUEBLES\2009\ARTEMIO BUGUEÑO Y OTROS A BELTRAN PIZARRO (CON PODER).doc", "Abrir Documento")</f>
        <v>0</v>
      </c>
      <c r="D13080" t="s">
        <v>23500</v>
      </c>
      <c r="E13080" t="s">
        <v>35555</v>
      </c>
    </row>
    <row r="13081" spans="1:5">
      <c r="A13081" t="s">
        <v>6</v>
      </c>
      <c r="B13081" t="s">
        <v>13086</v>
      </c>
      <c r="C13081">
        <f>HYPERLINK("C:\Users\franc\OneDrive\Documentos\MALENTIN KARIME\BANCO ESTADO\2012 DEPTO ESCRITURAS fata\NOTARIA 2009\COMPRAVENTAS INMUEBLES\2009\ARMANDO MANQUEZ A HONALDO ESPINOZA  (CASADO).doc", "Abrir Documento")</f>
        <v>0</v>
      </c>
      <c r="D13081" t="s">
        <v>23500</v>
      </c>
      <c r="E13081" t="s">
        <v>35556</v>
      </c>
    </row>
    <row r="13082" spans="1:5">
      <c r="A13082" t="s">
        <v>6</v>
      </c>
      <c r="B13082" t="s">
        <v>13087</v>
      </c>
      <c r="C13082">
        <f>HYPERLINK("C:\Users\franc\OneDrive\Documentos\MALENTIN KARIME\BANCO ESTADO\2012 DEPTO ESCRITURAS fata\NOTARIA 2009\COMPRAVENTAS INMUEBLES\2009\ARIEL GODOY A VICTOR HIDALGO (DERECHOS).doc", "Abrir Documento")</f>
        <v>0</v>
      </c>
      <c r="D13082" t="s">
        <v>23500</v>
      </c>
      <c r="E13082" t="s">
        <v>35557</v>
      </c>
    </row>
    <row r="13083" spans="1:5">
      <c r="A13083" t="s">
        <v>6</v>
      </c>
      <c r="B13083" t="s">
        <v>13088</v>
      </c>
      <c r="C13083">
        <f>HYPERLINK("C:\Users\franc\OneDrive\Documentos\MALENTIN KARIME\BANCO ESTADO\2012 DEPTO ESCRITURAS fata\NOTARIA 2009\COMPRAVENTAS INMUEBLES\2009\ANTONIO ACUÑA A NICANOR ALCORTA  (SOLTEROS).doc", "Abrir Documento")</f>
        <v>0</v>
      </c>
      <c r="D13083" t="s">
        <v>23500</v>
      </c>
      <c r="E13083" t="s">
        <v>35558</v>
      </c>
    </row>
    <row r="13084" spans="1:5">
      <c r="A13084" t="s">
        <v>6</v>
      </c>
      <c r="B13084" t="s">
        <v>13089</v>
      </c>
      <c r="C13084">
        <f>HYPERLINK("C:\Users\franc\OneDrive\Documentos\MALENTIN KARIME\BANCO ESTADO\2012 DEPTO ESCRITURAS fata\NOTARIA 2009\COMPRAVENTAS INMUEBLES\2009\ANITA MORGADO A ENRIQUE BRAVOY OTRO (2 PROP).doc", "Abrir Documento")</f>
        <v>0</v>
      </c>
      <c r="D13084" t="s">
        <v>23500</v>
      </c>
      <c r="E13084" t="s">
        <v>35559</v>
      </c>
    </row>
    <row r="13085" spans="1:5">
      <c r="A13085" t="s">
        <v>6</v>
      </c>
      <c r="B13085" t="s">
        <v>13090</v>
      </c>
      <c r="C13085">
        <f>HYPERLINK("C:\Users\franc\OneDrive\Documentos\MALENTIN KARIME\BANCO ESTADO\2012 DEPTO ESCRITURAS fata\NOTARIA 2009\COMPRAVENTAS INMUEBLES\2009\ANGELINA ARAYA A TIA (PILAR MONTE PATRIA).doc", "Abrir Documento")</f>
        <v>0</v>
      </c>
      <c r="D13085" t="s">
        <v>23500</v>
      </c>
      <c r="E13085" t="s">
        <v>35560</v>
      </c>
    </row>
    <row r="13086" spans="1:5">
      <c r="A13086" t="s">
        <v>6</v>
      </c>
      <c r="B13086" t="s">
        <v>13091</v>
      </c>
      <c r="C13086">
        <f>HYPERLINK("C:\Users\franc\OneDrive\Documentos\MALENTIN KARIME\BANCO ESTADO\2012 DEPTO ESCRITURAS fata\NOTARIA 2009\COMPRAVENTAS INMUEBLES\2009\ANGELINA ARAYA (pilar Monte Patria ) a su tia 2.doc", "Abrir Documento")</f>
        <v>0</v>
      </c>
      <c r="D13086" t="s">
        <v>23500</v>
      </c>
      <c r="E13086" t="s">
        <v>35561</v>
      </c>
    </row>
    <row r="13087" spans="1:5">
      <c r="A13087" t="s">
        <v>6</v>
      </c>
      <c r="B13087" t="s">
        <v>13092</v>
      </c>
      <c r="C13087">
        <f>HYPERLINK("C:\Users\franc\OneDrive\Documentos\MALENTIN KARIME\BANCO ESTADO\2012 DEPTO ESCRITURAS fata\NOTARIA 2009\COMPRAVENTAS INMUEBLES\2009\ANDRES OLIVARES A INES JULIO (MONTE PATRIA SIN INSC.doc", "Abrir Documento")</f>
        <v>0</v>
      </c>
      <c r="D13087" t="s">
        <v>23500</v>
      </c>
      <c r="E13087" t="s">
        <v>35562</v>
      </c>
    </row>
    <row r="13088" spans="1:5">
      <c r="A13088" t="s">
        <v>6</v>
      </c>
      <c r="B13088" t="s">
        <v>13093</v>
      </c>
      <c r="C13088">
        <f>HYPERLINK("C:\Users\franc\OneDrive\Documentos\MALENTIN KARIME\BANCO ESTADO\2012 DEPTO ESCRITURAS fata\NOTARIA 2009\COMPRAVENTAS INMUEBLES\2009\ANA ALVAREZ A SU HIJO JOSE RODRIGUEZ.doc", "Abrir Documento")</f>
        <v>0</v>
      </c>
      <c r="D13088" t="s">
        <v>23500</v>
      </c>
      <c r="E13088" t="s">
        <v>35563</v>
      </c>
    </row>
    <row r="13089" spans="1:5">
      <c r="A13089" t="s">
        <v>6</v>
      </c>
      <c r="B13089" t="s">
        <v>13094</v>
      </c>
      <c r="C13089">
        <f>HYPERLINK("C:\Users\franc\OneDrive\Documentos\MALENTIN KARIME\BANCO ESTADO\2012 DEPTO ESCRITURAS fata\NOTARIA 2009\COMPRAVENTAS INMUEBLES\2009\AMALIA CORTES A SU HIJO (SANDRA CARMONA).doc", "Abrir Documento")</f>
        <v>0</v>
      </c>
      <c r="D13089" t="s">
        <v>23500</v>
      </c>
      <c r="E13089" t="s">
        <v>35564</v>
      </c>
    </row>
    <row r="13090" spans="1:5">
      <c r="A13090" t="s">
        <v>6</v>
      </c>
      <c r="B13090" t="s">
        <v>13095</v>
      </c>
      <c r="C13090">
        <f>HYPERLINK("C:\Users\franc\OneDrive\Documentos\MALENTIN KARIME\BANCO ESTADO\2012 DEPTO ESCRITURAS fata\NOTARIA 2009\COMPRAVENTAS INMUEBLES\2009\AMALIA CORTES A SU HIJO (SANDRA CARMONA) bienes muebles.doc", "Abrir Documento")</f>
        <v>0</v>
      </c>
      <c r="D13090" t="s">
        <v>23500</v>
      </c>
      <c r="E13090" t="s">
        <v>35565</v>
      </c>
    </row>
    <row r="13091" spans="1:5">
      <c r="A13091" t="s">
        <v>6</v>
      </c>
      <c r="B13091" t="s">
        <v>13096</v>
      </c>
      <c r="C13091">
        <f>HYPERLINK("C:\Users\franc\OneDrive\Documentos\MALENTIN KARIME\BANCO ESTADO\2012 DEPTO ESCRITURAS fata\NOTARIA 2009\COMPRAVENTAS INMUEBLES\2009\AMADIEL ROJO A NOLBERTO CORTES  (SOLTEROS).doc", "Abrir Documento")</f>
        <v>0</v>
      </c>
      <c r="D13091" t="s">
        <v>23500</v>
      </c>
      <c r="E13091" t="s">
        <v>35566</v>
      </c>
    </row>
    <row r="13092" spans="1:5">
      <c r="A13092" t="s">
        <v>6</v>
      </c>
      <c r="B13092" t="s">
        <v>13097</v>
      </c>
      <c r="C13092">
        <f>HYPERLINK("C:\Users\franc\OneDrive\Documentos\MALENTIN KARIME\BANCO ESTADO\2012 DEPTO ESCRITURAS fata\NOTARIA 2009\COMPRAVENTAS INMUEBLES\2009\ALEX MALUENDA A (NO SE)  (CON PROH. LEGAL) SOLTERO.doc", "Abrir Documento")</f>
        <v>0</v>
      </c>
      <c r="D13092" t="s">
        <v>23500</v>
      </c>
      <c r="E13092" t="s">
        <v>35567</v>
      </c>
    </row>
    <row r="13093" spans="1:5">
      <c r="A13093" t="s">
        <v>6</v>
      </c>
      <c r="B13093" t="s">
        <v>13098</v>
      </c>
      <c r="C13093">
        <f>HYPERLINK("C:\Users\franc\OneDrive\Documentos\MALENTIN KARIME\BANCO ESTADO\2012 DEPTO ESCRITURAS fata\NOTARIA 2009\COMPRAVENTAS INMUEBLES\2009\AGNES VILLARROEL A ESPERANZA NARANJO  C CONY. Y ART. 150.doc", "Abrir Documento")</f>
        <v>0</v>
      </c>
      <c r="D13093" t="s">
        <v>23500</v>
      </c>
      <c r="E13093" t="s">
        <v>35568</v>
      </c>
    </row>
    <row r="13094" spans="1:5">
      <c r="A13094" t="s">
        <v>6</v>
      </c>
      <c r="B13094" t="s">
        <v>13099</v>
      </c>
      <c r="C13094">
        <f>HYPERLINK("C:\Users\franc\OneDrive\Documentos\MALENTIN KARIME\BANCO ESTADO\2012 DEPTO ESCRITURAS fata\NOTARIA 2009\COMPRAVENTAS INMUEBLES\2009\ADRIANA ARAYA MOLINA A NOSE  (SOLTERAS).doc", "Abrir Documento")</f>
        <v>0</v>
      </c>
      <c r="D13094" t="s">
        <v>23500</v>
      </c>
      <c r="E13094" t="s">
        <v>35569</v>
      </c>
    </row>
    <row r="13095" spans="1:5">
      <c r="A13095" t="s">
        <v>6</v>
      </c>
      <c r="B13095" t="s">
        <v>13100</v>
      </c>
      <c r="C13095">
        <f>HYPERLINK("C:\Users\franc\OneDrive\Documentos\MALENTIN KARIME\BANCO ESTADO\2012 DEPTO ESCRITURAS fata\NOTARIA 2009\COMPRAVENTAS INMUEBLES\2009\ABRAHAM RODRIGUEZ A FAVIO ROBLEDO.doc", "Abrir Documento")</f>
        <v>0</v>
      </c>
      <c r="D13095" t="s">
        <v>23500</v>
      </c>
      <c r="E13095" t="s">
        <v>35570</v>
      </c>
    </row>
    <row r="13096" spans="1:5">
      <c r="A13096" t="s">
        <v>6</v>
      </c>
      <c r="B13096" t="s">
        <v>13101</v>
      </c>
      <c r="C13096">
        <f>HYPERLINK("C:\Users\franc\OneDrive\Documentos\MALENTIN KARIME\BANCO ESTADO\2012 DEPTO ESCRITURAS fata\NOTARIA 2009\COMPRAVENTAS INMUEBLES\2009\ABDON RODRIGUEZ  A GMO. VILLALOBOS  (CESION DE DERECHOS.doc", "Abrir Documento")</f>
        <v>0</v>
      </c>
      <c r="D13096" t="s">
        <v>23500</v>
      </c>
      <c r="E13096" t="s">
        <v>35571</v>
      </c>
    </row>
    <row r="13097" spans="1:5">
      <c r="A13097" t="s">
        <v>6</v>
      </c>
      <c r="B13097" t="s">
        <v>13102</v>
      </c>
      <c r="C13097">
        <f>HYPERLINK("C:\Users\franc\OneDrive\Documentos\MALENTIN KARIME\BANCO ESTADO\2012 DEPTO ESCRITURAS fata\NOTARIA 2009\COMPRAVENTAS INMUEBLES\2008\ç.doc", "Abrir Documento")</f>
        <v>0</v>
      </c>
      <c r="D13097" t="s">
        <v>23500</v>
      </c>
      <c r="E13097" t="s">
        <v>35572</v>
      </c>
    </row>
    <row r="13098" spans="1:5">
      <c r="A13098" t="s">
        <v>6</v>
      </c>
      <c r="B13098" t="s">
        <v>13103</v>
      </c>
      <c r="C13098">
        <f>HYPERLINK("C:\Users\franc\OneDrive\Documentos\MALENTIN KARIME\BANCO ESTADO\2012 DEPTO ESCRITURAS fata\NOTARIA 2009\COMPRAVENTAS INMUEBLES\2008\VIRGINIA GUERRERO Y OTRA A SU HNO. (DERECHOS.doc", "Abrir Documento")</f>
        <v>0</v>
      </c>
      <c r="D13098" t="s">
        <v>23500</v>
      </c>
      <c r="E13098" t="s">
        <v>35573</v>
      </c>
    </row>
    <row r="13099" spans="1:5">
      <c r="A13099" t="s">
        <v>6</v>
      </c>
      <c r="B13099" t="s">
        <v>13104</v>
      </c>
      <c r="C13099">
        <f>HYPERLINK("C:\Users\franc\OneDrive\Documentos\MALENTIN KARIME\BANCO ESTADO\2012 DEPTO ESCRITURAS fata\NOTARIA 2009\COMPRAVENTAS INMUEBLES\2008\ULISES ROBLES A SOC. INMB. COLOMBRES LTDA..doc", "Abrir Documento")</f>
        <v>0</v>
      </c>
      <c r="D13099" t="s">
        <v>23500</v>
      </c>
      <c r="E13099" t="s">
        <v>35574</v>
      </c>
    </row>
    <row r="13100" spans="1:5">
      <c r="A13100" t="s">
        <v>6</v>
      </c>
      <c r="B13100" t="s">
        <v>13105</v>
      </c>
      <c r="C13100">
        <f>HYPERLINK("C:\Users\franc\OneDrive\Documentos\MALENTIN KARIME\BANCO ESTADO\2012 DEPTO ESCRITURAS fata\NOTARIA 2009\COMPRAVENTAS INMUEBLES\2008\TERESA ROJAS A ARIS PEREZ (BIENES NACIONALES).doc", "Abrir Documento")</f>
        <v>0</v>
      </c>
      <c r="D13100" t="s">
        <v>23500</v>
      </c>
      <c r="E13100" t="s">
        <v>35575</v>
      </c>
    </row>
    <row r="13101" spans="1:5">
      <c r="A13101" t="s">
        <v>6</v>
      </c>
      <c r="B13101" t="s">
        <v>13106</v>
      </c>
      <c r="C13101">
        <f>HYPERLINK("C:\Users\franc\OneDrive\Documentos\MALENTIN KARIME\BANCO ESTADO\2012 DEPTO ESCRITURAS fata\NOTARIA 2009\COMPRAVENTAS INMUEBLES\2008\SUC. ORTIZ SEGOVIA A NOLVIA ORTIZ (CON DERECHO EN COMUNIDD).doc", "Abrir Documento")</f>
        <v>0</v>
      </c>
      <c r="D13101" t="s">
        <v>23500</v>
      </c>
      <c r="E13101" t="s">
        <v>35576</v>
      </c>
    </row>
    <row r="13102" spans="1:5">
      <c r="A13102" t="s">
        <v>6</v>
      </c>
      <c r="B13102" t="s">
        <v>13107</v>
      </c>
      <c r="C13102">
        <f>HYPERLINK("C:\Users\franc\OneDrive\Documentos\MALENTIN KARIME\BANCO ESTADO\2012 DEPTO ESCRITURAS fata\NOTARIA 2009\COMPRAVENTAS INMUEBLES\2008\SUC VIDALIA GONZALEZ A.doc", "Abrir Documento")</f>
        <v>0</v>
      </c>
      <c r="D13102" t="s">
        <v>23500</v>
      </c>
      <c r="E13102" t="s">
        <v>35577</v>
      </c>
    </row>
    <row r="13103" spans="1:5">
      <c r="A13103" t="s">
        <v>6</v>
      </c>
      <c r="B13103" t="s">
        <v>13108</v>
      </c>
      <c r="C13103">
        <f>HYPERLINK("C:\Users\franc\OneDrive\Documentos\MALENTIN KARIME\BANCO ESTADO\2012 DEPTO ESCRITURAS fata\NOTARIA 2009\COMPRAVENTAS INMUEBLES\2008\SONIA NARANJO A SIMON LOPEZ.doc", "Abrir Documento")</f>
        <v>0</v>
      </c>
      <c r="D13103" t="s">
        <v>23500</v>
      </c>
      <c r="E13103" t="s">
        <v>35578</v>
      </c>
    </row>
    <row r="13104" spans="1:5">
      <c r="A13104" t="s">
        <v>6</v>
      </c>
      <c r="B13104" t="s">
        <v>13109</v>
      </c>
      <c r="C13104">
        <f>HYPERLINK("C:\Users\franc\OneDrive\Documentos\MALENTIN KARIME\BANCO ESTADO\2012 DEPTO ESCRITURAS fata\NOTARIA 2009\COMPRAVENTAS INMUEBLES\2008\SOLEDAD VEGA A SUSANA VALDERRAMA C CONY. Y ART. 150.doc", "Abrir Documento")</f>
        <v>0</v>
      </c>
      <c r="D13104" t="s">
        <v>23500</v>
      </c>
      <c r="E13104" t="s">
        <v>35579</v>
      </c>
    </row>
    <row r="13105" spans="1:5">
      <c r="A13105" t="s">
        <v>6</v>
      </c>
      <c r="B13105" t="s">
        <v>13110</v>
      </c>
      <c r="C13105">
        <f>HYPERLINK("C:\Users\franc\OneDrive\Documentos\MALENTIN KARIME\BANCO ESTADO\2012 DEPTO ESCRITURAS fata\NOTARIA 2009\COMPRAVENTAS INMUEBLES\2008\ROSA VALDIVIA A GUIDO IBACACHE (M HDA.).doc", "Abrir Documento")</f>
        <v>0</v>
      </c>
      <c r="D13105" t="s">
        <v>23500</v>
      </c>
      <c r="E13105" t="s">
        <v>35580</v>
      </c>
    </row>
    <row r="13106" spans="1:5">
      <c r="A13106" t="s">
        <v>6</v>
      </c>
      <c r="B13106" t="s">
        <v>13111</v>
      </c>
      <c r="C13106">
        <f>HYPERLINK("C:\Users\franc\OneDrive\Documentos\MALENTIN KARIME\BANCO ESTADO\2012 DEPTO ESCRITURAS fata\NOTARIA 2009\COMPRAVENTAS INMUEBLES\2008\RONALDO IBACACHE A CARLOS VEGA   (SUBSIDIO EL CASADO).doc", "Abrir Documento")</f>
        <v>0</v>
      </c>
      <c r="D13106" t="s">
        <v>23500</v>
      </c>
      <c r="E13106" t="s">
        <v>35581</v>
      </c>
    </row>
    <row r="13107" spans="1:5">
      <c r="A13107" t="s">
        <v>6</v>
      </c>
      <c r="B13107" t="s">
        <v>13112</v>
      </c>
      <c r="C13107">
        <f>HYPERLINK("C:\Users\franc\OneDrive\Documentos\MALENTIN KARIME\BANCO ESTADO\2012 DEPTO ESCRITURAS fata\NOTARIA 2009\COMPRAVENTAS INMUEBLES\2008\RAFAEL CARVAJAL A PABLO CORTES (PUNITAQUI).doc", "Abrir Documento")</f>
        <v>0</v>
      </c>
      <c r="D13107" t="s">
        <v>23500</v>
      </c>
      <c r="E13107" t="s">
        <v>35582</v>
      </c>
    </row>
    <row r="13108" spans="1:5">
      <c r="A13108" t="s">
        <v>6</v>
      </c>
      <c r="B13108" t="s">
        <v>13113</v>
      </c>
      <c r="C13108">
        <f>HYPERLINK("C:\Users\franc\OneDrive\Documentos\MALENTIN KARIME\BANCO ESTADO\2012 DEPTO ESCRITURAS fata\NOTARIA 2009\COMPRAVENTAS INMUEBLES\2008\RAFAEL CARVAJAL A PABLO CORTES    3.doc", "Abrir Documento")</f>
        <v>0</v>
      </c>
      <c r="D13108" t="s">
        <v>23500</v>
      </c>
      <c r="E13108" t="s">
        <v>35583</v>
      </c>
    </row>
    <row r="13109" spans="1:5">
      <c r="A13109" t="s">
        <v>6</v>
      </c>
      <c r="B13109" t="s">
        <v>13114</v>
      </c>
      <c r="C13109">
        <f>HYPERLINK("C:\Users\franc\OneDrive\Documentos\MALENTIN KARIME\BANCO ESTADO\2012 DEPTO ESCRITURAS fata\NOTARIA 2009\COMPRAVENTAS INMUEBLES\2008\RAFAEL CARVAJAL A PABLO CORTES    2.doc", "Abrir Documento")</f>
        <v>0</v>
      </c>
      <c r="D13109" t="s">
        <v>23500</v>
      </c>
      <c r="E13109" t="s">
        <v>35584</v>
      </c>
    </row>
    <row r="13110" spans="1:5">
      <c r="A13110" t="s">
        <v>6</v>
      </c>
      <c r="B13110" t="s">
        <v>13115</v>
      </c>
      <c r="C13110">
        <f>HYPERLINK("C:\Users\franc\OneDrive\Documentos\MALENTIN KARIME\BANCO ESTADO\2012 DEPTO ESCRITURAS fata\NOTARIA 2009\COMPRAVENTAS INMUEBLES\2008\PRUDENCIO ARAYA Y OTROS A MERCEDES TELLO  ART. 150.doc", "Abrir Documento")</f>
        <v>0</v>
      </c>
      <c r="D13110" t="s">
        <v>23500</v>
      </c>
      <c r="E13110" t="s">
        <v>35585</v>
      </c>
    </row>
    <row r="13111" spans="1:5">
      <c r="A13111" t="s">
        <v>6</v>
      </c>
      <c r="B13111" t="s">
        <v>13116</v>
      </c>
      <c r="C13111">
        <f>HYPERLINK("C:\Users\franc\OneDrive\Documentos\MALENTIN KARIME\BANCO ESTADO\2012 DEPTO ESCRITURAS fata\NOTARIA 2009\COMPRAVENTAS INMUEBLES\2008\PEDRO TORO A JOSE ZEPEDA.doc", "Abrir Documento")</f>
        <v>0</v>
      </c>
      <c r="D13111" t="s">
        <v>23500</v>
      </c>
      <c r="E13111" t="s">
        <v>35586</v>
      </c>
    </row>
    <row r="13112" spans="1:5">
      <c r="A13112" t="s">
        <v>6</v>
      </c>
      <c r="B13112" t="s">
        <v>13117</v>
      </c>
      <c r="C13112">
        <f>HYPERLINK("C:\Users\franc\OneDrive\Documentos\MALENTIN KARIME\BANCO ESTADO\2012 DEPTO ESCRITURAS fata\NOTARIA 2009\COMPRAVENTAS INMUEBLES\2008\PEDRO MONARDEZ.doc", "Abrir Documento")</f>
        <v>0</v>
      </c>
      <c r="D13112" t="s">
        <v>23500</v>
      </c>
      <c r="E13112" t="s">
        <v>35587</v>
      </c>
    </row>
    <row r="13113" spans="1:5">
      <c r="A13113" t="s">
        <v>6</v>
      </c>
      <c r="B13113" t="s">
        <v>13118</v>
      </c>
      <c r="C13113">
        <f>HYPERLINK("C:\Users\franc\OneDrive\Documentos\MALENTIN KARIME\BANCO ESTADO\2012 DEPTO ESCRITURAS fata\NOTARIA 2009\COMPRAVENTAS INMUEBLES\2008\PATRICIA LOPEZ A RAUL ARAYA (ELLA ART. 150).doc", "Abrir Documento")</f>
        <v>0</v>
      </c>
      <c r="D13113" t="s">
        <v>23500</v>
      </c>
      <c r="E13113" t="s">
        <v>35588</v>
      </c>
    </row>
    <row r="13114" spans="1:5">
      <c r="A13114" t="s">
        <v>6</v>
      </c>
      <c r="B13114" t="s">
        <v>13119</v>
      </c>
      <c r="C13114">
        <f>HYPERLINK("C:\Users\franc\OneDrive\Documentos\MALENTIN KARIME\BANCO ESTADO\2012 DEPTO ESCRITURAS fata\NOTARIA 2009\COMPRAVENTAS INMUEBLES\2008\MODELO COMPRA PARCIALIDADES.doc", "Abrir Documento")</f>
        <v>0</v>
      </c>
      <c r="D13114" t="s">
        <v>23500</v>
      </c>
      <c r="E13114" t="s">
        <v>35589</v>
      </c>
    </row>
    <row r="13115" spans="1:5">
      <c r="A13115" t="s">
        <v>6</v>
      </c>
      <c r="B13115" t="s">
        <v>13120</v>
      </c>
      <c r="C13115">
        <f>HYPERLINK("C:\Users\franc\OneDrive\Documentos\MALENTIN KARIME\BANCO ESTADO\2012 DEPTO ESCRITURAS fata\NOTARIA 2009\COMPRAVENTAS INMUEBLES\2008\MIGUEL SALINAS A LUIS HERNANDEZ (COQUIMBO).doc", "Abrir Documento")</f>
        <v>0</v>
      </c>
      <c r="D13115" t="s">
        <v>23500</v>
      </c>
      <c r="E13115" t="s">
        <v>35590</v>
      </c>
    </row>
    <row r="13116" spans="1:5">
      <c r="A13116" t="s">
        <v>6</v>
      </c>
      <c r="B13116" t="s">
        <v>13121</v>
      </c>
      <c r="C13116">
        <f>HYPERLINK("C:\Users\franc\OneDrive\Documentos\MALENTIN KARIME\BANCO ESTADO\2012 DEPTO ESCRITURAS fata\NOTARIA 2009\COMPRAVENTAS INMUEBLES\2008\MARIA CORTES A SAMUEL HIDALGO (SOLTERA).doc", "Abrir Documento")</f>
        <v>0</v>
      </c>
      <c r="D13116" t="s">
        <v>23500</v>
      </c>
      <c r="E13116" t="s">
        <v>35591</v>
      </c>
    </row>
    <row r="13117" spans="1:5">
      <c r="A13117" t="s">
        <v>6</v>
      </c>
      <c r="B13117" t="s">
        <v>13122</v>
      </c>
      <c r="C13117">
        <f>HYPERLINK("C:\Users\franc\OneDrive\Documentos\MALENTIN KARIME\BANCO ESTADO\2012 DEPTO ESCRITURAS fata\NOTARIA 2009\COMPRAVENTAS INMUEBLES\2008\MARIA CASTRO A SERGIO RIVERA (SUBSIDIO CONYUGE).doc", "Abrir Documento")</f>
        <v>0</v>
      </c>
      <c r="D13117" t="s">
        <v>23500</v>
      </c>
      <c r="E13117" t="s">
        <v>35592</v>
      </c>
    </row>
    <row r="13118" spans="1:5">
      <c r="A13118" t="s">
        <v>6</v>
      </c>
      <c r="B13118" t="s">
        <v>13123</v>
      </c>
      <c r="C13118">
        <f>HYPERLINK("C:\Users\franc\OneDrive\Documentos\MALENTIN KARIME\BANCO ESTADO\2012 DEPTO ESCRITURAS fata\NOTARIA 2009\COMPRAVENTAS INMUEBLES\2008\MARIA BRAVO CASTILLO A SOC FLOR MARIA.doc", "Abrir Documento")</f>
        <v>0</v>
      </c>
      <c r="D13118" t="s">
        <v>23500</v>
      </c>
      <c r="E13118" t="s">
        <v>35593</v>
      </c>
    </row>
    <row r="13119" spans="1:5">
      <c r="A13119" t="s">
        <v>6</v>
      </c>
      <c r="B13119" t="s">
        <v>13124</v>
      </c>
      <c r="C13119">
        <f>HYPERLINK("C:\Users\franc\OneDrive\Documentos\MALENTIN KARIME\BANCO ESTADO\2012 DEPTO ESCRITURAS fata\NOTARIA 2009\COMPRAVENTAS INMUEBLES\2008\MARCELA GUZMAN A CLAUDINA RIQUELME  (BIENES NACIONALES)SOLTEROS.doc", "Abrir Documento")</f>
        <v>0</v>
      </c>
      <c r="D13119" t="s">
        <v>23500</v>
      </c>
      <c r="E13119" t="s">
        <v>35594</v>
      </c>
    </row>
    <row r="13120" spans="1:5">
      <c r="A13120" t="s">
        <v>6</v>
      </c>
      <c r="B13120" t="s">
        <v>13125</v>
      </c>
      <c r="C13120">
        <f>HYPERLINK("C:\Users\franc\OneDrive\Documentos\MALENTIN KARIME\BANCO ESTADO\2012 DEPTO ESCRITURAS fata\NOTARIA 2009\COMPRAVENTAS INMUEBLES\2008\MANUEL GONZALEZ A JOSE CASTILLO (DOCTOR A. GARCIA PICA).doc", "Abrir Documento")</f>
        <v>0</v>
      </c>
      <c r="D13120" t="s">
        <v>23500</v>
      </c>
      <c r="E13120" t="s">
        <v>35595</v>
      </c>
    </row>
    <row r="13121" spans="1:5">
      <c r="A13121" t="s">
        <v>6</v>
      </c>
      <c r="B13121" t="s">
        <v>13126</v>
      </c>
      <c r="C13121">
        <f>HYPERLINK("C:\Users\franc\OneDrive\Documentos\MALENTIN KARIME\BANCO ESTADO\2012 DEPTO ESCRITURAS fata\NOTARIA 2009\COMPRAVENTAS INMUEBLES\2008\LUIS SALFATE A BRAULIO ARAYA.doc", "Abrir Documento")</f>
        <v>0</v>
      </c>
      <c r="D13121" t="s">
        <v>23500</v>
      </c>
      <c r="E13121" t="s">
        <v>35596</v>
      </c>
    </row>
    <row r="13122" spans="1:5">
      <c r="A13122" t="s">
        <v>6</v>
      </c>
      <c r="B13122" t="s">
        <v>13127</v>
      </c>
      <c r="C13122">
        <f>HYPERLINK("C:\Users\franc\OneDrive\Documentos\MALENTIN KARIME\BANCO ESTADO\2012 DEPTO ESCRITURAS fata\NOTARIA 2009\COMPRAVENTAS INMUEBLES\2008\LUIS GUERRERO A FLORA CAMPUSANO (EL CASADO).doc", "Abrir Documento")</f>
        <v>0</v>
      </c>
      <c r="D13122" t="s">
        <v>23500</v>
      </c>
      <c r="E13122" t="s">
        <v>35597</v>
      </c>
    </row>
    <row r="13123" spans="1:5">
      <c r="A13123" t="s">
        <v>6</v>
      </c>
      <c r="B13123" t="s">
        <v>13128</v>
      </c>
      <c r="C13123">
        <f>HYPERLINK("C:\Users\franc\OneDrive\Documentos\MALENTIN KARIME\BANCO ESTADO\2012 DEPTO ESCRITURAS fata\NOTARIA 2009\COMPRAVENTAS INMUEBLES\2008\JUANA TABILO A SU HIJA (SEP. DE BIENES).doc", "Abrir Documento")</f>
        <v>0</v>
      </c>
      <c r="D13123" t="s">
        <v>23500</v>
      </c>
      <c r="E13123" t="s">
        <v>35598</v>
      </c>
    </row>
    <row r="13124" spans="1:5">
      <c r="A13124" t="s">
        <v>6</v>
      </c>
      <c r="B13124" t="s">
        <v>13129</v>
      </c>
      <c r="C13124">
        <f>HYPERLINK("C:\Users\franc\OneDrive\Documentos\MALENTIN KARIME\BANCO ESTADO\2012 DEPTO ESCRITURAS fata\NOTARIA 2009\COMPRAVENTAS INMUEBLES\2008\JUANA ADAOS A OWEN CASTILLO  (M HDA.) CON BS. MB.doc", "Abrir Documento")</f>
        <v>0</v>
      </c>
      <c r="D13124" t="s">
        <v>23500</v>
      </c>
      <c r="E13124" t="s">
        <v>35599</v>
      </c>
    </row>
    <row r="13125" spans="1:5">
      <c r="A13125" t="s">
        <v>6</v>
      </c>
      <c r="B13125" t="s">
        <v>13130</v>
      </c>
      <c r="C13125">
        <f>HYPERLINK("C:\Users\franc\OneDrive\Documentos\MALENTIN KARIME\BANCO ESTADO\2012 DEPTO ESCRITURAS fata\NOTARIA 2009\COMPRAVENTAS INMUEBLES\2008\JUAN ROMERO A UVELINDA PEÑA  (SUBSIDIO SOLTEROS).doc", "Abrir Documento")</f>
        <v>0</v>
      </c>
      <c r="D13125" t="s">
        <v>23500</v>
      </c>
      <c r="E13125" t="s">
        <v>35600</v>
      </c>
    </row>
    <row r="13126" spans="1:5">
      <c r="A13126" t="s">
        <v>6</v>
      </c>
      <c r="B13126" t="s">
        <v>13131</v>
      </c>
      <c r="C13126">
        <f>HYPERLINK("C:\Users\franc\OneDrive\Documentos\MALENTIN KARIME\BANCO ESTADO\2012 DEPTO ESCRITURAS fata\NOTARIA 2009\COMPRAVENTAS INMUEBLES\2008\JUAN CORTES A VERONICA ANRIQUERA   (DERECHOS).doc", "Abrir Documento")</f>
        <v>0</v>
      </c>
      <c r="D13126" t="s">
        <v>23500</v>
      </c>
      <c r="E13126" t="s">
        <v>35601</v>
      </c>
    </row>
    <row r="13127" spans="1:5">
      <c r="A13127" t="s">
        <v>6</v>
      </c>
      <c r="B13127" t="s">
        <v>13132</v>
      </c>
      <c r="C13127">
        <f>HYPERLINK("C:\Users\franc\OneDrive\Documentos\MALENTIN KARIME\BANCO ESTADO\2012 DEPTO ESCRITURAS fata\NOTARIA 2009\COMPRAVENTAS INMUEBLES\2008\JOSE MUÑOZ - MARIA.doc", "Abrir Documento")</f>
        <v>0</v>
      </c>
      <c r="D13127" t="s">
        <v>23500</v>
      </c>
      <c r="E13127" t="s">
        <v>35602</v>
      </c>
    </row>
    <row r="13128" spans="1:5">
      <c r="A13128" t="s">
        <v>6</v>
      </c>
      <c r="B13128" t="s">
        <v>13133</v>
      </c>
      <c r="C13128">
        <f>HYPERLINK("C:\Users\franc\OneDrive\Documentos\MALENTIN KARIME\BANCO ESTADO\2012 DEPTO ESCRITURAS fata\NOTARIA 2009\COMPRAVENTAS INMUEBLES\2008\HUMBERTO ANGEL A CARLOS MILLA  (BIENES NACIONALES)SOLTEROS.doc", "Abrir Documento")</f>
        <v>0</v>
      </c>
      <c r="D13128" t="s">
        <v>23500</v>
      </c>
      <c r="E13128" t="s">
        <v>35603</v>
      </c>
    </row>
    <row r="13129" spans="1:5">
      <c r="A13129" t="s">
        <v>6</v>
      </c>
      <c r="B13129" t="s">
        <v>13134</v>
      </c>
      <c r="C13129">
        <f>HYPERLINK("C:\Users\franc\OneDrive\Documentos\MALENTIN KARIME\BANCO ESTADO\2012 DEPTO ESCRITURAS fata\NOTARIA 2009\COMPRAVENTAS INMUEBLES\2008\HUGO PIZARRO CON CONYUGE A SU HIJO.doc", "Abrir Documento")</f>
        <v>0</v>
      </c>
      <c r="D13129" t="s">
        <v>23500</v>
      </c>
      <c r="E13129" t="s">
        <v>35604</v>
      </c>
    </row>
    <row r="13130" spans="1:5">
      <c r="A13130" t="s">
        <v>6</v>
      </c>
      <c r="B13130" t="s">
        <v>13135</v>
      </c>
      <c r="C13130">
        <f>HYPERLINK("C:\Users\franc\OneDrive\Documentos\MALENTIN KARIME\BANCO ESTADO\2012 DEPTO ESCRITURAS fata\NOTARIA 2009\COMPRAVENTAS INMUEBLES\2008\HORACIO ABRILOT A SOC. AGRICOLA EL SAUCE LTDA..doc", "Abrir Documento")</f>
        <v>0</v>
      </c>
      <c r="D13130" t="s">
        <v>23500</v>
      </c>
      <c r="E13130" t="s">
        <v>35605</v>
      </c>
    </row>
    <row r="13131" spans="1:5">
      <c r="A13131" t="s">
        <v>6</v>
      </c>
      <c r="B13131" t="s">
        <v>13136</v>
      </c>
      <c r="C13131">
        <f>HYPERLINK("C:\Users\franc\OneDrive\Documentos\MALENTIN KARIME\BANCO ESTADO\2012 DEPTO ESCRITURAS fata\NOTARIA 2009\COMPRAVENTAS INMUEBLES\2008\HERNAN GODOY A SERGIO CARVAJAL.doc", "Abrir Documento")</f>
        <v>0</v>
      </c>
      <c r="D13131" t="s">
        <v>23500</v>
      </c>
      <c r="E13131" t="s">
        <v>35606</v>
      </c>
    </row>
    <row r="13132" spans="1:5">
      <c r="A13132" t="s">
        <v>6</v>
      </c>
      <c r="B13132" t="s">
        <v>13137</v>
      </c>
      <c r="C13132">
        <f>HYPERLINK("C:\Users\franc\OneDrive\Documentos\MALENTIN KARIME\BANCO ESTADO\2012 DEPTO ESCRITURAS fata\NOTARIA 2009\COMPRAVENTAS INMUEBLES\2008\GUMERCINDO HUERTA A DOMINGO MEZA (CASADO).doc", "Abrir Documento")</f>
        <v>0</v>
      </c>
      <c r="D13132" t="s">
        <v>23500</v>
      </c>
      <c r="E13132" t="s">
        <v>35607</v>
      </c>
    </row>
    <row r="13133" spans="1:5">
      <c r="A13133" t="s">
        <v>6</v>
      </c>
      <c r="B13133" t="s">
        <v>13138</v>
      </c>
      <c r="C13133">
        <f>HYPERLINK("C:\Users\franc\OneDrive\Documentos\MALENTIN KARIME\BANCO ESTADO\2012 DEPTO ESCRITURAS fata\NOTARIA 2009\COMPRAVENTAS INMUEBLES\2008\GUILLERMO ROLDAN A MILTON ROJAS.doc", "Abrir Documento")</f>
        <v>0</v>
      </c>
      <c r="D13133" t="s">
        <v>23500</v>
      </c>
      <c r="E13133" t="s">
        <v>35608</v>
      </c>
    </row>
    <row r="13134" spans="1:5">
      <c r="A13134" t="s">
        <v>6</v>
      </c>
      <c r="B13134" t="s">
        <v>13139</v>
      </c>
      <c r="C13134">
        <f>HYPERLINK("C:\Users\franc\OneDrive\Documentos\MALENTIN KARIME\BANCO ESTADO\2012 DEPTO ESCRITURAS fata\NOTARIA 2009\COMPRAVENTAS INMUEBLES\2008\GONZALO ARAYA A DORIS GALINDO  (SOLTEROS) POB..doc", "Abrir Documento")</f>
        <v>0</v>
      </c>
      <c r="D13134" t="s">
        <v>23500</v>
      </c>
      <c r="E13134" t="s">
        <v>35609</v>
      </c>
    </row>
    <row r="13135" spans="1:5">
      <c r="A13135" t="s">
        <v>6</v>
      </c>
      <c r="B13135" t="s">
        <v>13140</v>
      </c>
      <c r="C13135">
        <f>HYPERLINK("C:\Users\franc\OneDrive\Documentos\MALENTIN KARIME\BANCO ESTADO\2012 DEPTO ESCRITURAS fata\NOTARIA 2009\COMPRAVENTAS INMUEBLES\2008\GERARDO AHUMADA A LUISA PAZ.doc", "Abrir Documento")</f>
        <v>0</v>
      </c>
      <c r="D13135" t="s">
        <v>23500</v>
      </c>
      <c r="E13135" t="s">
        <v>35610</v>
      </c>
    </row>
    <row r="13136" spans="1:5">
      <c r="A13136" t="s">
        <v>6</v>
      </c>
      <c r="B13136" t="s">
        <v>13141</v>
      </c>
      <c r="C13136">
        <f>HYPERLINK("C:\Users\franc\OneDrive\Documentos\MALENTIN KARIME\BANCO ESTADO\2012 DEPTO ESCRITURAS fata\NOTARIA 2009\COMPRAVENTAS INMUEBLES\2008\GALVARINO VERAGUA A LUIS GUERRERO.doc", "Abrir Documento")</f>
        <v>0</v>
      </c>
      <c r="D13136" t="s">
        <v>23500</v>
      </c>
      <c r="E13136" t="s">
        <v>35611</v>
      </c>
    </row>
    <row r="13137" spans="1:5">
      <c r="A13137" t="s">
        <v>6</v>
      </c>
      <c r="B13137" t="s">
        <v>13142</v>
      </c>
      <c r="C13137">
        <f>HYPERLINK("C:\Users\franc\OneDrive\Documentos\MALENTIN KARIME\BANCO ESTADO\2012 DEPTO ESCRITURAS fata\NOTARIA 2009\COMPRAVENTAS INMUEBLES\2008\FLORA CAMPUSANO A ALEXIS GUERRERO (SOLTEROS).doc", "Abrir Documento")</f>
        <v>0</v>
      </c>
      <c r="D13137" t="s">
        <v>23500</v>
      </c>
      <c r="E13137" t="s">
        <v>35612</v>
      </c>
    </row>
    <row r="13138" spans="1:5">
      <c r="A13138" t="s">
        <v>6</v>
      </c>
      <c r="B13138" t="s">
        <v>13143</v>
      </c>
      <c r="C13138">
        <f>HYPERLINK("C:\Users\franc\OneDrive\Documentos\MALENTIN KARIME\BANCO ESTADO\2012 DEPTO ESCRITURAS fata\NOTARIA 2009\COMPRAVENTAS INMUEBLES\2008\FABIOLA MUÑOZ Y OTROS A LAURA MUÑOZ (DERECHOS).doc", "Abrir Documento")</f>
        <v>0</v>
      </c>
      <c r="D13138" t="s">
        <v>23500</v>
      </c>
      <c r="E13138" t="s">
        <v>35613</v>
      </c>
    </row>
    <row r="13139" spans="1:5">
      <c r="A13139" t="s">
        <v>6</v>
      </c>
      <c r="B13139" t="s">
        <v>13144</v>
      </c>
      <c r="C13139">
        <f>HYPERLINK("C:\Users\franc\OneDrive\Documentos\MALENTIN KARIME\BANCO ESTADO\2012 DEPTO ESCRITURAS fata\NOTARIA 2009\COMPRAVENTAS INMUEBLES\2008\ERIC HERRERA A GAMADIEL HERRERA  (SOLTERO CON REN USUA).doc", "Abrir Documento")</f>
        <v>0</v>
      </c>
      <c r="D13139" t="s">
        <v>23500</v>
      </c>
      <c r="E13139" t="s">
        <v>35614</v>
      </c>
    </row>
    <row r="13140" spans="1:5">
      <c r="A13140" t="s">
        <v>6</v>
      </c>
      <c r="B13140" t="s">
        <v>13145</v>
      </c>
      <c r="C13140">
        <f>HYPERLINK("C:\Users\franc\OneDrive\Documentos\MALENTIN KARIME\BANCO ESTADO\2012 DEPTO ESCRITURAS fata\NOTARIA 2009\COMPRAVENTAS INMUEBLES\2008\DIOPOLDINA ORTIZ A DEISY ORTIZ (AMBAS SOLTERAS).doc", "Abrir Documento")</f>
        <v>0</v>
      </c>
      <c r="D13140" t="s">
        <v>23500</v>
      </c>
      <c r="E13140" t="s">
        <v>35615</v>
      </c>
    </row>
    <row r="13141" spans="1:5">
      <c r="A13141" t="s">
        <v>6</v>
      </c>
      <c r="B13141" t="s">
        <v>13146</v>
      </c>
      <c r="C13141">
        <f>HYPERLINK("C:\Users\franc\OneDrive\Documentos\MALENTIN KARIME\BANCO ESTADO\2012 DEPTO ESCRITURAS fata\NOTARIA 2009\COMPRAVENTAS INMUEBLES\2008\CONTRATO DE COMPRAVENTA v7  final Notaria definitiva.doc", "Abrir Documento")</f>
        <v>0</v>
      </c>
      <c r="D13141" t="s">
        <v>23500</v>
      </c>
      <c r="E13141" t="s">
        <v>35616</v>
      </c>
    </row>
    <row r="13142" spans="1:5">
      <c r="A13142" t="s">
        <v>6</v>
      </c>
      <c r="B13142" t="s">
        <v>13147</v>
      </c>
      <c r="C13142">
        <f>HYPERLINK("C:\Users\franc\OneDrive\Documentos\MALENTIN KARIME\BANCO ESTADO\2012 DEPTO ESCRITURAS fata\NOTARIA 2009\COMPRAVENTAS INMUEBLES\2008\CLAUDIA Y HNA. A SU MAMA (COBRESAL).doc", "Abrir Documento")</f>
        <v>0</v>
      </c>
      <c r="D13142" t="s">
        <v>23500</v>
      </c>
      <c r="E13142" t="s">
        <v>35617</v>
      </c>
    </row>
    <row r="13143" spans="1:5">
      <c r="A13143" t="s">
        <v>6</v>
      </c>
      <c r="B13143" t="s">
        <v>13148</v>
      </c>
      <c r="C13143">
        <f>HYPERLINK("C:\Users\franc\OneDrive\Documentos\MALENTIN KARIME\BANCO ESTADO\2012 DEPTO ESCRITURAS fata\NOTARIA 2009\COMPRAVENTAS INMUEBLES\2008\CARMEN MONARDES A GULLERMINA VILLALOBOS.doc", "Abrir Documento")</f>
        <v>0</v>
      </c>
      <c r="D13143" t="s">
        <v>23500</v>
      </c>
      <c r="E13143" t="s">
        <v>35618</v>
      </c>
    </row>
    <row r="13144" spans="1:5">
      <c r="A13144" t="s">
        <v>6</v>
      </c>
      <c r="B13144" t="s">
        <v>13149</v>
      </c>
      <c r="C13144">
        <f>HYPERLINK("C:\Users\franc\OneDrive\Documentos\MALENTIN KARIME\BANCO ESTADO\2012 DEPTO ESCRITURAS fata\NOTARIA 2009\COMPRAVENTAS INMUEBLES\2008\BLANCA CARVAJAL A JORGE LAYANA SUBSIDIO CONYUGE.doc", "Abrir Documento")</f>
        <v>0</v>
      </c>
      <c r="D13144" t="s">
        <v>23500</v>
      </c>
      <c r="E13144" t="s">
        <v>35619</v>
      </c>
    </row>
    <row r="13145" spans="1:5">
      <c r="A13145" t="s">
        <v>6</v>
      </c>
      <c r="B13145" t="s">
        <v>13150</v>
      </c>
      <c r="C13145">
        <f>HYPERLINK("C:\Users\franc\OneDrive\Documentos\MALENTIN KARIME\BANCO ESTADO\2012 DEPTO ESCRITURAS fata\NOTARIA 2009\COMPRAVENTAS INMUEBLES\2008\APTA ARENAS A MANUEL ARAYA ARAOS  (SUBSIDIO SOLTEROS).doc", "Abrir Documento")</f>
        <v>0</v>
      </c>
      <c r="D13145" t="s">
        <v>23500</v>
      </c>
      <c r="E13145" t="s">
        <v>35620</v>
      </c>
    </row>
    <row r="13146" spans="1:5">
      <c r="A13146" t="s">
        <v>6</v>
      </c>
      <c r="B13146" t="s">
        <v>13151</v>
      </c>
      <c r="C13146">
        <f>HYPERLINK("C:\Users\franc\OneDrive\Documentos\MALENTIN KARIME\BANCO ESTADO\2012 DEPTO ESCRITURAS fata\NOTARIA 2009\COMPRAVENTAS INMUEBLES\2008\ANIBAL CONTRERAS CON CONYUGE A ERIKA CONTRERAS  (ART. 150).doc", "Abrir Documento")</f>
        <v>0</v>
      </c>
      <c r="D13146" t="s">
        <v>23500</v>
      </c>
      <c r="E13146" t="s">
        <v>35621</v>
      </c>
    </row>
    <row r="13147" spans="1:5">
      <c r="A13147" t="s">
        <v>6</v>
      </c>
      <c r="B13147" t="s">
        <v>13152</v>
      </c>
      <c r="C13147">
        <f>HYPERLINK("C:\Users\franc\OneDrive\Documentos\MALENTIN KARIME\BANCO ESTADO\2012 DEPTO ESCRITURAS fata\NOTARIA 2009\COMPRAVENTAS INMUEBLES\2008\ANA ARENAS A SEGUNDO ALUCEMA (SOLTERA).doc", "Abrir Documento")</f>
        <v>0</v>
      </c>
      <c r="D13147" t="s">
        <v>23500</v>
      </c>
      <c r="E13147" t="s">
        <v>35622</v>
      </c>
    </row>
    <row r="13148" spans="1:5">
      <c r="A13148" t="s">
        <v>6</v>
      </c>
      <c r="B13148" t="s">
        <v>13153</v>
      </c>
      <c r="C13148">
        <f>HYPERLINK("C:\Users\franc\OneDrive\Documentos\MALENTIN KARIME\BANCO ESTADO\2012 DEPTO ESCRITURAS fata\NOTARIA 2009\COMPRAVENTAS INMUEBLES\2008\ANA A TIO LINO.doc", "Abrir Documento")</f>
        <v>0</v>
      </c>
      <c r="D13148" t="s">
        <v>23500</v>
      </c>
      <c r="E13148" t="s">
        <v>35623</v>
      </c>
    </row>
    <row r="13149" spans="1:5">
      <c r="A13149" t="s">
        <v>6</v>
      </c>
      <c r="B13149" t="s">
        <v>13154</v>
      </c>
      <c r="C13149">
        <f>HYPERLINK("C:\Users\franc\OneDrive\Documentos\MALENTIN KARIME\BANCO ESTADO\2012 DEPTO ESCRITURAS fata\NOTARIA 2009\COMPRAVENTAS INMUEBLES\2008\ALICIA ACUÑA A ANGELA ACUÑA (SOLTERA).doc", "Abrir Documento")</f>
        <v>0</v>
      </c>
      <c r="D13149" t="s">
        <v>23500</v>
      </c>
      <c r="E13149" t="s">
        <v>35624</v>
      </c>
    </row>
    <row r="13150" spans="1:5">
      <c r="A13150" t="s">
        <v>6</v>
      </c>
      <c r="B13150" t="s">
        <v>13155</v>
      </c>
      <c r="C13150">
        <f>HYPERLINK("C:\Users\franc\OneDrive\Documentos\MALENTIN KARIME\BANCO ESTADO\2012 DEPTO ESCRITURAS fata\NOTARIA 2009\COMPRAVENTAS INMUEBLES\2008\ALFONSO ROJAS A RODRIGO ZEPEDA.doc", "Abrir Documento")</f>
        <v>0</v>
      </c>
      <c r="D13150" t="s">
        <v>23500</v>
      </c>
      <c r="E13150" t="s">
        <v>35625</v>
      </c>
    </row>
    <row r="13151" spans="1:5">
      <c r="A13151" t="s">
        <v>6</v>
      </c>
      <c r="B13151" t="s">
        <v>13156</v>
      </c>
      <c r="C13151">
        <f>HYPERLINK("C:\Users\franc\OneDrive\Documentos\MALENTIN KARIME\BANCO ESTADO\2012 DEPTO ESCRITURAS fata\NOTARIA 2009\COMPRAVENTAS INMUEBLES\2008\ALEXANDER ROJAS A ANGELICA ARAYA   (SUBSIDIO SOLTEROS).doc", "Abrir Documento")</f>
        <v>0</v>
      </c>
      <c r="D13151" t="s">
        <v>23500</v>
      </c>
      <c r="E13151" t="s">
        <v>35626</v>
      </c>
    </row>
    <row r="13152" spans="1:5">
      <c r="A13152" t="s">
        <v>6</v>
      </c>
      <c r="B13152" t="s">
        <v>13157</v>
      </c>
      <c r="C13152">
        <f>HYPERLINK("C:\Users\franc\OneDrive\Documentos\MALENTIN KARIME\BANCO ESTADO\2012 DEPTO ESCRITURAS fata\NOTARIA 2009\COMPRAVENTAS INMUEBLES\2008\ALEJANDRO VALDES A CARLOS GONZALEZ (MARGOT FERNANDEZ).doc", "Abrir Documento")</f>
        <v>0</v>
      </c>
      <c r="D13152" t="s">
        <v>23500</v>
      </c>
      <c r="E13152" t="s">
        <v>35627</v>
      </c>
    </row>
    <row r="13153" spans="1:5">
      <c r="A13153" t="s">
        <v>6</v>
      </c>
      <c r="B13153" t="s">
        <v>13158</v>
      </c>
      <c r="C13153">
        <f>HYPERLINK("C:\Users\franc\OneDrive\Documentos\MALENTIN KARIME\BANCO ESTADO\2012 DEPTO ESCRITURAS fata\NOTARIA 2009\COMPRAVENTAS INMUEBLES\2008\AGUSTIN MUÑOZ A PEDRO BARRAZA.doc", "Abrir Documento")</f>
        <v>0</v>
      </c>
      <c r="D13153" t="s">
        <v>23500</v>
      </c>
      <c r="E13153" t="s">
        <v>35628</v>
      </c>
    </row>
    <row r="13154" spans="1:5">
      <c r="A13154" t="s">
        <v>6</v>
      </c>
      <c r="B13154" t="s">
        <v>13159</v>
      </c>
      <c r="C13154">
        <f>HYPERLINK("C:\Users\franc\OneDrive\Documentos\MALENTIN KARIME\BANCO ESTADO\2012 DEPTO ESCRITURAS fata\NOTARIA 2009\COMPRAVENTAS INMUEBLES\2007\WALDO SANHUEZA A YOCELIN ACOSTA.doc", "Abrir Documento")</f>
        <v>0</v>
      </c>
      <c r="D13154" t="s">
        <v>23500</v>
      </c>
      <c r="E13154" t="s">
        <v>35629</v>
      </c>
    </row>
    <row r="13155" spans="1:5">
      <c r="A13155" t="s">
        <v>6</v>
      </c>
      <c r="B13155" t="s">
        <v>13160</v>
      </c>
      <c r="C13155">
        <f>HYPERLINK("C:\Users\franc\OneDrive\Documentos\MALENTIN KARIME\BANCO ESTADO\2012 DEPTO ESCRITURAS fata\NOTARIA 2009\COMPRAVENTAS INMUEBLES\2007\TULIO ALFARO A JAIME TAPIA.doc", "Abrir Documento")</f>
        <v>0</v>
      </c>
      <c r="D13155" t="s">
        <v>23500</v>
      </c>
      <c r="E13155" t="s">
        <v>35630</v>
      </c>
    </row>
    <row r="13156" spans="1:5">
      <c r="A13156" t="s">
        <v>6</v>
      </c>
      <c r="B13156" t="s">
        <v>13161</v>
      </c>
      <c r="C13156">
        <f>HYPERLINK("C:\Users\franc\OneDrive\Documentos\MALENTIN KARIME\BANCO ESTADO\2012 DEPTO ESCRITURAS fata\NOTARIA 2009\COMPRAVENTAS INMUEBLES\2007\SILVANA VELIZ Y OTRO A MICAELA MORALES (COMPRA PARA.doc", "Abrir Documento")</f>
        <v>0</v>
      </c>
      <c r="D13156" t="s">
        <v>23500</v>
      </c>
      <c r="E13156" t="s">
        <v>35631</v>
      </c>
    </row>
    <row r="13157" spans="1:5">
      <c r="A13157" t="s">
        <v>6</v>
      </c>
      <c r="B13157" t="s">
        <v>13162</v>
      </c>
      <c r="C13157">
        <f>HYPERLINK("C:\Users\franc\OneDrive\Documentos\MALENTIN KARIME\BANCO ESTADO\2012 DEPTO ESCRITURAS fata\NOTARIA 2009\COMPRAVENTAS INMUEBLES\2007\SERGIO ARIAS A EDAURDO TALAMILLA (POB).doc", "Abrir Documento")</f>
        <v>0</v>
      </c>
      <c r="D13157" t="s">
        <v>23500</v>
      </c>
      <c r="E13157" t="s">
        <v>35632</v>
      </c>
    </row>
    <row r="13158" spans="1:5">
      <c r="A13158" t="s">
        <v>6</v>
      </c>
      <c r="B13158" t="s">
        <v>13163</v>
      </c>
      <c r="C13158">
        <f>HYPERLINK("C:\Users\franc\OneDrive\Documentos\MALENTIN KARIME\BANCO ESTADO\2012 DEPTO ESCRITURAS fata\NOTARIA 2009\COMPRAVENTAS INMUEBLES\2007\SANDRA DIAZ A MARIO DIAZ.doc", "Abrir Documento")</f>
        <v>0</v>
      </c>
      <c r="D13158" t="s">
        <v>23500</v>
      </c>
      <c r="E13158" t="s">
        <v>35633</v>
      </c>
    </row>
    <row r="13159" spans="1:5">
      <c r="A13159" t="s">
        <v>6</v>
      </c>
      <c r="B13159" t="s">
        <v>13164</v>
      </c>
      <c r="C13159">
        <f>HYPERLINK("C:\Users\franc\OneDrive\Documentos\MALENTIN KARIME\BANCO ESTADO\2012 DEPTO ESCRITURAS fata\NOTARIA 2009\COMPRAVENTAS INMUEBLES\2007\ROLANDO PIZARRO Y OTRO A SRA.  (DERECHOS).doc", "Abrir Documento")</f>
        <v>0</v>
      </c>
      <c r="D13159" t="s">
        <v>23500</v>
      </c>
      <c r="E13159" t="s">
        <v>35634</v>
      </c>
    </row>
    <row r="13160" spans="1:5">
      <c r="A13160" t="s">
        <v>6</v>
      </c>
      <c r="B13160" t="s">
        <v>13165</v>
      </c>
      <c r="C13160">
        <f>HYPERLINK("C:\Users\franc\OneDrive\Documentos\MALENTIN KARIME\BANCO ESTADO\2012 DEPTO ESCRITURAS fata\NOTARIA 2009\COMPRAVENTAS INMUEBLES\2007\ROBINSON VILLALOBOS A SU HIJA (POBLACION).doc", "Abrir Documento")</f>
        <v>0</v>
      </c>
      <c r="D13160" t="s">
        <v>23500</v>
      </c>
      <c r="E13160" t="s">
        <v>35635</v>
      </c>
    </row>
    <row r="13161" spans="1:5">
      <c r="A13161" t="s">
        <v>6</v>
      </c>
      <c r="B13161" t="s">
        <v>13166</v>
      </c>
      <c r="C13161">
        <f>HYPERLINK("C:\Users\franc\OneDrive\Documentos\MALENTIN KARIME\BANCO ESTADO\2012 DEPTO ESCRITURAS fata\NOTARIA 2009\COMPRAVENTAS INMUEBLES\2007\RIGOBERTO BARRAZA A ARTURO JERALDO.doc", "Abrir Documento")</f>
        <v>0</v>
      </c>
      <c r="D13161" t="s">
        <v>23500</v>
      </c>
      <c r="E13161" t="s">
        <v>35636</v>
      </c>
    </row>
    <row r="13162" spans="1:5">
      <c r="A13162" t="s">
        <v>6</v>
      </c>
      <c r="B13162" t="s">
        <v>13167</v>
      </c>
      <c r="C13162">
        <f>HYPERLINK("C:\Users\franc\OneDrive\Documentos\MALENTIN KARIME\BANCO ESTADO\2012 DEPTO ESCRITURAS fata\NOTARIA 2009\COMPRAVENTAS INMUEBLES\2007\RICARDO GOMEZ A PEDRO ARAYA.doc", "Abrir Documento")</f>
        <v>0</v>
      </c>
      <c r="D13162" t="s">
        <v>23500</v>
      </c>
      <c r="E13162" t="s">
        <v>35637</v>
      </c>
    </row>
    <row r="13163" spans="1:5">
      <c r="A13163" t="s">
        <v>6</v>
      </c>
      <c r="B13163" t="s">
        <v>13168</v>
      </c>
      <c r="C13163">
        <f>HYPERLINK("C:\Users\franc\OneDrive\Documentos\MALENTIN KARIME\BANCO ESTADO\2012 DEPTO ESCRITURAS fata\NOTARIA 2009\COMPRAVENTAS INMUEBLES\2007\RAUL CARVAJAL A SONIA NARANJO.doc", "Abrir Documento")</f>
        <v>0</v>
      </c>
      <c r="D13163" t="s">
        <v>23500</v>
      </c>
      <c r="E13163" t="s">
        <v>35638</v>
      </c>
    </row>
    <row r="13164" spans="1:5">
      <c r="A13164" t="s">
        <v>6</v>
      </c>
      <c r="B13164" t="s">
        <v>13169</v>
      </c>
      <c r="C13164">
        <f>HYPERLINK("C:\Users\franc\OneDrive\Documentos\MALENTIN KARIME\BANCO ESTADO\2012 DEPTO ESCRITURAS fata\NOTARIA 2009\COMPRAVENTAS INMUEBLES\2007\RAMON CARVAJAL  A ESPERANZA NARANJO 2.doc", "Abrir Documento")</f>
        <v>0</v>
      </c>
      <c r="D13164" t="s">
        <v>23500</v>
      </c>
      <c r="E13164" t="s">
        <v>35639</v>
      </c>
    </row>
    <row r="13165" spans="1:5">
      <c r="A13165" t="s">
        <v>6</v>
      </c>
      <c r="B13165" t="s">
        <v>13170</v>
      </c>
      <c r="C13165">
        <f>HYPERLINK("C:\Users\franc\OneDrive\Documentos\MALENTIN KARIME\BANCO ESTADO\2012 DEPTO ESCRITURAS fata\NOTARIA 2009\COMPRAVENTAS INMUEBLES\2007\RAMON CARVAJAL  A ESPERANZA NARANJO (ART. 150).doc", "Abrir Documento")</f>
        <v>0</v>
      </c>
      <c r="D13165" t="s">
        <v>23500</v>
      </c>
      <c r="E13165" t="s">
        <v>35640</v>
      </c>
    </row>
    <row r="13166" spans="1:5">
      <c r="A13166" t="s">
        <v>6</v>
      </c>
      <c r="B13166" t="s">
        <v>13171</v>
      </c>
      <c r="C13166">
        <f>HYPERLINK("C:\Users\franc\OneDrive\Documentos\MALENTIN KARIME\BANCO ESTADO\2012 DEPTO ESCRITURAS fata\NOTARIA 2009\COMPRAVENTAS INMUEBLES\2007\PATRICIA ESPINOLA A GLADYS MORENO (ART. 150 DEC JURADA.doc", "Abrir Documento")</f>
        <v>0</v>
      </c>
      <c r="D13166" t="s">
        <v>23500</v>
      </c>
      <c r="E13166" t="s">
        <v>35641</v>
      </c>
    </row>
    <row r="13167" spans="1:5">
      <c r="A13167" t="s">
        <v>6</v>
      </c>
      <c r="B13167" t="s">
        <v>13172</v>
      </c>
      <c r="C13167">
        <f>HYPERLINK("C:\Users\franc\OneDrive\Documentos\MALENTIN KARIME\BANCO ESTADO\2012 DEPTO ESCRITURAS fata\NOTARIA 2009\COMPRAVENTAS INMUEBLES\2007\PABLA DIAZ A SONIA NARANJO.doc", "Abrir Documento")</f>
        <v>0</v>
      </c>
      <c r="D13167" t="s">
        <v>23500</v>
      </c>
      <c r="E13167" t="s">
        <v>35642</v>
      </c>
    </row>
    <row r="13168" spans="1:5">
      <c r="A13168" t="s">
        <v>6</v>
      </c>
      <c r="B13168" t="s">
        <v>13173</v>
      </c>
      <c r="C13168">
        <f>HYPERLINK("C:\Users\franc\OneDrive\Documentos\MALENTIN KARIME\BANCO ESTADO\2012 DEPTO ESCRITURAS fata\NOTARIA 2009\COMPRAVENTAS INMUEBLES\2007\OLGA ANTIQUERA  A RUFINO GONZALEZ  (CONYUGE).doc", "Abrir Documento")</f>
        <v>0</v>
      </c>
      <c r="D13168" t="s">
        <v>23500</v>
      </c>
      <c r="E13168" t="s">
        <v>35643</v>
      </c>
    </row>
    <row r="13169" spans="1:5">
      <c r="A13169" t="s">
        <v>6</v>
      </c>
      <c r="B13169" t="s">
        <v>13174</v>
      </c>
      <c r="C13169">
        <f>HYPERLINK("C:\Users\franc\OneDrive\Documentos\MALENTIN KARIME\BANCO ESTADO\2012 DEPTO ESCRITURAS fata\NOTARIA 2009\COMPRAVENTAS INMUEBLES\2007\OCTAVIO REYES Y OTRA A ARTURO VARELA (SUBSIDIO).doc", "Abrir Documento")</f>
        <v>0</v>
      </c>
      <c r="D13169" t="s">
        <v>23500</v>
      </c>
      <c r="E13169" t="s">
        <v>35644</v>
      </c>
    </row>
    <row r="13170" spans="1:5">
      <c r="A13170" t="s">
        <v>6</v>
      </c>
      <c r="B13170" t="s">
        <v>13175</v>
      </c>
      <c r="C13170">
        <f>HYPERLINK("C:\Users\franc\OneDrive\Documentos\MALENTIN KARIME\BANCO ESTADO\2012 DEPTO ESCRITURAS fata\NOTARIA 2009\COMPRAVENTAS INMUEBLES\2007\NARA PEREZ  A  CARLOS PEREZ.doc", "Abrir Documento")</f>
        <v>0</v>
      </c>
      <c r="D13170" t="s">
        <v>23500</v>
      </c>
      <c r="E13170" t="s">
        <v>35645</v>
      </c>
    </row>
    <row r="13171" spans="1:5">
      <c r="A13171" t="s">
        <v>6</v>
      </c>
      <c r="B13171" t="s">
        <v>13176</v>
      </c>
      <c r="C13171">
        <f>HYPERLINK("C:\Users\franc\OneDrive\Documentos\MALENTIN KARIME\BANCO ESTADO\2012 DEPTO ESCRITURAS fata\NOTARIA 2009\COMPRAVENTAS INMUEBLES\2007\MODELO  (CONYUGE).doc", "Abrir Documento")</f>
        <v>0</v>
      </c>
      <c r="D13171" t="s">
        <v>23500</v>
      </c>
      <c r="E13171" t="s">
        <v>35646</v>
      </c>
    </row>
    <row r="13172" spans="1:5">
      <c r="A13172" t="s">
        <v>6</v>
      </c>
      <c r="B13172" t="s">
        <v>13177</v>
      </c>
      <c r="C13172">
        <f>HYPERLINK("C:\Users\franc\OneDrive\Documentos\MALENTIN KARIME\BANCO ESTADO\2012 DEPTO ESCRITURAS fata\NOTARIA 2009\COMPRAVENTAS INMUEBLES\2007\MIRIAM OLMOS A JOSE GUTIERREZ (SUBSIDIO).doc", "Abrir Documento")</f>
        <v>0</v>
      </c>
      <c r="D13172" t="s">
        <v>23500</v>
      </c>
      <c r="E13172" t="s">
        <v>35647</v>
      </c>
    </row>
    <row r="13173" spans="1:5">
      <c r="A13173" t="s">
        <v>6</v>
      </c>
      <c r="B13173" t="s">
        <v>13178</v>
      </c>
      <c r="C13173">
        <f>HYPERLINK("C:\Users\franc\OneDrive\Documentos\MALENTIN KARIME\BANCO ESTADO\2012 DEPTO ESCRITURAS fata\NOTARIA 2009\COMPRAVENTAS INMUEBLES\2007\MAXIMILIANO ROJAS A CINTYA ROJAS.doc", "Abrir Documento")</f>
        <v>0</v>
      </c>
      <c r="D13173" t="s">
        <v>23500</v>
      </c>
      <c r="E13173" t="s">
        <v>35648</v>
      </c>
    </row>
    <row r="13174" spans="1:5">
      <c r="A13174" t="s">
        <v>6</v>
      </c>
      <c r="B13174" t="s">
        <v>13179</v>
      </c>
      <c r="C13174">
        <f>HYPERLINK("C:\Users\franc\OneDrive\Documentos\MALENTIN KARIME\BANCO ESTADO\2012 DEPTO ESCRITURAS fata\NOTARIA 2009\COMPRAVENTAS INMUEBLES\2007\MARITZA ONELL IV-2 Fundina.doc", "Abrir Documento")</f>
        <v>0</v>
      </c>
      <c r="D13174" t="s">
        <v>23500</v>
      </c>
      <c r="E13174" t="s">
        <v>35649</v>
      </c>
    </row>
    <row r="13175" spans="1:5">
      <c r="A13175" t="s">
        <v>6</v>
      </c>
      <c r="B13175" t="s">
        <v>13180</v>
      </c>
      <c r="C13175">
        <f>HYPERLINK("C:\Users\franc\OneDrive\Documentos\MALENTIN KARIME\BANCO ESTADO\2012 DEPTO ESCRITURAS fata\NOTARIA 2009\COMPRAVENTAS INMUEBLES\2007\MARINO VERGARA Y OTROS.doc", "Abrir Documento")</f>
        <v>0</v>
      </c>
      <c r="D13175" t="s">
        <v>23500</v>
      </c>
      <c r="E13175" t="s">
        <v>35650</v>
      </c>
    </row>
    <row r="13176" spans="1:5">
      <c r="A13176" t="s">
        <v>6</v>
      </c>
      <c r="B13176" t="s">
        <v>13181</v>
      </c>
      <c r="C13176">
        <f>HYPERLINK("C:\Users\franc\OneDrive\Documentos\MALENTIN KARIME\BANCO ESTADO\2012 DEPTO ESCRITURAS fata\NOTARIA 2009\COMPRAVENTAS INMUEBLES\2007\MARIA COUDRAY Y HNO. JACQUELINE (DERECHOS).doc", "Abrir Documento")</f>
        <v>0</v>
      </c>
      <c r="D13176" t="s">
        <v>23500</v>
      </c>
      <c r="E13176" t="s">
        <v>35651</v>
      </c>
    </row>
    <row r="13177" spans="1:5">
      <c r="A13177" t="s">
        <v>6</v>
      </c>
      <c r="B13177" t="s">
        <v>13182</v>
      </c>
      <c r="C13177">
        <f>HYPERLINK("C:\Users\franc\OneDrive\Documentos\MALENTIN KARIME\BANCO ESTADO\2012 DEPTO ESCRITURAS fata\NOTARIA 2009\COMPRAVENTAS INMUEBLES\2007\MARIA CASTRO A DILIA CAMPOS.doc", "Abrir Documento")</f>
        <v>0</v>
      </c>
      <c r="D13177" t="s">
        <v>23500</v>
      </c>
      <c r="E13177" t="s">
        <v>35652</v>
      </c>
    </row>
    <row r="13178" spans="1:5">
      <c r="A13178" t="s">
        <v>6</v>
      </c>
      <c r="B13178" t="s">
        <v>13183</v>
      </c>
      <c r="C13178">
        <f>HYPERLINK("C:\Users\franc\OneDrive\Documentos\MALENTIN KARIME\BANCO ESTADO\2012 DEPTO ESCRITURAS fata\NOTARIA 2009\COMPRAVENTAS INMUEBLES\2007\MARGARITA OLIVARES A SERGIO PIZARRO (SOLTERA).doc", "Abrir Documento")</f>
        <v>0</v>
      </c>
      <c r="D13178" t="s">
        <v>23500</v>
      </c>
      <c r="E13178" t="s">
        <v>35653</v>
      </c>
    </row>
    <row r="13179" spans="1:5">
      <c r="A13179" t="s">
        <v>6</v>
      </c>
      <c r="B13179" t="s">
        <v>13184</v>
      </c>
      <c r="C13179">
        <f>HYPERLINK("C:\Users\franc\OneDrive\Documentos\MALENTIN KARIME\BANCO ESTADO\2012 DEPTO ESCRITURAS fata\NOTARIA 2009\COMPRAVENTAS INMUEBLES\2007\MARCO SANTANDER A ROMINA VELASQUEZ.doc", "Abrir Documento")</f>
        <v>0</v>
      </c>
      <c r="D13179" t="s">
        <v>23500</v>
      </c>
      <c r="E13179" t="s">
        <v>35654</v>
      </c>
    </row>
    <row r="13180" spans="1:5">
      <c r="A13180" t="s">
        <v>6</v>
      </c>
      <c r="B13180" t="s">
        <v>13185</v>
      </c>
      <c r="C13180">
        <f>HYPERLINK("C:\Users\franc\OneDrive\Documentos\MALENTIN KARIME\BANCO ESTADO\2012 DEPTO ESCRITURAS fata\NOTARIA 2009\COMPRAVENTAS INMUEBLES\2007\MARCELINO SALFATE A ...... (SUBSIDIO).doc", "Abrir Documento")</f>
        <v>0</v>
      </c>
      <c r="D13180" t="s">
        <v>23500</v>
      </c>
      <c r="E13180" t="s">
        <v>35655</v>
      </c>
    </row>
    <row r="13181" spans="1:5">
      <c r="A13181" t="s">
        <v>6</v>
      </c>
      <c r="B13181" t="s">
        <v>13186</v>
      </c>
      <c r="C13181">
        <f>HYPERLINK("C:\Users\franc\OneDrive\Documentos\MALENTIN KARIME\BANCO ESTADO\2012 DEPTO ESCRITURAS fata\NOTARIA 2009\COMPRAVENTAS INMUEBLES\2007\LUIS TORREJON A BENIGNO ROJAS.doc", "Abrir Documento")</f>
        <v>0</v>
      </c>
      <c r="D13181" t="s">
        <v>23500</v>
      </c>
      <c r="E13181" t="s">
        <v>35656</v>
      </c>
    </row>
    <row r="13182" spans="1:5">
      <c r="A13182" t="s">
        <v>6</v>
      </c>
      <c r="B13182" t="s">
        <v>13187</v>
      </c>
      <c r="C13182">
        <f>HYPERLINK("C:\Users\franc\OneDrive\Documentos\MALENTIN KARIME\BANCO ESTADO\2012 DEPTO ESCRITURAS fata\NOTARIA 2009\COMPRAVENTAS INMUEBLES\2007\LIDIA HEREDIA A MARCELO GALLEGOS.doc", "Abrir Documento")</f>
        <v>0</v>
      </c>
      <c r="D13182" t="s">
        <v>23500</v>
      </c>
      <c r="E13182" t="s">
        <v>35657</v>
      </c>
    </row>
    <row r="13183" spans="1:5">
      <c r="A13183" t="s">
        <v>6</v>
      </c>
      <c r="B13183" t="s">
        <v>13188</v>
      </c>
      <c r="C13183">
        <f>HYPERLINK("C:\Users\franc\OneDrive\Documentos\MALENTIN KARIME\BANCO ESTADO\2012 DEPTO ESCRITURAS fata\NOTARIA 2009\COMPRAVENTAS INMUEBLES\2007\JUAN GALLEGUILLOS Y OTRO A MIRIAS URQUIETA.doc", "Abrir Documento")</f>
        <v>0</v>
      </c>
      <c r="D13183" t="s">
        <v>23500</v>
      </c>
      <c r="E13183" t="s">
        <v>35658</v>
      </c>
    </row>
    <row r="13184" spans="1:5">
      <c r="A13184" t="s">
        <v>6</v>
      </c>
      <c r="B13184" t="s">
        <v>13189</v>
      </c>
      <c r="C13184">
        <f>HYPERLINK("C:\Users\franc\OneDrive\Documentos\MALENTIN KARIME\BANCO ESTADO\2012 DEPTO ESCRITURAS fata\NOTARIA 2009\COMPRAVENTAS INMUEBLES\2007\JUAN CORTES Y OTRO A JUANA ARAYA.doc", "Abrir Documento")</f>
        <v>0</v>
      </c>
      <c r="D13184" t="s">
        <v>23500</v>
      </c>
      <c r="E13184" t="s">
        <v>35659</v>
      </c>
    </row>
    <row r="13185" spans="1:5">
      <c r="A13185" t="s">
        <v>6</v>
      </c>
      <c r="B13185" t="s">
        <v>13190</v>
      </c>
      <c r="C13185">
        <f>HYPERLINK("C:\Users\franc\OneDrive\Documentos\MALENTIN KARIME\BANCO ESTADO\2012 DEPTO ESCRITURAS fata\NOTARIA 2009\COMPRAVENTAS INMUEBLES\2007\JORGE CORTES (CASADO) A SU HIJA.doc", "Abrir Documento")</f>
        <v>0</v>
      </c>
      <c r="D13185" t="s">
        <v>23500</v>
      </c>
      <c r="E13185" t="s">
        <v>35660</v>
      </c>
    </row>
    <row r="13186" spans="1:5">
      <c r="A13186" t="s">
        <v>6</v>
      </c>
      <c r="B13186" t="s">
        <v>13191</v>
      </c>
      <c r="C13186">
        <f>HYPERLINK("C:\Users\franc\OneDrive\Documentos\MALENTIN KARIME\BANCO ESTADO\2012 DEPTO ESCRITURAS fata\NOTARIA 2009\COMPRAVENTAS INMUEBLES\2007\IVAN VEGA A MIRTA GALLARDO.doc", "Abrir Documento")</f>
        <v>0</v>
      </c>
      <c r="D13186" t="s">
        <v>23500</v>
      </c>
      <c r="E13186" t="s">
        <v>35661</v>
      </c>
    </row>
    <row r="13187" spans="1:5">
      <c r="A13187" t="s">
        <v>6</v>
      </c>
      <c r="B13187" t="s">
        <v>13192</v>
      </c>
      <c r="C13187">
        <f>HYPERLINK("C:\Users\franc\OneDrive\Documentos\MALENTIN KARIME\BANCO ESTADO\2012 DEPTO ESCRITURAS fata\NOTARIA 2009\COMPRAVENTAS INMUEBLES\2007\IRMA CAMPUSANO ROJAS.doc", "Abrir Documento")</f>
        <v>0</v>
      </c>
      <c r="D13187" t="s">
        <v>23500</v>
      </c>
      <c r="E13187" t="s">
        <v>35662</v>
      </c>
    </row>
    <row r="13188" spans="1:5">
      <c r="A13188" t="s">
        <v>6</v>
      </c>
      <c r="B13188" t="s">
        <v>13193</v>
      </c>
      <c r="C13188">
        <f>HYPERLINK("C:\Users\franc\OneDrive\Documentos\MALENTIN KARIME\BANCO ESTADO\2012 DEPTO ESCRITURAS fata\NOTARIA 2009\COMPRAVENTAS INMUEBLES\2007\INOCENCIA MONARDES A SU HIJO (CONYUGE).doc", "Abrir Documento")</f>
        <v>0</v>
      </c>
      <c r="D13188" t="s">
        <v>23500</v>
      </c>
      <c r="E13188" t="s">
        <v>35663</v>
      </c>
    </row>
    <row r="13189" spans="1:5">
      <c r="A13189" t="s">
        <v>6</v>
      </c>
      <c r="B13189" t="s">
        <v>13194</v>
      </c>
      <c r="C13189">
        <f>HYPERLINK("C:\Users\franc\OneDrive\Documentos\MALENTIN KARIME\BANCO ESTADO\2012 DEPTO ESCRITURAS fata\NOTARIA 2009\COMPRAVENTAS INMUEBLES\2007\HUGO BUGUEÑO A SU HIJO (USUFRUCTO).doc", "Abrir Documento")</f>
        <v>0</v>
      </c>
      <c r="D13189" t="s">
        <v>23500</v>
      </c>
      <c r="E13189" t="s">
        <v>35664</v>
      </c>
    </row>
    <row r="13190" spans="1:5">
      <c r="A13190" t="s">
        <v>6</v>
      </c>
      <c r="B13190" t="s">
        <v>13195</v>
      </c>
      <c r="C13190">
        <f>HYPERLINK("C:\Users\franc\OneDrive\Documentos\MALENTIN KARIME\BANCO ESTADO\2012 DEPTO ESCRITURAS fata\NOTARIA 2009\COMPRAVENTAS INMUEBLES\2007\HILDA VIDELA Y OTROS A DAVID CONTRERAS.doc", "Abrir Documento")</f>
        <v>0</v>
      </c>
      <c r="D13190" t="s">
        <v>23500</v>
      </c>
      <c r="E13190" t="s">
        <v>35665</v>
      </c>
    </row>
    <row r="13191" spans="1:5">
      <c r="A13191" t="s">
        <v>6</v>
      </c>
      <c r="B13191" t="s">
        <v>13196</v>
      </c>
      <c r="C13191">
        <f>HYPERLINK("C:\Users\franc\OneDrive\Documentos\MALENTIN KARIME\BANCO ESTADO\2012 DEPTO ESCRITURAS fata\NOTARIA 2009\COMPRAVENTAS INMUEBLES\2007\HERMAN RIVERA A FCO.OBRADOR.doc", "Abrir Documento")</f>
        <v>0</v>
      </c>
      <c r="D13191" t="s">
        <v>23500</v>
      </c>
      <c r="E13191" t="s">
        <v>35666</v>
      </c>
    </row>
    <row r="13192" spans="1:5">
      <c r="A13192" t="s">
        <v>6</v>
      </c>
      <c r="B13192" t="s">
        <v>13197</v>
      </c>
      <c r="C13192">
        <f>HYPERLINK("C:\Users\franc\OneDrive\Documentos\MALENTIN KARIME\BANCO ESTADO\2012 DEPTO ESCRITURAS fata\NOTARIA 2009\COMPRAVENTAS INMUEBLES\2007\HECTOR FLORES A NATANIEL ARANCIBIA.doc", "Abrir Documento")</f>
        <v>0</v>
      </c>
      <c r="D13192" t="s">
        <v>23500</v>
      </c>
      <c r="E13192" t="s">
        <v>35667</v>
      </c>
    </row>
    <row r="13193" spans="1:5">
      <c r="A13193" t="s">
        <v>6</v>
      </c>
      <c r="B13193" t="s">
        <v>13198</v>
      </c>
      <c r="C13193">
        <f>HYPERLINK("C:\Users\franc\OneDrive\Documentos\MALENTIN KARIME\BANCO ESTADO\2012 DEPTO ESCRITURAS fata\NOTARIA 2009\COMPRAVENTAS INMUEBLES\2007\HECTOR FLORES A IBAR ADAOS Y OTRA.doc", "Abrir Documento")</f>
        <v>0</v>
      </c>
      <c r="D13193" t="s">
        <v>23500</v>
      </c>
      <c r="E13193" t="s">
        <v>35668</v>
      </c>
    </row>
    <row r="13194" spans="1:5">
      <c r="A13194" t="s">
        <v>6</v>
      </c>
      <c r="B13194" t="s">
        <v>13199</v>
      </c>
      <c r="C13194">
        <f>HYPERLINK("C:\Users\franc\OneDrive\Documentos\MALENTIN KARIME\BANCO ESTADO\2012 DEPTO ESCRITURAS fata\NOTARIA 2009\COMPRAVENTAS INMUEBLES\2007\HAYDEE VILLEGAS A MARCIA MUÑOZ (SUBSIDIO).doc", "Abrir Documento")</f>
        <v>0</v>
      </c>
      <c r="D13194" t="s">
        <v>23500</v>
      </c>
      <c r="E13194" t="s">
        <v>35669</v>
      </c>
    </row>
    <row r="13195" spans="1:5">
      <c r="A13195" t="s">
        <v>6</v>
      </c>
      <c r="B13195" t="s">
        <v>13200</v>
      </c>
      <c r="C13195">
        <f>HYPERLINK("C:\Users\franc\OneDrive\Documentos\MALENTIN KARIME\BANCO ESTADO\2012 DEPTO ESCRITURAS fata\NOTARIA 2009\COMPRAVENTAS INMUEBLES\2007\HANALI BARRANTES.doc", "Abrir Documento")</f>
        <v>0</v>
      </c>
      <c r="D13195" t="s">
        <v>23500</v>
      </c>
      <c r="E13195" t="s">
        <v>35670</v>
      </c>
    </row>
    <row r="13196" spans="1:5">
      <c r="A13196" t="s">
        <v>6</v>
      </c>
      <c r="B13196" t="s">
        <v>13201</v>
      </c>
      <c r="C13196">
        <f>HYPERLINK("C:\Users\franc\OneDrive\Documentos\MALENTIN KARIME\BANCO ESTADO\2012 DEPTO ESCRITURAS fata\NOTARIA 2009\COMPRAVENTAS INMUEBLES\2007\GUILLERMO RODRIGUEZ A DENIS RODRIGUEZ ART. 150.doc", "Abrir Documento")</f>
        <v>0</v>
      </c>
      <c r="D13196" t="s">
        <v>23500</v>
      </c>
      <c r="E13196" t="s">
        <v>35671</v>
      </c>
    </row>
    <row r="13197" spans="1:5">
      <c r="A13197" t="s">
        <v>6</v>
      </c>
      <c r="B13197" t="s">
        <v>13202</v>
      </c>
      <c r="C13197">
        <f>HYPERLINK("C:\Users\franc\OneDrive\Documentos\MALENTIN KARIME\BANCO ESTADO\2012 DEPTO ESCRITURAS fata\NOTARIA 2009\COMPRAVENTAS INMUEBLES\2007\FRANCISCO O BRADOR A HERNAN RIVERA.doc", "Abrir Documento")</f>
        <v>0</v>
      </c>
      <c r="D13197" t="s">
        <v>23500</v>
      </c>
      <c r="E13197" t="s">
        <v>35672</v>
      </c>
    </row>
    <row r="13198" spans="1:5">
      <c r="A13198" t="s">
        <v>6</v>
      </c>
      <c r="B13198" t="s">
        <v>13203</v>
      </c>
      <c r="C13198">
        <f>HYPERLINK("C:\Users\franc\OneDrive\Documentos\MALENTIN KARIME\BANCO ESTADO\2012 DEPTO ESCRITURAS fata\NOTARIA 2009\COMPRAVENTAS INMUEBLES\2007\ELIANA ARAYA A SOC. ALCIDES GONZALEZ E HIJO.doc", "Abrir Documento")</f>
        <v>0</v>
      </c>
      <c r="D13198" t="s">
        <v>23500</v>
      </c>
      <c r="E13198" t="s">
        <v>35673</v>
      </c>
    </row>
    <row r="13199" spans="1:5">
      <c r="A13199" t="s">
        <v>6</v>
      </c>
      <c r="B13199" t="s">
        <v>13204</v>
      </c>
      <c r="C13199">
        <f>HYPERLINK("C:\Users\franc\OneDrive\Documentos\MALENTIN KARIME\BANCO ESTADO\2012 DEPTO ESCRITURAS fata\NOTARIA 2009\COMPRAVENTAS INMUEBLES\2007\EDIO GALLARDO A ALICIA ROJAS.doc", "Abrir Documento")</f>
        <v>0</v>
      </c>
      <c r="D13199" t="s">
        <v>23500</v>
      </c>
      <c r="E13199" t="s">
        <v>35674</v>
      </c>
    </row>
    <row r="13200" spans="1:5">
      <c r="A13200" t="s">
        <v>6</v>
      </c>
      <c r="B13200" t="s">
        <v>13205</v>
      </c>
      <c r="C13200">
        <f>HYPERLINK("C:\Users\franc\OneDrive\Documentos\MALENTIN KARIME\BANCO ESTADO\2012 DEPTO ESCRITURAS fata\NOTARIA 2009\COMPRAVENTAS INMUEBLES\2007\DULCINIA TORREJON A JAVIER TABILO.doc", "Abrir Documento")</f>
        <v>0</v>
      </c>
      <c r="D13200" t="s">
        <v>23500</v>
      </c>
      <c r="E13200" t="s">
        <v>35675</v>
      </c>
    </row>
    <row r="13201" spans="1:5">
      <c r="A13201" t="s">
        <v>6</v>
      </c>
      <c r="B13201" t="s">
        <v>13206</v>
      </c>
      <c r="C13201">
        <f>HYPERLINK("C:\Users\franc\OneDrive\Documentos\MALENTIN KARIME\BANCO ESTADO\2012 DEPTO ESCRITURAS fata\NOTARIA 2009\COMPRAVENTAS INMUEBLES\2007\Doc7.doc", "Abrir Documento")</f>
        <v>0</v>
      </c>
      <c r="D13201" t="s">
        <v>23500</v>
      </c>
      <c r="E13201" t="s">
        <v>35676</v>
      </c>
    </row>
    <row r="13202" spans="1:5">
      <c r="A13202" t="s">
        <v>6</v>
      </c>
      <c r="B13202" t="s">
        <v>13207</v>
      </c>
      <c r="C13202">
        <f>HYPERLINK("C:\Users\franc\OneDrive\Documentos\MALENTIN KARIME\BANCO ESTADO\2012 DEPTO ESCRITURAS fata\NOTARIA 2009\COMPRAVENTAS INMUEBLES\2007\CUSTODIO PASTEN Y OTROS A SU MADRE (DERECHOS).doc", "Abrir Documento")</f>
        <v>0</v>
      </c>
      <c r="D13202" t="s">
        <v>23500</v>
      </c>
      <c r="E13202" t="s">
        <v>35677</v>
      </c>
    </row>
    <row r="13203" spans="1:5">
      <c r="A13203" t="s">
        <v>6</v>
      </c>
      <c r="B13203" t="s">
        <v>13208</v>
      </c>
      <c r="C13203">
        <f>HYPERLINK("C:\Users\franc\OneDrive\Documentos\MALENTIN KARIME\BANCO ESTADO\2012 DEPTO ESCRITURAS fata\NOTARIA 2009\COMPRAVENTAS INMUEBLES\2007\CRISTINA CESPEDES A EDUARDO MOLINA (CONYUGE).doc", "Abrir Documento")</f>
        <v>0</v>
      </c>
      <c r="D13203" t="s">
        <v>23500</v>
      </c>
      <c r="E13203" t="s">
        <v>35678</v>
      </c>
    </row>
    <row r="13204" spans="1:5">
      <c r="A13204" t="s">
        <v>6</v>
      </c>
      <c r="B13204" t="s">
        <v>13209</v>
      </c>
      <c r="C13204">
        <f>HYPERLINK("C:\Users\franc\OneDrive\Documentos\MALENTIN KARIME\BANCO ESTADO\2012 DEPTO ESCRITURAS fata\NOTARIA 2009\COMPRAVENTAS INMUEBLES\2007\CRISTIAN CORDOVA A ANGELICA LAZO.doc", "Abrir Documento")</f>
        <v>0</v>
      </c>
      <c r="D13204" t="s">
        <v>23500</v>
      </c>
      <c r="E13204" t="s">
        <v>35679</v>
      </c>
    </row>
    <row r="13205" spans="1:5">
      <c r="A13205" t="s">
        <v>6</v>
      </c>
      <c r="B13205" t="s">
        <v>13210</v>
      </c>
      <c r="C13205">
        <f>HYPERLINK("C:\Users\franc\OneDrive\Documentos\MALENTIN KARIME\BANCO ESTADO\2012 DEPTO ESCRITURAS fata\NOTARIA 2009\COMPRAVENTAS INMUEBLES\2007\COMPRAVENTA.doc", "Abrir Documento")</f>
        <v>0</v>
      </c>
      <c r="D13205" t="s">
        <v>23500</v>
      </c>
      <c r="E13205" t="s">
        <v>35680</v>
      </c>
    </row>
    <row r="13206" spans="1:5">
      <c r="A13206" t="s">
        <v>6</v>
      </c>
      <c r="B13206" t="s">
        <v>13211</v>
      </c>
      <c r="C13206">
        <f>HYPERLINK("C:\Users\franc\OneDrive\Documentos\MALENTIN KARIME\BANCO ESTADO\2012 DEPTO ESCRITURAS fata\NOTARIA 2009\COMPRAVENTAS INMUEBLES\2007\CLEMANTINA DIAZ Y OTR. A JORGE DIAZ.doc", "Abrir Documento")</f>
        <v>0</v>
      </c>
      <c r="D13206" t="s">
        <v>23500</v>
      </c>
      <c r="E13206" t="s">
        <v>35681</v>
      </c>
    </row>
    <row r="13207" spans="1:5">
      <c r="A13207" t="s">
        <v>6</v>
      </c>
      <c r="B13207" t="s">
        <v>13212</v>
      </c>
      <c r="C13207">
        <f>HYPERLINK("C:\Users\franc\OneDrive\Documentos\MALENTIN KARIME\BANCO ESTADO\2012 DEPTO ESCRITURAS fata\NOTARIA 2009\COMPRAVENTAS INMUEBLES\2007\CLAUDIO FERNANDEZ A ONESIMO ALFARO (POB).doc", "Abrir Documento")</f>
        <v>0</v>
      </c>
      <c r="D13207" t="s">
        <v>23500</v>
      </c>
      <c r="E13207" t="s">
        <v>35682</v>
      </c>
    </row>
    <row r="13208" spans="1:5">
      <c r="A13208" t="s">
        <v>6</v>
      </c>
      <c r="B13208" t="s">
        <v>13213</v>
      </c>
      <c r="C13208">
        <f>HYPERLINK("C:\Users\franc\OneDrive\Documentos\MALENTIN KARIME\BANCO ESTADO\2012 DEPTO ESCRITURAS fata\NOTARIA 2009\COMPRAVENTAS INMUEBLES\2007\CLARA RAMOS A JOSE HERRERA.doc", "Abrir Documento")</f>
        <v>0</v>
      </c>
      <c r="D13208" t="s">
        <v>23500</v>
      </c>
      <c r="E13208" t="s">
        <v>35683</v>
      </c>
    </row>
    <row r="13209" spans="1:5">
      <c r="A13209" t="s">
        <v>6</v>
      </c>
      <c r="B13209" t="s">
        <v>13214</v>
      </c>
      <c r="C13209">
        <f>HYPERLINK("C:\Users\franc\OneDrive\Documentos\MALENTIN KARIME\BANCO ESTADO\2012 DEPTO ESCRITURAS fata\NOTARIA 2009\COMPRAVENTAS INMUEBLES\2007\CELINA A EDUARDO.doc", "Abrir Documento")</f>
        <v>0</v>
      </c>
      <c r="D13209" t="s">
        <v>23500</v>
      </c>
      <c r="E13209" t="s">
        <v>35684</v>
      </c>
    </row>
    <row r="13210" spans="1:5">
      <c r="A13210" t="s">
        <v>6</v>
      </c>
      <c r="B13210" t="s">
        <v>13215</v>
      </c>
      <c r="C13210">
        <f>HYPERLINK("C:\Users\franc\OneDrive\Documentos\MALENTIN KARIME\BANCO ESTADO\2012 DEPTO ESCRITURAS fata\NOTARIA 2009\COMPRAVENTAS INMUEBLES\2007\CATALINA ELGUETA A AMALIA ELGUETA.doc", "Abrir Documento")</f>
        <v>0</v>
      </c>
      <c r="D13210" t="s">
        <v>23500</v>
      </c>
      <c r="E13210" t="s">
        <v>35685</v>
      </c>
    </row>
    <row r="13211" spans="1:5">
      <c r="A13211" t="s">
        <v>6</v>
      </c>
      <c r="B13211" t="s">
        <v>13216</v>
      </c>
      <c r="C13211">
        <f>HYPERLINK("C:\Users\franc\OneDrive\Documentos\MALENTIN KARIME\BANCO ESTADO\2012 DEPTO ESCRITURAS fata\NOTARIA 2009\COMPRAVENTAS INMUEBLES\2007\CARMELA ARAYA JORGE ARAYA (VIUDA).doc", "Abrir Documento")</f>
        <v>0</v>
      </c>
      <c r="D13211" t="s">
        <v>23500</v>
      </c>
      <c r="E13211" t="s">
        <v>35686</v>
      </c>
    </row>
    <row r="13212" spans="1:5">
      <c r="A13212" t="s">
        <v>6</v>
      </c>
      <c r="B13212" t="s">
        <v>13217</v>
      </c>
      <c r="C13212">
        <f>HYPERLINK("C:\Users\franc\OneDrive\Documentos\MALENTIN KARIME\BANCO ESTADO\2012 DEPTO ESCRITURAS fata\NOTARIA 2009\COMPRAVENTAS INMUEBLES\2007\ANTONIA PLAZA A DAISY PASTEN.doc", "Abrir Documento")</f>
        <v>0</v>
      </c>
      <c r="D13212" t="s">
        <v>23500</v>
      </c>
      <c r="E13212" t="s">
        <v>35687</v>
      </c>
    </row>
    <row r="13213" spans="1:5">
      <c r="A13213" t="s">
        <v>6</v>
      </c>
      <c r="B13213" t="s">
        <v>13218</v>
      </c>
      <c r="C13213">
        <f>HYPERLINK("C:\Users\franc\OneDrive\Documentos\MALENTIN KARIME\BANCO ESTADO\2012 DEPTO ESCRITURAS fata\NOTARIA 2009\COMPRAVENTAS INMUEBLES\2007\ANGELINA CONTRERAS A FRANKLIN ALCAYAGA (SUBSIDIO).doc", "Abrir Documento")</f>
        <v>0</v>
      </c>
      <c r="D13213" t="s">
        <v>23500</v>
      </c>
      <c r="E13213" t="s">
        <v>35688</v>
      </c>
    </row>
    <row r="13214" spans="1:5">
      <c r="A13214" t="s">
        <v>6</v>
      </c>
      <c r="B13214" t="s">
        <v>13219</v>
      </c>
      <c r="C13214">
        <f>HYPERLINK("C:\Users\franc\OneDrive\Documentos\MALENTIN KARIME\BANCO ESTADO\2012 DEPTO ESCRITURAS fata\NOTARIA 2009\COMPRAVENTAS INMUEBLES\2007\ANGELINA ASPE Y OTROS A NELSON SALINAS.doc", "Abrir Documento")</f>
        <v>0</v>
      </c>
      <c r="D13214" t="s">
        <v>23500</v>
      </c>
      <c r="E13214" t="s">
        <v>35689</v>
      </c>
    </row>
    <row r="13215" spans="1:5">
      <c r="A13215" t="s">
        <v>6</v>
      </c>
      <c r="B13215" t="s">
        <v>13220</v>
      </c>
      <c r="C13215">
        <f>HYPERLINK("C:\Users\franc\OneDrive\Documentos\MALENTIN KARIME\BANCO ESTADO\2012 DEPTO ESCRITURAS fata\NOTARIA 2009\COMPRAVENTAS INMUEBLES\2007\ANGELICA ALANIZ Y OTROS A SU HERMANO (DERECHOS).doc", "Abrir Documento")</f>
        <v>0</v>
      </c>
      <c r="D13215" t="s">
        <v>23500</v>
      </c>
      <c r="E13215" t="s">
        <v>35690</v>
      </c>
    </row>
    <row r="13216" spans="1:5">
      <c r="A13216" t="s">
        <v>6</v>
      </c>
      <c r="B13216" t="s">
        <v>13221</v>
      </c>
      <c r="C13216">
        <f>HYPERLINK("C:\Users\franc\OneDrive\Documentos\MALENTIN KARIME\BANCO ESTADO\2012 DEPTO ESCRITURAS fata\NOTARIA 2009\COMPRAVENTAS INMUEBLES\2007\ANGELA BEKIOS A ALFONSO VILLEGAS.doc", "Abrir Documento")</f>
        <v>0</v>
      </c>
      <c r="D13216" t="s">
        <v>23500</v>
      </c>
      <c r="E13216" t="s">
        <v>35691</v>
      </c>
    </row>
    <row r="13217" spans="1:5">
      <c r="A13217" t="s">
        <v>6</v>
      </c>
      <c r="B13217" t="s">
        <v>13222</v>
      </c>
      <c r="C13217">
        <f>HYPERLINK("C:\Users\franc\OneDrive\Documentos\MALENTIN KARIME\BANCO ESTADO\2012 DEPTO ESCRITURAS fata\NOTARIA 2009\COMPRAVENTAS INMUEBLES\2007\ANGELA BEKIOS  INSTRUCCION.doc", "Abrir Documento")</f>
        <v>0</v>
      </c>
      <c r="D13217" t="s">
        <v>23500</v>
      </c>
      <c r="E13217" t="s">
        <v>35692</v>
      </c>
    </row>
    <row r="13218" spans="1:5">
      <c r="A13218" t="s">
        <v>6</v>
      </c>
      <c r="B13218" t="s">
        <v>13223</v>
      </c>
      <c r="C13218">
        <f>HYPERLINK("C:\Users\franc\OneDrive\Documentos\MALENTIN KARIME\BANCO ESTADO\2012 DEPTO ESCRITURAS fata\NOTARIA 2009\COMPRAVENTAS INMUEBLES\2007\ANA MARIA MONDACA BOU A CORRETAJES TORRES.doc", "Abrir Documento")</f>
        <v>0</v>
      </c>
      <c r="D13218" t="s">
        <v>23500</v>
      </c>
      <c r="E13218" t="s">
        <v>35693</v>
      </c>
    </row>
    <row r="13219" spans="1:5">
      <c r="A13219" t="s">
        <v>6</v>
      </c>
      <c r="B13219" t="s">
        <v>13224</v>
      </c>
      <c r="C13219">
        <f>HYPERLINK("C:\Users\franc\OneDrive\Documentos\MALENTIN KARIME\BANCO ESTADO\2012 DEPTO ESCRITURAS fata\NOTARIA 2009\COMPRAVENTAS INMUEBLES\2007\ALDECIRA CARVAJAL A NORMA ARRIAGADA Y OTRA (ART 150).doc", "Abrir Documento")</f>
        <v>0</v>
      </c>
      <c r="D13219" t="s">
        <v>23500</v>
      </c>
      <c r="E13219" t="s">
        <v>35694</v>
      </c>
    </row>
    <row r="13220" spans="1:5">
      <c r="A13220" t="s">
        <v>6</v>
      </c>
      <c r="B13220" t="s">
        <v>13225</v>
      </c>
      <c r="C13220">
        <f>HYPERLINK("C:\Users\franc\OneDrive\Documentos\MALENTIN KARIME\BANCO ESTADO\2012 DEPTO ESCRITURAS fata\NOTARIA 2009\COMPRAVENTAS INMUEBLES\2007\ALBERTO LUCO A .......doc", "Abrir Documento")</f>
        <v>0</v>
      </c>
      <c r="D13220" t="s">
        <v>23500</v>
      </c>
      <c r="E13220" t="s">
        <v>35695</v>
      </c>
    </row>
    <row r="13221" spans="1:5">
      <c r="A13221" t="s">
        <v>6</v>
      </c>
      <c r="B13221" t="s">
        <v>13226</v>
      </c>
      <c r="C13221">
        <f>HYPERLINK("C:\Users\franc\OneDrive\Documentos\MALENTIN KARIME\BANCO ESTADO\2012 DEPTO ESCRITURAS fata\NOTARIA 2009\COMPRAVENTAS INMUEBLES\2007\ALBA CERDA RIOS A PEDRO ALFONSO MUÑOZ.doc", "Abrir Documento")</f>
        <v>0</v>
      </c>
      <c r="D13221" t="s">
        <v>23500</v>
      </c>
      <c r="E13221" t="s">
        <v>35696</v>
      </c>
    </row>
    <row r="13222" spans="1:5">
      <c r="A13222" t="s">
        <v>6</v>
      </c>
      <c r="B13222" t="s">
        <v>13227</v>
      </c>
      <c r="C13222">
        <f>HYPERLINK("C:\Users\franc\OneDrive\Documentos\MALENTIN KARIME\BANCO ESTADO\2012 DEPTO ESCRITURAS fata\NOTARIA 2009\COMPRAVENTAS INMUEBLES\WILSON CARVAJAL A ANA VILLAR.doc", "Abrir Documento")</f>
        <v>0</v>
      </c>
      <c r="D13222" t="s">
        <v>23500</v>
      </c>
      <c r="E13222" t="s">
        <v>35697</v>
      </c>
    </row>
    <row r="13223" spans="1:5">
      <c r="A13223" t="s">
        <v>6</v>
      </c>
      <c r="B13223" t="s">
        <v>13228</v>
      </c>
      <c r="C13223">
        <f>HYPERLINK("C:\Users\franc\OneDrive\Documentos\MALENTIN KARIME\BANCO ESTADO\2012 DEPTO ESCRITURAS fata\NOTARIA 2009\COMPRAVENTAS INMUEBLES\VIOLETA TORREJON A JULIO JOFRE (EL MANZANO).doc", "Abrir Documento")</f>
        <v>0</v>
      </c>
      <c r="D13223" t="s">
        <v>23500</v>
      </c>
      <c r="E13223" t="s">
        <v>35698</v>
      </c>
    </row>
    <row r="13224" spans="1:5">
      <c r="A13224" t="s">
        <v>6</v>
      </c>
      <c r="B13224" t="s">
        <v>13229</v>
      </c>
      <c r="C13224">
        <f>HYPERLINK("C:\Users\franc\OneDrive\Documentos\MALENTIN KARIME\BANCO ESTADO\2012 DEPTO ESCRITURAS fata\NOTARIA 2009\COMPRAVENTAS INMUEBLES\VIOLETA ROJAS A ROBERTO ROJAS.doc", "Abrir Documento")</f>
        <v>0</v>
      </c>
      <c r="D13224" t="s">
        <v>23500</v>
      </c>
      <c r="E13224" t="s">
        <v>35699</v>
      </c>
    </row>
    <row r="13225" spans="1:5">
      <c r="A13225" t="s">
        <v>6</v>
      </c>
      <c r="B13225" t="s">
        <v>13230</v>
      </c>
      <c r="C13225">
        <f>HYPERLINK("C:\Users\franc\OneDrive\Documentos\MALENTIN KARIME\BANCO ESTADO\2012 DEPTO ESCRITURAS fata\NOTARIA 2009\COMPRAVENTAS INMUEBLES\VIOLETA BOLVARAN A SANDRA CASTILLO.doc", "Abrir Documento")</f>
        <v>0</v>
      </c>
      <c r="D13225" t="s">
        <v>23500</v>
      </c>
      <c r="E13225" t="s">
        <v>35700</v>
      </c>
    </row>
    <row r="13226" spans="1:5">
      <c r="A13226" t="s">
        <v>6</v>
      </c>
      <c r="B13226" t="s">
        <v>13231</v>
      </c>
      <c r="C13226">
        <f>HYPERLINK("C:\Users\franc\OneDrive\Documentos\MALENTIN KARIME\BANCO ESTADO\2012 DEPTO ESCRITURAS fata\NOTARIA 2009\COMPRAVENTAS INMUEBLES\VILMA GUERRERO A JESSICA GUERRERO (SUBSIDIO).doc", "Abrir Documento")</f>
        <v>0</v>
      </c>
      <c r="D13226" t="s">
        <v>23500</v>
      </c>
      <c r="E13226" t="s">
        <v>35701</v>
      </c>
    </row>
    <row r="13227" spans="1:5">
      <c r="A13227" t="s">
        <v>6</v>
      </c>
      <c r="B13227" t="s">
        <v>13232</v>
      </c>
      <c r="C13227">
        <f>HYPERLINK("C:\Users\franc\OneDrive\Documentos\MALENTIN KARIME\BANCO ESTADO\2012 DEPTO ESCRITURAS fata\NOTARIA 2009\COMPRAVENTAS INMUEBLES\VICTOR HERRERA A ------------.doc", "Abrir Documento")</f>
        <v>0</v>
      </c>
      <c r="D13227" t="s">
        <v>23500</v>
      </c>
      <c r="E13227" t="s">
        <v>35702</v>
      </c>
    </row>
    <row r="13228" spans="1:5">
      <c r="A13228" t="s">
        <v>6</v>
      </c>
      <c r="B13228" t="s">
        <v>13233</v>
      </c>
      <c r="C13228">
        <f>HYPERLINK("C:\Users\franc\OneDrive\Documentos\MALENTIN KARIME\BANCO ESTADO\2012 DEPTO ESCRITURAS fata\NOTARIA 2009\COMPRAVENTAS INMUEBLES\SUC. POZO  A HERNAN Y SAMUEL.doc", "Abrir Documento")</f>
        <v>0</v>
      </c>
      <c r="D13228" t="s">
        <v>23500</v>
      </c>
      <c r="E13228" t="s">
        <v>35703</v>
      </c>
    </row>
    <row r="13229" spans="1:5">
      <c r="A13229" t="s">
        <v>6</v>
      </c>
      <c r="B13229" t="s">
        <v>13234</v>
      </c>
      <c r="C13229">
        <f>HYPERLINK("C:\Users\franc\OneDrive\Documentos\MALENTIN KARIME\BANCO ESTADO\2012 DEPTO ESCRITURAS fata\NOTARIA 2009\COMPRAVENTAS INMUEBLES\SUC. OLIVARES A PEDRO Y OTRO.doc", "Abrir Documento")</f>
        <v>0</v>
      </c>
      <c r="D13229" t="s">
        <v>23500</v>
      </c>
      <c r="E13229" t="s">
        <v>35704</v>
      </c>
    </row>
    <row r="13230" spans="1:5">
      <c r="A13230" t="s">
        <v>6</v>
      </c>
      <c r="B13230" t="s">
        <v>13235</v>
      </c>
      <c r="C13230">
        <f>HYPERLINK("C:\Users\franc\OneDrive\Documentos\MALENTIN KARIME\BANCO ESTADO\2012 DEPTO ESCRITURAS fata\NOTARIA 2009\COMPRAVENTAS INMUEBLES\SUC ALFARO A IVAN GUERRA.doc", "Abrir Documento")</f>
        <v>0</v>
      </c>
      <c r="D13230" t="s">
        <v>23500</v>
      </c>
      <c r="E13230" t="s">
        <v>35705</v>
      </c>
    </row>
    <row r="13231" spans="1:5">
      <c r="A13231" t="s">
        <v>6</v>
      </c>
      <c r="B13231" t="s">
        <v>13236</v>
      </c>
      <c r="C13231">
        <f>HYPERLINK("C:\Users\franc\OneDrive\Documentos\MALENTIN KARIME\BANCO ESTADO\2012 DEPTO ESCRITURAS fata\NOTARIA 2009\COMPRAVENTAS INMUEBLES\SERVANDO TAPIA TAPIA.doc", "Abrir Documento")</f>
        <v>0</v>
      </c>
      <c r="D13231" t="s">
        <v>23500</v>
      </c>
      <c r="E13231" t="s">
        <v>35706</v>
      </c>
    </row>
    <row r="13232" spans="1:5">
      <c r="A13232" t="s">
        <v>6</v>
      </c>
      <c r="B13232" t="s">
        <v>13237</v>
      </c>
      <c r="C13232">
        <f>HYPERLINK("C:\Users\franc\OneDrive\Documentos\MALENTIN KARIME\BANCO ESTADO\2012 DEPTO ESCRITURAS fata\NOTARIA 2009\COMPRAVENTAS INMUEBLES\SERVANDO TAPIA A LUIS MIRANDA.doc", "Abrir Documento")</f>
        <v>0</v>
      </c>
      <c r="D13232" t="s">
        <v>23500</v>
      </c>
      <c r="E13232" t="s">
        <v>35707</v>
      </c>
    </row>
    <row r="13233" spans="1:5">
      <c r="A13233" t="s">
        <v>6</v>
      </c>
      <c r="B13233" t="s">
        <v>13238</v>
      </c>
      <c r="C13233">
        <f>HYPERLINK("C:\Users\franc\OneDrive\Documentos\MALENTIN KARIME\BANCO ESTADO\2012 DEPTO ESCRITURAS fata\NOTARIA 2009\COMPRAVENTAS INMUEBLES\SERGIO PEÑA A .........doc", "Abrir Documento")</f>
        <v>0</v>
      </c>
      <c r="D13233" t="s">
        <v>23500</v>
      </c>
      <c r="E13233" t="s">
        <v>35708</v>
      </c>
    </row>
    <row r="13234" spans="1:5">
      <c r="A13234" t="s">
        <v>6</v>
      </c>
      <c r="B13234" t="s">
        <v>13239</v>
      </c>
      <c r="C13234">
        <f>HYPERLINK("C:\Users\franc\OneDrive\Documentos\MALENTIN KARIME\BANCO ESTADO\2012 DEPTO ESCRITURAS fata\NOTARIA 2009\COMPRAVENTAS INMUEBLES\RUTH VERAGUA Y OTROS A WALDO TORO.doc", "Abrir Documento")</f>
        <v>0</v>
      </c>
      <c r="D13234" t="s">
        <v>23500</v>
      </c>
      <c r="E13234" t="s">
        <v>35709</v>
      </c>
    </row>
    <row r="13235" spans="1:5">
      <c r="A13235" t="s">
        <v>6</v>
      </c>
      <c r="B13235" t="s">
        <v>13240</v>
      </c>
      <c r="C13235">
        <f>HYPERLINK("C:\Users\franc\OneDrive\Documentos\MALENTIN KARIME\BANCO ESTADO\2012 DEPTO ESCRITURAS fata\NOTARIA 2009\COMPRAVENTAS INMUEBLES\PEDRO ARAYA A LUIS ARAYA.doc", "Abrir Documento")</f>
        <v>0</v>
      </c>
      <c r="D13235" t="s">
        <v>23500</v>
      </c>
      <c r="E13235" t="s">
        <v>35710</v>
      </c>
    </row>
    <row r="13236" spans="1:5">
      <c r="A13236" t="s">
        <v>6</v>
      </c>
      <c r="B13236" t="s">
        <v>13241</v>
      </c>
      <c r="C13236">
        <f>HYPERLINK("C:\Users\franc\OneDrive\Documentos\MALENTIN KARIME\BANCO ESTADO\2012 DEPTO ESCRITURAS fata\NOTARIA 2009\COMPRAVENTAS INMUEBLES\OSVALDO SANTANER A ISMENIA.doc", "Abrir Documento")</f>
        <v>0</v>
      </c>
      <c r="D13236" t="s">
        <v>23500</v>
      </c>
      <c r="E13236" t="s">
        <v>35711</v>
      </c>
    </row>
    <row r="13237" spans="1:5">
      <c r="A13237" t="s">
        <v>6</v>
      </c>
      <c r="B13237" t="s">
        <v>13242</v>
      </c>
      <c r="C13237">
        <f>HYPERLINK("C:\Users\franc\OneDrive\Documentos\MALENTIN KARIME\BANCO ESTADO\2012 DEPTO ESCRITURAS fata\NOTARIA 2009\COMPRAVENTAS INMUEBLES\OSCIEL CAMPUSANO A SUSANA CAMPUSANO (VILLA EL lIBERTADOR.doc", "Abrir Documento")</f>
        <v>0</v>
      </c>
      <c r="D13237" t="s">
        <v>23500</v>
      </c>
      <c r="E13237" t="s">
        <v>35712</v>
      </c>
    </row>
    <row r="13238" spans="1:5">
      <c r="A13238" t="s">
        <v>6</v>
      </c>
      <c r="B13238" t="s">
        <v>13243</v>
      </c>
      <c r="C13238">
        <f>HYPERLINK("C:\Users\franc\OneDrive\Documentos\MALENTIN KARIME\BANCO ESTADO\2012 DEPTO ESCRITURAS fata\NOTARIA 2009\COMPRAVENTAS INMUEBLES\NORMA ROJAS A DAVID BARRAZA.doc", "Abrir Documento")</f>
        <v>0</v>
      </c>
      <c r="D13238" t="s">
        <v>23500</v>
      </c>
      <c r="E13238" t="s">
        <v>35713</v>
      </c>
    </row>
    <row r="13239" spans="1:5">
      <c r="A13239" t="s">
        <v>6</v>
      </c>
      <c r="B13239" t="s">
        <v>13244</v>
      </c>
      <c r="C13239">
        <f>HYPERLINK("C:\Users\franc\OneDrive\Documentos\MALENTIN KARIME\BANCO ESTADO\2012 DEPTO ESCRITURAS fata\NOTARIA 2009\COMPRAVENTAS INMUEBLES\NORMA ARAYA A EDUARDO VALENZUELA (CONYUGE).doc", "Abrir Documento")</f>
        <v>0</v>
      </c>
      <c r="D13239" t="s">
        <v>23500</v>
      </c>
      <c r="E13239" t="s">
        <v>35714</v>
      </c>
    </row>
    <row r="13240" spans="1:5">
      <c r="A13240" t="s">
        <v>6</v>
      </c>
      <c r="B13240" t="s">
        <v>13245</v>
      </c>
      <c r="C13240">
        <f>HYPERLINK("C:\Users\franc\OneDrive\Documentos\MALENTIN KARIME\BANCO ESTADO\2012 DEPTO ESCRITURAS fata\NOTARIA 2009\COMPRAVENTAS INMUEBLES\NORA MUÑOZ A JAIRO CARVAJAL (SOLTERO=.doc", "Abrir Documento")</f>
        <v>0</v>
      </c>
      <c r="D13240" t="s">
        <v>23500</v>
      </c>
      <c r="E13240" t="s">
        <v>35715</v>
      </c>
    </row>
    <row r="13241" spans="1:5">
      <c r="A13241" t="s">
        <v>6</v>
      </c>
      <c r="B13241" t="s">
        <v>13246</v>
      </c>
      <c r="C13241">
        <f>HYPERLINK("C:\Users\franc\OneDrive\Documentos\MALENTIN KARIME\BANCO ESTADO\2012 DEPTO ESCRITURAS fata\NOTARIA 2009\COMPRAVENTAS INMUEBLES\NILDA ANJEL A MARIO CAMPOS.doc", "Abrir Documento")</f>
        <v>0</v>
      </c>
      <c r="D13241" t="s">
        <v>23500</v>
      </c>
      <c r="E13241" t="s">
        <v>35716</v>
      </c>
    </row>
    <row r="13242" spans="1:5">
      <c r="A13242" t="s">
        <v>6</v>
      </c>
      <c r="B13242" t="s">
        <v>13247</v>
      </c>
      <c r="C13242">
        <f>HYPERLINK("C:\Users\franc\OneDrive\Documentos\MALENTIN KARIME\BANCO ESTADO\2012 DEPTO ESCRITURAS fata\NOTARIA 2009\COMPRAVENTAS INMUEBLES\NELIA VELASQUE Z A BLANCA SANCHEZ.doc", "Abrir Documento")</f>
        <v>0</v>
      </c>
      <c r="D13242" t="s">
        <v>23500</v>
      </c>
      <c r="E13242" t="s">
        <v>35717</v>
      </c>
    </row>
    <row r="13243" spans="1:5">
      <c r="A13243" t="s">
        <v>6</v>
      </c>
      <c r="B13243" t="s">
        <v>13248</v>
      </c>
      <c r="C13243">
        <f>HYPERLINK("C:\Users\franc\OneDrive\Documentos\MALENTIN KARIME\BANCO ESTADO\2012 DEPTO ESCRITURAS fata\NOTARIA 2009\COMPRAVENTAS INMUEBLES\MODELO USUFRUCTO.doc", "Abrir Documento")</f>
        <v>0</v>
      </c>
      <c r="D13243" t="s">
        <v>23500</v>
      </c>
      <c r="E13243" t="s">
        <v>35718</v>
      </c>
    </row>
    <row r="13244" spans="1:5">
      <c r="A13244" t="s">
        <v>6</v>
      </c>
      <c r="B13244" t="s">
        <v>13249</v>
      </c>
      <c r="C13244">
        <f>HYPERLINK("C:\Users\franc\OneDrive\Documentos\MALENTIN KARIME\BANCO ESTADO\2012 DEPTO ESCRITURAS fata\NOTARIA 2009\COMPRAVENTAS INMUEBLES\MODELO SUBSIDIO.doc", "Abrir Documento")</f>
        <v>0</v>
      </c>
      <c r="D13244" t="s">
        <v>23500</v>
      </c>
      <c r="E13244" t="s">
        <v>35719</v>
      </c>
    </row>
    <row r="13245" spans="1:5">
      <c r="A13245" t="s">
        <v>6</v>
      </c>
      <c r="B13245" t="s">
        <v>13250</v>
      </c>
      <c r="C13245">
        <f>HYPERLINK("C:\Users\franc\OneDrive\Documentos\MALENTIN KARIME\BANCO ESTADO\2012 DEPTO ESCRITURAS fata\NOTARIA 2009\COMPRAVENTAS INMUEBLES\MODELO NOTARIO.doc", "Abrir Documento")</f>
        <v>0</v>
      </c>
      <c r="D13245" t="s">
        <v>23500</v>
      </c>
      <c r="E13245" t="s">
        <v>35720</v>
      </c>
    </row>
    <row r="13246" spans="1:5">
      <c r="A13246" t="s">
        <v>6</v>
      </c>
      <c r="B13246" t="s">
        <v>13251</v>
      </c>
      <c r="C13246">
        <f>HYPERLINK("C:\Users\franc\OneDrive\Documentos\MALENTIN KARIME\BANCO ESTADO\2012 DEPTO ESCRITURAS fata\NOTARIA 2009\COMPRAVENTAS INMUEBLES\MODELO ESCRITURA.doc", "Abrir Documento")</f>
        <v>0</v>
      </c>
      <c r="D13246" t="s">
        <v>23500</v>
      </c>
      <c r="E13246" t="s">
        <v>35721</v>
      </c>
    </row>
    <row r="13247" spans="1:5">
      <c r="A13247" t="s">
        <v>6</v>
      </c>
      <c r="B13247" t="s">
        <v>13252</v>
      </c>
      <c r="C13247">
        <f>HYPERLINK("C:\Users\franc\OneDrive\Documentos\MALENTIN KARIME\BANCO ESTADO\2012 DEPTO ESCRITURAS fata\NOTARIA 2009\COMPRAVENTAS INMUEBLES\MODELO CV. CON USUFRUCTO.doc", "Abrir Documento")</f>
        <v>0</v>
      </c>
      <c r="D13247" t="s">
        <v>23500</v>
      </c>
      <c r="E13247" t="s">
        <v>35722</v>
      </c>
    </row>
    <row r="13248" spans="1:5">
      <c r="A13248" t="s">
        <v>6</v>
      </c>
      <c r="B13248" t="s">
        <v>13253</v>
      </c>
      <c r="C13248">
        <f>HYPERLINK("C:\Users\franc\OneDrive\Documentos\MALENTIN KARIME\BANCO ESTADO\2012 DEPTO ESCRITURAS fata\NOTARIA 2009\COMPRAVENTAS INMUEBLES\MISAEL RODRIGUEZ A SU HIJO (USUFRUC).doc", "Abrir Documento")</f>
        <v>0</v>
      </c>
      <c r="D13248" t="s">
        <v>23500</v>
      </c>
      <c r="E13248" t="s">
        <v>35723</v>
      </c>
    </row>
    <row r="13249" spans="1:5">
      <c r="A13249" t="s">
        <v>6</v>
      </c>
      <c r="B13249" t="s">
        <v>13254</v>
      </c>
      <c r="C13249">
        <f>HYPERLINK("C:\Users\franc\OneDrive\Documentos\MALENTIN KARIME\BANCO ESTADO\2012 DEPTO ESCRITURAS fata\NOTARIA 2009\COMPRAVENTAS INMUEBLES\MIREYA MUNDACA ROBLES A JAVIER PALACIOS ARAYA.doc", "Abrir Documento")</f>
        <v>0</v>
      </c>
      <c r="D13249" t="s">
        <v>23500</v>
      </c>
      <c r="E13249" t="s">
        <v>35724</v>
      </c>
    </row>
    <row r="13250" spans="1:5">
      <c r="A13250" t="s">
        <v>6</v>
      </c>
      <c r="B13250" t="s">
        <v>13255</v>
      </c>
      <c r="C13250">
        <f>HYPERLINK("C:\Users\franc\OneDrive\Documentos\MALENTIN KARIME\BANCO ESTADO\2012 DEPTO ESCRITURAS fata\NOTARIA 2009\COMPRAVENTAS INMUEBLES\MARIO CAMPOS A NILDA ANJEL.doc", "Abrir Documento")</f>
        <v>0</v>
      </c>
      <c r="D13250" t="s">
        <v>23500</v>
      </c>
      <c r="E13250" t="s">
        <v>35725</v>
      </c>
    </row>
    <row r="13251" spans="1:5">
      <c r="A13251" t="s">
        <v>6</v>
      </c>
      <c r="B13251" t="s">
        <v>13256</v>
      </c>
      <c r="C13251">
        <f>HYPERLINK("C:\Users\franc\OneDrive\Documentos\MALENTIN KARIME\BANCO ESTADO\2012 DEPTO ESCRITURAS fata\NOTARIA 2009\COMPRAVENTAS INMUEBLES\MARIO CAMPOS A NILDA ANGEL COMPLEMENTACION.doc", "Abrir Documento")</f>
        <v>0</v>
      </c>
      <c r="D13251" t="s">
        <v>23500</v>
      </c>
      <c r="E13251" t="s">
        <v>35726</v>
      </c>
    </row>
    <row r="13252" spans="1:5">
      <c r="A13252" t="s">
        <v>6</v>
      </c>
      <c r="B13252" t="s">
        <v>13257</v>
      </c>
      <c r="C13252">
        <f>HYPERLINK("C:\Users\franc\OneDrive\Documentos\MALENTIN KARIME\BANCO ESTADO\2012 DEPTO ESCRITURAS fata\NOTARIA 2009\COMPRAVENTAS INMUEBLES\MARIA RIVERA A PATRICIA OYANADEL (USU SOLA).doc", "Abrir Documento")</f>
        <v>0</v>
      </c>
      <c r="D13252" t="s">
        <v>23500</v>
      </c>
      <c r="E13252" t="s">
        <v>35727</v>
      </c>
    </row>
    <row r="13253" spans="1:5">
      <c r="A13253" t="s">
        <v>6</v>
      </c>
      <c r="B13253" t="s">
        <v>13258</v>
      </c>
      <c r="C13253">
        <f>HYPERLINK("C:\Users\franc\OneDrive\Documentos\MALENTIN KARIME\BANCO ESTADO\2012 DEPTO ESCRITURAS fata\NOTARIA 2009\COMPRAVENTAS INMUEBLES\MARIA PEREZ A GUSTAVO JUICA.doc", "Abrir Documento")</f>
        <v>0</v>
      </c>
      <c r="D13253" t="s">
        <v>23500</v>
      </c>
      <c r="E13253" t="s">
        <v>35728</v>
      </c>
    </row>
    <row r="13254" spans="1:5">
      <c r="A13254" t="s">
        <v>6</v>
      </c>
      <c r="B13254" t="s">
        <v>13259</v>
      </c>
      <c r="C13254">
        <f>HYPERLINK("C:\Users\franc\OneDrive\Documentos\MALENTIN KARIME\BANCO ESTADO\2012 DEPTO ESCRITURAS fata\NOTARIA 2009\COMPRAVENTAS INMUEBLES\MARIA COUDRAY Y OTRO A SU HNA.doc", "Abrir Documento")</f>
        <v>0</v>
      </c>
      <c r="D13254" t="s">
        <v>23500</v>
      </c>
      <c r="E13254" t="s">
        <v>35729</v>
      </c>
    </row>
    <row r="13255" spans="1:5">
      <c r="A13255" t="s">
        <v>6</v>
      </c>
      <c r="B13255" t="s">
        <v>13260</v>
      </c>
      <c r="C13255">
        <f>HYPERLINK("C:\Users\franc\OneDrive\Documentos\MALENTIN KARIME\BANCO ESTADO\2012 DEPTO ESCRITURAS fata\NOTARIA 2009\COMPRAVENTAS INMUEBLES\MARIA CIKUTOVIC A ALFONSO LATU.doc", "Abrir Documento")</f>
        <v>0</v>
      </c>
      <c r="D13255" t="s">
        <v>23500</v>
      </c>
      <c r="E13255" t="s">
        <v>35730</v>
      </c>
    </row>
    <row r="13256" spans="1:5">
      <c r="A13256" t="s">
        <v>6</v>
      </c>
      <c r="B13256" t="s">
        <v>13261</v>
      </c>
      <c r="C13256">
        <f>HYPERLINK("C:\Users\franc\OneDrive\Documentos\MALENTIN KARIME\BANCO ESTADO\2012 DEPTO ESCRITURAS fata\NOTARIA 2009\COMPRAVENTAS INMUEBLES\MARIA CARMONA DELGADO A RODRIGO CARMONA.doc", "Abrir Documento")</f>
        <v>0</v>
      </c>
      <c r="D13256" t="s">
        <v>23500</v>
      </c>
      <c r="E13256" t="s">
        <v>35731</v>
      </c>
    </row>
    <row r="13257" spans="1:5">
      <c r="A13257" t="s">
        <v>6</v>
      </c>
      <c r="B13257" t="s">
        <v>13262</v>
      </c>
      <c r="C13257">
        <f>HYPERLINK("C:\Users\franc\OneDrive\Documentos\MALENTIN KARIME\BANCO ESTADO\2012 DEPTO ESCRITURAS fata\NOTARIA 2009\COMPRAVENTAS INMUEBLES\MARIA CARMONA A M. CARMONA (DERECHOS).doc", "Abrir Documento")</f>
        <v>0</v>
      </c>
      <c r="D13257" t="s">
        <v>23500</v>
      </c>
      <c r="E13257" t="s">
        <v>35732</v>
      </c>
    </row>
    <row r="13258" spans="1:5">
      <c r="A13258" t="s">
        <v>6</v>
      </c>
      <c r="B13258" t="s">
        <v>13263</v>
      </c>
      <c r="C13258">
        <f>HYPERLINK("C:\Users\franc\OneDrive\Documentos\MALENTIN KARIME\BANCO ESTADO\2012 DEPTO ESCRITURAS fata\NOTARIA 2009\COMPRAVENTAS INMUEBLES\MARIA ANGEL A JOSE ANGEL (CV. DERECHOS HERENCIA).doc", "Abrir Documento")</f>
        <v>0</v>
      </c>
      <c r="D13258" t="s">
        <v>23500</v>
      </c>
      <c r="E13258" t="s">
        <v>35733</v>
      </c>
    </row>
    <row r="13259" spans="1:5">
      <c r="A13259" t="s">
        <v>6</v>
      </c>
      <c r="B13259" t="s">
        <v>13264</v>
      </c>
      <c r="C13259">
        <f>HYPERLINK("C:\Users\franc\OneDrive\Documentos\MALENTIN KARIME\BANCO ESTADO\2012 DEPTO ESCRITURAS fata\NOTARIA 2009\COMPRAVENTAS INMUEBLES\MARCIAL VEGA A JORGE QUIROZ.doc", "Abrir Documento")</f>
        <v>0</v>
      </c>
      <c r="D13259" t="s">
        <v>23500</v>
      </c>
      <c r="E13259" t="s">
        <v>35734</v>
      </c>
    </row>
    <row r="13260" spans="1:5">
      <c r="A13260" t="s">
        <v>6</v>
      </c>
      <c r="B13260" t="s">
        <v>13265</v>
      </c>
      <c r="C13260">
        <f>HYPERLINK("C:\Users\franc\OneDrive\Documentos\MALENTIN KARIME\BANCO ESTADO\2012 DEPTO ESCRITURAS fata\NOTARIA 2009\COMPRAVENTAS INMUEBLES\MAJURI GUTIERREZ Y OTROS A RAMIRO GUTIERREZ.doc", "Abrir Documento")</f>
        <v>0</v>
      </c>
      <c r="D13260" t="s">
        <v>23500</v>
      </c>
      <c r="E13260" t="s">
        <v>35735</v>
      </c>
    </row>
    <row r="13261" spans="1:5">
      <c r="A13261" t="s">
        <v>6</v>
      </c>
      <c r="B13261" t="s">
        <v>13266</v>
      </c>
      <c r="C13261">
        <f>HYPERLINK("C:\Users\franc\OneDrive\Documentos\MALENTIN KARIME\BANCO ESTADO\2012 DEPTO ESCRITURAS fata\NOTARIA 2009\COMPRAVENTAS INMUEBLES\MA. ELVECIA AGUIRRE A BERNARDO SILVA.doc", "Abrir Documento")</f>
        <v>0</v>
      </c>
      <c r="D13261" t="s">
        <v>23500</v>
      </c>
      <c r="E13261" t="s">
        <v>35736</v>
      </c>
    </row>
    <row r="13262" spans="1:5">
      <c r="A13262" t="s">
        <v>6</v>
      </c>
      <c r="B13262" t="s">
        <v>13267</v>
      </c>
      <c r="C13262">
        <f>HYPERLINK("C:\Users\franc\OneDrive\Documentos\MALENTIN KARIME\BANCO ESTADO\2012 DEPTO ESCRITURAS fata\NOTARIA 2009\COMPRAVENTAS INMUEBLES\LUIS TAPIA A CARLOS TAPIA.doc", "Abrir Documento")</f>
        <v>0</v>
      </c>
      <c r="D13262" t="s">
        <v>23500</v>
      </c>
      <c r="E13262" t="s">
        <v>35737</v>
      </c>
    </row>
    <row r="13263" spans="1:5">
      <c r="A13263" t="s">
        <v>6</v>
      </c>
      <c r="B13263" t="s">
        <v>13268</v>
      </c>
      <c r="C13263">
        <f>HYPERLINK("C:\Users\franc\OneDrive\Documentos\MALENTIN KARIME\BANCO ESTADO\2012 DEPTO ESCRITURAS fata\NOTARIA 2009\COMPRAVENTAS INMUEBLES\LAURA MATAMOROS A AGUEDA VILLALOBOS.doc", "Abrir Documento")</f>
        <v>0</v>
      </c>
      <c r="D13263" t="s">
        <v>23500</v>
      </c>
      <c r="E13263" t="s">
        <v>35738</v>
      </c>
    </row>
    <row r="13264" spans="1:5">
      <c r="A13264" t="s">
        <v>6</v>
      </c>
      <c r="B13264" t="s">
        <v>13269</v>
      </c>
      <c r="C13264">
        <f>HYPERLINK("C:\Users\franc\OneDrive\Documentos\MALENTIN KARIME\BANCO ESTADO\2012 DEPTO ESCRITURAS fata\NOTARIA 2009\COMPRAVENTAS INMUEBLES\JUANA PIZARRO Y OTROS A ROQUE PIZARRO (DERECHOS).doc", "Abrir Documento")</f>
        <v>0</v>
      </c>
      <c r="D13264" t="s">
        <v>23500</v>
      </c>
      <c r="E13264" t="s">
        <v>35739</v>
      </c>
    </row>
    <row r="13265" spans="1:5">
      <c r="A13265" t="s">
        <v>6</v>
      </c>
      <c r="B13265" t="s">
        <v>13270</v>
      </c>
      <c r="C13265">
        <f>HYPERLINK("C:\Users\franc\OneDrive\Documentos\MALENTIN KARIME\BANCO ESTADO\2012 DEPTO ESCRITURAS fata\NOTARIA 2009\COMPRAVENTAS INMUEBLES\JUAN PIZARRO A SU HIJO.doc", "Abrir Documento")</f>
        <v>0</v>
      </c>
      <c r="D13265" t="s">
        <v>23500</v>
      </c>
      <c r="E13265" t="s">
        <v>35740</v>
      </c>
    </row>
    <row r="13266" spans="1:5">
      <c r="A13266" t="s">
        <v>6</v>
      </c>
      <c r="B13266" t="s">
        <v>13271</v>
      </c>
      <c r="C13266">
        <f>HYPERLINK("C:\Users\franc\OneDrive\Documentos\MALENTIN KARIME\BANCO ESTADO\2012 DEPTO ESCRITURAS fata\NOTARIA 2009\COMPRAVENTAS INMUEBLES\JUAN CORTES A TERESITA CORTES Y OTROS.doc", "Abrir Documento")</f>
        <v>0</v>
      </c>
      <c r="D13266" t="s">
        <v>23500</v>
      </c>
      <c r="E13266" t="s">
        <v>35741</v>
      </c>
    </row>
    <row r="13267" spans="1:5">
      <c r="A13267" t="s">
        <v>6</v>
      </c>
      <c r="B13267" t="s">
        <v>13272</v>
      </c>
      <c r="C13267">
        <f>HYPERLINK("C:\Users\franc\OneDrive\Documentos\MALENTIN KARIME\BANCO ESTADO\2012 DEPTO ESCRITURAS fata\NOTARIA 2009\COMPRAVENTAS INMUEBLES\Jorge Aguilera Vega a Luis Araya.doc", "Abrir Documento")</f>
        <v>0</v>
      </c>
      <c r="D13267" t="s">
        <v>23500</v>
      </c>
      <c r="E13267" t="s">
        <v>35742</v>
      </c>
    </row>
    <row r="13268" spans="1:5">
      <c r="A13268" t="s">
        <v>6</v>
      </c>
      <c r="B13268" t="s">
        <v>13273</v>
      </c>
      <c r="C13268">
        <f>HYPERLINK("C:\Users\franc\OneDrive\Documentos\MALENTIN KARIME\BANCO ESTADO\2012 DEPTO ESCRITURAS fata\NOTARIA 2009\COMPRAVENTAS INMUEBLES\JINETTE GARCIA Y OTRA A MONICA GARCIA.doc", "Abrir Documento")</f>
        <v>0</v>
      </c>
      <c r="D13268" t="s">
        <v>23500</v>
      </c>
      <c r="E13268" t="s">
        <v>35743</v>
      </c>
    </row>
    <row r="13269" spans="1:5">
      <c r="A13269" t="s">
        <v>6</v>
      </c>
      <c r="B13269" t="s">
        <v>13274</v>
      </c>
      <c r="C13269">
        <f>HYPERLINK("C:\Users\franc\OneDrive\Documentos\MALENTIN KARIME\BANCO ESTADO\2012 DEPTO ESCRITURAS fata\NOTARIA 2009\COMPRAVENTAS INMUEBLES\JINETTE GARCIA Y OTRA A ANA CAMPUSANO.doc", "Abrir Documento")</f>
        <v>0</v>
      </c>
      <c r="D13269" t="s">
        <v>23500</v>
      </c>
      <c r="E13269" t="s">
        <v>35744</v>
      </c>
    </row>
    <row r="13270" spans="1:5">
      <c r="A13270" t="s">
        <v>6</v>
      </c>
      <c r="B13270" t="s">
        <v>13275</v>
      </c>
      <c r="C13270">
        <f>HYPERLINK("C:\Users\franc\OneDrive\Documentos\MALENTIN KARIME\BANCO ESTADO\2012 DEPTO ESCRITURAS fata\NOTARIA 2009\COMPRAVENTAS INMUEBLES\JESUS SEGOVIA Y OTROS A LUCIA GUERRERO.doc", "Abrir Documento")</f>
        <v>0</v>
      </c>
      <c r="D13270" t="s">
        <v>23500</v>
      </c>
      <c r="E13270" t="s">
        <v>35745</v>
      </c>
    </row>
    <row r="13271" spans="1:5">
      <c r="A13271" t="s">
        <v>6</v>
      </c>
      <c r="B13271" t="s">
        <v>13276</v>
      </c>
      <c r="C13271">
        <f>HYPERLINK("C:\Users\franc\OneDrive\Documentos\MALENTIN KARIME\BANCO ESTADO\2012 DEPTO ESCRITURAS fata\NOTARIA 2009\COMPRAVENTAS INMUEBLES\IVO BACIC A MARGARITA VARAS.doc", "Abrir Documento")</f>
        <v>0</v>
      </c>
      <c r="D13271" t="s">
        <v>23500</v>
      </c>
      <c r="E13271" t="s">
        <v>35746</v>
      </c>
    </row>
    <row r="13272" spans="1:5">
      <c r="A13272" t="s">
        <v>6</v>
      </c>
      <c r="B13272" t="s">
        <v>13277</v>
      </c>
      <c r="C13272">
        <f>HYPERLINK("C:\Users\franc\OneDrive\Documentos\MALENTIN KARIME\BANCO ESTADO\2012 DEPTO ESCRITURAS fata\NOTARIA 2009\COMPRAVENTAS INMUEBLES\IRMA CAMPUSANO FINAL (OK.doc", "Abrir Documento")</f>
        <v>0</v>
      </c>
      <c r="D13272" t="s">
        <v>23500</v>
      </c>
      <c r="E13272" t="s">
        <v>35747</v>
      </c>
    </row>
    <row r="13273" spans="1:5">
      <c r="A13273" t="s">
        <v>6</v>
      </c>
      <c r="B13273" t="s">
        <v>13278</v>
      </c>
      <c r="C13273">
        <f>HYPERLINK("C:\Users\franc\OneDrive\Documentos\MALENTIN KARIME\BANCO ESTADO\2012 DEPTO ESCRITURAS fata\NOTARIA 2009\COMPRAVENTAS INMUEBLES\HUMBERTO CORTES A RODRIGO MORA (BS. NAC).doc", "Abrir Documento")</f>
        <v>0</v>
      </c>
      <c r="D13273" t="s">
        <v>23500</v>
      </c>
      <c r="E13273" t="s">
        <v>35748</v>
      </c>
    </row>
    <row r="13274" spans="1:5">
      <c r="A13274" t="s">
        <v>6</v>
      </c>
      <c r="B13274" t="s">
        <v>13279</v>
      </c>
      <c r="C13274">
        <f>HYPERLINK("C:\Users\franc\OneDrive\Documentos\MALENTIN KARIME\BANCO ESTADO\2012 DEPTO ESCRITURAS fata\NOTARIA 2009\COMPRAVENTAS INMUEBLES\HERIBERTO PIZARRO A RAQUEL JAIME (CON AUT. CONYUGE).doc", "Abrir Documento")</f>
        <v>0</v>
      </c>
      <c r="D13274" t="s">
        <v>23500</v>
      </c>
      <c r="E13274" t="s">
        <v>35749</v>
      </c>
    </row>
    <row r="13275" spans="1:5">
      <c r="A13275" t="s">
        <v>6</v>
      </c>
      <c r="B13275" t="s">
        <v>13280</v>
      </c>
      <c r="C13275">
        <f>HYPERLINK("C:\Users\franc\OneDrive\Documentos\MALENTIN KARIME\BANCO ESTADO\2012 DEPTO ESCRITURAS fata\NOTARIA 2009\COMPRAVENTAS INMUEBLES\GUILLERMO ROBLES A JUAN ROBLES (CV DERECHOS).doc", "Abrir Documento")</f>
        <v>0</v>
      </c>
      <c r="D13275" t="s">
        <v>23500</v>
      </c>
      <c r="E13275" t="s">
        <v>35750</v>
      </c>
    </row>
    <row r="13276" spans="1:5">
      <c r="A13276" t="s">
        <v>6</v>
      </c>
      <c r="B13276" t="s">
        <v>13281</v>
      </c>
      <c r="C13276">
        <f>HYPERLINK("C:\Users\franc\OneDrive\Documentos\MALENTIN KARIME\BANCO ESTADO\2012 DEPTO ESCRITURAS fata\NOTARIA 2009\COMPRAVENTAS INMUEBLES\GRABRIELA ARAYA A PEDRO ARAYA (CONYUGE).doc", "Abrir Documento")</f>
        <v>0</v>
      </c>
      <c r="D13276" t="s">
        <v>23500</v>
      </c>
      <c r="E13276" t="s">
        <v>35751</v>
      </c>
    </row>
    <row r="13277" spans="1:5">
      <c r="A13277" t="s">
        <v>6</v>
      </c>
      <c r="B13277" t="s">
        <v>13282</v>
      </c>
      <c r="C13277">
        <f>HYPERLINK("C:\Users\franc\OneDrive\Documentos\MALENTIN KARIME\BANCO ESTADO\2012 DEPTO ESCRITURAS fata\NOTARIA 2009\COMPRAVENTAS INMUEBLES\GOVINDA LAZO Y OTR.  A LIDIA CARVAJAL.doc", "Abrir Documento")</f>
        <v>0</v>
      </c>
      <c r="D13277" t="s">
        <v>23500</v>
      </c>
      <c r="E13277" t="s">
        <v>35752</v>
      </c>
    </row>
    <row r="13278" spans="1:5">
      <c r="A13278" t="s">
        <v>6</v>
      </c>
      <c r="B13278" t="s">
        <v>13283</v>
      </c>
      <c r="C13278">
        <f>HYPERLINK("C:\Users\franc\OneDrive\Documentos\MALENTIN KARIME\BANCO ESTADO\2012 DEPTO ESCRITURAS fata\NOTARIA 2009\COMPRAVENTAS INMUEBLES\GLADYS AROS Y OTROS A ........doc", "Abrir Documento")</f>
        <v>0</v>
      </c>
      <c r="D13278" t="s">
        <v>23500</v>
      </c>
      <c r="E13278" t="s">
        <v>35753</v>
      </c>
    </row>
    <row r="13279" spans="1:5">
      <c r="A13279" t="s">
        <v>6</v>
      </c>
      <c r="B13279" t="s">
        <v>13284</v>
      </c>
      <c r="C13279">
        <f>HYPERLINK("C:\Users\franc\OneDrive\Documentos\MALENTIN KARIME\BANCO ESTADO\2012 DEPTO ESCRITURAS fata\NOTARIA 2009\COMPRAVENTAS INMUEBLES\GASPAR ROJAS A YURY ROJAS LOTE B.doc", "Abrir Documento")</f>
        <v>0</v>
      </c>
      <c r="D13279" t="s">
        <v>23500</v>
      </c>
      <c r="E13279" t="s">
        <v>35754</v>
      </c>
    </row>
    <row r="13280" spans="1:5">
      <c r="A13280" t="s">
        <v>6</v>
      </c>
      <c r="B13280" t="s">
        <v>13285</v>
      </c>
      <c r="C13280">
        <f>HYPERLINK("C:\Users\franc\OneDrive\Documentos\MALENTIN KARIME\BANCO ESTADO\2012 DEPTO ESCRITURAS fata\NOTARIA 2009\COMPRAVENTAS INMUEBLES\GASPAR ROJAS A LIDIA ROJAS VALDIVIA (NIETA).doc", "Abrir Documento")</f>
        <v>0</v>
      </c>
      <c r="D13280" t="s">
        <v>23500</v>
      </c>
      <c r="E13280" t="s">
        <v>35755</v>
      </c>
    </row>
    <row r="13281" spans="1:5">
      <c r="A13281" t="s">
        <v>6</v>
      </c>
      <c r="B13281" t="s">
        <v>13286</v>
      </c>
      <c r="C13281">
        <f>HYPERLINK("C:\Users\franc\OneDrive\Documentos\MALENTIN KARIME\BANCO ESTADO\2012 DEPTO ESCRITURAS fata\NOTARIA 2009\COMPRAVENTAS INMUEBLES\GASPAR ROJAS A ALVARO ROJAS.doc", "Abrir Documento")</f>
        <v>0</v>
      </c>
      <c r="D13281" t="s">
        <v>23500</v>
      </c>
      <c r="E13281" t="s">
        <v>35756</v>
      </c>
    </row>
    <row r="13282" spans="1:5">
      <c r="A13282" t="s">
        <v>6</v>
      </c>
      <c r="B13282" t="s">
        <v>13287</v>
      </c>
      <c r="C13282">
        <f>HYPERLINK("C:\Users\franc\OneDrive\Documentos\MALENTIN KARIME\BANCO ESTADO\2012 DEPTO ESCRITURAS fata\NOTARIA 2009\COMPRAVENTAS INMUEBLES\FRESIA ARAYA SULANTAY Y OT. A GLORIA PEREIRA.doc", "Abrir Documento")</f>
        <v>0</v>
      </c>
      <c r="D13282" t="s">
        <v>23500</v>
      </c>
      <c r="E13282" t="s">
        <v>35757</v>
      </c>
    </row>
    <row r="13283" spans="1:5">
      <c r="A13283" t="s">
        <v>6</v>
      </c>
      <c r="B13283" t="s">
        <v>13288</v>
      </c>
      <c r="C13283">
        <f>HYPERLINK("C:\Users\franc\OneDrive\Documentos\MALENTIN KARIME\BANCO ESTADO\2012 DEPTO ESCRITURAS fata\NOTARIA 2009\COMPRAVENTAS INMUEBLES\FERNANDO ARAYA A NIBALDO VEAS LOTE 64.doc", "Abrir Documento")</f>
        <v>0</v>
      </c>
      <c r="D13283" t="s">
        <v>23500</v>
      </c>
      <c r="E13283" t="s">
        <v>35758</v>
      </c>
    </row>
    <row r="13284" spans="1:5">
      <c r="A13284" t="s">
        <v>6</v>
      </c>
      <c r="B13284" t="s">
        <v>13289</v>
      </c>
      <c r="C13284">
        <f>HYPERLINK("C:\Users\franc\OneDrive\Documentos\MALENTIN KARIME\BANCO ESTADO\2012 DEPTO ESCRITURAS fata\NOTARIA 2009\COMPRAVENTAS INMUEBLES\FCO. ARAYA A INES BOYD (LOTE A-DOS).doc", "Abrir Documento")</f>
        <v>0</v>
      </c>
      <c r="D13284" t="s">
        <v>23500</v>
      </c>
      <c r="E13284" t="s">
        <v>35759</v>
      </c>
    </row>
    <row r="13285" spans="1:5">
      <c r="A13285" t="s">
        <v>6</v>
      </c>
      <c r="B13285" t="s">
        <v>13290</v>
      </c>
      <c r="C13285">
        <f>HYPERLINK("C:\Users\franc\OneDrive\Documentos\MALENTIN KARIME\BANCO ESTADO\2012 DEPTO ESCRITURAS fata\NOTARIA 2009\COMPRAVENTAS INMUEBLES\ESMELDA GUERRERO A SU HIJO (EL ESPINAL).doc", "Abrir Documento")</f>
        <v>0</v>
      </c>
      <c r="D13285" t="s">
        <v>23500</v>
      </c>
      <c r="E13285" t="s">
        <v>35760</v>
      </c>
    </row>
    <row r="13286" spans="1:5">
      <c r="A13286" t="s">
        <v>6</v>
      </c>
      <c r="B13286" t="s">
        <v>13291</v>
      </c>
      <c r="C13286">
        <f>HYPERLINK("C:\Users\franc\OneDrive\Documentos\MALENTIN KARIME\BANCO ESTADO\2012 DEPTO ESCRITURAS fata\NOTARIA 2009\COMPRAVENTAS INMUEBLES\EMILIO GONZALEZ A JULIA GONZALEZ (VALPO).doc", "Abrir Documento")</f>
        <v>0</v>
      </c>
      <c r="D13286" t="s">
        <v>23500</v>
      </c>
      <c r="E13286" t="s">
        <v>35761</v>
      </c>
    </row>
    <row r="13287" spans="1:5">
      <c r="A13287" t="s">
        <v>6</v>
      </c>
      <c r="B13287" t="s">
        <v>13292</v>
      </c>
      <c r="C13287">
        <f>HYPERLINK("C:\Users\franc\OneDrive\Documentos\MALENTIN KARIME\BANCO ESTADO\2012 DEPTO ESCRITURAS fata\NOTARIA 2009\COMPRAVENTAS INMUEBLES\ELIANA MONARDES A WALDO SANHUEZA (CONYUGE).doc", "Abrir Documento")</f>
        <v>0</v>
      </c>
      <c r="D13287" t="s">
        <v>23500</v>
      </c>
      <c r="E13287" t="s">
        <v>35762</v>
      </c>
    </row>
    <row r="13288" spans="1:5">
      <c r="A13288" t="s">
        <v>6</v>
      </c>
      <c r="B13288" t="s">
        <v>13293</v>
      </c>
      <c r="C13288">
        <f>HYPERLINK("C:\Users\franc\OneDrive\Documentos\MALENTIN KARIME\BANCO ESTADO\2012 DEPTO ESCRITURAS fata\NOTARIA 2009\COMPRAVENTAS INMUEBLES\ELIANA MONARDES A WALDO (CONYUGE) FINAL.doc", "Abrir Documento")</f>
        <v>0</v>
      </c>
      <c r="D13288" t="s">
        <v>23500</v>
      </c>
      <c r="E13288" t="s">
        <v>35763</v>
      </c>
    </row>
    <row r="13289" spans="1:5">
      <c r="A13289" t="s">
        <v>6</v>
      </c>
      <c r="B13289" t="s">
        <v>13294</v>
      </c>
      <c r="C13289">
        <f>HYPERLINK("C:\Users\franc\OneDrive\Documentos\MALENTIN KARIME\BANCO ESTADO\2012 DEPTO ESCRITURAS fata\NOTARIA 2009\COMPRAVENTAS INMUEBLES\Edgardo Pizarro Burrows y otros a LUIS ESPINOSA VEGA.doc", "Abrir Documento")</f>
        <v>0</v>
      </c>
      <c r="D13289" t="s">
        <v>23500</v>
      </c>
      <c r="E13289" t="s">
        <v>35764</v>
      </c>
    </row>
    <row r="13290" spans="1:5">
      <c r="A13290" t="s">
        <v>6</v>
      </c>
      <c r="B13290" t="s">
        <v>13295</v>
      </c>
      <c r="C13290">
        <f>HYPERLINK("C:\Users\franc\OneDrive\Documentos\MALENTIN KARIME\BANCO ESTADO\2012 DEPTO ESCRITURAS fata\NOTARIA 2009\COMPRAVENTAS INMUEBLES\EDELMIRA GONZALEZ A SANTOS CORTES.doc", "Abrir Documento")</f>
        <v>0</v>
      </c>
      <c r="D13290" t="s">
        <v>23500</v>
      </c>
      <c r="E13290" t="s">
        <v>35765</v>
      </c>
    </row>
    <row r="13291" spans="1:5">
      <c r="A13291" t="s">
        <v>6</v>
      </c>
      <c r="B13291" t="s">
        <v>13296</v>
      </c>
      <c r="C13291">
        <f>HYPERLINK("C:\Users\franc\OneDrive\Documentos\MALENTIN KARIME\BANCO ESTADO\2012 DEPTO ESCRITURAS fata\NOTARIA 2009\COMPRAVENTAS INMUEBLES\Doc1.doc", "Abrir Documento")</f>
        <v>0</v>
      </c>
      <c r="D13291" t="s">
        <v>23500</v>
      </c>
      <c r="E13291" t="s">
        <v>35766</v>
      </c>
    </row>
    <row r="13292" spans="1:5">
      <c r="A13292" t="s">
        <v>6</v>
      </c>
      <c r="B13292" t="s">
        <v>13297</v>
      </c>
      <c r="C13292">
        <f>HYPERLINK("C:\Users\franc\OneDrive\Documentos\MALENTIN KARIME\BANCO ESTADO\2012 DEPTO ESCRITURAS fata\NOTARIA 2009\COMPRAVENTAS INMUEBLES\CRESCENTE ALFARO A .........doc", "Abrir Documento")</f>
        <v>0</v>
      </c>
      <c r="D13292" t="s">
        <v>23500</v>
      </c>
      <c r="E13292" t="s">
        <v>35767</v>
      </c>
    </row>
    <row r="13293" spans="1:5">
      <c r="A13293" t="s">
        <v>6</v>
      </c>
      <c r="B13293" t="s">
        <v>13298</v>
      </c>
      <c r="C13293">
        <f>HYPERLINK("C:\Users\franc\OneDrive\Documentos\MALENTIN KARIME\BANCO ESTADO\2012 DEPTO ESCRITURAS fata\NOTARIA 2009\COMPRAVENTAS INMUEBLES\COLOMBRES a municipalidad de Ovalle.doc", "Abrir Documento")</f>
        <v>0</v>
      </c>
      <c r="D13293" t="s">
        <v>23500</v>
      </c>
      <c r="E13293" t="s">
        <v>35768</v>
      </c>
    </row>
    <row r="13294" spans="1:5">
      <c r="A13294" t="s">
        <v>6</v>
      </c>
      <c r="B13294" t="s">
        <v>13299</v>
      </c>
      <c r="C13294">
        <f>HYPERLINK("C:\Users\franc\OneDrive\Documentos\MALENTIN KARIME\BANCO ESTADO\2012 DEPTO ESCRITURAS fata\NOTARIA 2009\COMPRAVENTAS INMUEBLES\CLAUDIO.doc", "Abrir Documento")</f>
        <v>0</v>
      </c>
      <c r="D13294" t="s">
        <v>23500</v>
      </c>
      <c r="E13294" t="s">
        <v>35769</v>
      </c>
    </row>
    <row r="13295" spans="1:5">
      <c r="A13295" t="s">
        <v>6</v>
      </c>
      <c r="B13295" t="s">
        <v>13300</v>
      </c>
      <c r="C13295">
        <f>HYPERLINK("C:\Users\franc\OneDrive\Documentos\MALENTIN KARIME\BANCO ESTADO\2012 DEPTO ESCRITURAS fata\NOTARIA 2009\COMPRAVENTAS INMUEBLES\CAROL MORGADO A  JACQUILEN.doc", "Abrir Documento")</f>
        <v>0</v>
      </c>
      <c r="D13295" t="s">
        <v>23500</v>
      </c>
      <c r="E13295" t="s">
        <v>35770</v>
      </c>
    </row>
    <row r="13296" spans="1:5">
      <c r="A13296" t="s">
        <v>6</v>
      </c>
      <c r="B13296" t="s">
        <v>13301</v>
      </c>
      <c r="C13296">
        <f>HYPERLINK("C:\Users\franc\OneDrive\Documentos\MALENTIN KARIME\BANCO ESTADO\2012 DEPTO ESCRITURAS fata\NOTARIA 2009\COMPRAVENTAS INMUEBLES\CARLOS OGALDE A JOSE JEREZ.doc", "Abrir Documento")</f>
        <v>0</v>
      </c>
      <c r="D13296" t="s">
        <v>23500</v>
      </c>
      <c r="E13296" t="s">
        <v>35771</v>
      </c>
    </row>
    <row r="13297" spans="1:5">
      <c r="A13297" t="s">
        <v>6</v>
      </c>
      <c r="B13297" t="s">
        <v>13302</v>
      </c>
      <c r="C13297">
        <f>HYPERLINK("C:\Users\franc\OneDrive\Documentos\MALENTIN KARIME\BANCO ESTADO\2012 DEPTO ESCRITURAS fata\NOTARIA 2009\COMPRAVENTAS INMUEBLES\CARLOS OGALDE A JOSE JEREZ   2.doc", "Abrir Documento")</f>
        <v>0</v>
      </c>
      <c r="D13297" t="s">
        <v>23500</v>
      </c>
      <c r="E13297" t="s">
        <v>35772</v>
      </c>
    </row>
    <row r="13298" spans="1:5">
      <c r="A13298" t="s">
        <v>6</v>
      </c>
      <c r="B13298" t="s">
        <v>13303</v>
      </c>
      <c r="C13298">
        <f>HYPERLINK("C:\Users\franc\OneDrive\Documentos\MALENTIN KARIME\BANCO ESTADO\2012 DEPTO ESCRITURAS fata\NOTARIA 2009\COMPRAVENTAS INMUEBLES\BORRADOR.doc", "Abrir Documento")</f>
        <v>0</v>
      </c>
      <c r="D13298" t="s">
        <v>23500</v>
      </c>
      <c r="E13298" t="s">
        <v>35773</v>
      </c>
    </row>
    <row r="13299" spans="1:5">
      <c r="A13299" t="s">
        <v>6</v>
      </c>
      <c r="B13299" t="s">
        <v>13304</v>
      </c>
      <c r="C13299">
        <f>HYPERLINK("C:\Users\franc\OneDrive\Documentos\MALENTIN KARIME\BANCO ESTADO\2012 DEPTO ESCRITURAS fata\NOTARIA 2009\COMPRAVENTAS INMUEBLES\ANA VERA A CAMILO FLORES.doc", "Abrir Documento")</f>
        <v>0</v>
      </c>
      <c r="D13299" t="s">
        <v>23500</v>
      </c>
      <c r="E13299" t="s">
        <v>35774</v>
      </c>
    </row>
    <row r="13300" spans="1:5">
      <c r="A13300" t="s">
        <v>6</v>
      </c>
      <c r="B13300" t="s">
        <v>13305</v>
      </c>
      <c r="C13300">
        <f>HYPERLINK("C:\Users\franc\OneDrive\Documentos\MALENTIN KARIME\BANCO ESTADO\2012 DEPTO ESCRITURAS fata\NOTARIA 2009\COMPRAVENTAS INMUEBLES\ANA COLLAO A NEREYA MUNDACA.doc", "Abrir Documento")</f>
        <v>0</v>
      </c>
      <c r="D13300" t="s">
        <v>23500</v>
      </c>
      <c r="E13300" t="s">
        <v>35775</v>
      </c>
    </row>
    <row r="13301" spans="1:5">
      <c r="A13301" t="s">
        <v>6</v>
      </c>
      <c r="B13301" t="s">
        <v>13306</v>
      </c>
      <c r="C13301">
        <f>HYPERLINK("C:\Users\franc\OneDrive\Documentos\MALENTIN KARIME\BANCO ESTADO\2012 DEPTO ESCRITURAS fata\NOTARIA 2009\COMPRAVENTAS INMUEBLES\ANA CAMPUSANO Y OT A JINETTE GARCIA.doc", "Abrir Documento")</f>
        <v>0</v>
      </c>
      <c r="D13301" t="s">
        <v>23500</v>
      </c>
      <c r="E13301" t="s">
        <v>35776</v>
      </c>
    </row>
    <row r="13302" spans="1:5">
      <c r="A13302" t="s">
        <v>6</v>
      </c>
      <c r="B13302" t="s">
        <v>13307</v>
      </c>
      <c r="C13302">
        <f>HYPERLINK("C:\Users\franc\OneDrive\Documentos\MALENTIN KARIME\BANCO ESTADO\2012 DEPTO ESCRITURAS fata\NOTARIA 2009\COMPRAVENTAS INMUEBLES\ANA BENAVENTE Y OTROS A CARLOS BENAVENTE.doc", "Abrir Documento")</f>
        <v>0</v>
      </c>
      <c r="D13302" t="s">
        <v>23500</v>
      </c>
      <c r="E13302" t="s">
        <v>35777</v>
      </c>
    </row>
    <row r="13303" spans="1:5">
      <c r="A13303" t="s">
        <v>6</v>
      </c>
      <c r="B13303" t="s">
        <v>13308</v>
      </c>
      <c r="C13303">
        <f>HYPERLINK("C:\Users\franc\OneDrive\Documentos\MALENTIN KARIME\BANCO ESTADO\2012 DEPTO ESCRITURAS fata\NOTARIA 2009\COMPRAVENTAS INMUEBLES\AMELIA VILLAR A AMELIA ROJAS (CONYUGE).doc", "Abrir Documento")</f>
        <v>0</v>
      </c>
      <c r="D13303" t="s">
        <v>23500</v>
      </c>
      <c r="E13303" t="s">
        <v>35778</v>
      </c>
    </row>
    <row r="13304" spans="1:5">
      <c r="A13304" t="s">
        <v>6</v>
      </c>
      <c r="B13304" t="s">
        <v>13309</v>
      </c>
      <c r="C13304">
        <f>HYPERLINK("C:\Users\franc\OneDrive\Documentos\MALENTIN KARIME\BANCO ESTADO\2012 DEPTO ESCRITURAS fata\NOTARIA 2009\COMPRAVENTAS INMUEBLES\ALICIA SALINAS A DUBERLI.doc", "Abrir Documento")</f>
        <v>0</v>
      </c>
      <c r="D13304" t="s">
        <v>23500</v>
      </c>
      <c r="E13304" t="s">
        <v>35779</v>
      </c>
    </row>
    <row r="13305" spans="1:5">
      <c r="A13305" t="s">
        <v>6</v>
      </c>
      <c r="B13305" t="s">
        <v>13310</v>
      </c>
      <c r="C13305">
        <f>HYPERLINK("C:\Users\franc\OneDrive\Documentos\MALENTIN KARIME\BANCO ESTADO\2012 DEPTO ESCRITURAS fata\NOTARIA 2009\COMPRAVENTAS INMUEBLES\ALICIA ARREDONDO A SU HIJO LOTE C.doc", "Abrir Documento")</f>
        <v>0</v>
      </c>
      <c r="D13305" t="s">
        <v>23500</v>
      </c>
      <c r="E13305" t="s">
        <v>35780</v>
      </c>
    </row>
    <row r="13306" spans="1:5">
      <c r="A13306" t="s">
        <v>6</v>
      </c>
      <c r="B13306" t="s">
        <v>13311</v>
      </c>
      <c r="C13306">
        <f>HYPERLINK("C:\Users\franc\OneDrive\Documentos\MALENTIN KARIME\BANCO ESTADO\2012 DEPTO ESCRITURAS fata\NOTARIA 2009\COMPRAVENTAS  MINERAS\SOCIEDAD MARAMBIO A GERARDO (CONCESIONES).doc", "Abrir Documento")</f>
        <v>0</v>
      </c>
      <c r="D13306" t="s">
        <v>23500</v>
      </c>
      <c r="E13306" t="s">
        <v>35781</v>
      </c>
    </row>
    <row r="13307" spans="1:5">
      <c r="A13307" t="s">
        <v>6</v>
      </c>
      <c r="B13307" t="s">
        <v>13312</v>
      </c>
      <c r="C13307">
        <f>HYPERLINK("C:\Users\franc\OneDrive\Documentos\MALENTIN KARIME\BANCO ESTADO\2012 DEPTO ESCRITURAS fata\NOTARIA 2009\COMPRAVENTAS  MINERAS\PATRICIO ARAYA A LEON CORREA.doc", "Abrir Documento")</f>
        <v>0</v>
      </c>
      <c r="D13307" t="s">
        <v>23500</v>
      </c>
      <c r="E13307" t="s">
        <v>35782</v>
      </c>
    </row>
    <row r="13308" spans="1:5">
      <c r="A13308" t="s">
        <v>6</v>
      </c>
      <c r="B13308" t="s">
        <v>13313</v>
      </c>
      <c r="C13308">
        <f>HYPERLINK("C:\Users\franc\OneDrive\Documentos\MALENTIN KARIME\BANCO ESTADO\2012 DEPTO ESCRITURAS fata\NOTARIA 2009\COMPRAVENTAS  MINERAS\Instrucciones Notariales  A- Compraventa Concesiones_v1.doc", "Abrir Documento")</f>
        <v>0</v>
      </c>
      <c r="D13308" t="s">
        <v>23500</v>
      </c>
      <c r="E13308" t="s">
        <v>35783</v>
      </c>
    </row>
    <row r="13309" spans="1:5">
      <c r="A13309" t="s">
        <v>6</v>
      </c>
      <c r="B13309" t="s">
        <v>13314</v>
      </c>
      <c r="C13309">
        <f>HYPERLINK("C:\Users\franc\OneDrive\Documentos\MALENTIN KARIME\BANCO ESTADO\2012 DEPTO ESCRITURAS fata\NOTARIA 2009\COMPRAVENTA CON USUFRUCTO\TERESA GONZALEZ A CESAR OSSANDON.doc", "Abrir Documento")</f>
        <v>0</v>
      </c>
      <c r="D13309" t="s">
        <v>23500</v>
      </c>
      <c r="E13309" t="s">
        <v>35784</v>
      </c>
    </row>
    <row r="13310" spans="1:5">
      <c r="A13310" t="s">
        <v>6</v>
      </c>
      <c r="B13310" t="s">
        <v>13315</v>
      </c>
      <c r="C13310">
        <f>HYPERLINK("C:\Users\franc\OneDrive\Documentos\MALENTIN KARIME\BANCO ESTADO\2012 DEPTO ESCRITURAS fata\NOTARIA 2009\COMPRAVENTA CON USUFRUCTO\Solange Grondin a Rebeca Tracy.doc", "Abrir Documento")</f>
        <v>0</v>
      </c>
      <c r="D13310" t="s">
        <v>23500</v>
      </c>
      <c r="E13310" t="s">
        <v>35785</v>
      </c>
    </row>
    <row r="13311" spans="1:5">
      <c r="A13311" t="s">
        <v>6</v>
      </c>
      <c r="B13311" t="s">
        <v>13316</v>
      </c>
      <c r="C13311">
        <f>HYPERLINK("C:\Users\franc\OneDrive\Documentos\MALENTIN KARIME\BANCO ESTADO\2012 DEPTO ESCRITURAS fata\NOTARIA 2009\COMPRAVENTA CON USUFRUCTO\SERGIO NUÑEZ A CARLA ARIAS CON USUFRUCTO.doc", "Abrir Documento")</f>
        <v>0</v>
      </c>
      <c r="D13311" t="s">
        <v>23500</v>
      </c>
      <c r="E13311" t="s">
        <v>35786</v>
      </c>
    </row>
    <row r="13312" spans="1:5">
      <c r="A13312" t="s">
        <v>6</v>
      </c>
      <c r="B13312" t="s">
        <v>13317</v>
      </c>
      <c r="C13312">
        <f>HYPERLINK("C:\Users\franc\OneDrive\Documentos\MALENTIN KARIME\BANCO ESTADO\2012 DEPTO ESCRITURAS fata\NOTARIA 2009\COMPRAVENTA CON USUFRUCTO\RIGOBERTO ARAYA A DELINDA VELASQUEZ.doc", "Abrir Documento")</f>
        <v>0</v>
      </c>
      <c r="D13312" t="s">
        <v>23500</v>
      </c>
      <c r="E13312" t="s">
        <v>35787</v>
      </c>
    </row>
    <row r="13313" spans="1:5">
      <c r="A13313" t="s">
        <v>6</v>
      </c>
      <c r="B13313" t="s">
        <v>13318</v>
      </c>
      <c r="C13313">
        <f>HYPERLINK("C:\Users\franc\OneDrive\Documentos\MALENTIN KARIME\BANCO ESTADO\2012 DEPTO ESCRITURAS fata\NOTARIA 2009\COMPRAVENTA CON USUFRUCTO\RENE DIAZ A JUANA ARAYA.doc", "Abrir Documento")</f>
        <v>0</v>
      </c>
      <c r="D13313" t="s">
        <v>23500</v>
      </c>
      <c r="E13313" t="s">
        <v>35788</v>
      </c>
    </row>
    <row r="13314" spans="1:5">
      <c r="A13314" t="s">
        <v>6</v>
      </c>
      <c r="B13314" t="s">
        <v>13319</v>
      </c>
      <c r="C13314">
        <f>HYPERLINK("C:\Users\franc\OneDrive\Documentos\MALENTIN KARIME\BANCO ESTADO\2012 DEPTO ESCRITURAS fata\NOTARIA 2009\COMPRAVENTA CON USUFRUCTO\NELSON TAPIA A AMANDA INAREJO CON USUFRUCTO.doc", "Abrir Documento")</f>
        <v>0</v>
      </c>
      <c r="D13314" t="s">
        <v>23500</v>
      </c>
      <c r="E13314" t="s">
        <v>35789</v>
      </c>
    </row>
    <row r="13315" spans="1:5">
      <c r="A13315" t="s">
        <v>6</v>
      </c>
      <c r="B13315" t="s">
        <v>13320</v>
      </c>
      <c r="C13315">
        <f>HYPERLINK("C:\Users\franc\OneDrive\Documentos\MALENTIN KARIME\BANCO ESTADO\2012 DEPTO ESCRITURAS fata\NOTARIA 2009\COMPRAVENTA CON USUFRUCTO\modelo.doc", "Abrir Documento")</f>
        <v>0</v>
      </c>
      <c r="D13315" t="s">
        <v>23500</v>
      </c>
      <c r="E13315" t="s">
        <v>35790</v>
      </c>
    </row>
    <row r="13316" spans="1:5">
      <c r="A13316" t="s">
        <v>6</v>
      </c>
      <c r="B13316" t="s">
        <v>13321</v>
      </c>
      <c r="C13316">
        <f>HYPERLINK("C:\Users\franc\OneDrive\Documentos\MALENTIN KARIME\BANCO ESTADO\2012 DEPTO ESCRITURAS fata\NOTARIA 2009\COMPRAVENTA CON USUFRUCTO\MARGARITA OLIVARES A CLAUDIO CORTES.doc", "Abrir Documento")</f>
        <v>0</v>
      </c>
      <c r="D13316" t="s">
        <v>23500</v>
      </c>
      <c r="E13316" t="s">
        <v>35791</v>
      </c>
    </row>
    <row r="13317" spans="1:5">
      <c r="A13317" t="s">
        <v>6</v>
      </c>
      <c r="B13317" t="s">
        <v>13322</v>
      </c>
      <c r="C13317">
        <f>HYPERLINK("C:\Users\franc\OneDrive\Documentos\MALENTIN KARIME\BANCO ESTADO\2012 DEPTO ESCRITURAS fata\NOTARIA 2009\COMPRAVENTA CON USUFRUCTO\LIDA TORRES A KAREN MARTINEZ.doc", "Abrir Documento")</f>
        <v>0</v>
      </c>
      <c r="D13317" t="s">
        <v>23500</v>
      </c>
      <c r="E13317" t="s">
        <v>35792</v>
      </c>
    </row>
    <row r="13318" spans="1:5">
      <c r="A13318" t="s">
        <v>6</v>
      </c>
      <c r="B13318" t="s">
        <v>13323</v>
      </c>
      <c r="C13318">
        <f>HYPERLINK("C:\Users\franc\OneDrive\Documentos\MALENTIN KARIME\BANCO ESTADO\2012 DEPTO ESCRITURAS fata\NOTARIA 2009\COMPRAVENTA CON USUFRUCTO\ISABEL MUÑOZ Y CONYUGE A LUISA SEGURA.doc", "Abrir Documento")</f>
        <v>0</v>
      </c>
      <c r="D13318" t="s">
        <v>23500</v>
      </c>
      <c r="E13318" t="s">
        <v>35793</v>
      </c>
    </row>
    <row r="13319" spans="1:5">
      <c r="A13319" t="s">
        <v>6</v>
      </c>
      <c r="B13319" t="s">
        <v>13324</v>
      </c>
      <c r="C13319">
        <f>HYPERLINK("C:\Users\franc\OneDrive\Documentos\MALENTIN KARIME\BANCO ESTADO\2012 DEPTO ESCRITURAS fata\NOTARIA 2009\COMPRAVENTA CON USUFRUCTO\GUILLERMO RAMOS A CESAR ROJAS  (USUFRUC) CON MUEBLES.doc", "Abrir Documento")</f>
        <v>0</v>
      </c>
      <c r="D13319" t="s">
        <v>23500</v>
      </c>
      <c r="E13319" t="s">
        <v>35794</v>
      </c>
    </row>
    <row r="13320" spans="1:5">
      <c r="A13320" t="s">
        <v>6</v>
      </c>
      <c r="B13320" t="s">
        <v>13325</v>
      </c>
      <c r="C13320">
        <f>HYPERLINK("C:\Users\franc\OneDrive\Documentos\MALENTIN KARIME\BANCO ESTADO\2012 DEPTO ESCRITURAS fata\NOTARIA 2009\COMPRAVENTA CON USUFRUCTO\GABRIELA JOPIA A SUS HIJOS.doc", "Abrir Documento")</f>
        <v>0</v>
      </c>
      <c r="D13320" t="s">
        <v>23500</v>
      </c>
      <c r="E13320" t="s">
        <v>35795</v>
      </c>
    </row>
    <row r="13321" spans="1:5">
      <c r="A13321" t="s">
        <v>6</v>
      </c>
      <c r="B13321" t="s">
        <v>13326</v>
      </c>
      <c r="C13321">
        <f>HYPERLINK("C:\Users\franc\OneDrive\Documentos\MALENTIN KARIME\BANCO ESTADO\2012 DEPTO ESCRITURAS fata\NOTARIA 2009\COMPRAVENTA CON USUFRUCTO\Ernestina Ulloa Rojas a RAUL ULLOA.doc", "Abrir Documento")</f>
        <v>0</v>
      </c>
      <c r="D13321" t="s">
        <v>23500</v>
      </c>
      <c r="E13321" t="s">
        <v>35796</v>
      </c>
    </row>
    <row r="13322" spans="1:5">
      <c r="A13322" t="s">
        <v>6</v>
      </c>
      <c r="B13322" t="s">
        <v>13327</v>
      </c>
      <c r="C13322">
        <f>HYPERLINK("C:\Users\franc\OneDrive\Documentos\MALENTIN KARIME\BANCO ESTADO\2012 DEPTO ESCRITURAS fata\NOTARIA 2009\COMPRAVENTA CON USUFRUCTO\EDMUNDO ARAYA Y CONYUGE A GILBERTO TABILOCON USUFRUCTO.doc", "Abrir Documento")</f>
        <v>0</v>
      </c>
      <c r="D13322" t="s">
        <v>23500</v>
      </c>
      <c r="E13322" t="s">
        <v>35797</v>
      </c>
    </row>
    <row r="13323" spans="1:5">
      <c r="A13323" t="s">
        <v>6</v>
      </c>
      <c r="B13323" t="s">
        <v>13328</v>
      </c>
      <c r="C13323">
        <f>HYPERLINK("C:\Users\franc\OneDrive\Documentos\MALENTIN KARIME\BANCO ESTADO\2012 DEPTO ESCRITURAS fata\NOTARIA 2009\COMPRAVENTA CON USUFRUCTO\CELINA PEREZ TORO  A EDUARDO ORTIZ.doc", "Abrir Documento")</f>
        <v>0</v>
      </c>
      <c r="D13323" t="s">
        <v>23500</v>
      </c>
      <c r="E13323" t="s">
        <v>35798</v>
      </c>
    </row>
    <row r="13324" spans="1:5">
      <c r="A13324" t="s">
        <v>6</v>
      </c>
      <c r="B13324" t="s">
        <v>13329</v>
      </c>
      <c r="C13324">
        <f>HYPERLINK("C:\Users\franc\OneDrive\Documentos\MALENTIN KARIME\BANCO ESTADO\2012 DEPTO ESCRITURAS fata\NOTARIA 2009\COMPRAVENTA CON USUFRUCTO\CARLOS ALCAYAGA A SUS NIETAS CON USUFRUCTO.doc", "Abrir Documento")</f>
        <v>0</v>
      </c>
      <c r="D13324" t="s">
        <v>23500</v>
      </c>
      <c r="E13324" t="s">
        <v>35799</v>
      </c>
    </row>
    <row r="13325" spans="1:5">
      <c r="A13325" t="s">
        <v>6</v>
      </c>
      <c r="B13325" t="s">
        <v>13330</v>
      </c>
      <c r="C13325">
        <f>HYPERLINK("C:\Users\franc\OneDrive\Documentos\MALENTIN KARIME\BANCO ESTADO\2012 DEPTO ESCRITURAS fata\NOTARIA 2009\COMPRAVENTA CON USUFRUCTO\CANDIDO MORALES A SUS HIJAS (CON USUFRUCTO).doc", "Abrir Documento")</f>
        <v>0</v>
      </c>
      <c r="D13325" t="s">
        <v>23500</v>
      </c>
      <c r="E13325" t="s">
        <v>35800</v>
      </c>
    </row>
    <row r="13326" spans="1:5">
      <c r="A13326" t="s">
        <v>6</v>
      </c>
      <c r="B13326" t="s">
        <v>13331</v>
      </c>
      <c r="C13326">
        <f>HYPERLINK("C:\Users\franc\OneDrive\Documentos\MALENTIN KARIME\BANCO ESTADO\2012 DEPTO ESCRITURAS fata\NOTARIA 2009\COMPRAVENTA CON USUFRUCTO\BENITA BARRAZA  A SUS HIJOS (SOLA).doc", "Abrir Documento")</f>
        <v>0</v>
      </c>
      <c r="D13326" t="s">
        <v>23500</v>
      </c>
      <c r="E13326" t="s">
        <v>35801</v>
      </c>
    </row>
    <row r="13327" spans="1:5">
      <c r="A13327" t="s">
        <v>6</v>
      </c>
      <c r="B13327" t="s">
        <v>13332</v>
      </c>
      <c r="C13327">
        <f>HYPERLINK("C:\Users\franc\OneDrive\Documentos\MALENTIN KARIME\BANCO ESTADO\2012 DEPTO ESCRITURAS fata\NOTARIA 2009\COMPRAVENTA CON USUFRUCTO\BELLA LAFFERTE ROJAS A MARIA HENRIQUEZ.doc", "Abrir Documento")</f>
        <v>0</v>
      </c>
      <c r="D13327" t="s">
        <v>23500</v>
      </c>
      <c r="E13327" t="s">
        <v>35802</v>
      </c>
    </row>
    <row r="13328" spans="1:5">
      <c r="A13328" t="s">
        <v>6</v>
      </c>
      <c r="B13328" t="s">
        <v>13333</v>
      </c>
      <c r="C13328">
        <f>HYPERLINK("C:\Users\franc\OneDrive\Documentos\MALENTIN KARIME\BANCO ESTADO\2012 DEPTO ESCRITURAS fata\NOTARIA 2009\COMPRAVENTA CON USUFRUCTO\ANA DIAZ A EVELYN CODOCEDO C CONYUGE.doc", "Abrir Documento")</f>
        <v>0</v>
      </c>
      <c r="D13328" t="s">
        <v>23500</v>
      </c>
      <c r="E13328" t="s">
        <v>35803</v>
      </c>
    </row>
    <row r="13329" spans="1:5">
      <c r="A13329" t="s">
        <v>6</v>
      </c>
      <c r="B13329" t="s">
        <v>13334</v>
      </c>
      <c r="C13329">
        <f>HYPERLINK("C:\Users\franc\OneDrive\Documentos\MALENTIN KARIME\BANCO ESTADO\2012 DEPTO ESCRITURAS fata\NOTARIA 2009\COMPRAVENTA CON USUFRUCTO\ALFONSO PALTA A SU HIJO CON USUFRUCTO.doc", "Abrir Documento")</f>
        <v>0</v>
      </c>
      <c r="D13329" t="s">
        <v>23500</v>
      </c>
      <c r="E13329" t="s">
        <v>35804</v>
      </c>
    </row>
    <row r="13330" spans="1:5">
      <c r="A13330" t="s">
        <v>6</v>
      </c>
      <c r="B13330" t="s">
        <v>13335</v>
      </c>
      <c r="C13330">
        <f>HYPERLINK("C:\Users\franc\OneDrive\Documentos\MALENTIN KARIME\BANCO ESTADO\2012 DEPTO ESCRITURAS fata\NOTARIA 2009\COMPRAVENTA CON SUBSIDIO DS 174\NORMA VALLE A VITALIA ARAYA.doc", "Abrir Documento")</f>
        <v>0</v>
      </c>
      <c r="D13330" t="s">
        <v>23500</v>
      </c>
      <c r="E13330" t="s">
        <v>35805</v>
      </c>
    </row>
    <row r="13331" spans="1:5">
      <c r="A13331" t="s">
        <v>6</v>
      </c>
      <c r="B13331" t="s">
        <v>13336</v>
      </c>
      <c r="C13331">
        <f>HYPERLINK("C:\Users\franc\OneDrive\Documentos\MALENTIN KARIME\BANCO ESTADO\2012 DEPTO ESCRITURAS fata\NOTARIA 2009\COMPRAVENTA CON SUBSIDIO DS 174\MARIA ROJAS A CARMEN JOPIA.doc", "Abrir Documento")</f>
        <v>0</v>
      </c>
      <c r="D13331" t="s">
        <v>23500</v>
      </c>
      <c r="E13331" t="s">
        <v>35806</v>
      </c>
    </row>
    <row r="13332" spans="1:5">
      <c r="A13332" t="s">
        <v>6</v>
      </c>
      <c r="B13332" t="s">
        <v>13337</v>
      </c>
      <c r="C13332">
        <f>HYPERLINK("C:\Users\franc\OneDrive\Documentos\MALENTIN KARIME\BANCO ESTADO\2012 DEPTO ESCRITURAS fata\NOTARIA 2009\COMPRAVENTA CON SUBSIDIO DS 174\LUIS JAIME A SANDRA ANDRADE.doc", "Abrir Documento")</f>
        <v>0</v>
      </c>
      <c r="D13332" t="s">
        <v>23500</v>
      </c>
      <c r="E13332" t="s">
        <v>35807</v>
      </c>
    </row>
    <row r="13333" spans="1:5">
      <c r="A13333" t="s">
        <v>6</v>
      </c>
      <c r="B13333" t="s">
        <v>13338</v>
      </c>
      <c r="C13333">
        <f>HYPERLINK("C:\Users\franc\OneDrive\Documentos\MALENTIN KARIME\BANCO ESTADO\2012 DEPTO ESCRITURAS fata\NOTARIA 2009\COMPRAVENTA CON SUBSIDIO DS 174\Firmaron ante  mí.doc", "Abrir Documento")</f>
        <v>0</v>
      </c>
      <c r="D13333" t="s">
        <v>23500</v>
      </c>
      <c r="E13333" t="s">
        <v>35808</v>
      </c>
    </row>
    <row r="13334" spans="1:5">
      <c r="A13334" t="s">
        <v>6</v>
      </c>
      <c r="B13334" t="s">
        <v>13339</v>
      </c>
      <c r="C13334">
        <f>HYPERLINK("C:\Users\franc\OneDrive\Documentos\MALENTIN KARIME\BANCO ESTADO\2012 DEPTO ESCRITURAS fata\NOTARIA 2009\COMPRAVENTA CON SUBSIDIO DS 174\COSME MICHEA A ROMELIO ALUCEMA.doc", "Abrir Documento")</f>
        <v>0</v>
      </c>
      <c r="D13334" t="s">
        <v>23500</v>
      </c>
      <c r="E13334" t="s">
        <v>35809</v>
      </c>
    </row>
    <row r="13335" spans="1:5">
      <c r="A13335" t="s">
        <v>6</v>
      </c>
      <c r="B13335" t="s">
        <v>13340</v>
      </c>
      <c r="C13335">
        <f>HYPERLINK("C:\Users\franc\OneDrive\Documentos\MALENTIN KARIME\BANCO ESTADO\2012 DEPTO ESCRITURAS fata\NOTARIA 2009\COMPRAVENTA BIENES MUEBLES\WILSON SALINAS A SOC. NUEVA VIDA LTDA.doc", "Abrir Documento")</f>
        <v>0</v>
      </c>
      <c r="D13335" t="s">
        <v>23500</v>
      </c>
      <c r="E13335" t="s">
        <v>35810</v>
      </c>
    </row>
    <row r="13336" spans="1:5">
      <c r="A13336" t="s">
        <v>6</v>
      </c>
      <c r="B13336" t="s">
        <v>13341</v>
      </c>
      <c r="C13336">
        <f>HYPERLINK("C:\Users\franc\OneDrive\Documentos\MALENTIN KARIME\BANCO ESTADO\2012 DEPTO ESCRITURAS fata\NOTARIA 2009\COMPRAVENTA BIENES MUEBLES\WILSON SALINAS A SOC. NUEVA VIDA LTDA..doc", "Abrir Documento")</f>
        <v>0</v>
      </c>
      <c r="D13336" t="s">
        <v>23500</v>
      </c>
      <c r="E13336" t="s">
        <v>35811</v>
      </c>
    </row>
    <row r="13337" spans="1:5">
      <c r="A13337" t="s">
        <v>6</v>
      </c>
      <c r="B13337" t="s">
        <v>13342</v>
      </c>
      <c r="C13337">
        <f>HYPERLINK("C:\Users\franc\OneDrive\Documentos\MALENTIN KARIME\BANCO ESTADO\2012 DEPTO ESCRITURAS fata\NOTARIA 2009\COMPRAVENTA BIENES MUEBLES\VINKA TOMELIC.doc", "Abrir Documento")</f>
        <v>0</v>
      </c>
      <c r="D13337" t="s">
        <v>23500</v>
      </c>
      <c r="E13337" t="s">
        <v>35812</v>
      </c>
    </row>
    <row r="13338" spans="1:5">
      <c r="A13338" t="s">
        <v>6</v>
      </c>
      <c r="B13338" t="s">
        <v>13343</v>
      </c>
      <c r="C13338">
        <f>HYPERLINK("C:\Users\franc\OneDrive\Documentos\MALENTIN KARIME\BANCO ESTADO\2012 DEPTO ESCRITURAS fata\NOTARIA 2009\COMPRAVENTA BIENES MUEBLES\FREDY FIGUEROA A MARIA ALFARO 08-10-2007.doc", "Abrir Documento")</f>
        <v>0</v>
      </c>
      <c r="D13338" t="s">
        <v>23500</v>
      </c>
      <c r="E13338" t="s">
        <v>35813</v>
      </c>
    </row>
    <row r="13339" spans="1:5">
      <c r="A13339" t="s">
        <v>6</v>
      </c>
      <c r="B13339" t="s">
        <v>13344</v>
      </c>
      <c r="C13339">
        <f>HYPERLINK("C:\Users\franc\OneDrive\Documentos\MALENTIN KARIME\BANCO ESTADO\2012 DEPTO ESCRITURAS fata\NOTARIA 2009\COMPRAVENTA BIENES MUEBLES\AMELIA CORTES A CLAUDIO CARMONA (SANDRA).doc", "Abrir Documento")</f>
        <v>0</v>
      </c>
      <c r="D13339" t="s">
        <v>23500</v>
      </c>
      <c r="E13339" t="s">
        <v>35814</v>
      </c>
    </row>
    <row r="13340" spans="1:5">
      <c r="A13340" t="s">
        <v>6</v>
      </c>
      <c r="B13340" t="s">
        <v>13345</v>
      </c>
      <c r="C13340">
        <f>HYPERLINK("C:\Users\franc\OneDrive\Documentos\MALENTIN KARIME\BANCO ESTADO\2012 DEPTO ESCRITURAS fata\NOTARIA 2009\COMPRAVENTA BIENES MUEBLES\AIRE NORTE LTDA A MARCIAL VEGA (PAPA).doc", "Abrir Documento")</f>
        <v>0</v>
      </c>
      <c r="D13340" t="s">
        <v>23500</v>
      </c>
      <c r="E13340" t="s">
        <v>35815</v>
      </c>
    </row>
    <row r="13341" spans="1:5">
      <c r="A13341" t="s">
        <v>6</v>
      </c>
      <c r="B13341" t="s">
        <v>13346</v>
      </c>
      <c r="C13341">
        <f>HYPERLINK("C:\Users\franc\OneDrive\Documentos\MALENTIN KARIME\BANCO ESTADO\2012 DEPTO ESCRITURAS fata\NOTARIA 2009\COMPRAVENTA BIENES MUEBLES\ADRIANA JOFRE A IVAN GAMBOA.doc", "Abrir Documento")</f>
        <v>0</v>
      </c>
      <c r="D13341" t="s">
        <v>23500</v>
      </c>
      <c r="E13341" t="s">
        <v>35816</v>
      </c>
    </row>
    <row r="13342" spans="1:5">
      <c r="A13342" t="s">
        <v>6</v>
      </c>
      <c r="B13342" t="s">
        <v>13347</v>
      </c>
      <c r="C13342">
        <f>HYPERLINK("C:\Users\franc\OneDrive\Documentos\MALENTIN KARIME\BANCO ESTADO\2012 DEPTO ESCRITURAS fata\NOTARIA 2009\COMPLEMENTACION\TERESA CASTILLO (CESION DERECHOS HEREDITARIOS).doc", "Abrir Documento")</f>
        <v>0</v>
      </c>
      <c r="D13342" t="s">
        <v>23500</v>
      </c>
      <c r="E13342" t="s">
        <v>35817</v>
      </c>
    </row>
    <row r="13343" spans="1:5">
      <c r="A13343" t="s">
        <v>6</v>
      </c>
      <c r="B13343" t="s">
        <v>13348</v>
      </c>
      <c r="C13343">
        <f>HYPERLINK("C:\Users\franc\OneDrive\Documentos\MALENTIN KARIME\BANCO ESTADO\2012 DEPTO ESCRITURAS fata\NOTARIA 2009\COMPLEMENTACION\ROSA PIZARRO Y OTROS A SONIA GALLEGUILLOS (C. ARDILES).doc", "Abrir Documento")</f>
        <v>0</v>
      </c>
      <c r="D13343" t="s">
        <v>23500</v>
      </c>
      <c r="E13343" t="s">
        <v>35818</v>
      </c>
    </row>
    <row r="13344" spans="1:5">
      <c r="A13344" t="s">
        <v>6</v>
      </c>
      <c r="B13344" t="s">
        <v>13349</v>
      </c>
      <c r="C13344">
        <f>HYPERLINK("C:\Users\franc\OneDrive\Documentos\MALENTIN KARIME\BANCO ESTADO\2012 DEPTO ESCRITURAS fata\NOTARIA 2009\COMPLEMENTACION\ROBINSON DIAZ.doc", "Abrir Documento")</f>
        <v>0</v>
      </c>
      <c r="D13344" t="s">
        <v>23500</v>
      </c>
      <c r="E13344" t="s">
        <v>35819</v>
      </c>
    </row>
    <row r="13345" spans="1:5">
      <c r="A13345" t="s">
        <v>6</v>
      </c>
      <c r="B13345" t="s">
        <v>13350</v>
      </c>
      <c r="C13345">
        <f>HYPERLINK("C:\Users\franc\OneDrive\Documentos\MALENTIN KARIME\BANCO ESTADO\2012 DEPTO ESCRITURAS fata\NOTARIA 2009\COMPLEMENTACION\RAUL ROBLES A JUAN ROBLES.doc", "Abrir Documento")</f>
        <v>0</v>
      </c>
      <c r="D13345" t="s">
        <v>23500</v>
      </c>
      <c r="E13345" t="s">
        <v>35820</v>
      </c>
    </row>
    <row r="13346" spans="1:5">
      <c r="A13346" t="s">
        <v>6</v>
      </c>
      <c r="B13346" t="s">
        <v>13351</v>
      </c>
      <c r="C13346">
        <f>HYPERLINK("C:\Users\franc\OneDrive\Documentos\MALENTIN KARIME\BANCO ESTADO\2012 DEPTO ESCRITURAS fata\NOTARIA 2009\COMPLEMENTACION\RAMON HENRIQUEZ.doc", "Abrir Documento")</f>
        <v>0</v>
      </c>
      <c r="D13346" t="s">
        <v>23500</v>
      </c>
      <c r="E13346" t="s">
        <v>35821</v>
      </c>
    </row>
    <row r="13347" spans="1:5">
      <c r="A13347" t="s">
        <v>6</v>
      </c>
      <c r="B13347" t="s">
        <v>13352</v>
      </c>
      <c r="C13347">
        <f>HYPERLINK("C:\Users\franc\OneDrive\Documentos\MALENTIN KARIME\BANCO ESTADO\2012 DEPTO ESCRITURAS fata\NOTARIA 2009\COMPLEMENTACION\PATSY ABRILOT A SOC. AGRIC. EL SAUCE.doc", "Abrir Documento")</f>
        <v>0</v>
      </c>
      <c r="D13347" t="s">
        <v>23500</v>
      </c>
      <c r="E13347" t="s">
        <v>35822</v>
      </c>
    </row>
    <row r="13348" spans="1:5">
      <c r="A13348" t="s">
        <v>6</v>
      </c>
      <c r="B13348" t="s">
        <v>13353</v>
      </c>
      <c r="C13348">
        <f>HYPERLINK("C:\Users\franc\OneDrive\Documentos\MALENTIN KARIME\BANCO ESTADO\2012 DEPTO ESCRITURAS fata\NOTARIA 2009\COMPLEMENTACION\MODELO.doc", "Abrir Documento")</f>
        <v>0</v>
      </c>
      <c r="D13348" t="s">
        <v>23500</v>
      </c>
      <c r="E13348" t="s">
        <v>35823</v>
      </c>
    </row>
    <row r="13349" spans="1:5">
      <c r="A13349" t="s">
        <v>6</v>
      </c>
      <c r="B13349" t="s">
        <v>13354</v>
      </c>
      <c r="C13349">
        <f>HYPERLINK("C:\Users\franc\OneDrive\Documentos\MALENTIN KARIME\BANCO ESTADO\2012 DEPTO ESCRITURAS fata\NOTARIA 2009\COMPLEMENTACION\MARTA VENEGAS A ABEL ROBLES  (AGUAS).doc", "Abrir Documento")</f>
        <v>0</v>
      </c>
      <c r="D13349" t="s">
        <v>23500</v>
      </c>
      <c r="E13349" t="s">
        <v>35824</v>
      </c>
    </row>
    <row r="13350" spans="1:5">
      <c r="A13350" t="s">
        <v>6</v>
      </c>
      <c r="B13350" t="s">
        <v>13355</v>
      </c>
      <c r="C13350">
        <f>HYPERLINK("C:\Users\franc\OneDrive\Documentos\MALENTIN KARIME\BANCO ESTADO\2012 DEPTO ESCRITURAS fata\NOTARIA 2009\COMPLEMENTACION\MARIA MICHEA HONORES.doc", "Abrir Documento")</f>
        <v>0</v>
      </c>
      <c r="D13350" t="s">
        <v>23500</v>
      </c>
      <c r="E13350" t="s">
        <v>35825</v>
      </c>
    </row>
    <row r="13351" spans="1:5">
      <c r="A13351" t="s">
        <v>6</v>
      </c>
      <c r="B13351" t="s">
        <v>13356</v>
      </c>
      <c r="C13351">
        <f>HYPERLINK("C:\Users\franc\OneDrive\Documentos\MALENTIN KARIME\BANCO ESTADO\2012 DEPTO ESCRITURAS fata\NOTARIA 2009\COMPLEMENTACION\MAILIN SAN FRANCISCO.doc", "Abrir Documento")</f>
        <v>0</v>
      </c>
      <c r="D13351" t="s">
        <v>23500</v>
      </c>
      <c r="E13351" t="s">
        <v>35826</v>
      </c>
    </row>
    <row r="13352" spans="1:5">
      <c r="A13352" t="s">
        <v>6</v>
      </c>
      <c r="B13352" t="s">
        <v>13357</v>
      </c>
      <c r="C13352">
        <f>HYPERLINK("C:\Users\franc\OneDrive\Documentos\MALENTIN KARIME\BANCO ESTADO\2012 DEPTO ESCRITURAS fata\NOTARIA 2009\COMPLEMENTACION\LUIS GARRIDO (CESION DERECHOS GUANAQUEROS).doc", "Abrir Documento")</f>
        <v>0</v>
      </c>
      <c r="D13352" t="s">
        <v>23500</v>
      </c>
      <c r="E13352" t="s">
        <v>35827</v>
      </c>
    </row>
    <row r="13353" spans="1:5">
      <c r="A13353" t="s">
        <v>6</v>
      </c>
      <c r="B13353" t="s">
        <v>13358</v>
      </c>
      <c r="C13353">
        <f>HYPERLINK("C:\Users\franc\OneDrive\Documentos\MALENTIN KARIME\BANCO ESTADO\2012 DEPTO ESCRITURAS fata\NOTARIA 2009\COMPLEMENTACION\L.S.P. AGRICOLA (AGUAS).doc", "Abrir Documento")</f>
        <v>0</v>
      </c>
      <c r="D13353" t="s">
        <v>23500</v>
      </c>
      <c r="E13353" t="s">
        <v>35828</v>
      </c>
    </row>
    <row r="13354" spans="1:5">
      <c r="A13354" t="s">
        <v>6</v>
      </c>
      <c r="B13354" t="s">
        <v>13359</v>
      </c>
      <c r="C13354">
        <f>HYPERLINK("C:\Users\franc\OneDrive\Documentos\MALENTIN KARIME\BANCO ESTADO\2012 DEPTO ESCRITURAS fata\NOTARIA 2009\COMPLEMENTACION\JUAN GALLEGUILLOS A MIRIAS URQUETA.doc", "Abrir Documento")</f>
        <v>0</v>
      </c>
      <c r="D13354" t="s">
        <v>23500</v>
      </c>
      <c r="E13354" t="s">
        <v>35829</v>
      </c>
    </row>
    <row r="13355" spans="1:5">
      <c r="A13355" t="s">
        <v>6</v>
      </c>
      <c r="B13355" t="s">
        <v>13360</v>
      </c>
      <c r="C13355">
        <f>HYPERLINK("C:\Users\franc\OneDrive\Documentos\MALENTIN KARIME\BANCO ESTADO\2012 DEPTO ESCRITURAS fata\NOTARIA 2009\COMPLEMENTACION\JOSE ARAYA A LSP AGRICOLA LIMITADA.doc", "Abrir Documento")</f>
        <v>0</v>
      </c>
      <c r="D13355" t="s">
        <v>23500</v>
      </c>
      <c r="E13355" t="s">
        <v>35830</v>
      </c>
    </row>
    <row r="13356" spans="1:5">
      <c r="A13356" t="s">
        <v>6</v>
      </c>
      <c r="B13356" t="s">
        <v>13361</v>
      </c>
      <c r="C13356">
        <f>HYPERLINK("C:\Users\franc\OneDrive\Documentos\MALENTIN KARIME\BANCO ESTADO\2012 DEPTO ESCRITURAS fata\NOTARIA 2009\COMPLEMENTACION\HUGO CORTES A SAMUEL VILLARROEL  (ACLAR Y COMP).doc", "Abrir Documento")</f>
        <v>0</v>
      </c>
      <c r="D13356" t="s">
        <v>23500</v>
      </c>
      <c r="E13356" t="s">
        <v>35831</v>
      </c>
    </row>
    <row r="13357" spans="1:5">
      <c r="A13357" t="s">
        <v>6</v>
      </c>
      <c r="B13357" t="s">
        <v>13362</v>
      </c>
      <c r="C13357">
        <f>HYPERLINK("C:\Users\franc\OneDrive\Documentos\MALENTIN KARIME\BANCO ESTADO\2012 DEPTO ESCRITURAS fata\NOTARIA 2009\COMPLEMENTACION\GRACIELA CODOCEO ARAYA.doc", "Abrir Documento")</f>
        <v>0</v>
      </c>
      <c r="D13357" t="s">
        <v>23500</v>
      </c>
      <c r="E13357" t="s">
        <v>35832</v>
      </c>
    </row>
    <row r="13358" spans="1:5">
      <c r="A13358" t="s">
        <v>6</v>
      </c>
      <c r="B13358" t="s">
        <v>13363</v>
      </c>
      <c r="C13358">
        <f>HYPERLINK("C:\Users\franc\OneDrive\Documentos\MALENTIN KARIME\BANCO ESTADO\2012 DEPTO ESCRITURAS fata\NOTARIA 2009\COMPLEMENTACION\EMA JARAMILLO A CLAUDIA Y VERONICA.doc", "Abrir Documento")</f>
        <v>0</v>
      </c>
      <c r="D13358" t="s">
        <v>23500</v>
      </c>
      <c r="E13358" t="s">
        <v>35833</v>
      </c>
    </row>
    <row r="13359" spans="1:5">
      <c r="A13359" t="s">
        <v>6</v>
      </c>
      <c r="B13359" t="s">
        <v>13364</v>
      </c>
      <c r="C13359">
        <f>HYPERLINK("C:\Users\franc\OneDrive\Documentos\MALENTIN KARIME\BANCO ESTADO\2012 DEPTO ESCRITURAS fata\NOTARIA 2009\COMPLEMENTACION\EMA JARAMILLO A CLAUDIA Y VERONICA final.doc", "Abrir Documento")</f>
        <v>0</v>
      </c>
      <c r="D13359" t="s">
        <v>23500</v>
      </c>
      <c r="E13359" t="s">
        <v>35834</v>
      </c>
    </row>
    <row r="13360" spans="1:5">
      <c r="A13360" t="s">
        <v>6</v>
      </c>
      <c r="B13360" t="s">
        <v>13365</v>
      </c>
      <c r="C13360">
        <f>HYPERLINK("C:\Users\franc\OneDrive\Documentos\MALENTIN KARIME\BANCO ESTADO\2012 DEPTO ESCRITURAS fata\NOTARIA 2009\COMPLEMENTACION\EDUARDO JULIO.doc", "Abrir Documento")</f>
        <v>0</v>
      </c>
      <c r="D13360" t="s">
        <v>23500</v>
      </c>
      <c r="E13360" t="s">
        <v>35835</v>
      </c>
    </row>
    <row r="13361" spans="1:5">
      <c r="A13361" t="s">
        <v>6</v>
      </c>
      <c r="B13361" t="s">
        <v>13366</v>
      </c>
      <c r="C13361">
        <f>HYPERLINK("C:\Users\franc\OneDrive\Documentos\MALENTIN KARIME\BANCO ESTADO\2012 DEPTO ESCRITURAS fata\NOTARIA 2009\COMPLEMENTACION\COMITE VILLA ESPERANZA.doc", "Abrir Documento")</f>
        <v>0</v>
      </c>
      <c r="D13361" t="s">
        <v>23500</v>
      </c>
      <c r="E13361" t="s">
        <v>35836</v>
      </c>
    </row>
    <row r="13362" spans="1:5">
      <c r="A13362" t="s">
        <v>6</v>
      </c>
      <c r="B13362" t="s">
        <v>13367</v>
      </c>
      <c r="C13362">
        <f>HYPERLINK("C:\Users\franc\OneDrive\Documentos\MALENTIN KARIME\BANCO ESTADO\2012 DEPTO ESCRITURAS fata\NOTARIA 2009\COMPLEMENTACION\CESION E DERECHOS SRA CECILIA (CORREGIDA).doc", "Abrir Documento")</f>
        <v>0</v>
      </c>
      <c r="D13362" t="s">
        <v>23500</v>
      </c>
      <c r="E13362" t="s">
        <v>35837</v>
      </c>
    </row>
    <row r="13363" spans="1:5">
      <c r="A13363" t="s">
        <v>6</v>
      </c>
      <c r="B13363" t="s">
        <v>13368</v>
      </c>
      <c r="C13363">
        <f>HYPERLINK("C:\Users\franc\OneDrive\Documentos\MALENTIN KARIME\BANCO ESTADO\2012 DEPTO ESCRITURAS fata\NOTARIA 2009\COMPLEMENTACION\CESION DE DERECHOS  PARCELAS 6 Y 7 (CORREGIDA).doc", "Abrir Documento")</f>
        <v>0</v>
      </c>
      <c r="D13363" t="s">
        <v>23500</v>
      </c>
      <c r="E13363" t="s">
        <v>35838</v>
      </c>
    </row>
    <row r="13364" spans="1:5">
      <c r="A13364" t="s">
        <v>6</v>
      </c>
      <c r="B13364" t="s">
        <v>13369</v>
      </c>
      <c r="C13364">
        <f>HYPERLINK("C:\Users\franc\OneDrive\Documentos\MALENTIN KARIME\BANCO ESTADO\2012 DEPTO ESCRITURAS fata\NOTARIA 2009\COMPLEMENTACION\BRIJIDA CISTERNAS A JUAN GUTIERREZ.doc", "Abrir Documento")</f>
        <v>0</v>
      </c>
      <c r="D13364" t="s">
        <v>23500</v>
      </c>
      <c r="E13364" t="s">
        <v>35839</v>
      </c>
    </row>
    <row r="13365" spans="1:5">
      <c r="A13365" t="s">
        <v>6</v>
      </c>
      <c r="B13365" t="s">
        <v>13370</v>
      </c>
      <c r="C13365">
        <f>HYPERLINK("C:\Users\franc\OneDrive\Documentos\MALENTIN KARIME\BANCO ESTADO\2012 DEPTO ESCRITURAS fata\NOTARIA 2009\COMPAÑIA PISQUERA DE CHILE\SUBDIVISION TABALI.doc", "Abrir Documento")</f>
        <v>0</v>
      </c>
      <c r="D13365" t="s">
        <v>23500</v>
      </c>
      <c r="E13365" t="s">
        <v>35840</v>
      </c>
    </row>
    <row r="13366" spans="1:5">
      <c r="A13366" t="s">
        <v>6</v>
      </c>
      <c r="B13366" t="s">
        <v>13371</v>
      </c>
      <c r="C13366">
        <f>HYPERLINK("C:\Users\franc\OneDrive\Documentos\MALENTIN KARIME\BANCO ESTADO\2012 DEPTO ESCRITURAS fata\NOTARIA 2009\COMPAÑIA PISQUERA DE CHILE\RATIFICACION GRACIELA PARADA.doc", "Abrir Documento")</f>
        <v>0</v>
      </c>
      <c r="D13366" t="s">
        <v>23500</v>
      </c>
      <c r="E13366" t="s">
        <v>35841</v>
      </c>
    </row>
    <row r="13367" spans="1:5">
      <c r="A13367" t="s">
        <v>6</v>
      </c>
      <c r="B13367" t="s">
        <v>13372</v>
      </c>
      <c r="C13367">
        <f>HYPERLINK("C:\Users\franc\OneDrive\Documentos\MALENTIN KARIME\BANCO ESTADO\2012 DEPTO ESCRITURAS fata\NOTARIA 2009\COMPAÑIA PISQUERA DE CHILE\MANUEL TABILO AGUAS.doc", "Abrir Documento")</f>
        <v>0</v>
      </c>
      <c r="D13367" t="s">
        <v>23500</v>
      </c>
      <c r="E13367" t="s">
        <v>35842</v>
      </c>
    </row>
    <row r="13368" spans="1:5">
      <c r="A13368" t="s">
        <v>6</v>
      </c>
      <c r="B13368" t="s">
        <v>13373</v>
      </c>
      <c r="C13368">
        <f>HYPERLINK("C:\Users\franc\OneDrive\Documentos\MALENTIN KARIME\BANCO ESTADO\2012 DEPTO ESCRITURAS fata\NOTARIA 2009\COMPAÑIA PISQUERA DE CHILE\LORENZO DIAZ AGUAS.doc", "Abrir Documento")</f>
        <v>0</v>
      </c>
      <c r="D13368" t="s">
        <v>23500</v>
      </c>
      <c r="E13368" t="s">
        <v>35843</v>
      </c>
    </row>
    <row r="13369" spans="1:5">
      <c r="A13369" t="s">
        <v>6</v>
      </c>
      <c r="B13369" t="s">
        <v>13374</v>
      </c>
      <c r="C13369">
        <f>HYPERLINK("C:\Users\franc\OneDrive\Documentos\MALENTIN KARIME\BANCO ESTADO\2012 DEPTO ESCRITURAS fata\NOTARIA 2009\COMPAÑIA PISQUERA DE CHILE\JOSE FLORES.doc", "Abrir Documento")</f>
        <v>0</v>
      </c>
      <c r="D13369" t="s">
        <v>23500</v>
      </c>
      <c r="E13369" t="s">
        <v>35844</v>
      </c>
    </row>
    <row r="13370" spans="1:5">
      <c r="A13370" t="s">
        <v>6</v>
      </c>
      <c r="B13370" t="s">
        <v>13375</v>
      </c>
      <c r="C13370">
        <f>HYPERLINK("C:\Users\franc\OneDrive\Documentos\MALENTIN KARIME\BANCO ESTADO\2012 DEPTO ESCRITURAS fata\NOTARIA 2009\COMPAÑIA PISQUERA DE CHILE\INSTRUCCIONES NOT. C-V- AGUAS COGOTI.doc", "Abrir Documento")</f>
        <v>0</v>
      </c>
      <c r="D13370" t="s">
        <v>23500</v>
      </c>
      <c r="E13370" t="s">
        <v>35845</v>
      </c>
    </row>
    <row r="13371" spans="1:5">
      <c r="A13371" t="s">
        <v>6</v>
      </c>
      <c r="B13371" t="s">
        <v>13376</v>
      </c>
      <c r="C13371">
        <f>HYPERLINK("C:\Users\franc\OneDrive\Documentos\MALENTIN KARIME\BANCO ESTADO\2012 DEPTO ESCRITURAS fata\NOTARIA 2009\COMPAÑIA PISQUERA DE CHILE\INSTRUCCIONES NOT- AGUAS H SEGOVIA.doc", "Abrir Documento")</f>
        <v>0</v>
      </c>
      <c r="D13371" t="s">
        <v>23500</v>
      </c>
      <c r="E13371" t="s">
        <v>35846</v>
      </c>
    </row>
    <row r="13372" spans="1:5">
      <c r="A13372" t="s">
        <v>6</v>
      </c>
      <c r="B13372" t="s">
        <v>13377</v>
      </c>
      <c r="C13372">
        <f>HYPERLINK("C:\Users\franc\OneDrive\Documentos\MALENTIN KARIME\BANCO ESTADO\2012 DEPTO ESCRITURAS fata\NOTARIA 2009\COMPAÑIA PISQUERA DE CHILE\INSTRUCCIONES NOT- AGUAS GUINDO.doc", "Abrir Documento")</f>
        <v>0</v>
      </c>
      <c r="D13372" t="s">
        <v>23500</v>
      </c>
      <c r="E13372" t="s">
        <v>35847</v>
      </c>
    </row>
    <row r="13373" spans="1:5">
      <c r="A13373" t="s">
        <v>6</v>
      </c>
      <c r="B13373" t="s">
        <v>13378</v>
      </c>
      <c r="C13373">
        <f>HYPERLINK("C:\Users\franc\OneDrive\Documentos\MALENTIN KARIME\BANCO ESTADO\2012 DEPTO ESCRITURAS fata\NOTARIA 2009\COMPAÑIA PISQUERA DE CHILE\INSTRUCCIONES NOT- AGUAS FLORES.doc", "Abrir Documento")</f>
        <v>0</v>
      </c>
      <c r="D13373" t="s">
        <v>23500</v>
      </c>
      <c r="E13373" t="s">
        <v>35848</v>
      </c>
    </row>
    <row r="13374" spans="1:5">
      <c r="A13374" t="s">
        <v>6</v>
      </c>
      <c r="B13374" t="s">
        <v>13379</v>
      </c>
      <c r="C13374">
        <f>HYPERLINK("C:\Users\franc\OneDrive\Documentos\MALENTIN KARIME\BANCO ESTADO\2012 DEPTO ESCRITURAS fata\NOTARIA 2009\COMPAÑIA PISQUERA DE CHILE\INSTRUCCIONES NOT- AGUAS COGOTI.doc", "Abrir Documento")</f>
        <v>0</v>
      </c>
      <c r="D13374" t="s">
        <v>23500</v>
      </c>
      <c r="E13374" t="s">
        <v>35849</v>
      </c>
    </row>
    <row r="13375" spans="1:5">
      <c r="A13375" t="s">
        <v>6</v>
      </c>
      <c r="B13375" t="s">
        <v>13380</v>
      </c>
      <c r="C13375">
        <f>HYPERLINK("C:\Users\franc\OneDrive\Documentos\MALENTIN KARIME\BANCO ESTADO\2012 DEPTO ESCRITURAS fata\NOTARIA 2009\COMPAÑIA PISQUERA DE CHILE\HUGO SEGOVIA AGUAS.doc", "Abrir Documento")</f>
        <v>0</v>
      </c>
      <c r="D13375" t="s">
        <v>23500</v>
      </c>
      <c r="E13375" t="s">
        <v>35850</v>
      </c>
    </row>
    <row r="13376" spans="1:5">
      <c r="A13376" t="s">
        <v>6</v>
      </c>
      <c r="B13376" t="s">
        <v>13381</v>
      </c>
      <c r="C13376">
        <f>HYPERLINK("C:\Users\franc\OneDrive\Documentos\MALENTIN KARIME\BANCO ESTADO\2012 DEPTO ESCRITURAS fata\NOTARIA 2009\COMPAÑIA PISQUERA DE CHILE\FUSION TABALI.doc", "Abrir Documento")</f>
        <v>0</v>
      </c>
      <c r="D13376" t="s">
        <v>23500</v>
      </c>
      <c r="E13376" t="s">
        <v>35851</v>
      </c>
    </row>
    <row r="13377" spans="1:5">
      <c r="A13377" t="s">
        <v>6</v>
      </c>
      <c r="B13377" t="s">
        <v>13382</v>
      </c>
      <c r="C13377">
        <f>HYPERLINK("C:\Users\franc\OneDrive\Documentos\MALENTIN KARIME\BANCO ESTADO\2012 DEPTO ESCRITURAS fata\NOTARIA 2009\COMPAÑIA PISQUERA DE CHILE\ELORZA MANDATO.doc", "Abrir Documento")</f>
        <v>0</v>
      </c>
      <c r="D13377" t="s">
        <v>23500</v>
      </c>
      <c r="E13377" t="s">
        <v>35852</v>
      </c>
    </row>
    <row r="13378" spans="1:5">
      <c r="A13378" t="s">
        <v>6</v>
      </c>
      <c r="B13378" t="s">
        <v>13383</v>
      </c>
      <c r="C13378">
        <f>HYPERLINK("C:\Users\franc\OneDrive\Documentos\MALENTIN KARIME\BANCO ESTADO\2012 DEPTO ESCRITURAS fata\NOTARIA 2009\COMPAÑIA PISQUERA DE CHILE\DIEGO GARCIA GAHONA.doc", "Abrir Documento")</f>
        <v>0</v>
      </c>
      <c r="D13378" t="s">
        <v>23500</v>
      </c>
      <c r="E13378" t="s">
        <v>35853</v>
      </c>
    </row>
    <row r="13379" spans="1:5">
      <c r="A13379" t="s">
        <v>6</v>
      </c>
      <c r="B13379" t="s">
        <v>13384</v>
      </c>
      <c r="C13379">
        <f>HYPERLINK("C:\Users\franc\OneDrive\Documentos\MALENTIN KARIME\BANCO ESTADO\2012 DEPTO ESCRITURAS fata\NOTARIA 2009\COMPAÑIA PISQUERA DE CHILE\CIA. PISQUERA CHILE A MANUEL LOPEZ.doc", "Abrir Documento")</f>
        <v>0</v>
      </c>
      <c r="D13379" t="s">
        <v>23500</v>
      </c>
      <c r="E13379" t="s">
        <v>35854</v>
      </c>
    </row>
    <row r="13380" spans="1:5">
      <c r="A13380" t="s">
        <v>6</v>
      </c>
      <c r="B13380" t="s">
        <v>13385</v>
      </c>
      <c r="C13380">
        <f>HYPERLINK("C:\Users\franc\OneDrive\Documentos\MALENTIN KARIME\BANCO ESTADO\2012 DEPTO ESCRITURAS fata\NOTARIA 2009\COMPAÑIA PISQUERA DE CHILE\CIA PISQUERA A SOC LAS CABRAS.doc", "Abrir Documento")</f>
        <v>0</v>
      </c>
      <c r="D13380" t="s">
        <v>23500</v>
      </c>
      <c r="E13380" t="s">
        <v>35855</v>
      </c>
    </row>
    <row r="13381" spans="1:5">
      <c r="A13381" t="s">
        <v>6</v>
      </c>
      <c r="B13381" t="s">
        <v>13386</v>
      </c>
      <c r="C13381">
        <f>HYPERLINK("C:\Users\franc\OneDrive\Documentos\MALENTIN KARIME\BANCO ESTADO\2012 DEPTO ESCRITURAS fata\NOTARIA 2009\COMPAÑIA PISQUERA DE CHILE\ANGOSTURA - ACLARA AGUAS.doc", "Abrir Documento")</f>
        <v>0</v>
      </c>
      <c r="D13381" t="s">
        <v>23500</v>
      </c>
      <c r="E13381" t="s">
        <v>35856</v>
      </c>
    </row>
    <row r="13382" spans="1:5">
      <c r="A13382" t="s">
        <v>6</v>
      </c>
      <c r="B13382" t="s">
        <v>13387</v>
      </c>
      <c r="C13382">
        <f>HYPERLINK("C:\Users\franc\OneDrive\Documentos\MALENTIN KARIME\BANCO ESTADO\2012 DEPTO ESCRITURAS fata\NOTARIA 2009\COMPAÑIA MINERA TAMAYA\RECTIFICACION POTRERILLOS.doc", "Abrir Documento")</f>
        <v>0</v>
      </c>
      <c r="D13382" t="s">
        <v>23500</v>
      </c>
      <c r="E13382" t="s">
        <v>35857</v>
      </c>
    </row>
    <row r="13383" spans="1:5">
      <c r="A13383" t="s">
        <v>6</v>
      </c>
      <c r="B13383" t="s">
        <v>13388</v>
      </c>
      <c r="C13383">
        <f>HYPERLINK("C:\Users\franc\OneDrive\Documentos\MALENTIN KARIME\BANCO ESTADO\2012 DEPTO ESCRITURAS fata\NOTARIA 2009\COMPAÑIA MINERA TAMAYA\OPCION MINERA CON S.L.M. ELVIRA.doc", "Abrir Documento")</f>
        <v>0</v>
      </c>
      <c r="D13383" t="s">
        <v>23500</v>
      </c>
      <c r="E13383" t="s">
        <v>35858</v>
      </c>
    </row>
    <row r="13384" spans="1:5">
      <c r="A13384" t="s">
        <v>6</v>
      </c>
      <c r="B13384" t="s">
        <v>13389</v>
      </c>
      <c r="C13384">
        <f>HYPERLINK("C:\Users\franc\OneDrive\Documentos\MALENTIN KARIME\BANCO ESTADO\2012 DEPTO ESCRITURAS fata\NOTARIA 2009\COMPAÑIA MINERA TAMAYA\FREDY BUSTOS  Y STEPHEN PLA.doc", "Abrir Documento")</f>
        <v>0</v>
      </c>
      <c r="D13384" t="s">
        <v>23500</v>
      </c>
      <c r="E13384" t="s">
        <v>35859</v>
      </c>
    </row>
    <row r="13385" spans="1:5">
      <c r="A13385" t="s">
        <v>6</v>
      </c>
      <c r="B13385" t="s">
        <v>13390</v>
      </c>
      <c r="C13385">
        <f>HYPERLINK("C:\Users\franc\OneDrive\Documentos\MALENTIN KARIME\BANCO ESTADO\2012 DEPTO ESCRITURAS fata\NOTARIA 2009\COMPAÑIA MINERA TAMAYA\FINIQUITO CIA. MRA. PUNITAQUI Y OTRAS A ROBERT GEORGE.doc", "Abrir Documento")</f>
        <v>0</v>
      </c>
      <c r="D13385" t="s">
        <v>23500</v>
      </c>
      <c r="E13385" t="s">
        <v>35860</v>
      </c>
    </row>
    <row r="13386" spans="1:5">
      <c r="A13386" t="s">
        <v>6</v>
      </c>
      <c r="B13386" t="s">
        <v>13391</v>
      </c>
      <c r="C13386">
        <f>HYPERLINK("C:\Users\franc\OneDrive\Documentos\MALENTIN KARIME\BANCO ESTADO\2012 DEPTO ESCRITURAS fata\NOTARIA 2009\COMPAÑIA MINERA TAMAYA\CIA. MRA. TAMAYA A FREDY BUSTOS (MANDATO).doc", "Abrir Documento")</f>
        <v>0</v>
      </c>
      <c r="D13386" t="s">
        <v>23500</v>
      </c>
      <c r="E13386" t="s">
        <v>35861</v>
      </c>
    </row>
    <row r="13387" spans="1:5">
      <c r="A13387" t="s">
        <v>6</v>
      </c>
      <c r="B13387" t="s">
        <v>13392</v>
      </c>
      <c r="C13387">
        <f>HYPERLINK("C:\Users\franc\OneDrive\Documentos\MALENTIN KARIME\BANCO ESTADO\2012 DEPTO ESCRITURAS fata\NOTARIA 2009\COMPAÑIA MINERA TAMAYA\CIA. MRA. TAMAYA A COM. AGRIC. PUNITAQUI.doc", "Abrir Documento")</f>
        <v>0</v>
      </c>
      <c r="D13387" t="s">
        <v>23500</v>
      </c>
      <c r="E13387" t="s">
        <v>35862</v>
      </c>
    </row>
    <row r="13388" spans="1:5">
      <c r="A13388" t="s">
        <v>6</v>
      </c>
      <c r="B13388" t="s">
        <v>13393</v>
      </c>
      <c r="C13388">
        <f>HYPERLINK("C:\Users\franc\OneDrive\Documentos\MALENTIN KARIME\BANCO ESTADO\2012 DEPTO ESCRITURAS fata\NOTARIA 2009\COMPAÑIA MINERA TAMAYA\CIA. MRA. PUNITAQUI SCM A FREDY BUSTOS (MANDATO).doc", "Abrir Documento")</f>
        <v>0</v>
      </c>
      <c r="D13388" t="s">
        <v>23500</v>
      </c>
      <c r="E13388" t="s">
        <v>35863</v>
      </c>
    </row>
    <row r="13389" spans="1:5">
      <c r="A13389" t="s">
        <v>6</v>
      </c>
      <c r="B13389" t="s">
        <v>13394</v>
      </c>
      <c r="C13389">
        <f>HYPERLINK("C:\Users\franc\OneDrive\Documentos\MALENTIN KARIME\BANCO ESTADO\2012 DEPTO ESCRITURAS fata\NOTARIA 2009\COMPAÑIA MINERA TAMAYA\CIA. MINERA PUNITAQUI A JUAN PASTEN.doc", "Abrir Documento")</f>
        <v>0</v>
      </c>
      <c r="D13389" t="s">
        <v>23500</v>
      </c>
      <c r="E13389" t="s">
        <v>35864</v>
      </c>
    </row>
    <row r="13390" spans="1:5">
      <c r="A13390" t="s">
        <v>6</v>
      </c>
      <c r="B13390" t="s">
        <v>13395</v>
      </c>
      <c r="C13390">
        <f>HYPERLINK("C:\Users\franc\OneDrive\Documentos\MALENTIN KARIME\BANCO ESTADO\2012 DEPTO ESCRITURAS fata\NOTARIA 2009\COMPAÑIA MINERA PUNITAQUI\SILVIA RODRIGUEZ.doc", "Abrir Documento")</f>
        <v>0</v>
      </c>
      <c r="D13390" t="s">
        <v>23500</v>
      </c>
      <c r="E13390" t="s">
        <v>35865</v>
      </c>
    </row>
    <row r="13391" spans="1:5">
      <c r="A13391" t="s">
        <v>6</v>
      </c>
      <c r="B13391" t="s">
        <v>13396</v>
      </c>
      <c r="C13391">
        <f>HYPERLINK("C:\Users\franc\OneDrive\Documentos\MALENTIN KARIME\BANCO ESTADO\2012 DEPTO ESCRITURAS fata\NOTARIA 2009\COMPAÑIA MINERA PUNITAQUI\SERVIDUMBRE.doc", "Abrir Documento")</f>
        <v>0</v>
      </c>
      <c r="D13391" t="s">
        <v>23500</v>
      </c>
      <c r="E13391" t="s">
        <v>35866</v>
      </c>
    </row>
    <row r="13392" spans="1:5">
      <c r="A13392" t="s">
        <v>6</v>
      </c>
      <c r="B13392" t="s">
        <v>13397</v>
      </c>
      <c r="C13392">
        <f>HYPERLINK("C:\Users\franc\OneDrive\Documentos\MALENTIN KARIME\BANCO ESTADO\2012 DEPTO ESCRITURAS fata\NOTARIA 2009\COMPAÑIA MINERA PUNITAQUI\SERVIDUMBRE JULIO 2007.doc", "Abrir Documento")</f>
        <v>0</v>
      </c>
      <c r="D13392" t="s">
        <v>23500</v>
      </c>
      <c r="E13392" t="s">
        <v>35867</v>
      </c>
    </row>
    <row r="13393" spans="1:5">
      <c r="A13393" t="s">
        <v>6</v>
      </c>
      <c r="B13393" t="s">
        <v>13398</v>
      </c>
      <c r="C13393">
        <f>HYPERLINK("C:\Users\franc\OneDrive\Documentos\MALENTIN KARIME\BANCO ESTADO\2012 DEPTO ESCRITURAS fata\NOTARIA 2009\COMPAÑIA MINERA PUNITAQUI\SERVIDUMBRE COMUNIDAD POTRERILLO ALTO.doc", "Abrir Documento")</f>
        <v>0</v>
      </c>
      <c r="D13393" t="s">
        <v>23500</v>
      </c>
      <c r="E13393" t="s">
        <v>35868</v>
      </c>
    </row>
    <row r="13394" spans="1:5">
      <c r="A13394" t="s">
        <v>6</v>
      </c>
      <c r="B13394" t="s">
        <v>13399</v>
      </c>
      <c r="C13394">
        <f>HYPERLINK("C:\Users\franc\OneDrive\Documentos\MALENTIN KARIME\BANCO ESTADO\2012 DEPTO ESCRITURAS fata\NOTARIA 2009\COMPAÑIA MINERA PUNITAQUI\SEGUNDO TAPIA.doc", "Abrir Documento")</f>
        <v>0</v>
      </c>
      <c r="D13394" t="s">
        <v>23500</v>
      </c>
      <c r="E13394" t="s">
        <v>35869</v>
      </c>
    </row>
    <row r="13395" spans="1:5">
      <c r="A13395" t="s">
        <v>6</v>
      </c>
      <c r="B13395" t="s">
        <v>13400</v>
      </c>
      <c r="C13395">
        <f>HYPERLINK("C:\Users\franc\OneDrive\Documentos\MALENTIN KARIME\BANCO ESTADO\2012 DEPTO ESCRITURAS fata\NOTARIA 2009\COMPAÑIA MINERA PUNITAQUI\RUPERTO ORTIZ.doc", "Abrir Documento")</f>
        <v>0</v>
      </c>
      <c r="D13395" t="s">
        <v>23500</v>
      </c>
      <c r="E13395" t="s">
        <v>35870</v>
      </c>
    </row>
    <row r="13396" spans="1:5">
      <c r="A13396" t="s">
        <v>6</v>
      </c>
      <c r="B13396" t="s">
        <v>13401</v>
      </c>
      <c r="C13396">
        <f>HYPERLINK("C:\Users\franc\OneDrive\Documentos\MALENTIN KARIME\BANCO ESTADO\2012 DEPTO ESCRITURAS fata\NOTARIA 2009\COMPAÑIA MINERA PUNITAQUI\OPCION COMPRA HERNAN ARAYA FINAL.doc", "Abrir Documento")</f>
        <v>0</v>
      </c>
      <c r="D13396" t="s">
        <v>23500</v>
      </c>
      <c r="E13396" t="s">
        <v>35871</v>
      </c>
    </row>
    <row r="13397" spans="1:5">
      <c r="A13397" t="s">
        <v>6</v>
      </c>
      <c r="B13397" t="s">
        <v>13402</v>
      </c>
      <c r="C13397">
        <f>HYPERLINK("C:\Users\franc\OneDrive\Documentos\MALENTIN KARIME\BANCO ESTADO\2012 DEPTO ESCRITURAS fata\NOTARIA 2009\COMPAÑIA MINERA PUNITAQUI\MODIFICACION SERVIDUMBRE.doc", "Abrir Documento")</f>
        <v>0</v>
      </c>
      <c r="D13397" t="s">
        <v>23500</v>
      </c>
      <c r="E13397" t="s">
        <v>35872</v>
      </c>
    </row>
    <row r="13398" spans="1:5">
      <c r="A13398" t="s">
        <v>6</v>
      </c>
      <c r="B13398" t="s">
        <v>13403</v>
      </c>
      <c r="C13398">
        <f>HYPERLINK("C:\Users\franc\OneDrive\Documentos\MALENTIN KARIME\BANCO ESTADO\2012 DEPTO ESCRITURAS fata\NOTARIA 2009\COMPAÑIA MINERA PUNITAQUI\MANDATO JUDICIAL.doc", "Abrir Documento")</f>
        <v>0</v>
      </c>
      <c r="D13398" t="s">
        <v>23500</v>
      </c>
      <c r="E13398" t="s">
        <v>35873</v>
      </c>
    </row>
    <row r="13399" spans="1:5">
      <c r="A13399" t="s">
        <v>6</v>
      </c>
      <c r="B13399" t="s">
        <v>13404</v>
      </c>
      <c r="C13399">
        <f>HYPERLINK("C:\Users\franc\OneDrive\Documentos\MALENTIN KARIME\BANCO ESTADO\2012 DEPTO ESCRITURAS fata\NOTARIA 2009\COMPAÑIA MINERA PUNITAQUI\JUNTA ACCIONES CINABRIO.doc", "Abrir Documento")</f>
        <v>0</v>
      </c>
      <c r="D13399" t="s">
        <v>23500</v>
      </c>
      <c r="E13399" t="s">
        <v>35874</v>
      </c>
    </row>
    <row r="13400" spans="1:5">
      <c r="A13400" t="s">
        <v>6</v>
      </c>
      <c r="B13400" t="s">
        <v>13405</v>
      </c>
      <c r="C13400">
        <f>HYPERLINK("C:\Users\franc\OneDrive\Documentos\MALENTIN KARIME\BANCO ESTADO\2012 DEPTO ESCRITURAS fata\NOTARIA 2009\COMPAÑIA MINERA PUNITAQUI\Instruciones al Notario servidumbre potrerillo 50.doc", "Abrir Documento")</f>
        <v>0</v>
      </c>
      <c r="D13400" t="s">
        <v>23500</v>
      </c>
      <c r="E13400" t="s">
        <v>35875</v>
      </c>
    </row>
    <row r="13401" spans="1:5">
      <c r="A13401" t="s">
        <v>6</v>
      </c>
      <c r="B13401" t="s">
        <v>13406</v>
      </c>
      <c r="C13401">
        <f>HYPERLINK("C:\Users\franc\OneDrive\Documentos\MALENTIN KARIME\BANCO ESTADO\2012 DEPTO ESCRITURAS fata\NOTARIA 2009\COMPAÑIA MINERA PUNITAQUI\Instruciones al Notario servidumbre potrerillo 198.doc", "Abrir Documento")</f>
        <v>0</v>
      </c>
      <c r="D13401" t="s">
        <v>23500</v>
      </c>
      <c r="E13401" t="s">
        <v>35876</v>
      </c>
    </row>
    <row r="13402" spans="1:5">
      <c r="A13402" t="s">
        <v>6</v>
      </c>
      <c r="B13402" t="s">
        <v>13407</v>
      </c>
      <c r="C13402">
        <f>HYPERLINK("C:\Users\franc\OneDrive\Documentos\MALENTIN KARIME\BANCO ESTADO\2012 DEPTO ESCRITURAS fata\NOTARIA 2009\COMPAÑIA MINERA PUNITAQUI\Instruciones al Notario servidumbre dalmacia 250.doc", "Abrir Documento")</f>
        <v>0</v>
      </c>
      <c r="D13402" t="s">
        <v>23500</v>
      </c>
      <c r="E13402" t="s">
        <v>35877</v>
      </c>
    </row>
    <row r="13403" spans="1:5">
      <c r="A13403" t="s">
        <v>6</v>
      </c>
      <c r="B13403" t="s">
        <v>13408</v>
      </c>
      <c r="C13403">
        <f>HYPERLINK("C:\Users\franc\OneDrive\Documentos\MALENTIN KARIME\BANCO ESTADO\2012 DEPTO ESCRITURAS fata\NOTARIA 2009\COMPAÑIA MINERA PUNITAQUI\HUMBERTO CORTES (SERVIDUMBRE).doc", "Abrir Documento")</f>
        <v>0</v>
      </c>
      <c r="D13403" t="s">
        <v>23500</v>
      </c>
      <c r="E13403" t="s">
        <v>35878</v>
      </c>
    </row>
    <row r="13404" spans="1:5">
      <c r="A13404" t="s">
        <v>6</v>
      </c>
      <c r="B13404" t="s">
        <v>13409</v>
      </c>
      <c r="C13404">
        <f>HYPERLINK("C:\Users\franc\OneDrive\Documentos\MALENTIN KARIME\BANCO ESTADO\2012 DEPTO ESCRITURAS fata\NOTARIA 2009\COMPAÑIA MINERA PUNITAQUI\HUMBERTO CORTES (ARRENDAMIENTO).doc", "Abrir Documento")</f>
        <v>0</v>
      </c>
      <c r="D13404" t="s">
        <v>23500</v>
      </c>
      <c r="E13404" t="s">
        <v>35879</v>
      </c>
    </row>
    <row r="13405" spans="1:5">
      <c r="A13405" t="s">
        <v>6</v>
      </c>
      <c r="B13405" t="s">
        <v>13410</v>
      </c>
      <c r="C13405">
        <f>HYPERLINK("C:\Users\franc\OneDrive\Documentos\MALENTIN KARIME\BANCO ESTADO\2012 DEPTO ESCRITURAS fata\NOTARIA 2009\COMPAÑIA MINERA PUNITAQUI\GUILDA RAMIREZ.doc", "Abrir Documento")</f>
        <v>0</v>
      </c>
      <c r="D13405" t="s">
        <v>23500</v>
      </c>
      <c r="E13405" t="s">
        <v>35880</v>
      </c>
    </row>
    <row r="13406" spans="1:5">
      <c r="A13406" t="s">
        <v>6</v>
      </c>
      <c r="B13406" t="s">
        <v>13411</v>
      </c>
      <c r="C13406">
        <f>HYPERLINK("C:\Users\franc\OneDrive\Documentos\MALENTIN KARIME\BANCO ESTADO\2012 DEPTO ESCRITURAS fata\NOTARIA 2009\COMPAÑIA MINERA PUNITAQUI\EDUARDO ROJAS.doc", "Abrir Documento")</f>
        <v>0</v>
      </c>
      <c r="D13406" t="s">
        <v>23500</v>
      </c>
      <c r="E13406" t="s">
        <v>35881</v>
      </c>
    </row>
    <row r="13407" spans="1:5">
      <c r="A13407" t="s">
        <v>6</v>
      </c>
      <c r="B13407" t="s">
        <v>13412</v>
      </c>
      <c r="C13407">
        <f>HYPERLINK("C:\Users\franc\OneDrive\Documentos\MALENTIN KARIME\BANCO ESTADO\2012 DEPTO ESCRITURAS fata\NOTARIA 2009\COMPAÑIA MINERA PUNITAQUI\Doc1.doc", "Abrir Documento")</f>
        <v>0</v>
      </c>
      <c r="D13407" t="s">
        <v>23500</v>
      </c>
      <c r="E13407" t="s">
        <v>35882</v>
      </c>
    </row>
    <row r="13408" spans="1:5">
      <c r="A13408" t="s">
        <v>6</v>
      </c>
      <c r="B13408" t="s">
        <v>13413</v>
      </c>
      <c r="C13408">
        <f>HYPERLINK("C:\Users\franc\OneDrive\Documentos\MALENTIN KARIME\BANCO ESTADO\2012 DEPTO ESCRITURAS fata\NOTARIA 2009\COMPAÑIA MINERA PUNITAQUI\DECLARACION Y MANDATO.doc", "Abrir Documento")</f>
        <v>0</v>
      </c>
      <c r="D13408" t="s">
        <v>23500</v>
      </c>
      <c r="E13408" t="s">
        <v>35883</v>
      </c>
    </row>
    <row r="13409" spans="1:5">
      <c r="A13409" t="s">
        <v>6</v>
      </c>
      <c r="B13409" t="s">
        <v>13414</v>
      </c>
      <c r="C13409">
        <f>HYPERLINK("C:\Users\franc\OneDrive\Documentos\MALENTIN KARIME\BANCO ESTADO\2012 DEPTO ESCRITURAS fata\NOTARIA 2009\COMPAÑIA MINERA PUNITAQUI\COMUNIDAD POTRERILLOS DIC. 2007.doc", "Abrir Documento")</f>
        <v>0</v>
      </c>
      <c r="D13409" t="s">
        <v>23500</v>
      </c>
      <c r="E13409" t="s">
        <v>35884</v>
      </c>
    </row>
    <row r="13410" spans="1:5">
      <c r="A13410" t="s">
        <v>6</v>
      </c>
      <c r="B13410" t="s">
        <v>13415</v>
      </c>
      <c r="C13410">
        <f>HYPERLINK("C:\Users\franc\OneDrive\Documentos\MALENTIN KARIME\BANCO ESTADO\2012 DEPTO ESCRITURAS fata\NOTARIA 2009\COMPAÑIA MINERA PUNITAQUI\COMUNIDAD POTRERILLO ALTO (2).doc", "Abrir Documento")</f>
        <v>0</v>
      </c>
      <c r="D13410" t="s">
        <v>23500</v>
      </c>
      <c r="E13410" t="s">
        <v>35885</v>
      </c>
    </row>
    <row r="13411" spans="1:5">
      <c r="A13411" t="s">
        <v>6</v>
      </c>
      <c r="B13411" t="s">
        <v>13416</v>
      </c>
      <c r="C13411">
        <f>HYPERLINK("C:\Users\franc\OneDrive\Documentos\MALENTIN KARIME\BANCO ESTADO\2012 DEPTO ESCRITURAS fata\NOTARIA 2009\COMPAÑIA MINERA PUNITAQUI\CIA MINERA PUNITAQUI A ANGELICA MIÑO.doc", "Abrir Documento")</f>
        <v>0</v>
      </c>
      <c r="D13411" t="s">
        <v>23500</v>
      </c>
      <c r="E13411" t="s">
        <v>35886</v>
      </c>
    </row>
    <row r="13412" spans="1:5">
      <c r="A13412" t="s">
        <v>6</v>
      </c>
      <c r="B13412" t="s">
        <v>13417</v>
      </c>
      <c r="C13412">
        <f>HYPERLINK("C:\Users\franc\OneDrive\Documentos\MALENTIN KARIME\BANCO ESTADO\2012 DEPTO ESCRITURAS fata\NOTARIA 2009\COMPAÑIA MINERA PUNITAQUI\AUTORIZACION (FREDY BUSTOS).doc", "Abrir Documento")</f>
        <v>0</v>
      </c>
      <c r="D13412" t="s">
        <v>23500</v>
      </c>
      <c r="E13412" t="s">
        <v>35887</v>
      </c>
    </row>
    <row r="13413" spans="1:5">
      <c r="A13413" t="s">
        <v>6</v>
      </c>
      <c r="B13413" t="s">
        <v>13418</v>
      </c>
      <c r="C13413">
        <f>HYPERLINK("C:\Users\franc\OneDrive\Documentos\MALENTIN KARIME\BANCO ESTADO\2012 DEPTO ESCRITURAS fata\NOTARIA 2009\COMPAÑIA MINERA PUNITAQUI\AMELIA ORTIZ.doc", "Abrir Documento")</f>
        <v>0</v>
      </c>
      <c r="D13413" t="s">
        <v>23500</v>
      </c>
      <c r="E13413" t="s">
        <v>35888</v>
      </c>
    </row>
    <row r="13414" spans="1:5">
      <c r="A13414" t="s">
        <v>6</v>
      </c>
      <c r="B13414" t="s">
        <v>13419</v>
      </c>
      <c r="C13414">
        <f>HYPERLINK("C:\Users\franc\OneDrive\Documentos\MALENTIN KARIME\BANCO ESTADO\2012 DEPTO ESCRITURAS fata\NOTARIA 2009\COMPAÑIA MINERA PUNITAQUI\ALEJANDRO VALDES (PROMSA Y MANDATO).doc", "Abrir Documento")</f>
        <v>0</v>
      </c>
      <c r="D13414" t="s">
        <v>23500</v>
      </c>
      <c r="E13414" t="s">
        <v>35889</v>
      </c>
    </row>
    <row r="13415" spans="1:5">
      <c r="A13415" t="s">
        <v>6</v>
      </c>
      <c r="B13415" t="s">
        <v>13420</v>
      </c>
      <c r="C13415">
        <f>HYPERLINK("C:\Users\franc\OneDrive\Documentos\MALENTIN KARIME\BANCO ESTADO\2012 DEPTO ESCRITURAS fata\NOTARIA 2009\COMODATO\COMUNIDAD AGRICOLA BARRAZA A COMITE AGUA RURAL.doc", "Abrir Documento")</f>
        <v>0</v>
      </c>
      <c r="D13415" t="s">
        <v>23500</v>
      </c>
      <c r="E13415" t="s">
        <v>35890</v>
      </c>
    </row>
    <row r="13416" spans="1:5">
      <c r="A13416" t="s">
        <v>6</v>
      </c>
      <c r="B13416" t="s">
        <v>13421</v>
      </c>
      <c r="C13416">
        <f>HYPERLINK("C:\Users\franc\OneDrive\Documentos\MALENTIN KARIME\BANCO ESTADO\2012 DEPTO ESCRITURAS fata\NOTARIA 2009\COMODATO\COMUNIDAD AGRICOLA ALCONES A GRICELDA VEGA.doc", "Abrir Documento")</f>
        <v>0</v>
      </c>
      <c r="D13416" t="s">
        <v>23500</v>
      </c>
      <c r="E13416" t="s">
        <v>35891</v>
      </c>
    </row>
    <row r="13417" spans="1:5">
      <c r="A13417" t="s">
        <v>6</v>
      </c>
      <c r="B13417" t="s">
        <v>13422</v>
      </c>
      <c r="C13417">
        <f>HYPERLINK("C:\Users\franc\OneDrive\Documentos\MALENTIN KARIME\BANCO ESTADO\2012 DEPTO ESCRITURAS fata\NOTARIA 2009\COMODATO\COMUNIDAD AGRICOLA ALCONES A COMITE DE ADELANTO LAS TORCAZAS.doc", "Abrir Documento")</f>
        <v>0</v>
      </c>
      <c r="D13417" t="s">
        <v>23500</v>
      </c>
      <c r="E13417" t="s">
        <v>35892</v>
      </c>
    </row>
    <row r="13418" spans="1:5">
      <c r="A13418" t="s">
        <v>6</v>
      </c>
      <c r="B13418" t="s">
        <v>13423</v>
      </c>
      <c r="C13418">
        <f>HYPERLINK("C:\Users\franc\OneDrive\Documentos\MALENTIN KARIME\BANCO ESTADO\2012 DEPTO ESCRITURAS fata\NOTARIA 2009\COMITE VILLA EL TIGRE\MODELO PROTOCOLIZADO.doc", "Abrir Documento")</f>
        <v>0</v>
      </c>
      <c r="D13418" t="s">
        <v>23500</v>
      </c>
      <c r="E13418" t="s">
        <v>35893</v>
      </c>
    </row>
    <row r="13419" spans="1:5">
      <c r="A13419" t="s">
        <v>6</v>
      </c>
      <c r="B13419" t="s">
        <v>13424</v>
      </c>
      <c r="C13419">
        <f>HYPERLINK("C:\Users\franc\OneDrive\Documentos\MALENTIN KARIME\BANCO ESTADO\2012 DEPTO ESCRITURAS fata\NOTARIA 2009\COMITE VILLA EL TIGRE\MODELO PROT.doc", "Abrir Documento")</f>
        <v>0</v>
      </c>
      <c r="D13419" t="s">
        <v>23500</v>
      </c>
      <c r="E13419" t="s">
        <v>35894</v>
      </c>
    </row>
    <row r="13420" spans="1:5">
      <c r="A13420" t="s">
        <v>6</v>
      </c>
      <c r="B13420" t="s">
        <v>13425</v>
      </c>
      <c r="C13420">
        <f>HYPERLINK("C:\Users\franc\OneDrive\Documentos\MALENTIN KARIME\BANCO ESTADO\2012 DEPTO ESCRITURAS fata\NOTARIA 2009\COMASA\PERMUTA Y SERVIDUMBRE JORGE OLIVARES.doc", "Abrir Documento")</f>
        <v>0</v>
      </c>
      <c r="D13420" t="s">
        <v>23500</v>
      </c>
      <c r="E13420" t="s">
        <v>35895</v>
      </c>
    </row>
    <row r="13421" spans="1:5">
      <c r="A13421" t="s">
        <v>6</v>
      </c>
      <c r="B13421" t="s">
        <v>13426</v>
      </c>
      <c r="C13421">
        <f>HYPERLINK("C:\Users\franc\OneDrive\Documentos\MALENTIN KARIME\BANCO ESTADO\2012 DEPTO ESCRITURAS fata\NOTARIA 2009\COMASA\PERMUTA FINAL OLIVARES (1 VEZ).doc", "Abrir Documento")</f>
        <v>0</v>
      </c>
      <c r="D13421" t="s">
        <v>23500</v>
      </c>
      <c r="E13421" t="s">
        <v>35896</v>
      </c>
    </row>
    <row r="13422" spans="1:5">
      <c r="A13422" t="s">
        <v>6</v>
      </c>
      <c r="B13422" t="s">
        <v>13427</v>
      </c>
      <c r="C13422">
        <f>HYPERLINK("C:\Users\franc\OneDrive\Documentos\MALENTIN KARIME\BANCO ESTADO\2012 DEPTO ESCRITURAS fata\NOTARIA 2009\COMASA\PERMUTA FINAL 17-08-2006.doc", "Abrir Documento")</f>
        <v>0</v>
      </c>
      <c r="D13422" t="s">
        <v>23500</v>
      </c>
      <c r="E13422" t="s">
        <v>35897</v>
      </c>
    </row>
    <row r="13423" spans="1:5">
      <c r="A13423" t="s">
        <v>6</v>
      </c>
      <c r="B13423" t="s">
        <v>13428</v>
      </c>
      <c r="C13423">
        <f>HYPERLINK("C:\Users\franc\OneDrive\Documentos\MALENTIN KARIME\BANCO ESTADO\2012 DEPTO ESCRITURAS fata\NOTARIA 2009\COLOMBRES\CARTA DE INSTRUCCIONES.doc", "Abrir Documento")</f>
        <v>0</v>
      </c>
      <c r="D13423" t="s">
        <v>23500</v>
      </c>
      <c r="E13423" t="s">
        <v>35898</v>
      </c>
    </row>
    <row r="13424" spans="1:5">
      <c r="A13424" t="s">
        <v>6</v>
      </c>
      <c r="B13424" t="s">
        <v>13429</v>
      </c>
      <c r="C13424">
        <f>HYPERLINK("C:\Users\franc\OneDrive\Documentos\MALENTIN KARIME\BANCO ESTADO\2012 DEPTO ESCRITURAS fata\NOTARIA 2009\COLOMBRES\CARTA DE INSTRUCCIONES 2.doc", "Abrir Documento")</f>
        <v>0</v>
      </c>
      <c r="D13424" t="s">
        <v>23500</v>
      </c>
      <c r="E13424" t="s">
        <v>35899</v>
      </c>
    </row>
    <row r="13425" spans="1:5">
      <c r="A13425" t="s">
        <v>6</v>
      </c>
      <c r="B13425" t="s">
        <v>13430</v>
      </c>
      <c r="C13425">
        <f>HYPERLINK("C:\Users\franc\OneDrive\Documentos\MALENTIN KARIME\BANCO ESTADO\2012 DEPTO ESCRITURAS fata\NOTARIA 2009\COLOMBRES\CARLOS BROWNE A ELIZABETH ROBLES.doc", "Abrir Documento")</f>
        <v>0</v>
      </c>
      <c r="D13425" t="s">
        <v>23500</v>
      </c>
      <c r="E13425" t="s">
        <v>35900</v>
      </c>
    </row>
    <row r="13426" spans="1:5">
      <c r="A13426" t="s">
        <v>6</v>
      </c>
      <c r="B13426" t="s">
        <v>13431</v>
      </c>
      <c r="C13426">
        <f>HYPERLINK("C:\Users\franc\OneDrive\Documentos\MALENTIN KARIME\BANCO ESTADO\2012 DEPTO ESCRITURAS fata\NOTARIA 2009\COLOMBRES\CARLOS BROWNE A ELIZABETH ROBLES  2.doc", "Abrir Documento")</f>
        <v>0</v>
      </c>
      <c r="D13426" t="s">
        <v>23500</v>
      </c>
      <c r="E13426" t="s">
        <v>35901</v>
      </c>
    </row>
    <row r="13427" spans="1:5">
      <c r="A13427" t="s">
        <v>6</v>
      </c>
      <c r="B13427" t="s">
        <v>13432</v>
      </c>
      <c r="C13427">
        <f>HYPERLINK("C:\Users\franc\OneDrive\Documentos\MALENTIN KARIME\BANCO ESTADO\2012 DEPTO ESCRITURAS fata\NOTARIA 2009\CLAUDIO MORGADO\SOCIEDAD DMO.doc", "Abrir Documento")</f>
        <v>0</v>
      </c>
      <c r="D13427" t="s">
        <v>23500</v>
      </c>
      <c r="E13427" t="s">
        <v>35902</v>
      </c>
    </row>
    <row r="13428" spans="1:5">
      <c r="A13428" t="s">
        <v>6</v>
      </c>
      <c r="B13428" t="s">
        <v>13433</v>
      </c>
      <c r="C13428">
        <f>HYPERLINK("C:\Users\franc\OneDrive\Documentos\MALENTIN KARIME\BANCO ESTADO\2012 DEPTO ESCRITURAS fata\NOTARIA 2009\CLAUDIO MORGADO\MAURO MANFREDI A KARINA MANFREDI (DERECHOS).doc", "Abrir Documento")</f>
        <v>0</v>
      </c>
      <c r="D13428" t="s">
        <v>23500</v>
      </c>
      <c r="E13428" t="s">
        <v>35903</v>
      </c>
    </row>
    <row r="13429" spans="1:5">
      <c r="A13429" t="s">
        <v>6</v>
      </c>
      <c r="B13429" t="s">
        <v>13434</v>
      </c>
      <c r="C13429">
        <f>HYPERLINK("C:\Users\franc\OneDrive\Documentos\MALENTIN KARIME\BANCO ESTADO\2012 DEPTO ESCRITURAS fata\NOTARIA 2009\CLAUDIO MORGADO\MANDATO GENERAL DMO.doc", "Abrir Documento")</f>
        <v>0</v>
      </c>
      <c r="D13429" t="s">
        <v>23500</v>
      </c>
      <c r="E13429" t="s">
        <v>35904</v>
      </c>
    </row>
    <row r="13430" spans="1:5">
      <c r="A13430" t="s">
        <v>6</v>
      </c>
      <c r="B13430" t="s">
        <v>13435</v>
      </c>
      <c r="C13430">
        <f>HYPERLINK("C:\Users\franc\OneDrive\Documentos\MALENTIN KARIME\BANCO ESTADO\2012 DEPTO ESCRITURAS fata\NOTARIA 2009\CLAUDIO MORGADO\Extracto Modif AGROVAL S.A..doc", "Abrir Documento")</f>
        <v>0</v>
      </c>
      <c r="D13430" t="s">
        <v>23500</v>
      </c>
      <c r="E13430" t="s">
        <v>35905</v>
      </c>
    </row>
    <row r="13431" spans="1:5">
      <c r="A13431" t="s">
        <v>6</v>
      </c>
      <c r="B13431" t="s">
        <v>13436</v>
      </c>
      <c r="C13431">
        <f>HYPERLINK("C:\Users\franc\OneDrive\Documentos\MALENTIN KARIME\BANCO ESTADO\2012 DEPTO ESCRITURAS fata\NOTARIA 2009\CLAUDIO MORGADO\COMODATO CIA. DEMETRIO TELLO.doc", "Abrir Documento")</f>
        <v>0</v>
      </c>
      <c r="D13431" t="s">
        <v>23500</v>
      </c>
      <c r="E13431" t="s">
        <v>35906</v>
      </c>
    </row>
    <row r="13432" spans="1:5">
      <c r="A13432" t="s">
        <v>6</v>
      </c>
      <c r="B13432" t="s">
        <v>13437</v>
      </c>
      <c r="C13432">
        <f>HYPERLINK("C:\Users\franc\OneDrive\Documentos\MALENTIN KARIME\BANCO ESTADO\2012 DEPTO ESCRITURAS fata\NOTARIA 2009\CLAUDIO MORGADO\AGUIRRE CHARLON.doc", "Abrir Documento")</f>
        <v>0</v>
      </c>
      <c r="D13432" t="s">
        <v>23500</v>
      </c>
      <c r="E13432" t="s">
        <v>35907</v>
      </c>
    </row>
    <row r="13433" spans="1:5">
      <c r="A13433" t="s">
        <v>6</v>
      </c>
      <c r="B13433" t="s">
        <v>13438</v>
      </c>
      <c r="C13433">
        <f>HYPERLINK("C:\Users\franc\OneDrive\Documentos\MALENTIN KARIME\BANCO ESTADO\2012 DEPTO ESCRITURAS fata\NOTARIA 2009\CLAUDIO MARCHANT\ISMELDA MILLA A SOC. CONTRACTUAL MINERA.doc", "Abrir Documento")</f>
        <v>0</v>
      </c>
      <c r="D13433" t="s">
        <v>23500</v>
      </c>
      <c r="E13433" t="s">
        <v>35908</v>
      </c>
    </row>
    <row r="13434" spans="1:5">
      <c r="A13434" t="s">
        <v>6</v>
      </c>
      <c r="B13434" t="s">
        <v>13439</v>
      </c>
      <c r="C13434">
        <f>HYPERLINK("C:\Users\franc\OneDrive\Documentos\MALENTIN KARIME\BANCO ESTADO\2012 DEPTO ESCRITURAS fata\NOTARIA 2009\CLAUDIO CASTILLO\MARIANO_DIAZ_A_AGRICOLA_LLANO_NEGRO_20062009_PARA_CORREGIR[1].doc", "Abrir Documento")</f>
        <v>0</v>
      </c>
      <c r="D13434" t="s">
        <v>23500</v>
      </c>
      <c r="E13434" t="s">
        <v>35909</v>
      </c>
    </row>
    <row r="13435" spans="1:5">
      <c r="A13435" t="s">
        <v>6</v>
      </c>
      <c r="B13435" t="s">
        <v>13440</v>
      </c>
      <c r="C13435">
        <f>HYPERLINK("C:\Users\franc\OneDrive\Documentos\MALENTIN KARIME\BANCO ESTADO\2012 DEPTO ESCRITURAS fata\NOTARIA 2009\CLAUDIO ARDILES\transacción.doc", "Abrir Documento")</f>
        <v>0</v>
      </c>
      <c r="D13435" t="s">
        <v>23500</v>
      </c>
      <c r="E13435" t="s">
        <v>35910</v>
      </c>
    </row>
    <row r="13436" spans="1:5">
      <c r="A13436" t="s">
        <v>6</v>
      </c>
      <c r="B13436" t="s">
        <v>13441</v>
      </c>
      <c r="C13436">
        <f>HYPERLINK("C:\Users\franc\OneDrive\Documentos\MALENTIN KARIME\BANCO ESTADO\2012 DEPTO ESCRITURAS fata\NOTARIA 2009\CLAUDIO ARDILES\transacción arnaldo-rosa.doc", "Abrir Documento")</f>
        <v>0</v>
      </c>
      <c r="D13436" t="s">
        <v>23500</v>
      </c>
      <c r="E13436" t="s">
        <v>35911</v>
      </c>
    </row>
    <row r="13437" spans="1:5">
      <c r="A13437" t="s">
        <v>6</v>
      </c>
      <c r="B13437" t="s">
        <v>13442</v>
      </c>
      <c r="C13437">
        <f>HYPERLINK("C:\Users\franc\OneDrive\Documentos\MALENTIN KARIME\BANCO ESTADO\2012 DEPTO ESCRITURAS fata\NOTARIA 2009\CLAUDIO ARDILES\TRANSACCION   FINAL CON CORRECCION.doc", "Abrir Documento")</f>
        <v>0</v>
      </c>
      <c r="D13437" t="s">
        <v>23500</v>
      </c>
      <c r="E13437" t="s">
        <v>35912</v>
      </c>
    </row>
    <row r="13438" spans="1:5">
      <c r="A13438" t="s">
        <v>6</v>
      </c>
      <c r="B13438" t="s">
        <v>13443</v>
      </c>
      <c r="C13438">
        <f>HYPERLINK("C:\Users\franc\OneDrive\Documentos\MALENTIN KARIME\BANCO ESTADO\2012 DEPTO ESCRITURAS fata\NOTARIA 2009\CLAUDIO ARDILES\TECNOCITRUS.doc", "Abrir Documento")</f>
        <v>0</v>
      </c>
      <c r="D13438" t="s">
        <v>23500</v>
      </c>
      <c r="E13438" t="s">
        <v>35913</v>
      </c>
    </row>
    <row r="13439" spans="1:5">
      <c r="A13439" t="s">
        <v>6</v>
      </c>
      <c r="B13439" t="s">
        <v>13444</v>
      </c>
      <c r="C13439">
        <f>HYPERLINK("C:\Users\franc\OneDrive\Documentos\MALENTIN KARIME\BANCO ESTADO\2012 DEPTO ESCRITURAS fata\NOTARIA 2009\CLAUDIO ARDILES\SOCIEDAD MARCELO Y LEONARDO CORRRAL Y CIA.doc", "Abrir Documento")</f>
        <v>0</v>
      </c>
      <c r="D13439" t="s">
        <v>23500</v>
      </c>
      <c r="E13439" t="s">
        <v>35914</v>
      </c>
    </row>
    <row r="13440" spans="1:5">
      <c r="A13440" t="s">
        <v>6</v>
      </c>
      <c r="B13440" t="s">
        <v>13445</v>
      </c>
      <c r="C13440">
        <f>HYPERLINK("C:\Users\franc\OneDrive\Documentos\MALENTIN KARIME\BANCO ESTADO\2012 DEPTO ESCRITURAS fata\NOTARIA 2009\CLAUDIO ARDILES\SOC. MARCELO Y LEONARDO (FINAL).doc", "Abrir Documento")</f>
        <v>0</v>
      </c>
      <c r="D13440" t="s">
        <v>23500</v>
      </c>
      <c r="E13440" t="s">
        <v>35915</v>
      </c>
    </row>
    <row r="13441" spans="1:5">
      <c r="A13441" t="s">
        <v>6</v>
      </c>
      <c r="B13441" t="s">
        <v>13446</v>
      </c>
      <c r="C13441">
        <f>HYPERLINK("C:\Users\franc\OneDrive\Documentos\MALENTIN KARIME\BANCO ESTADO\2012 DEPTO ESCRITURAS fata\NOTARIA 2009\CLAUDIO ARDILES\SOC. COLECTIVA BERNARDO SANTANDER Y OTRA.doc", "Abrir Documento")</f>
        <v>0</v>
      </c>
      <c r="D13441" t="s">
        <v>23500</v>
      </c>
      <c r="E13441" t="s">
        <v>35916</v>
      </c>
    </row>
    <row r="13442" spans="1:5">
      <c r="A13442" t="s">
        <v>6</v>
      </c>
      <c r="B13442" t="s">
        <v>13447</v>
      </c>
      <c r="C13442">
        <f>HYPERLINK("C:\Users\franc\OneDrive\Documentos\MALENTIN KARIME\BANCO ESTADO\2012 DEPTO ESCRITURAS fata\NOTARIA 2009\CLAUDIO ARDILES\SLM EL DORADO Y OTROS A LEONEL ZAPATA (JUNIO 2009).doc", "Abrir Documento")</f>
        <v>0</v>
      </c>
      <c r="D13442" t="s">
        <v>23500</v>
      </c>
      <c r="E13442" t="s">
        <v>35917</v>
      </c>
    </row>
    <row r="13443" spans="1:5">
      <c r="A13443" t="s">
        <v>6</v>
      </c>
      <c r="B13443" t="s">
        <v>13448</v>
      </c>
      <c r="C13443">
        <f>HYPERLINK("C:\Users\franc\OneDrive\Documentos\MALENTIN KARIME\BANCO ESTADO\2012 DEPTO ESCRITURAS fata\NOTARIA 2009\CLAUDIO ARDILES\SERGIO VALDERRAMA A CLAUDIO ARDILES  (Man.  jud).doc", "Abrir Documento")</f>
        <v>0</v>
      </c>
      <c r="D13443" t="s">
        <v>23500</v>
      </c>
      <c r="E13443" t="s">
        <v>35918</v>
      </c>
    </row>
    <row r="13444" spans="1:5">
      <c r="A13444" t="s">
        <v>6</v>
      </c>
      <c r="B13444" t="s">
        <v>13449</v>
      </c>
      <c r="C13444">
        <f>HYPERLINK("C:\Users\franc\OneDrive\Documentos\MALENTIN KARIME\BANCO ESTADO\2012 DEPTO ESCRITURAS fata\NOTARIA 2009\CLAUDIO ARDILES\SELIM DABED Y OTROS A CLAUDIO ARDILES (MANDATO JUDICIAL).doc", "Abrir Documento")</f>
        <v>0</v>
      </c>
      <c r="D13444" t="s">
        <v>23500</v>
      </c>
      <c r="E13444" t="s">
        <v>35919</v>
      </c>
    </row>
    <row r="13445" spans="1:5">
      <c r="A13445" t="s">
        <v>6</v>
      </c>
      <c r="B13445" t="s">
        <v>13450</v>
      </c>
      <c r="C13445">
        <f>HYPERLINK("C:\Users\franc\OneDrive\Documentos\MALENTIN KARIME\BANCO ESTADO\2012 DEPTO ESCRITURAS fata\NOTARIA 2009\CLAUDIO ARDILES\SELIM DABED (RENUNCIA DE USUFRUCTO -.doc", "Abrir Documento")</f>
        <v>0</v>
      </c>
      <c r="D13445" t="s">
        <v>23500</v>
      </c>
      <c r="E13445" t="s">
        <v>35920</v>
      </c>
    </row>
    <row r="13446" spans="1:5">
      <c r="A13446" t="s">
        <v>6</v>
      </c>
      <c r="B13446" t="s">
        <v>13451</v>
      </c>
      <c r="C13446">
        <f>HYPERLINK("C:\Users\franc\OneDrive\Documentos\MALENTIN KARIME\BANCO ESTADO\2012 DEPTO ESCRITURAS fata\NOTARIA 2009\CLAUDIO ARDILES\ROSA PIZARRO Y OTROS A SONIA GALLEGUILLOS.doc", "Abrir Documento")</f>
        <v>0</v>
      </c>
      <c r="D13446" t="s">
        <v>23500</v>
      </c>
      <c r="E13446" t="s">
        <v>35921</v>
      </c>
    </row>
    <row r="13447" spans="1:5">
      <c r="A13447" t="s">
        <v>6</v>
      </c>
      <c r="B13447" t="s">
        <v>13452</v>
      </c>
      <c r="C13447">
        <f>HYPERLINK("C:\Users\franc\OneDrive\Documentos\MALENTIN KARIME\BANCO ESTADO\2012 DEPTO ESCRITURAS fata\NOTARIA 2009\CLAUDIO ARDILES\rodrigo tello a tellcor.doc", "Abrir Documento")</f>
        <v>0</v>
      </c>
      <c r="D13447" t="s">
        <v>23500</v>
      </c>
      <c r="E13447" t="s">
        <v>35922</v>
      </c>
    </row>
    <row r="13448" spans="1:5">
      <c r="A13448" t="s">
        <v>6</v>
      </c>
      <c r="B13448" t="s">
        <v>13453</v>
      </c>
      <c r="C13448">
        <f>HYPERLINK("C:\Users\franc\OneDrive\Documentos\MALENTIN KARIME\BANCO ESTADO\2012 DEPTO ESCRITURAS fata\NOTARIA 2009\CLAUDIO ARDILES\RICARDO CORRAL A CLAUDIO ARDILES Y OTRO (MANDATO JUD).doc", "Abrir Documento")</f>
        <v>0</v>
      </c>
      <c r="D13448" t="s">
        <v>23500</v>
      </c>
      <c r="E13448" t="s">
        <v>35923</v>
      </c>
    </row>
    <row r="13449" spans="1:5">
      <c r="A13449" t="s">
        <v>6</v>
      </c>
      <c r="B13449" t="s">
        <v>13454</v>
      </c>
      <c r="C13449">
        <f>HYPERLINK("C:\Users\franc\OneDrive\Documentos\MALENTIN KARIME\BANCO ESTADO\2012 DEPTO ESCRITURAS fata\NOTARIA 2009\CLAUDIO ARDILES\RENTA E INVERSIONES LAGUNA AZUL A TELLCOR.doc", "Abrir Documento")</f>
        <v>0</v>
      </c>
      <c r="D13449" t="s">
        <v>23500</v>
      </c>
      <c r="E13449" t="s">
        <v>35924</v>
      </c>
    </row>
    <row r="13450" spans="1:5">
      <c r="A13450" t="s">
        <v>6</v>
      </c>
      <c r="B13450" t="s">
        <v>13455</v>
      </c>
      <c r="C13450">
        <f>HYPERLINK("C:\Users\franc\OneDrive\Documentos\MALENTIN KARIME\BANCO ESTADO\2012 DEPTO ESCRITURAS fata\NOTARIA 2009\CLAUDIO ARDILES\REDUCCION ACTA JUNTA ACC. EL DORADO (JUNIO 22).doc", "Abrir Documento")</f>
        <v>0</v>
      </c>
      <c r="D13450" t="s">
        <v>23500</v>
      </c>
      <c r="E13450" t="s">
        <v>35925</v>
      </c>
    </row>
    <row r="13451" spans="1:5">
      <c r="A13451" t="s">
        <v>6</v>
      </c>
      <c r="B13451" t="s">
        <v>13456</v>
      </c>
      <c r="C13451">
        <f>HYPERLINK("C:\Users\franc\OneDrive\Documentos\MALENTIN KARIME\BANCO ESTADO\2012 DEPTO ESCRITURAS fata\NOTARIA 2009\CLAUDIO ARDILES\PROTOCOLIZACION PERMISO NOTARIO.doc", "Abrir Documento")</f>
        <v>0</v>
      </c>
      <c r="D13451" t="s">
        <v>23500</v>
      </c>
      <c r="E13451" t="s">
        <v>35926</v>
      </c>
    </row>
    <row r="13452" spans="1:5">
      <c r="A13452" t="s">
        <v>6</v>
      </c>
      <c r="B13452" t="s">
        <v>13457</v>
      </c>
      <c r="C13452">
        <f>HYPERLINK("C:\Users\franc\OneDrive\Documentos\MALENTIN KARIME\BANCO ESTADO\2012 DEPTO ESCRITURAS fata\NOTARIA 2009\CLAUDIO ARDILES\PROMESA VENTA PERSONAL.doc", "Abrir Documento")</f>
        <v>0</v>
      </c>
      <c r="D13452" t="s">
        <v>23500</v>
      </c>
      <c r="E13452" t="s">
        <v>35927</v>
      </c>
    </row>
    <row r="13453" spans="1:5">
      <c r="A13453" t="s">
        <v>6</v>
      </c>
      <c r="B13453" t="s">
        <v>13458</v>
      </c>
      <c r="C13453">
        <f>HYPERLINK("C:\Users\franc\OneDrive\Documentos\MALENTIN KARIME\BANCO ESTADO\2012 DEPTO ESCRITURAS fata\NOTARIA 2009\CLAUDIO ARDILES\PARTICION HOEFTER.doc", "Abrir Documento")</f>
        <v>0</v>
      </c>
      <c r="D13453" t="s">
        <v>23500</v>
      </c>
      <c r="E13453" t="s">
        <v>35928</v>
      </c>
    </row>
    <row r="13454" spans="1:5">
      <c r="A13454" t="s">
        <v>6</v>
      </c>
      <c r="B13454" t="s">
        <v>13459</v>
      </c>
      <c r="C13454">
        <f>HYPERLINK("C:\Users\franc\OneDrive\Documentos\MALENTIN KARIME\BANCO ESTADO\2012 DEPTO ESCRITURAS fata\NOTARIA 2009\CLAUDIO ARDILES\MAVIS ALVAREZ Y OTROS A LEONEL ZAPATA.doc", "Abrir Documento")</f>
        <v>0</v>
      </c>
      <c r="D13454" t="s">
        <v>23500</v>
      </c>
      <c r="E13454" t="s">
        <v>35929</v>
      </c>
    </row>
    <row r="13455" spans="1:5">
      <c r="A13455" t="s">
        <v>6</v>
      </c>
      <c r="B13455" t="s">
        <v>13460</v>
      </c>
      <c r="C13455">
        <f>HYPERLINK("C:\Users\franc\OneDrive\Documentos\MALENTIN KARIME\BANCO ESTADO\2012 DEPTO ESCRITURAS fata\NOTARIA 2009\CLAUDIO ARDILES\MAVIS ALVAREZ Y OTROS A LEONEL ZAPATA (CONTRATO REVISADO).doc", "Abrir Documento")</f>
        <v>0</v>
      </c>
      <c r="D13455" t="s">
        <v>23500</v>
      </c>
      <c r="E13455" t="s">
        <v>35930</v>
      </c>
    </row>
    <row r="13456" spans="1:5">
      <c r="A13456" t="s">
        <v>6</v>
      </c>
      <c r="B13456" t="s">
        <v>13461</v>
      </c>
      <c r="C13456">
        <f>HYPERLINK("C:\Users\franc\OneDrive\Documentos\MALENTIN KARIME\BANCO ESTADO\2012 DEPTO ESCRITURAS fata\NOTARIA 2009\CLAUDIO ARDILES\MAVIS ALVAREZ (MANDATO JUDICIAL A LUCIANO SARMIENTO).doc", "Abrir Documento")</f>
        <v>0</v>
      </c>
      <c r="D13456" t="s">
        <v>23500</v>
      </c>
      <c r="E13456" t="s">
        <v>35931</v>
      </c>
    </row>
    <row r="13457" spans="1:5">
      <c r="A13457" t="s">
        <v>6</v>
      </c>
      <c r="B13457" t="s">
        <v>13462</v>
      </c>
      <c r="C13457">
        <f>HYPERLINK("C:\Users\franc\OneDrive\Documentos\MALENTIN KARIME\BANCO ESTADO\2012 DEPTO ESCRITURAS fata\NOTARIA 2009\CLAUDIO ARDILES\MARIO LUNA  (MANDATO JUDICIAL A LUCIANO SARMIENTO).doc", "Abrir Documento")</f>
        <v>0</v>
      </c>
      <c r="D13457" t="s">
        <v>23500</v>
      </c>
      <c r="E13457" t="s">
        <v>35932</v>
      </c>
    </row>
    <row r="13458" spans="1:5">
      <c r="A13458" t="s">
        <v>6</v>
      </c>
      <c r="B13458" t="s">
        <v>13463</v>
      </c>
      <c r="C13458">
        <f>HYPERLINK("C:\Users\franc\OneDrive\Documentos\MALENTIN KARIME\BANCO ESTADO\2012 DEPTO ESCRITURAS fata\NOTARIA 2009\CLAUDIO ARDILES\MARCELO CORRAL Y OTRO A CLAUDIO ARDILES (MANDATO ).doc", "Abrir Documento")</f>
        <v>0</v>
      </c>
      <c r="D13458" t="s">
        <v>23500</v>
      </c>
      <c r="E13458" t="s">
        <v>35933</v>
      </c>
    </row>
    <row r="13459" spans="1:5">
      <c r="A13459" t="s">
        <v>6</v>
      </c>
      <c r="B13459" t="s">
        <v>13464</v>
      </c>
      <c r="C13459">
        <f>HYPERLINK("C:\Users\franc\OneDrive\Documentos\MALENTIN KARIME\BANCO ESTADO\2012 DEPTO ESCRITURAS fata\NOTARIA 2009\CLAUDIO ARDILES\MARCELO CORRAL A CLAUDIO ARDILES Y OTR.doc", "Abrir Documento")</f>
        <v>0</v>
      </c>
      <c r="D13459" t="s">
        <v>23500</v>
      </c>
      <c r="E13459" t="s">
        <v>35934</v>
      </c>
    </row>
    <row r="13460" spans="1:5">
      <c r="A13460" t="s">
        <v>6</v>
      </c>
      <c r="B13460" t="s">
        <v>13465</v>
      </c>
      <c r="C13460">
        <f>HYPERLINK("C:\Users\franc\OneDrive\Documentos\MALENTIN KARIME\BANCO ESTADO\2012 DEPTO ESCRITURAS fata\NOTARIA 2009\CLAUDIO ARDILES\LUIS BAEZA (MANDATO JUDICIAL).doc", "Abrir Documento")</f>
        <v>0</v>
      </c>
      <c r="D13460" t="s">
        <v>23500</v>
      </c>
      <c r="E13460" t="s">
        <v>35935</v>
      </c>
    </row>
    <row r="13461" spans="1:5">
      <c r="A13461" t="s">
        <v>6</v>
      </c>
      <c r="B13461" t="s">
        <v>13466</v>
      </c>
      <c r="C13461">
        <f>HYPERLINK("C:\Users\franc\OneDrive\Documentos\MALENTIN KARIME\BANCO ESTADO\2012 DEPTO ESCRITURAS fata\NOTARIA 2009\CLAUDIO ARDILES\LUCIA DONOSO A CLAUDIO ARDILES.doc", "Abrir Documento")</f>
        <v>0</v>
      </c>
      <c r="D13461" t="s">
        <v>23500</v>
      </c>
      <c r="E13461" t="s">
        <v>35936</v>
      </c>
    </row>
    <row r="13462" spans="1:5">
      <c r="A13462" t="s">
        <v>6</v>
      </c>
      <c r="B13462" t="s">
        <v>13467</v>
      </c>
      <c r="C13462">
        <f>HYPERLINK("C:\Users\franc\OneDrive\Documentos\MALENTIN KARIME\BANCO ESTADO\2012 DEPTO ESCRITURAS fata\NOTARIA 2009\CLAUDIO ARDILES\LEONEL ZAPATA A MAVIS Y OTROS (ARRENDA Y OPCION).doc", "Abrir Documento")</f>
        <v>0</v>
      </c>
      <c r="D13462" t="s">
        <v>23500</v>
      </c>
      <c r="E13462" t="s">
        <v>35937</v>
      </c>
    </row>
    <row r="13463" spans="1:5">
      <c r="A13463" t="s">
        <v>6</v>
      </c>
      <c r="B13463" t="s">
        <v>13468</v>
      </c>
      <c r="C13463">
        <f>HYPERLINK("C:\Users\franc\OneDrive\Documentos\MALENTIN KARIME\BANCO ESTADO\2012 DEPTO ESCRITURAS fata\NOTARIA 2009\CLAUDIO ARDILES\JUAN TORRES A IVAN MARTINAC.doc", "Abrir Documento")</f>
        <v>0</v>
      </c>
      <c r="D13463" t="s">
        <v>23500</v>
      </c>
      <c r="E13463" t="s">
        <v>35938</v>
      </c>
    </row>
    <row r="13464" spans="1:5">
      <c r="A13464" t="s">
        <v>6</v>
      </c>
      <c r="B13464" t="s">
        <v>13469</v>
      </c>
      <c r="C13464">
        <f>HYPERLINK("C:\Users\franc\OneDrive\Documentos\MALENTIN KARIME\BANCO ESTADO\2012 DEPTO ESCRITURAS fata\NOTARIA 2009\CLAUDIO ARDILES\JUAN BARRERA A .......doc", "Abrir Documento")</f>
        <v>0</v>
      </c>
      <c r="D13464" t="s">
        <v>23500</v>
      </c>
      <c r="E13464" t="s">
        <v>35939</v>
      </c>
    </row>
    <row r="13465" spans="1:5">
      <c r="A13465" t="s">
        <v>6</v>
      </c>
      <c r="B13465" t="s">
        <v>13470</v>
      </c>
      <c r="C13465">
        <f>HYPERLINK("C:\Users\franc\OneDrive\Documentos\MALENTIN KARIME\BANCO ESTADO\2012 DEPTO ESCRITURAS fata\NOTARIA 2009\CLAUDIO ARDILES\JORGE CUEVAS EXTRACTO.doc", "Abrir Documento")</f>
        <v>0</v>
      </c>
      <c r="D13465" t="s">
        <v>23500</v>
      </c>
      <c r="E13465" t="s">
        <v>35940</v>
      </c>
    </row>
    <row r="13466" spans="1:5">
      <c r="A13466" t="s">
        <v>6</v>
      </c>
      <c r="B13466" t="s">
        <v>13471</v>
      </c>
      <c r="C13466">
        <f>HYPERLINK("C:\Users\franc\OneDrive\Documentos\MALENTIN KARIME\BANCO ESTADO\2012 DEPTO ESCRITURAS fata\NOTARIA 2009\CLAUDIO ARDILES\JORGE CUEVAS E.I.R.L. (MODIFICACION).doc", "Abrir Documento")</f>
        <v>0</v>
      </c>
      <c r="D13466" t="s">
        <v>23500</v>
      </c>
      <c r="E13466" t="s">
        <v>35941</v>
      </c>
    </row>
    <row r="13467" spans="1:5">
      <c r="A13467" t="s">
        <v>6</v>
      </c>
      <c r="B13467" t="s">
        <v>13472</v>
      </c>
      <c r="C13467">
        <f>HYPERLINK("C:\Users\franc\OneDrive\Documentos\MALENTIN KARIME\BANCO ESTADO\2012 DEPTO ESCRITURAS fata\NOTARIA 2009\CLAUDIO ARDILES\INSTRUCCIONES.doc", "Abrir Documento")</f>
        <v>0</v>
      </c>
      <c r="D13467" t="s">
        <v>23500</v>
      </c>
      <c r="E13467" t="s">
        <v>35942</v>
      </c>
    </row>
    <row r="13468" spans="1:5">
      <c r="A13468" t="s">
        <v>6</v>
      </c>
      <c r="B13468" t="s">
        <v>13473</v>
      </c>
      <c r="C13468">
        <f>HYPERLINK("C:\Users\franc\OneDrive\Documentos\MALENTIN KARIME\BANCO ESTADO\2012 DEPTO ESCRITURAS fata\NOTARIA 2009\CLAUDIO ARDILES\INSTRUCCIONES FAMILIA LEDEZMA.doc", "Abrir Documento")</f>
        <v>0</v>
      </c>
      <c r="D13468" t="s">
        <v>23500</v>
      </c>
      <c r="E13468" t="s">
        <v>35943</v>
      </c>
    </row>
    <row r="13469" spans="1:5">
      <c r="A13469" t="s">
        <v>6</v>
      </c>
      <c r="B13469" t="s">
        <v>13474</v>
      </c>
      <c r="C13469">
        <f>HYPERLINK("C:\Users\franc\OneDrive\Documentos\MALENTIN KARIME\BANCO ESTADO\2012 DEPTO ESCRITURAS fata\NOTARIA 2009\CLAUDIO ARDILES\GUSTAVO CORRAL A CLAUDIO ARDILES.doc", "Abrir Documento")</f>
        <v>0</v>
      </c>
      <c r="D13469" t="s">
        <v>23500</v>
      </c>
      <c r="E13469" t="s">
        <v>35944</v>
      </c>
    </row>
    <row r="13470" spans="1:5">
      <c r="A13470" t="s">
        <v>6</v>
      </c>
      <c r="B13470" t="s">
        <v>13475</v>
      </c>
      <c r="C13470">
        <f>HYPERLINK("C:\Users\franc\OneDrive\Documentos\MALENTIN KARIME\BANCO ESTADO\2012 DEPTO ESCRITURAS fata\NOTARIA 2009\CLAUDIO ARDILES\GLADYS ALCAINO A CLAUDIO ARDILES (MANDATO JUDICIAL).doc", "Abrir Documento")</f>
        <v>0</v>
      </c>
      <c r="D13470" t="s">
        <v>23500</v>
      </c>
      <c r="E13470" t="s">
        <v>35945</v>
      </c>
    </row>
    <row r="13471" spans="1:5">
      <c r="A13471" t="s">
        <v>6</v>
      </c>
      <c r="B13471" t="s">
        <v>13476</v>
      </c>
      <c r="C13471">
        <f>HYPERLINK("C:\Users\franc\OneDrive\Documentos\MALENTIN KARIME\BANCO ESTADO\2012 DEPTO ESCRITURAS fata\NOTARIA 2009\CLAUDIO ARDILES\ESMERALDA NUÑEZ  TESTAMENTO.doc", "Abrir Documento")</f>
        <v>0</v>
      </c>
      <c r="D13471" t="s">
        <v>23500</v>
      </c>
      <c r="E13471" t="s">
        <v>35946</v>
      </c>
    </row>
    <row r="13472" spans="1:5">
      <c r="A13472" t="s">
        <v>6</v>
      </c>
      <c r="B13472" t="s">
        <v>13477</v>
      </c>
      <c r="C13472">
        <f>HYPERLINK("C:\Users\franc\OneDrive\Documentos\MALENTIN KARIME\BANCO ESTADO\2012 DEPTO ESCRITURAS fata\NOTARIA 2009\CLAUDIO ARDILES\CORNELIO MICHEA A EVELYN MICHEA (COMPLEMENT.doc", "Abrir Documento")</f>
        <v>0</v>
      </c>
      <c r="D13472" t="s">
        <v>23500</v>
      </c>
      <c r="E13472" t="s">
        <v>35947</v>
      </c>
    </row>
    <row r="13473" spans="1:5">
      <c r="A13473" t="s">
        <v>6</v>
      </c>
      <c r="B13473" t="s">
        <v>13478</v>
      </c>
      <c r="C13473">
        <f>HYPERLINK("C:\Users\franc\OneDrive\Documentos\MALENTIN KARIME\BANCO ESTADO\2012 DEPTO ESCRITURAS fata\NOTARIA 2009\CLAUDIO ARDILES\CONTRATO HONORARIOS SR. ZAPATA.doc", "Abrir Documento")</f>
        <v>0</v>
      </c>
      <c r="D13473" t="s">
        <v>23500</v>
      </c>
      <c r="E13473" t="s">
        <v>35948</v>
      </c>
    </row>
    <row r="13474" spans="1:5">
      <c r="A13474" t="s">
        <v>6</v>
      </c>
      <c r="B13474" t="s">
        <v>13479</v>
      </c>
      <c r="C13474">
        <f>HYPERLINK("C:\Users\franc\OneDrive\Documentos\MALENTIN KARIME\BANCO ESTADO\2012 DEPTO ESCRITURAS fata\NOTARIA 2009\CLAUDIO ARDILES\COMPRAVENTA VEHICULO DESARMADO.doc", "Abrir Documento")</f>
        <v>0</v>
      </c>
      <c r="D13474" t="s">
        <v>23500</v>
      </c>
      <c r="E13474" t="s">
        <v>35949</v>
      </c>
    </row>
    <row r="13475" spans="1:5">
      <c r="A13475" t="s">
        <v>6</v>
      </c>
      <c r="B13475" t="s">
        <v>13480</v>
      </c>
      <c r="C13475">
        <f>HYPERLINK("C:\Users\franc\OneDrive\Documentos\MALENTIN KARIME\BANCO ESTADO\2012 DEPTO ESCRITURAS fata\NOTARIA 2009\CLAUDIO ARDILES\COMPLEMENTACION A FUSION DABED.doc", "Abrir Documento")</f>
        <v>0</v>
      </c>
      <c r="D13475" t="s">
        <v>23500</v>
      </c>
      <c r="E13475" t="s">
        <v>35950</v>
      </c>
    </row>
    <row r="13476" spans="1:5">
      <c r="A13476" t="s">
        <v>6</v>
      </c>
      <c r="B13476" t="s">
        <v>13481</v>
      </c>
      <c r="C13476">
        <f>HYPERLINK("C:\Users\franc\OneDrive\Documentos\MALENTIN KARIME\BANCO ESTADO\2012 DEPTO ESCRITURAS fata\NOTARIA 2009\CLAUDIO ARDILES\BERNARDO SANTANDER SEP. DE BIENES.doc", "Abrir Documento")</f>
        <v>0</v>
      </c>
      <c r="D13476" t="s">
        <v>23500</v>
      </c>
      <c r="E13476" t="s">
        <v>35951</v>
      </c>
    </row>
    <row r="13477" spans="1:5">
      <c r="A13477" t="s">
        <v>6</v>
      </c>
      <c r="B13477" t="s">
        <v>13482</v>
      </c>
      <c r="C13477">
        <f>HYPERLINK("C:\Users\franc\OneDrive\Documentos\MALENTIN KARIME\BANCO ESTADO\2012 DEPTO ESCRITURAS fata\NOTARIA 2009\CLAUDIO ARDILES\ARTURO ZEPEDA SOCIEDAD.doc", "Abrir Documento")</f>
        <v>0</v>
      </c>
      <c r="D13477" t="s">
        <v>23500</v>
      </c>
      <c r="E13477" t="s">
        <v>35952</v>
      </c>
    </row>
    <row r="13478" spans="1:5">
      <c r="A13478" t="s">
        <v>6</v>
      </c>
      <c r="B13478" t="s">
        <v>13483</v>
      </c>
      <c r="C13478">
        <f>HYPERLINK("C:\Users\franc\OneDrive\Documentos\MALENTIN KARIME\BANCO ESTADO\2012 DEPTO ESCRITURAS fata\NOTARIA 2009\CLAUDIO ARDILES\ARNOLDO VALDIVIA A CLAUDIO ARDILES (Man.  jud).doc", "Abrir Documento")</f>
        <v>0</v>
      </c>
      <c r="D13478" t="s">
        <v>23500</v>
      </c>
      <c r="E13478" t="s">
        <v>35953</v>
      </c>
    </row>
    <row r="13479" spans="1:5">
      <c r="A13479" t="s">
        <v>6</v>
      </c>
      <c r="B13479" t="s">
        <v>13484</v>
      </c>
      <c r="C13479">
        <f>HYPERLINK("C:\Users\franc\OneDrive\Documentos\MALENTIN KARIME\BANCO ESTADO\2012 DEPTO ESCRITURAS fata\NOTARIA 2009\CLAUDIO ARDILES\AGRONOBLE A LEONEL ZAPATA.doc", "Abrir Documento")</f>
        <v>0</v>
      </c>
      <c r="D13479" t="s">
        <v>23500</v>
      </c>
      <c r="E13479" t="s">
        <v>35954</v>
      </c>
    </row>
    <row r="13480" spans="1:5">
      <c r="A13480" t="s">
        <v>6</v>
      </c>
      <c r="B13480" t="s">
        <v>13485</v>
      </c>
      <c r="C13480">
        <f>HYPERLINK("C:\Users\franc\OneDrive\Documentos\MALENTIN KARIME\BANCO ESTADO\2012 DEPTO ESCRITURAS fata\NOTARIA 2009\CLAUDIO ARDILES\AGRICOLA E INMB. MARCELO CORRAL A CLAUDIO ARDILES (MANDATO ).doc", "Abrir Documento")</f>
        <v>0</v>
      </c>
      <c r="D13480" t="s">
        <v>23500</v>
      </c>
      <c r="E13480" t="s">
        <v>35955</v>
      </c>
    </row>
    <row r="13481" spans="1:5">
      <c r="A13481" t="s">
        <v>6</v>
      </c>
      <c r="B13481" t="s">
        <v>13486</v>
      </c>
      <c r="C13481">
        <f>HYPERLINK("C:\Users\franc\OneDrive\Documentos\MALENTIN KARIME\BANCO ESTADO\2012 DEPTO ESCRITURAS fata\NOTARIA 2009\CLAUDIO ARDILES\ACTA JUNTA ACCIONISTAS EL DORADO (REVISADA).doc", "Abrir Documento")</f>
        <v>0</v>
      </c>
      <c r="D13481" t="s">
        <v>23500</v>
      </c>
      <c r="E13481" t="s">
        <v>35956</v>
      </c>
    </row>
    <row r="13482" spans="1:5">
      <c r="A13482" t="s">
        <v>6</v>
      </c>
      <c r="B13482" t="s">
        <v>13487</v>
      </c>
      <c r="C13482">
        <f>HYPERLINK("C:\Users\franc\OneDrive\Documentos\MALENTIN KARIME\BANCO ESTADO\2012 DEPTO ESCRITURAS fata\NOTARIA 2009\CLAUDIO ARDILES\ACLARACION LINA HOFTER.doc", "Abrir Documento")</f>
        <v>0</v>
      </c>
      <c r="D13482" t="s">
        <v>23500</v>
      </c>
      <c r="E13482" t="s">
        <v>35957</v>
      </c>
    </row>
    <row r="13483" spans="1:5">
      <c r="A13483" t="s">
        <v>6</v>
      </c>
      <c r="B13483" t="s">
        <v>13488</v>
      </c>
      <c r="C13483">
        <f>HYPERLINK("C:\Users\franc\OneDrive\Documentos\MALENTIN KARIME\BANCO ESTADO\2012 DEPTO ESCRITURAS fata\NOTARIA 2009\CIBERGESTION\JUAN VASQUEZ ORTIZ[1] TRANSACCION.doc", "Abrir Documento")</f>
        <v>0</v>
      </c>
      <c r="D13483" t="s">
        <v>23500</v>
      </c>
      <c r="E13483" t="s">
        <v>35958</v>
      </c>
    </row>
    <row r="13484" spans="1:5">
      <c r="A13484" t="s">
        <v>6</v>
      </c>
      <c r="B13484" t="s">
        <v>13489</v>
      </c>
      <c r="C13484">
        <f>HYPERLINK("C:\Users\franc\OneDrive\Documentos\MALENTIN KARIME\BANCO ESTADO\2012 DEPTO ESCRITURAS fata\NOTARIA 2009\CESION GRATUITA\CENTRO MADRES A JUNTA VECINO POB. TAPIA.doc", "Abrir Documento")</f>
        <v>0</v>
      </c>
      <c r="D13484" t="s">
        <v>23500</v>
      </c>
      <c r="E13484" t="s">
        <v>35959</v>
      </c>
    </row>
    <row r="13485" spans="1:5">
      <c r="A13485" t="s">
        <v>6</v>
      </c>
      <c r="B13485" t="s">
        <v>13490</v>
      </c>
      <c r="C13485">
        <f>HYPERLINK("C:\Users\franc\OneDrive\Documentos\MALENTIN KARIME\BANCO ESTADO\2012 DEPTO ESCRITURAS fata\NOTARIA 2009\CESION DERECHOS COMUNITARIOS\YARELLA ROJAS A FERNANDO VENEGAS  (COM. PUNIT.doc", "Abrir Documento")</f>
        <v>0</v>
      </c>
      <c r="D13485" t="s">
        <v>23500</v>
      </c>
      <c r="E13485" t="s">
        <v>35960</v>
      </c>
    </row>
    <row r="13486" spans="1:5">
      <c r="A13486" t="s">
        <v>6</v>
      </c>
      <c r="B13486" t="s">
        <v>13491</v>
      </c>
      <c r="C13486">
        <f>HYPERLINK("C:\Users\franc\OneDrive\Documentos\MALENTIN KARIME\BANCO ESTADO\2012 DEPTO ESCRITURAS fata\NOTARIA 2009\CESION DERECHOS COMUNITARIOS\YAMILET CARVAJAL A ABELARDO JOPIA.doc", "Abrir Documento")</f>
        <v>0</v>
      </c>
      <c r="D13486" t="s">
        <v>23500</v>
      </c>
      <c r="E13486" t="s">
        <v>35961</v>
      </c>
    </row>
    <row r="13487" spans="1:5">
      <c r="A13487" t="s">
        <v>6</v>
      </c>
      <c r="B13487" t="s">
        <v>13492</v>
      </c>
      <c r="C13487">
        <f>HYPERLINK("C:\Users\franc\OneDrive\Documentos\MALENTIN KARIME\BANCO ESTADO\2012 DEPTO ESCRITURAS fata\NOTARIA 2009\CESION DERECHOS COMUNITARIOS\URBANA ALVAREZ A SU HIJA.doc", "Abrir Documento")</f>
        <v>0</v>
      </c>
      <c r="D13487" t="s">
        <v>23500</v>
      </c>
      <c r="E13487" t="s">
        <v>35962</v>
      </c>
    </row>
    <row r="13488" spans="1:5">
      <c r="A13488" t="s">
        <v>6</v>
      </c>
      <c r="B13488" t="s">
        <v>13493</v>
      </c>
      <c r="C13488">
        <f>HYPERLINK("C:\Users\franc\OneDrive\Documentos\MALENTIN KARIME\BANCO ESTADO\2012 DEPTO ESCRITURAS fata\NOTARIA 2009\CESION DERECHOS COMUNITARIOS\TRANSITO SIERRA A GRIMALDINA ARAYA.doc", "Abrir Documento")</f>
        <v>0</v>
      </c>
      <c r="D13488" t="s">
        <v>23500</v>
      </c>
      <c r="E13488" t="s">
        <v>35963</v>
      </c>
    </row>
    <row r="13489" spans="1:5">
      <c r="A13489" t="s">
        <v>6</v>
      </c>
      <c r="B13489" t="s">
        <v>13494</v>
      </c>
      <c r="C13489">
        <f>HYPERLINK("C:\Users\franc\OneDrive\Documentos\MALENTIN KARIME\BANCO ESTADO\2012 DEPTO ESCRITURAS fata\NOTARIA 2009\CESION DERECHOS COMUNITARIOS\TIO LINO A PEDRO MOLINA.doc", "Abrir Documento")</f>
        <v>0</v>
      </c>
      <c r="D13489" t="s">
        <v>23500</v>
      </c>
      <c r="E13489" t="s">
        <v>35964</v>
      </c>
    </row>
    <row r="13490" spans="1:5">
      <c r="A13490" t="s">
        <v>6</v>
      </c>
      <c r="B13490" t="s">
        <v>13495</v>
      </c>
      <c r="C13490">
        <f>HYPERLINK("C:\Users\franc\OneDrive\Documentos\MALENTIN KARIME\BANCO ESTADO\2012 DEPTO ESCRITURAS fata\NOTARIA 2009\CESION DERECHOS COMUNITARIOS\RODELINDA HIDALGO A ZOILA ZEPEDA.doc", "Abrir Documento")</f>
        <v>0</v>
      </c>
      <c r="D13490" t="s">
        <v>23500</v>
      </c>
      <c r="E13490" t="s">
        <v>35965</v>
      </c>
    </row>
    <row r="13491" spans="1:5">
      <c r="A13491" t="s">
        <v>6</v>
      </c>
      <c r="B13491" t="s">
        <v>13496</v>
      </c>
      <c r="C13491">
        <f>HYPERLINK("C:\Users\franc\OneDrive\Documentos\MALENTIN KARIME\BANCO ESTADO\2012 DEPTO ESCRITURAS fata\NOTARIA 2009\CESION DERECHOS COMUNITARIOS\RENE JERALDO A CELINDA JERALDO.doc", "Abrir Documento")</f>
        <v>0</v>
      </c>
      <c r="D13491" t="s">
        <v>23500</v>
      </c>
      <c r="E13491" t="s">
        <v>35966</v>
      </c>
    </row>
    <row r="13492" spans="1:5">
      <c r="A13492" t="s">
        <v>6</v>
      </c>
      <c r="B13492" t="s">
        <v>13497</v>
      </c>
      <c r="C13492">
        <f>HYPERLINK("C:\Users\franc\OneDrive\Documentos\MALENTIN KARIME\BANCO ESTADO\2012 DEPTO ESCRITURAS fata\NOTARIA 2009\CESION DERECHOS COMUNITARIOS\RAUL VEGA  A SALVADOR VALDIVIA (MINILLAS).doc", "Abrir Documento")</f>
        <v>0</v>
      </c>
      <c r="D13492" t="s">
        <v>23500</v>
      </c>
      <c r="E13492" t="s">
        <v>35967</v>
      </c>
    </row>
    <row r="13493" spans="1:5">
      <c r="A13493" t="s">
        <v>6</v>
      </c>
      <c r="B13493" t="s">
        <v>13498</v>
      </c>
      <c r="C13493">
        <f>HYPERLINK("C:\Users\franc\OneDrive\Documentos\MALENTIN KARIME\BANCO ESTADO\2012 DEPTO ESCRITURAS fata\NOTARIA 2009\CESION DERECHOS COMUNITARIOS\MILLELINA PERALTA A OMAR RIVERA (AGRICOLA PUNITAQUI).doc", "Abrir Documento")</f>
        <v>0</v>
      </c>
      <c r="D13493" t="s">
        <v>23500</v>
      </c>
      <c r="E13493" t="s">
        <v>35968</v>
      </c>
    </row>
    <row r="13494" spans="1:5">
      <c r="A13494" t="s">
        <v>6</v>
      </c>
      <c r="B13494" t="s">
        <v>13499</v>
      </c>
      <c r="C13494">
        <f>HYPERLINK("C:\Users\franc\OneDrive\Documentos\MALENTIN KARIME\BANCO ESTADO\2012 DEPTO ESCRITURAS fata\NOTARIA 2009\CESION DERECHOS COMUNITARIOS\MAURO GUERRA A ALEJANDRO ALFARO (ORURO).doc", "Abrir Documento")</f>
        <v>0</v>
      </c>
      <c r="D13494" t="s">
        <v>23500</v>
      </c>
      <c r="E13494" t="s">
        <v>35969</v>
      </c>
    </row>
    <row r="13495" spans="1:5">
      <c r="A13495" t="s">
        <v>6</v>
      </c>
      <c r="B13495" t="s">
        <v>13500</v>
      </c>
      <c r="C13495">
        <f>HYPERLINK("C:\Users\franc\OneDrive\Documentos\MALENTIN KARIME\BANCO ESTADO\2012 DEPTO ESCRITURAS fata\NOTARIA 2009\CESION DERECHOS COMUNITARIOS\MANUEL ROJAS A MINERVA ROJAS (CASTILLO MAL PASO.doc", "Abrir Documento")</f>
        <v>0</v>
      </c>
      <c r="D13495" t="s">
        <v>23500</v>
      </c>
      <c r="E13495" t="s">
        <v>35970</v>
      </c>
    </row>
    <row r="13496" spans="1:5">
      <c r="A13496" t="s">
        <v>6</v>
      </c>
      <c r="B13496" t="s">
        <v>13501</v>
      </c>
      <c r="C13496">
        <f>HYPERLINK("C:\Users\franc\OneDrive\Documentos\MALENTIN KARIME\BANCO ESTADO\2012 DEPTO ESCRITURAS fata\NOTARIA 2009\CESION DERECHOS COMUNITARIOS\JAIME VILLALOBOS A EMELINA PALAVECINOS.doc", "Abrir Documento")</f>
        <v>0</v>
      </c>
      <c r="D13496" t="s">
        <v>23500</v>
      </c>
      <c r="E13496" t="s">
        <v>35971</v>
      </c>
    </row>
    <row r="13497" spans="1:5">
      <c r="A13497" t="s">
        <v>6</v>
      </c>
      <c r="B13497" t="s">
        <v>13502</v>
      </c>
      <c r="C13497">
        <f>HYPERLINK("C:\Users\franc\OneDrive\Documentos\MALENTIN KARIME\BANCO ESTADO\2012 DEPTO ESCRITURAS fata\NOTARIA 2009\CESION DERECHOS COMUNITARIOS\JAIME RIVERA A ANGELICA MALUENDA  (COM. PUNIT.doc", "Abrir Documento")</f>
        <v>0</v>
      </c>
      <c r="D13497" t="s">
        <v>23500</v>
      </c>
      <c r="E13497" t="s">
        <v>35972</v>
      </c>
    </row>
    <row r="13498" spans="1:5">
      <c r="A13498" t="s">
        <v>6</v>
      </c>
      <c r="B13498" t="s">
        <v>13503</v>
      </c>
      <c r="C13498">
        <f>HYPERLINK("C:\Users\franc\OneDrive\Documentos\MALENTIN KARIME\BANCO ESTADO\2012 DEPTO ESCRITURAS fata\NOTARIA 2009\CESION DERECHOS COMUNITARIOS\HUGO CARVAJAL A NOLVIA LOPEZ.doc", "Abrir Documento")</f>
        <v>0</v>
      </c>
      <c r="D13498" t="s">
        <v>23500</v>
      </c>
      <c r="E13498" t="s">
        <v>35973</v>
      </c>
    </row>
    <row r="13499" spans="1:5">
      <c r="A13499" t="s">
        <v>6</v>
      </c>
      <c r="B13499" t="s">
        <v>13504</v>
      </c>
      <c r="C13499">
        <f>HYPERLINK("C:\Users\franc\OneDrive\Documentos\MALENTIN KARIME\BANCO ESTADO\2012 DEPTO ESCRITURAS fata\NOTARIA 2009\CESION DERECHOS COMUNITARIOS\HERNAN TAPIA A LUIS SEGOVIA (AGRICOLA PUNITAQUI).doc", "Abrir Documento")</f>
        <v>0</v>
      </c>
      <c r="D13499" t="s">
        <v>23500</v>
      </c>
      <c r="E13499" t="s">
        <v>35974</v>
      </c>
    </row>
    <row r="13500" spans="1:5">
      <c r="A13500" t="s">
        <v>6</v>
      </c>
      <c r="B13500" t="s">
        <v>13505</v>
      </c>
      <c r="C13500">
        <f>HYPERLINK("C:\Users\franc\OneDrive\Documentos\MALENTIN KARIME\BANCO ESTADO\2012 DEPTO ESCRITURAS fata\NOTARIA 2009\CESION DERECHOS COMUNITARIOS\HERNAN TAPIA A LUIS SEGOVIA  (AGRICOLA PUNITAQUI).doc", "Abrir Documento")</f>
        <v>0</v>
      </c>
      <c r="D13500" t="s">
        <v>23500</v>
      </c>
      <c r="E13500" t="s">
        <v>35975</v>
      </c>
    </row>
    <row r="13501" spans="1:5">
      <c r="A13501" t="s">
        <v>6</v>
      </c>
      <c r="B13501" t="s">
        <v>13506</v>
      </c>
      <c r="C13501">
        <f>HYPERLINK("C:\Users\franc\OneDrive\Documentos\MALENTIN KARIME\BANCO ESTADO\2012 DEPTO ESCRITURAS fata\NOTARIA 2009\CESION DERECHOS COMUNITARIOS\HELEN ROJAS YOTRO A CESAR ROBLES (ALCONES).doc", "Abrir Documento")</f>
        <v>0</v>
      </c>
      <c r="D13501" t="s">
        <v>23500</v>
      </c>
      <c r="E13501" t="s">
        <v>35976</v>
      </c>
    </row>
    <row r="13502" spans="1:5">
      <c r="A13502" t="s">
        <v>6</v>
      </c>
      <c r="B13502" t="s">
        <v>13507</v>
      </c>
      <c r="C13502">
        <f>HYPERLINK("C:\Users\franc\OneDrive\Documentos\MALENTIN KARIME\BANCO ESTADO\2012 DEPTO ESCRITURAS fata\NOTARIA 2009\CESION DERECHOS COMUNITARIOS\GUSTAVO ZAMBRA A HANS ZEPEDA (COMUN. TOTORALILLO).doc", "Abrir Documento")</f>
        <v>0</v>
      </c>
      <c r="D13502" t="s">
        <v>23500</v>
      </c>
      <c r="E13502" t="s">
        <v>35977</v>
      </c>
    </row>
    <row r="13503" spans="1:5">
      <c r="A13503" t="s">
        <v>6</v>
      </c>
      <c r="B13503" t="s">
        <v>13508</v>
      </c>
      <c r="C13503">
        <f>HYPERLINK("C:\Users\franc\OneDrive\Documentos\MALENTIN KARIME\BANCO ESTADO\2012 DEPTO ESCRITURAS fata\NOTARIA 2009\CESION DERECHOS COMUNITARIOS\ERNESTINA ULLOA A .......doc", "Abrir Documento")</f>
        <v>0</v>
      </c>
      <c r="D13503" t="s">
        <v>23500</v>
      </c>
      <c r="E13503" t="s">
        <v>35978</v>
      </c>
    </row>
    <row r="13504" spans="1:5">
      <c r="A13504" t="s">
        <v>6</v>
      </c>
      <c r="B13504" t="s">
        <v>13509</v>
      </c>
      <c r="C13504">
        <f>HYPERLINK("C:\Users\franc\OneDrive\Documentos\MALENTIN KARIME\BANCO ESTADO\2012 DEPTO ESCRITURAS fata\NOTARIA 2009\CESION DERECHOS COMUNITARIOS\ELIANA LOPEZ A ANDRES MORALES.doc", "Abrir Documento")</f>
        <v>0</v>
      </c>
      <c r="D13504" t="s">
        <v>23500</v>
      </c>
      <c r="E13504" t="s">
        <v>35979</v>
      </c>
    </row>
    <row r="13505" spans="1:5">
      <c r="A13505" t="s">
        <v>6</v>
      </c>
      <c r="B13505" t="s">
        <v>13510</v>
      </c>
      <c r="C13505">
        <f>HYPERLINK("C:\Users\franc\OneDrive\Documentos\MALENTIN KARIME\BANCO ESTADO\2012 DEPTO ESCRITURAS fata\NOTARIA 2009\CESION DERECHOS COMUNITARIOS\ELBA PIZARRO  A JOSE VILLALOBOS (COM. PUNIT.doc", "Abrir Documento")</f>
        <v>0</v>
      </c>
      <c r="D13505" t="s">
        <v>23500</v>
      </c>
      <c r="E13505" t="s">
        <v>35980</v>
      </c>
    </row>
    <row r="13506" spans="1:5">
      <c r="A13506" t="s">
        <v>6</v>
      </c>
      <c r="B13506" t="s">
        <v>13511</v>
      </c>
      <c r="C13506">
        <f>HYPERLINK("C:\Users\franc\OneDrive\Documentos\MALENTIN KARIME\BANCO ESTADO\2012 DEPTO ESCRITURAS fata\NOTARIA 2009\CESION DE DERECHOS HEREDITARIOS\YAMIL ALAMO A SU HIJO YAMIL.doc", "Abrir Documento")</f>
        <v>0</v>
      </c>
      <c r="D13506" t="s">
        <v>23500</v>
      </c>
      <c r="E13506" t="s">
        <v>35981</v>
      </c>
    </row>
    <row r="13507" spans="1:5">
      <c r="A13507" t="s">
        <v>6</v>
      </c>
      <c r="B13507" t="s">
        <v>13512</v>
      </c>
      <c r="C13507">
        <f>HYPERLINK("C:\Users\franc\OneDrive\Documentos\MALENTIN KARIME\BANCO ESTADO\2012 DEPTO ESCRITURAS fata\NOTARIA 2009\CESION DE DERECHOS HEREDITARIOS\VICTOR TAPIA A CARLOS TAPIA.doc", "Abrir Documento")</f>
        <v>0</v>
      </c>
      <c r="D13507" t="s">
        <v>23500</v>
      </c>
      <c r="E13507" t="s">
        <v>35982</v>
      </c>
    </row>
    <row r="13508" spans="1:5">
      <c r="A13508" t="s">
        <v>6</v>
      </c>
      <c r="B13508" t="s">
        <v>13513</v>
      </c>
      <c r="C13508">
        <f>HYPERLINK("C:\Users\franc\OneDrive\Documentos\MALENTIN KARIME\BANCO ESTADO\2012 DEPTO ESCRITURAS fata\NOTARIA 2009\CESION DE DERECHOS HEREDITARIOS\SUCESION VIRGINIA VELASQUEZ (2).doc", "Abrir Documento")</f>
        <v>0</v>
      </c>
      <c r="D13508" t="s">
        <v>23500</v>
      </c>
      <c r="E13508" t="s">
        <v>35983</v>
      </c>
    </row>
    <row r="13509" spans="1:5">
      <c r="A13509" t="s">
        <v>6</v>
      </c>
      <c r="B13509" t="s">
        <v>13514</v>
      </c>
      <c r="C13509">
        <f>HYPERLINK("C:\Users\franc\OneDrive\Documentos\MALENTIN KARIME\BANCO ESTADO\2012 DEPTO ESCRITURAS fata\NOTARIA 2009\CESION DE DERECHOS HEREDITARIOS\SUCESION OSVALDO HENRIQUEZ A RAMON (GANANCIALES).doc", "Abrir Documento")</f>
        <v>0</v>
      </c>
      <c r="D13509" t="s">
        <v>23500</v>
      </c>
      <c r="E13509" t="s">
        <v>35984</v>
      </c>
    </row>
    <row r="13510" spans="1:5">
      <c r="A13510" t="s">
        <v>6</v>
      </c>
      <c r="B13510" t="s">
        <v>13515</v>
      </c>
      <c r="C13510">
        <f>HYPERLINK("C:\Users\franc\OneDrive\Documentos\MALENTIN KARIME\BANCO ESTADO\2012 DEPTO ESCRITURAS fata\NOTARIA 2009\CESION DE DERECHOS HEREDITARIOS\SUCESION OSVALDO HENRIQUEZ A RAMON (BIEN DETERMINADO).doc", "Abrir Documento")</f>
        <v>0</v>
      </c>
      <c r="D13510" t="s">
        <v>23500</v>
      </c>
      <c r="E13510" t="s">
        <v>35985</v>
      </c>
    </row>
    <row r="13511" spans="1:5">
      <c r="A13511" t="s">
        <v>6</v>
      </c>
      <c r="B13511" t="s">
        <v>13516</v>
      </c>
      <c r="C13511">
        <f>HYPERLINK("C:\Users\franc\OneDrive\Documentos\MALENTIN KARIME\BANCO ESTADO\2012 DEPTO ESCRITURAS fata\NOTARIA 2009\CESION DE DERECHOS HEREDITARIOS\SUCESION Contreras.doc", "Abrir Documento")</f>
        <v>0</v>
      </c>
      <c r="D13511" t="s">
        <v>23500</v>
      </c>
      <c r="E13511" t="s">
        <v>35986</v>
      </c>
    </row>
    <row r="13512" spans="1:5">
      <c r="A13512" t="s">
        <v>6</v>
      </c>
      <c r="B13512" t="s">
        <v>13517</v>
      </c>
      <c r="C13512">
        <f>HYPERLINK("C:\Users\franc\OneDrive\Documentos\MALENTIN KARIME\BANCO ESTADO\2012 DEPTO ESCRITURAS fata\NOTARIA 2009\CESION DE DERECHOS HEREDITARIOS\SUC. SENEN VEGA A IVAN VEGA  LOTE G 1.doc", "Abrir Documento")</f>
        <v>0</v>
      </c>
      <c r="D13512" t="s">
        <v>23500</v>
      </c>
      <c r="E13512" t="s">
        <v>35987</v>
      </c>
    </row>
    <row r="13513" spans="1:5">
      <c r="A13513" t="s">
        <v>6</v>
      </c>
      <c r="B13513" t="s">
        <v>13518</v>
      </c>
      <c r="C13513">
        <f>HYPERLINK("C:\Users\franc\OneDrive\Documentos\MALENTIN KARIME\BANCO ESTADO\2012 DEPTO ESCRITURAS fata\NOTARIA 2009\CESION DE DERECHOS HEREDITARIOS\SUC. SENEN VEGA A EUGENIA ROJAS LOTE J 4.doc", "Abrir Documento")</f>
        <v>0</v>
      </c>
      <c r="D13513" t="s">
        <v>23500</v>
      </c>
      <c r="E13513" t="s">
        <v>35988</v>
      </c>
    </row>
    <row r="13514" spans="1:5">
      <c r="A13514" t="s">
        <v>6</v>
      </c>
      <c r="B13514" t="s">
        <v>13519</v>
      </c>
      <c r="C13514">
        <f>HYPERLINK("C:\Users\franc\OneDrive\Documentos\MALENTIN KARIME\BANCO ESTADO\2012 DEPTO ESCRITURAS fata\NOTARIA 2009\CESION DE DERECHOS HEREDITARIOS\SILVIA RODRIGUEZ  A TERESA CASTILLO FEBRERO 2010.doc", "Abrir Documento")</f>
        <v>0</v>
      </c>
      <c r="D13514" t="s">
        <v>23500</v>
      </c>
      <c r="E13514" t="s">
        <v>35989</v>
      </c>
    </row>
    <row r="13515" spans="1:5">
      <c r="A13515" t="s">
        <v>6</v>
      </c>
      <c r="B13515" t="s">
        <v>13520</v>
      </c>
      <c r="C13515">
        <f>HYPERLINK("C:\Users\franc\OneDrive\Documentos\MALENTIN KARIME\BANCO ESTADO\2012 DEPTO ESCRITURAS fata\NOTARIA 2009\CESION DE DERECHOS HEREDITARIOS\SANDRA DIAZ Y OTRS. A MIRTA ARAYA.doc", "Abrir Documento")</f>
        <v>0</v>
      </c>
      <c r="D13515" t="s">
        <v>23500</v>
      </c>
      <c r="E13515" t="s">
        <v>35990</v>
      </c>
    </row>
    <row r="13516" spans="1:5">
      <c r="A13516" t="s">
        <v>6</v>
      </c>
      <c r="B13516" t="s">
        <v>13521</v>
      </c>
      <c r="C13516">
        <f>HYPERLINK("C:\Users\franc\OneDrive\Documentos\MALENTIN KARIME\BANCO ESTADO\2012 DEPTO ESCRITURAS fata\NOTARIA 2009\CESION DE DERECHOS HEREDITARIOS\ROSSANA CIFUENTES Y OTROS A SU MAMA.doc", "Abrir Documento")</f>
        <v>0</v>
      </c>
      <c r="D13516" t="s">
        <v>23500</v>
      </c>
      <c r="E13516" t="s">
        <v>35991</v>
      </c>
    </row>
    <row r="13517" spans="1:5">
      <c r="A13517" t="s">
        <v>6</v>
      </c>
      <c r="B13517" t="s">
        <v>13522</v>
      </c>
      <c r="C13517">
        <f>HYPERLINK("C:\Users\franc\OneDrive\Documentos\MALENTIN KARIME\BANCO ESTADO\2012 DEPTO ESCRITURAS fata\NOTARIA 2009\CESION DE DERECHOS HEREDITARIOS\ROJELIO ROJAS A MAURICIO VEGA CORTES.doc", "Abrir Documento")</f>
        <v>0</v>
      </c>
      <c r="D13517" t="s">
        <v>23500</v>
      </c>
      <c r="E13517" t="s">
        <v>35992</v>
      </c>
    </row>
    <row r="13518" spans="1:5">
      <c r="A13518" t="s">
        <v>6</v>
      </c>
      <c r="B13518" t="s">
        <v>13523</v>
      </c>
      <c r="C13518">
        <f>HYPERLINK("C:\Users\franc\OneDrive\Documentos\MALENTIN KARIME\BANCO ESTADO\2012 DEPTO ESCRITURAS fata\NOTARIA 2009\CESION DE DERECHOS HEREDITARIOS\RAMON NARANJO Y OTRA A PRISCILA ARAYA.doc", "Abrir Documento")</f>
        <v>0</v>
      </c>
      <c r="D13518" t="s">
        <v>23500</v>
      </c>
      <c r="E13518" t="s">
        <v>35993</v>
      </c>
    </row>
    <row r="13519" spans="1:5">
      <c r="A13519" t="s">
        <v>6</v>
      </c>
      <c r="B13519" t="s">
        <v>13524</v>
      </c>
      <c r="C13519">
        <f>HYPERLINK("C:\Users\franc\OneDrive\Documentos\MALENTIN KARIME\BANCO ESTADO\2012 DEPTO ESCRITURAS fata\NOTARIA 2009\CESION DE DERECHOS HEREDITARIOS\PEDRO CASTILLO Y OTRO A EDO CASTILLO.doc", "Abrir Documento")</f>
        <v>0</v>
      </c>
      <c r="D13519" t="s">
        <v>23500</v>
      </c>
      <c r="E13519" t="s">
        <v>35994</v>
      </c>
    </row>
    <row r="13520" spans="1:5">
      <c r="A13520" t="s">
        <v>6</v>
      </c>
      <c r="B13520" t="s">
        <v>13525</v>
      </c>
      <c r="C13520">
        <f>HYPERLINK("C:\Users\franc\OneDrive\Documentos\MALENTIN KARIME\BANCO ESTADO\2012 DEPTO ESCRITURAS fata\NOTARIA 2009\CESION DE DERECHOS HEREDITARIOS\PATRICIO JAMETT A GUILLERMO JAMETT.doc", "Abrir Documento")</f>
        <v>0</v>
      </c>
      <c r="D13520" t="s">
        <v>23500</v>
      </c>
      <c r="E13520" t="s">
        <v>35995</v>
      </c>
    </row>
    <row r="13521" spans="1:5">
      <c r="A13521" t="s">
        <v>6</v>
      </c>
      <c r="B13521" t="s">
        <v>13526</v>
      </c>
      <c r="C13521">
        <f>HYPERLINK("C:\Users\franc\OneDrive\Documentos\MALENTIN KARIME\BANCO ESTADO\2012 DEPTO ESCRITURAS fata\NOTARIA 2009\CESION DE DERECHOS HEREDITARIOS\OSCAR DARRIGRANDE A BRIJIA CISTERNAS.doc", "Abrir Documento")</f>
        <v>0</v>
      </c>
      <c r="D13521" t="s">
        <v>23500</v>
      </c>
      <c r="E13521" t="s">
        <v>35996</v>
      </c>
    </row>
    <row r="13522" spans="1:5">
      <c r="A13522" t="s">
        <v>6</v>
      </c>
      <c r="B13522" t="s">
        <v>13527</v>
      </c>
      <c r="C13522">
        <f>HYPERLINK("C:\Users\franc\OneDrive\Documentos\MALENTIN KARIME\BANCO ESTADO\2012 DEPTO ESCRITURAS fata\NOTARIA 2009\CESION DE DERECHOS HEREDITARIOS\NORA ARAYA Y OTROS A SU MAMA.doc", "Abrir Documento")</f>
        <v>0</v>
      </c>
      <c r="D13522" t="s">
        <v>23500</v>
      </c>
      <c r="E13522" t="s">
        <v>35997</v>
      </c>
    </row>
    <row r="13523" spans="1:5">
      <c r="A13523" t="s">
        <v>6</v>
      </c>
      <c r="B13523" t="s">
        <v>13528</v>
      </c>
      <c r="C13523">
        <f>HYPERLINK("C:\Users\franc\OneDrive\Documentos\MALENTIN KARIME\BANCO ESTADO\2012 DEPTO ESCRITURAS fata\NOTARIA 2009\CESION DE DERECHOS HEREDITARIOS\NELIDA RODRIGUEZ Y OTROS A TERESA CASTILLO.doc", "Abrir Documento")</f>
        <v>0</v>
      </c>
      <c r="D13523" t="s">
        <v>23500</v>
      </c>
      <c r="E13523" t="s">
        <v>35998</v>
      </c>
    </row>
    <row r="13524" spans="1:5">
      <c r="A13524" t="s">
        <v>6</v>
      </c>
      <c r="B13524" t="s">
        <v>13529</v>
      </c>
      <c r="C13524">
        <f>HYPERLINK("C:\Users\franc\OneDrive\Documentos\MALENTIN KARIME\BANCO ESTADO\2012 DEPTO ESCRITURAS fata\NOTARIA 2009\CESION DE DERECHOS HEREDITARIOS\NELIDA RODRIGUEZ  Y OTROS A SU MAMA.doc", "Abrir Documento")</f>
        <v>0</v>
      </c>
      <c r="D13524" t="s">
        <v>23500</v>
      </c>
      <c r="E13524" t="s">
        <v>35999</v>
      </c>
    </row>
    <row r="13525" spans="1:5">
      <c r="A13525" t="s">
        <v>6</v>
      </c>
      <c r="B13525" t="s">
        <v>13530</v>
      </c>
      <c r="C13525">
        <f>HYPERLINK("C:\Users\franc\OneDrive\Documentos\MALENTIN KARIME\BANCO ESTADO\2012 DEPTO ESCRITURAS fata\NOTARIA 2009\CESION DE DERECHOS HEREDITARIOS\MODELO PODER CESION DERECHOS.doc", "Abrir Documento")</f>
        <v>0</v>
      </c>
      <c r="D13525" t="s">
        <v>23500</v>
      </c>
      <c r="E13525" t="s">
        <v>36000</v>
      </c>
    </row>
    <row r="13526" spans="1:5">
      <c r="A13526" t="s">
        <v>6</v>
      </c>
      <c r="B13526" t="s">
        <v>13531</v>
      </c>
      <c r="C13526">
        <f>HYPERLINK("C:\Users\franc\OneDrive\Documentos\MALENTIN KARIME\BANCO ESTADO\2012 DEPTO ESCRITURAS fata\NOTARIA 2009\CESION DE DERECHOS HEREDITARIOS\MODELO CESION SOBRE BIEN DETERMINADO (NO TODOS).doc", "Abrir Documento")</f>
        <v>0</v>
      </c>
      <c r="D13526" t="s">
        <v>23500</v>
      </c>
      <c r="E13526" t="s">
        <v>36001</v>
      </c>
    </row>
    <row r="13527" spans="1:5">
      <c r="A13527" t="s">
        <v>6</v>
      </c>
      <c r="B13527" t="s">
        <v>13532</v>
      </c>
      <c r="C13527">
        <f>HYPERLINK("C:\Users\franc\OneDrive\Documentos\MALENTIN KARIME\BANCO ESTADO\2012 DEPTO ESCRITURAS fata\NOTARIA 2009\CESION DE DERECHOS HEREDITARIOS\MARIO GONZALEZ Y OTROS A ALCIIA VEGA Y OTROS.doc", "Abrir Documento")</f>
        <v>0</v>
      </c>
      <c r="D13527" t="s">
        <v>23500</v>
      </c>
      <c r="E13527" t="s">
        <v>36002</v>
      </c>
    </row>
    <row r="13528" spans="1:5">
      <c r="A13528" t="s">
        <v>6</v>
      </c>
      <c r="B13528" t="s">
        <v>13533</v>
      </c>
      <c r="C13528">
        <f>HYPERLINK("C:\Users\franc\OneDrive\Documentos\MALENTIN KARIME\BANCO ESTADO\2012 DEPTO ESCRITURAS fata\NOTARIA 2009\CESION DE DERECHOS HEREDITARIOS\MARIELA JOFRE Y OTROS A NORMA JOFRE.doc", "Abrir Documento")</f>
        <v>0</v>
      </c>
      <c r="D13528" t="s">
        <v>23500</v>
      </c>
      <c r="E13528" t="s">
        <v>36003</v>
      </c>
    </row>
    <row r="13529" spans="1:5">
      <c r="A13529" t="s">
        <v>6</v>
      </c>
      <c r="B13529" t="s">
        <v>13534</v>
      </c>
      <c r="C13529">
        <f>HYPERLINK("C:\Users\franc\OneDrive\Documentos\MALENTIN KARIME\BANCO ESTADO\2012 DEPTO ESCRITURAS fata\NOTARIA 2009\CESION DE DERECHOS HEREDITARIOS\MARIA ARAYA A SEBASTIAN ROJAS.doc", "Abrir Documento")</f>
        <v>0</v>
      </c>
      <c r="D13529" t="s">
        <v>23500</v>
      </c>
      <c r="E13529" t="s">
        <v>36004</v>
      </c>
    </row>
    <row r="13530" spans="1:5">
      <c r="A13530" t="s">
        <v>6</v>
      </c>
      <c r="B13530" t="s">
        <v>13535</v>
      </c>
      <c r="C13530">
        <f>HYPERLINK("C:\Users\franc\OneDrive\Documentos\MALENTIN KARIME\BANCO ESTADO\2012 DEPTO ESCRITURAS fata\NOTARIA 2009\CESION DE DERECHOS HEREDITARIOS\MARIA ALVARADO Y OTRO A ERNEST ALVARADO.doc", "Abrir Documento")</f>
        <v>0</v>
      </c>
      <c r="D13530" t="s">
        <v>23500</v>
      </c>
      <c r="E13530" t="s">
        <v>36005</v>
      </c>
    </row>
    <row r="13531" spans="1:5">
      <c r="A13531" t="s">
        <v>6</v>
      </c>
      <c r="B13531" t="s">
        <v>13536</v>
      </c>
      <c r="C13531">
        <f>HYPERLINK("C:\Users\franc\OneDrive\Documentos\MALENTIN KARIME\BANCO ESTADO\2012 DEPTO ESCRITURAS fata\NOTARIA 2009\CESION DE DERECHOS HEREDITARIOS\MARIA ACUÑA Y OTROS A SU MAMA (CON CONYUGE AUTOIR).doc", "Abrir Documento")</f>
        <v>0</v>
      </c>
      <c r="D13531" t="s">
        <v>23500</v>
      </c>
      <c r="E13531" t="s">
        <v>36006</v>
      </c>
    </row>
    <row r="13532" spans="1:5">
      <c r="A13532" t="s">
        <v>6</v>
      </c>
      <c r="B13532" t="s">
        <v>13537</v>
      </c>
      <c r="C13532">
        <f>HYPERLINK("C:\Users\franc\OneDrive\Documentos\MALENTIN KARIME\BANCO ESTADO\2012 DEPTO ESCRITURAS fata\NOTARIA 2009\CESION DE DERECHOS HEREDITARIOS\LUIS CARVAJAL Y OTROS A DARIO CARVAJAL.doc", "Abrir Documento")</f>
        <v>0</v>
      </c>
      <c r="D13532" t="s">
        <v>23500</v>
      </c>
      <c r="E13532" t="s">
        <v>36007</v>
      </c>
    </row>
    <row r="13533" spans="1:5">
      <c r="A13533" t="s">
        <v>6</v>
      </c>
      <c r="B13533" t="s">
        <v>13538</v>
      </c>
      <c r="C13533">
        <f>HYPERLINK("C:\Users\franc\OneDrive\Documentos\MALENTIN KARIME\BANCO ESTADO\2012 DEPTO ESCRITURAS fata\NOTARIA 2009\CESION DE DERECHOS HEREDITARIOS\LUIS CARVAJAL A CAROLINA CARVAJAL (FCO. GONZALEZ FIGARI).doc", "Abrir Documento")</f>
        <v>0</v>
      </c>
      <c r="D13533" t="s">
        <v>23500</v>
      </c>
      <c r="E13533" t="s">
        <v>36008</v>
      </c>
    </row>
    <row r="13534" spans="1:5">
      <c r="A13534" t="s">
        <v>6</v>
      </c>
      <c r="B13534" t="s">
        <v>13539</v>
      </c>
      <c r="C13534">
        <f>HYPERLINK("C:\Users\franc\OneDrive\Documentos\MALENTIN KARIME\BANCO ESTADO\2012 DEPTO ESCRITURAS fata\NOTARIA 2009\CESION DE DERECHOS HEREDITARIOS\LUCILA ARAYA Y OTR. A PABLA ARAYA ROJAS.doc", "Abrir Documento")</f>
        <v>0</v>
      </c>
      <c r="D13534" t="s">
        <v>23500</v>
      </c>
      <c r="E13534" t="s">
        <v>36009</v>
      </c>
    </row>
    <row r="13535" spans="1:5">
      <c r="A13535" t="s">
        <v>6</v>
      </c>
      <c r="B13535" t="s">
        <v>13540</v>
      </c>
      <c r="C13535">
        <f>HYPERLINK("C:\Users\franc\OneDrive\Documentos\MALENTIN KARIME\BANCO ESTADO\2012 DEPTO ESCRITURAS fata\NOTARIA 2009\CESION DE DERECHOS HEREDITARIOS\LORENZO LOPEZ A ANA ARRATIA.doc", "Abrir Documento")</f>
        <v>0</v>
      </c>
      <c r="D13535" t="s">
        <v>23500</v>
      </c>
      <c r="E13535" t="s">
        <v>36010</v>
      </c>
    </row>
    <row r="13536" spans="1:5">
      <c r="A13536" t="s">
        <v>6</v>
      </c>
      <c r="B13536" t="s">
        <v>13541</v>
      </c>
      <c r="C13536">
        <f>HYPERLINK("C:\Users\franc\OneDrive\Documentos\MALENTIN KARIME\BANCO ESTADO\2012 DEPTO ESCRITURAS fata\NOTARIA 2009\CESION DE DERECHOS HEREDITARIOS\LAURA ALFARO Y OTS. A LAURA (MUNI).doc", "Abrir Documento")</f>
        <v>0</v>
      </c>
      <c r="D13536" t="s">
        <v>23500</v>
      </c>
      <c r="E13536" t="s">
        <v>36011</v>
      </c>
    </row>
    <row r="13537" spans="1:5">
      <c r="A13537" t="s">
        <v>6</v>
      </c>
      <c r="B13537" t="s">
        <v>13542</v>
      </c>
      <c r="C13537">
        <f>HYPERLINK("C:\Users\franc\OneDrive\Documentos\MALENTIN KARIME\BANCO ESTADO\2012 DEPTO ESCRITURAS fata\NOTARIA 2009\CESION DE DERECHOS HEREDITARIOS\JUAN CARVAJAL Y OTROS A CAROLINA CARVAJAL (FCO. GONZALEZ FIGARI).doc", "Abrir Documento")</f>
        <v>0</v>
      </c>
      <c r="D13537" t="s">
        <v>23500</v>
      </c>
      <c r="E13537" t="s">
        <v>36012</v>
      </c>
    </row>
    <row r="13538" spans="1:5">
      <c r="A13538" t="s">
        <v>6</v>
      </c>
      <c r="B13538" t="s">
        <v>13543</v>
      </c>
      <c r="C13538">
        <f>HYPERLINK("C:\Users\franc\OneDrive\Documentos\MALENTIN KARIME\BANCO ESTADO\2012 DEPTO ESCRITURAS fata\NOTARIA 2009\CESION DE DERECHOS HEREDITARIOS\JANI (PAPA).doc", "Abrir Documento")</f>
        <v>0</v>
      </c>
      <c r="D13538" t="s">
        <v>23500</v>
      </c>
      <c r="E13538" t="s">
        <v>36013</v>
      </c>
    </row>
    <row r="13539" spans="1:5">
      <c r="A13539" t="s">
        <v>6</v>
      </c>
      <c r="B13539" t="s">
        <v>13544</v>
      </c>
      <c r="C13539">
        <f>HYPERLINK("C:\Users\franc\OneDrive\Documentos\MALENTIN KARIME\BANCO ESTADO\2012 DEPTO ESCRITURAS fata\NOTARIA 2009\CESION DE DERECHOS HEREDITARIOS\ISABEL ARAYA A PRUDENCIO ARAYA.doc", "Abrir Documento")</f>
        <v>0</v>
      </c>
      <c r="D13539" t="s">
        <v>23500</v>
      </c>
      <c r="E13539" t="s">
        <v>36014</v>
      </c>
    </row>
    <row r="13540" spans="1:5">
      <c r="A13540" t="s">
        <v>6</v>
      </c>
      <c r="B13540" t="s">
        <v>13545</v>
      </c>
      <c r="C13540">
        <f>HYPERLINK("C:\Users\franc\OneDrive\Documentos\MALENTIN KARIME\BANCO ESTADO\2012 DEPTO ESCRITURAS fata\NOTARIA 2009\CESION DE DERECHOS HEREDITARIOS\IRIS MONDACA Y OTROS A JUAN MONDACA.doc", "Abrir Documento")</f>
        <v>0</v>
      </c>
      <c r="D13540" t="s">
        <v>23500</v>
      </c>
      <c r="E13540" t="s">
        <v>36015</v>
      </c>
    </row>
    <row r="13541" spans="1:5">
      <c r="A13541" t="s">
        <v>6</v>
      </c>
      <c r="B13541" t="s">
        <v>13546</v>
      </c>
      <c r="C13541">
        <f>HYPERLINK("C:\Users\franc\OneDrive\Documentos\MALENTIN KARIME\BANCO ESTADO\2012 DEPTO ESCRITURAS fata\NOTARIA 2009\CESION DE DERECHOS HEREDITARIOS\Hector Santander Araya y otros.doc", "Abrir Documento")</f>
        <v>0</v>
      </c>
      <c r="D13541" t="s">
        <v>23500</v>
      </c>
      <c r="E13541" t="s">
        <v>36016</v>
      </c>
    </row>
    <row r="13542" spans="1:5">
      <c r="A13542" t="s">
        <v>6</v>
      </c>
      <c r="B13542" t="s">
        <v>13547</v>
      </c>
      <c r="C13542">
        <f>HYPERLINK("C:\Users\franc\OneDrive\Documentos\MALENTIN KARIME\BANCO ESTADO\2012 DEPTO ESCRITURAS fata\NOTARIA 2009\CESION DE DERECHOS HEREDITARIOS\HAYDEE MOLINA Y OTRO A ISABEL OGALDE.doc", "Abrir Documento")</f>
        <v>0</v>
      </c>
      <c r="D13542" t="s">
        <v>23500</v>
      </c>
      <c r="E13542" t="s">
        <v>36017</v>
      </c>
    </row>
    <row r="13543" spans="1:5">
      <c r="A13543" t="s">
        <v>6</v>
      </c>
      <c r="B13543" t="s">
        <v>13548</v>
      </c>
      <c r="C13543">
        <f>HYPERLINK("C:\Users\franc\OneDrive\Documentos\MALENTIN KARIME\BANCO ESTADO\2012 DEPTO ESCRITURAS fata\NOTARIA 2009\CESION DE DERECHOS HEREDITARIOS\HAYDEE MOLINA Y OTRO A ELBA OGALDE.doc", "Abrir Documento")</f>
        <v>0</v>
      </c>
      <c r="D13543" t="s">
        <v>23500</v>
      </c>
      <c r="E13543" t="s">
        <v>36018</v>
      </c>
    </row>
    <row r="13544" spans="1:5">
      <c r="A13544" t="s">
        <v>6</v>
      </c>
      <c r="B13544" t="s">
        <v>13549</v>
      </c>
      <c r="C13544">
        <f>HYPERLINK("C:\Users\franc\OneDrive\Documentos\MALENTIN KARIME\BANCO ESTADO\2012 DEPTO ESCRITURAS fata\NOTARIA 2009\CESION DE DERECHOS HEREDITARIOS\GUILLERMO MORGADO A JACQUELINE.doc", "Abrir Documento")</f>
        <v>0</v>
      </c>
      <c r="D13544" t="s">
        <v>23500</v>
      </c>
      <c r="E13544" t="s">
        <v>36019</v>
      </c>
    </row>
    <row r="13545" spans="1:5">
      <c r="A13545" t="s">
        <v>6</v>
      </c>
      <c r="B13545" t="s">
        <v>13550</v>
      </c>
      <c r="C13545">
        <f>HYPERLINK("C:\Users\franc\OneDrive\Documentos\MALENTIN KARIME\BANCO ESTADO\2012 DEPTO ESCRITURAS fata\NOTARIA 2009\CESION DE DERECHOS HEREDITARIOS\GRACIELA VARELA Y OTROS A ADOLFO ARAYA.doc", "Abrir Documento")</f>
        <v>0</v>
      </c>
      <c r="D13545" t="s">
        <v>23500</v>
      </c>
      <c r="E13545" t="s">
        <v>36020</v>
      </c>
    </row>
    <row r="13546" spans="1:5">
      <c r="A13546" t="s">
        <v>6</v>
      </c>
      <c r="B13546" t="s">
        <v>13551</v>
      </c>
      <c r="C13546">
        <f>HYPERLINK("C:\Users\franc\OneDrive\Documentos\MALENTIN KARIME\BANCO ESTADO\2012 DEPTO ESCRITURAS fata\NOTARIA 2009\CESION DE DERECHOS HEREDITARIOS\GRACIELA  VARELA Y OTROS A ANGELA ROJAS (NO TODOS).doc", "Abrir Documento")</f>
        <v>0</v>
      </c>
      <c r="D13546" t="s">
        <v>23500</v>
      </c>
      <c r="E13546" t="s">
        <v>36021</v>
      </c>
    </row>
    <row r="13547" spans="1:5">
      <c r="A13547" t="s">
        <v>6</v>
      </c>
      <c r="B13547" t="s">
        <v>13552</v>
      </c>
      <c r="C13547">
        <f>HYPERLINK("C:\Users\franc\OneDrive\Documentos\MALENTIN KARIME\BANCO ESTADO\2012 DEPTO ESCRITURAS fata\NOTARIA 2009\CESION DE DERECHOS HEREDITARIOS\EVARISTO INAREJO A SU HIJA.doc", "Abrir Documento")</f>
        <v>0</v>
      </c>
      <c r="D13547" t="s">
        <v>23500</v>
      </c>
      <c r="E13547" t="s">
        <v>36022</v>
      </c>
    </row>
    <row r="13548" spans="1:5">
      <c r="A13548" t="s">
        <v>6</v>
      </c>
      <c r="B13548" t="s">
        <v>13553</v>
      </c>
      <c r="C13548">
        <f>HYPERLINK("C:\Users\franc\OneDrive\Documentos\MALENTIN KARIME\BANCO ESTADO\2012 DEPTO ESCRITURAS fata\NOTARIA 2009\CESION DE DERECHOS HEREDITARIOS\ERNESTINA ROJAS y otros.doc", "Abrir Documento")</f>
        <v>0</v>
      </c>
      <c r="D13548" t="s">
        <v>23500</v>
      </c>
      <c r="E13548" t="s">
        <v>36023</v>
      </c>
    </row>
    <row r="13549" spans="1:5">
      <c r="A13549" t="s">
        <v>6</v>
      </c>
      <c r="B13549" t="s">
        <v>13554</v>
      </c>
      <c r="C13549">
        <f>HYPERLINK("C:\Users\franc\OneDrive\Documentos\MALENTIN KARIME\BANCO ESTADO\2012 DEPTO ESCRITURAS fata\NOTARIA 2009\CESION DE DERECHOS HEREDITARIOS\ERNESTINA ROJAS MILLA Y OTROS A DOMINGA ROJAS.doc", "Abrir Documento")</f>
        <v>0</v>
      </c>
      <c r="D13549" t="s">
        <v>23500</v>
      </c>
      <c r="E13549" t="s">
        <v>36024</v>
      </c>
    </row>
    <row r="13550" spans="1:5">
      <c r="A13550" t="s">
        <v>6</v>
      </c>
      <c r="B13550" t="s">
        <v>13555</v>
      </c>
      <c r="C13550">
        <f>HYPERLINK("C:\Users\franc\OneDrive\Documentos\MALENTIN KARIME\BANCO ESTADO\2012 DEPTO ESCRITURAS fata\NOTARIA 2009\CESION DE DERECHOS HEREDITARIOS\DANIEL SANCHEZ Y OT. A FELISA ARANCIBIA.doc", "Abrir Documento")</f>
        <v>0</v>
      </c>
      <c r="D13550" t="s">
        <v>23500</v>
      </c>
      <c r="E13550" t="s">
        <v>36025</v>
      </c>
    </row>
    <row r="13551" spans="1:5">
      <c r="A13551" t="s">
        <v>6</v>
      </c>
      <c r="B13551" t="s">
        <v>13556</v>
      </c>
      <c r="C13551">
        <f>HYPERLINK("C:\Users\franc\OneDrive\Documentos\MALENTIN KARIME\BANCO ESTADO\2012 DEPTO ESCRITURAS fata\NOTARIA 2009\CESION DE DERECHOS HEREDITARIOS\CLARISA TAPIA Y OTROS A SU MAMA.doc", "Abrir Documento")</f>
        <v>0</v>
      </c>
      <c r="D13551" t="s">
        <v>23500</v>
      </c>
      <c r="E13551" t="s">
        <v>36026</v>
      </c>
    </row>
    <row r="13552" spans="1:5">
      <c r="A13552" t="s">
        <v>6</v>
      </c>
      <c r="B13552" t="s">
        <v>13557</v>
      </c>
      <c r="C13552">
        <f>HYPERLINK("C:\Users\franc\OneDrive\Documentos\MALENTIN KARIME\BANCO ESTADO\2012 DEPTO ESCRITURAS fata\NOTARIA 2009\CESION DE DERECHOS HEREDITARIOS\cesion.doc", "Abrir Documento")</f>
        <v>0</v>
      </c>
      <c r="D13552" t="s">
        <v>23500</v>
      </c>
      <c r="E13552" t="s">
        <v>36027</v>
      </c>
    </row>
    <row r="13553" spans="1:5">
      <c r="A13553" t="s">
        <v>6</v>
      </c>
      <c r="B13553" t="s">
        <v>13558</v>
      </c>
      <c r="C13553">
        <f>HYPERLINK("C:\Users\franc\OneDrive\Documentos\MALENTIN KARIME\BANCO ESTADO\2012 DEPTO ESCRITURAS fata\NOTARIA 2009\CESION DE DERECHOS HEREDITARIOS\CARMEN BUGUEÑO Y OTROS A SU PADRE.doc", "Abrir Documento")</f>
        <v>0</v>
      </c>
      <c r="D13553" t="s">
        <v>23500</v>
      </c>
      <c r="E13553" t="s">
        <v>36028</v>
      </c>
    </row>
    <row r="13554" spans="1:5">
      <c r="A13554" t="s">
        <v>6</v>
      </c>
      <c r="B13554" t="s">
        <v>13559</v>
      </c>
      <c r="C13554">
        <f>HYPERLINK("C:\Users\franc\OneDrive\Documentos\MALENTIN KARIME\BANCO ESTADO\2012 DEPTO ESCRITURAS fata\NOTARIA 2009\CESION DE DERECHOS HEREDITARIOS\CARLOS VELIZ Y OTRS. A RICARDO VELIZ.doc", "Abrir Documento")</f>
        <v>0</v>
      </c>
      <c r="D13554" t="s">
        <v>23500</v>
      </c>
      <c r="E13554" t="s">
        <v>36029</v>
      </c>
    </row>
    <row r="13555" spans="1:5">
      <c r="A13555" t="s">
        <v>6</v>
      </c>
      <c r="B13555" t="s">
        <v>13560</v>
      </c>
      <c r="C13555">
        <f>HYPERLINK("C:\Users\franc\OneDrive\Documentos\MALENTIN KARIME\BANCO ESTADO\2012 DEPTO ESCRITURAS fata\NOTARIA 2009\CESION DE DERECHOS HEREDITARIOS\CARLOS CARMONA A MANUEL CARMONA (SOLO).doc", "Abrir Documento")</f>
        <v>0</v>
      </c>
      <c r="D13555" t="s">
        <v>23500</v>
      </c>
      <c r="E13555" t="s">
        <v>36030</v>
      </c>
    </row>
    <row r="13556" spans="1:5">
      <c r="A13556" t="s">
        <v>6</v>
      </c>
      <c r="B13556" t="s">
        <v>13561</v>
      </c>
      <c r="C13556">
        <f>HYPERLINK("C:\Users\franc\OneDrive\Documentos\MALENTIN KARIME\BANCO ESTADO\2012 DEPTO ESCRITURAS fata\NOTARIA 2009\CESION DE DERECHOS HEREDITARIOS\ALEJANDRO VARELA A SUS HIJOS  (NO TODOS).doc", "Abrir Documento")</f>
        <v>0</v>
      </c>
      <c r="D13556" t="s">
        <v>23500</v>
      </c>
      <c r="E13556" t="s">
        <v>36031</v>
      </c>
    </row>
    <row r="13557" spans="1:5">
      <c r="A13557" t="s">
        <v>6</v>
      </c>
      <c r="B13557" t="s">
        <v>13562</v>
      </c>
      <c r="C13557">
        <f>HYPERLINK("C:\Users\franc\OneDrive\Documentos\MALENTIN KARIME\BANCO ESTADO\2012 DEPTO ESCRITURAS fata\NOTARIA 2009\CESION DE DERECHOS HEREDITARIOS\ADOLFO ALVARADO A ERNEST ALVARADO.doc", "Abrir Documento")</f>
        <v>0</v>
      </c>
      <c r="D13557" t="s">
        <v>23500</v>
      </c>
      <c r="E13557" t="s">
        <v>36032</v>
      </c>
    </row>
    <row r="13558" spans="1:5">
      <c r="A13558" t="s">
        <v>6</v>
      </c>
      <c r="B13558" t="s">
        <v>13563</v>
      </c>
      <c r="C13558">
        <f>HYPERLINK("C:\Users\franc\OneDrive\Documentos\MALENTIN KARIME\BANCO ESTADO\2012 DEPTO ESCRITURAS fata\NOTARIA 2009\CESION DE DERECHOS\GABRIELA MONDACA A FRANKLIN MONDACA  PARCE 6 Y 7.doc", "Abrir Documento")</f>
        <v>0</v>
      </c>
      <c r="D13558" t="s">
        <v>23500</v>
      </c>
      <c r="E13558" t="s">
        <v>36033</v>
      </c>
    </row>
    <row r="13559" spans="1:5">
      <c r="A13559" t="s">
        <v>6</v>
      </c>
      <c r="B13559" t="s">
        <v>13564</v>
      </c>
      <c r="C13559">
        <f>HYPERLINK("C:\Users\franc\OneDrive\Documentos\MALENTIN KARIME\BANCO ESTADO\2012 DEPTO ESCRITURAS fata\NOTARIA 2009\CESION DE DERECHOS\FRANKLIN MONDACA A GABRIELA MONDACA TALHUEN.doc", "Abrir Documento")</f>
        <v>0</v>
      </c>
      <c r="D13559" t="s">
        <v>23500</v>
      </c>
      <c r="E13559" t="s">
        <v>36034</v>
      </c>
    </row>
    <row r="13560" spans="1:5">
      <c r="A13560" t="s">
        <v>6</v>
      </c>
      <c r="B13560" t="s">
        <v>13565</v>
      </c>
      <c r="C13560">
        <f>HYPERLINK("C:\Users\franc\OneDrive\Documentos\MALENTIN KARIME\BANCO ESTADO\2012 DEPTO ESCRITURAS fata\NOTARIA 2009\CESION DE DERECHOS\EULALIA ERAZO A GUSTAVO MOLINA.doc", "Abrir Documento")</f>
        <v>0</v>
      </c>
      <c r="D13560" t="s">
        <v>23500</v>
      </c>
      <c r="E13560" t="s">
        <v>36035</v>
      </c>
    </row>
    <row r="13561" spans="1:5">
      <c r="A13561" t="s">
        <v>6</v>
      </c>
      <c r="B13561" t="s">
        <v>13566</v>
      </c>
      <c r="C13561">
        <f>HYPERLINK("C:\Users\franc\OneDrive\Documentos\MALENTIN KARIME\BANCO ESTADO\2012 DEPTO ESCRITURAS fata\NOTARIA 2009\CESION ACCIONES MINERAS\WLADIMIR VALDIVIA A MARJORIE ASTUDILLO (MANUELITO 1-15.doc", "Abrir Documento")</f>
        <v>0</v>
      </c>
      <c r="D13561" t="s">
        <v>23500</v>
      </c>
      <c r="E13561" t="s">
        <v>36036</v>
      </c>
    </row>
    <row r="13562" spans="1:5">
      <c r="A13562" t="s">
        <v>6</v>
      </c>
      <c r="B13562" t="s">
        <v>13567</v>
      </c>
      <c r="C13562">
        <f>HYPERLINK("C:\Users\franc\OneDrive\Documentos\MALENTIN KARIME\BANCO ESTADO\2012 DEPTO ESCRITURAS fata\NOTARIA 2009\CESION ACCIONES MINERAS\WLADIMIR VALDIVIA A MARJORIE ASTUDILLO (50 ACC).doc", "Abrir Documento")</f>
        <v>0</v>
      </c>
      <c r="D13562" t="s">
        <v>23500</v>
      </c>
      <c r="E13562" t="s">
        <v>36037</v>
      </c>
    </row>
    <row r="13563" spans="1:5">
      <c r="A13563" t="s">
        <v>6</v>
      </c>
      <c r="B13563" t="s">
        <v>13568</v>
      </c>
      <c r="C13563">
        <f>HYPERLINK("C:\Users\franc\OneDrive\Documentos\MALENTIN KARIME\BANCO ESTADO\2012 DEPTO ESCRITURAS fata\NOTARIA 2009\CESION ACCIONES MINERAS\SLM LA LAJA A PEDRO ROJAS (PERNENECIAS).doc", "Abrir Documento")</f>
        <v>0</v>
      </c>
      <c r="D13563" t="s">
        <v>23500</v>
      </c>
      <c r="E13563" t="s">
        <v>36038</v>
      </c>
    </row>
    <row r="13564" spans="1:5">
      <c r="A13564" t="s">
        <v>6</v>
      </c>
      <c r="B13564" t="s">
        <v>13569</v>
      </c>
      <c r="C13564">
        <f>HYPERLINK("C:\Users\franc\OneDrive\Documentos\MALENTIN KARIME\BANCO ESTADO\2012 DEPTO ESCRITURAS fata\NOTARIA 2009\CESION ACCIONES MINERAS\MODELO VENTA PERTENENCIAS.doc", "Abrir Documento")</f>
        <v>0</v>
      </c>
      <c r="D13564" t="s">
        <v>23500</v>
      </c>
      <c r="E13564" t="s">
        <v>36039</v>
      </c>
    </row>
    <row r="13565" spans="1:5">
      <c r="A13565" t="s">
        <v>6</v>
      </c>
      <c r="B13565" t="s">
        <v>13570</v>
      </c>
      <c r="C13565">
        <f>HYPERLINK("C:\Users\franc\OneDrive\Documentos\MALENTIN KARIME\BANCO ESTADO\2012 DEPTO ESCRITURAS fata\NOTARIA 2009\CESION ACCIONES MINERAS\MARCIAL VEGA A ROLANDO JERIA (BICKMAR ).doc", "Abrir Documento")</f>
        <v>0</v>
      </c>
      <c r="D13565" t="s">
        <v>23500</v>
      </c>
      <c r="E13565" t="s">
        <v>36040</v>
      </c>
    </row>
    <row r="13566" spans="1:5">
      <c r="A13566" t="s">
        <v>6</v>
      </c>
      <c r="B13566" t="s">
        <v>13571</v>
      </c>
      <c r="C13566">
        <f>HYPERLINK("C:\Users\franc\OneDrive\Documentos\MALENTIN KARIME\BANCO ESTADO\2012 DEPTO ESCRITURAS fata\NOTARIA 2009\CESION ACCIONES MINERAS\MARCELO PIZARRO A AMILCAR PIZARRO.doc", "Abrir Documento")</f>
        <v>0</v>
      </c>
      <c r="D13566" t="s">
        <v>23500</v>
      </c>
      <c r="E13566" t="s">
        <v>36041</v>
      </c>
    </row>
    <row r="13567" spans="1:5">
      <c r="A13567" t="s">
        <v>6</v>
      </c>
      <c r="B13567" t="s">
        <v>13572</v>
      </c>
      <c r="C13567">
        <f>HYPERLINK("C:\Users\franc\OneDrive\Documentos\MALENTIN KARIME\BANCO ESTADO\2012 DEPTO ESCRITURAS fata\NOTARIA 2009\CESION ACCIONES MINERAS\MA. PAZ TELLO A CLAUDIA TELLO.doc", "Abrir Documento")</f>
        <v>0</v>
      </c>
      <c r="D13567" t="s">
        <v>23500</v>
      </c>
      <c r="E13567" t="s">
        <v>36042</v>
      </c>
    </row>
    <row r="13568" spans="1:5">
      <c r="A13568" t="s">
        <v>6</v>
      </c>
      <c r="B13568" t="s">
        <v>13573</v>
      </c>
      <c r="C13568">
        <f>HYPERLINK("C:\Users\franc\OneDrive\Documentos\MALENTIN KARIME\BANCO ESTADO\2012 DEPTO ESCRITURAS fata\NOTARIA 2009\CESION ACCIONES MINERAS\LUZ ALVAREZ A PRISCILLA FLORES (PERNENECIAS).doc", "Abrir Documento")</f>
        <v>0</v>
      </c>
      <c r="D13568" t="s">
        <v>23500</v>
      </c>
      <c r="E13568" t="s">
        <v>36043</v>
      </c>
    </row>
    <row r="13569" spans="1:5">
      <c r="A13569" t="s">
        <v>6</v>
      </c>
      <c r="B13569" t="s">
        <v>13574</v>
      </c>
      <c r="C13569">
        <f>HYPERLINK("C:\Users\franc\OneDrive\Documentos\MALENTIN KARIME\BANCO ESTADO\2012 DEPTO ESCRITURAS fata\NOTARIA 2009\CESION ACCIONES MINERAS\LEANDRO SEGOVIA A  (HIJO ) ACCIONES.doc", "Abrir Documento")</f>
        <v>0</v>
      </c>
      <c r="D13569" t="s">
        <v>23500</v>
      </c>
      <c r="E13569" t="s">
        <v>36044</v>
      </c>
    </row>
    <row r="13570" spans="1:5">
      <c r="A13570" t="s">
        <v>6</v>
      </c>
      <c r="B13570" t="s">
        <v>13575</v>
      </c>
      <c r="C13570">
        <f>HYPERLINK("C:\Users\franc\OneDrive\Documentos\MALENTIN KARIME\BANCO ESTADO\2012 DEPTO ESCRITURAS fata\NOTARIA 2009\CESION ACCIONES MINERAS\JUANA SARMIENTO A SUS HIJOS.doc", "Abrir Documento")</f>
        <v>0</v>
      </c>
      <c r="D13570" t="s">
        <v>23500</v>
      </c>
      <c r="E13570" t="s">
        <v>36045</v>
      </c>
    </row>
    <row r="13571" spans="1:5">
      <c r="A13571" t="s">
        <v>6</v>
      </c>
      <c r="B13571" t="s">
        <v>13576</v>
      </c>
      <c r="C13571">
        <f>HYPERLINK("C:\Users\franc\OneDrive\Documentos\MALENTIN KARIME\BANCO ESTADO\2012 DEPTO ESCRITURAS fata\NOTARIA 2009\CESION ACCIONES MINERAS\JORGE ARACENA A PEDRO VARAS  CES..doc", "Abrir Documento")</f>
        <v>0</v>
      </c>
      <c r="D13571" t="s">
        <v>23500</v>
      </c>
      <c r="E13571" t="s">
        <v>36046</v>
      </c>
    </row>
    <row r="13572" spans="1:5">
      <c r="A13572" t="s">
        <v>6</v>
      </c>
      <c r="B13572" t="s">
        <v>13577</v>
      </c>
      <c r="C13572">
        <f>HYPERLINK("C:\Users\franc\OneDrive\Documentos\MALENTIN KARIME\BANCO ESTADO\2012 DEPTO ESCRITURAS fata\NOTARIA 2009\CESION ACCIONES MINERAS\JORGE ARACENA A PEDRO VARAS  CES. NOV. 2009.-.doc", "Abrir Documento")</f>
        <v>0</v>
      </c>
      <c r="D13572" t="s">
        <v>23500</v>
      </c>
      <c r="E13572" t="s">
        <v>36047</v>
      </c>
    </row>
    <row r="13573" spans="1:5">
      <c r="A13573" t="s">
        <v>6</v>
      </c>
      <c r="B13573" t="s">
        <v>13578</v>
      </c>
      <c r="C13573">
        <f>HYPERLINK("C:\Users\franc\OneDrive\Documentos\MALENTIN KARIME\BANCO ESTADO\2012 DEPTO ESCRITURAS fata\NOTARIA 2009\CESION ACCIONES MINERAS\JORGE ARACENA A CARLOS.doc", "Abrir Documento")</f>
        <v>0</v>
      </c>
      <c r="D13573" t="s">
        <v>23500</v>
      </c>
      <c r="E13573" t="s">
        <v>36048</v>
      </c>
    </row>
    <row r="13574" spans="1:5">
      <c r="A13574" t="s">
        <v>6</v>
      </c>
      <c r="B13574" t="s">
        <v>13579</v>
      </c>
      <c r="C13574">
        <f>HYPERLINK("C:\Users\franc\OneDrive\Documentos\MALENTIN KARIME\BANCO ESTADO\2012 DEPTO ESCRITURAS fata\NOTARIA 2009\CESION ACCIONES MINERAS\ISAAC ALAMO A SU HIJO (VENTA PERTENENCIAS).doc", "Abrir Documento")</f>
        <v>0</v>
      </c>
      <c r="D13574" t="s">
        <v>23500</v>
      </c>
      <c r="E13574" t="s">
        <v>36049</v>
      </c>
    </row>
    <row r="13575" spans="1:5">
      <c r="A13575" t="s">
        <v>6</v>
      </c>
      <c r="B13575" t="s">
        <v>13580</v>
      </c>
      <c r="C13575">
        <f>HYPERLINK("C:\Users\franc\OneDrive\Documentos\MALENTIN KARIME\BANCO ESTADO\2012 DEPTO ESCRITURAS fata\NOTARIA 2009\CESION ACCIONES MINERAS\HERNAN CORTES A JUAN RAMIREZ (DERECHOS).doc", "Abrir Documento")</f>
        <v>0</v>
      </c>
      <c r="D13575" t="s">
        <v>23500</v>
      </c>
      <c r="E13575" t="s">
        <v>36050</v>
      </c>
    </row>
    <row r="13576" spans="1:5">
      <c r="A13576" t="s">
        <v>6</v>
      </c>
      <c r="B13576" t="s">
        <v>13581</v>
      </c>
      <c r="C13576">
        <f>HYPERLINK("C:\Users\franc\OneDrive\Documentos\MALENTIN KARIME\BANCO ESTADO\2012 DEPTO ESCRITURAS fata\NOTARIA 2009\CESION ACCIONES MINERAS\HERIB ERTO RAMOS Y OTR A NICONOR VILLALOBOS.doc", "Abrir Documento")</f>
        <v>0</v>
      </c>
      <c r="D13576" t="s">
        <v>23500</v>
      </c>
      <c r="E13576" t="s">
        <v>36051</v>
      </c>
    </row>
    <row r="13577" spans="1:5">
      <c r="A13577" t="s">
        <v>6</v>
      </c>
      <c r="B13577" t="s">
        <v>13582</v>
      </c>
      <c r="C13577">
        <f>HYPERLINK("C:\Users\franc\OneDrive\Documentos\MALENTIN KARIME\BANCO ESTADO\2012 DEPTO ESCRITURAS fata\NOTARIA 2009\CESION ACCIONES MINERAS\GONZALO GUERRERO A PRISCILLA FLORES.doc", "Abrir Documento")</f>
        <v>0</v>
      </c>
      <c r="D13577" t="s">
        <v>23500</v>
      </c>
      <c r="E13577" t="s">
        <v>36052</v>
      </c>
    </row>
    <row r="13578" spans="1:5">
      <c r="A13578" t="s">
        <v>6</v>
      </c>
      <c r="B13578" t="s">
        <v>13583</v>
      </c>
      <c r="C13578">
        <f>HYPERLINK("C:\Users\franc\OneDrive\Documentos\MALENTIN KARIME\BANCO ESTADO\2012 DEPTO ESCRITURAS fata\NOTARIA 2009\CESION ACCIONES MINERAS\FREDY CORTES A  FRANCISCO BALLON.doc", "Abrir Documento")</f>
        <v>0</v>
      </c>
      <c r="D13578" t="s">
        <v>23500</v>
      </c>
      <c r="E13578" t="s">
        <v>36053</v>
      </c>
    </row>
    <row r="13579" spans="1:5">
      <c r="A13579" t="s">
        <v>6</v>
      </c>
      <c r="B13579" t="s">
        <v>13584</v>
      </c>
      <c r="C13579">
        <f>HYPERLINK("C:\Users\franc\OneDrive\Documentos\MALENTIN KARIME\BANCO ESTADO\2012 DEPTO ESCRITURAS fata\NOTARIA 2009\CESION ACCIONES MINERAS\FREDY CORTES A  FRANCISCO BALLON ( 2).doc", "Abrir Documento")</f>
        <v>0</v>
      </c>
      <c r="D13579" t="s">
        <v>23500</v>
      </c>
      <c r="E13579" t="s">
        <v>36054</v>
      </c>
    </row>
    <row r="13580" spans="1:5">
      <c r="A13580" t="s">
        <v>6</v>
      </c>
      <c r="B13580" t="s">
        <v>13585</v>
      </c>
      <c r="C13580">
        <f>HYPERLINK("C:\Users\franc\OneDrive\Documentos\MALENTIN KARIME\BANCO ESTADO\2012 DEPTO ESCRITURAS fata\NOTARIA 2009\CESION ACCIONES MINERAS\FELIX CORTES A CESAR FLORES (ACCIONES).doc", "Abrir Documento")</f>
        <v>0</v>
      </c>
      <c r="D13580" t="s">
        <v>23500</v>
      </c>
      <c r="E13580" t="s">
        <v>36055</v>
      </c>
    </row>
    <row r="13581" spans="1:5">
      <c r="A13581" t="s">
        <v>6</v>
      </c>
      <c r="B13581" t="s">
        <v>13586</v>
      </c>
      <c r="C13581">
        <f>HYPERLINK("C:\Users\franc\OneDrive\Documentos\MALENTIN KARIME\BANCO ESTADO\2012 DEPTO ESCRITURAS fata\NOTARIA 2009\CESION ACCIONES MINERAS\FALCONERI MUNIZAGA A SUS HIJOS 2.doc", "Abrir Documento")</f>
        <v>0</v>
      </c>
      <c r="D13581" t="s">
        <v>23500</v>
      </c>
      <c r="E13581" t="s">
        <v>36056</v>
      </c>
    </row>
    <row r="13582" spans="1:5">
      <c r="A13582" t="s">
        <v>6</v>
      </c>
      <c r="B13582" t="s">
        <v>13587</v>
      </c>
      <c r="C13582">
        <f>HYPERLINK("C:\Users\franc\OneDrive\Documentos\MALENTIN KARIME\BANCO ESTADO\2012 DEPTO ESCRITURAS fata\NOTARIA 2009\CESION ACCIONES MINERAS\FALCONERI MUNIZAGA A SUS HIJOS (CV DERECHOS.doc", "Abrir Documento")</f>
        <v>0</v>
      </c>
      <c r="D13582" t="s">
        <v>23500</v>
      </c>
      <c r="E13582" t="s">
        <v>36057</v>
      </c>
    </row>
    <row r="13583" spans="1:5">
      <c r="A13583" t="s">
        <v>6</v>
      </c>
      <c r="B13583" t="s">
        <v>13588</v>
      </c>
      <c r="C13583">
        <f>HYPERLINK("C:\Users\franc\OneDrive\Documentos\MALENTIN KARIME\BANCO ESTADO\2012 DEPTO ESCRITURAS fata\NOTARIA 2009\CESION ACCIONES MINERAS\EDUARDO ORDAZ A MANUEL ORDAZ.doc", "Abrir Documento")</f>
        <v>0</v>
      </c>
      <c r="D13583" t="s">
        <v>23500</v>
      </c>
      <c r="E13583" t="s">
        <v>36058</v>
      </c>
    </row>
    <row r="13584" spans="1:5">
      <c r="A13584" t="s">
        <v>6</v>
      </c>
      <c r="B13584" t="s">
        <v>13589</v>
      </c>
      <c r="C13584">
        <f>HYPERLINK("C:\Users\franc\OneDrive\Documentos\MALENTIN KARIME\BANCO ESTADO\2012 DEPTO ESCRITURAS fata\NOTARIA 2009\CESION ACCIONES MINERAS\CESAR ROMERO A ORIEL CISTERNAS (50%) MANIFE.doc", "Abrir Documento")</f>
        <v>0</v>
      </c>
      <c r="D13584" t="s">
        <v>23500</v>
      </c>
      <c r="E13584" t="s">
        <v>36059</v>
      </c>
    </row>
    <row r="13585" spans="1:5">
      <c r="A13585" t="s">
        <v>6</v>
      </c>
      <c r="B13585" t="s">
        <v>13590</v>
      </c>
      <c r="C13585">
        <f>HYPERLINK("C:\Users\franc\OneDrive\Documentos\MALENTIN KARIME\BANCO ESTADO\2012 DEPTO ESCRITURAS fata\NOTARIA 2009\CESION ACCIONES MINERAS\CESAR FLORES A IVAN RAYLYAN (DON FERNANDO ).doc", "Abrir Documento")</f>
        <v>0</v>
      </c>
      <c r="D13585" t="s">
        <v>23500</v>
      </c>
      <c r="E13585" t="s">
        <v>36060</v>
      </c>
    </row>
    <row r="13586" spans="1:5">
      <c r="A13586" t="s">
        <v>6</v>
      </c>
      <c r="B13586" t="s">
        <v>13591</v>
      </c>
      <c r="C13586">
        <f>HYPERLINK("C:\Users\franc\OneDrive\Documentos\MALENTIN KARIME\BANCO ESTADO\2012 DEPTO ESCRITURAS fata\NOTARIA 2009\CESION ACCIONES MINERAS\CESAR FLORES A FELIX CORTES (AGOSTO 2009).doc", "Abrir Documento")</f>
        <v>0</v>
      </c>
      <c r="D13586" t="s">
        <v>23500</v>
      </c>
      <c r="E13586" t="s">
        <v>36061</v>
      </c>
    </row>
    <row r="13587" spans="1:5">
      <c r="A13587" t="s">
        <v>6</v>
      </c>
      <c r="B13587" t="s">
        <v>13592</v>
      </c>
      <c r="C13587">
        <f>HYPERLINK("C:\Users\franc\OneDrive\Documentos\MALENTIN KARIME\BANCO ESTADO\2012 DEPTO ESCRITURAS fata\NOTARIA 2009\CESION ACCIONES MINERAS\ANGEL CASTILLO A ANGEL CASTILLO (HIJO ) ACCIONES.doc", "Abrir Documento")</f>
        <v>0</v>
      </c>
      <c r="D13587" t="s">
        <v>23500</v>
      </c>
      <c r="E13587" t="s">
        <v>36062</v>
      </c>
    </row>
    <row r="13588" spans="1:5">
      <c r="A13588" t="s">
        <v>6</v>
      </c>
      <c r="B13588" t="s">
        <v>13593</v>
      </c>
      <c r="C13588">
        <f>HYPERLINK("C:\Users\franc\OneDrive\Documentos\MALENTIN KARIME\BANCO ESTADO\2012 DEPTO ESCRITURAS fata\NOTARIA 2009\CESION ACCIONES MINERAS\ALBERTO NUÑEZ A AMILCAR NUÑEZ (PERTENTENCIAS).doc", "Abrir Documento")</f>
        <v>0</v>
      </c>
      <c r="D13588" t="s">
        <v>23500</v>
      </c>
      <c r="E13588" t="s">
        <v>36063</v>
      </c>
    </row>
    <row r="13589" spans="1:5">
      <c r="A13589" t="s">
        <v>6</v>
      </c>
      <c r="B13589" t="s">
        <v>13594</v>
      </c>
      <c r="C13589">
        <f>HYPERLINK("C:\Users\franc\OneDrive\Documentos\MALENTIN KARIME\BANCO ESTADO\2012 DEPTO ESCRITURAS fata\NOTARIA 2009\CESION ACCIONES MINERAS\ADRIAN TELLO A WALDO CANEO.doc", "Abrir Documento")</f>
        <v>0</v>
      </c>
      <c r="D13589" t="s">
        <v>23500</v>
      </c>
      <c r="E13589" t="s">
        <v>36064</v>
      </c>
    </row>
    <row r="13590" spans="1:5">
      <c r="A13590" t="s">
        <v>6</v>
      </c>
      <c r="B13590" t="s">
        <v>13595</v>
      </c>
      <c r="C13590">
        <f>HYPERLINK("C:\Users\franc\OneDrive\Documentos\MALENTIN KARIME\BANCO ESTADO\2012 DEPTO ESCRITURAS fata\NOTARIA 2009\CERTIFICADOS MINAS\ESPINAL 1 AL 20.doc", "Abrir Documento")</f>
        <v>0</v>
      </c>
      <c r="D13590" t="s">
        <v>23500</v>
      </c>
      <c r="E13590" t="s">
        <v>36065</v>
      </c>
    </row>
    <row r="13591" spans="1:5">
      <c r="A13591" t="s">
        <v>6</v>
      </c>
      <c r="B13591" t="s">
        <v>13596</v>
      </c>
      <c r="C13591">
        <f>HYPERLINK("C:\Users\franc\OneDrive\Documentos\MALENTIN KARIME\BANCO ESTADO\2012 DEPTO ESCRITURAS fata\NOTARIA 2009\CAROLINA ADAOS\CESION INAREJO.doc", "Abrir Documento")</f>
        <v>0</v>
      </c>
      <c r="D13591" t="s">
        <v>23500</v>
      </c>
      <c r="E13591" t="s">
        <v>36066</v>
      </c>
    </row>
    <row r="13592" spans="1:5">
      <c r="A13592" t="s">
        <v>6</v>
      </c>
      <c r="B13592" t="s">
        <v>13597</v>
      </c>
      <c r="C13592">
        <f>HYPERLINK("C:\Users\franc\OneDrive\Documentos\MALENTIN KARIME\BANCO ESTADO\2012 DEPTO ESCRITURAS fata\NOTARIA 2009\CARLOS BUGUEÑÑ\REDUCCION\COMUNIDAD BUENOS AIRES.doc", "Abrir Documento")</f>
        <v>0</v>
      </c>
      <c r="D13592" t="s">
        <v>23500</v>
      </c>
      <c r="E13592" t="s">
        <v>36067</v>
      </c>
    </row>
    <row r="13593" spans="1:5">
      <c r="A13593" t="s">
        <v>6</v>
      </c>
      <c r="B13593" t="s">
        <v>13598</v>
      </c>
      <c r="C13593">
        <f>HYPERLINK("C:\Users\franc\OneDrive\Documentos\MALENTIN KARIME\BANCO ESTADO\2012 DEPTO ESCRITURAS fata\NOTARIA 2009\CARLOS BUGUEÑÑ\MANLIO METTIFOGO\SOC. AGRIC. STA. ANA A LEONTINA ACUÑA.doc", "Abrir Documento")</f>
        <v>0</v>
      </c>
      <c r="D13593" t="s">
        <v>23500</v>
      </c>
      <c r="E13593" t="s">
        <v>36068</v>
      </c>
    </row>
    <row r="13594" spans="1:5">
      <c r="A13594" t="s">
        <v>6</v>
      </c>
      <c r="B13594" t="s">
        <v>13599</v>
      </c>
      <c r="C13594">
        <f>HYPERLINK("C:\Users\franc\OneDrive\Documentos\MALENTIN KARIME\BANCO ESTADO\2012 DEPTO ESCRITURAS fata\NOTARIA 2009\CARLOS BUGUEÑÑ\MANLIO METTIFOGO\MODELO NOTARIO.doc", "Abrir Documento")</f>
        <v>0</v>
      </c>
      <c r="D13594" t="s">
        <v>23500</v>
      </c>
      <c r="E13594" t="s">
        <v>36069</v>
      </c>
    </row>
    <row r="13595" spans="1:5">
      <c r="A13595" t="s">
        <v>6</v>
      </c>
      <c r="B13595" t="s">
        <v>13600</v>
      </c>
      <c r="C13595">
        <f>HYPERLINK("C:\Users\franc\OneDrive\Documentos\MALENTIN KARIME\BANCO ESTADO\2012 DEPTO ESCRITURAS fata\NOTARIA 2009\CARLOS BUGUEÑÑ\MANLIO METTIFOGO\ANA SALINAS Y OTRO A LEONTINA ACUÑA MANDATO GENERAL.doc", "Abrir Documento")</f>
        <v>0</v>
      </c>
      <c r="D13595" t="s">
        <v>23500</v>
      </c>
      <c r="E13595" t="s">
        <v>36070</v>
      </c>
    </row>
    <row r="13596" spans="1:5">
      <c r="A13596" t="s">
        <v>6</v>
      </c>
      <c r="B13596" t="s">
        <v>13601</v>
      </c>
      <c r="C13596">
        <f>HYPERLINK("C:\Users\franc\OneDrive\Documentos\MALENTIN KARIME\BANCO ESTADO\2012 DEPTO ESCRITURAS fata\NOTARIA 2009\CARLOS BUGUEÑÑ\2009\USUFRUCTO\INMOBIL CORRAL NEWMAN A RICARDO CORRAL.doc", "Abrir Documento")</f>
        <v>0</v>
      </c>
      <c r="D13596" t="s">
        <v>23500</v>
      </c>
      <c r="E13596" t="s">
        <v>36071</v>
      </c>
    </row>
    <row r="13597" spans="1:5">
      <c r="A13597" t="s">
        <v>6</v>
      </c>
      <c r="B13597" t="s">
        <v>13602</v>
      </c>
      <c r="C13597">
        <f>HYPERLINK("C:\Users\franc\OneDrive\Documentos\MALENTIN KARIME\BANCO ESTADO\2012 DEPTO ESCRITURAS fata\NOTARIA 2009\CARLOS BUGUEÑÑ\2009\TRANSACCION\MIGUEL TAPIA A JOSE ARCE.doc", "Abrir Documento")</f>
        <v>0</v>
      </c>
      <c r="D13597" t="s">
        <v>23500</v>
      </c>
      <c r="E13597" t="s">
        <v>36072</v>
      </c>
    </row>
    <row r="13598" spans="1:5">
      <c r="A13598" t="s">
        <v>6</v>
      </c>
      <c r="B13598" t="s">
        <v>13603</v>
      </c>
      <c r="C13598">
        <f>HYPERLINK("C:\Users\franc\OneDrive\Documentos\MALENTIN KARIME\BANCO ESTADO\2012 DEPTO ESCRITURAS fata\NOTARIA 2009\CARLOS BUGUEÑÑ\2009\TRANSACCION\INVERSIONES VIGIA S.A. A SERRAVALLE.doc", "Abrir Documento")</f>
        <v>0</v>
      </c>
      <c r="D13598" t="s">
        <v>23500</v>
      </c>
      <c r="E13598" t="s">
        <v>36073</v>
      </c>
    </row>
    <row r="13599" spans="1:5">
      <c r="A13599" t="s">
        <v>6</v>
      </c>
      <c r="B13599" t="s">
        <v>13604</v>
      </c>
      <c r="C13599">
        <f>HYPERLINK("C:\Users\franc\OneDrive\Documentos\MALENTIN KARIME\BANCO ESTADO\2012 DEPTO ESCRITURAS fata\NOTARIA 2009\CARLOS BUGUEÑÑ\2009\TRANSACCION\INVERSIONES NEWMAN A INV. DEL CAMPO.doc", "Abrir Documento")</f>
        <v>0</v>
      </c>
      <c r="D13599" t="s">
        <v>23500</v>
      </c>
      <c r="E13599" t="s">
        <v>36074</v>
      </c>
    </row>
    <row r="13600" spans="1:5">
      <c r="A13600" t="s">
        <v>6</v>
      </c>
      <c r="B13600" t="s">
        <v>13605</v>
      </c>
      <c r="C13600">
        <f>HYPERLINK("C:\Users\franc\OneDrive\Documentos\MALENTIN KARIME\BANCO ESTADO\2012 DEPTO ESCRITURAS fata\NOTARIA 2009\CARLOS BUGUEÑÑ\2009\TRANSACCION\carta instrucciones - miguel tapia - jose arce - octubre 2009[1][1].doc", "Abrir Documento")</f>
        <v>0</v>
      </c>
      <c r="D13600" t="s">
        <v>23500</v>
      </c>
      <c r="E13600" t="s">
        <v>36075</v>
      </c>
    </row>
    <row r="13601" spans="1:5">
      <c r="A13601" t="s">
        <v>6</v>
      </c>
      <c r="B13601" t="s">
        <v>13606</v>
      </c>
      <c r="C13601">
        <f>HYPERLINK("C:\Users\franc\OneDrive\Documentos\MALENTIN KARIME\BANCO ESTADO\2012 DEPTO ESCRITURAS fata\NOTARIA 2009\CARLOS BUGUEÑÑ\2009\TESTAMENTOS\CARLOS JORQUERA.doc", "Abrir Documento")</f>
        <v>0</v>
      </c>
      <c r="D13601" t="s">
        <v>23500</v>
      </c>
      <c r="E13601" t="s">
        <v>36076</v>
      </c>
    </row>
    <row r="13602" spans="1:5">
      <c r="A13602" t="s">
        <v>6</v>
      </c>
      <c r="B13602" t="s">
        <v>13607</v>
      </c>
      <c r="C13602">
        <f>HYPERLINK("C:\Users\franc\OneDrive\Documentos\MALENTIN KARIME\BANCO ESTADO\2012 DEPTO ESCRITURAS fata\NOTARIA 2009\CARLOS BUGUEÑÑ\2009\TERMINO ARRIENDO\LILIANA ALFARO A SOC. CHACARILLAS.doc", "Abrir Documento")</f>
        <v>0</v>
      </c>
      <c r="D13602" t="s">
        <v>23500</v>
      </c>
      <c r="E13602" t="s">
        <v>36077</v>
      </c>
    </row>
    <row r="13603" spans="1:5">
      <c r="A13603" t="s">
        <v>6</v>
      </c>
      <c r="B13603" t="s">
        <v>13608</v>
      </c>
      <c r="C13603">
        <f>HYPERLINK("C:\Users\franc\OneDrive\Documentos\MALENTIN KARIME\BANCO ESTADO\2012 DEPTO ESCRITURAS fata\NOTARIA 2009\CARLOS BUGUEÑÑ\2009\SUBDIVISION\SOC. AGRICOLA ANGOSTURA.doc", "Abrir Documento")</f>
        <v>0</v>
      </c>
      <c r="D13603" t="s">
        <v>23500</v>
      </c>
      <c r="E13603" t="s">
        <v>36078</v>
      </c>
    </row>
    <row r="13604" spans="1:5">
      <c r="A13604" t="s">
        <v>6</v>
      </c>
      <c r="B13604" t="s">
        <v>13609</v>
      </c>
      <c r="C13604">
        <f>HYPERLINK("C:\Users\franc\OneDrive\Documentos\MALENTIN KARIME\BANCO ESTADO\2012 DEPTO ESCRITURAS fata\NOTARIA 2009\CARLOS BUGUEÑÑ\2009\SOCIEDAD\sostenedora samuel bozo - extracto[1].doc", "Abrir Documento")</f>
        <v>0</v>
      </c>
      <c r="D13604" t="s">
        <v>23500</v>
      </c>
      <c r="E13604" t="s">
        <v>36079</v>
      </c>
    </row>
    <row r="13605" spans="1:5">
      <c r="A13605" t="s">
        <v>6</v>
      </c>
      <c r="B13605" t="s">
        <v>13610</v>
      </c>
      <c r="C13605">
        <f>HYPERLINK("C:\Users\franc\OneDrive\Documentos\MALENTIN KARIME\BANCO ESTADO\2012 DEPTO ESCRITURAS fata\NOTARIA 2009\CARLOS BUGUEÑÑ\2009\SOCIEDAD\SOCIEDAD SOSTENEDORA SANTA TERESA.doc", "Abrir Documento")</f>
        <v>0</v>
      </c>
      <c r="D13605" t="s">
        <v>23500</v>
      </c>
      <c r="E13605" t="s">
        <v>36080</v>
      </c>
    </row>
    <row r="13606" spans="1:5">
      <c r="A13606" t="s">
        <v>6</v>
      </c>
      <c r="B13606" t="s">
        <v>13611</v>
      </c>
      <c r="C13606">
        <f>HYPERLINK("C:\Users\franc\OneDrive\Documentos\MALENTIN KARIME\BANCO ESTADO\2012 DEPTO ESCRITURAS fata\NOTARIA 2009\CARLOS BUGUEÑÑ\2009\SOCIEDAD\SOCE. CARMEN TAPIA.doc", "Abrir Documento")</f>
        <v>0</v>
      </c>
      <c r="D13606" t="s">
        <v>23500</v>
      </c>
      <c r="E13606" t="s">
        <v>36081</v>
      </c>
    </row>
    <row r="13607" spans="1:5">
      <c r="A13607" t="s">
        <v>6</v>
      </c>
      <c r="B13607" t="s">
        <v>13612</v>
      </c>
      <c r="C13607">
        <f>HYPERLINK("C:\Users\franc\OneDrive\Documentos\MALENTIN KARIME\BANCO ESTADO\2012 DEPTO ESCRITURAS fata\NOTARIA 2009\CARLOS BUGUEÑÑ\2009\SOCIEDAD\INMOBILIARIA ATRIA LTDA..doc", "Abrir Documento")</f>
        <v>0</v>
      </c>
      <c r="D13607" t="s">
        <v>23500</v>
      </c>
      <c r="E13607" t="s">
        <v>36082</v>
      </c>
    </row>
    <row r="13608" spans="1:5">
      <c r="A13608" t="s">
        <v>6</v>
      </c>
      <c r="B13608" t="s">
        <v>13613</v>
      </c>
      <c r="C13608">
        <f>HYPERLINK("C:\Users\franc\OneDrive\Documentos\MALENTIN KARIME\BANCO ESTADO\2012 DEPTO ESCRITURAS fata\NOTARIA 2009\CARLOS BUGUEÑÑ\2009\SOCIEDAD\EXTRACTO AGRICOLA LAS CAÑAS.doc", "Abrir Documento")</f>
        <v>0</v>
      </c>
      <c r="D13608" t="s">
        <v>23500</v>
      </c>
      <c r="E13608" t="s">
        <v>36083</v>
      </c>
    </row>
    <row r="13609" spans="1:5">
      <c r="A13609" t="s">
        <v>6</v>
      </c>
      <c r="B13609" t="s">
        <v>13614</v>
      </c>
      <c r="C13609">
        <f>HYPERLINK("C:\Users\franc\OneDrive\Documentos\MALENTIN KARIME\BANCO ESTADO\2012 DEPTO ESCRITURAS fata\NOTARIA 2009\CARLOS BUGUEÑÑ\2009\SOCIEDAD\extracto - cesion derechos y modific carmen tapia octubre 2009[1].doc", "Abrir Documento")</f>
        <v>0</v>
      </c>
      <c r="D13609" t="s">
        <v>23500</v>
      </c>
      <c r="E13609" t="s">
        <v>36084</v>
      </c>
    </row>
    <row r="13610" spans="1:5">
      <c r="A13610" t="s">
        <v>6</v>
      </c>
      <c r="B13610" t="s">
        <v>13615</v>
      </c>
      <c r="C13610">
        <f>HYPERLINK("C:\Users\franc\OneDrive\Documentos\MALENTIN KARIME\BANCO ESTADO\2012 DEPTO ESCRITURAS fata\NOTARIA 2009\CARLOS BUGUEÑÑ\2009\SOCIEDAD\AGRICOLA LAS CAÑAS DE SOTAQUI.doc", "Abrir Documento")</f>
        <v>0</v>
      </c>
      <c r="D13610" t="s">
        <v>23500</v>
      </c>
      <c r="E13610" t="s">
        <v>36085</v>
      </c>
    </row>
    <row r="13611" spans="1:5">
      <c r="A13611" t="s">
        <v>6</v>
      </c>
      <c r="B13611" t="s">
        <v>13616</v>
      </c>
      <c r="C13611">
        <f>HYPERLINK("C:\Users\franc\OneDrive\Documentos\MALENTIN KARIME\BANCO ESTADO\2012 DEPTO ESCRITURAS fata\NOTARIA 2009\CARLOS BUGUEÑÑ\2009\REVOCACION\INMOB. CORRAL NEWMAN A MARCELO CORRAL.doc", "Abrir Documento")</f>
        <v>0</v>
      </c>
      <c r="D13611" t="s">
        <v>23500</v>
      </c>
      <c r="E13611" t="s">
        <v>36086</v>
      </c>
    </row>
    <row r="13612" spans="1:5">
      <c r="A13612" t="s">
        <v>6</v>
      </c>
      <c r="B13612" t="s">
        <v>13617</v>
      </c>
      <c r="C13612">
        <f>HYPERLINK("C:\Users\franc\OneDrive\Documentos\MALENTIN KARIME\BANCO ESTADO\2012 DEPTO ESCRITURAS fata\NOTARIA 2009\CARLOS BUGUEÑÑ\2009\REDUCCION\CO PROPIEDAD GALERIA CORRAL.doc", "Abrir Documento")</f>
        <v>0</v>
      </c>
      <c r="D13612" t="s">
        <v>23500</v>
      </c>
      <c r="E13612" t="s">
        <v>36087</v>
      </c>
    </row>
    <row r="13613" spans="1:5">
      <c r="A13613" t="s">
        <v>6</v>
      </c>
      <c r="B13613" t="s">
        <v>13618</v>
      </c>
      <c r="C13613">
        <f>HYPERLINK("C:\Users\franc\OneDrive\Documentos\MALENTIN KARIME\BANCO ESTADO\2012 DEPTO ESCRITURAS fata\NOTARIA 2009\CARLOS BUGUEÑÑ\2009\RECONOCIMIENTO DEUDA\ANTONIO CORRAL A SOC. ALGARROBO.doc", "Abrir Documento")</f>
        <v>0</v>
      </c>
      <c r="D13613" t="s">
        <v>23500</v>
      </c>
      <c r="E13613" t="s">
        <v>36088</v>
      </c>
    </row>
    <row r="13614" spans="1:5">
      <c r="A13614" t="s">
        <v>6</v>
      </c>
      <c r="B13614" t="s">
        <v>13619</v>
      </c>
      <c r="C13614">
        <f>HYPERLINK("C:\Users\franc\OneDrive\Documentos\MALENTIN KARIME\BANCO ESTADO\2012 DEPTO ESCRITURAS fata\NOTARIA 2009\CARLOS BUGUEÑÑ\2009\PROTOCOLIZACION\ALIRO PINTO (AMPLIACION).doc", "Abrir Documento")</f>
        <v>0</v>
      </c>
      <c r="D13614" t="s">
        <v>23500</v>
      </c>
      <c r="E13614" t="s">
        <v>36089</v>
      </c>
    </row>
    <row r="13615" spans="1:5">
      <c r="A13615" t="s">
        <v>6</v>
      </c>
      <c r="B13615" t="s">
        <v>13620</v>
      </c>
      <c r="C13615">
        <f>HYPERLINK("C:\Users\franc\OneDrive\Documentos\MALENTIN KARIME\BANCO ESTADO\2012 DEPTO ESCRITURAS fata\NOTARIA 2009\CARLOS BUGUEÑÑ\2009\PROMESAS\SOC. ANGOSTURA A SOC. ARKON.doc", "Abrir Documento")</f>
        <v>0</v>
      </c>
      <c r="D13615" t="s">
        <v>23500</v>
      </c>
      <c r="E13615" t="s">
        <v>36090</v>
      </c>
    </row>
    <row r="13616" spans="1:5">
      <c r="A13616" t="s">
        <v>6</v>
      </c>
      <c r="B13616" t="s">
        <v>13621</v>
      </c>
      <c r="C13616">
        <f>HYPERLINK("C:\Users\franc\OneDrive\Documentos\MALENTIN KARIME\BANCO ESTADO\2012 DEPTO ESCRITURAS fata\NOTARIA 2009\CARLOS BUGUEÑÑ\2009\PROMESAS\MIGUEL TAPIA A INV. CIPRES.doc", "Abrir Documento")</f>
        <v>0</v>
      </c>
      <c r="D13616" t="s">
        <v>23500</v>
      </c>
      <c r="E13616" t="s">
        <v>36091</v>
      </c>
    </row>
    <row r="13617" spans="1:5">
      <c r="A13617" t="s">
        <v>6</v>
      </c>
      <c r="B13617" t="s">
        <v>13622</v>
      </c>
      <c r="C13617">
        <f>HYPERLINK("C:\Users\franc\OneDrive\Documentos\MALENTIN KARIME\BANCO ESTADO\2012 DEPTO ESCRITURAS fata\NOTARIA 2009\CARLOS BUGUEÑÑ\2009\PROMESAS\INMOBILIARIA NEWMAN A AGRICOLA LAS CAÑAS.doc", "Abrir Documento")</f>
        <v>0</v>
      </c>
      <c r="D13617" t="s">
        <v>23500</v>
      </c>
      <c r="E13617" t="s">
        <v>36092</v>
      </c>
    </row>
    <row r="13618" spans="1:5">
      <c r="A13618" t="s">
        <v>6</v>
      </c>
      <c r="B13618" t="s">
        <v>13623</v>
      </c>
      <c r="C13618">
        <f>HYPERLINK("C:\Users\franc\OneDrive\Documentos\MALENTIN KARIME\BANCO ESTADO\2012 DEPTO ESCRITURAS fata\NOTARIA 2009\CARLOS BUGUEÑÑ\2009\PERMUTA\PILAR MERUANE A ROSA CONTRERAS.doc", "Abrir Documento")</f>
        <v>0</v>
      </c>
      <c r="D13618" t="s">
        <v>23500</v>
      </c>
      <c r="E13618" t="s">
        <v>36093</v>
      </c>
    </row>
    <row r="13619" spans="1:5">
      <c r="A13619" t="s">
        <v>6</v>
      </c>
      <c r="B13619" t="s">
        <v>13624</v>
      </c>
      <c r="C13619">
        <f>HYPERLINK("C:\Users\franc\OneDrive\Documentos\MALENTIN KARIME\BANCO ESTADO\2012 DEPTO ESCRITURAS fata\NOTARIA 2009\CARLOS BUGUEÑÑ\2009\PARTICION\SERGIO OVANDO A ISABEL MORENO.doc", "Abrir Documento")</f>
        <v>0</v>
      </c>
      <c r="D13619" t="s">
        <v>23500</v>
      </c>
      <c r="E13619" t="s">
        <v>36094</v>
      </c>
    </row>
    <row r="13620" spans="1:5">
      <c r="A13620" t="s">
        <v>6</v>
      </c>
      <c r="B13620" t="s">
        <v>13625</v>
      </c>
      <c r="C13620">
        <f>HYPERLINK("C:\Users\franc\OneDrive\Documentos\MALENTIN KARIME\BANCO ESTADO\2012 DEPTO ESCRITURAS fata\NOTARIA 2009\CARLOS BUGUEÑÑ\2009\PAGARE\pagare - antonio corral y gilberto pardo - agosto 2009[1].doc", "Abrir Documento")</f>
        <v>0</v>
      </c>
      <c r="D13620" t="s">
        <v>23500</v>
      </c>
      <c r="E13620" t="s">
        <v>36095</v>
      </c>
    </row>
    <row r="13621" spans="1:5">
      <c r="A13621" t="s">
        <v>6</v>
      </c>
      <c r="B13621" t="s">
        <v>13626</v>
      </c>
      <c r="C13621">
        <f>HYPERLINK("C:\Users\franc\OneDrive\Documentos\MALENTIN KARIME\BANCO ESTADO\2012 DEPTO ESCRITURAS fata\NOTARIA 2009\CARLOS BUGUEÑÑ\2009\NOVACION\HECTOR BARRAZA A MARCO ARAYA (NOVACION).doc", "Abrir Documento")</f>
        <v>0</v>
      </c>
      <c r="D13621" t="s">
        <v>23500</v>
      </c>
      <c r="E13621" t="s">
        <v>36096</v>
      </c>
    </row>
    <row r="13622" spans="1:5">
      <c r="A13622" t="s">
        <v>6</v>
      </c>
      <c r="B13622" t="s">
        <v>13627</v>
      </c>
      <c r="C13622">
        <f>HYPERLINK("C:\Users\franc\OneDrive\Documentos\MALENTIN KARIME\BANCO ESTADO\2012 DEPTO ESCRITURAS fata\NOTARIA 2009\CARLOS BUGUEÑÑ\2009\MODIFICACION\CANALES LOS AZULES Y OTROS.doc", "Abrir Documento")</f>
        <v>0</v>
      </c>
      <c r="D13622" t="s">
        <v>23500</v>
      </c>
      <c r="E13622" t="s">
        <v>36097</v>
      </c>
    </row>
    <row r="13623" spans="1:5">
      <c r="A13623" t="s">
        <v>6</v>
      </c>
      <c r="B13623" t="s">
        <v>13628</v>
      </c>
      <c r="C13623">
        <f>HYPERLINK("C:\Users\franc\OneDrive\Documentos\MALENTIN KARIME\BANCO ESTADO\2012 DEPTO ESCRITURAS fata\NOTARIA 2009\CARLOS BUGUEÑÑ\2009\MANDATOS\soc. HUALLILLINGA.doc", "Abrir Documento")</f>
        <v>0</v>
      </c>
      <c r="D13623" t="s">
        <v>23500</v>
      </c>
      <c r="E13623" t="s">
        <v>36098</v>
      </c>
    </row>
    <row r="13624" spans="1:5">
      <c r="A13624" t="s">
        <v>6</v>
      </c>
      <c r="B13624" t="s">
        <v>13629</v>
      </c>
      <c r="C13624">
        <f>HYPERLINK("C:\Users\franc\OneDrive\Documentos\MALENTIN KARIME\BANCO ESTADO\2012 DEPTO ESCRITURAS fata\NOTARIA 2009\CARLOS BUGUEÑÑ\2009\MANDATOS\SOC. AGRICOLA ANGOSTURA FINAL.doc", "Abrir Documento")</f>
        <v>0</v>
      </c>
      <c r="D13624" t="s">
        <v>23500</v>
      </c>
      <c r="E13624" t="s">
        <v>36099</v>
      </c>
    </row>
    <row r="13625" spans="1:5">
      <c r="A13625" t="s">
        <v>6</v>
      </c>
      <c r="B13625" t="s">
        <v>13630</v>
      </c>
      <c r="C13625">
        <f>HYPERLINK("C:\Users\franc\OneDrive\Documentos\MALENTIN KARIME\BANCO ESTADO\2012 DEPTO ESCRITURAS fata\NOTARIA 2009\CARLOS BUGUEÑÑ\2009\MANDATOS\SOC. AGRICOLA ANGOSTURA A.doc", "Abrir Documento")</f>
        <v>0</v>
      </c>
      <c r="D13625" t="s">
        <v>23500</v>
      </c>
      <c r="E13625" t="s">
        <v>36100</v>
      </c>
    </row>
    <row r="13626" spans="1:5">
      <c r="A13626" t="s">
        <v>6</v>
      </c>
      <c r="B13626" t="s">
        <v>13631</v>
      </c>
      <c r="C13626">
        <f>HYPERLINK("C:\Users\franc\OneDrive\Documentos\MALENTIN KARIME\BANCO ESTADO\2012 DEPTO ESCRITURAS fata\NOTARIA 2009\CARLOS BUGUEÑÑ\2009\MANDATOS\SILVIA.doc", "Abrir Documento")</f>
        <v>0</v>
      </c>
      <c r="D13626" t="s">
        <v>23500</v>
      </c>
      <c r="E13626" t="s">
        <v>36101</v>
      </c>
    </row>
    <row r="13627" spans="1:5">
      <c r="A13627" t="s">
        <v>6</v>
      </c>
      <c r="B13627" t="s">
        <v>13632</v>
      </c>
      <c r="C13627">
        <f>HYPERLINK("C:\Users\franc\OneDrive\Documentos\MALENTIN KARIME\BANCO ESTADO\2012 DEPTO ESCRITURAS fata\NOTARIA 2009\CARLOS BUGUEÑÑ\2009\MANDATOS\RAUL MIRANDA A.doc", "Abrir Documento")</f>
        <v>0</v>
      </c>
      <c r="D13627" t="s">
        <v>23500</v>
      </c>
      <c r="E13627" t="s">
        <v>36102</v>
      </c>
    </row>
    <row r="13628" spans="1:5">
      <c r="A13628" t="s">
        <v>6</v>
      </c>
      <c r="B13628" t="s">
        <v>13633</v>
      </c>
      <c r="C13628">
        <f>HYPERLINK("C:\Users\franc\OneDrive\Documentos\MALENTIN KARIME\BANCO ESTADO\2012 DEPTO ESCRITURAS fata\NOTARIA 2009\CARLOS BUGUEÑÑ\2009\MANDATOS\GUSTAVO CORRAL A MARCELO CORRAL.doc", "Abrir Documento")</f>
        <v>0</v>
      </c>
      <c r="D13628" t="s">
        <v>23500</v>
      </c>
      <c r="E13628" t="s">
        <v>36103</v>
      </c>
    </row>
    <row r="13629" spans="1:5">
      <c r="A13629" t="s">
        <v>6</v>
      </c>
      <c r="B13629" t="s">
        <v>13634</v>
      </c>
      <c r="C13629">
        <f>HYPERLINK("C:\Users\franc\OneDrive\Documentos\MALENTIN KARIME\BANCO ESTADO\2012 DEPTO ESCRITURAS fata\NOTARIA 2009\CARLOS BUGUEÑÑ\2009\MANDATOS\CARLOS BUGUEÑO A MARIO BARRIOS.doc", "Abrir Documento")</f>
        <v>0</v>
      </c>
      <c r="D13629" t="s">
        <v>23500</v>
      </c>
      <c r="E13629" t="s">
        <v>36104</v>
      </c>
    </row>
    <row r="13630" spans="1:5">
      <c r="A13630" t="s">
        <v>6</v>
      </c>
      <c r="B13630" t="s">
        <v>13635</v>
      </c>
      <c r="C13630">
        <f>HYPERLINK("C:\Users\franc\OneDrive\Documentos\MALENTIN KARIME\BANCO ESTADO\2012 DEPTO ESCRITURAS fata\NOTARIA 2009\CARLOS BUGUEÑÑ\2009\DACION EN PAGO\OSCAR REYES A CARLOS MILLA.doc", "Abrir Documento")</f>
        <v>0</v>
      </c>
      <c r="D13630" t="s">
        <v>23500</v>
      </c>
      <c r="E13630" t="s">
        <v>36105</v>
      </c>
    </row>
    <row r="13631" spans="1:5">
      <c r="A13631" t="s">
        <v>6</v>
      </c>
      <c r="B13631" t="s">
        <v>13636</v>
      </c>
      <c r="C13631">
        <f>HYPERLINK("C:\Users\franc\OneDrive\Documentos\MALENTIN KARIME\BANCO ESTADO\2012 DEPTO ESCRITURAS fata\NOTARIA 2009\CARLOS BUGUEÑÑ\2009\CVI AGUAS\VINICOLA CAMPO LINDO A CIPRES.doc", "Abrir Documento")</f>
        <v>0</v>
      </c>
      <c r="D13631" t="s">
        <v>23500</v>
      </c>
      <c r="E13631" t="s">
        <v>36106</v>
      </c>
    </row>
    <row r="13632" spans="1:5">
      <c r="A13632" t="s">
        <v>6</v>
      </c>
      <c r="B13632" t="s">
        <v>13637</v>
      </c>
      <c r="C13632">
        <f>HYPERLINK("C:\Users\franc\OneDrive\Documentos\MALENTIN KARIME\BANCO ESTADO\2012 DEPTO ESCRITURAS fata\NOTARIA 2009\CARLOS BUGUEÑÑ\2009\CVI AGUAS\SOC. ALGARROBO A ANTONIO CORRAL Y OTRO Y ALZ. CORPBANCA.doc", "Abrir Documento")</f>
        <v>0</v>
      </c>
      <c r="D13632" t="s">
        <v>23500</v>
      </c>
      <c r="E13632" t="s">
        <v>36107</v>
      </c>
    </row>
    <row r="13633" spans="1:5">
      <c r="A13633" t="s">
        <v>6</v>
      </c>
      <c r="B13633" t="s">
        <v>13638</v>
      </c>
      <c r="C13633">
        <f>HYPERLINK("C:\Users\franc\OneDrive\Documentos\MALENTIN KARIME\BANCO ESTADO\2012 DEPTO ESCRITURAS fata\NOTARIA 2009\CARLOS BUGUEÑÑ\2009\CVI AGUAS\SOC. ALGARROBO A AGRICOLA VESPUCIO Y ALZ. CORPBANCA.doc", "Abrir Documento")</f>
        <v>0</v>
      </c>
      <c r="D13633" t="s">
        <v>23500</v>
      </c>
      <c r="E13633" t="s">
        <v>36108</v>
      </c>
    </row>
    <row r="13634" spans="1:5">
      <c r="A13634" t="s">
        <v>6</v>
      </c>
      <c r="B13634" t="s">
        <v>13639</v>
      </c>
      <c r="C13634">
        <f>HYPERLINK("C:\Users\franc\OneDrive\Documentos\MALENTIN KARIME\BANCO ESTADO\2012 DEPTO ESCRITURAS fata\NOTARIA 2009\CARLOS BUGUEÑÑ\2009\CVI AGUAS\SARA SALOMON A CIPRES  (AGUAS).doc", "Abrir Documento")</f>
        <v>0</v>
      </c>
      <c r="D13634" t="s">
        <v>23500</v>
      </c>
      <c r="E13634" t="s">
        <v>36109</v>
      </c>
    </row>
    <row r="13635" spans="1:5">
      <c r="A13635" t="s">
        <v>6</v>
      </c>
      <c r="B13635" t="s">
        <v>13640</v>
      </c>
      <c r="C13635">
        <f>HYPERLINK("C:\Users\franc\OneDrive\Documentos\MALENTIN KARIME\BANCO ESTADO\2012 DEPTO ESCRITURAS fata\NOTARIA 2009\CARLOS BUGUEÑÑ\2009\CVI AGUAS\MARIA RAMOS Y OTROS A CIPRES INVERSIONES.doc", "Abrir Documento")</f>
        <v>0</v>
      </c>
      <c r="D13635" t="s">
        <v>23500</v>
      </c>
      <c r="E13635" t="s">
        <v>36110</v>
      </c>
    </row>
    <row r="13636" spans="1:5">
      <c r="A13636" t="s">
        <v>6</v>
      </c>
      <c r="B13636" t="s">
        <v>13641</v>
      </c>
      <c r="C13636">
        <f>HYPERLINK("C:\Users\franc\OneDrive\Documentos\MALENTIN KARIME\BANCO ESTADO\2012 DEPTO ESCRITURAS fata\NOTARIA 2009\CARLOS BUGUEÑÑ\2009\CVI AGUAS\LUIS LARA A INVERS. BOSMAN.doc", "Abrir Documento")</f>
        <v>0</v>
      </c>
      <c r="D13636" t="s">
        <v>23500</v>
      </c>
      <c r="E13636" t="s">
        <v>36111</v>
      </c>
    </row>
    <row r="13637" spans="1:5">
      <c r="A13637" t="s">
        <v>6</v>
      </c>
      <c r="B13637" t="s">
        <v>13642</v>
      </c>
      <c r="C13637">
        <f>HYPERLINK("C:\Users\franc\OneDrive\Documentos\MALENTIN KARIME\BANCO ESTADO\2012 DEPTO ESCRITURAS fata\NOTARIA 2009\CARLOS BUGUEÑÑ\2009\CVI AGUAS\JOSE ROBLES A INV. BOSMAN.doc", "Abrir Documento")</f>
        <v>0</v>
      </c>
      <c r="D13637" t="s">
        <v>23500</v>
      </c>
      <c r="E13637" t="s">
        <v>36112</v>
      </c>
    </row>
    <row r="13638" spans="1:5">
      <c r="A13638" t="s">
        <v>6</v>
      </c>
      <c r="B13638" t="s">
        <v>13643</v>
      </c>
      <c r="C13638">
        <f>HYPERLINK("C:\Users\franc\OneDrive\Documentos\MALENTIN KARIME\BANCO ESTADO\2012 DEPTO ESCRITURAS fata\NOTARIA 2009\CARLOS BUGUEÑÑ\2009\CVI AGUAS\ISRAEL PEREIRA Y OTROS A AGRICOLA LAS MERCEDES.doc", "Abrir Documento")</f>
        <v>0</v>
      </c>
      <c r="D13638" t="s">
        <v>23500</v>
      </c>
      <c r="E13638" t="s">
        <v>36113</v>
      </c>
    </row>
    <row r="13639" spans="1:5">
      <c r="A13639" t="s">
        <v>6</v>
      </c>
      <c r="B13639" t="s">
        <v>13644</v>
      </c>
      <c r="C13639">
        <f>HYPERLINK("C:\Users\franc\OneDrive\Documentos\MALENTIN KARIME\BANCO ESTADO\2012 DEPTO ESCRITURAS fata\NOTARIA 2009\CARLOS BUGUEÑÑ\2009\CVI AGUAS\carta_instrucc_-_cipres_con_maria_ramos_y_otros[1].doc", "Abrir Documento")</f>
        <v>0</v>
      </c>
      <c r="D13639" t="s">
        <v>23500</v>
      </c>
      <c r="E13639" t="s">
        <v>36114</v>
      </c>
    </row>
    <row r="13640" spans="1:5">
      <c r="A13640" t="s">
        <v>6</v>
      </c>
      <c r="B13640" t="s">
        <v>13645</v>
      </c>
      <c r="C13640">
        <f>HYPERLINK("C:\Users\franc\OneDrive\Documentos\MALENTIN KARIME\BANCO ESTADO\2012 DEPTO ESCRITURAS fata\NOTARIA 2009\CARLOS BUGUEÑÑ\2009\CVI AGUAS\carta[1].inst. compra norman john.doc", "Abrir Documento")</f>
        <v>0</v>
      </c>
      <c r="D13640" t="s">
        <v>23500</v>
      </c>
      <c r="E13640" t="s">
        <v>36115</v>
      </c>
    </row>
    <row r="13641" spans="1:5">
      <c r="A13641" t="s">
        <v>6</v>
      </c>
      <c r="B13641" t="s">
        <v>13646</v>
      </c>
      <c r="C13641">
        <f>HYPERLINK("C:\Users\franc\OneDrive\Documentos\MALENTIN KARIME\BANCO ESTADO\2012 DEPTO ESCRITURAS fata\NOTARIA 2009\CARLOS BUGUEÑÑ\2009\CVI AGUAS\carta.inst._compra_vespucio_sa[1].doc", "Abrir Documento")</f>
        <v>0</v>
      </c>
      <c r="D13641" t="s">
        <v>23500</v>
      </c>
      <c r="E13641" t="s">
        <v>36116</v>
      </c>
    </row>
    <row r="13642" spans="1:5">
      <c r="A13642" t="s">
        <v>6</v>
      </c>
      <c r="B13642" t="s">
        <v>13647</v>
      </c>
      <c r="C13642">
        <f>HYPERLINK("C:\Users\franc\OneDrive\Documentos\MALENTIN KARIME\BANCO ESTADO\2012 DEPTO ESCRITURAS fata\NOTARIA 2009\CARLOS BUGUEÑÑ\2009\CVI AGUAS\carta.inst._compra_san_clemente_ltda[1].doc", "Abrir Documento")</f>
        <v>0</v>
      </c>
      <c r="D13642" t="s">
        <v>23500</v>
      </c>
      <c r="E13642" t="s">
        <v>36117</v>
      </c>
    </row>
    <row r="13643" spans="1:5">
      <c r="A13643" t="s">
        <v>6</v>
      </c>
      <c r="B13643" t="s">
        <v>13648</v>
      </c>
      <c r="C13643">
        <f>HYPERLINK("C:\Users\franc\OneDrive\Documentos\MALENTIN KARIME\BANCO ESTADO\2012 DEPTO ESCRITURAS fata\NOTARIA 2009\CARLOS BUGUEÑÑ\2009\CVI AGUAS\carta.inst._agricola_vespucio_sa[1]  222.doc", "Abrir Documento")</f>
        <v>0</v>
      </c>
      <c r="D13643" t="s">
        <v>23500</v>
      </c>
      <c r="E13643" t="s">
        <v>36118</v>
      </c>
    </row>
    <row r="13644" spans="1:5">
      <c r="A13644" t="s">
        <v>6</v>
      </c>
      <c r="B13644" t="s">
        <v>13649</v>
      </c>
      <c r="C13644">
        <f>HYPERLINK("C:\Users\franc\OneDrive\Documentos\MALENTIN KARIME\BANCO ESTADO\2012 DEPTO ESCRITURAS fata\NOTARIA 2009\CARLOS BUGUEÑÑ\2009\CVI AGUAS\carta instrucc suc pereira sept 2009[1].doc", "Abrir Documento")</f>
        <v>0</v>
      </c>
      <c r="D13644" t="s">
        <v>23500</v>
      </c>
      <c r="E13644" t="s">
        <v>36119</v>
      </c>
    </row>
    <row r="13645" spans="1:5">
      <c r="A13645" t="s">
        <v>6</v>
      </c>
      <c r="B13645" t="s">
        <v>13650</v>
      </c>
      <c r="C13645">
        <f>HYPERLINK("C:\Users\franc\OneDrive\Documentos\MALENTIN KARIME\BANCO ESTADO\2012 DEPTO ESCRITURAS fata\NOTARIA 2009\CARLOS BUGUEÑÑ\2009\CVI AGUAS\AGRICOLA VESPUCIO S.A. A FRUTICOLA RIO  COPIAPO.doc", "Abrir Documento")</f>
        <v>0</v>
      </c>
      <c r="D13645" t="s">
        <v>23500</v>
      </c>
      <c r="E13645" t="s">
        <v>36120</v>
      </c>
    </row>
    <row r="13646" spans="1:5">
      <c r="A13646" t="s">
        <v>6</v>
      </c>
      <c r="B13646" t="s">
        <v>13651</v>
      </c>
      <c r="C13646">
        <f>HYPERLINK("C:\Users\franc\OneDrive\Documentos\MALENTIN KARIME\BANCO ESTADO\2012 DEPTO ESCRITURAS fata\NOTARIA 2009\CARLOS BUGUEÑÑ\2009\CVI AGUAS\AGRICOLA SAN CLEMENTE A FRUTICOLA COPIAPO.doc", "Abrir Documento")</f>
        <v>0</v>
      </c>
      <c r="D13646" t="s">
        <v>23500</v>
      </c>
      <c r="E13646" t="s">
        <v>36121</v>
      </c>
    </row>
    <row r="13647" spans="1:5">
      <c r="A13647" t="s">
        <v>6</v>
      </c>
      <c r="B13647" t="s">
        <v>13652</v>
      </c>
      <c r="C13647">
        <f>HYPERLINK("C:\Users\franc\OneDrive\Documentos\MALENTIN KARIME\BANCO ESTADO\2012 DEPTO ESCRITURAS fata\NOTARIA 2009\CARLOS BUGUEÑÑ\2009\CONTRATOS PRIVADOS\PLAZA TURISMO A JUAN RUILOVA.doc", "Abrir Documento")</f>
        <v>0</v>
      </c>
      <c r="D13647" t="s">
        <v>23500</v>
      </c>
      <c r="E13647" t="s">
        <v>36122</v>
      </c>
    </row>
    <row r="13648" spans="1:5">
      <c r="A13648" t="s">
        <v>6</v>
      </c>
      <c r="B13648" t="s">
        <v>13653</v>
      </c>
      <c r="C13648">
        <f>HYPERLINK("C:\Users\franc\OneDrive\Documentos\MALENTIN KARIME\BANCO ESTADO\2012 DEPTO ESCRITURAS fata\NOTARIA 2009\CARLOS BUGUEÑÑ\2009\CONTRATOS PRIVADOS\arriendo arauco 345 - julio 2009[1].doc", "Abrir Documento")</f>
        <v>0</v>
      </c>
      <c r="D13648" t="s">
        <v>23500</v>
      </c>
      <c r="E13648" t="s">
        <v>36123</v>
      </c>
    </row>
    <row r="13649" spans="1:5">
      <c r="A13649" t="s">
        <v>6</v>
      </c>
      <c r="B13649" t="s">
        <v>13654</v>
      </c>
      <c r="C13649">
        <f>HYPERLINK("C:\Users\franc\OneDrive\Documentos\MALENTIN KARIME\BANCO ESTADO\2012 DEPTO ESCRITURAS fata\NOTARIA 2009\CARLOS BUGUEÑÑ\2009\COMPRAVENTA\SOC. GUSTAVO CORRAL A SOC. MARCELO CORRAL.doc", "Abrir Documento")</f>
        <v>0</v>
      </c>
      <c r="D13649" t="s">
        <v>23500</v>
      </c>
      <c r="E13649" t="s">
        <v>36124</v>
      </c>
    </row>
    <row r="13650" spans="1:5">
      <c r="A13650" t="s">
        <v>6</v>
      </c>
      <c r="B13650" t="s">
        <v>13655</v>
      </c>
      <c r="C13650">
        <f>HYPERLINK("C:\Users\franc\OneDrive\Documentos\MALENTIN KARIME\BANCO ESTADO\2012 DEPTO ESCRITURAS fata\NOTARIA 2009\CARLOS BUGUEÑÑ\2009\COMPRAVENTA\ROGER RIVERA A INELDA BERNAL.doc", "Abrir Documento")</f>
        <v>0</v>
      </c>
      <c r="D13650" t="s">
        <v>23500</v>
      </c>
      <c r="E13650" t="s">
        <v>36125</v>
      </c>
    </row>
    <row r="13651" spans="1:5">
      <c r="A13651" t="s">
        <v>6</v>
      </c>
      <c r="B13651" t="s">
        <v>13656</v>
      </c>
      <c r="C13651">
        <f>HYPERLINK("C:\Users\franc\OneDrive\Documentos\MALENTIN KARIME\BANCO ESTADO\2012 DEPTO ESCRITURAS fata\NOTARIA 2009\CARLOS BUGUEÑÑ\2009\COMPRAVENTA\RENE URZUA A CIPRES (AGUAS).doc", "Abrir Documento")</f>
        <v>0</v>
      </c>
      <c r="D13651" t="s">
        <v>23500</v>
      </c>
      <c r="E13651" t="s">
        <v>36126</v>
      </c>
    </row>
    <row r="13652" spans="1:5">
      <c r="A13652" t="s">
        <v>6</v>
      </c>
      <c r="B13652" t="s">
        <v>13657</v>
      </c>
      <c r="C13652">
        <f>HYPERLINK("C:\Users\franc\OneDrive\Documentos\MALENTIN KARIME\BANCO ESTADO\2012 DEPTO ESCRITURAS fata\NOTARIA 2009\CARLOS BUGUEÑÑ\2009\COMPRAVENTA\RENE ORTIZ A SOC.ANGOSTURA.doc", "Abrir Documento")</f>
        <v>0</v>
      </c>
      <c r="D13652" t="s">
        <v>23500</v>
      </c>
      <c r="E13652" t="s">
        <v>36127</v>
      </c>
    </row>
    <row r="13653" spans="1:5">
      <c r="A13653" t="s">
        <v>6</v>
      </c>
      <c r="B13653" t="s">
        <v>13658</v>
      </c>
      <c r="C13653">
        <f>HYPERLINK("C:\Users\franc\OneDrive\Documentos\MALENTIN KARIME\BANCO ESTADO\2012 DEPTO ESCRITURAS fata\NOTARIA 2009\CARLOS BUGUEÑÑ\2009\COMPRAVENTA\MIGUEL TAPIA A CIPRES.doc", "Abrir Documento")</f>
        <v>0</v>
      </c>
      <c r="D13653" t="s">
        <v>23500</v>
      </c>
      <c r="E13653" t="s">
        <v>36128</v>
      </c>
    </row>
    <row r="13654" spans="1:5">
      <c r="A13654" t="s">
        <v>6</v>
      </c>
      <c r="B13654" t="s">
        <v>13659</v>
      </c>
      <c r="C13654">
        <f>HYPERLINK("C:\Users\franc\OneDrive\Documentos\MALENTIN KARIME\BANCO ESTADO\2012 DEPTO ESCRITURAS fata\NOTARIA 2009\CARLOS BUGUEÑÑ\2009\COMPRAVENTA\MIGUEL TAPIA A CIPRES (CARTA INSTRUCCIONES).doc", "Abrir Documento")</f>
        <v>0</v>
      </c>
      <c r="D13654" t="s">
        <v>23500</v>
      </c>
      <c r="E13654" t="s">
        <v>36129</v>
      </c>
    </row>
    <row r="13655" spans="1:5">
      <c r="A13655" t="s">
        <v>6</v>
      </c>
      <c r="B13655" t="s">
        <v>13660</v>
      </c>
      <c r="C13655">
        <f>HYPERLINK("C:\Users\franc\OneDrive\Documentos\MALENTIN KARIME\BANCO ESTADO\2012 DEPTO ESCRITURAS fata\NOTARIA 2009\CARLOS BUGUEÑÑ\2009\COMPRAVENTA\MARIA FIGARI A INV. BOSMAN Y GIOIA.doc", "Abrir Documento")</f>
        <v>0</v>
      </c>
      <c r="D13655" t="s">
        <v>23500</v>
      </c>
      <c r="E13655" t="s">
        <v>36130</v>
      </c>
    </row>
    <row r="13656" spans="1:5">
      <c r="A13656" t="s">
        <v>6</v>
      </c>
      <c r="B13656" t="s">
        <v>13661</v>
      </c>
      <c r="C13656">
        <f>HYPERLINK("C:\Users\franc\OneDrive\Documentos\MALENTIN KARIME\BANCO ESTADO\2012 DEPTO ESCRITURAS fata\NOTARIA 2009\CARLOS BUGUEÑÑ\2009\COMPRAVENTA\MARCO ARAYA A HECTOR BARRZA (AL REVES).doc", "Abrir Documento")</f>
        <v>0</v>
      </c>
      <c r="D13656" t="s">
        <v>23500</v>
      </c>
      <c r="E13656" t="s">
        <v>36131</v>
      </c>
    </row>
    <row r="13657" spans="1:5">
      <c r="A13657" t="s">
        <v>6</v>
      </c>
      <c r="B13657" t="s">
        <v>13662</v>
      </c>
      <c r="C13657">
        <f>HYPERLINK("C:\Users\franc\OneDrive\Documentos\MALENTIN KARIME\BANCO ESTADO\2012 DEPTO ESCRITURAS fata\NOTARIA 2009\CARLOS BUGUEÑÑ\2009\COMPRAVENTA\LAURA CAMPUSANO Y OTROS A GONZALO CAMPUSANO.doc", "Abrir Documento")</f>
        <v>0</v>
      </c>
      <c r="D13657" t="s">
        <v>23500</v>
      </c>
      <c r="E13657" t="s">
        <v>36132</v>
      </c>
    </row>
    <row r="13658" spans="1:5">
      <c r="A13658" t="s">
        <v>6</v>
      </c>
      <c r="B13658" t="s">
        <v>13663</v>
      </c>
      <c r="C13658">
        <f>HYPERLINK("C:\Users\franc\OneDrive\Documentos\MALENTIN KARIME\BANCO ESTADO\2012 DEPTO ESCRITURAS fata\NOTARIA 2009\CARLOS BUGUEÑÑ\2009\COMPRAVENTA\JUAN INOSTROZA A SOC. FRESSO.doc", "Abrir Documento")</f>
        <v>0</v>
      </c>
      <c r="D13658" t="s">
        <v>23500</v>
      </c>
      <c r="E13658" t="s">
        <v>36133</v>
      </c>
    </row>
    <row r="13659" spans="1:5">
      <c r="A13659" t="s">
        <v>6</v>
      </c>
      <c r="B13659" t="s">
        <v>13664</v>
      </c>
      <c r="C13659">
        <f>HYPERLINK("C:\Users\franc\OneDrive\Documentos\MALENTIN KARIME\BANCO ESTADO\2012 DEPTO ESCRITURAS fata\NOTARIA 2009\CARLOS BUGUEÑÑ\2009\COMPRAVENTA\HOTELERA EL MUELLE A MATIAS SALAS.doc", "Abrir Documento")</f>
        <v>0</v>
      </c>
      <c r="D13659" t="s">
        <v>23500</v>
      </c>
      <c r="E13659" t="s">
        <v>36134</v>
      </c>
    </row>
    <row r="13660" spans="1:5">
      <c r="A13660" t="s">
        <v>6</v>
      </c>
      <c r="B13660" t="s">
        <v>13665</v>
      </c>
      <c r="C13660">
        <f>HYPERLINK("C:\Users\franc\OneDrive\Documentos\MALENTIN KARIME\BANCO ESTADO\2012 DEPTO ESCRITURAS fata\NOTARIA 2009\CARLOS BUGUEÑÑ\2009\COMPRAVENTA\HECTOR BARRAZA A MARCO ARAYA.doc", "Abrir Documento")</f>
        <v>0</v>
      </c>
      <c r="D13660" t="s">
        <v>23500</v>
      </c>
      <c r="E13660" t="s">
        <v>36135</v>
      </c>
    </row>
    <row r="13661" spans="1:5">
      <c r="A13661" t="s">
        <v>6</v>
      </c>
      <c r="B13661" t="s">
        <v>13666</v>
      </c>
      <c r="C13661">
        <f>HYPERLINK("C:\Users\franc\OneDrive\Documentos\MALENTIN KARIME\BANCO ESTADO\2012 DEPTO ESCRITURAS fata\NOTARIA 2009\CARLOS BUGUEÑÑ\2009\COMPRAVENTA\HECTOR BARRAZA A MARCO ARAYA (CONSIGNACION).doc", "Abrir Documento")</f>
        <v>0</v>
      </c>
      <c r="D13661" t="s">
        <v>23500</v>
      </c>
      <c r="E13661" t="s">
        <v>36136</v>
      </c>
    </row>
    <row r="13662" spans="1:5">
      <c r="A13662" t="s">
        <v>6</v>
      </c>
      <c r="B13662" t="s">
        <v>13667</v>
      </c>
      <c r="C13662">
        <f>HYPERLINK("C:\Users\franc\OneDrive\Documentos\MALENTIN KARIME\BANCO ESTADO\2012 DEPTO ESCRITURAS fata\NOTARIA 2009\CARLOS BUGUEÑÑ\2009\COMPRAVENTA\GONZALO CAMPUSANO Y OTROS A SOC. ANGOSTURA.doc", "Abrir Documento")</f>
        <v>0</v>
      </c>
      <c r="D13662" t="s">
        <v>23500</v>
      </c>
      <c r="E13662" t="s">
        <v>36137</v>
      </c>
    </row>
    <row r="13663" spans="1:5">
      <c r="A13663" t="s">
        <v>6</v>
      </c>
      <c r="B13663" t="s">
        <v>13668</v>
      </c>
      <c r="C13663">
        <f>HYPERLINK("C:\Users\franc\OneDrive\Documentos\MALENTIN KARIME\BANCO ESTADO\2012 DEPTO ESCRITURAS fata\NOTARIA 2009\CARLOS BUGUEÑÑ\2009\COMPRAVENTA\CRUZ COLORADA A EDUARDO PLAZA.doc", "Abrir Documento")</f>
        <v>0</v>
      </c>
      <c r="D13663" t="s">
        <v>23500</v>
      </c>
      <c r="E13663" t="s">
        <v>36138</v>
      </c>
    </row>
    <row r="13664" spans="1:5">
      <c r="A13664" t="s">
        <v>6</v>
      </c>
      <c r="B13664" t="s">
        <v>13669</v>
      </c>
      <c r="C13664">
        <f>HYPERLINK("C:\Users\franc\OneDrive\Documentos\MALENTIN KARIME\BANCO ESTADO\2012 DEPTO ESCRITURAS fata\NOTARIA 2009\CARLOS BUGUEÑÑ\2009\COMPRAVENTA\CRUZ COLORADA A COMERCIAL GIBSON.doc", "Abrir Documento")</f>
        <v>0</v>
      </c>
      <c r="D13664" t="s">
        <v>23500</v>
      </c>
      <c r="E13664" t="s">
        <v>36139</v>
      </c>
    </row>
    <row r="13665" spans="1:5">
      <c r="A13665" t="s">
        <v>6</v>
      </c>
      <c r="B13665" t="s">
        <v>13670</v>
      </c>
      <c r="C13665">
        <f>HYPERLINK("C:\Users\franc\OneDrive\Documentos\MALENTIN KARIME\BANCO ESTADO\2012 DEPTO ESCRITURAS fata\NOTARIA 2009\CARLOS BUGUEÑÑ\2009\COMPRAVENTA\carta instrucc compra san julian[1].doc", "Abrir Documento")</f>
        <v>0</v>
      </c>
      <c r="D13665" t="s">
        <v>23500</v>
      </c>
      <c r="E13665" t="s">
        <v>36140</v>
      </c>
    </row>
    <row r="13666" spans="1:5">
      <c r="A13666" t="s">
        <v>6</v>
      </c>
      <c r="B13666" t="s">
        <v>13671</v>
      </c>
      <c r="C13666">
        <f>HYPERLINK("C:\Users\franc\OneDrive\Documentos\MALENTIN KARIME\BANCO ESTADO\2012 DEPTO ESCRITURAS fata\NOTARIA 2009\CARLOS BUGUEÑÑ\2009\COMPRAVENTA\carta instrucc compra rene ortiz - san julian[1].doc", "Abrir Documento")</f>
        <v>0</v>
      </c>
      <c r="D13666" t="s">
        <v>23500</v>
      </c>
      <c r="E13666" t="s">
        <v>36141</v>
      </c>
    </row>
    <row r="13667" spans="1:5">
      <c r="A13667" t="s">
        <v>6</v>
      </c>
      <c r="B13667" t="s">
        <v>13672</v>
      </c>
      <c r="C13667">
        <f>HYPERLINK("C:\Users\franc\OneDrive\Documentos\MALENTIN KARIME\BANCO ESTADO\2012 DEPTO ESCRITURAS fata\NOTARIA 2009\CARLOS BUGUEÑÑ\2009\COMPRAVENTA\carta instrucc - cipres con rene urzua.doc", "Abrir Documento")</f>
        <v>0</v>
      </c>
      <c r="D13667" t="s">
        <v>23500</v>
      </c>
      <c r="E13667" t="s">
        <v>36142</v>
      </c>
    </row>
    <row r="13668" spans="1:5">
      <c r="A13668" t="s">
        <v>6</v>
      </c>
      <c r="B13668" t="s">
        <v>13673</v>
      </c>
      <c r="C13668">
        <f>HYPERLINK("C:\Users\franc\OneDrive\Documentos\MALENTIN KARIME\BANCO ESTADO\2012 DEPTO ESCRITURAS fata\NOTARIA 2009\CARLOS BUGUEÑÑ\2009\COMPRAVENTA\CARMEN ARANCIBIA A ORLANDO DALBOSCO.doc", "Abrir Documento")</f>
        <v>0</v>
      </c>
      <c r="D13668" t="s">
        <v>23500</v>
      </c>
      <c r="E13668" t="s">
        <v>36143</v>
      </c>
    </row>
    <row r="13669" spans="1:5">
      <c r="A13669" t="s">
        <v>6</v>
      </c>
      <c r="B13669" t="s">
        <v>13674</v>
      </c>
      <c r="C13669">
        <f>HYPERLINK("C:\Users\franc\OneDrive\Documentos\MALENTIN KARIME\BANCO ESTADO\2012 DEPTO ESCRITURAS fata\NOTARIA 2009\CARLOS BUGUEÑÑ\2009\CESION DE DERECHOS\ROGER RIVERA CASTILLO.doc", "Abrir Documento")</f>
        <v>0</v>
      </c>
      <c r="D13669" t="s">
        <v>23500</v>
      </c>
      <c r="E13669" t="s">
        <v>36144</v>
      </c>
    </row>
    <row r="13670" spans="1:5">
      <c r="A13670" t="s">
        <v>6</v>
      </c>
      <c r="B13670" t="s">
        <v>13675</v>
      </c>
      <c r="C13670">
        <f>HYPERLINK("C:\Users\franc\OneDrive\Documentos\MALENTIN KARIME\BANCO ESTADO\2012 DEPTO ESCRITURAS fata\NOTARIA 2009\CARLOS BUGUEÑÑ\2009\CESION DE DERECHOS\PATRICIO PIZARRO RAMOS A MARIA RAMOS Y OTROS.doc", "Abrir Documento")</f>
        <v>0</v>
      </c>
      <c r="D13670" t="s">
        <v>23500</v>
      </c>
      <c r="E13670" t="s">
        <v>36145</v>
      </c>
    </row>
    <row r="13671" spans="1:5">
      <c r="A13671" t="s">
        <v>6</v>
      </c>
      <c r="B13671" t="s">
        <v>13676</v>
      </c>
      <c r="C13671">
        <f>HYPERLINK("C:\Users\franc\OneDrive\Documentos\MALENTIN KARIME\BANCO ESTADO\2012 DEPTO ESCRITURAS fata\NOTARIA 2009\CARLOS BUGUEÑÑ\2009\CESION DE DERECHOS\MARIA RODRIGUEZ A FRANCISCA RODRIGUEZ.doc", "Abrir Documento")</f>
        <v>0</v>
      </c>
      <c r="D13671" t="s">
        <v>23500</v>
      </c>
      <c r="E13671" t="s">
        <v>36146</v>
      </c>
    </row>
    <row r="13672" spans="1:5">
      <c r="A13672" t="s">
        <v>6</v>
      </c>
      <c r="B13672" t="s">
        <v>13677</v>
      </c>
      <c r="C13672">
        <f>HYPERLINK("C:\Users\franc\OneDrive\Documentos\MALENTIN KARIME\BANCO ESTADO\2012 DEPTO ESCRITURAS fata\NOTARIA 2009\CARLOS BUGUEÑÑ\2009\CESION DE DERECHOS\MARIA R. A FCA. RODRIGUEZ II.doc", "Abrir Documento")</f>
        <v>0</v>
      </c>
      <c r="D13672" t="s">
        <v>23500</v>
      </c>
      <c r="E13672" t="s">
        <v>36147</v>
      </c>
    </row>
    <row r="13673" spans="1:5">
      <c r="A13673" t="s">
        <v>6</v>
      </c>
      <c r="B13673" t="s">
        <v>13678</v>
      </c>
      <c r="C13673">
        <f>HYPERLINK("C:\Users\franc\OneDrive\Documentos\MALENTIN KARIME\BANCO ESTADO\2012 DEPTO ESCRITURAS fata\NOTARIA 2009\CARLOS BUGUEÑÑ\2009\CESION DE DERECHOS\HAYDEE HIDALGO A MARCO OLIVARES (COMUNIDAD AGRICOLA).doc", "Abrir Documento")</f>
        <v>0</v>
      </c>
      <c r="D13673" t="s">
        <v>23500</v>
      </c>
      <c r="E13673" t="s">
        <v>36148</v>
      </c>
    </row>
    <row r="13674" spans="1:5">
      <c r="A13674" t="s">
        <v>6</v>
      </c>
      <c r="B13674" t="s">
        <v>13679</v>
      </c>
      <c r="C13674">
        <f>HYPERLINK("C:\Users\franc\OneDrive\Documentos\MALENTIN KARIME\BANCO ESTADO\2012 DEPTO ESCRITURAS fata\NOTARIA 2009\CARLOS BUGUEÑÑ\2009\CESION DE DERECHOS\GUSTAVO CORRAL A INMOB. MARCELO CORRAL RENTA VITALICIA.doc", "Abrir Documento")</f>
        <v>0</v>
      </c>
      <c r="D13674" t="s">
        <v>23500</v>
      </c>
      <c r="E13674" t="s">
        <v>36149</v>
      </c>
    </row>
    <row r="13675" spans="1:5">
      <c r="A13675" t="s">
        <v>6</v>
      </c>
      <c r="B13675" t="s">
        <v>13680</v>
      </c>
      <c r="C13675">
        <f>HYPERLINK("C:\Users\franc\OneDrive\Documentos\MALENTIN KARIME\BANCO ESTADO\2012 DEPTO ESCRITURAS fata\NOTARIA 2009\CARLOS BUGUEÑÑ\2009\CESION DE DERECHOS\GUSTAVO CORRAL A INMOB. MARCELO CORRAL (CESION DE DERECHOS USUFRUCTO).doc", "Abrir Documento")</f>
        <v>0</v>
      </c>
      <c r="D13675" t="s">
        <v>23500</v>
      </c>
      <c r="E13675" t="s">
        <v>36150</v>
      </c>
    </row>
    <row r="13676" spans="1:5">
      <c r="A13676" t="s">
        <v>6</v>
      </c>
      <c r="B13676" t="s">
        <v>13681</v>
      </c>
      <c r="C13676">
        <f>HYPERLINK("C:\Users\franc\OneDrive\Documentos\MALENTIN KARIME\BANCO ESTADO\2012 DEPTO ESCRITURAS fata\NOTARIA 2009\CARLOS BUGUEÑÑ\2009\CESION DE DERECHOS\GUSTAVO CORRAL A INMOB. MARCELO CORRAL (2).doc", "Abrir Documento")</f>
        <v>0</v>
      </c>
      <c r="D13676" t="s">
        <v>23500</v>
      </c>
      <c r="E13676" t="s">
        <v>36151</v>
      </c>
    </row>
    <row r="13677" spans="1:5">
      <c r="A13677" t="s">
        <v>6</v>
      </c>
      <c r="B13677" t="s">
        <v>13682</v>
      </c>
      <c r="C13677">
        <f>HYPERLINK("C:\Users\franc\OneDrive\Documentos\MALENTIN KARIME\BANCO ESTADO\2012 DEPTO ESCRITURAS fata\NOTARIA 2009\CARLOS BUGUEÑÑ\2009\CANCELACION\INMOB. CRUZ COLORADA A EDUARDO PLAZA.doc", "Abrir Documento")</f>
        <v>0</v>
      </c>
      <c r="D13677" t="s">
        <v>23500</v>
      </c>
      <c r="E13677" t="s">
        <v>36152</v>
      </c>
    </row>
    <row r="13678" spans="1:5">
      <c r="A13678" t="s">
        <v>6</v>
      </c>
      <c r="B13678" t="s">
        <v>13683</v>
      </c>
      <c r="C13678">
        <f>HYPERLINK("C:\Users\franc\OneDrive\Documentos\MALENTIN KARIME\BANCO ESTADO\2012 DEPTO ESCRITURAS fata\NOTARIA 2009\CARLOS BUGUEÑÑ\2009\ACTAS\PLAZA TURISMO.doc", "Abrir Documento")</f>
        <v>0</v>
      </c>
      <c r="D13678" t="s">
        <v>23500</v>
      </c>
      <c r="E13678" t="s">
        <v>36153</v>
      </c>
    </row>
    <row r="13679" spans="1:5">
      <c r="A13679" t="s">
        <v>6</v>
      </c>
      <c r="B13679" t="s">
        <v>13684</v>
      </c>
      <c r="C13679">
        <f>HYPERLINK("C:\Users\franc\OneDrive\Documentos\MALENTIN KARIME\BANCO ESTADO\2012 DEPTO ESCRITURAS fata\NOTARIA 2009\CARLOS BUGUEÑÑ\2009\ACTAS\INMOB. HUGO JOFRE S.A. Acta Nº 9.doc", "Abrir Documento")</f>
        <v>0</v>
      </c>
      <c r="D13679" t="s">
        <v>23500</v>
      </c>
      <c r="E13679" t="s">
        <v>36154</v>
      </c>
    </row>
    <row r="13680" spans="1:5">
      <c r="A13680" t="s">
        <v>6</v>
      </c>
      <c r="B13680" t="s">
        <v>13685</v>
      </c>
      <c r="C13680">
        <f>HYPERLINK("C:\Users\franc\OneDrive\Documentos\MALENTIN KARIME\BANCO ESTADO\2012 DEPTO ESCRITURAS fata\NOTARIA 2009\CARLOS BUGUEÑÑ\2009\ACTAS\HOTELERA AMERICAN S.A. Acta Nº 3.doc", "Abrir Documento")</f>
        <v>0</v>
      </c>
      <c r="D13680" t="s">
        <v>23500</v>
      </c>
      <c r="E13680" t="s">
        <v>36155</v>
      </c>
    </row>
    <row r="13681" spans="1:5">
      <c r="A13681" t="s">
        <v>6</v>
      </c>
      <c r="B13681" t="s">
        <v>13686</v>
      </c>
      <c r="C13681">
        <f>HYPERLINK("C:\Users\franc\OneDrive\Documentos\MALENTIN KARIME\BANCO ESTADO\2012 DEPTO ESCRITURAS fata\NOTARIA 2009\CARLOS BUGUEÑÑ\2009\ACTAS\AGRICOLA LOS LEONES.doc", "Abrir Documento")</f>
        <v>0</v>
      </c>
      <c r="D13681" t="s">
        <v>23500</v>
      </c>
      <c r="E13681" t="s">
        <v>36156</v>
      </c>
    </row>
    <row r="13682" spans="1:5">
      <c r="A13682" t="s">
        <v>6</v>
      </c>
      <c r="B13682" t="s">
        <v>13687</v>
      </c>
      <c r="C13682">
        <f>HYPERLINK("C:\Users\franc\OneDrive\Documentos\MALENTIN KARIME\BANCO ESTADO\2012 DEPTO ESCRITURAS fata\NOTARIA 2009\CARLOS BUGUEÑÑ\2009\ACLARACION\SERGIO OVANDO.doc", "Abrir Documento")</f>
        <v>0</v>
      </c>
      <c r="D13682" t="s">
        <v>23500</v>
      </c>
      <c r="E13682" t="s">
        <v>36157</v>
      </c>
    </row>
    <row r="13683" spans="1:5">
      <c r="A13683" t="s">
        <v>6</v>
      </c>
      <c r="B13683" t="s">
        <v>13688</v>
      </c>
      <c r="C13683">
        <f>HYPERLINK("C:\Users\franc\OneDrive\Documentos\MALENTIN KARIME\BANCO ESTADO\2012 DEPTO ESCRITURAS fata\NOTARIA 2009\CARLOS BUGUEÑÑ\2009\ACLARACION\HUGO CASTILLO (OCT 2009 FINAL).doc", "Abrir Documento")</f>
        <v>0</v>
      </c>
      <c r="D13683" t="s">
        <v>23500</v>
      </c>
      <c r="E13683" t="s">
        <v>36158</v>
      </c>
    </row>
    <row r="13684" spans="1:5">
      <c r="A13684" t="s">
        <v>6</v>
      </c>
      <c r="B13684" t="s">
        <v>13689</v>
      </c>
      <c r="C13684">
        <f>HYPERLINK("C:\Users\franc\OneDrive\Documentos\MALENTIN KARIME\BANCO ESTADO\2012 DEPTO ESCRITURAS fata\NOTARIA 2009\CARLOS BUGUEÑÑ\2009\ACLARACION\HUGO CASTILLO (LIQ. SOC. CONYUGAL).doc", "Abrir Documento")</f>
        <v>0</v>
      </c>
      <c r="D13684" t="s">
        <v>23500</v>
      </c>
      <c r="E13684" t="s">
        <v>36159</v>
      </c>
    </row>
    <row r="13685" spans="1:5">
      <c r="A13685" t="s">
        <v>6</v>
      </c>
      <c r="B13685" t="s">
        <v>13690</v>
      </c>
      <c r="C13685">
        <f>HYPERLINK("C:\Users\franc\OneDrive\Documentos\MALENTIN KARIME\BANCO ESTADO\2012 DEPTO ESCRITURAS fata\NOTARIA 2009\CARLOS BUGUEÑÑ\2009\ACLARACION\GRACIELA MOYA.doc", "Abrir Documento")</f>
        <v>0</v>
      </c>
      <c r="D13685" t="s">
        <v>23500</v>
      </c>
      <c r="E13685" t="s">
        <v>36160</v>
      </c>
    </row>
    <row r="13686" spans="1:5">
      <c r="A13686" t="s">
        <v>6</v>
      </c>
      <c r="B13686" t="s">
        <v>13691</v>
      </c>
      <c r="C13686">
        <f>HYPERLINK("C:\Users\franc\OneDrive\Documentos\MALENTIN KARIME\BANCO ESTADO\2012 DEPTO ESCRITURAS fata\NOTARIA 2009\CARLOS BUGUEÑÑ\2009\ACLARACION\CARLOS BUFGUEÑO - ISRAEL PEREIRA Y OTROS.doc", "Abrir Documento")</f>
        <v>0</v>
      </c>
      <c r="D13686" t="s">
        <v>23500</v>
      </c>
      <c r="E13686" t="s">
        <v>36161</v>
      </c>
    </row>
    <row r="13687" spans="1:5">
      <c r="A13687" t="s">
        <v>6</v>
      </c>
      <c r="B13687" t="s">
        <v>13692</v>
      </c>
      <c r="C13687">
        <f>HYPERLINK("C:\Users\franc\OneDrive\Documentos\MALENTIN KARIME\BANCO ESTADO\2012 DEPTO ESCRITURAS fata\NOTARIA 2009\CARLOS BUGUEÑÑ\2009\ACLARACION\CARLOS BUFGUEÑO - ALGARROBO A ANTONI CORRAL.doc", "Abrir Documento")</f>
        <v>0</v>
      </c>
      <c r="D13687" t="s">
        <v>23500</v>
      </c>
      <c r="E13687" t="s">
        <v>36162</v>
      </c>
    </row>
    <row r="13688" spans="1:5">
      <c r="A13688" t="s">
        <v>6</v>
      </c>
      <c r="B13688" t="s">
        <v>13693</v>
      </c>
      <c r="C13688">
        <f>HYPERLINK("C:\Users\franc\OneDrive\Documentos\MALENTIN KARIME\BANCO ESTADO\2012 DEPTO ESCRITURAS fata\NOTARIA 2009\CARLOS BUGUEÑÑ\2009\ACLARACION\campo lindo.doc", "Abrir Documento")</f>
        <v>0</v>
      </c>
      <c r="D13688" t="s">
        <v>23500</v>
      </c>
      <c r="E13688" t="s">
        <v>36163</v>
      </c>
    </row>
    <row r="13689" spans="1:5">
      <c r="A13689" t="s">
        <v>6</v>
      </c>
      <c r="B13689" t="s">
        <v>13694</v>
      </c>
      <c r="C13689">
        <f>HYPERLINK("C:\Users\franc\OneDrive\Documentos\MALENTIN KARIME\BANCO ESTADO\2012 DEPTO ESCRITURAS fata\NOTARIA 2009\CARLOS BUGUEÑÑ\2009\TRANSACCION.- MARCELA GONZALEZ - ROSA CONTRERAS.doc", "Abrir Documento")</f>
        <v>0</v>
      </c>
      <c r="D13689" t="s">
        <v>23500</v>
      </c>
      <c r="E13689" t="s">
        <v>36164</v>
      </c>
    </row>
    <row r="13690" spans="1:5">
      <c r="A13690" t="s">
        <v>6</v>
      </c>
      <c r="B13690" t="s">
        <v>13695</v>
      </c>
      <c r="C13690">
        <f>HYPERLINK("C:\Users\franc\OneDrive\Documentos\MALENTIN KARIME\BANCO ESTADO\2012 DEPTO ESCRITURAS fata\NOTARIA 2009\CARLOS BUGUEÑÑ\2009\TRANSACCION.- ANGELICA MERUANE MISLEH-.doc", "Abrir Documento")</f>
        <v>0</v>
      </c>
      <c r="D13690" t="s">
        <v>23500</v>
      </c>
      <c r="E13690" t="s">
        <v>36165</v>
      </c>
    </row>
    <row r="13691" spans="1:5">
      <c r="A13691" t="s">
        <v>6</v>
      </c>
      <c r="B13691" t="s">
        <v>13696</v>
      </c>
      <c r="C13691">
        <f>HYPERLINK("C:\Users\franc\OneDrive\Documentos\MALENTIN KARIME\BANCO ESTADO\2012 DEPTO ESCRITURAS fata\NOTARIA 2009\CARLOS BUGUEÑÑ\2007\TRANSACCION\RICARDO CORRAL A AGRICOLA MARCELO CORRAL.doc", "Abrir Documento")</f>
        <v>0</v>
      </c>
      <c r="D13691" t="s">
        <v>23500</v>
      </c>
      <c r="E13691" t="s">
        <v>36166</v>
      </c>
    </row>
    <row r="13692" spans="1:5">
      <c r="A13692" t="s">
        <v>6</v>
      </c>
      <c r="B13692" t="s">
        <v>13697</v>
      </c>
      <c r="C13692">
        <f>HYPERLINK("C:\Users\franc\OneDrive\Documentos\MALENTIN KARIME\BANCO ESTADO\2012 DEPTO ESCRITURAS fata\NOTARIA 2009\CARLOS BUGUEÑÑ\2007\TRANSACCION\MARCELA GONZALEZ A ROSA CONTRERAS.doc", "Abrir Documento")</f>
        <v>0</v>
      </c>
      <c r="D13692" t="s">
        <v>23500</v>
      </c>
      <c r="E13692" t="s">
        <v>36167</v>
      </c>
    </row>
    <row r="13693" spans="1:5">
      <c r="A13693" t="s">
        <v>6</v>
      </c>
      <c r="B13693" t="s">
        <v>13698</v>
      </c>
      <c r="C13693">
        <f>HYPERLINK("C:\Users\franc\OneDrive\Documentos\MALENTIN KARIME\BANCO ESTADO\2012 DEPTO ESCRITURAS fata\NOTARIA 2009\CARLOS BUGUEÑÑ\2007\TRANSACCION\MARCELA GONZALEZ A ROSA CONTRERAS FINAL.doc", "Abrir Documento")</f>
        <v>0</v>
      </c>
      <c r="D13693" t="s">
        <v>23500</v>
      </c>
      <c r="E13693" t="s">
        <v>36168</v>
      </c>
    </row>
    <row r="13694" spans="1:5">
      <c r="A13694" t="s">
        <v>6</v>
      </c>
      <c r="B13694" t="s">
        <v>13699</v>
      </c>
      <c r="C13694">
        <f>HYPERLINK("C:\Users\franc\OneDrive\Documentos\MALENTIN KARIME\BANCO ESTADO\2012 DEPTO ESCRITURAS fata\NOTARIA 2009\CARLOS BUGUEÑÑ\2007\TRANSACCION\CARLA FIGUEROA CON RODRIGO ALEGRIA.doc", "Abrir Documento")</f>
        <v>0</v>
      </c>
      <c r="D13694" t="s">
        <v>23500</v>
      </c>
      <c r="E13694" t="s">
        <v>36169</v>
      </c>
    </row>
    <row r="13695" spans="1:5">
      <c r="A13695" t="s">
        <v>6</v>
      </c>
      <c r="B13695" t="s">
        <v>13700</v>
      </c>
      <c r="C13695">
        <f>HYPERLINK("C:\Users\franc\OneDrive\Documentos\MALENTIN KARIME\BANCO ESTADO\2012 DEPTO ESCRITURAS fata\NOTARIA 2009\CARLOS BUGUEÑÑ\2007\TRANSACCION\AGRICOLA E INM.MARCELO CORRAL A GUSTAVO CORRAL Y OTRA.doc", "Abrir Documento")</f>
        <v>0</v>
      </c>
      <c r="D13695" t="s">
        <v>23500</v>
      </c>
      <c r="E13695" t="s">
        <v>36170</v>
      </c>
    </row>
    <row r="13696" spans="1:5">
      <c r="A13696" t="s">
        <v>6</v>
      </c>
      <c r="B13696" t="s">
        <v>13701</v>
      </c>
      <c r="C13696">
        <f>HYPERLINK("C:\Users\franc\OneDrive\Documentos\MALENTIN KARIME\BANCO ESTADO\2012 DEPTO ESCRITURAS fata\NOTARIA 2009\CARLOS BUGUEÑÑ\2007\TESTAMENTOS\ROSA CORTES (EDGARDO SAUD).doc", "Abrir Documento")</f>
        <v>0</v>
      </c>
      <c r="D13696" t="s">
        <v>23500</v>
      </c>
      <c r="E13696" t="s">
        <v>36171</v>
      </c>
    </row>
    <row r="13697" spans="1:5">
      <c r="A13697" t="s">
        <v>6</v>
      </c>
      <c r="B13697" t="s">
        <v>13702</v>
      </c>
      <c r="C13697">
        <f>HYPERLINK("C:\Users\franc\OneDrive\Documentos\MALENTIN KARIME\BANCO ESTADO\2012 DEPTO ESCRITURAS fata\NOTARIA 2009\CARLOS BUGUEÑÑ\2007\TESTAMENTOS\EDGARDO SAUD ROJAS.doc", "Abrir Documento")</f>
        <v>0</v>
      </c>
      <c r="D13697" t="s">
        <v>23500</v>
      </c>
      <c r="E13697" t="s">
        <v>36172</v>
      </c>
    </row>
    <row r="13698" spans="1:5">
      <c r="A13698" t="s">
        <v>6</v>
      </c>
      <c r="B13698" t="s">
        <v>13703</v>
      </c>
      <c r="C13698">
        <f>HYPERLINK("C:\Users\franc\OneDrive\Documentos\MALENTIN KARIME\BANCO ESTADO\2012 DEPTO ESCRITURAS fata\NOTARIA 2009\CARLOS BUGUEÑÑ\2007\TERMINO ARRIENDO\NICOMEDES BUGUEÑO.doc", "Abrir Documento")</f>
        <v>0</v>
      </c>
      <c r="D13698" t="s">
        <v>23500</v>
      </c>
      <c r="E13698" t="s">
        <v>36173</v>
      </c>
    </row>
    <row r="13699" spans="1:5">
      <c r="A13699" t="s">
        <v>6</v>
      </c>
      <c r="B13699" t="s">
        <v>13704</v>
      </c>
      <c r="C13699">
        <f>HYPERLINK("C:\Users\franc\OneDrive\Documentos\MALENTIN KARIME\BANCO ESTADO\2012 DEPTO ESCRITURAS fata\NOTARIA 2009\CARLOS BUGUEÑÑ\2007\TERMINO ARRENDAMIENTO\PILAR MUNCADA A SOC. AGRIC. PUNILLA.doc", "Abrir Documento")</f>
        <v>0</v>
      </c>
      <c r="D13699" t="s">
        <v>23500</v>
      </c>
      <c r="E13699" t="s">
        <v>36174</v>
      </c>
    </row>
    <row r="13700" spans="1:5">
      <c r="A13700" t="s">
        <v>6</v>
      </c>
      <c r="B13700" t="s">
        <v>13705</v>
      </c>
      <c r="C13700">
        <f>HYPERLINK("C:\Users\franc\OneDrive\Documentos\MALENTIN KARIME\BANCO ESTADO\2012 DEPTO ESCRITURAS fata\NOTARIA 2009\CARLOS BUGUEÑÑ\2007\SOCIEDAD\TERMINO SOC. HORACIO ALVAREZ EXTRACTO.doc", "Abrir Documento")</f>
        <v>0</v>
      </c>
      <c r="D13700" t="s">
        <v>23500</v>
      </c>
      <c r="E13700" t="s">
        <v>36175</v>
      </c>
    </row>
    <row r="13701" spans="1:5">
      <c r="A13701" t="s">
        <v>6</v>
      </c>
      <c r="B13701" t="s">
        <v>13706</v>
      </c>
      <c r="C13701">
        <f>HYPERLINK("C:\Users\franc\OneDrive\Documentos\MALENTIN KARIME\BANCO ESTADO\2012 DEPTO ESCRITURAS fata\NOTARIA 2009\CARLOS BUGUEÑÑ\2007\SOCIEDAD\SOC. STA MARTA DE MOSTAZAL.doc", "Abrir Documento")</f>
        <v>0</v>
      </c>
      <c r="D13701" t="s">
        <v>23500</v>
      </c>
      <c r="E13701" t="s">
        <v>36176</v>
      </c>
    </row>
    <row r="13702" spans="1:5">
      <c r="A13702" t="s">
        <v>6</v>
      </c>
      <c r="B13702" t="s">
        <v>13707</v>
      </c>
      <c r="C13702">
        <f>HYPERLINK("C:\Users\franc\OneDrive\Documentos\MALENTIN KARIME\BANCO ESTADO\2012 DEPTO ESCRITURAS fata\NOTARIA 2009\CARLOS BUGUEÑÑ\2007\SOCIEDAD\SOC. GASTRONOMICA - LLAMILA PINTO - MODIFICACION.doc", "Abrir Documento")</f>
        <v>0</v>
      </c>
      <c r="D13702" t="s">
        <v>23500</v>
      </c>
      <c r="E13702" t="s">
        <v>36177</v>
      </c>
    </row>
    <row r="13703" spans="1:5">
      <c r="A13703" t="s">
        <v>6</v>
      </c>
      <c r="B13703" t="s">
        <v>13708</v>
      </c>
      <c r="C13703">
        <f>HYPERLINK("C:\Users\franc\OneDrive\Documentos\MALENTIN KARIME\BANCO ESTADO\2012 DEPTO ESCRITURAS fata\NOTARIA 2009\CARLOS BUGUEÑÑ\2007\SOCIEDAD\SOC. ALVAREZ Y JULIA LTDA..doc", "Abrir Documento")</f>
        <v>0</v>
      </c>
      <c r="D13703" t="s">
        <v>23500</v>
      </c>
      <c r="E13703" t="s">
        <v>36178</v>
      </c>
    </row>
    <row r="13704" spans="1:5">
      <c r="A13704" t="s">
        <v>6</v>
      </c>
      <c r="B13704" t="s">
        <v>13709</v>
      </c>
      <c r="C13704">
        <f>HYPERLINK("C:\Users\franc\OneDrive\Documentos\MALENTIN KARIME\BANCO ESTADO\2012 DEPTO ESCRITURAS fata\NOTARIA 2009\CARLOS BUGUEÑÑ\2007\SOCIEDAD\SOC ROBERTO CORTES (MODIFICACION) EXTRACTO.doc", "Abrir Documento")</f>
        <v>0</v>
      </c>
      <c r="D13704" t="s">
        <v>23500</v>
      </c>
      <c r="E13704" t="s">
        <v>36179</v>
      </c>
    </row>
    <row r="13705" spans="1:5">
      <c r="A13705" t="s">
        <v>6</v>
      </c>
      <c r="B13705" t="s">
        <v>13710</v>
      </c>
      <c r="C13705">
        <f>HYPERLINK("C:\Users\franc\OneDrive\Documentos\MALENTIN KARIME\BANCO ESTADO\2012 DEPTO ESCRITURAS fata\NOTARIA 2009\CARLOS BUGUEÑÑ\2007\SOCIEDAD\patricia_julia_-_modifica_sociedad_-_extracto_-_sept_2008[1].doc", "Abrir Documento")</f>
        <v>0</v>
      </c>
      <c r="D13705" t="s">
        <v>23500</v>
      </c>
      <c r="E13705" t="s">
        <v>36180</v>
      </c>
    </row>
    <row r="13706" spans="1:5">
      <c r="A13706" t="s">
        <v>6</v>
      </c>
      <c r="B13706" t="s">
        <v>13711</v>
      </c>
      <c r="C13706">
        <f>HYPERLINK("C:\Users\franc\OneDrive\Documentos\MALENTIN KARIME\BANCO ESTADO\2012 DEPTO ESCRITURAS fata\NOTARIA 2009\CARLOS BUGUEÑÑ\2007\SOCIEDAD\patricia julia - noviembre 2007 - extracto.doc", "Abrir Documento")</f>
        <v>0</v>
      </c>
      <c r="D13706" t="s">
        <v>23500</v>
      </c>
      <c r="E13706" t="s">
        <v>36181</v>
      </c>
    </row>
    <row r="13707" spans="1:5">
      <c r="A13707" t="s">
        <v>6</v>
      </c>
      <c r="B13707" t="s">
        <v>13712</v>
      </c>
      <c r="C13707">
        <f>HYPERLINK("C:\Users\franc\OneDrive\Documentos\MALENTIN KARIME\BANCO ESTADO\2012 DEPTO ESCRITURAS fata\NOTARIA 2009\CARLOS BUGUEÑÑ\2007\SOCIEDAD\PALOMA CORTES - EXTRACTO.doc", "Abrir Documento")</f>
        <v>0</v>
      </c>
      <c r="D13707" t="s">
        <v>23500</v>
      </c>
      <c r="E13707" t="s">
        <v>36182</v>
      </c>
    </row>
    <row r="13708" spans="1:5">
      <c r="A13708" t="s">
        <v>6</v>
      </c>
      <c r="B13708" t="s">
        <v>13713</v>
      </c>
      <c r="C13708">
        <f>HYPERLINK("C:\Users\franc\OneDrive\Documentos\MALENTIN KARIME\BANCO ESTADO\2012 DEPTO ESCRITURAS fata\NOTARIA 2009\CARLOS BUGUEÑÑ\2007\SOCIEDAD\MODIFICACION INMOBILIARIA Y HOTELERA Y TRANSFORMACION INVERSIONES HUGO JOFRE.doc", "Abrir Documento")</f>
        <v>0</v>
      </c>
      <c r="D13708" t="s">
        <v>23500</v>
      </c>
      <c r="E13708" t="s">
        <v>36183</v>
      </c>
    </row>
    <row r="13709" spans="1:5">
      <c r="A13709" t="s">
        <v>6</v>
      </c>
      <c r="B13709" t="s">
        <v>13714</v>
      </c>
      <c r="C13709">
        <f>HYPERLINK("C:\Users\franc\OneDrive\Documentos\MALENTIN KARIME\BANCO ESTADO\2012 DEPTO ESCRITURAS fata\NOTARIA 2009\CARLOS BUGUEÑÑ\2007\SOCIEDAD\MODIF. SOC. CORTES CORRAL (EXTRACTO).doc", "Abrir Documento")</f>
        <v>0</v>
      </c>
      <c r="D13709" t="s">
        <v>23500</v>
      </c>
      <c r="E13709" t="s">
        <v>36184</v>
      </c>
    </row>
    <row r="13710" spans="1:5">
      <c r="A13710" t="s">
        <v>6</v>
      </c>
      <c r="B13710" t="s">
        <v>13715</v>
      </c>
      <c r="C13710">
        <f>HYPERLINK("C:\Users\franc\OneDrive\Documentos\MALENTIN KARIME\BANCO ESTADO\2012 DEPTO ESCRITURAS fata\NOTARIA 2009\CARLOS BUGUEÑÑ\2007\SOCIEDAD\MODELO NOTARIO.doc", "Abrir Documento")</f>
        <v>0</v>
      </c>
      <c r="D13710" t="s">
        <v>23500</v>
      </c>
      <c r="E13710" t="s">
        <v>36185</v>
      </c>
    </row>
    <row r="13711" spans="1:5">
      <c r="A13711" t="s">
        <v>6</v>
      </c>
      <c r="B13711" t="s">
        <v>13716</v>
      </c>
      <c r="C13711">
        <f>HYPERLINK("C:\Users\franc\OneDrive\Documentos\MALENTIN KARIME\BANCO ESTADO\2012 DEPTO ESCRITURAS fata\NOTARIA 2009\CARLOS BUGUEÑÑ\2007\SOCIEDAD\marcelo corral soc diciembre 2007 - extracto.doc", "Abrir Documento")</f>
        <v>0</v>
      </c>
      <c r="D13711" t="s">
        <v>23500</v>
      </c>
      <c r="E13711" t="s">
        <v>36186</v>
      </c>
    </row>
    <row r="13712" spans="1:5">
      <c r="A13712" t="s">
        <v>6</v>
      </c>
      <c r="B13712" t="s">
        <v>13717</v>
      </c>
      <c r="C13712">
        <f>HYPERLINK("C:\Users\franc\OneDrive\Documentos\MALENTIN KARIME\BANCO ESTADO\2012 DEPTO ESCRITURAS fata\NOTARIA 2009\CARLOS BUGUEÑÑ\2007\SOCIEDAD\LORETO CORTES EXTRACTO.doc", "Abrir Documento")</f>
        <v>0</v>
      </c>
      <c r="D13712" t="s">
        <v>23500</v>
      </c>
      <c r="E13712" t="s">
        <v>36187</v>
      </c>
    </row>
    <row r="13713" spans="1:5">
      <c r="A13713" t="s">
        <v>6</v>
      </c>
      <c r="B13713" t="s">
        <v>13718</v>
      </c>
      <c r="C13713">
        <f>HYPERLINK("C:\Users\franc\OneDrive\Documentos\MALENTIN KARIME\BANCO ESTADO\2012 DEPTO ESCRITURAS fata\NOTARIA 2009\CARLOS BUGUEÑÑ\2007\SOCIEDAD\jorge h corral soc - enero 2008 - extracto.doc", "Abrir Documento")</f>
        <v>0</v>
      </c>
      <c r="D13713" t="s">
        <v>23500</v>
      </c>
      <c r="E13713" t="s">
        <v>36188</v>
      </c>
    </row>
    <row r="13714" spans="1:5">
      <c r="A13714" t="s">
        <v>6</v>
      </c>
      <c r="B13714" t="s">
        <v>13719</v>
      </c>
      <c r="C13714">
        <f>HYPERLINK("C:\Users\franc\OneDrive\Documentos\MALENTIN KARIME\BANCO ESTADO\2012 DEPTO ESCRITURAS fata\NOTARIA 2009\CARLOS BUGUEÑÑ\2007\SOCIEDAD\HOTELERA Y SERVICIO AMERICAN S.A. (JOFRE).doc", "Abrir Documento")</f>
        <v>0</v>
      </c>
      <c r="D13714" t="s">
        <v>23500</v>
      </c>
      <c r="E13714" t="s">
        <v>36189</v>
      </c>
    </row>
    <row r="13715" spans="1:5">
      <c r="A13715" t="s">
        <v>6</v>
      </c>
      <c r="B13715" t="s">
        <v>13720</v>
      </c>
      <c r="C13715">
        <f>HYPERLINK("C:\Users\franc\OneDrive\Documentos\MALENTIN KARIME\BANCO ESTADO\2012 DEPTO ESCRITURAS fata\NOTARIA 2009\CARLOS BUGUEÑÑ\2007\SOCIEDAD\HOTELERA PLAZA TURISMO S.A. (JOFRE).doc", "Abrir Documento")</f>
        <v>0</v>
      </c>
      <c r="D13715" t="s">
        <v>23500</v>
      </c>
      <c r="E13715" t="s">
        <v>36190</v>
      </c>
    </row>
    <row r="13716" spans="1:5">
      <c r="A13716" t="s">
        <v>6</v>
      </c>
      <c r="B13716" t="s">
        <v>13721</v>
      </c>
      <c r="C13716">
        <f>HYPERLINK("C:\Users\franc\OneDrive\Documentos\MALENTIN KARIME\BANCO ESTADO\2012 DEPTO ESCRITURAS fata\NOTARIA 2009\CARLOS BUGUEÑÑ\2007\SOCIEDAD\HECTOR ARRIAGADA E.I.R.L..doc", "Abrir Documento")</f>
        <v>0</v>
      </c>
      <c r="D13716" t="s">
        <v>23500</v>
      </c>
      <c r="E13716" t="s">
        <v>36191</v>
      </c>
    </row>
    <row r="13717" spans="1:5">
      <c r="A13717" t="s">
        <v>6</v>
      </c>
      <c r="B13717" t="s">
        <v>13722</v>
      </c>
      <c r="C13717">
        <f>HYPERLINK("C:\Users\franc\OneDrive\Documentos\MALENTIN KARIME\BANCO ESTADO\2012 DEPTO ESCRITURAS fata\NOTARIA 2009\CARLOS BUGUEÑÑ\2007\SOCIEDAD\extracto LAS NIETAS.doc", "Abrir Documento")</f>
        <v>0</v>
      </c>
      <c r="D13717" t="s">
        <v>23500</v>
      </c>
      <c r="E13717" t="s">
        <v>36192</v>
      </c>
    </row>
    <row r="13718" spans="1:5">
      <c r="A13718" t="s">
        <v>6</v>
      </c>
      <c r="B13718" t="s">
        <v>13723</v>
      </c>
      <c r="C13718">
        <f>HYPERLINK("C:\Users\franc\OneDrive\Documentos\MALENTIN KARIME\BANCO ESTADO\2012 DEPTO ESCRITURAS fata\NOTARIA 2009\CARLOS BUGUEÑÑ\2007\SOCIEDAD\COMERCIAL GIBSON.doc", "Abrir Documento")</f>
        <v>0</v>
      </c>
      <c r="D13718" t="s">
        <v>23500</v>
      </c>
      <c r="E13718" t="s">
        <v>36193</v>
      </c>
    </row>
    <row r="13719" spans="1:5">
      <c r="A13719" t="s">
        <v>6</v>
      </c>
      <c r="B13719" t="s">
        <v>13724</v>
      </c>
      <c r="C13719">
        <f>HYPERLINK("C:\Users\franc\OneDrive\Documentos\MALENTIN KARIME\BANCO ESTADO\2012 DEPTO ESCRITURAS fata\NOTARIA 2009\CARLOS BUGUEÑÑ\2007\SOCIEDAD\cesion__lino_hernandez__extracto_-_junio_2008[1].doc", "Abrir Documento")</f>
        <v>0</v>
      </c>
      <c r="D13719" t="s">
        <v>23500</v>
      </c>
      <c r="E13719" t="s">
        <v>36194</v>
      </c>
    </row>
    <row r="13720" spans="1:5">
      <c r="A13720" t="s">
        <v>6</v>
      </c>
      <c r="B13720" t="s">
        <v>13725</v>
      </c>
      <c r="C13720">
        <f>HYPERLINK("C:\Users\franc\OneDrive\Documentos\MALENTIN KARIME\BANCO ESTADO\2012 DEPTO ESCRITURAS fata\NOTARIA 2009\CARLOS BUGUEÑÑ\2007\SOCIEDAD\CESION LINO HERNANDEZ.doc", "Abrir Documento")</f>
        <v>0</v>
      </c>
      <c r="D13720" t="s">
        <v>23500</v>
      </c>
      <c r="E13720" t="s">
        <v>36195</v>
      </c>
    </row>
    <row r="13721" spans="1:5">
      <c r="A13721" t="s">
        <v>6</v>
      </c>
      <c r="B13721" t="s">
        <v>13726</v>
      </c>
      <c r="C13721">
        <f>HYPERLINK("C:\Users\franc\OneDrive\Documentos\MALENTIN KARIME\BANCO ESTADO\2012 DEPTO ESCRITURAS fata\NOTARIA 2009\CARLOS BUGUEÑÑ\2007\SOCIEDAD\CECILIA CORTES PICKERT EIRL.doc", "Abrir Documento")</f>
        <v>0</v>
      </c>
      <c r="D13721" t="s">
        <v>23500</v>
      </c>
      <c r="E13721" t="s">
        <v>36196</v>
      </c>
    </row>
    <row r="13722" spans="1:5">
      <c r="A13722" t="s">
        <v>6</v>
      </c>
      <c r="B13722" t="s">
        <v>13727</v>
      </c>
      <c r="C13722">
        <f>HYPERLINK("C:\Users\franc\OneDrive\Documentos\MALENTIN KARIME\BANCO ESTADO\2012 DEPTO ESCRITURAS fata\NOTARIA 2009\CARLOS BUGUEÑÑ\2007\SOCIEDAD\APORTE MARCELO CORRAL BARRIOS.doc", "Abrir Documento")</f>
        <v>0</v>
      </c>
      <c r="D13722" t="s">
        <v>23500</v>
      </c>
      <c r="E13722" t="s">
        <v>36197</v>
      </c>
    </row>
    <row r="13723" spans="1:5">
      <c r="A13723" t="s">
        <v>6</v>
      </c>
      <c r="B13723" t="s">
        <v>13728</v>
      </c>
      <c r="C13723">
        <f>HYPERLINK("C:\Users\franc\OneDrive\Documentos\MALENTIN KARIME\BANCO ESTADO\2012 DEPTO ESCRITURAS fata\NOTARIA 2009\CARLOS BUGUEÑÑ\2007\SOCIEDAD\ALEXIS DIAZ SANEAMIENTO.doc", "Abrir Documento")</f>
        <v>0</v>
      </c>
      <c r="D13723" t="s">
        <v>23500</v>
      </c>
      <c r="E13723" t="s">
        <v>36198</v>
      </c>
    </row>
    <row r="13724" spans="1:5">
      <c r="A13724" t="s">
        <v>6</v>
      </c>
      <c r="B13724" t="s">
        <v>13729</v>
      </c>
      <c r="C13724">
        <f>HYPERLINK("C:\Users\franc\OneDrive\Documentos\MALENTIN KARIME\BANCO ESTADO\2012 DEPTO ESCRITURAS fata\NOTARIA 2009\CARLOS BUGUEÑÑ\2007\SOCIEDAD\ALEXIS DIAZ MODIFICACION.doc", "Abrir Documento")</f>
        <v>0</v>
      </c>
      <c r="D13724" t="s">
        <v>23500</v>
      </c>
      <c r="E13724" t="s">
        <v>36199</v>
      </c>
    </row>
    <row r="13725" spans="1:5">
      <c r="A13725" t="s">
        <v>6</v>
      </c>
      <c r="B13725" t="s">
        <v>13730</v>
      </c>
      <c r="C13725">
        <f>HYPERLINK("C:\Users\franc\OneDrive\Documentos\MALENTIN KARIME\BANCO ESTADO\2012 DEPTO ESCRITURAS fata\NOTARIA 2009\CARLOS BUGUEÑÑ\2007\SOCIEDAD\ALEXIS DIAZ (MODIFICCION) EXTRACTO.doc", "Abrir Documento")</f>
        <v>0</v>
      </c>
      <c r="D13725" t="s">
        <v>23500</v>
      </c>
      <c r="E13725" t="s">
        <v>36200</v>
      </c>
    </row>
    <row r="13726" spans="1:5">
      <c r="A13726" t="s">
        <v>6</v>
      </c>
      <c r="B13726" t="s">
        <v>13731</v>
      </c>
      <c r="C13726">
        <f>HYPERLINK("C:\Users\franc\OneDrive\Documentos\MALENTIN KARIME\BANCO ESTADO\2012 DEPTO ESCRITURAS fata\NOTARIA 2009\CARLOS BUGUEÑÑ\2007\SOCIEDAD\alexis diaz  saneamiento - extracto.doc", "Abrir Documento")</f>
        <v>0</v>
      </c>
      <c r="D13726" t="s">
        <v>23500</v>
      </c>
      <c r="E13726" t="s">
        <v>36201</v>
      </c>
    </row>
    <row r="13727" spans="1:5">
      <c r="A13727" t="s">
        <v>6</v>
      </c>
      <c r="B13727" t="s">
        <v>13732</v>
      </c>
      <c r="C13727">
        <f>HYPERLINK("C:\Users\franc\OneDrive\Documentos\MALENTIN KARIME\BANCO ESTADO\2012 DEPTO ESCRITURAS fata\NOTARIA 2009\CARLOS BUGUEÑÑ\2007\SOCIEDAD\AGRICOLA SANTA JULIA (CORTES-CORRAL).doc", "Abrir Documento")</f>
        <v>0</v>
      </c>
      <c r="D13727" t="s">
        <v>23500</v>
      </c>
      <c r="E13727" t="s">
        <v>36202</v>
      </c>
    </row>
    <row r="13728" spans="1:5">
      <c r="A13728" t="s">
        <v>6</v>
      </c>
      <c r="B13728" t="s">
        <v>13733</v>
      </c>
      <c r="C13728">
        <f>HYPERLINK("C:\Users\franc\OneDrive\Documentos\MALENTIN KARIME\BANCO ESTADO\2012 DEPTO ESCRITURAS fata\NOTARIA 2009\CARLOS BUGUEÑÑ\2007\SOCIEDAD\AGRICOLA MARYLO (CORTES-CORRAL).doc", "Abrir Documento")</f>
        <v>0</v>
      </c>
      <c r="D13728" t="s">
        <v>23500</v>
      </c>
      <c r="E13728" t="s">
        <v>36203</v>
      </c>
    </row>
    <row r="13729" spans="1:5">
      <c r="A13729" t="s">
        <v>6</v>
      </c>
      <c r="B13729" t="s">
        <v>13734</v>
      </c>
      <c r="C13729">
        <f>HYPERLINK("C:\Users\franc\OneDrive\Documentos\MALENTIN KARIME\BANCO ESTADO\2012 DEPTO ESCRITURAS fata\NOTARIA 2009\CARLOS BUGUEÑÑ\2007\SOCIEDAD\AGRICOLA MARCELO CORRRAL Y CIA.doc", "Abrir Documento")</f>
        <v>0</v>
      </c>
      <c r="D13729" t="s">
        <v>23500</v>
      </c>
      <c r="E13729" t="s">
        <v>36204</v>
      </c>
    </row>
    <row r="13730" spans="1:5">
      <c r="A13730" t="s">
        <v>6</v>
      </c>
      <c r="B13730" t="s">
        <v>13735</v>
      </c>
      <c r="C13730">
        <f>HYPERLINK("C:\Users\franc\OneDrive\Documentos\MALENTIN KARIME\BANCO ESTADO\2012 DEPTO ESCRITURAS fata\NOTARIA 2009\CARLOS BUGUEÑÑ\2007\SOCIEDAD\AGRICOLA MARCELA CORRAL (ACLARACION).doc", "Abrir Documento")</f>
        <v>0</v>
      </c>
      <c r="D13730" t="s">
        <v>23500</v>
      </c>
      <c r="E13730" t="s">
        <v>36205</v>
      </c>
    </row>
    <row r="13731" spans="1:5">
      <c r="A13731" t="s">
        <v>6</v>
      </c>
      <c r="B13731" t="s">
        <v>13736</v>
      </c>
      <c r="C13731">
        <f>HYPERLINK("C:\Users\franc\OneDrive\Documentos\MALENTIN KARIME\BANCO ESTADO\2012 DEPTO ESCRITURAS fata\NOTARIA 2009\CARLOS BUGUEÑÑ\2007\SOCIEDAD\AGRICOLA LOS LEONES S.A. (JOFRE).doc", "Abrir Documento")</f>
        <v>0</v>
      </c>
      <c r="D13731" t="s">
        <v>23500</v>
      </c>
      <c r="E13731" t="s">
        <v>36206</v>
      </c>
    </row>
    <row r="13732" spans="1:5">
      <c r="A13732" t="s">
        <v>6</v>
      </c>
      <c r="B13732" t="s">
        <v>13737</v>
      </c>
      <c r="C13732">
        <f>HYPERLINK("C:\Users\franc\OneDrive\Documentos\MALENTIN KARIME\BANCO ESTADO\2012 DEPTO ESCRITURAS fata\NOTARIA 2009\CARLOS BUGUEÑÑ\2007\SOCIEDAD\AGRICOLA LAS PALOMAS (CORTES-CORRAL).doc", "Abrir Documento")</f>
        <v>0</v>
      </c>
      <c r="D13732" t="s">
        <v>23500</v>
      </c>
      <c r="E13732" t="s">
        <v>36207</v>
      </c>
    </row>
    <row r="13733" spans="1:5">
      <c r="A13733" t="s">
        <v>6</v>
      </c>
      <c r="B13733" t="s">
        <v>13738</v>
      </c>
      <c r="C13733">
        <f>HYPERLINK("C:\Users\franc\OneDrive\Documentos\MALENTIN KARIME\BANCO ESTADO\2012 DEPTO ESCRITURAS fata\NOTARIA 2009\CARLOS BUGUEÑÑ\2007\SOCIEDAD\AGRICOLA LAS NIETAS - SANEAMIENTO.doc", "Abrir Documento")</f>
        <v>0</v>
      </c>
      <c r="D13733" t="s">
        <v>23500</v>
      </c>
      <c r="E13733" t="s">
        <v>36208</v>
      </c>
    </row>
    <row r="13734" spans="1:5">
      <c r="A13734" t="s">
        <v>6</v>
      </c>
      <c r="B13734" t="s">
        <v>13739</v>
      </c>
      <c r="C13734">
        <f>HYPERLINK("C:\Users\franc\OneDrive\Documentos\MALENTIN KARIME\BANCO ESTADO\2012 DEPTO ESCRITURAS fata\NOTARIA 2009\CARLOS BUGUEÑÑ\2007\SOCIEDAD\AGRICOLA LAS NIETAS (CORTES-CORRAL) SOCIEDAD.doc", "Abrir Documento")</f>
        <v>0</v>
      </c>
      <c r="D13734" t="s">
        <v>23500</v>
      </c>
      <c r="E13734" t="s">
        <v>36209</v>
      </c>
    </row>
    <row r="13735" spans="1:5">
      <c r="A13735" t="s">
        <v>6</v>
      </c>
      <c r="B13735" t="s">
        <v>13740</v>
      </c>
      <c r="C13735">
        <f>HYPERLINK("C:\Users\franc\OneDrive\Documentos\MALENTIN KARIME\BANCO ESTADO\2012 DEPTO ESCRITURAS fata\NOTARIA 2009\CARLOS BUGUEÑÑ\2007\SERVIDUMBRES\AGRICOLA STA. ELENA A LUCIA DONOSO.doc", "Abrir Documento")</f>
        <v>0</v>
      </c>
      <c r="D13735" t="s">
        <v>23500</v>
      </c>
      <c r="E13735" t="s">
        <v>36210</v>
      </c>
    </row>
    <row r="13736" spans="1:5">
      <c r="A13736" t="s">
        <v>6</v>
      </c>
      <c r="B13736" t="s">
        <v>13741</v>
      </c>
      <c r="C13736">
        <f>HYPERLINK("C:\Users\franc\OneDrive\Documentos\MALENTIN KARIME\BANCO ESTADO\2012 DEPTO ESCRITURAS fata\NOTARIA 2009\CARLOS BUGUEÑÑ\2007\SEPARACION DE BIENES\ROBERTO CORTES CORRAL.doc", "Abrir Documento")</f>
        <v>0</v>
      </c>
      <c r="D13736" t="s">
        <v>23500</v>
      </c>
      <c r="E13736" t="s">
        <v>36211</v>
      </c>
    </row>
    <row r="13737" spans="1:5">
      <c r="A13737" t="s">
        <v>6</v>
      </c>
      <c r="B13737" t="s">
        <v>13742</v>
      </c>
      <c r="C13737">
        <f>HYPERLINK("C:\Users\franc\OneDrive\Documentos\MALENTIN KARIME\BANCO ESTADO\2012 DEPTO ESCRITURAS fata\NOTARIA 2009\CARLOS BUGUEÑÑ\2007\SEPARACION DE BIENES\PATRICIO SALGADO.doc", "Abrir Documento")</f>
        <v>0</v>
      </c>
      <c r="D13737" t="s">
        <v>23500</v>
      </c>
      <c r="E13737" t="s">
        <v>36212</v>
      </c>
    </row>
    <row r="13738" spans="1:5">
      <c r="A13738" t="s">
        <v>6</v>
      </c>
      <c r="B13738" t="s">
        <v>13743</v>
      </c>
      <c r="C13738">
        <f>HYPERLINK("C:\Users\franc\OneDrive\Documentos\MALENTIN KARIME\BANCO ESTADO\2012 DEPTO ESCRITURAS fata\NOTARIA 2009\CARLOS BUGUEÑÑ\2007\SANTIAGO BOSMAN\JULIA CORTES.doc", "Abrir Documento")</f>
        <v>0</v>
      </c>
      <c r="D13738" t="s">
        <v>23500</v>
      </c>
      <c r="E13738" t="s">
        <v>36213</v>
      </c>
    </row>
    <row r="13739" spans="1:5">
      <c r="A13739" t="s">
        <v>6</v>
      </c>
      <c r="B13739" t="s">
        <v>13744</v>
      </c>
      <c r="C13739">
        <f>HYPERLINK("C:\Users\franc\OneDrive\Documentos\MALENTIN KARIME\BANCO ESTADO\2012 DEPTO ESCRITURAS fata\NOTARIA 2009\CARLOS BUGUEÑÑ\2007\SANTIAGO BOSMAN\JORGE ACUÑA A RIO COPIAPO - AGUAS.doc", "Abrir Documento")</f>
        <v>0</v>
      </c>
      <c r="D13739" t="s">
        <v>23500</v>
      </c>
      <c r="E13739" t="s">
        <v>36214</v>
      </c>
    </row>
    <row r="13740" spans="1:5">
      <c r="A13740" t="s">
        <v>6</v>
      </c>
      <c r="B13740" t="s">
        <v>13745</v>
      </c>
      <c r="C13740">
        <f>HYPERLINK("C:\Users\franc\OneDrive\Documentos\MALENTIN KARIME\BANCO ESTADO\2012 DEPTO ESCRITURAS fata\NOTARIA 2009\CARLOS BUGUEÑÑ\2007\SANTIAGO BOSMAN\APORTE BIENES INMUEBLES A SOC.doc", "Abrir Documento")</f>
        <v>0</v>
      </c>
      <c r="D13740" t="s">
        <v>23500</v>
      </c>
      <c r="E13740" t="s">
        <v>36215</v>
      </c>
    </row>
    <row r="13741" spans="1:5">
      <c r="A13741" t="s">
        <v>6</v>
      </c>
      <c r="B13741" t="s">
        <v>13746</v>
      </c>
      <c r="C13741">
        <f>HYPERLINK("C:\Users\franc\OneDrive\Documentos\MALENTIN KARIME\BANCO ESTADO\2012 DEPTO ESCRITURAS fata\NOTARIA 2009\CARLOS BUGUEÑÑ\2007\REVOCACION\SOCIEDAD  MOSTAZAL (REVOCA).doc", "Abrir Documento")</f>
        <v>0</v>
      </c>
      <c r="D13741" t="s">
        <v>23500</v>
      </c>
      <c r="E13741" t="s">
        <v>36216</v>
      </c>
    </row>
    <row r="13742" spans="1:5">
      <c r="A13742" t="s">
        <v>6</v>
      </c>
      <c r="B13742" t="s">
        <v>13747</v>
      </c>
      <c r="C13742">
        <f>HYPERLINK("C:\Users\franc\OneDrive\Documentos\MALENTIN KARIME\BANCO ESTADO\2012 DEPTO ESCRITURAS fata\NOTARIA 2009\CARLOS BUGUEÑÑ\2007\RENUNCIA USUFRUCTO\RENE ALLENDE.doc", "Abrir Documento")</f>
        <v>0</v>
      </c>
      <c r="D13742" t="s">
        <v>23500</v>
      </c>
      <c r="E13742" t="s">
        <v>36217</v>
      </c>
    </row>
    <row r="13743" spans="1:5">
      <c r="A13743" t="s">
        <v>6</v>
      </c>
      <c r="B13743" t="s">
        <v>13748</v>
      </c>
      <c r="C13743">
        <f>HYPERLINK("C:\Users\franc\OneDrive\Documentos\MALENTIN KARIME\BANCO ESTADO\2012 DEPTO ESCRITURAS fata\NOTARIA 2009\CARLOS BUGUEÑÑ\2007\RENUNCIA USUFRUCTO\HUGO JOFRE.doc", "Abrir Documento")</f>
        <v>0</v>
      </c>
      <c r="D13743" t="s">
        <v>23500</v>
      </c>
      <c r="E13743" t="s">
        <v>36218</v>
      </c>
    </row>
    <row r="13744" spans="1:5">
      <c r="A13744" t="s">
        <v>6</v>
      </c>
      <c r="B13744" t="s">
        <v>13749</v>
      </c>
      <c r="C13744">
        <f>HYPERLINK("C:\Users\franc\OneDrive\Documentos\MALENTIN KARIME\BANCO ESTADO\2012 DEPTO ESCRITURAS fata\NOTARIA 2009\CARLOS BUGUEÑÑ\2007\RECTIFICACION\LUCIA DONOSO.doc", "Abrir Documento")</f>
        <v>0</v>
      </c>
      <c r="D13744" t="s">
        <v>23500</v>
      </c>
      <c r="E13744" t="s">
        <v>36219</v>
      </c>
    </row>
    <row r="13745" spans="1:5">
      <c r="A13745" t="s">
        <v>6</v>
      </c>
      <c r="B13745" t="s">
        <v>13750</v>
      </c>
      <c r="C13745">
        <f>HYPERLINK("C:\Users\franc\OneDrive\Documentos\MALENTIN KARIME\BANCO ESTADO\2012 DEPTO ESCRITURAS fata\NOTARIA 2009\CARLOS BUGUEÑÑ\2007\PROTOCOLIZACION\CECILIA CORTES PICKERT EIRL.doc", "Abrir Documento")</f>
        <v>0</v>
      </c>
      <c r="D13745" t="s">
        <v>23500</v>
      </c>
      <c r="E13745" t="s">
        <v>36220</v>
      </c>
    </row>
    <row r="13746" spans="1:5">
      <c r="A13746" t="s">
        <v>6</v>
      </c>
      <c r="B13746" t="s">
        <v>13751</v>
      </c>
      <c r="C13746">
        <f>HYPERLINK("C:\Users\franc\OneDrive\Documentos\MALENTIN KARIME\BANCO ESTADO\2012 DEPTO ESCRITURAS fata\NOTARIA 2009\CARLOS BUGUEÑÑ\2007\PROMESA\CRUZ COLORADA A SOC. GIBSON+.doc", "Abrir Documento")</f>
        <v>0</v>
      </c>
      <c r="D13746" t="s">
        <v>23500</v>
      </c>
      <c r="E13746" t="s">
        <v>36221</v>
      </c>
    </row>
    <row r="13747" spans="1:5">
      <c r="A13747" t="s">
        <v>6</v>
      </c>
      <c r="B13747" t="s">
        <v>13752</v>
      </c>
      <c r="C13747">
        <f>HYPERLINK("C:\Users\franc\OneDrive\Documentos\MALENTIN KARIME\BANCO ESTADO\2012 DEPTO ESCRITURAS fata\NOTARIA 2009\CARLOS BUGUEÑÑ\2007\PROMESA\AGRICOLA HERNAN CORRAL A AGRICOLA MARCELO CORRAL.doc", "Abrir Documento")</f>
        <v>0</v>
      </c>
      <c r="D13747" t="s">
        <v>23500</v>
      </c>
      <c r="E13747" t="s">
        <v>36222</v>
      </c>
    </row>
    <row r="13748" spans="1:5">
      <c r="A13748" t="s">
        <v>6</v>
      </c>
      <c r="B13748" t="s">
        <v>13753</v>
      </c>
      <c r="C13748">
        <f>HYPERLINK("C:\Users\franc\OneDrive\Documentos\MALENTIN KARIME\BANCO ESTADO\2012 DEPTO ESCRITURAS fata\NOTARIA 2009\CARLOS BUGUEÑÑ\2007\PERMUTA\GILBERTO PARDO A SOC ANGOSTURA.doc", "Abrir Documento")</f>
        <v>0</v>
      </c>
      <c r="D13748" t="s">
        <v>23500</v>
      </c>
      <c r="E13748" t="s">
        <v>36223</v>
      </c>
    </row>
    <row r="13749" spans="1:5">
      <c r="A13749" t="s">
        <v>6</v>
      </c>
      <c r="B13749" t="s">
        <v>13754</v>
      </c>
      <c r="C13749">
        <f>HYPERLINK("C:\Users\franc\OneDrive\Documentos\MALENTIN KARIME\BANCO ESTADO\2012 DEPTO ESCRITURAS fata\NOTARIA 2009\CARLOS BUGUEÑÑ\2007\PERMUTA\ANTONIO CORRAL EIRL A SOC. ANGOSTURA.doc", "Abrir Documento")</f>
        <v>0</v>
      </c>
      <c r="D13749" t="s">
        <v>23500</v>
      </c>
      <c r="E13749" t="s">
        <v>36224</v>
      </c>
    </row>
    <row r="13750" spans="1:5">
      <c r="A13750" t="s">
        <v>6</v>
      </c>
      <c r="B13750" t="s">
        <v>13755</v>
      </c>
      <c r="C13750">
        <f>HYPERLINK("C:\Users\franc\OneDrive\Documentos\MALENTIN KARIME\BANCO ESTADO\2012 DEPTO ESCRITURAS fata\NOTARIA 2009\CARLOS BUGUEÑÑ\2007\MUTUO\JOSE ARAYA A ROSA CASTILLO.doc", "Abrir Documento")</f>
        <v>0</v>
      </c>
      <c r="D13750" t="s">
        <v>23500</v>
      </c>
      <c r="E13750" t="s">
        <v>36225</v>
      </c>
    </row>
    <row r="13751" spans="1:5">
      <c r="A13751" t="s">
        <v>6</v>
      </c>
      <c r="B13751" t="s">
        <v>13756</v>
      </c>
      <c r="C13751">
        <f>HYPERLINK("C:\Users\franc\OneDrive\Documentos\MALENTIN KARIME\BANCO ESTADO\2012 DEPTO ESCRITURAS fata\NOTARIA 2009\CARLOS BUGUEÑÑ\2007\MUTUO\AGRICOLA MARCELA CORRAL A NEWMAN.doc", "Abrir Documento")</f>
        <v>0</v>
      </c>
      <c r="D13751" t="s">
        <v>23500</v>
      </c>
      <c r="E13751" t="s">
        <v>36226</v>
      </c>
    </row>
    <row r="13752" spans="1:5">
      <c r="A13752" t="s">
        <v>6</v>
      </c>
      <c r="B13752" t="s">
        <v>13757</v>
      </c>
      <c r="C13752">
        <f>HYPERLINK("C:\Users\franc\OneDrive\Documentos\MALENTIN KARIME\BANCO ESTADO\2012 DEPTO ESCRITURAS fata\NOTARIA 2009\CARLOS BUGUEÑÑ\2007\MODIFICACION\SOCIEDAD MOSTAZAL.doc", "Abrir Documento")</f>
        <v>0</v>
      </c>
      <c r="D13752" t="s">
        <v>23500</v>
      </c>
      <c r="E13752" t="s">
        <v>36227</v>
      </c>
    </row>
    <row r="13753" spans="1:5">
      <c r="A13753" t="s">
        <v>6</v>
      </c>
      <c r="B13753" t="s">
        <v>13758</v>
      </c>
      <c r="C13753">
        <f>HYPERLINK("C:\Users\franc\OneDrive\Documentos\MALENTIN KARIME\BANCO ESTADO\2012 DEPTO ESCRITURAS fata\NOTARIA 2009\CARLOS BUGUEÑÑ\2007\MODIFICACION\SOC. AGRICOLA ELIANA DE RAPEL.doc", "Abrir Documento")</f>
        <v>0</v>
      </c>
      <c r="D13753" t="s">
        <v>23500</v>
      </c>
      <c r="E13753" t="s">
        <v>36228</v>
      </c>
    </row>
    <row r="13754" spans="1:5">
      <c r="A13754" t="s">
        <v>6</v>
      </c>
      <c r="B13754" t="s">
        <v>13759</v>
      </c>
      <c r="C13754">
        <f>HYPERLINK("C:\Users\franc\OneDrive\Documentos\MALENTIN KARIME\BANCO ESTADO\2012 DEPTO ESCRITURAS fata\NOTARIA 2009\CARLOS BUGUEÑÑ\2007\MODIFICACION\AGRICOLA CORTES CORRAL (MODIFICACION).doc", "Abrir Documento")</f>
        <v>0</v>
      </c>
      <c r="D13754" t="s">
        <v>23500</v>
      </c>
      <c r="E13754" t="s">
        <v>36229</v>
      </c>
    </row>
    <row r="13755" spans="1:5">
      <c r="A13755" t="s">
        <v>6</v>
      </c>
      <c r="B13755" t="s">
        <v>13760</v>
      </c>
      <c r="C13755">
        <f>HYPERLINK("C:\Users\franc\OneDrive\Documentos\MALENTIN KARIME\BANCO ESTADO\2012 DEPTO ESCRITURAS fata\NOTARIA 2009\CARLOS BUGUEÑÑ\2007\MODIFICACION\AGRICOLA ALVAREZ Y JULIA.doc", "Abrir Documento")</f>
        <v>0</v>
      </c>
      <c r="D13755" t="s">
        <v>23500</v>
      </c>
      <c r="E13755" t="s">
        <v>36230</v>
      </c>
    </row>
    <row r="13756" spans="1:5">
      <c r="A13756" t="s">
        <v>6</v>
      </c>
      <c r="B13756" t="s">
        <v>13761</v>
      </c>
      <c r="C13756">
        <f>HYPERLINK("C:\Users\franc\OneDrive\Documentos\MALENTIN KARIME\BANCO ESTADO\2012 DEPTO ESCRITURAS fata\NOTARIA 2009\CARLOS BUGUEÑÑ\2007\mandatos\ESTEBAN ESPEJO A SILVIA PIZARRO.doc", "Abrir Documento")</f>
        <v>0</v>
      </c>
      <c r="D13756" t="s">
        <v>23500</v>
      </c>
      <c r="E13756" t="s">
        <v>36231</v>
      </c>
    </row>
    <row r="13757" spans="1:5">
      <c r="A13757" t="s">
        <v>6</v>
      </c>
      <c r="B13757" t="s">
        <v>13762</v>
      </c>
      <c r="C13757">
        <f>HYPERLINK("C:\Users\franc\OneDrive\Documentos\MALENTIN KARIME\BANCO ESTADO\2012 DEPTO ESCRITURAS fata\NOTARIA 2009\CARLOS BUGUEÑÑ\2007\mandatos\B Y B a BANCO SNTANDER.doc", "Abrir Documento")</f>
        <v>0</v>
      </c>
      <c r="D13757" t="s">
        <v>23500</v>
      </c>
      <c r="E13757" t="s">
        <v>36232</v>
      </c>
    </row>
    <row r="13758" spans="1:5">
      <c r="A13758" t="s">
        <v>6</v>
      </c>
      <c r="B13758" t="s">
        <v>13763</v>
      </c>
      <c r="C13758">
        <f>HYPERLINK("C:\Users\franc\OneDrive\Documentos\MALENTIN KARIME\BANCO ESTADO\2012 DEPTO ESCRITURAS fata\NOTARIA 2009\CARLOS BUGUEÑÑ\2007\mandatos\AGRICOLA HERNAN CORRAL.doc", "Abrir Documento")</f>
        <v>0</v>
      </c>
      <c r="D13758" t="s">
        <v>23500</v>
      </c>
      <c r="E13758" t="s">
        <v>36233</v>
      </c>
    </row>
    <row r="13759" spans="1:5">
      <c r="A13759" t="s">
        <v>6</v>
      </c>
      <c r="B13759" t="s">
        <v>13764</v>
      </c>
      <c r="C13759">
        <f>HYPERLINK("C:\Users\franc\OneDrive\Documentos\MALENTIN KARIME\BANCO ESTADO\2012 DEPTO ESCRITURAS fata\NOTARIA 2009\CARLOS BUGUEÑÑ\2007\MANDATO GENERAL\OSCAR CARMONA.doc", "Abrir Documento")</f>
        <v>0</v>
      </c>
      <c r="D13759" t="s">
        <v>23500</v>
      </c>
      <c r="E13759" t="s">
        <v>36234</v>
      </c>
    </row>
    <row r="13760" spans="1:5">
      <c r="A13760" t="s">
        <v>6</v>
      </c>
      <c r="B13760" t="s">
        <v>13765</v>
      </c>
      <c r="C13760">
        <f>HYPERLINK("C:\Users\franc\OneDrive\Documentos\MALENTIN KARIME\BANCO ESTADO\2012 DEPTO ESCRITURAS fata\NOTARIA 2009\CARLOS BUGUEÑÑ\2007\LIQUIDACION SOC. CONYUGAL\HUGO CASTILLO.doc", "Abrir Documento")</f>
        <v>0</v>
      </c>
      <c r="D13760" t="s">
        <v>23500</v>
      </c>
      <c r="E13760" t="s">
        <v>36235</v>
      </c>
    </row>
    <row r="13761" spans="1:5">
      <c r="A13761" t="s">
        <v>6</v>
      </c>
      <c r="B13761" t="s">
        <v>13766</v>
      </c>
      <c r="C13761">
        <f>HYPERLINK("C:\Users\franc\OneDrive\Documentos\MALENTIN KARIME\BANCO ESTADO\2012 DEPTO ESCRITURAS fata\NOTARIA 2009\CARLOS BUGUEÑÑ\2007\JUNTA DE ACCCIONES\SLM ESPERANZA.doc", "Abrir Documento")</f>
        <v>0</v>
      </c>
      <c r="D13761" t="s">
        <v>23500</v>
      </c>
      <c r="E13761" t="s">
        <v>36236</v>
      </c>
    </row>
    <row r="13762" spans="1:5">
      <c r="A13762" t="s">
        <v>6</v>
      </c>
      <c r="B13762" t="s">
        <v>13767</v>
      </c>
      <c r="C13762">
        <f>HYPERLINK("C:\Users\franc\OneDrive\Documentos\MALENTIN KARIME\BANCO ESTADO\2012 DEPTO ESCRITURAS fata\NOTARIA 2009\CARLOS BUGUEÑÑ\2007\jofre\TURISMO ARRIENDO PRIVADO.doc", "Abrir Documento")</f>
        <v>0</v>
      </c>
      <c r="D13762" t="s">
        <v>23500</v>
      </c>
      <c r="E13762" t="s">
        <v>36237</v>
      </c>
    </row>
    <row r="13763" spans="1:5">
      <c r="A13763" t="s">
        <v>6</v>
      </c>
      <c r="B13763" t="s">
        <v>13768</v>
      </c>
      <c r="C13763">
        <f>HYPERLINK("C:\Users\franc\OneDrive\Documentos\MALENTIN KARIME\BANCO ESTADO\2012 DEPTO ESCRITURAS fata\NOTARIA 2009\CARLOS BUGUEÑÑ\2007\jofre\SEPARACION BIENES CRISTIAN.doc", "Abrir Documento")</f>
        <v>0</v>
      </c>
      <c r="D13763" t="s">
        <v>23500</v>
      </c>
      <c r="E13763" t="s">
        <v>36238</v>
      </c>
    </row>
    <row r="13764" spans="1:5">
      <c r="A13764" t="s">
        <v>6</v>
      </c>
      <c r="B13764" t="s">
        <v>13769</v>
      </c>
      <c r="C13764">
        <f>HYPERLINK("C:\Users\franc\OneDrive\Documentos\MALENTIN KARIME\BANCO ESTADO\2012 DEPTO ESCRITURAS fata\NOTARIA 2009\CARLOS BUGUEÑÑ\2007\jofre\NORMA BECERRA - TESTAMENTO.doc", "Abrir Documento")</f>
        <v>0</v>
      </c>
      <c r="D13764" t="s">
        <v>23500</v>
      </c>
      <c r="E13764" t="s">
        <v>36239</v>
      </c>
    </row>
    <row r="13765" spans="1:5">
      <c r="A13765" t="s">
        <v>6</v>
      </c>
      <c r="B13765" t="s">
        <v>13770</v>
      </c>
      <c r="C13765">
        <f>HYPERLINK("C:\Users\franc\OneDrive\Documentos\MALENTIN KARIME\BANCO ESTADO\2012 DEPTO ESCRITURAS fata\NOTARIA 2009\CARLOS BUGUEÑÑ\2007\jofre\LA SERENA - COQUIMBO.doc", "Abrir Documento")</f>
        <v>0</v>
      </c>
      <c r="D13765" t="s">
        <v>23500</v>
      </c>
      <c r="E13765" t="s">
        <v>36240</v>
      </c>
    </row>
    <row r="13766" spans="1:5">
      <c r="A13766" t="s">
        <v>6</v>
      </c>
      <c r="B13766" t="s">
        <v>13771</v>
      </c>
      <c r="C13766">
        <f>HYPERLINK("C:\Users\franc\OneDrive\Documentos\MALENTIN KARIME\BANCO ESTADO\2012 DEPTO ESCRITURAS fata\NOTARIA 2009\CARLOS BUGUEÑÑ\2007\jofre\INMOB. JOFRE  - MOD. SOC.doc", "Abrir Documento")</f>
        <v>0</v>
      </c>
      <c r="D13766" t="s">
        <v>23500</v>
      </c>
      <c r="E13766" t="s">
        <v>36241</v>
      </c>
    </row>
    <row r="13767" spans="1:5">
      <c r="A13767" t="s">
        <v>6</v>
      </c>
      <c r="B13767" t="s">
        <v>13772</v>
      </c>
      <c r="C13767">
        <f>HYPERLINK("C:\Users\franc\OneDrive\Documentos\MALENTIN KARIME\BANCO ESTADO\2012 DEPTO ESCRITURAS fata\NOTARIA 2009\CARLOS BUGUEÑÑ\2007\jofre\HUGO JOFRE A INMBO. HUGO J  S.A. COMPRAVNETA.doc", "Abrir Documento")</f>
        <v>0</v>
      </c>
      <c r="D13767" t="s">
        <v>23500</v>
      </c>
      <c r="E13767" t="s">
        <v>36242</v>
      </c>
    </row>
    <row r="13768" spans="1:5">
      <c r="A13768" t="s">
        <v>6</v>
      </c>
      <c r="B13768" t="s">
        <v>13773</v>
      </c>
      <c r="C13768">
        <f>HYPERLINK("C:\Users\franc\OneDrive\Documentos\MALENTIN KARIME\BANCO ESTADO\2012 DEPTO ESCRITURAS fata\NOTARIA 2009\CARLOS BUGUEÑÑ\2007\jofre\HUGO JOFRE - TESTAMENTO.doc", "Abrir Documento")</f>
        <v>0</v>
      </c>
      <c r="D13768" t="s">
        <v>23500</v>
      </c>
      <c r="E13768" t="s">
        <v>36243</v>
      </c>
    </row>
    <row r="13769" spans="1:5">
      <c r="A13769" t="s">
        <v>6</v>
      </c>
      <c r="B13769" t="s">
        <v>13774</v>
      </c>
      <c r="C13769">
        <f>HYPERLINK("C:\Users\franc\OneDrive\Documentos\MALENTIN KARIME\BANCO ESTADO\2012 DEPTO ESCRITURAS fata\NOTARIA 2009\CARLOS BUGUEÑÑ\2007\jofre\HUGO JOFRE - MANDATO GENERAL.doc", "Abrir Documento")</f>
        <v>0</v>
      </c>
      <c r="D13769" t="s">
        <v>23500</v>
      </c>
      <c r="E13769" t="s">
        <v>36244</v>
      </c>
    </row>
    <row r="13770" spans="1:5">
      <c r="A13770" t="s">
        <v>6</v>
      </c>
      <c r="B13770" t="s">
        <v>13775</v>
      </c>
      <c r="C13770">
        <f>HYPERLINK("C:\Users\franc\OneDrive\Documentos\MALENTIN KARIME\BANCO ESTADO\2012 DEPTO ESCRITURAS fata\NOTARIA 2009\CARLOS BUGUEÑÑ\2007\jofre\HUGO JOFRE  A AGRIC. LOS LEONES - COMPRAVENTA.doc", "Abrir Documento")</f>
        <v>0</v>
      </c>
      <c r="D13770" t="s">
        <v>23500</v>
      </c>
      <c r="E13770" t="s">
        <v>36245</v>
      </c>
    </row>
    <row r="13771" spans="1:5">
      <c r="A13771" t="s">
        <v>6</v>
      </c>
      <c r="B13771" t="s">
        <v>13776</v>
      </c>
      <c r="C13771">
        <f>HYPERLINK("C:\Users\franc\OneDrive\Documentos\MALENTIN KARIME\BANCO ESTADO\2012 DEPTO ESCRITURAS fata\NOTARIA 2009\CARLOS BUGUEÑÑ\2007\jofre\EXTRACO JOFRE.doc", "Abrir Documento")</f>
        <v>0</v>
      </c>
      <c r="D13771" t="s">
        <v>23500</v>
      </c>
      <c r="E13771" t="s">
        <v>36246</v>
      </c>
    </row>
    <row r="13772" spans="1:5">
      <c r="A13772" t="s">
        <v>6</v>
      </c>
      <c r="B13772" t="s">
        <v>13777</v>
      </c>
      <c r="C13772">
        <f>HYPERLINK("C:\Users\franc\OneDrive\Documentos\MALENTIN KARIME\BANCO ESTADO\2012 DEPTO ESCRITURAS fata\NOTARIA 2009\CARLOS BUGUEÑÑ\2007\jofre\comodato hugo jofre a inmobiliaria y hotelera ltda - enero 2008.doc", "Abrir Documento")</f>
        <v>0</v>
      </c>
      <c r="D13772" t="s">
        <v>23500</v>
      </c>
      <c r="E13772" t="s">
        <v>36247</v>
      </c>
    </row>
    <row r="13773" spans="1:5">
      <c r="A13773" t="s">
        <v>6</v>
      </c>
      <c r="B13773" t="s">
        <v>13778</v>
      </c>
      <c r="C13773">
        <f>HYPERLINK("C:\Users\franc\OneDrive\Documentos\MALENTIN KARIME\BANCO ESTADO\2012 DEPTO ESCRITURAS fata\NOTARIA 2009\CARLOS BUGUEÑÑ\2007\jofre\COMODATO HUGO JOFRE A AGRIC. LOS LEONES - PRIVADO.doc", "Abrir Documento")</f>
        <v>0</v>
      </c>
      <c r="D13773" t="s">
        <v>23500</v>
      </c>
      <c r="E13773" t="s">
        <v>36248</v>
      </c>
    </row>
    <row r="13774" spans="1:5">
      <c r="A13774" t="s">
        <v>6</v>
      </c>
      <c r="B13774" t="s">
        <v>13779</v>
      </c>
      <c r="C13774">
        <f>HYPERLINK("C:\Users\franc\OneDrive\Documentos\MALENTIN KARIME\BANCO ESTADO\2012 DEPTO ESCRITURAS fata\NOTARIA 2009\CARLOS BUGUEÑÑ\2007\jofre\autorizacion domicilio h jofre a agricola los leones sa febrero 2007.doc", "Abrir Documento")</f>
        <v>0</v>
      </c>
      <c r="D13774" t="s">
        <v>23500</v>
      </c>
      <c r="E13774" t="s">
        <v>36249</v>
      </c>
    </row>
    <row r="13775" spans="1:5">
      <c r="A13775" t="s">
        <v>6</v>
      </c>
      <c r="B13775" t="s">
        <v>13780</v>
      </c>
      <c r="C13775">
        <f>HYPERLINK("C:\Users\franc\OneDrive\Documentos\MALENTIN KARIME\BANCO ESTADO\2012 DEPTO ESCRITURAS fata\NOTARIA 2009\CARLOS BUGUEÑÑ\2007\jofre\ARRIENDO SR. PINILLA JUNIO 2008.doc", "Abrir Documento")</f>
        <v>0</v>
      </c>
      <c r="D13775" t="s">
        <v>23500</v>
      </c>
      <c r="E13775" t="s">
        <v>36250</v>
      </c>
    </row>
    <row r="13776" spans="1:5">
      <c r="A13776" t="s">
        <v>6</v>
      </c>
      <c r="B13776" t="s">
        <v>13781</v>
      </c>
      <c r="C13776">
        <f>HYPERLINK("C:\Users\franc\OneDrive\Documentos\MALENTIN KARIME\BANCO ESTADO\2012 DEPTO ESCRITURAS fata\NOTARIA 2009\CARLOS BUGUEÑÑ\2007\jofre\ARRIENDO GUSTAVO CORRAL.doc", "Abrir Documento")</f>
        <v>0</v>
      </c>
      <c r="D13776" t="s">
        <v>23500</v>
      </c>
      <c r="E13776" t="s">
        <v>36251</v>
      </c>
    </row>
    <row r="13777" spans="1:5">
      <c r="A13777" t="s">
        <v>6</v>
      </c>
      <c r="B13777" t="s">
        <v>13782</v>
      </c>
      <c r="C13777">
        <f>HYPERLINK("C:\Users\franc\OneDrive\Documentos\MALENTIN KARIME\BANCO ESTADO\2012 DEPTO ESCRITURAS fata\NOTARIA 2009\CARLOS BUGUEÑÑ\2007\jofre\AMERICAN ARRIENDO PRIVADO.doc", "Abrir Documento")</f>
        <v>0</v>
      </c>
      <c r="D13777" t="s">
        <v>23500</v>
      </c>
      <c r="E13777" t="s">
        <v>36252</v>
      </c>
    </row>
    <row r="13778" spans="1:5">
      <c r="A13778" t="s">
        <v>6</v>
      </c>
      <c r="B13778" t="s">
        <v>13783</v>
      </c>
      <c r="C13778">
        <f>HYPERLINK("C:\Users\franc\OneDrive\Documentos\MALENTIN KARIME\BANCO ESTADO\2012 DEPTO ESCRITURAS fata\NOTARIA 2009\CARLOS BUGUEÑÑ\2007\DISOLUCION SOCIEDAD HORACIO ALVAREZ\HORACIO ALVAREZ Y CIA.doc", "Abrir Documento")</f>
        <v>0</v>
      </c>
      <c r="D13778" t="s">
        <v>23500</v>
      </c>
      <c r="E13778" t="s">
        <v>36253</v>
      </c>
    </row>
    <row r="13779" spans="1:5">
      <c r="A13779" t="s">
        <v>6</v>
      </c>
      <c r="B13779" t="s">
        <v>13784</v>
      </c>
      <c r="C13779">
        <f>HYPERLINK("C:\Users\franc\OneDrive\Documentos\MALENTIN KARIME\BANCO ESTADO\2012 DEPTO ESCRITURAS fata\NOTARIA 2009\CARLOS BUGUEÑÑ\2007\DESIGNACION\SOC. ACME (JORGE CORTES.doc", "Abrir Documento")</f>
        <v>0</v>
      </c>
      <c r="D13779" t="s">
        <v>23500</v>
      </c>
      <c r="E13779" t="s">
        <v>36254</v>
      </c>
    </row>
    <row r="13780" spans="1:5">
      <c r="A13780" t="s">
        <v>6</v>
      </c>
      <c r="B13780" t="s">
        <v>13785</v>
      </c>
      <c r="C13780">
        <f>HYPERLINK("C:\Users\franc\OneDrive\Documentos\MALENTIN KARIME\BANCO ESTADO\2012 DEPTO ESCRITURAS fata\NOTARIA 2009\CARLOS BUGUEÑÑ\2007\DACION EN PAGO\INMB. CORRAL A JORGE CORRAL Y USUF. A GUSTAVO CORRAL.doc", "Abrir Documento")</f>
        <v>0</v>
      </c>
      <c r="D13780" t="s">
        <v>23500</v>
      </c>
      <c r="E13780" t="s">
        <v>36255</v>
      </c>
    </row>
    <row r="13781" spans="1:5">
      <c r="A13781" t="s">
        <v>6</v>
      </c>
      <c r="B13781" t="s">
        <v>13786</v>
      </c>
      <c r="C13781">
        <f>HYPERLINK("C:\Users\franc\OneDrive\Documentos\MALENTIN KARIME\BANCO ESTADO\2012 DEPTO ESCRITURAS fata\NOTARIA 2009\CARLOS BUGUEÑÑ\2007\CRUZ COLORADA\ROXANA RIVERA.doc", "Abrir Documento")</f>
        <v>0</v>
      </c>
      <c r="D13781" t="s">
        <v>23500</v>
      </c>
      <c r="E13781" t="s">
        <v>36256</v>
      </c>
    </row>
    <row r="13782" spans="1:5">
      <c r="A13782" t="s">
        <v>6</v>
      </c>
      <c r="B13782" t="s">
        <v>13787</v>
      </c>
      <c r="C13782">
        <f>HYPERLINK("C:\Users\franc\OneDrive\Documentos\MALENTIN KARIME\BANCO ESTADO\2012 DEPTO ESCRITURAS fata\NOTARIA 2009\CARLOS BUGUEÑÑ\2007\CRUZ COLORADA\RODOLFO HERNANDEZ.doc", "Abrir Documento")</f>
        <v>0</v>
      </c>
      <c r="D13782" t="s">
        <v>23500</v>
      </c>
      <c r="E13782" t="s">
        <v>36257</v>
      </c>
    </row>
    <row r="13783" spans="1:5">
      <c r="A13783" t="s">
        <v>6</v>
      </c>
      <c r="B13783" t="s">
        <v>13788</v>
      </c>
      <c r="C13783">
        <f>HYPERLINK("C:\Users\franc\OneDrive\Documentos\MALENTIN KARIME\BANCO ESTADO\2012 DEPTO ESCRITURAS fata\NOTARIA 2009\CARLOS BUGUEÑÑ\2007\CRUZ COLORADA\PAMELA COFRE (PROMESA).doc", "Abrir Documento")</f>
        <v>0</v>
      </c>
      <c r="D13783" t="s">
        <v>23500</v>
      </c>
      <c r="E13783" t="s">
        <v>36258</v>
      </c>
    </row>
    <row r="13784" spans="1:5">
      <c r="A13784" t="s">
        <v>6</v>
      </c>
      <c r="B13784" t="s">
        <v>13789</v>
      </c>
      <c r="C13784">
        <f>HYPERLINK("C:\Users\franc\OneDrive\Documentos\MALENTIN KARIME\BANCO ESTADO\2012 DEPTO ESCRITURAS fata\NOTARIA 2009\CARLOS BUGUEÑÑ\2007\CRUZ COLORADA\MANUEL VILLARROEL.doc", "Abrir Documento")</f>
        <v>0</v>
      </c>
      <c r="D13784" t="s">
        <v>23500</v>
      </c>
      <c r="E13784" t="s">
        <v>36259</v>
      </c>
    </row>
    <row r="13785" spans="1:5">
      <c r="A13785" t="s">
        <v>6</v>
      </c>
      <c r="B13785" t="s">
        <v>13790</v>
      </c>
      <c r="C13785">
        <f>HYPERLINK("C:\Users\franc\OneDrive\Documentos\MALENTIN KARIME\BANCO ESTADO\2012 DEPTO ESCRITURAS fata\NOTARIA 2009\CARLOS BUGUEÑÑ\2007\CRUZ COLORADA\MANUEL CANIVILO.doc", "Abrir Documento")</f>
        <v>0</v>
      </c>
      <c r="D13785" t="s">
        <v>23500</v>
      </c>
      <c r="E13785" t="s">
        <v>36260</v>
      </c>
    </row>
    <row r="13786" spans="1:5">
      <c r="A13786" t="s">
        <v>6</v>
      </c>
      <c r="B13786" t="s">
        <v>13791</v>
      </c>
      <c r="C13786">
        <f>HYPERLINK("C:\Users\franc\OneDrive\Documentos\MALENTIN KARIME\BANCO ESTADO\2012 DEPTO ESCRITURAS fata\NOTARIA 2009\CARLOS BUGUEÑÑ\2007\CRUZ COLORADA\erick contreras - promesa - enero 2007.doc", "Abrir Documento")</f>
        <v>0</v>
      </c>
      <c r="D13786" t="s">
        <v>23500</v>
      </c>
      <c r="E13786" t="s">
        <v>36261</v>
      </c>
    </row>
    <row r="13787" spans="1:5">
      <c r="A13787" t="s">
        <v>6</v>
      </c>
      <c r="B13787" t="s">
        <v>13792</v>
      </c>
      <c r="C13787">
        <f>HYPERLINK("C:\Users\franc\OneDrive\Documentos\MALENTIN KARIME\BANCO ESTADO\2012 DEPTO ESCRITURAS fata\NOTARIA 2009\CARLOS BUGUEÑÑ\2007\CRUZ COLORADA\ERIC CONTRERAS RESCILIACION.doc", "Abrir Documento")</f>
        <v>0</v>
      </c>
      <c r="D13787" t="s">
        <v>23500</v>
      </c>
      <c r="E13787" t="s">
        <v>36262</v>
      </c>
    </row>
    <row r="13788" spans="1:5">
      <c r="A13788" t="s">
        <v>6</v>
      </c>
      <c r="B13788" t="s">
        <v>13793</v>
      </c>
      <c r="C13788">
        <f>HYPERLINK("C:\Users\franc\OneDrive\Documentos\MALENTIN KARIME\BANCO ESTADO\2012 DEPTO ESCRITURAS fata\NOTARIA 2009\CARLOS BUGUEÑÑ\2007\CRUZ COLORADA\ERIC CONTRERAS CVI.doc", "Abrir Documento")</f>
        <v>0</v>
      </c>
      <c r="D13788" t="s">
        <v>23500</v>
      </c>
      <c r="E13788" t="s">
        <v>36263</v>
      </c>
    </row>
    <row r="13789" spans="1:5">
      <c r="A13789" t="s">
        <v>6</v>
      </c>
      <c r="B13789" t="s">
        <v>13794</v>
      </c>
      <c r="C13789">
        <f>HYPERLINK("C:\Users\franc\OneDrive\Documentos\MALENTIN KARIME\BANCO ESTADO\2012 DEPTO ESCRITURAS fata\NOTARIA 2009\CARLOS BUGUEÑÑ\2007\CRUZ COLORADA\CRISTIAN ROBLES.doc", "Abrir Documento")</f>
        <v>0</v>
      </c>
      <c r="D13789" t="s">
        <v>23500</v>
      </c>
      <c r="E13789" t="s">
        <v>36264</v>
      </c>
    </row>
    <row r="13790" spans="1:5">
      <c r="A13790" t="s">
        <v>6</v>
      </c>
      <c r="B13790" t="s">
        <v>13795</v>
      </c>
      <c r="C13790">
        <f>HYPERLINK("C:\Users\franc\OneDrive\Documentos\MALENTIN KARIME\BANCO ESTADO\2012 DEPTO ESCRITURAS fata\NOTARIA 2009\CARLOS BUGUEÑÑ\2007\CRUZ COLORADA\carta CRISTIAN ROBLES.doc", "Abrir Documento")</f>
        <v>0</v>
      </c>
      <c r="D13790" t="s">
        <v>23500</v>
      </c>
      <c r="E13790" t="s">
        <v>36265</v>
      </c>
    </row>
    <row r="13791" spans="1:5">
      <c r="A13791" t="s">
        <v>6</v>
      </c>
      <c r="B13791" t="s">
        <v>13796</v>
      </c>
      <c r="C13791">
        <f>HYPERLINK("C:\Users\franc\OneDrive\Documentos\MALENTIN KARIME\BANCO ESTADO\2012 DEPTO ESCRITURAS fata\NOTARIA 2009\CARLOS BUGUEÑÑ\2007\CRUZ COLORADA\CARLOS MILLA.doc", "Abrir Documento")</f>
        <v>0</v>
      </c>
      <c r="D13791" t="s">
        <v>23500</v>
      </c>
      <c r="E13791" t="s">
        <v>36266</v>
      </c>
    </row>
    <row r="13792" spans="1:5">
      <c r="A13792" t="s">
        <v>6</v>
      </c>
      <c r="B13792" t="s">
        <v>13797</v>
      </c>
      <c r="C13792">
        <f>HYPERLINK("C:\Users\franc\OneDrive\Documentos\MALENTIN KARIME\BANCO ESTADO\2012 DEPTO ESCRITURAS fata\NOTARIA 2009\CARLOS BUGUEÑÑ\2007\CRUZ COLORADA\CARLOS MILLA (PROMESA).doc", "Abrir Documento")</f>
        <v>0</v>
      </c>
      <c r="D13792" t="s">
        <v>23500</v>
      </c>
      <c r="E13792" t="s">
        <v>36267</v>
      </c>
    </row>
    <row r="13793" spans="1:5">
      <c r="A13793" t="s">
        <v>6</v>
      </c>
      <c r="B13793" t="s">
        <v>13798</v>
      </c>
      <c r="C13793">
        <f>HYPERLINK("C:\Users\franc\OneDrive\Documentos\MALENTIN KARIME\BANCO ESTADO\2012 DEPTO ESCRITURAS fata\NOTARIA 2009\CARLOS BUGUEÑÑ\2007\CRUZ COLORADA\CARLOS M ILLA ( COMPRAVENTA).doc", "Abrir Documento")</f>
        <v>0</v>
      </c>
      <c r="D13793" t="s">
        <v>23500</v>
      </c>
      <c r="E13793" t="s">
        <v>36268</v>
      </c>
    </row>
    <row r="13794" spans="1:5">
      <c r="A13794" t="s">
        <v>6</v>
      </c>
      <c r="B13794" t="s">
        <v>13799</v>
      </c>
      <c r="C13794">
        <f>HYPERLINK("C:\Users\franc\OneDrive\Documentos\MALENTIN KARIME\BANCO ESTADO\2012 DEPTO ESCRITURAS fata\NOTARIA 2009\CARLOS BUGUEÑÑ\2007\CRUZ COLORADA\ALEXIS DIAZ E.I.R.L..doc", "Abrir Documento")</f>
        <v>0</v>
      </c>
      <c r="D13794" t="s">
        <v>23500</v>
      </c>
      <c r="E13794" t="s">
        <v>36269</v>
      </c>
    </row>
    <row r="13795" spans="1:5">
      <c r="A13795" t="s">
        <v>6</v>
      </c>
      <c r="B13795" t="s">
        <v>13800</v>
      </c>
      <c r="C13795">
        <f>HYPERLINK("C:\Users\franc\OneDrive\Documentos\MALENTIN KARIME\BANCO ESTADO\2012 DEPTO ESCRITURAS fata\NOTARIA 2009\CARLOS BUGUEÑÑ\2007\COMPRAVENTA\venta_auto_kia-_oct_2008[1].doc", "Abrir Documento")</f>
        <v>0</v>
      </c>
      <c r="D13795" t="s">
        <v>23500</v>
      </c>
      <c r="E13795" t="s">
        <v>36270</v>
      </c>
    </row>
    <row r="13796" spans="1:5">
      <c r="A13796" t="s">
        <v>6</v>
      </c>
      <c r="B13796" t="s">
        <v>13801</v>
      </c>
      <c r="C13796">
        <f>HYPERLINK("C:\Users\franc\OneDrive\Documentos\MALENTIN KARIME\BANCO ESTADO\2012 DEPTO ESCRITURAS fata\NOTARIA 2009\CARLOS BUGUEÑÑ\2007\COMPRAVENTA\SOC. MOSTAZAL ORIENTE A AGRICOLA.doc", "Abrir Documento")</f>
        <v>0</v>
      </c>
      <c r="D13796" t="s">
        <v>23500</v>
      </c>
      <c r="E13796" t="s">
        <v>36271</v>
      </c>
    </row>
    <row r="13797" spans="1:5">
      <c r="A13797" t="s">
        <v>6</v>
      </c>
      <c r="B13797" t="s">
        <v>13802</v>
      </c>
      <c r="C13797">
        <f>HYPERLINK("C:\Users\franc\OneDrive\Documentos\MALENTIN KARIME\BANCO ESTADO\2012 DEPTO ESCRITURAS fata\NOTARIA 2009\CARLOS BUGUEÑÑ\2007\COMPRAVENTA\RUT CIKUTOVIC A INVEGON.doc", "Abrir Documento")</f>
        <v>0</v>
      </c>
      <c r="D13797" t="s">
        <v>23500</v>
      </c>
      <c r="E13797" t="s">
        <v>36272</v>
      </c>
    </row>
    <row r="13798" spans="1:5">
      <c r="A13798" t="s">
        <v>6</v>
      </c>
      <c r="B13798" t="s">
        <v>13803</v>
      </c>
      <c r="C13798">
        <f>HYPERLINK("C:\Users\franc\OneDrive\Documentos\MALENTIN KARIME\BANCO ESTADO\2012 DEPTO ESCRITURAS fata\NOTARIA 2009\CARLOS BUGUEÑÑ\2007\COMPRAVENTA\rolando vega salas - nov 2008.doc", "Abrir Documento")</f>
        <v>0</v>
      </c>
      <c r="D13798" t="s">
        <v>23500</v>
      </c>
      <c r="E13798" t="s">
        <v>36273</v>
      </c>
    </row>
    <row r="13799" spans="1:5">
      <c r="A13799" t="s">
        <v>6</v>
      </c>
      <c r="B13799" t="s">
        <v>13804</v>
      </c>
      <c r="C13799">
        <f>HYPERLINK("C:\Users\franc\OneDrive\Documentos\MALENTIN KARIME\BANCO ESTADO\2012 DEPTO ESCRITURAS fata\NOTARIA 2009\CARLOS BUGUEÑÑ\2007\COMPRAVENTA\RAFAEL BORQUEZ - JAIME VILLALON.doc", "Abrir Documento")</f>
        <v>0</v>
      </c>
      <c r="D13799" t="s">
        <v>23500</v>
      </c>
      <c r="E13799" t="s">
        <v>36274</v>
      </c>
    </row>
    <row r="13800" spans="1:5">
      <c r="A13800" t="s">
        <v>6</v>
      </c>
      <c r="B13800" t="s">
        <v>13805</v>
      </c>
      <c r="C13800">
        <f>HYPERLINK("C:\Users\franc\OneDrive\Documentos\MALENTIN KARIME\BANCO ESTADO\2012 DEPTO ESCRITURAS fata\NOTARIA 2009\CARLOS BUGUEÑÑ\2007\COMPRAVENTA\PHOLAG CON PATRICIO GONZALEZ.doc", "Abrir Documento")</f>
        <v>0</v>
      </c>
      <c r="D13800" t="s">
        <v>23500</v>
      </c>
      <c r="E13800" t="s">
        <v>36275</v>
      </c>
    </row>
    <row r="13801" spans="1:5">
      <c r="A13801" t="s">
        <v>6</v>
      </c>
      <c r="B13801" t="s">
        <v>13806</v>
      </c>
      <c r="C13801">
        <f>HYPERLINK("C:\Users\franc\OneDrive\Documentos\MALENTIN KARIME\BANCO ESTADO\2012 DEPTO ESCRITURAS fata\NOTARIA 2009\CARLOS BUGUEÑÑ\2007\COMPRAVENTA\PEDRO AVILA A ROSA CASTILLO (VENTA MUEBLES).doc", "Abrir Documento")</f>
        <v>0</v>
      </c>
      <c r="D13801" t="s">
        <v>23500</v>
      </c>
      <c r="E13801" t="s">
        <v>36276</v>
      </c>
    </row>
    <row r="13802" spans="1:5">
      <c r="A13802" t="s">
        <v>6</v>
      </c>
      <c r="B13802" t="s">
        <v>13807</v>
      </c>
      <c r="C13802">
        <f>HYPERLINK("C:\Users\franc\OneDrive\Documentos\MALENTIN KARIME\BANCO ESTADO\2012 DEPTO ESCRITURAS fata\NOTARIA 2009\CARLOS BUGUEÑÑ\2007\COMPRAVENTA\PAULA CORRAL A ANTONIO CORRAL EIRL.doc", "Abrir Documento")</f>
        <v>0</v>
      </c>
      <c r="D13802" t="s">
        <v>23500</v>
      </c>
      <c r="E13802" t="s">
        <v>36277</v>
      </c>
    </row>
    <row r="13803" spans="1:5">
      <c r="A13803" t="s">
        <v>6</v>
      </c>
      <c r="B13803" t="s">
        <v>13808</v>
      </c>
      <c r="C13803">
        <f>HYPERLINK("C:\Users\franc\OneDrive\Documentos\MALENTIN KARIME\BANCO ESTADO\2012 DEPTO ESCRITURAS fata\NOTARIA 2009\CARLOS BUGUEÑÑ\2007\COMPRAVENTA\PATRICIO BUGUEÑO A LUIS PEPPI.doc", "Abrir Documento")</f>
        <v>0</v>
      </c>
      <c r="D13803" t="s">
        <v>23500</v>
      </c>
      <c r="E13803" t="s">
        <v>36278</v>
      </c>
    </row>
    <row r="13804" spans="1:5">
      <c r="A13804" t="s">
        <v>6</v>
      </c>
      <c r="B13804" t="s">
        <v>13809</v>
      </c>
      <c r="C13804">
        <f>HYPERLINK("C:\Users\franc\OneDrive\Documentos\MALENTIN KARIME\BANCO ESTADO\2012 DEPTO ESCRITURAS fata\NOTARIA 2009\CARLOS BUGUEÑÑ\2007\COMPRAVENTA\ORLANDO DALBOSCO A BERNARDO ARAYA Y OTRO.doc", "Abrir Documento")</f>
        <v>0</v>
      </c>
      <c r="D13804" t="s">
        <v>23500</v>
      </c>
      <c r="E13804" t="s">
        <v>36279</v>
      </c>
    </row>
    <row r="13805" spans="1:5">
      <c r="A13805" t="s">
        <v>6</v>
      </c>
      <c r="B13805" t="s">
        <v>13810</v>
      </c>
      <c r="C13805">
        <f>HYPERLINK("C:\Users\franc\OneDrive\Documentos\MALENTIN KARIME\BANCO ESTADO\2012 DEPTO ESCRITURAS fata\NOTARIA 2009\CARLOS BUGUEÑÑ\2007\COMPRAVENTA\OMAR AVILA A ROSA CASTILLO.doc", "Abrir Documento")</f>
        <v>0</v>
      </c>
      <c r="D13805" t="s">
        <v>23500</v>
      </c>
      <c r="E13805" t="s">
        <v>36280</v>
      </c>
    </row>
    <row r="13806" spans="1:5">
      <c r="A13806" t="s">
        <v>6</v>
      </c>
      <c r="B13806" t="s">
        <v>13811</v>
      </c>
      <c r="C13806">
        <f>HYPERLINK("C:\Users\franc\OneDrive\Documentos\MALENTIN KARIME\BANCO ESTADO\2012 DEPTO ESCRITURAS fata\NOTARIA 2009\CARLOS BUGUEÑÑ\2007\COMPRAVENTA\NICOMEDES BUGUEÑO A SU HERMANA.doc", "Abrir Documento")</f>
        <v>0</v>
      </c>
      <c r="D13806" t="s">
        <v>23500</v>
      </c>
      <c r="E13806" t="s">
        <v>36281</v>
      </c>
    </row>
    <row r="13807" spans="1:5">
      <c r="A13807" t="s">
        <v>6</v>
      </c>
      <c r="B13807" t="s">
        <v>13812</v>
      </c>
      <c r="C13807">
        <f>HYPERLINK("C:\Users\franc\OneDrive\Documentos\MALENTIN KARIME\BANCO ESTADO\2012 DEPTO ESCRITURAS fata\NOTARIA 2009\CARLOS BUGUEÑÑ\2007\COMPRAVENTA\MARISOL VARGAS A IRMA ROJAS.doc", "Abrir Documento")</f>
        <v>0</v>
      </c>
      <c r="D13807" t="s">
        <v>23500</v>
      </c>
      <c r="E13807" t="s">
        <v>36282</v>
      </c>
    </row>
    <row r="13808" spans="1:5">
      <c r="A13808" t="s">
        <v>6</v>
      </c>
      <c r="B13808" t="s">
        <v>13813</v>
      </c>
      <c r="C13808">
        <f>HYPERLINK("C:\Users\franc\OneDrive\Documentos\MALENTIN KARIME\BANCO ESTADO\2012 DEPTO ESCRITURAS fata\NOTARIA 2009\CARLOS BUGUEÑÑ\2007\COMPRAVENTA\MARIO ROBLES Y OTR. A SOC. QDA. SECA.doc", "Abrir Documento")</f>
        <v>0</v>
      </c>
      <c r="D13808" t="s">
        <v>23500</v>
      </c>
      <c r="E13808" t="s">
        <v>36283</v>
      </c>
    </row>
    <row r="13809" spans="1:5">
      <c r="A13809" t="s">
        <v>6</v>
      </c>
      <c r="B13809" t="s">
        <v>13814</v>
      </c>
      <c r="C13809">
        <f>HYPERLINK("C:\Users\franc\OneDrive\Documentos\MALENTIN KARIME\BANCO ESTADO\2012 DEPTO ESCRITURAS fata\NOTARIA 2009\CARLOS BUGUEÑÑ\2007\COMPRAVENTA\MARIO ROBLES Y CIA. A SOC. QUEBRADA SECA.doc", "Abrir Documento")</f>
        <v>0</v>
      </c>
      <c r="D13809" t="s">
        <v>23500</v>
      </c>
      <c r="E13809" t="s">
        <v>36284</v>
      </c>
    </row>
    <row r="13810" spans="1:5">
      <c r="A13810" t="s">
        <v>6</v>
      </c>
      <c r="B13810" t="s">
        <v>13815</v>
      </c>
      <c r="C13810">
        <f>HYPERLINK("C:\Users\franc\OneDrive\Documentos\MALENTIN KARIME\BANCO ESTADO\2012 DEPTO ESCRITURAS fata\NOTARIA 2009\CARLOS BUGUEÑÑ\2007\COMPRAVENTA\MARIO ROBLES A SOC. AGRICOLA QDA. SECA.doc", "Abrir Documento")</f>
        <v>0</v>
      </c>
      <c r="D13810" t="s">
        <v>23500</v>
      </c>
      <c r="E13810" t="s">
        <v>36285</v>
      </c>
    </row>
    <row r="13811" spans="1:5">
      <c r="A13811" t="s">
        <v>6</v>
      </c>
      <c r="B13811" t="s">
        <v>13816</v>
      </c>
      <c r="C13811">
        <f>HYPERLINK("C:\Users\franc\OneDrive\Documentos\MALENTIN KARIME\BANCO ESTADO\2012 DEPTO ESCRITURAS fata\NOTARIA 2009\CARLOS BUGUEÑÑ\2007\COMPRAVENTA\MARIO ROBLES A ELIZABETH FAJARDO.doc", "Abrir Documento")</f>
        <v>0</v>
      </c>
      <c r="D13811" t="s">
        <v>23500</v>
      </c>
      <c r="E13811" t="s">
        <v>36286</v>
      </c>
    </row>
    <row r="13812" spans="1:5">
      <c r="A13812" t="s">
        <v>6</v>
      </c>
      <c r="B13812" t="s">
        <v>13817</v>
      </c>
      <c r="C13812">
        <f>HYPERLINK("C:\Users\franc\OneDrive\Documentos\MALENTIN KARIME\BANCO ESTADO\2012 DEPTO ESCRITURAS fata\NOTARIA 2009\CARLOS BUGUEÑÑ\2007\COMPRAVENTA\MARCELO CORRAL A SOC. MARCELO CORRAL.doc", "Abrir Documento")</f>
        <v>0</v>
      </c>
      <c r="D13812" t="s">
        <v>23500</v>
      </c>
      <c r="E13812" t="s">
        <v>36287</v>
      </c>
    </row>
    <row r="13813" spans="1:5">
      <c r="A13813" t="s">
        <v>6</v>
      </c>
      <c r="B13813" t="s">
        <v>13818</v>
      </c>
      <c r="C13813">
        <f>HYPERLINK("C:\Users\franc\OneDrive\Documentos\MALENTIN KARIME\BANCO ESTADO\2012 DEPTO ESCRITURAS fata\NOTARIA 2009\CARLOS BUGUEÑÑ\2007\COMPRAVENTA\LILIANA ALFARO.doc", "Abrir Documento")</f>
        <v>0</v>
      </c>
      <c r="D13813" t="s">
        <v>23500</v>
      </c>
      <c r="E13813" t="s">
        <v>36288</v>
      </c>
    </row>
    <row r="13814" spans="1:5">
      <c r="A13814" t="s">
        <v>6</v>
      </c>
      <c r="B13814" t="s">
        <v>13819</v>
      </c>
      <c r="C13814">
        <f>HYPERLINK("C:\Users\franc\OneDrive\Documentos\MALENTIN KARIME\BANCO ESTADO\2012 DEPTO ESCRITURAS fata\NOTARIA 2009\CARLOS BUGUEÑÑ\2007\COMPRAVENTA\JUAN VILLALON A JORGE MARAMBIO.doc", "Abrir Documento")</f>
        <v>0</v>
      </c>
      <c r="D13814" t="s">
        <v>23500</v>
      </c>
      <c r="E13814" t="s">
        <v>36289</v>
      </c>
    </row>
    <row r="13815" spans="1:5">
      <c r="A13815" t="s">
        <v>6</v>
      </c>
      <c r="B13815" t="s">
        <v>13820</v>
      </c>
      <c r="C13815">
        <f>HYPERLINK("C:\Users\franc\OneDrive\Documentos\MALENTIN KARIME\BANCO ESTADO\2012 DEPTO ESCRITURAS fata\NOTARIA 2009\CARLOS BUGUEÑÑ\2007\COMPRAVENTA\JORGE ACUÑA A RIO COPIAPO - AGUAS.doc", "Abrir Documento")</f>
        <v>0</v>
      </c>
      <c r="D13815" t="s">
        <v>23500</v>
      </c>
      <c r="E13815" t="s">
        <v>36290</v>
      </c>
    </row>
    <row r="13816" spans="1:5">
      <c r="A13816" t="s">
        <v>6</v>
      </c>
      <c r="B13816" t="s">
        <v>13821</v>
      </c>
      <c r="C13816">
        <f>HYPERLINK("C:\Users\franc\OneDrive\Documentos\MALENTIN KARIME\BANCO ESTADO\2012 DEPTO ESCRITURAS fata\NOTARIA 2009\CARLOS BUGUEÑÑ\2007\COMPRAVENTA\jaime.villalon - carlos marambio -  enero 2008.doc", "Abrir Documento")</f>
        <v>0</v>
      </c>
      <c r="D13816" t="s">
        <v>23500</v>
      </c>
      <c r="E13816" t="s">
        <v>36291</v>
      </c>
    </row>
    <row r="13817" spans="1:5">
      <c r="A13817" t="s">
        <v>6</v>
      </c>
      <c r="B13817" t="s">
        <v>13822</v>
      </c>
      <c r="C13817">
        <f>HYPERLINK("C:\Users\franc\OneDrive\Documentos\MALENTIN KARIME\BANCO ESTADO\2012 DEPTO ESCRITURAS fata\NOTARIA 2009\CARLOS BUGUEÑÑ\2007\COMPRAVENTA\JAIME VILLAON A AUDILIO MALDONADO.doc", "Abrir Documento")</f>
        <v>0</v>
      </c>
      <c r="D13817" t="s">
        <v>23500</v>
      </c>
      <c r="E13817" t="s">
        <v>36292</v>
      </c>
    </row>
    <row r="13818" spans="1:5">
      <c r="A13818" t="s">
        <v>6</v>
      </c>
      <c r="B13818" t="s">
        <v>13823</v>
      </c>
      <c r="C13818">
        <f>HYPERLINK("C:\Users\franc\OneDrive\Documentos\MALENTIN KARIME\BANCO ESTADO\2012 DEPTO ESCRITURAS fata\NOTARIA 2009\CARLOS BUGUEÑÑ\2007\COMPRAVENTA\JAIME VILLALON A JORGE MARAMBIO.doc", "Abrir Documento")</f>
        <v>0</v>
      </c>
      <c r="D13818" t="s">
        <v>23500</v>
      </c>
      <c r="E13818" t="s">
        <v>36293</v>
      </c>
    </row>
    <row r="13819" spans="1:5">
      <c r="A13819" t="s">
        <v>6</v>
      </c>
      <c r="B13819" t="s">
        <v>13824</v>
      </c>
      <c r="C13819">
        <f>HYPERLINK("C:\Users\franc\OneDrive\Documentos\MALENTIN KARIME\BANCO ESTADO\2012 DEPTO ESCRITURAS fata\NOTARIA 2009\CARLOS BUGUEÑÑ\2007\COMPRAVENTA\JAIME FERRER.doc", "Abrir Documento")</f>
        <v>0</v>
      </c>
      <c r="D13819" t="s">
        <v>23500</v>
      </c>
      <c r="E13819" t="s">
        <v>36294</v>
      </c>
    </row>
    <row r="13820" spans="1:5">
      <c r="A13820" t="s">
        <v>6</v>
      </c>
      <c r="B13820" t="s">
        <v>13825</v>
      </c>
      <c r="C13820">
        <f>HYPERLINK("C:\Users\franc\OneDrive\Documentos\MALENTIN KARIME\BANCO ESTADO\2012 DEPTO ESCRITURAS fata\NOTARIA 2009\CARLOS BUGUEÑÑ\2007\COMPRAVENTA\HUGO JOFRE Y OTRA A EDISON JOFRE.doc", "Abrir Documento")</f>
        <v>0</v>
      </c>
      <c r="D13820" t="s">
        <v>23500</v>
      </c>
      <c r="E13820" t="s">
        <v>36295</v>
      </c>
    </row>
    <row r="13821" spans="1:5">
      <c r="A13821" t="s">
        <v>6</v>
      </c>
      <c r="B13821" t="s">
        <v>13826</v>
      </c>
      <c r="C13821">
        <f>HYPERLINK("C:\Users\franc\OneDrive\Documentos\MALENTIN KARIME\BANCO ESTADO\2012 DEPTO ESCRITURAS fata\NOTARIA 2009\CARLOS BUGUEÑÑ\2007\COMPRAVENTA\HUGO JOFRE A CRISTIAN JOFRE (PERMUTA).doc", "Abrir Documento")</f>
        <v>0</v>
      </c>
      <c r="D13821" t="s">
        <v>23500</v>
      </c>
      <c r="E13821" t="s">
        <v>36296</v>
      </c>
    </row>
    <row r="13822" spans="1:5">
      <c r="A13822" t="s">
        <v>6</v>
      </c>
      <c r="B13822" t="s">
        <v>13827</v>
      </c>
      <c r="C13822">
        <f>HYPERLINK("C:\Users\franc\OneDrive\Documentos\MALENTIN KARIME\BANCO ESTADO\2012 DEPTO ESCRITURAS fata\NOTARIA 2009\CARLOS BUGUEÑÑ\2007\COMPRAVENTA\ERASMO CARVAJAL A SOC. MARCELO CORRAL.doc", "Abrir Documento")</f>
        <v>0</v>
      </c>
      <c r="D13822" t="s">
        <v>23500</v>
      </c>
      <c r="E13822" t="s">
        <v>36297</v>
      </c>
    </row>
    <row r="13823" spans="1:5">
      <c r="A13823" t="s">
        <v>6</v>
      </c>
      <c r="B13823" t="s">
        <v>13828</v>
      </c>
      <c r="C13823">
        <f>HYPERLINK("C:\Users\franc\OneDrive\Documentos\MALENTIN KARIME\BANCO ESTADO\2012 DEPTO ESCRITURAS fata\NOTARIA 2009\CARLOS BUGUEÑÑ\2007\COMPRAVENTA\CRUZ COLORADA A RICARDO GODOY.doc", "Abrir Documento")</f>
        <v>0</v>
      </c>
      <c r="D13823" t="s">
        <v>23500</v>
      </c>
      <c r="E13823" t="s">
        <v>36298</v>
      </c>
    </row>
    <row r="13824" spans="1:5">
      <c r="A13824" t="s">
        <v>6</v>
      </c>
      <c r="B13824" t="s">
        <v>13829</v>
      </c>
      <c r="C13824">
        <f>HYPERLINK("C:\Users\franc\OneDrive\Documentos\MALENTIN KARIME\BANCO ESTADO\2012 DEPTO ESCRITURAS fata\NOTARIA 2009\CARLOS BUGUEÑÑ\2007\COMPRAVENTA\CRISTIAN JOFRE A INM. Y HOTELERA LTDA. Y REN. USU.doc", "Abrir Documento")</f>
        <v>0</v>
      </c>
      <c r="D13824" t="s">
        <v>23500</v>
      </c>
      <c r="E13824" t="s">
        <v>36299</v>
      </c>
    </row>
    <row r="13825" spans="1:5">
      <c r="A13825" t="s">
        <v>6</v>
      </c>
      <c r="B13825" t="s">
        <v>13830</v>
      </c>
      <c r="C13825">
        <f>HYPERLINK("C:\Users\franc\OneDrive\Documentos\MALENTIN KARIME\BANCO ESTADO\2012 DEPTO ESCRITURAS fata\NOTARIA 2009\CARLOS BUGUEÑÑ\2007\COMPRAVENTA\carta_instrucc_mario_robles_y_cia_ltda_-_julio_2008[1].doc", "Abrir Documento")</f>
        <v>0</v>
      </c>
      <c r="D13825" t="s">
        <v>23500</v>
      </c>
      <c r="E13825" t="s">
        <v>36300</v>
      </c>
    </row>
    <row r="13826" spans="1:5">
      <c r="A13826" t="s">
        <v>6</v>
      </c>
      <c r="B13826" t="s">
        <v>13831</v>
      </c>
      <c r="C13826">
        <f>HYPERLINK("C:\Users\franc\OneDrive\Documentos\MALENTIN KARIME\BANCO ESTADO\2012 DEPTO ESCRITURAS fata\NOTARIA 2009\CARLOS BUGUEÑÑ\2007\COMPRAVENTA\carta_instrucc_mario_robles_-_julio_2008[1].doc", "Abrir Documento")</f>
        <v>0</v>
      </c>
      <c r="D13826" t="s">
        <v>23500</v>
      </c>
      <c r="E13826" t="s">
        <v>36301</v>
      </c>
    </row>
    <row r="13827" spans="1:5">
      <c r="A13827" t="s">
        <v>6</v>
      </c>
      <c r="B13827" t="s">
        <v>13832</v>
      </c>
      <c r="C13827">
        <f>HYPERLINK("C:\Users\franc\OneDrive\Documentos\MALENTIN KARIME\BANCO ESTADO\2012 DEPTO ESCRITURAS fata\NOTARIA 2009\CARLOS BUGUEÑÑ\2007\COMPRAVENTA\carta_instrucciones_-_rosa_contreras_-pilar_meruane_-_abril_2009[1].doc", "Abrir Documento")</f>
        <v>0</v>
      </c>
      <c r="D13827" t="s">
        <v>23500</v>
      </c>
      <c r="E13827" t="s">
        <v>36302</v>
      </c>
    </row>
    <row r="13828" spans="1:5">
      <c r="A13828" t="s">
        <v>6</v>
      </c>
      <c r="B13828" t="s">
        <v>13833</v>
      </c>
      <c r="C13828">
        <f>HYPERLINK("C:\Users\franc\OneDrive\Documentos\MALENTIN KARIME\BANCO ESTADO\2012 DEPTO ESCRITURAS fata\NOTARIA 2009\CARLOS BUGUEÑÑ\2007\COMPRAVENTA\ANTONIETA GODOY A SU PADRE.doc", "Abrir Documento")</f>
        <v>0</v>
      </c>
      <c r="D13828" t="s">
        <v>23500</v>
      </c>
      <c r="E13828" t="s">
        <v>36303</v>
      </c>
    </row>
    <row r="13829" spans="1:5">
      <c r="A13829" t="s">
        <v>6</v>
      </c>
      <c r="B13829" t="s">
        <v>13834</v>
      </c>
      <c r="C13829">
        <f>HYPERLINK("C:\Users\franc\OneDrive\Documentos\MALENTIN KARIME\BANCO ESTADO\2012 DEPTO ESCRITURAS fata\NOTARIA 2009\CARLOS BUGUEÑÑ\2007\COMPRAVENTA\ANGELICA MERUANE Y OTRO A CARLOS ARAYA.doc", "Abrir Documento")</f>
        <v>0</v>
      </c>
      <c r="D13829" t="s">
        <v>23500</v>
      </c>
      <c r="E13829" t="s">
        <v>36304</v>
      </c>
    </row>
    <row r="13830" spans="1:5">
      <c r="A13830" t="s">
        <v>6</v>
      </c>
      <c r="B13830" t="s">
        <v>13835</v>
      </c>
      <c r="C13830">
        <f>HYPERLINK("C:\Users\franc\OneDrive\Documentos\MALENTIN KARIME\BANCO ESTADO\2012 DEPTO ESCRITURAS fata\NOTARIA 2009\CARLOS BUGUEÑÑ\2007\COMPRAVENTA\ANGELICA MERUANE Y OTRO A CARLOS ARAYA FINAL.doc", "Abrir Documento")</f>
        <v>0</v>
      </c>
      <c r="D13830" t="s">
        <v>23500</v>
      </c>
      <c r="E13830" t="s">
        <v>36305</v>
      </c>
    </row>
    <row r="13831" spans="1:5">
      <c r="A13831" t="s">
        <v>6</v>
      </c>
      <c r="B13831" t="s">
        <v>13836</v>
      </c>
      <c r="C13831">
        <f>HYPERLINK("C:\Users\franc\OneDrive\Documentos\MALENTIN KARIME\BANCO ESTADO\2012 DEPTO ESCRITURAS fata\NOTARIA 2009\CARLOS BUGUEÑÑ\2007\COMPRAVENTA\ANGELICA MERUANE A ROSA CONTRERAS.doc", "Abrir Documento")</f>
        <v>0</v>
      </c>
      <c r="D13831" t="s">
        <v>23500</v>
      </c>
      <c r="E13831" t="s">
        <v>36306</v>
      </c>
    </row>
    <row r="13832" spans="1:5">
      <c r="A13832" t="s">
        <v>6</v>
      </c>
      <c r="B13832" t="s">
        <v>13837</v>
      </c>
      <c r="C13832">
        <f>HYPERLINK("C:\Users\franc\OneDrive\Documentos\MALENTIN KARIME\BANCO ESTADO\2012 DEPTO ESCRITURAS fata\NOTARIA 2009\CARLOS BUGUEÑÑ\2007\COMPRAVENTA\ANGELICA MERUANE A ROSA CONTRERAS FINAL.doc", "Abrir Documento")</f>
        <v>0</v>
      </c>
      <c r="D13832" t="s">
        <v>23500</v>
      </c>
      <c r="E13832" t="s">
        <v>36307</v>
      </c>
    </row>
    <row r="13833" spans="1:5">
      <c r="A13833" t="s">
        <v>6</v>
      </c>
      <c r="B13833" t="s">
        <v>13838</v>
      </c>
      <c r="C13833">
        <f>HYPERLINK("C:\Users\franc\OneDrive\Documentos\MALENTIN KARIME\BANCO ESTADO\2012 DEPTO ESCRITURAS fata\NOTARIA 2009\CARLOS BUGUEÑÑ\2007\COMPRAVENTA\ANGELICA MERUANE A ROSA CONTRERAS - DEFINITIVA.doc", "Abrir Documento")</f>
        <v>0</v>
      </c>
      <c r="D13833" t="s">
        <v>23500</v>
      </c>
      <c r="E13833" t="s">
        <v>36308</v>
      </c>
    </row>
    <row r="13834" spans="1:5">
      <c r="A13834" t="s">
        <v>6</v>
      </c>
      <c r="B13834" t="s">
        <v>13839</v>
      </c>
      <c r="C13834">
        <f>HYPERLINK("C:\Users\franc\OneDrive\Documentos\MALENTIN KARIME\BANCO ESTADO\2012 DEPTO ESCRITURAS fata\NOTARIA 2009\CARLOS BUGUEÑÑ\2007\COMPRAVENTA\AGRICOLA MARIO ROBLES A SOC. QUEBRADA SECA.doc", "Abrir Documento")</f>
        <v>0</v>
      </c>
      <c r="D13834" t="s">
        <v>23500</v>
      </c>
      <c r="E13834" t="s">
        <v>36309</v>
      </c>
    </row>
    <row r="13835" spans="1:5">
      <c r="A13835" t="s">
        <v>6</v>
      </c>
      <c r="B13835" t="s">
        <v>13840</v>
      </c>
      <c r="C13835">
        <f>HYPERLINK("C:\Users\franc\OneDrive\Documentos\MALENTIN KARIME\BANCO ESTADO\2012 DEPTO ESCRITURAS fata\NOTARIA 2009\CARLOS BUGUEÑÑ\2007\COMPRAVENTA\AGRICOLA ALIRO PINTO (venta camion).doc", "Abrir Documento")</f>
        <v>0</v>
      </c>
      <c r="D13835" t="s">
        <v>23500</v>
      </c>
      <c r="E13835" t="s">
        <v>36310</v>
      </c>
    </row>
    <row r="13836" spans="1:5">
      <c r="A13836" t="s">
        <v>6</v>
      </c>
      <c r="B13836" t="s">
        <v>13841</v>
      </c>
      <c r="C13836">
        <f>HYPERLINK("C:\Users\franc\OneDrive\Documentos\MALENTIN KARIME\BANCO ESTADO\2012 DEPTO ESCRITURAS fata\NOTARIA 2009\CARLOS BUGUEÑÑ\2007\COMPRAVENTA\AGRIC. HERNAN CORRAL A INMOBL. MARCELO CORRAL.doc", "Abrir Documento")</f>
        <v>0</v>
      </c>
      <c r="D13836" t="s">
        <v>23500</v>
      </c>
      <c r="E13836" t="s">
        <v>36311</v>
      </c>
    </row>
    <row r="13837" spans="1:5">
      <c r="A13837" t="s">
        <v>6</v>
      </c>
      <c r="B13837" t="s">
        <v>13842</v>
      </c>
      <c r="C13837">
        <f>HYPERLINK("C:\Users\franc\OneDrive\Documentos\MALENTIN KARIME\BANCO ESTADO\2012 DEPTO ESCRITURAS fata\NOTARIA 2009\CARLOS BUGUEÑÑ\2007\COMPRAVENTA\AGRIC. HERNAN CORRAL A INMOBL. MARCELO CORRAL (modificada).doc", "Abrir Documento")</f>
        <v>0</v>
      </c>
      <c r="D13837" t="s">
        <v>23500</v>
      </c>
      <c r="E13837" t="s">
        <v>36312</v>
      </c>
    </row>
    <row r="13838" spans="1:5">
      <c r="A13838" t="s">
        <v>6</v>
      </c>
      <c r="B13838" t="s">
        <v>13843</v>
      </c>
      <c r="C13838">
        <f>HYPERLINK("C:\Users\franc\OneDrive\Documentos\MALENTIN KARIME\BANCO ESTADO\2012 DEPTO ESCRITURAS fata\NOTARIA 2009\CARLOS BUGUEÑÑ\2007\COMPLEMENTACION\SOC. AGRICOLA HERNAN CORRAL Y CIA..doc", "Abrir Documento")</f>
        <v>0</v>
      </c>
      <c r="D13838" t="s">
        <v>23500</v>
      </c>
      <c r="E13838" t="s">
        <v>36313</v>
      </c>
    </row>
    <row r="13839" spans="1:5">
      <c r="A13839" t="s">
        <v>6</v>
      </c>
      <c r="B13839" t="s">
        <v>13844</v>
      </c>
      <c r="C13839">
        <f>HYPERLINK("C:\Users\franc\OneDrive\Documentos\MALENTIN KARIME\BANCO ESTADO\2012 DEPTO ESCRITURAS fata\NOTARIA 2009\CARLOS BUGUEÑÑ\2007\COMODATOS\GUSTAVO CORRAL A MARCELO CORRAL LTDA..doc", "Abrir Documento")</f>
        <v>0</v>
      </c>
      <c r="D13839" t="s">
        <v>23500</v>
      </c>
      <c r="E13839" t="s">
        <v>36314</v>
      </c>
    </row>
    <row r="13840" spans="1:5">
      <c r="A13840" t="s">
        <v>6</v>
      </c>
      <c r="B13840" t="s">
        <v>13845</v>
      </c>
      <c r="C13840">
        <f>HYPERLINK("C:\Users\franc\OneDrive\Documentos\MALENTIN KARIME\BANCO ESTADO\2012 DEPTO ESCRITURAS fata\NOTARIA 2009\CARLOS BUGUEÑÑ\2007\CESION\ROSA CASTILLO ROBLES.doc", "Abrir Documento")</f>
        <v>0</v>
      </c>
      <c r="D13840" t="s">
        <v>23500</v>
      </c>
      <c r="E13840" t="s">
        <v>36315</v>
      </c>
    </row>
    <row r="13841" spans="1:5">
      <c r="A13841" t="s">
        <v>6</v>
      </c>
      <c r="B13841" t="s">
        <v>13846</v>
      </c>
      <c r="C13841">
        <f>HYPERLINK("C:\Users\franc\OneDrive\Documentos\MALENTIN KARIME\BANCO ESTADO\2012 DEPTO ESCRITURAS fata\NOTARIA 2009\CARLOS BUGUEÑÑ\2007\CANCELACION\ROSA CONTRERAS A PATRICIO PINTO.doc", "Abrir Documento")</f>
        <v>0</v>
      </c>
      <c r="D13841" t="s">
        <v>23500</v>
      </c>
      <c r="E13841" t="s">
        <v>36316</v>
      </c>
    </row>
    <row r="13842" spans="1:5">
      <c r="A13842" t="s">
        <v>6</v>
      </c>
      <c r="B13842" t="s">
        <v>13847</v>
      </c>
      <c r="C13842">
        <f>HYPERLINK("C:\Users\franc\OneDrive\Documentos\MALENTIN KARIME\BANCO ESTADO\2012 DEPTO ESCRITURAS fata\NOTARIA 2009\CARLOS BUGUEÑÑ\2007\CANCELACION\PHOLAG.doc", "Abrir Documento")</f>
        <v>0</v>
      </c>
      <c r="D13842" t="s">
        <v>23500</v>
      </c>
      <c r="E13842" t="s">
        <v>36317</v>
      </c>
    </row>
    <row r="13843" spans="1:5">
      <c r="A13843" t="s">
        <v>6</v>
      </c>
      <c r="B13843" t="s">
        <v>13848</v>
      </c>
      <c r="C13843">
        <f>HYPERLINK("C:\Users\franc\OneDrive\Documentos\MALENTIN KARIME\BANCO ESTADO\2012 DEPTO ESCRITURAS fata\NOTARIA 2009\CARLOS BUGUEÑÑ\2007\CANCELACION\JUAN VILLALON.doc", "Abrir Documento")</f>
        <v>0</v>
      </c>
      <c r="D13843" t="s">
        <v>23500</v>
      </c>
      <c r="E13843" t="s">
        <v>36318</v>
      </c>
    </row>
    <row r="13844" spans="1:5">
      <c r="A13844" t="s">
        <v>6</v>
      </c>
      <c r="B13844" t="s">
        <v>13849</v>
      </c>
      <c r="C13844">
        <f>HYPERLINK("C:\Users\franc\OneDrive\Documentos\MALENTIN KARIME\BANCO ESTADO\2012 DEPTO ESCRITURAS fata\NOTARIA 2009\CARLOS BUGUEÑÑ\2007\CANCELACION\JUAN VILLALON  2.doc", "Abrir Documento")</f>
        <v>0</v>
      </c>
      <c r="D13844" t="s">
        <v>23500</v>
      </c>
      <c r="E13844" t="s">
        <v>36319</v>
      </c>
    </row>
    <row r="13845" spans="1:5">
      <c r="A13845" t="s">
        <v>6</v>
      </c>
      <c r="B13845" t="s">
        <v>13850</v>
      </c>
      <c r="C13845">
        <f>HYPERLINK("C:\Users\franc\OneDrive\Documentos\MALENTIN KARIME\BANCO ESTADO\2012 DEPTO ESCRITURAS fata\NOTARIA 2009\CARLOS BUGUEÑÑ\2007\CANCELACION\GUSTAVO CORRAL A SOC. MARCELO CORRAL.doc", "Abrir Documento")</f>
        <v>0</v>
      </c>
      <c r="D13845" t="s">
        <v>23500</v>
      </c>
      <c r="E13845" t="s">
        <v>36320</v>
      </c>
    </row>
    <row r="13846" spans="1:5">
      <c r="A13846" t="s">
        <v>6</v>
      </c>
      <c r="B13846" t="s">
        <v>13851</v>
      </c>
      <c r="C13846">
        <f>HYPERLINK("C:\Users\franc\OneDrive\Documentos\MALENTIN KARIME\BANCO ESTADO\2012 DEPTO ESCRITURAS fata\NOTARIA 2009\CARLOS BUGUEÑÑ\2007\CANCELACION\CRISTIAN CISTERNAS.doc", "Abrir Documento")</f>
        <v>0</v>
      </c>
      <c r="D13846" t="s">
        <v>23500</v>
      </c>
      <c r="E13846" t="s">
        <v>36321</v>
      </c>
    </row>
    <row r="13847" spans="1:5">
      <c r="A13847" t="s">
        <v>6</v>
      </c>
      <c r="B13847" t="s">
        <v>13852</v>
      </c>
      <c r="C13847">
        <f>HYPERLINK("C:\Users\franc\OneDrive\Documentos\MALENTIN KARIME\BANCO ESTADO\2012 DEPTO ESCRITURAS fata\NOTARIA 2009\CARLOS BUGUEÑÑ\2007\CANCELACION\ALDO CORDERO.doc", "Abrir Documento")</f>
        <v>0</v>
      </c>
      <c r="D13847" t="s">
        <v>23500</v>
      </c>
      <c r="E13847" t="s">
        <v>36322</v>
      </c>
    </row>
    <row r="13848" spans="1:5">
      <c r="A13848" t="s">
        <v>6</v>
      </c>
      <c r="B13848" t="s">
        <v>13853</v>
      </c>
      <c r="C13848">
        <f>HYPERLINK("C:\Users\franc\OneDrive\Documentos\MALENTIN KARIME\BANCO ESTADO\2012 DEPTO ESCRITURAS fata\NOTARIA 2009\CARLOS BUGUEÑÑ\2007\ARRIENDOS PRIVADOS\TEODORO AGUIRRE.doc", "Abrir Documento")</f>
        <v>0</v>
      </c>
      <c r="D13848" t="s">
        <v>23500</v>
      </c>
      <c r="E13848" t="s">
        <v>36323</v>
      </c>
    </row>
    <row r="13849" spans="1:5">
      <c r="A13849" t="s">
        <v>6</v>
      </c>
      <c r="B13849" t="s">
        <v>13854</v>
      </c>
      <c r="C13849">
        <f>HYPERLINK("C:\Users\franc\OneDrive\Documentos\MALENTIN KARIME\BANCO ESTADO\2012 DEPTO ESCRITURAS fata\NOTARIA 2009\CARLOS BUGUEÑÑ\2007\ARRIENDOS PRIVADOS\RECIBO ARRIENDO.doc", "Abrir Documento")</f>
        <v>0</v>
      </c>
      <c r="D13849" t="s">
        <v>23500</v>
      </c>
      <c r="E13849" t="s">
        <v>36324</v>
      </c>
    </row>
    <row r="13850" spans="1:5">
      <c r="A13850" t="s">
        <v>6</v>
      </c>
      <c r="B13850" t="s">
        <v>13855</v>
      </c>
      <c r="C13850">
        <f>HYPERLINK("C:\Users\franc\OneDrive\Documentos\MALENTIN KARIME\BANCO ESTADO\2012 DEPTO ESCRITURAS fata\NOTARIA 2009\CARLOS BUGUEÑÑ\2007\ARRIENDOS PRIVADOS\PATRICIO BUGUEÑO A LUIS PEPPI.doc", "Abrir Documento")</f>
        <v>0</v>
      </c>
      <c r="D13850" t="s">
        <v>23500</v>
      </c>
      <c r="E13850" t="s">
        <v>36325</v>
      </c>
    </row>
    <row r="13851" spans="1:5">
      <c r="A13851" t="s">
        <v>6</v>
      </c>
      <c r="B13851" t="s">
        <v>13856</v>
      </c>
      <c r="C13851">
        <f>HYPERLINK("C:\Users\franc\OneDrive\Documentos\MALENTIN KARIME\BANCO ESTADO\2012 DEPTO ESCRITURAS fata\NOTARIA 2009\CARLOS BUGUEÑÑ\2007\ARRIENDOS PRIVADOS\INMOBILIARIA HUGO JOFRE A JUAN FLORES.doc", "Abrir Documento")</f>
        <v>0</v>
      </c>
      <c r="D13851" t="s">
        <v>23500</v>
      </c>
      <c r="E13851" t="s">
        <v>36326</v>
      </c>
    </row>
    <row r="13852" spans="1:5">
      <c r="A13852" t="s">
        <v>6</v>
      </c>
      <c r="B13852" t="s">
        <v>13857</v>
      </c>
      <c r="C13852">
        <f>HYPERLINK("C:\Users\franc\OneDrive\Documentos\MALENTIN KARIME\BANCO ESTADO\2012 DEPTO ESCRITURAS fata\NOTARIA 2009\CARLOS BUGUEÑÑ\2007\ARRIENDOS PRIVADOS\INMOBI. HUGO JOFRE A CLAUDIA PEREZ.doc", "Abrir Documento")</f>
        <v>0</v>
      </c>
      <c r="D13852" t="s">
        <v>23500</v>
      </c>
      <c r="E13852" t="s">
        <v>36327</v>
      </c>
    </row>
    <row r="13853" spans="1:5">
      <c r="A13853" t="s">
        <v>6</v>
      </c>
      <c r="B13853" t="s">
        <v>13858</v>
      </c>
      <c r="C13853">
        <f>HYPERLINK("C:\Users\franc\OneDrive\Documentos\MALENTIN KARIME\BANCO ESTADO\2012 DEPTO ESCRITURAS fata\NOTARIA 2009\CARLOS BUGUEÑÑ\2007\ARRIENDOS PRIVADOS\INMOB. HUGO JOFRE S.A.A a CESAR YAÑESZ.doc", "Abrir Documento")</f>
        <v>0</v>
      </c>
      <c r="D13853" t="s">
        <v>23500</v>
      </c>
      <c r="E13853" t="s">
        <v>36328</v>
      </c>
    </row>
    <row r="13854" spans="1:5">
      <c r="A13854" t="s">
        <v>6</v>
      </c>
      <c r="B13854" t="s">
        <v>13859</v>
      </c>
      <c r="C13854">
        <f>HYPERLINK("C:\Users\franc\OneDrive\Documentos\MALENTIN KARIME\BANCO ESTADO\2012 DEPTO ESCRITURAS fata\NOTARIA 2009\CARLOS BUGUEÑÑ\2007\ARRIENDOS PRIVADOS\HUGO JOFRE A MARIA ESPINOZA.doc", "Abrir Documento")</f>
        <v>0</v>
      </c>
      <c r="D13854" t="s">
        <v>23500</v>
      </c>
      <c r="E13854" t="s">
        <v>36329</v>
      </c>
    </row>
    <row r="13855" spans="1:5">
      <c r="A13855" t="s">
        <v>6</v>
      </c>
      <c r="B13855" t="s">
        <v>13860</v>
      </c>
      <c r="C13855">
        <f>HYPERLINK("C:\Users\franc\OneDrive\Documentos\MALENTIN KARIME\BANCO ESTADO\2012 DEPTO ESCRITURAS fata\NOTARIA 2009\CARLOS BUGUEÑÑ\2007\ARRIENDOS PRIVADOS\HUGO JOFRE A ALEJANDRO PINILLA.doc", "Abrir Documento")</f>
        <v>0</v>
      </c>
      <c r="D13855" t="s">
        <v>23500</v>
      </c>
      <c r="E13855" t="s">
        <v>36330</v>
      </c>
    </row>
    <row r="13856" spans="1:5">
      <c r="A13856" t="s">
        <v>6</v>
      </c>
      <c r="B13856" t="s">
        <v>13861</v>
      </c>
      <c r="C13856">
        <f>HYPERLINK("C:\Users\franc\OneDrive\Documentos\MALENTIN KARIME\BANCO ESTADO\2012 DEPTO ESCRITURAS fata\NOTARIA 2009\CARLOS BUGUEÑÑ\2007\ARRIENDOS PRIVADOS\GILBERTO PARDO - YASNA GUERRA.doc", "Abrir Documento")</f>
        <v>0</v>
      </c>
      <c r="D13856" t="s">
        <v>23500</v>
      </c>
      <c r="E13856" t="s">
        <v>36331</v>
      </c>
    </row>
    <row r="13857" spans="1:5">
      <c r="A13857" t="s">
        <v>6</v>
      </c>
      <c r="B13857" t="s">
        <v>13862</v>
      </c>
      <c r="C13857">
        <f>HYPERLINK("C:\Users\franc\OneDrive\Documentos\MALENTIN KARIME\BANCO ESTADO\2012 DEPTO ESCRITURAS fata\NOTARIA 2009\CARLOS BUGUEÑÑ\2007\ARRIENDOS PRIVADOS\arriendo vicuña mackenna 253 - marzo 2009.doc", "Abrir Documento")</f>
        <v>0</v>
      </c>
      <c r="D13857" t="s">
        <v>23500</v>
      </c>
      <c r="E13857" t="s">
        <v>36332</v>
      </c>
    </row>
    <row r="13858" spans="1:5">
      <c r="A13858" t="s">
        <v>6</v>
      </c>
      <c r="B13858" t="s">
        <v>13863</v>
      </c>
      <c r="C13858">
        <f>HYPERLINK("C:\Users\franc\OneDrive\Documentos\MALENTIN KARIME\BANCO ESTADO\2012 DEPTO ESCRITURAS fata\NOTARIA 2009\CARLOS BUGUEÑÑ\2007\ARRENDAMIENTO\SOC. SERRAVALLE A DIN.doc", "Abrir Documento")</f>
        <v>0</v>
      </c>
      <c r="D13858" t="s">
        <v>23500</v>
      </c>
      <c r="E13858" t="s">
        <v>36333</v>
      </c>
    </row>
    <row r="13859" spans="1:5">
      <c r="A13859" t="s">
        <v>6</v>
      </c>
      <c r="B13859" t="s">
        <v>13864</v>
      </c>
      <c r="C13859">
        <f>HYPERLINK("C:\Users\franc\OneDrive\Documentos\MALENTIN KARIME\BANCO ESTADO\2012 DEPTO ESCRITURAS fata\NOTARIA 2009\CARLOS BUGUEÑÑ\2007\ARRENDAMIENTO\RAUL ENRIQUE MIRANDA ROJAS E INMOBILIARIA HOTELERA.doc", "Abrir Documento")</f>
        <v>0</v>
      </c>
      <c r="D13859" t="s">
        <v>23500</v>
      </c>
      <c r="E13859" t="s">
        <v>36334</v>
      </c>
    </row>
    <row r="13860" spans="1:5">
      <c r="A13860" t="s">
        <v>6</v>
      </c>
      <c r="B13860" t="s">
        <v>13865</v>
      </c>
      <c r="C13860">
        <f>HYPERLINK("C:\Users\franc\OneDrive\Documentos\MALENTIN KARIME\BANCO ESTADO\2012 DEPTO ESCRITURAS fata\NOTARIA 2009\CARLOS BUGUEÑÑ\2007\ARRENDAMIENTO\CRISTIAN JOFRE A CELEDON.doc", "Abrir Documento")</f>
        <v>0</v>
      </c>
      <c r="D13860" t="s">
        <v>23500</v>
      </c>
      <c r="E13860" t="s">
        <v>36335</v>
      </c>
    </row>
    <row r="13861" spans="1:5">
      <c r="A13861" t="s">
        <v>6</v>
      </c>
      <c r="B13861" t="s">
        <v>13866</v>
      </c>
      <c r="C13861">
        <f>HYPERLINK("C:\Users\franc\OneDrive\Documentos\MALENTIN KARIME\BANCO ESTADO\2012 DEPTO ESCRITURAS fata\NOTARIA 2009\CARLOS BUGUEÑÑ\2007\APORTE\JORGE CORRAL A AGRICOLA HERNAN CORRAL.doc", "Abrir Documento")</f>
        <v>0</v>
      </c>
      <c r="D13861" t="s">
        <v>23500</v>
      </c>
      <c r="E13861" t="s">
        <v>36336</v>
      </c>
    </row>
    <row r="13862" spans="1:5">
      <c r="A13862" t="s">
        <v>6</v>
      </c>
      <c r="B13862" t="s">
        <v>13867</v>
      </c>
      <c r="C13862">
        <f>HYPERLINK("C:\Users\franc\OneDrive\Documentos\MALENTIN KARIME\BANCO ESTADO\2012 DEPTO ESCRITURAS fata\NOTARIA 2009\CARLOS BUGUEÑÑ\2007\AGUAS\VALLE ESCONDIDO A LOS ALERCES.doc", "Abrir Documento")</f>
        <v>0</v>
      </c>
      <c r="D13862" t="s">
        <v>23500</v>
      </c>
      <c r="E13862" t="s">
        <v>36337</v>
      </c>
    </row>
    <row r="13863" spans="1:5">
      <c r="A13863" t="s">
        <v>6</v>
      </c>
      <c r="B13863" t="s">
        <v>13868</v>
      </c>
      <c r="C13863">
        <f>HYPERLINK("C:\Users\franc\OneDrive\Documentos\MALENTIN KARIME\BANCO ESTADO\2012 DEPTO ESCRITURAS fata\NOTARIA 2009\CARLOS BUGUEÑÑ\2007\AGUAS\SOC. PISCIS A MUBEL (HILDERGARD).doc", "Abrir Documento")</f>
        <v>0</v>
      </c>
      <c r="D13863" t="s">
        <v>23500</v>
      </c>
      <c r="E13863" t="s">
        <v>36338</v>
      </c>
    </row>
    <row r="13864" spans="1:5">
      <c r="A13864" t="s">
        <v>6</v>
      </c>
      <c r="B13864" t="s">
        <v>13869</v>
      </c>
      <c r="C13864">
        <f>HYPERLINK("C:\Users\franc\OneDrive\Documentos\MALENTIN KARIME\BANCO ESTADO\2012 DEPTO ESCRITURAS fata\NOTARIA 2009\CARLOS BUGUEÑÑ\2007\AGUAS\SOC. EL MANZANO A LUCIA JULIA.doc", "Abrir Documento")</f>
        <v>0</v>
      </c>
      <c r="D13864" t="s">
        <v>23500</v>
      </c>
      <c r="E13864" t="s">
        <v>36339</v>
      </c>
    </row>
    <row r="13865" spans="1:5">
      <c r="A13865" t="s">
        <v>6</v>
      </c>
      <c r="B13865" t="s">
        <v>13870</v>
      </c>
      <c r="C13865">
        <f>HYPERLINK("C:\Users\franc\OneDrive\Documentos\MALENTIN KARIME\BANCO ESTADO\2012 DEPTO ESCRITURAS fata\NOTARIA 2009\CARLOS BUGUEÑÑ\2007\AGUAS\ROBERTO AGUILERA A SOC. HDA. MAL PASO.doc", "Abrir Documento")</f>
        <v>0</v>
      </c>
      <c r="D13865" t="s">
        <v>23500</v>
      </c>
      <c r="E13865" t="s">
        <v>36340</v>
      </c>
    </row>
    <row r="13866" spans="1:5">
      <c r="A13866" t="s">
        <v>6</v>
      </c>
      <c r="B13866" t="s">
        <v>13871</v>
      </c>
      <c r="C13866">
        <f>HYPERLINK("C:\Users\franc\OneDrive\Documentos\MALENTIN KARIME\BANCO ESTADO\2012 DEPTO ESCRITURAS fata\NOTARIA 2009\CARLOS BUGUEÑÑ\2007\AGUAS\RAQUEL OGALDE A SOC. MAL PASO.doc", "Abrir Documento")</f>
        <v>0</v>
      </c>
      <c r="D13866" t="s">
        <v>23500</v>
      </c>
      <c r="E13866" t="s">
        <v>36341</v>
      </c>
    </row>
    <row r="13867" spans="1:5">
      <c r="A13867" t="s">
        <v>6</v>
      </c>
      <c r="B13867" t="s">
        <v>13872</v>
      </c>
      <c r="C13867">
        <f>HYPERLINK("C:\Users\franc\OneDrive\Documentos\MALENTIN KARIME\BANCO ESTADO\2012 DEPTO ESCRITURAS fata\NOTARIA 2009\CARLOS BUGUEÑÑ\2007\AGUAS\RAQUEL OGALDE A SOC. HDA. MAL PASO (INSTRUCCIONES.doc", "Abrir Documento")</f>
        <v>0</v>
      </c>
      <c r="D13867" t="s">
        <v>23500</v>
      </c>
      <c r="E13867" t="s">
        <v>36342</v>
      </c>
    </row>
    <row r="13868" spans="1:5">
      <c r="A13868" t="s">
        <v>6</v>
      </c>
      <c r="B13868" t="s">
        <v>13873</v>
      </c>
      <c r="C13868">
        <f>HYPERLINK("C:\Users\franc\OneDrive\Documentos\MALENTIN KARIME\BANCO ESTADO\2012 DEPTO ESCRITURAS fata\NOTARIA 2009\CARLOS BUGUEÑÑ\2007\AGUAS\PAULINA GALVEZ CARTA INSTRUCCION.doc", "Abrir Documento")</f>
        <v>0</v>
      </c>
      <c r="D13868" t="s">
        <v>23500</v>
      </c>
      <c r="E13868" t="s">
        <v>36343</v>
      </c>
    </row>
    <row r="13869" spans="1:5">
      <c r="A13869" t="s">
        <v>6</v>
      </c>
      <c r="B13869" t="s">
        <v>13874</v>
      </c>
      <c r="C13869">
        <f>HYPERLINK("C:\Users\franc\OneDrive\Documentos\MALENTIN KARIME\BANCO ESTADO\2012 DEPTO ESCRITURAS fata\NOTARIA 2009\CARLOS BUGUEÑÑ\2007\AGUAS\PAULINA GALVEZ A LUIS PEPPI Y BDD (ALZ).doc", "Abrir Documento")</f>
        <v>0</v>
      </c>
      <c r="D13869" t="s">
        <v>23500</v>
      </c>
      <c r="E13869" t="s">
        <v>36344</v>
      </c>
    </row>
    <row r="13870" spans="1:5">
      <c r="A13870" t="s">
        <v>6</v>
      </c>
      <c r="B13870" t="s">
        <v>13875</v>
      </c>
      <c r="C13870">
        <f>HYPERLINK("C:\Users\franc\OneDrive\Documentos\MALENTIN KARIME\BANCO ESTADO\2012 DEPTO ESCRITURAS fata\NOTARIA 2009\CARLOS BUGUEÑÑ\2007\AGUAS\NELLY VIDELA A RIO COPIAPO.doc", "Abrir Documento")</f>
        <v>0</v>
      </c>
      <c r="D13870" t="s">
        <v>23500</v>
      </c>
      <c r="E13870" t="s">
        <v>36345</v>
      </c>
    </row>
    <row r="13871" spans="1:5">
      <c r="A13871" t="s">
        <v>6</v>
      </c>
      <c r="B13871" t="s">
        <v>13876</v>
      </c>
      <c r="C13871">
        <f>HYPERLINK("C:\Users\franc\OneDrive\Documentos\MALENTIN KARIME\BANCO ESTADO\2012 DEPTO ESCRITURAS fata\NOTARIA 2009\CARLOS BUGUEÑÑ\2007\AGUAS\MIGUEL TAPIA A MUBEL.doc", "Abrir Documento")</f>
        <v>0</v>
      </c>
      <c r="D13871" t="s">
        <v>23500</v>
      </c>
      <c r="E13871" t="s">
        <v>36346</v>
      </c>
    </row>
    <row r="13872" spans="1:5">
      <c r="A13872" t="s">
        <v>6</v>
      </c>
      <c r="B13872" t="s">
        <v>13877</v>
      </c>
      <c r="C13872">
        <f>HYPERLINK("C:\Users\franc\OneDrive\Documentos\MALENTIN KARIME\BANCO ESTADO\2012 DEPTO ESCRITURAS fata\NOTARIA 2009\CARLOS BUGUEÑÑ\2007\AGUAS\MIGUEL TAPIA A AGRICOLA LAS MERCEDES.doc", "Abrir Documento")</f>
        <v>0</v>
      </c>
      <c r="D13872" t="s">
        <v>23500</v>
      </c>
      <c r="E13872" t="s">
        <v>36347</v>
      </c>
    </row>
    <row r="13873" spans="1:5">
      <c r="A13873" t="s">
        <v>6</v>
      </c>
      <c r="B13873" t="s">
        <v>13878</v>
      </c>
      <c r="C13873">
        <f>HYPERLINK("C:\Users\franc\OneDrive\Documentos\MALENTIN KARIME\BANCO ESTADO\2012 DEPTO ESCRITURAS fata\NOTARIA 2009\CARLOS BUGUEÑÑ\2007\AGUAS\MIGUEL TAPIA A AGRICOLA LAS MERCEDES (INSTRUCCIONES).doc", "Abrir Documento")</f>
        <v>0</v>
      </c>
      <c r="D13873" t="s">
        <v>23500</v>
      </c>
      <c r="E13873" t="s">
        <v>36348</v>
      </c>
    </row>
    <row r="13874" spans="1:5">
      <c r="A13874" t="s">
        <v>6</v>
      </c>
      <c r="B13874" t="s">
        <v>13879</v>
      </c>
      <c r="C13874">
        <f>HYPERLINK("C:\Users\franc\OneDrive\Documentos\MALENTIN KARIME\BANCO ESTADO\2012 DEPTO ESCRITURAS fata\NOTARIA 2009\CARLOS BUGUEÑÑ\2007\AGUAS\MARIO ROBLES A AGRICOLA MARCELO CORRAL.doc", "Abrir Documento")</f>
        <v>0</v>
      </c>
      <c r="D13874" t="s">
        <v>23500</v>
      </c>
      <c r="E13874" t="s">
        <v>36349</v>
      </c>
    </row>
    <row r="13875" spans="1:5">
      <c r="A13875" t="s">
        <v>6</v>
      </c>
      <c r="B13875" t="s">
        <v>13880</v>
      </c>
      <c r="C13875">
        <f>HYPERLINK("C:\Users\franc\OneDrive\Documentos\MALENTIN KARIME\BANCO ESTADO\2012 DEPTO ESCRITURAS fata\NOTARIA 2009\CARLOS BUGUEÑÑ\2007\AGUAS\MARIA PEREZ A SOC. GOIA.doc", "Abrir Documento")</f>
        <v>0</v>
      </c>
      <c r="D13875" t="s">
        <v>23500</v>
      </c>
      <c r="E13875" t="s">
        <v>36350</v>
      </c>
    </row>
    <row r="13876" spans="1:5">
      <c r="A13876" t="s">
        <v>6</v>
      </c>
      <c r="B13876" t="s">
        <v>13881</v>
      </c>
      <c r="C13876">
        <f>HYPERLINK("C:\Users\franc\OneDrive\Documentos\MALENTIN KARIME\BANCO ESTADO\2012 DEPTO ESCRITURAS fata\NOTARIA 2009\CARLOS BUGUEÑÑ\2007\AGUAS\MARIA OLIVARES Y OTRO A JOSE MIGUEL ZEPEDA.doc", "Abrir Documento")</f>
        <v>0</v>
      </c>
      <c r="D13876" t="s">
        <v>23500</v>
      </c>
      <c r="E13876" t="s">
        <v>36351</v>
      </c>
    </row>
    <row r="13877" spans="1:5">
      <c r="A13877" t="s">
        <v>6</v>
      </c>
      <c r="B13877" t="s">
        <v>13882</v>
      </c>
      <c r="C13877">
        <f>HYPERLINK("C:\Users\franc\OneDrive\Documentos\MALENTIN KARIME\BANCO ESTADO\2012 DEPTO ESCRITURAS fata\NOTARIA 2009\CARLOS BUGUEÑÑ\2007\AGUAS\MARIA GABRIELA ZEPEDA A SOC. SAN FRANCISCO.doc", "Abrir Documento")</f>
        <v>0</v>
      </c>
      <c r="D13877" t="s">
        <v>23500</v>
      </c>
      <c r="E13877" t="s">
        <v>36352</v>
      </c>
    </row>
    <row r="13878" spans="1:5">
      <c r="A13878" t="s">
        <v>6</v>
      </c>
      <c r="B13878" t="s">
        <v>13883</v>
      </c>
      <c r="C13878">
        <f>HYPERLINK("C:\Users\franc\OneDrive\Documentos\MALENTIN KARIME\BANCO ESTADO\2012 DEPTO ESCRITURAS fata\NOTARIA 2009\CARLOS BUGUEÑÑ\2007\AGUAS\LUIS TORREJON - RIO COPIAPO.doc", "Abrir Documento")</f>
        <v>0</v>
      </c>
      <c r="D13878" t="s">
        <v>23500</v>
      </c>
      <c r="E13878" t="s">
        <v>36353</v>
      </c>
    </row>
    <row r="13879" spans="1:5">
      <c r="A13879" t="s">
        <v>6</v>
      </c>
      <c r="B13879" t="s">
        <v>13884</v>
      </c>
      <c r="C13879">
        <f>HYPERLINK("C:\Users\franc\OneDrive\Documentos\MALENTIN KARIME\BANCO ESTADO\2012 DEPTO ESCRITURAS fata\NOTARIA 2009\CARLOS BUGUEÑÑ\2007\AGUAS\LUIS ARAYA Y OTRO A MUBEL.doc", "Abrir Documento")</f>
        <v>0</v>
      </c>
      <c r="D13879" t="s">
        <v>23500</v>
      </c>
      <c r="E13879" t="s">
        <v>36354</v>
      </c>
    </row>
    <row r="13880" spans="1:5">
      <c r="A13880" t="s">
        <v>6</v>
      </c>
      <c r="B13880" t="s">
        <v>13885</v>
      </c>
      <c r="C13880">
        <f>HYPERLINK("C:\Users\franc\OneDrive\Documentos\MALENTIN KARIME\BANCO ESTADO\2012 DEPTO ESCRITURAS fata\NOTARIA 2009\CARLOS BUGUEÑÑ\2007\AGUAS\LUIS ARAYA Y OTRO A MUBEL INSTRUCCIONES.doc", "Abrir Documento")</f>
        <v>0</v>
      </c>
      <c r="D13880" t="s">
        <v>23500</v>
      </c>
      <c r="E13880" t="s">
        <v>36355</v>
      </c>
    </row>
    <row r="13881" spans="1:5">
      <c r="A13881" t="s">
        <v>6</v>
      </c>
      <c r="B13881" t="s">
        <v>13886</v>
      </c>
      <c r="C13881">
        <f>HYPERLINK("C:\Users\franc\OneDrive\Documentos\MALENTIN KARIME\BANCO ESTADO\2012 DEPTO ESCRITURAS fata\NOTARIA 2009\CARLOS BUGUEÑÑ\2007\AGUAS\LUIS ARAYA A MAL PASO (AGUAS).doc", "Abrir Documento")</f>
        <v>0</v>
      </c>
      <c r="D13881" t="s">
        <v>23500</v>
      </c>
      <c r="E13881" t="s">
        <v>36356</v>
      </c>
    </row>
    <row r="13882" spans="1:5">
      <c r="A13882" t="s">
        <v>6</v>
      </c>
      <c r="B13882" t="s">
        <v>13887</v>
      </c>
      <c r="C13882">
        <f>HYPERLINK("C:\Users\franc\OneDrive\Documentos\MALENTIN KARIME\BANCO ESTADO\2012 DEPTO ESCRITURAS fata\NOTARIA 2009\CARLOS BUGUEÑÑ\2007\AGUAS\LOS ALERCES A DGA (traslado aguas).doc", "Abrir Documento")</f>
        <v>0</v>
      </c>
      <c r="D13882" t="s">
        <v>23500</v>
      </c>
      <c r="E13882" t="s">
        <v>36357</v>
      </c>
    </row>
    <row r="13883" spans="1:5">
      <c r="A13883" t="s">
        <v>6</v>
      </c>
      <c r="B13883" t="s">
        <v>13888</v>
      </c>
      <c r="C13883">
        <f>HYPERLINK("C:\Users\franc\OneDrive\Documentos\MALENTIN KARIME\BANCO ESTADO\2012 DEPTO ESCRITURAS fata\NOTARIA 2009\CARLOS BUGUEÑÑ\2007\AGUAS\LES TROIS FRERES.doc", "Abrir Documento")</f>
        <v>0</v>
      </c>
      <c r="D13883" t="s">
        <v>23500</v>
      </c>
      <c r="E13883" t="s">
        <v>36358</v>
      </c>
    </row>
    <row r="13884" spans="1:5">
      <c r="A13884" t="s">
        <v>6</v>
      </c>
      <c r="B13884" t="s">
        <v>13889</v>
      </c>
      <c r="C13884">
        <f>HYPERLINK("C:\Users\franc\OneDrive\Documentos\MALENTIN KARIME\BANCO ESTADO\2012 DEPTO ESCRITURAS fata\NOTARIA 2009\CARLOS BUGUEÑÑ\2007\AGUAS\LEONARDO CORRAL A AGRICOLA MARCELO CORRAL.doc", "Abrir Documento")</f>
        <v>0</v>
      </c>
      <c r="D13884" t="s">
        <v>23500</v>
      </c>
      <c r="E13884" t="s">
        <v>36359</v>
      </c>
    </row>
    <row r="13885" spans="1:5">
      <c r="A13885" t="s">
        <v>6</v>
      </c>
      <c r="B13885" t="s">
        <v>13890</v>
      </c>
      <c r="C13885">
        <f>HYPERLINK("C:\Users\franc\OneDrive\Documentos\MALENTIN KARIME\BANCO ESTADO\2012 DEPTO ESCRITURAS fata\NOTARIA 2009\CARLOS BUGUEÑÑ\2007\AGUAS\IVAN RAMIREZ A FRUTI. COPIAPO.doc", "Abrir Documento")</f>
        <v>0</v>
      </c>
      <c r="D13885" t="s">
        <v>23500</v>
      </c>
      <c r="E13885" t="s">
        <v>36360</v>
      </c>
    </row>
    <row r="13886" spans="1:5">
      <c r="A13886" t="s">
        <v>6</v>
      </c>
      <c r="B13886" t="s">
        <v>13891</v>
      </c>
      <c r="C13886">
        <f>HYPERLINK("C:\Users\franc\OneDrive\Documentos\MALENTIN KARIME\BANCO ESTADO\2012 DEPTO ESCRITURAS fata\NOTARIA 2009\CARLOS BUGUEÑÑ\2007\AGUAS\IOLE MANFREDI A FRUT. COPIAPO.doc", "Abrir Documento")</f>
        <v>0</v>
      </c>
      <c r="D13886" t="s">
        <v>23500</v>
      </c>
      <c r="E13886" t="s">
        <v>36361</v>
      </c>
    </row>
    <row r="13887" spans="1:5">
      <c r="A13887" t="s">
        <v>6</v>
      </c>
      <c r="B13887" t="s">
        <v>13892</v>
      </c>
      <c r="C13887">
        <f>HYPERLINK("C:\Users\franc\OneDrive\Documentos\MALENTIN KARIME\BANCO ESTADO\2012 DEPTO ESCRITURAS fata\NOTARIA 2009\CARLOS BUGUEÑÑ\2007\AGUAS\HUGO GALVEZ A RIO COPIAPO.doc", "Abrir Documento")</f>
        <v>0</v>
      </c>
      <c r="D13887" t="s">
        <v>23500</v>
      </c>
      <c r="E13887" t="s">
        <v>36362</v>
      </c>
    </row>
    <row r="13888" spans="1:5">
      <c r="A13888" t="s">
        <v>6</v>
      </c>
      <c r="B13888" t="s">
        <v>13893</v>
      </c>
      <c r="C13888">
        <f>HYPERLINK("C:\Users\franc\OneDrive\Documentos\MALENTIN KARIME\BANCO ESTADO\2012 DEPTO ESCRITURAS fata\NOTARIA 2009\CARLOS BUGUEÑÑ\2007\AGUAS\HORACIO LOPEZ A RIO COPIAPO.doc", "Abrir Documento")</f>
        <v>0</v>
      </c>
      <c r="D13888" t="s">
        <v>23500</v>
      </c>
      <c r="E13888" t="s">
        <v>36363</v>
      </c>
    </row>
    <row r="13889" spans="1:5">
      <c r="A13889" t="s">
        <v>6</v>
      </c>
      <c r="B13889" t="s">
        <v>13894</v>
      </c>
      <c r="C13889">
        <f>HYPERLINK("C:\Users\franc\OneDrive\Documentos\MALENTIN KARIME\BANCO ESTADO\2012 DEPTO ESCRITURAS fata\NOTARIA 2009\CARLOS BUGUEÑÑ\2007\AGUAS\HERNAN ARAYA A RIO COPIAPO.doc", "Abrir Documento")</f>
        <v>0</v>
      </c>
      <c r="D13889" t="s">
        <v>23500</v>
      </c>
      <c r="E13889" t="s">
        <v>36364</v>
      </c>
    </row>
    <row r="13890" spans="1:5">
      <c r="A13890" t="s">
        <v>6</v>
      </c>
      <c r="B13890" t="s">
        <v>13895</v>
      </c>
      <c r="C13890">
        <f>HYPERLINK("C:\Users\franc\OneDrive\Documentos\MALENTIN KARIME\BANCO ESTADO\2012 DEPTO ESCRITURAS fata\NOTARIA 2009\CARLOS BUGUEÑÑ\2007\AGUAS\GILBERTO PARDO - RIO COPIAPO.doc", "Abrir Documento")</f>
        <v>0</v>
      </c>
      <c r="D13890" t="s">
        <v>23500</v>
      </c>
      <c r="E13890" t="s">
        <v>36365</v>
      </c>
    </row>
    <row r="13891" spans="1:5">
      <c r="A13891" t="s">
        <v>6</v>
      </c>
      <c r="B13891" t="s">
        <v>13896</v>
      </c>
      <c r="C13891">
        <f>HYPERLINK("C:\Users\franc\OneDrive\Documentos\MALENTIN KARIME\BANCO ESTADO\2012 DEPTO ESCRITURAS fata\NOTARIA 2009\CARLOS BUGUEÑÑ\2007\AGUAS\ERNESTO ORTIZ A INV. BOSMAN Y GIOIA.doc", "Abrir Documento")</f>
        <v>0</v>
      </c>
      <c r="D13891" t="s">
        <v>23500</v>
      </c>
      <c r="E13891" t="s">
        <v>36366</v>
      </c>
    </row>
    <row r="13892" spans="1:5">
      <c r="A13892" t="s">
        <v>6</v>
      </c>
      <c r="B13892" t="s">
        <v>13897</v>
      </c>
      <c r="C13892">
        <f>HYPERLINK("C:\Users\franc\OneDrive\Documentos\MALENTIN KARIME\BANCO ESTADO\2012 DEPTO ESCRITURAS fata\NOTARIA 2009\CARLOS BUGUEÑÑ\2007\AGUAS\Don MIGUEL ANGEL TAPIA LAGUNAS.doc", "Abrir Documento")</f>
        <v>0</v>
      </c>
      <c r="D13892" t="s">
        <v>23500</v>
      </c>
      <c r="E13892" t="s">
        <v>36367</v>
      </c>
    </row>
    <row r="13893" spans="1:5">
      <c r="A13893" t="s">
        <v>6</v>
      </c>
      <c r="B13893" t="s">
        <v>13898</v>
      </c>
      <c r="C13893">
        <f>HYPERLINK("C:\Users\franc\OneDrive\Documentos\MALENTIN KARIME\BANCO ESTADO\2012 DEPTO ESCRITURAS fata\NOTARIA 2009\CARLOS BUGUEÑÑ\2007\AGUAS\CRUZ PALTA.doc", "Abrir Documento")</f>
        <v>0</v>
      </c>
      <c r="D13893" t="s">
        <v>23500</v>
      </c>
      <c r="E13893" t="s">
        <v>36368</v>
      </c>
    </row>
    <row r="13894" spans="1:5">
      <c r="A13894" t="s">
        <v>6</v>
      </c>
      <c r="B13894" t="s">
        <v>13899</v>
      </c>
      <c r="C13894">
        <f>HYPERLINK("C:\Users\franc\OneDrive\Documentos\MALENTIN KARIME\BANCO ESTADO\2012 DEPTO ESCRITURAS fata\NOTARIA 2009\CARLOS BUGUEÑÑ\2007\AGUAS\CRUZ PALTA (INSTRUCCIONES).doc", "Abrir Documento")</f>
        <v>0</v>
      </c>
      <c r="D13894" t="s">
        <v>23500</v>
      </c>
      <c r="E13894" t="s">
        <v>36369</v>
      </c>
    </row>
    <row r="13895" spans="1:5">
      <c r="A13895" t="s">
        <v>6</v>
      </c>
      <c r="B13895" t="s">
        <v>13900</v>
      </c>
      <c r="C13895">
        <f>HYPERLINK("C:\Users\franc\OneDrive\Documentos\MALENTIN KARIME\BANCO ESTADO\2012 DEPTO ESCRITURAS fata\NOTARIA 2009\CARLOS BUGUEÑÑ\2007\AGUAS\carta_instrucc_miguel_tapia_-_febrero_2009[1].doc", "Abrir Documento")</f>
        <v>0</v>
      </c>
      <c r="D13895" t="s">
        <v>23500</v>
      </c>
      <c r="E13895" t="s">
        <v>36370</v>
      </c>
    </row>
    <row r="13896" spans="1:5">
      <c r="A13896" t="s">
        <v>6</v>
      </c>
      <c r="B13896" t="s">
        <v>13901</v>
      </c>
      <c r="C13896">
        <f>HYPERLINK("C:\Users\franc\OneDrive\Documentos\MALENTIN KARIME\BANCO ESTADO\2012 DEPTO ESCRITURAS fata\NOTARIA 2009\CARLOS BUGUEÑÑ\2007\AGUAS\CARTA INSTRUCCION CIA MINERA PUNITAQUI.doc", "Abrir Documento")</f>
        <v>0</v>
      </c>
      <c r="D13896" t="s">
        <v>23500</v>
      </c>
      <c r="E13896" t="s">
        <v>36371</v>
      </c>
    </row>
    <row r="13897" spans="1:5">
      <c r="A13897" t="s">
        <v>6</v>
      </c>
      <c r="B13897" t="s">
        <v>13902</v>
      </c>
      <c r="C13897">
        <f>HYPERLINK("C:\Users\franc\OneDrive\Documentos\MALENTIN KARIME\BANCO ESTADO\2012 DEPTO ESCRITURAS fata\NOTARIA 2009\CARLOS BUGUEÑÑ\2007\AGUAS\ARNOLDO ARANCIBIA A INVER. MUBEL.doc", "Abrir Documento")</f>
        <v>0</v>
      </c>
      <c r="D13897" t="s">
        <v>23500</v>
      </c>
      <c r="E13897" t="s">
        <v>36372</v>
      </c>
    </row>
    <row r="13898" spans="1:5">
      <c r="A13898" t="s">
        <v>6</v>
      </c>
      <c r="B13898" t="s">
        <v>13903</v>
      </c>
      <c r="C13898">
        <f>HYPERLINK("C:\Users\franc\OneDrive\Documentos\MALENTIN KARIME\BANCO ESTADO\2012 DEPTO ESCRITURAS fata\NOTARIA 2009\CARLOS BUGUEÑÑ\2007\AGUAS\ANTONIO CORRAL EIRL.doc", "Abrir Documento")</f>
        <v>0</v>
      </c>
      <c r="D13898" t="s">
        <v>23500</v>
      </c>
      <c r="E13898" t="s">
        <v>36373</v>
      </c>
    </row>
    <row r="13899" spans="1:5">
      <c r="A13899" t="s">
        <v>6</v>
      </c>
      <c r="B13899" t="s">
        <v>13904</v>
      </c>
      <c r="C13899">
        <f>HYPERLINK("C:\Users\franc\OneDrive\Documentos\MALENTIN KARIME\BANCO ESTADO\2012 DEPTO ESCRITURAS fata\NOTARIA 2009\CARLOS BUGUEÑÑ\2007\AGUAS\ADELMA MANFREDI A FRUT. COPIAPO.doc", "Abrir Documento")</f>
        <v>0</v>
      </c>
      <c r="D13899" t="s">
        <v>23500</v>
      </c>
      <c r="E13899" t="s">
        <v>36374</v>
      </c>
    </row>
    <row r="13900" spans="1:5">
      <c r="A13900" t="s">
        <v>6</v>
      </c>
      <c r="B13900" t="s">
        <v>13905</v>
      </c>
      <c r="C13900">
        <f>HYPERLINK("C:\Users\franc\OneDrive\Documentos\MALENTIN KARIME\BANCO ESTADO\2012 DEPTO ESCRITURAS fata\NOTARIA 2009\CARLOS BUGUEÑÑ\2007\ACTAS\TURISMO FINAL.doc", "Abrir Documento")</f>
        <v>0</v>
      </c>
      <c r="D13900" t="s">
        <v>23500</v>
      </c>
      <c r="E13900" t="s">
        <v>36375</v>
      </c>
    </row>
    <row r="13901" spans="1:5">
      <c r="A13901" t="s">
        <v>6</v>
      </c>
      <c r="B13901" t="s">
        <v>13906</v>
      </c>
      <c r="C13901">
        <f>HYPERLINK("C:\Users\franc\OneDrive\Documentos\MALENTIN KARIME\BANCO ESTADO\2012 DEPTO ESCRITURAS fata\NOTARIA 2009\CARLOS BUGUEÑÑ\2007\ACTAS\TURISMO 30 04 2008.doc", "Abrir Documento")</f>
        <v>0</v>
      </c>
      <c r="D13901" t="s">
        <v>23500</v>
      </c>
      <c r="E13901" t="s">
        <v>36376</v>
      </c>
    </row>
    <row r="13902" spans="1:5">
      <c r="A13902" t="s">
        <v>6</v>
      </c>
      <c r="B13902" t="s">
        <v>13907</v>
      </c>
      <c r="C13902">
        <f>HYPERLINK("C:\Users\franc\OneDrive\Documentos\MALENTIN KARIME\BANCO ESTADO\2012 DEPTO ESCRITURAS fata\NOTARIA 2009\CARLOS BUGUEÑÑ\2007\ACTAS\LOS LEONES.doc", "Abrir Documento")</f>
        <v>0</v>
      </c>
      <c r="D13902" t="s">
        <v>23500</v>
      </c>
      <c r="E13902" t="s">
        <v>36377</v>
      </c>
    </row>
    <row r="13903" spans="1:5">
      <c r="A13903" t="s">
        <v>6</v>
      </c>
      <c r="B13903" t="s">
        <v>13908</v>
      </c>
      <c r="C13903">
        <f>HYPERLINK("C:\Users\franc\OneDrive\Documentos\MALENTIN KARIME\BANCO ESTADO\2012 DEPTO ESCRITURAS fata\NOTARIA 2009\CARLOS BUGUEÑÑ\2007\ACTAS\LOS LEONES FINAL.doc", "Abrir Documento")</f>
        <v>0</v>
      </c>
      <c r="D13903" t="s">
        <v>23500</v>
      </c>
      <c r="E13903" t="s">
        <v>36378</v>
      </c>
    </row>
    <row r="13904" spans="1:5">
      <c r="A13904" t="s">
        <v>6</v>
      </c>
      <c r="B13904" t="s">
        <v>13909</v>
      </c>
      <c r="C13904">
        <f>HYPERLINK("C:\Users\franc\OneDrive\Documentos\MALENTIN KARIME\BANCO ESTADO\2012 DEPTO ESCRITURAS fata\NOTARIA 2009\CARLOS BUGUEÑÑ\2007\ACTAS\LOS LEONES 30 ABRIL 2008.doc", "Abrir Documento")</f>
        <v>0</v>
      </c>
      <c r="D13904" t="s">
        <v>23500</v>
      </c>
      <c r="E13904" t="s">
        <v>36379</v>
      </c>
    </row>
    <row r="13905" spans="1:5">
      <c r="A13905" t="s">
        <v>6</v>
      </c>
      <c r="B13905" t="s">
        <v>13910</v>
      </c>
      <c r="C13905">
        <f>HYPERLINK("C:\Users\franc\OneDrive\Documentos\MALENTIN KARIME\BANCO ESTADO\2012 DEPTO ESCRITURAS fata\NOTARIA 2009\CARLOS BUGUEÑÑ\2007\ACTAS\LOS LEONES - EXTRAORDINARIA DIC. 2008.doc", "Abrir Documento")</f>
        <v>0</v>
      </c>
      <c r="D13905" t="s">
        <v>23500</v>
      </c>
      <c r="E13905" t="s">
        <v>36380</v>
      </c>
    </row>
    <row r="13906" spans="1:5">
      <c r="A13906" t="s">
        <v>6</v>
      </c>
      <c r="B13906" t="s">
        <v>13911</v>
      </c>
      <c r="C13906">
        <f>HYPERLINK("C:\Users\franc\OneDrive\Documentos\MALENTIN KARIME\BANCO ESTADO\2012 DEPTO ESCRITURAS fata\NOTARIA 2009\CARLOS BUGUEÑÑ\2007\ACTAS\LOS LEONES - DIRECTORIO (DIC. 2008).doc", "Abrir Documento")</f>
        <v>0</v>
      </c>
      <c r="D13906" t="s">
        <v>23500</v>
      </c>
      <c r="E13906" t="s">
        <v>36381</v>
      </c>
    </row>
    <row r="13907" spans="1:5">
      <c r="A13907" t="s">
        <v>6</v>
      </c>
      <c r="B13907" t="s">
        <v>13912</v>
      </c>
      <c r="C13907">
        <f>HYPERLINK("C:\Users\franc\OneDrive\Documentos\MALENTIN KARIME\BANCO ESTADO\2012 DEPTO ESCRITURAS fata\NOTARIA 2009\CARLOS BUGUEÑÑ\2007\ACTAS\INMOBILIARIA JOFRE 30 04 2008.doc", "Abrir Documento")</f>
        <v>0</v>
      </c>
      <c r="D13907" t="s">
        <v>23500</v>
      </c>
      <c r="E13907" t="s">
        <v>36382</v>
      </c>
    </row>
    <row r="13908" spans="1:5">
      <c r="A13908" t="s">
        <v>6</v>
      </c>
      <c r="B13908" t="s">
        <v>13913</v>
      </c>
      <c r="C13908">
        <f>HYPERLINK("C:\Users\franc\OneDrive\Documentos\MALENTIN KARIME\BANCO ESTADO\2012 DEPTO ESCRITURAS fata\NOTARIA 2009\CARLOS BUGUEÑÑ\2007\ACTAS\INMOBILIARIA JFORE.doc", "Abrir Documento")</f>
        <v>0</v>
      </c>
      <c r="D13908" t="s">
        <v>23500</v>
      </c>
      <c r="E13908" t="s">
        <v>36383</v>
      </c>
    </row>
    <row r="13909" spans="1:5">
      <c r="A13909" t="s">
        <v>6</v>
      </c>
      <c r="B13909" t="s">
        <v>13914</v>
      </c>
      <c r="C13909">
        <f>HYPERLINK("C:\Users\franc\OneDrive\Documentos\MALENTIN KARIME\BANCO ESTADO\2012 DEPTO ESCRITURAS fata\NOTARIA 2009\CARLOS BUGUEÑÑ\2007\ACTAS\INMOB. HUGO JOFRE FINAL.doc", "Abrir Documento")</f>
        <v>0</v>
      </c>
      <c r="D13909" t="s">
        <v>23500</v>
      </c>
      <c r="E13909" t="s">
        <v>36384</v>
      </c>
    </row>
    <row r="13910" spans="1:5">
      <c r="A13910" t="s">
        <v>6</v>
      </c>
      <c r="B13910" t="s">
        <v>13915</v>
      </c>
      <c r="C13910">
        <f>HYPERLINK("C:\Users\franc\OneDrive\Documentos\MALENTIN KARIME\BANCO ESTADO\2012 DEPTO ESCRITURAS fata\NOTARIA 2009\CARLOS BUGUEÑÑ\2007\ACTAS\HOTEL TURISMO.doc", "Abrir Documento")</f>
        <v>0</v>
      </c>
      <c r="D13910" t="s">
        <v>23500</v>
      </c>
      <c r="E13910" t="s">
        <v>36385</v>
      </c>
    </row>
    <row r="13911" spans="1:5">
      <c r="A13911" t="s">
        <v>6</v>
      </c>
      <c r="B13911" t="s">
        <v>13916</v>
      </c>
      <c r="C13911">
        <f>HYPERLINK("C:\Users\franc\OneDrive\Documentos\MALENTIN KARIME\BANCO ESTADO\2012 DEPTO ESCRITURAS fata\NOTARIA 2009\CARLOS BUGUEÑÑ\2007\ACTAS\HOTEL AMERICAN.doc", "Abrir Documento")</f>
        <v>0</v>
      </c>
      <c r="D13911" t="s">
        <v>23500</v>
      </c>
      <c r="E13911" t="s">
        <v>36386</v>
      </c>
    </row>
    <row r="13912" spans="1:5">
      <c r="A13912" t="s">
        <v>6</v>
      </c>
      <c r="B13912" t="s">
        <v>13917</v>
      </c>
      <c r="C13912">
        <f>HYPERLINK("C:\Users\franc\OneDrive\Documentos\MALENTIN KARIME\BANCO ESTADO\2012 DEPTO ESCRITURAS fata\NOTARIA 2009\CARLOS BUGUEÑÑ\2007\ACTAS\FERIA GANADERA OVALLE.doc", "Abrir Documento")</f>
        <v>0</v>
      </c>
      <c r="D13912" t="s">
        <v>23500</v>
      </c>
      <c r="E13912" t="s">
        <v>36387</v>
      </c>
    </row>
    <row r="13913" spans="1:5">
      <c r="A13913" t="s">
        <v>6</v>
      </c>
      <c r="B13913" t="s">
        <v>13918</v>
      </c>
      <c r="C13913">
        <f>HYPERLINK("C:\Users\franc\OneDrive\Documentos\MALENTIN KARIME\BANCO ESTADO\2012 DEPTO ESCRITURAS fata\NOTARIA 2009\CARLOS BUGUEÑÑ\2007\ACTAS\CANAL LOS AZULES.doc", "Abrir Documento")</f>
        <v>0</v>
      </c>
      <c r="D13913" t="s">
        <v>23500</v>
      </c>
      <c r="E13913" t="s">
        <v>36388</v>
      </c>
    </row>
    <row r="13914" spans="1:5">
      <c r="A13914" t="s">
        <v>6</v>
      </c>
      <c r="B13914" t="s">
        <v>13919</v>
      </c>
      <c r="C13914">
        <f>HYPERLINK("C:\Users\franc\OneDrive\Documentos\MALENTIN KARIME\BANCO ESTADO\2012 DEPTO ESCRITURAS fata\NOTARIA 2009\CARLOS BUGUEÑÑ\2007\ACTAS\CANAL LOS AZULES (2).doc", "Abrir Documento")</f>
        <v>0</v>
      </c>
      <c r="D13914" t="s">
        <v>23500</v>
      </c>
      <c r="E13914" t="s">
        <v>36389</v>
      </c>
    </row>
    <row r="13915" spans="1:5">
      <c r="A13915" t="s">
        <v>6</v>
      </c>
      <c r="B13915" t="s">
        <v>13920</v>
      </c>
      <c r="C13915">
        <f>HYPERLINK("C:\Users\franc\OneDrive\Documentos\MALENTIN KARIME\BANCO ESTADO\2012 DEPTO ESCRITURAS fata\NOTARIA 2009\CARLOS BUGUEÑÑ\2007\ACTAS\CANAL GRANDE SOTAQUI.doc", "Abrir Documento")</f>
        <v>0</v>
      </c>
      <c r="D13915" t="s">
        <v>23500</v>
      </c>
      <c r="E13915" t="s">
        <v>36390</v>
      </c>
    </row>
    <row r="13916" spans="1:5">
      <c r="A13916" t="s">
        <v>6</v>
      </c>
      <c r="B13916" t="s">
        <v>13921</v>
      </c>
      <c r="C13916">
        <f>HYPERLINK("C:\Users\franc\OneDrive\Documentos\MALENTIN KARIME\BANCO ESTADO\2012 DEPTO ESCRITURAS fata\NOTARIA 2009\CARLOS BUGUEÑÑ\2007\ACTAS\CANAL GRANDE SOTAQUI (2).doc", "Abrir Documento")</f>
        <v>0</v>
      </c>
      <c r="D13916" t="s">
        <v>23500</v>
      </c>
      <c r="E13916" t="s">
        <v>36391</v>
      </c>
    </row>
    <row r="13917" spans="1:5">
      <c r="A13917" t="s">
        <v>6</v>
      </c>
      <c r="B13917" t="s">
        <v>13922</v>
      </c>
      <c r="C13917">
        <f>HYPERLINK("C:\Users\franc\OneDrive\Documentos\MALENTIN KARIME\BANCO ESTADO\2012 DEPTO ESCRITURAS fata\NOTARIA 2009\CARLOS BUGUEÑÑ\2007\ACTAS\AMERICAN 30 04 2008.doc", "Abrir Documento")</f>
        <v>0</v>
      </c>
      <c r="D13917" t="s">
        <v>23500</v>
      </c>
      <c r="E13917" t="s">
        <v>36392</v>
      </c>
    </row>
    <row r="13918" spans="1:5">
      <c r="A13918" t="s">
        <v>6</v>
      </c>
      <c r="B13918" t="s">
        <v>13923</v>
      </c>
      <c r="C13918">
        <f>HYPERLINK("C:\Users\franc\OneDrive\Documentos\MALENTIN KARIME\BANCO ESTADO\2012 DEPTO ESCRITURAS fata\NOTARIA 2009\CARLOS BUGUEÑÑ\2007\ACTAS\ACTA NRO. 6 INM. HUGO JOFRE S.A..doc", "Abrir Documento")</f>
        <v>0</v>
      </c>
      <c r="D13918" t="s">
        <v>23500</v>
      </c>
      <c r="E13918" t="s">
        <v>36393</v>
      </c>
    </row>
    <row r="13919" spans="1:5">
      <c r="A13919" t="s">
        <v>6</v>
      </c>
      <c r="B13919" t="s">
        <v>13924</v>
      </c>
      <c r="C13919">
        <f>HYPERLINK("C:\Users\franc\OneDrive\Documentos\MALENTIN KARIME\BANCO ESTADO\2012 DEPTO ESCRITURAS fata\NOTARIA 2009\CARLOS BUGUEÑÑ\2007\ACTAS\ACTA NRO. 4 PLAZA TURISMO.doc", "Abrir Documento")</f>
        <v>0</v>
      </c>
      <c r="D13919" t="s">
        <v>23500</v>
      </c>
      <c r="E13919" t="s">
        <v>36394</v>
      </c>
    </row>
    <row r="13920" spans="1:5">
      <c r="A13920" t="s">
        <v>6</v>
      </c>
      <c r="B13920" t="s">
        <v>13925</v>
      </c>
      <c r="C13920">
        <f>HYPERLINK("C:\Users\franc\OneDrive\Documentos\MALENTIN KARIME\BANCO ESTADO\2012 DEPTO ESCRITURAS fata\NOTARIA 2009\CARLOS BUGUEÑÑ\2007\ACTAS\ACTA NRO. 2 HUGO JOFRE S.A..doc", "Abrir Documento")</f>
        <v>0</v>
      </c>
      <c r="D13920" t="s">
        <v>23500</v>
      </c>
      <c r="E13920" t="s">
        <v>36395</v>
      </c>
    </row>
    <row r="13921" spans="1:5">
      <c r="A13921" t="s">
        <v>6</v>
      </c>
      <c r="B13921" t="s">
        <v>13926</v>
      </c>
      <c r="C13921">
        <f>HYPERLINK("C:\Users\franc\OneDrive\Documentos\MALENTIN KARIME\BANCO ESTADO\2012 DEPTO ESCRITURAS fata\NOTARIA 2009\CARLOS BUGUEÑÑ\2007\ACLARACION\SOC. PHOLAG.doc", "Abrir Documento")</f>
        <v>0</v>
      </c>
      <c r="D13921" t="s">
        <v>23500</v>
      </c>
      <c r="E13921" t="s">
        <v>36396</v>
      </c>
    </row>
    <row r="13922" spans="1:5">
      <c r="A13922" t="s">
        <v>6</v>
      </c>
      <c r="B13922" t="s">
        <v>13927</v>
      </c>
      <c r="C13922">
        <f>HYPERLINK("C:\Users\franc\OneDrive\Documentos\MALENTIN KARIME\BANCO ESTADO\2012 DEPTO ESCRITURAS fata\NOTARIA 2009\CARLOS BUGUEÑÑ\2007\ACLARACION\PILAR MERUANE A CARLOS ARAYA.doc", "Abrir Documento")</f>
        <v>0</v>
      </c>
      <c r="D13922" t="s">
        <v>23500</v>
      </c>
      <c r="E13922" t="s">
        <v>36397</v>
      </c>
    </row>
    <row r="13923" spans="1:5">
      <c r="A13923" t="s">
        <v>6</v>
      </c>
      <c r="B13923" t="s">
        <v>13928</v>
      </c>
      <c r="C13923">
        <f>HYPERLINK("C:\Users\franc\OneDrive\Documentos\MALENTIN KARIME\BANCO ESTADO\2012 DEPTO ESCRITURAS fata\NOTARIA 2009\CARLOS BUGUEÑÑ\2007\ACLARACION\MIGUEL TAPIA.doc", "Abrir Documento")</f>
        <v>0</v>
      </c>
      <c r="D13923" t="s">
        <v>23500</v>
      </c>
      <c r="E13923" t="s">
        <v>36398</v>
      </c>
    </row>
    <row r="13924" spans="1:5">
      <c r="A13924" t="s">
        <v>6</v>
      </c>
      <c r="B13924" t="s">
        <v>13929</v>
      </c>
      <c r="C13924">
        <f>HYPERLINK("C:\Users\franc\OneDrive\Documentos\MALENTIN KARIME\BANCO ESTADO\2012 DEPTO ESCRITURAS fata\NOTARIA 2009\CARLOS BUGUEÑÑ\2007\ACLARACION\LILIANA ALFARO.doc", "Abrir Documento")</f>
        <v>0</v>
      </c>
      <c r="D13924" t="s">
        <v>23500</v>
      </c>
      <c r="E13924" t="s">
        <v>36399</v>
      </c>
    </row>
    <row r="13925" spans="1:5">
      <c r="A13925" t="s">
        <v>6</v>
      </c>
      <c r="B13925" t="s">
        <v>13930</v>
      </c>
      <c r="C13925">
        <f>HYPERLINK("C:\Users\franc\OneDrive\Documentos\MALENTIN KARIME\BANCO ESTADO\2012 DEPTO ESCRITURAS fata\NOTARIA 2009\CARLOS BUGUEÑÑ\2007\ACLARACION\JAIME VILLALON.doc", "Abrir Documento")</f>
        <v>0</v>
      </c>
      <c r="D13925" t="s">
        <v>23500</v>
      </c>
      <c r="E13925" t="s">
        <v>36400</v>
      </c>
    </row>
    <row r="13926" spans="1:5">
      <c r="A13926" t="s">
        <v>6</v>
      </c>
      <c r="B13926" t="s">
        <v>13931</v>
      </c>
      <c r="C13926">
        <f>HYPERLINK("C:\Users\franc\OneDrive\Documentos\MALENTIN KARIME\BANCO ESTADO\2012 DEPTO ESCRITURAS fata\NOTARIA 2009\CARLOS BUGUEÑÑ\2007\ACLARACION\JAIME VILLALON 2.doc", "Abrir Documento")</f>
        <v>0</v>
      </c>
      <c r="D13926" t="s">
        <v>23500</v>
      </c>
      <c r="E13926" t="s">
        <v>36401</v>
      </c>
    </row>
    <row r="13927" spans="1:5">
      <c r="A13927" t="s">
        <v>6</v>
      </c>
      <c r="B13927" t="s">
        <v>13932</v>
      </c>
      <c r="C13927">
        <f>HYPERLINK("C:\Users\franc\OneDrive\Documentos\MALENTIN KARIME\BANCO ESTADO\2012 DEPTO ESCRITURAS fata\NOTARIA 2009\CARLOS BUGUEÑÑ\2007\ACLARACION\INMOBILIARIA CRUZ COLORADA.doc", "Abrir Documento")</f>
        <v>0</v>
      </c>
      <c r="D13927" t="s">
        <v>23500</v>
      </c>
      <c r="E13927" t="s">
        <v>36402</v>
      </c>
    </row>
    <row r="13928" spans="1:5">
      <c r="A13928" t="s">
        <v>6</v>
      </c>
      <c r="B13928" t="s">
        <v>13933</v>
      </c>
      <c r="C13928">
        <f>HYPERLINK("C:\Users\franc\OneDrive\Documentos\MALENTIN KARIME\BANCO ESTADO\2012 DEPTO ESCRITURAS fata\NOTARIA 2009\CARLOS BUGUEÑÑ\2007\ACLARACION\HUGO CASTILLO (LIQ. SOC. CONYUGAL).doc", "Abrir Documento")</f>
        <v>0</v>
      </c>
      <c r="D13928" t="s">
        <v>23500</v>
      </c>
      <c r="E13928" t="s">
        <v>36403</v>
      </c>
    </row>
    <row r="13929" spans="1:5">
      <c r="A13929" t="s">
        <v>6</v>
      </c>
      <c r="B13929" t="s">
        <v>13934</v>
      </c>
      <c r="C13929">
        <f>HYPERLINK("C:\Users\franc\OneDrive\Documentos\MALENTIN KARIME\BANCO ESTADO\2012 DEPTO ESCRITURAS fata\NOTARIA 2009\CARLOS BUGUEÑÑ\2007\ACLARACION\GRIMALDINA AGUIRRE.doc", "Abrir Documento")</f>
        <v>0</v>
      </c>
      <c r="D13929" t="s">
        <v>23500</v>
      </c>
      <c r="E13929" t="s">
        <v>36404</v>
      </c>
    </row>
    <row r="13930" spans="1:5">
      <c r="A13930" t="s">
        <v>6</v>
      </c>
      <c r="B13930" t="s">
        <v>13935</v>
      </c>
      <c r="C13930">
        <f>HYPERLINK("C:\Users\franc\OneDrive\Documentos\MALENTIN KARIME\BANCO ESTADO\2012 DEPTO ESCRITURAS fata\NOTARIA 2009\CARLOS BUGUEÑÑ\2007\ACLARACION\Doc1.doc", "Abrir Documento")</f>
        <v>0</v>
      </c>
      <c r="D13930" t="s">
        <v>23500</v>
      </c>
      <c r="E13930" t="s">
        <v>36405</v>
      </c>
    </row>
    <row r="13931" spans="1:5">
      <c r="A13931" t="s">
        <v>6</v>
      </c>
      <c r="B13931" t="s">
        <v>13936</v>
      </c>
      <c r="C13931">
        <f>HYPERLINK("C:\Users\franc\OneDrive\Documentos\MALENTIN KARIME\BANCO ESTADO\2012 DEPTO ESCRITURAS fata\NOTARIA 2009\CARLOS BUGUEÑÑ\2007\YAMIL ALAMO CARTA INST..doc", "Abrir Documento")</f>
        <v>0</v>
      </c>
      <c r="D13931" t="s">
        <v>23500</v>
      </c>
      <c r="E13931" t="s">
        <v>36406</v>
      </c>
    </row>
    <row r="13932" spans="1:5">
      <c r="A13932" t="s">
        <v>6</v>
      </c>
      <c r="B13932" t="s">
        <v>13937</v>
      </c>
      <c r="C13932">
        <f>HYPERLINK("C:\Users\franc\OneDrive\Documentos\MALENTIN KARIME\BANCO ESTADO\2012 DEPTO ESCRITURAS fata\NOTARIA 2009\CARLOS BUGUEÑÑ\2007\YAMIL ALAMO A INMOB. LOS ALERCES (AGUAS).doc", "Abrir Documento")</f>
        <v>0</v>
      </c>
      <c r="D13932" t="s">
        <v>23500</v>
      </c>
      <c r="E13932" t="s">
        <v>36407</v>
      </c>
    </row>
    <row r="13933" spans="1:5">
      <c r="A13933" t="s">
        <v>6</v>
      </c>
      <c r="B13933" t="s">
        <v>13938</v>
      </c>
      <c r="C13933">
        <f>HYPERLINK("C:\Users\franc\OneDrive\Documentos\MALENTIN KARIME\BANCO ESTADO\2012 DEPTO ESCRITURAS fata\NOTARIA 2009\CARLOS BUGUEÑÑ\2007\VICTORIANO ACUÑA A AGRICOLA COPIAPO.doc", "Abrir Documento")</f>
        <v>0</v>
      </c>
      <c r="D13933" t="s">
        <v>23500</v>
      </c>
      <c r="E13933" t="s">
        <v>36408</v>
      </c>
    </row>
    <row r="13934" spans="1:5">
      <c r="A13934" t="s">
        <v>6</v>
      </c>
      <c r="B13934" t="s">
        <v>13939</v>
      </c>
      <c r="C13934">
        <f>HYPERLINK("C:\Users\franc\OneDrive\Documentos\MALENTIN KARIME\BANCO ESTADO\2012 DEPTO ESCRITURAS fata\NOTARIA 2009\CARLOS BUGUEÑÑ\2007\venta bienes muebles - telefonial INM. HOTELERA.doc", "Abrir Documento")</f>
        <v>0</v>
      </c>
      <c r="D13934" t="s">
        <v>23500</v>
      </c>
      <c r="E13934" t="s">
        <v>36409</v>
      </c>
    </row>
    <row r="13935" spans="1:5">
      <c r="A13935" t="s">
        <v>6</v>
      </c>
      <c r="B13935" t="s">
        <v>13940</v>
      </c>
      <c r="C13935">
        <f>HYPERLINK("C:\Users\franc\OneDrive\Documentos\MALENTIN KARIME\BANCO ESTADO\2012 DEPTO ESCRITURAS fata\NOTARIA 2009\CARLOS BUGUEÑÑ\2007\SOCIEDAD CARLOS BUGUEÑO (CESION).doc", "Abrir Documento")</f>
        <v>0</v>
      </c>
      <c r="D13935" t="s">
        <v>23500</v>
      </c>
      <c r="E13935" t="s">
        <v>36410</v>
      </c>
    </row>
    <row r="13936" spans="1:5">
      <c r="A13936" t="s">
        <v>6</v>
      </c>
      <c r="B13936" t="s">
        <v>13941</v>
      </c>
      <c r="C13936">
        <f>HYPERLINK("C:\Users\franc\OneDrive\Documentos\MALENTIN KARIME\BANCO ESTADO\2012 DEPTO ESCRITURAS fata\NOTARIA 2009\CARLOS BUGUEÑÑ\2007\SOC. MAL PASO = ISMELINDA MUÑOZ AGUAS.doc", "Abrir Documento")</f>
        <v>0</v>
      </c>
      <c r="D13936" t="s">
        <v>23500</v>
      </c>
      <c r="E13936" t="s">
        <v>36411</v>
      </c>
    </row>
    <row r="13937" spans="1:5">
      <c r="A13937" t="s">
        <v>6</v>
      </c>
      <c r="B13937" t="s">
        <v>13942</v>
      </c>
      <c r="C13937">
        <f>HYPERLINK("C:\Users\franc\OneDrive\Documentos\MALENTIN KARIME\BANCO ESTADO\2012 DEPTO ESCRITURAS fata\NOTARIA 2009\CARLOS BUGUEÑÑ\2007\SOC. FRESSO.doc", "Abrir Documento")</f>
        <v>0</v>
      </c>
      <c r="D13937" t="s">
        <v>23500</v>
      </c>
      <c r="E13937" t="s">
        <v>36412</v>
      </c>
    </row>
    <row r="13938" spans="1:5">
      <c r="A13938" t="s">
        <v>6</v>
      </c>
      <c r="B13938" t="s">
        <v>13943</v>
      </c>
      <c r="C13938">
        <f>HYPERLINK("C:\Users\franc\OneDrive\Documentos\MALENTIN KARIME\BANCO ESTADO\2012 DEPTO ESCRITURAS fata\NOTARIA 2009\CARLOS BUGUEÑÑ\2007\servidumbres febrero cyntia 2007.doc", "Abrir Documento")</f>
        <v>0</v>
      </c>
      <c r="D13938" t="s">
        <v>23500</v>
      </c>
      <c r="E13938" t="s">
        <v>36413</v>
      </c>
    </row>
    <row r="13939" spans="1:5">
      <c r="A13939" t="s">
        <v>6</v>
      </c>
      <c r="B13939" t="s">
        <v>13944</v>
      </c>
      <c r="C13939">
        <f>HYPERLINK("C:\Users\franc\OneDrive\Documentos\MALENTIN KARIME\BANCO ESTADO\2012 DEPTO ESCRITURAS fata\NOTARIA 2009\CARLOS BUGUEÑÑ\2007\SERPROAGRO A ALIRO PINTO (CTA. CTE).doc", "Abrir Documento")</f>
        <v>0</v>
      </c>
      <c r="D13939" t="s">
        <v>23500</v>
      </c>
      <c r="E13939" t="s">
        <v>36414</v>
      </c>
    </row>
    <row r="13940" spans="1:5">
      <c r="A13940" t="s">
        <v>6</v>
      </c>
      <c r="B13940" t="s">
        <v>13945</v>
      </c>
      <c r="C13940">
        <f>HYPERLINK("C:\Users\franc\OneDrive\Documentos\MALENTIN KARIME\BANCO ESTADO\2012 DEPTO ESCRITURAS fata\NOTARIA 2009\CARLOS BUGUEÑÑ\2007\SAMUEL ROJO - DELEGACION.doc", "Abrir Documento")</f>
        <v>0</v>
      </c>
      <c r="D13940" t="s">
        <v>23500</v>
      </c>
      <c r="E13940" t="s">
        <v>36415</v>
      </c>
    </row>
    <row r="13941" spans="1:5">
      <c r="A13941" t="s">
        <v>6</v>
      </c>
      <c r="B13941" t="s">
        <v>13946</v>
      </c>
      <c r="C13941">
        <f>HYPERLINK("C:\Users\franc\OneDrive\Documentos\MALENTIN KARIME\BANCO ESTADO\2012 DEPTO ESCRITURAS fata\NOTARIA 2009\CARLOS BUGUEÑÑ\2007\renta vitalicia - lucia donoso.doc", "Abrir Documento")</f>
        <v>0</v>
      </c>
      <c r="D13941" t="s">
        <v>23500</v>
      </c>
      <c r="E13941" t="s">
        <v>36416</v>
      </c>
    </row>
    <row r="13942" spans="1:5">
      <c r="A13942" t="s">
        <v>6</v>
      </c>
      <c r="B13942" t="s">
        <v>13947</v>
      </c>
      <c r="C13942">
        <f>HYPERLINK("C:\Users\franc\OneDrive\Documentos\MALENTIN KARIME\BANCO ESTADO\2012 DEPTO ESCRITURAS fata\NOTARIA 2009\CARLOS BUGUEÑÑ\2007\PROTOCOLIZACION SOC..doc", "Abrir Documento")</f>
        <v>0</v>
      </c>
      <c r="D13942" t="s">
        <v>23500</v>
      </c>
      <c r="E13942" t="s">
        <v>36417</v>
      </c>
    </row>
    <row r="13943" spans="1:5">
      <c r="A13943" t="s">
        <v>6</v>
      </c>
      <c r="B13943" t="s">
        <v>13948</v>
      </c>
      <c r="C13943">
        <f>HYPERLINK("C:\Users\franc\OneDrive\Documentos\MALENTIN KARIME\BANCO ESTADO\2012 DEPTO ESCRITURAS fata\NOTARIA 2009\CARLOS BUGUEÑÑ\2007\PROMESA TUQUI CON POLARIS.doc", "Abrir Documento")</f>
        <v>0</v>
      </c>
      <c r="D13943" t="s">
        <v>23500</v>
      </c>
      <c r="E13943" t="s">
        <v>36418</v>
      </c>
    </row>
    <row r="13944" spans="1:5">
      <c r="A13944" t="s">
        <v>6</v>
      </c>
      <c r="B13944" t="s">
        <v>13949</v>
      </c>
      <c r="C13944">
        <f>HYPERLINK("C:\Users\franc\OneDrive\Documentos\MALENTIN KARIME\BANCO ESTADO\2012 DEPTO ESCRITURAS fata\NOTARIA 2009\CARLOS BUGUEÑÑ\2007\PATRICIO GONZALEZ RATIFICA.doc", "Abrir Documento")</f>
        <v>0</v>
      </c>
      <c r="D13944" t="s">
        <v>23500</v>
      </c>
      <c r="E13944" t="s">
        <v>36419</v>
      </c>
    </row>
    <row r="13945" spans="1:5">
      <c r="A13945" t="s">
        <v>6</v>
      </c>
      <c r="B13945" t="s">
        <v>13950</v>
      </c>
      <c r="C13945">
        <f>HYPERLINK("C:\Users\franc\OneDrive\Documentos\MALENTIN KARIME\BANCO ESTADO\2012 DEPTO ESCRITURAS fata\NOTARIA 2009\CARLOS BUGUEÑÑ\2007\PATRICIA CARMI A HILDEGARD MUNSKI.doc", "Abrir Documento")</f>
        <v>0</v>
      </c>
      <c r="D13945" t="s">
        <v>23500</v>
      </c>
      <c r="E13945" t="s">
        <v>36420</v>
      </c>
    </row>
    <row r="13946" spans="1:5">
      <c r="A13946" t="s">
        <v>6</v>
      </c>
      <c r="B13946" t="s">
        <v>13951</v>
      </c>
      <c r="C13946">
        <f>HYPERLINK("C:\Users\franc\OneDrive\Documentos\MALENTIN KARIME\BANCO ESTADO\2012 DEPTO ESCRITURAS fata\NOTARIA 2009\CARLOS BUGUEÑÑ\2007\PARTICION FEISSE.doc", "Abrir Documento")</f>
        <v>0</v>
      </c>
      <c r="D13946" t="s">
        <v>23500</v>
      </c>
      <c r="E13946" t="s">
        <v>36421</v>
      </c>
    </row>
    <row r="13947" spans="1:5">
      <c r="A13947" t="s">
        <v>6</v>
      </c>
      <c r="B13947" t="s">
        <v>13952</v>
      </c>
      <c r="C13947">
        <f>HYPERLINK("C:\Users\franc\OneDrive\Documentos\MALENTIN KARIME\BANCO ESTADO\2012 DEPTO ESCRITURAS fata\NOTARIA 2009\CARLOS BUGUEÑÑ\2007\ORLANDO DALBOSCO A BERNARDO ARAYA.doc", "Abrir Documento")</f>
        <v>0</v>
      </c>
      <c r="D13947" t="s">
        <v>23500</v>
      </c>
      <c r="E13947" t="s">
        <v>36422</v>
      </c>
    </row>
    <row r="13948" spans="1:5">
      <c r="A13948" t="s">
        <v>6</v>
      </c>
      <c r="B13948" t="s">
        <v>13953</v>
      </c>
      <c r="C13948">
        <f>HYPERLINK("C:\Users\franc\OneDrive\Documentos\MALENTIN KARIME\BANCO ESTADO\2012 DEPTO ESCRITURAS fata\NOTARIA 2009\CARLOS BUGUEÑÑ\2007\ORLANDO DALBOSCO A BERNARDO ARAYA (PROMESA).doc", "Abrir Documento")</f>
        <v>0</v>
      </c>
      <c r="D13948" t="s">
        <v>23500</v>
      </c>
      <c r="E13948" t="s">
        <v>36423</v>
      </c>
    </row>
    <row r="13949" spans="1:5">
      <c r="A13949" t="s">
        <v>6</v>
      </c>
      <c r="B13949" t="s">
        <v>13954</v>
      </c>
      <c r="C13949">
        <f>HYPERLINK("C:\Users\franc\OneDrive\Documentos\MALENTIN KARIME\BANCO ESTADO\2012 DEPTO ESCRITURAS fata\NOTARIA 2009\CARLOS BUGUEÑÑ\2007\MUTUO ALIRO PINTO A SERV..doc", "Abrir Documento")</f>
        <v>0</v>
      </c>
      <c r="D13949" t="s">
        <v>23500</v>
      </c>
      <c r="E13949" t="s">
        <v>36424</v>
      </c>
    </row>
    <row r="13950" spans="1:5">
      <c r="A13950" t="s">
        <v>6</v>
      </c>
      <c r="B13950" t="s">
        <v>13955</v>
      </c>
      <c r="C13950">
        <f>HYPERLINK("C:\Users\franc\OneDrive\Documentos\MALENTIN KARIME\BANCO ESTADO\2012 DEPTO ESCRITURAS fata\NOTARIA 2009\CARLOS BUGUEÑÑ\2007\MODIFICA SOC. MARTINAC.doc", "Abrir Documento")</f>
        <v>0</v>
      </c>
      <c r="D13950" t="s">
        <v>23500</v>
      </c>
      <c r="E13950" t="s">
        <v>36425</v>
      </c>
    </row>
    <row r="13951" spans="1:5">
      <c r="A13951" t="s">
        <v>6</v>
      </c>
      <c r="B13951" t="s">
        <v>13956</v>
      </c>
      <c r="C13951">
        <f>HYPERLINK("C:\Users\franc\OneDrive\Documentos\MALENTIN KARIME\BANCO ESTADO\2012 DEPTO ESCRITURAS fata\NOTARIA 2009\CARLOS BUGUEÑÑ\2007\MARIA ZEPEDA Y OTROS A SAN CLEMENTE.doc", "Abrir Documento")</f>
        <v>0</v>
      </c>
      <c r="D13951" t="s">
        <v>23500</v>
      </c>
      <c r="E13951" t="s">
        <v>36426</v>
      </c>
    </row>
    <row r="13952" spans="1:5">
      <c r="A13952" t="s">
        <v>6</v>
      </c>
      <c r="B13952" t="s">
        <v>13957</v>
      </c>
      <c r="C13952">
        <f>HYPERLINK("C:\Users\franc\OneDrive\Documentos\MALENTIN KARIME\BANCO ESTADO\2012 DEPTO ESCRITURAS fata\NOTARIA 2009\CARLOS BUGUEÑÑ\2007\LUS GUERRA.doc", "Abrir Documento")</f>
        <v>0</v>
      </c>
      <c r="D13952" t="s">
        <v>23500</v>
      </c>
      <c r="E13952" t="s">
        <v>36427</v>
      </c>
    </row>
    <row r="13953" spans="1:5">
      <c r="A13953" t="s">
        <v>6</v>
      </c>
      <c r="B13953" t="s">
        <v>13958</v>
      </c>
      <c r="C13953">
        <f>HYPERLINK("C:\Users\franc\OneDrive\Documentos\MALENTIN KARIME\BANCO ESTADO\2012 DEPTO ESCRITURAS fata\NOTARIA 2009\CARLOS BUGUEÑÑ\2007\LUIS PICERO Y OTRA A SOC. BOZO Y SANDOVAL.doc", "Abrir Documento")</f>
        <v>0</v>
      </c>
      <c r="D13953" t="s">
        <v>23500</v>
      </c>
      <c r="E13953" t="s">
        <v>36428</v>
      </c>
    </row>
    <row r="13954" spans="1:5">
      <c r="A13954" t="s">
        <v>6</v>
      </c>
      <c r="B13954" t="s">
        <v>13959</v>
      </c>
      <c r="C13954">
        <f>HYPERLINK("C:\Users\franc\OneDrive\Documentos\MALENTIN KARIME\BANCO ESTADO\2012 DEPTO ESCRITURAS fata\NOTARIA 2009\CARLOS BUGUEÑÑ\2007\LUCIA DONOSO A VERONICA JULIA (CESION).doc", "Abrir Documento")</f>
        <v>0</v>
      </c>
      <c r="D13954" t="s">
        <v>23500</v>
      </c>
      <c r="E13954" t="s">
        <v>36429</v>
      </c>
    </row>
    <row r="13955" spans="1:5">
      <c r="A13955" t="s">
        <v>6</v>
      </c>
      <c r="B13955" t="s">
        <v>13960</v>
      </c>
      <c r="C13955">
        <f>HYPERLINK("C:\Users\franc\OneDrive\Documentos\MALENTIN KARIME\BANCO ESTADO\2012 DEPTO ESCRITURAS fata\NOTARIA 2009\CARLOS BUGUEÑÑ\2007\LINA HOFTER (MANDATO).doc", "Abrir Documento")</f>
        <v>0</v>
      </c>
      <c r="D13955" t="s">
        <v>23500</v>
      </c>
      <c r="E13955" t="s">
        <v>36430</v>
      </c>
    </row>
    <row r="13956" spans="1:5">
      <c r="A13956" t="s">
        <v>6</v>
      </c>
      <c r="B13956" t="s">
        <v>13961</v>
      </c>
      <c r="C13956">
        <f>HYPERLINK("C:\Users\franc\OneDrive\Documentos\MALENTIN KARIME\BANCO ESTADO\2012 DEPTO ESCRITURAS fata\NOTARIA 2009\CARLOS BUGUEÑÑ\2007\LILIANA ALFARO A FRANCISCO PINTO CVI.doc", "Abrir Documento")</f>
        <v>0</v>
      </c>
      <c r="D13956" t="s">
        <v>23500</v>
      </c>
      <c r="E13956" t="s">
        <v>36431</v>
      </c>
    </row>
    <row r="13957" spans="1:5">
      <c r="A13957" t="s">
        <v>6</v>
      </c>
      <c r="B13957" t="s">
        <v>13962</v>
      </c>
      <c r="C13957">
        <f>HYPERLINK("C:\Users\franc\OneDrive\Documentos\MALENTIN KARIME\BANCO ESTADO\2012 DEPTO ESCRITURAS fata\NOTARIA 2009\CARLOS BUGUEÑÑ\2007\LIDIA ROJAS (ACLARA).doc", "Abrir Documento")</f>
        <v>0</v>
      </c>
      <c r="D13957" t="s">
        <v>23500</v>
      </c>
      <c r="E13957" t="s">
        <v>36432</v>
      </c>
    </row>
    <row r="13958" spans="1:5">
      <c r="A13958" t="s">
        <v>6</v>
      </c>
      <c r="B13958" t="s">
        <v>13963</v>
      </c>
      <c r="C13958">
        <f>HYPERLINK("C:\Users\franc\OneDrive\Documentos\MALENTIN KARIME\BANCO ESTADO\2012 DEPTO ESCRITURAS fata\NOTARIA 2009\CARLOS BUGUEÑÑ\2007\JUAN PLAZA A AGRICOLA MAL PASO (CV. AGUAS).doc", "Abrir Documento")</f>
        <v>0</v>
      </c>
      <c r="D13958" t="s">
        <v>23500</v>
      </c>
      <c r="E13958" t="s">
        <v>36433</v>
      </c>
    </row>
    <row r="13959" spans="1:5">
      <c r="A13959" t="s">
        <v>6</v>
      </c>
      <c r="B13959" t="s">
        <v>13964</v>
      </c>
      <c r="C13959">
        <f>HYPERLINK("C:\Users\franc\OneDrive\Documentos\MALENTIN KARIME\BANCO ESTADO\2012 DEPTO ESCRITURAS fata\NOTARIA 2009\CARLOS BUGUEÑÑ\2007\JUAN GONZALEZ Y OTRA A SAN CLEMENTE.doc", "Abrir Documento")</f>
        <v>0</v>
      </c>
      <c r="D13959" t="s">
        <v>23500</v>
      </c>
      <c r="E13959" t="s">
        <v>36434</v>
      </c>
    </row>
    <row r="13960" spans="1:5">
      <c r="A13960" t="s">
        <v>6</v>
      </c>
      <c r="B13960" t="s">
        <v>13965</v>
      </c>
      <c r="C13960">
        <f>HYPERLINK("C:\Users\franc\OneDrive\Documentos\MALENTIN KARIME\BANCO ESTADO\2012 DEPTO ESCRITURAS fata\NOTARIA 2009\CARLOS BUGUEÑÑ\2007\JUAN FRANCISCO INOSTROZA.doc", "Abrir Documento")</f>
        <v>0</v>
      </c>
      <c r="D13960" t="s">
        <v>23500</v>
      </c>
      <c r="E13960" t="s">
        <v>36435</v>
      </c>
    </row>
    <row r="13961" spans="1:5">
      <c r="A13961" t="s">
        <v>6</v>
      </c>
      <c r="B13961" t="s">
        <v>13966</v>
      </c>
      <c r="C13961">
        <f>HYPERLINK("C:\Users\franc\OneDrive\Documentos\MALENTIN KARIME\BANCO ESTADO\2012 DEPTO ESCRITURAS fata\NOTARIA 2009\CARLOS BUGUEÑÑ\2007\JUAN FARR A FRUTICOLA RIO COPIAPO.doc", "Abrir Documento")</f>
        <v>0</v>
      </c>
      <c r="D13961" t="s">
        <v>23500</v>
      </c>
      <c r="E13961" t="s">
        <v>36436</v>
      </c>
    </row>
    <row r="13962" spans="1:5">
      <c r="A13962" t="s">
        <v>6</v>
      </c>
      <c r="B13962" t="s">
        <v>13967</v>
      </c>
      <c r="C13962">
        <f>HYPERLINK("C:\Users\franc\OneDrive\Documentos\MALENTIN KARIME\BANCO ESTADO\2012 DEPTO ESCRITURAS fata\NOTARIA 2009\CARLOS BUGUEÑÑ\2007\JUAN FARR A FRUTICOLA COPIAPO.doc", "Abrir Documento")</f>
        <v>0</v>
      </c>
      <c r="D13962" t="s">
        <v>23500</v>
      </c>
      <c r="E13962" t="s">
        <v>36437</v>
      </c>
    </row>
    <row r="13963" spans="1:5">
      <c r="A13963" t="s">
        <v>6</v>
      </c>
      <c r="B13963" t="s">
        <v>13968</v>
      </c>
      <c r="C13963">
        <f>HYPERLINK("C:\Users\franc\OneDrive\Documentos\MALENTIN KARIME\BANCO ESTADO\2012 DEPTO ESCRITURAS fata\NOTARIA 2009\CARLOS BUGUEÑÑ\2007\JUAN FARR A AGRICOLA COPIAPO.doc", "Abrir Documento")</f>
        <v>0</v>
      </c>
      <c r="D13963" t="s">
        <v>23500</v>
      </c>
      <c r="E13963" t="s">
        <v>36438</v>
      </c>
    </row>
    <row r="13964" spans="1:5">
      <c r="A13964" t="s">
        <v>6</v>
      </c>
      <c r="B13964" t="s">
        <v>13969</v>
      </c>
      <c r="C13964">
        <f>HYPERLINK("C:\Users\franc\OneDrive\Documentos\MALENTIN KARIME\BANCO ESTADO\2012 DEPTO ESCRITURAS fata\NOTARIA 2009\CARLOS BUGUEÑÑ\2007\JOSE MALUENDA Y ANA CARDENAS LIQ. SOC CONY.doc", "Abrir Documento")</f>
        <v>0</v>
      </c>
      <c r="D13964" t="s">
        <v>23500</v>
      </c>
      <c r="E13964" t="s">
        <v>36439</v>
      </c>
    </row>
    <row r="13965" spans="1:5">
      <c r="A13965" t="s">
        <v>6</v>
      </c>
      <c r="B13965" t="s">
        <v>13970</v>
      </c>
      <c r="C13965">
        <f>HYPERLINK("C:\Users\franc\OneDrive\Documentos\MALENTIN KARIME\BANCO ESTADO\2012 DEPTO ESCRITURAS fata\NOTARIA 2009\CARLOS BUGUEÑÑ\2007\ivan martinac - modifi soc octubre 2007 - extracto.doc", "Abrir Documento")</f>
        <v>0</v>
      </c>
      <c r="D13965" t="s">
        <v>23500</v>
      </c>
      <c r="E13965" t="s">
        <v>36440</v>
      </c>
    </row>
    <row r="13966" spans="1:5">
      <c r="A13966" t="s">
        <v>6</v>
      </c>
      <c r="B13966" t="s">
        <v>13971</v>
      </c>
      <c r="C13966">
        <f>HYPERLINK("C:\Users\franc\OneDrive\Documentos\MALENTIN KARIME\BANCO ESTADO\2012 DEPTO ESCRITURAS fata\NOTARIA 2009\CARLOS BUGUEÑÑ\2007\INVERSIONES MARTINAC (MODIFICACION).doc", "Abrir Documento")</f>
        <v>0</v>
      </c>
      <c r="D13966" t="s">
        <v>23500</v>
      </c>
      <c r="E13966" t="s">
        <v>36441</v>
      </c>
    </row>
    <row r="13967" spans="1:5">
      <c r="A13967" t="s">
        <v>6</v>
      </c>
      <c r="B13967" t="s">
        <v>13972</v>
      </c>
      <c r="C13967">
        <f>HYPERLINK("C:\Users\franc\OneDrive\Documentos\MALENTIN KARIME\BANCO ESTADO\2012 DEPTO ESCRITURAS fata\NOTARIA 2009\CARLOS BUGUEÑÑ\2007\invegon modif julio 2007 - extracto.doc", "Abrir Documento")</f>
        <v>0</v>
      </c>
      <c r="D13967" t="s">
        <v>23500</v>
      </c>
      <c r="E13967" t="s">
        <v>36442</v>
      </c>
    </row>
    <row r="13968" spans="1:5">
      <c r="A13968" t="s">
        <v>6</v>
      </c>
      <c r="B13968" t="s">
        <v>13973</v>
      </c>
      <c r="C13968">
        <f>HYPERLINK("C:\Users\franc\OneDrive\Documentos\MALENTIN KARIME\BANCO ESTADO\2012 DEPTO ESCRITURAS fata\NOTARIA 2009\CARLOS BUGUEÑÑ\2007\INVEGON MODIF (AGOSTO 2007).doc", "Abrir Documento")</f>
        <v>0</v>
      </c>
      <c r="D13968" t="s">
        <v>23500</v>
      </c>
      <c r="E13968" t="s">
        <v>36443</v>
      </c>
    </row>
    <row r="13969" spans="1:5">
      <c r="A13969" t="s">
        <v>6</v>
      </c>
      <c r="B13969" t="s">
        <v>13974</v>
      </c>
      <c r="C13969">
        <f>HYPERLINK("C:\Users\franc\OneDrive\Documentos\MALENTIN KARIME\BANCO ESTADO\2012 DEPTO ESCRITURAS fata\NOTARIA 2009\CARLOS BUGUEÑÑ\2007\INV. STA BARBARA Certif. 153.doc", "Abrir Documento")</f>
        <v>0</v>
      </c>
      <c r="D13969" t="s">
        <v>23500</v>
      </c>
      <c r="E13969" t="s">
        <v>36444</v>
      </c>
    </row>
    <row r="13970" spans="1:5">
      <c r="A13970" t="s">
        <v>6</v>
      </c>
      <c r="B13970" t="s">
        <v>13975</v>
      </c>
      <c r="C13970">
        <f>HYPERLINK("C:\Users\franc\OneDrive\Documentos\MALENTIN KARIME\BANCO ESTADO\2012 DEPTO ESCRITURAS fata\NOTARIA 2009\CARLOS BUGUEÑÑ\2007\INMOBILIARIA CRUZ COLORADA A CRISTIAN ROBLES (CVI).doc", "Abrir Documento")</f>
        <v>0</v>
      </c>
      <c r="D13970" t="s">
        <v>23500</v>
      </c>
      <c r="E13970" t="s">
        <v>36445</v>
      </c>
    </row>
    <row r="13971" spans="1:5">
      <c r="A13971" t="s">
        <v>6</v>
      </c>
      <c r="B13971" t="s">
        <v>13976</v>
      </c>
      <c r="C13971">
        <f>HYPERLINK("C:\Users\franc\OneDrive\Documentos\MALENTIN KARIME\BANCO ESTADO\2012 DEPTO ESCRITURAS fata\NOTARIA 2009\CARLOS BUGUEÑÑ\2007\INMBO. CRUZ COLORADA A CRISTIAN ROBLES (COMPROMISO).doc", "Abrir Documento")</f>
        <v>0</v>
      </c>
      <c r="D13971" t="s">
        <v>23500</v>
      </c>
      <c r="E13971" t="s">
        <v>36446</v>
      </c>
    </row>
    <row r="13972" spans="1:5">
      <c r="A13972" t="s">
        <v>6</v>
      </c>
      <c r="B13972" t="s">
        <v>13977</v>
      </c>
      <c r="C13972">
        <f>HYPERLINK("C:\Users\franc\OneDrive\Documentos\MALENTIN KARIME\BANCO ESTADO\2012 DEPTO ESCRITURAS fata\NOTARIA 2009\CARLOS BUGUEÑÑ\2007\HUGO JOFRE A COM. OHIGGINS.doc", "Abrir Documento")</f>
        <v>0</v>
      </c>
      <c r="D13972" t="s">
        <v>23500</v>
      </c>
      <c r="E13972" t="s">
        <v>36447</v>
      </c>
    </row>
    <row r="13973" spans="1:5">
      <c r="A13973" t="s">
        <v>6</v>
      </c>
      <c r="B13973" t="s">
        <v>13978</v>
      </c>
      <c r="C13973">
        <f>HYPERLINK("C:\Users\franc\OneDrive\Documentos\MALENTIN KARIME\BANCO ESTADO\2012 DEPTO ESCRITURAS fata\NOTARIA 2009\CARLOS BUGUEÑÑ\2007\HILDERGARD CUBILLOS A ESMERALDO VALDIVIA.doc", "Abrir Documento")</f>
        <v>0</v>
      </c>
      <c r="D13973" t="s">
        <v>23500</v>
      </c>
      <c r="E13973" t="s">
        <v>36448</v>
      </c>
    </row>
    <row r="13974" spans="1:5">
      <c r="A13974" t="s">
        <v>6</v>
      </c>
      <c r="B13974" t="s">
        <v>13979</v>
      </c>
      <c r="C13974">
        <f>HYPERLINK("C:\Users\franc\OneDrive\Documentos\MALENTIN KARIME\BANCO ESTADO\2012 DEPTO ESCRITURAS fata\NOTARIA 2009\CARLOS BUGUEÑÑ\2007\GONART MODIFICA. (AGOSTO 2007).doc", "Abrir Documento")</f>
        <v>0</v>
      </c>
      <c r="D13974" t="s">
        <v>23500</v>
      </c>
      <c r="E13974" t="s">
        <v>36449</v>
      </c>
    </row>
    <row r="13975" spans="1:5">
      <c r="A13975" t="s">
        <v>6</v>
      </c>
      <c r="B13975" t="s">
        <v>13980</v>
      </c>
      <c r="C13975">
        <f>HYPERLINK("C:\Users\franc\OneDrive\Documentos\MALENTIN KARIME\BANCO ESTADO\2012 DEPTO ESCRITURAS fata\NOTARIA 2009\CARLOS BUGUEÑÑ\2007\gonart modif julio 2007 - extracto.doc", "Abrir Documento")</f>
        <v>0</v>
      </c>
      <c r="D13975" t="s">
        <v>23500</v>
      </c>
      <c r="E13975" t="s">
        <v>36450</v>
      </c>
    </row>
    <row r="13976" spans="1:5">
      <c r="A13976" t="s">
        <v>6</v>
      </c>
      <c r="B13976" t="s">
        <v>13981</v>
      </c>
      <c r="C13976">
        <f>HYPERLINK("C:\Users\franc\OneDrive\Documentos\MALENTIN KARIME\BANCO ESTADO\2012 DEPTO ESCRITURAS fata\NOTARIA 2009\CARLOS BUGUEÑÑ\2007\ESTEBAN ZEPEDA.doc", "Abrir Documento")</f>
        <v>0</v>
      </c>
      <c r="D13976" t="s">
        <v>23500</v>
      </c>
      <c r="E13976" t="s">
        <v>36451</v>
      </c>
    </row>
    <row r="13977" spans="1:5">
      <c r="A13977" t="s">
        <v>6</v>
      </c>
      <c r="B13977" t="s">
        <v>13982</v>
      </c>
      <c r="C13977">
        <f>HYPERLINK("C:\Users\franc\OneDrive\Documentos\MALENTIN KARIME\BANCO ESTADO\2012 DEPTO ESCRITURAS fata\NOTARIA 2009\CARLOS BUGUEÑÑ\2007\CUPERTINO RODRIGUEZ A IRMA ARAYA PASTEN.doc", "Abrir Documento")</f>
        <v>0</v>
      </c>
      <c r="D13977" t="s">
        <v>23500</v>
      </c>
      <c r="E13977" t="s">
        <v>36452</v>
      </c>
    </row>
    <row r="13978" spans="1:5">
      <c r="A13978" t="s">
        <v>6</v>
      </c>
      <c r="B13978" t="s">
        <v>13983</v>
      </c>
      <c r="C13978">
        <f>HYPERLINK("C:\Users\franc\OneDrive\Documentos\MALENTIN KARIME\BANCO ESTADO\2012 DEPTO ESCRITURAS fata\NOTARIA 2009\CARLOS BUGUEÑÑ\2007\contrato cta cte - inmob - serproagro.doc", "Abrir Documento")</f>
        <v>0</v>
      </c>
      <c r="D13978" t="s">
        <v>23500</v>
      </c>
      <c r="E13978" t="s">
        <v>36453</v>
      </c>
    </row>
    <row r="13979" spans="1:5">
      <c r="A13979" t="s">
        <v>6</v>
      </c>
      <c r="B13979" t="s">
        <v>13984</v>
      </c>
      <c r="C13979">
        <f>HYPERLINK("C:\Users\franc\OneDrive\Documentos\MALENTIN KARIME\BANCO ESTADO\2012 DEPTO ESCRITURAS fata\NOTARIA 2009\CARLOS BUGUEÑÑ\2007\contrato cta cte - inmob - agricola.doc", "Abrir Documento")</f>
        <v>0</v>
      </c>
      <c r="D13979" t="s">
        <v>23500</v>
      </c>
      <c r="E13979" t="s">
        <v>36454</v>
      </c>
    </row>
    <row r="13980" spans="1:5">
      <c r="A13980" t="s">
        <v>6</v>
      </c>
      <c r="B13980" t="s">
        <v>13985</v>
      </c>
      <c r="C13980">
        <f>HYPERLINK("C:\Users\franc\OneDrive\Documentos\MALENTIN KARIME\BANCO ESTADO\2012 DEPTO ESCRITURAS fata\NOTARIA 2009\CARLOS BUGUEÑÑ\2007\contrato cta cte - agricola - serproagro.doc", "Abrir Documento")</f>
        <v>0</v>
      </c>
      <c r="D13980" t="s">
        <v>23500</v>
      </c>
      <c r="E13980" t="s">
        <v>36455</v>
      </c>
    </row>
    <row r="13981" spans="1:5">
      <c r="A13981" t="s">
        <v>6</v>
      </c>
      <c r="B13981" t="s">
        <v>13986</v>
      </c>
      <c r="C13981">
        <f>HYPERLINK("C:\Users\franc\OneDrive\Documentos\MALENTIN KARIME\BANCO ESTADO\2012 DEPTO ESCRITURAS fata\NOTARIA 2009\CARLOS BUGUEÑÑ\2007\COMUNIDAD MIALQUI A LIDIA ROJAS (ACLARA).doc", "Abrir Documento")</f>
        <v>0</v>
      </c>
      <c r="D13981" t="s">
        <v>23500</v>
      </c>
      <c r="E13981" t="s">
        <v>36456</v>
      </c>
    </row>
    <row r="13982" spans="1:5">
      <c r="A13982" t="s">
        <v>6</v>
      </c>
      <c r="B13982" t="s">
        <v>13987</v>
      </c>
      <c r="C13982">
        <f>HYPERLINK("C:\Users\franc\OneDrive\Documentos\MALENTIN KARIME\BANCO ESTADO\2012 DEPTO ESCRITURAS fata\NOTARIA 2009\CARLOS BUGUEÑÑ\2007\COMUNIDAD HUATULAME A PEDRO CORTES ROBLES.doc", "Abrir Documento")</f>
        <v>0</v>
      </c>
      <c r="D13982" t="s">
        <v>23500</v>
      </c>
      <c r="E13982" t="s">
        <v>36457</v>
      </c>
    </row>
    <row r="13983" spans="1:5">
      <c r="A13983" t="s">
        <v>6</v>
      </c>
      <c r="B13983" t="s">
        <v>13988</v>
      </c>
      <c r="C13983">
        <f>HYPERLINK("C:\Users\franc\OneDrive\Documentos\MALENTIN KARIME\BANCO ESTADO\2012 DEPTO ESCRITURAS fata\NOTARIA 2009\CARLOS BUGUEÑÑ\2007\COMUNIDAD DE AGUAS CHAÑARAL CAREN (Poder).doc", "Abrir Documento")</f>
        <v>0</v>
      </c>
      <c r="D13983" t="s">
        <v>23500</v>
      </c>
      <c r="E13983" t="s">
        <v>36458</v>
      </c>
    </row>
    <row r="13984" spans="1:5">
      <c r="A13984" t="s">
        <v>6</v>
      </c>
      <c r="B13984" t="s">
        <v>13989</v>
      </c>
      <c r="C13984">
        <f>HYPERLINK("C:\Users\franc\OneDrive\Documentos\MALENTIN KARIME\BANCO ESTADO\2012 DEPTO ESCRITURAS fata\NOTARIA 2009\CARLOS BUGUEÑÑ\2007\COMER. FARMA. PRAD (EXTRACTO).doc", "Abrir Documento")</f>
        <v>0</v>
      </c>
      <c r="D13984" t="s">
        <v>23500</v>
      </c>
      <c r="E13984" t="s">
        <v>36459</v>
      </c>
    </row>
    <row r="13985" spans="1:5">
      <c r="A13985" t="s">
        <v>6</v>
      </c>
      <c r="B13985" t="s">
        <v>13990</v>
      </c>
      <c r="C13985">
        <f>HYPERLINK("C:\Users\franc\OneDrive\Documentos\MALENTIN KARIME\BANCO ESTADO\2012 DEPTO ESCRITURAS fata\NOTARIA 2009\CARLOS BUGUEÑÑ\2007\COM. FARMA. PRAD  (SANEAMIENTO).doc", "Abrir Documento")</f>
        <v>0</v>
      </c>
      <c r="D13985" t="s">
        <v>23500</v>
      </c>
      <c r="E13985" t="s">
        <v>36460</v>
      </c>
    </row>
    <row r="13986" spans="1:5">
      <c r="A13986" t="s">
        <v>6</v>
      </c>
      <c r="B13986" t="s">
        <v>13991</v>
      </c>
      <c r="C13986">
        <f>HYPERLINK("C:\Users\franc\OneDrive\Documentos\MALENTIN KARIME\BANCO ESTADO\2012 DEPTO ESCRITURAS fata\NOTARIA 2009\CARLOS BUGUEÑÑ\2007\arriendo - local.doc", "Abrir Documento")</f>
        <v>0</v>
      </c>
      <c r="D13986" t="s">
        <v>23500</v>
      </c>
      <c r="E13986" t="s">
        <v>36461</v>
      </c>
    </row>
    <row r="13987" spans="1:5">
      <c r="A13987" t="s">
        <v>6</v>
      </c>
      <c r="B13987" t="s">
        <v>13992</v>
      </c>
      <c r="C13987">
        <f>HYPERLINK("C:\Users\franc\OneDrive\Documentos\MALENTIN KARIME\BANCO ESTADO\2012 DEPTO ESCRITURAS fata\NOTARIA 2009\CARLOS BUGUEÑÑ\2007\ARNOLDO VALDIVIA A LUCIA JULIA DONOSO (AGUAS).doc", "Abrir Documento")</f>
        <v>0</v>
      </c>
      <c r="D13987" t="s">
        <v>23500</v>
      </c>
      <c r="E13987" t="s">
        <v>36462</v>
      </c>
    </row>
    <row r="13988" spans="1:5">
      <c r="A13988" t="s">
        <v>6</v>
      </c>
      <c r="B13988" t="s">
        <v>13993</v>
      </c>
      <c r="C13988">
        <f>HYPERLINK("C:\Users\franc\OneDrive\Documentos\MALENTIN KARIME\BANCO ESTADO\2012 DEPTO ESCRITURAS fata\NOTARIA 2009\CARLOS BUGUEÑÑ\2007\ALIRO PINTO (PODER AGOSTO ).doc", "Abrir Documento")</f>
        <v>0</v>
      </c>
      <c r="D13988" t="s">
        <v>23500</v>
      </c>
      <c r="E13988" t="s">
        <v>36463</v>
      </c>
    </row>
    <row r="13989" spans="1:5">
      <c r="A13989" t="s">
        <v>6</v>
      </c>
      <c r="B13989" t="s">
        <v>13994</v>
      </c>
      <c r="C13989">
        <f>HYPERLINK("C:\Users\franc\OneDrive\Documentos\MALENTIN KARIME\BANCO ESTADO\2012 DEPTO ESCRITURAS fata\NOTARIA 2009\CARLOS BUGUEÑÑ\2007\AGROT. PINEDA (REC. DEUDA).doc", "Abrir Documento")</f>
        <v>0</v>
      </c>
      <c r="D13989" t="s">
        <v>23500</v>
      </c>
      <c r="E13989" t="s">
        <v>36464</v>
      </c>
    </row>
    <row r="13990" spans="1:5">
      <c r="A13990" t="s">
        <v>6</v>
      </c>
      <c r="B13990" t="s">
        <v>13995</v>
      </c>
      <c r="C13990">
        <f>HYPERLINK("C:\Users\franc\OneDrive\Documentos\MALENTIN KARIME\BANCO ESTADO\2012 DEPTO ESCRITURAS fata\NOTARIA 2009\CARLOS BUGUEÑÑ\2007\AGRICOLA FRESSO Y CIA. (MANDATO).doc", "Abrir Documento")</f>
        <v>0</v>
      </c>
      <c r="D13990" t="s">
        <v>23500</v>
      </c>
      <c r="E13990" t="s">
        <v>36465</v>
      </c>
    </row>
    <row r="13991" spans="1:5">
      <c r="A13991" t="s">
        <v>6</v>
      </c>
      <c r="B13991" t="s">
        <v>13996</v>
      </c>
      <c r="C13991">
        <f>HYPERLINK("C:\Users\franc\OneDrive\Documentos\MALENTIN KARIME\BANCO ESTADO\2012 DEPTO ESCRITURAS fata\NOTARIA 2009\CARLOS BUGUEÑÑ\2007\AGRICOLA FRESSO Y CIA (MODIFIC).doc", "Abrir Documento")</f>
        <v>0</v>
      </c>
      <c r="D13991" t="s">
        <v>23500</v>
      </c>
      <c r="E13991" t="s">
        <v>36466</v>
      </c>
    </row>
    <row r="13992" spans="1:5">
      <c r="A13992" t="s">
        <v>6</v>
      </c>
      <c r="B13992" t="s">
        <v>13997</v>
      </c>
      <c r="C13992">
        <f>HYPERLINK("C:\Users\franc\OneDrive\Documentos\MALENTIN KARIME\BANCO ESTADO\2012 DEPTO ESCRITURAS fata\NOTARIA 2009\CARLOS BUGUEÑÑ\2007\AGRICOLA FRESSO RECTIFICACION.doc", "Abrir Documento")</f>
        <v>0</v>
      </c>
      <c r="D13992" t="s">
        <v>23500</v>
      </c>
      <c r="E13992" t="s">
        <v>36467</v>
      </c>
    </row>
    <row r="13993" spans="1:5">
      <c r="A13993" t="s">
        <v>6</v>
      </c>
      <c r="B13993" t="s">
        <v>13998</v>
      </c>
      <c r="C13993">
        <f>HYPERLINK("C:\Users\franc\OneDrive\Documentos\MALENTIN KARIME\BANCO ESTADO\2012 DEPTO ESCRITURAS fata\NOTARIA 2009\CARLOS BUGUEÑÑ\2007\AGRICOLA ALIRO PINTO A AGRICOLA SAN CLEMENTE.doc", "Abrir Documento")</f>
        <v>0</v>
      </c>
      <c r="D13993" t="s">
        <v>23500</v>
      </c>
      <c r="E13993" t="s">
        <v>36468</v>
      </c>
    </row>
    <row r="13994" spans="1:5">
      <c r="A13994" t="s">
        <v>6</v>
      </c>
      <c r="B13994" t="s">
        <v>13999</v>
      </c>
      <c r="C13994">
        <f>HYPERLINK("C:\Users\franc\OneDrive\Documentos\MALENTIN KARIME\BANCO ESTADO\2012 DEPTO ESCRITURAS fata\NOTARIA 2009\CARLOS BUGUEÑÑ\2007\AGRIC. ALIRO PINTO A SAN CLEMENTE (2).doc", "Abrir Documento")</f>
        <v>0</v>
      </c>
      <c r="D13994" t="s">
        <v>23500</v>
      </c>
      <c r="E13994" t="s">
        <v>36469</v>
      </c>
    </row>
    <row r="13995" spans="1:5">
      <c r="A13995" t="s">
        <v>6</v>
      </c>
      <c r="B13995" t="s">
        <v>14000</v>
      </c>
      <c r="C13995">
        <f>HYPERLINK("C:\Users\franc\OneDrive\Documentos\MALENTIN KARIME\BANCO ESTADO\2012 DEPTO ESCRITURAS fata\NOTARIA 2009\CARLOS BUGUEÑÑ\2007\ACTA FERIA GANADERA DE OVALLE S.A..doc", "Abrir Documento")</f>
        <v>0</v>
      </c>
      <c r="D13995" t="s">
        <v>23500</v>
      </c>
      <c r="E13995" t="s">
        <v>36470</v>
      </c>
    </row>
    <row r="13996" spans="1:5">
      <c r="A13996" t="s">
        <v>6</v>
      </c>
      <c r="B13996" t="s">
        <v>14001</v>
      </c>
      <c r="C13996">
        <f>HYPERLINK("C:\Users\franc\OneDrive\Documentos\MALENTIN KARIME\BANCO ESTADO\2012 DEPTO ESCRITURAS fata\NOTARIA 2009\CARLOS BUGUEÑÑ\2007\ACLARA MUTUO SOC. LOS PRIMOS.doc", "Abrir Documento")</f>
        <v>0</v>
      </c>
      <c r="D13996" t="s">
        <v>23500</v>
      </c>
      <c r="E13996" t="s">
        <v>36471</v>
      </c>
    </row>
    <row r="13997" spans="1:5">
      <c r="A13997" t="s">
        <v>6</v>
      </c>
      <c r="B13997" t="s">
        <v>14002</v>
      </c>
      <c r="C13997">
        <f>HYPERLINK("C:\Users\franc\OneDrive\Documentos\MALENTIN KARIME\BANCO ESTADO\2012 DEPTO ESCRITURAS fata\NOTARIA 2009\CARLOS BUGUEÑÑ\2007\ACLARA ESCR. JOSOL.doc", "Abrir Documento")</f>
        <v>0</v>
      </c>
      <c r="D13997" t="s">
        <v>23500</v>
      </c>
      <c r="E13997" t="s">
        <v>36472</v>
      </c>
    </row>
    <row r="13998" spans="1:5">
      <c r="A13998" t="s">
        <v>6</v>
      </c>
      <c r="B13998" t="s">
        <v>14003</v>
      </c>
      <c r="C13998">
        <f>HYPERLINK("C:\Users\franc\OneDrive\Documentos\MALENTIN KARIME\BANCO ESTADO\2012 DEPTO ESCRITURAS fata\NOTARIA 2009\CARLOS BUGUEÑÑ\Usufructo tecnocitrus - noviembre 2006.doc", "Abrir Documento")</f>
        <v>0</v>
      </c>
      <c r="D13998" t="s">
        <v>23500</v>
      </c>
      <c r="E13998" t="s">
        <v>36473</v>
      </c>
    </row>
    <row r="13999" spans="1:5">
      <c r="A13999" t="s">
        <v>6</v>
      </c>
      <c r="B13999" t="s">
        <v>14004</v>
      </c>
      <c r="C13999">
        <f>HYPERLINK("C:\Users\franc\OneDrive\Documentos\MALENTIN KARIME\BANCO ESTADO\2012 DEPTO ESCRITURAS fata\NOTARIA 2009\CARLOS BUGUEÑÑ\TRANSP. BOZO Y SANDOVAL.doc", "Abrir Documento")</f>
        <v>0</v>
      </c>
      <c r="D13999" t="s">
        <v>23500</v>
      </c>
      <c r="E13999" t="s">
        <v>36474</v>
      </c>
    </row>
    <row r="14000" spans="1:5">
      <c r="A14000" t="s">
        <v>6</v>
      </c>
      <c r="B14000" t="s">
        <v>14005</v>
      </c>
      <c r="C14000">
        <f>HYPERLINK("C:\Users\franc\OneDrive\Documentos\MALENTIN KARIME\BANCO ESTADO\2012 DEPTO ESCRITURAS fata\NOTARIA 2009\CARLOS BUGUEÑÑ\SOC. PINEDA HERMANOS.doc", "Abrir Documento")</f>
        <v>0</v>
      </c>
      <c r="D14000" t="s">
        <v>23500</v>
      </c>
      <c r="E14000" t="s">
        <v>36475</v>
      </c>
    </row>
    <row r="14001" spans="1:5">
      <c r="A14001" t="s">
        <v>6</v>
      </c>
      <c r="B14001" t="s">
        <v>14006</v>
      </c>
      <c r="C14001">
        <f>HYPERLINK("C:\Users\franc\OneDrive\Documentos\MALENTIN KARIME\BANCO ESTADO\2012 DEPTO ESCRITURAS fata\NOTARIA 2009\CARLOS BUGUEÑÑ\SOC. COM. PLANETA A ROSA LARA CANCELACION.doc", "Abrir Documento")</f>
        <v>0</v>
      </c>
      <c r="D14001" t="s">
        <v>23500</v>
      </c>
      <c r="E14001" t="s">
        <v>36476</v>
      </c>
    </row>
    <row r="14002" spans="1:5">
      <c r="A14002" t="s">
        <v>6</v>
      </c>
      <c r="B14002" t="s">
        <v>14007</v>
      </c>
      <c r="C14002">
        <f>HYPERLINK("C:\Users\franc\OneDrive\Documentos\MALENTIN KARIME\BANCO ESTADO\2012 DEPTO ESCRITURAS fata\NOTARIA 2009\CARLOS BUGUEÑÑ\SOC. BASCOPE MODIF..doc", "Abrir Documento")</f>
        <v>0</v>
      </c>
      <c r="D14002" t="s">
        <v>23500</v>
      </c>
      <c r="E14002" t="s">
        <v>36477</v>
      </c>
    </row>
    <row r="14003" spans="1:5">
      <c r="A14003" t="s">
        <v>6</v>
      </c>
      <c r="B14003" t="s">
        <v>14008</v>
      </c>
      <c r="C14003">
        <f>HYPERLINK("C:\Users\franc\OneDrive\Documentos\MALENTIN KARIME\BANCO ESTADO\2012 DEPTO ESCRITURAS fata\NOTARIA 2009\CARLOS BUGUEÑÑ\SOC. AGRIC. LA GREDA A INV. BOSMAN Y GIOIA.doc", "Abrir Documento")</f>
        <v>0</v>
      </c>
      <c r="D14003" t="s">
        <v>23500</v>
      </c>
      <c r="E14003" t="s">
        <v>36478</v>
      </c>
    </row>
    <row r="14004" spans="1:5">
      <c r="A14004" t="s">
        <v>6</v>
      </c>
      <c r="B14004" t="s">
        <v>14009</v>
      </c>
      <c r="C14004">
        <f>HYPERLINK("C:\Users\franc\OneDrive\Documentos\MALENTIN KARIME\BANCO ESTADO\2012 DEPTO ESCRITURAS fata\NOTARIA 2009\CARLOS BUGUEÑÑ\SMC GOLD CHILE A FREDY BUSTOS Y STEPEHN PLAY.doc", "Abrir Documento")</f>
        <v>0</v>
      </c>
      <c r="D14004" t="s">
        <v>23500</v>
      </c>
      <c r="E14004" t="s">
        <v>36479</v>
      </c>
    </row>
    <row r="14005" spans="1:5">
      <c r="A14005" t="s">
        <v>6</v>
      </c>
      <c r="B14005" t="s">
        <v>14010</v>
      </c>
      <c r="C14005">
        <f>HYPERLINK("C:\Users\franc\OneDrive\Documentos\MALENTIN KARIME\BANCO ESTADO\2012 DEPTO ESCRITURAS fata\NOTARIA 2009\CARLOS BUGUEÑÑ\servidumbre cap rural mialqui.doc", "Abrir Documento")</f>
        <v>0</v>
      </c>
      <c r="D14005" t="s">
        <v>23500</v>
      </c>
      <c r="E14005" t="s">
        <v>36480</v>
      </c>
    </row>
    <row r="14006" spans="1:5">
      <c r="A14006" t="s">
        <v>6</v>
      </c>
      <c r="B14006" t="s">
        <v>14011</v>
      </c>
      <c r="C14006">
        <f>HYPERLINK("C:\Users\franc\OneDrive\Documentos\MALENTIN KARIME\BANCO ESTADO\2012 DEPTO ESCRITURAS fata\NOTARIA 2009\CARLOS BUGUEÑÑ\SAUL IRIARTE A LUIS PEPPI.doc", "Abrir Documento")</f>
        <v>0</v>
      </c>
      <c r="D14006" t="s">
        <v>23500</v>
      </c>
      <c r="E14006" t="s">
        <v>36481</v>
      </c>
    </row>
    <row r="14007" spans="1:5">
      <c r="A14007" t="s">
        <v>6</v>
      </c>
      <c r="B14007" t="s">
        <v>14012</v>
      </c>
      <c r="C14007">
        <f>HYPERLINK("C:\Users\franc\OneDrive\Documentos\MALENTIN KARIME\BANCO ESTADO\2012 DEPTO ESCRITURAS fata\NOTARIA 2009\CARLOS BUGUEÑÑ\SANTIAGO BOSMAN Y OTRA A SOC. LA GREDA.doc", "Abrir Documento")</f>
        <v>0</v>
      </c>
      <c r="D14007" t="s">
        <v>23500</v>
      </c>
      <c r="E14007" t="s">
        <v>36482</v>
      </c>
    </row>
    <row r="14008" spans="1:5">
      <c r="A14008" t="s">
        <v>6</v>
      </c>
      <c r="B14008" t="s">
        <v>14013</v>
      </c>
      <c r="C14008">
        <f>HYPERLINK("C:\Users\franc\OneDrive\Documentos\MALENTIN KARIME\BANCO ESTADO\2012 DEPTO ESCRITURAS fata\NOTARIA 2009\CARLOS BUGUEÑÑ\SANTIAGO BOSMAN Y OTRA A AGR. BOSMAN Y GOIA.doc", "Abrir Documento")</f>
        <v>0</v>
      </c>
      <c r="D14008" t="s">
        <v>23500</v>
      </c>
      <c r="E14008" t="s">
        <v>36483</v>
      </c>
    </row>
    <row r="14009" spans="1:5">
      <c r="A14009" t="s">
        <v>6</v>
      </c>
      <c r="B14009" t="s">
        <v>14014</v>
      </c>
      <c r="C14009">
        <f>HYPERLINK("C:\Users\franc\OneDrive\Documentos\MALENTIN KARIME\BANCO ESTADO\2012 DEPTO ESCRITURAS fata\NOTARIA 2009\CARLOS BUGUEÑÑ\SANTIAGO BOSMAN USUFRUCTO.doc", "Abrir Documento")</f>
        <v>0</v>
      </c>
      <c r="D14009" t="s">
        <v>23500</v>
      </c>
      <c r="E14009" t="s">
        <v>36484</v>
      </c>
    </row>
    <row r="14010" spans="1:5">
      <c r="A14010" t="s">
        <v>6</v>
      </c>
      <c r="B14010" t="s">
        <v>14015</v>
      </c>
      <c r="C14010">
        <f>HYPERLINK("C:\Users\franc\OneDrive\Documentos\MALENTIN KARIME\BANCO ESTADO\2012 DEPTO ESCRITURAS fata\NOTARIA 2009\CARLOS BUGUEÑÑ\SAMUEL BOZO SEPARACION BIENS.doc", "Abrir Documento")</f>
        <v>0</v>
      </c>
      <c r="D14010" t="s">
        <v>23500</v>
      </c>
      <c r="E14010" t="s">
        <v>36485</v>
      </c>
    </row>
    <row r="14011" spans="1:5">
      <c r="A14011" t="s">
        <v>6</v>
      </c>
      <c r="B14011" t="s">
        <v>14016</v>
      </c>
      <c r="C14011">
        <f>HYPERLINK("C:\Users\franc\OneDrive\Documentos\MALENTIN KARIME\BANCO ESTADO\2012 DEPTO ESCRITURAS fata\NOTARIA 2009\CARLOS BUGUEÑÑ\samuel bozo - transportes - extracto.doc", "Abrir Documento")</f>
        <v>0</v>
      </c>
      <c r="D14011" t="s">
        <v>23500</v>
      </c>
      <c r="E14011" t="s">
        <v>36486</v>
      </c>
    </row>
    <row r="14012" spans="1:5">
      <c r="A14012" t="s">
        <v>6</v>
      </c>
      <c r="B14012" t="s">
        <v>14017</v>
      </c>
      <c r="C14012">
        <f>HYPERLINK("C:\Users\franc\OneDrive\Documentos\MALENTIN KARIME\BANCO ESTADO\2012 DEPTO ESCRITURAS fata\NOTARIA 2009\CARLOS BUGUEÑÑ\samuel bozo - inmobiliaria - extracto.doc", "Abrir Documento")</f>
        <v>0</v>
      </c>
      <c r="D14012" t="s">
        <v>23500</v>
      </c>
      <c r="E14012" t="s">
        <v>36487</v>
      </c>
    </row>
    <row r="14013" spans="1:5">
      <c r="A14013" t="s">
        <v>6</v>
      </c>
      <c r="B14013" t="s">
        <v>14018</v>
      </c>
      <c r="C14013">
        <f>HYPERLINK("C:\Users\franc\OneDrive\Documentos\MALENTIN KARIME\BANCO ESTADO\2012 DEPTO ESCRITURAS fata\NOTARIA 2009\CARLOS BUGUEÑÑ\SAMUEL  ROJO MODIFIC..doc", "Abrir Documento")</f>
        <v>0</v>
      </c>
      <c r="D14013" t="s">
        <v>23500</v>
      </c>
      <c r="E14013" t="s">
        <v>36488</v>
      </c>
    </row>
    <row r="14014" spans="1:5">
      <c r="A14014" t="s">
        <v>6</v>
      </c>
      <c r="B14014" t="s">
        <v>14019</v>
      </c>
      <c r="C14014">
        <f>HYPERLINK("C:\Users\franc\OneDrive\Documentos\MALENTIN KARIME\BANCO ESTADO\2012 DEPTO ESCRITURAS fata\NOTARIA 2009\CARLOS BUGUEÑÑ\resciliacion invegon - sept 2006 - extracto[1].doc", "Abrir Documento")</f>
        <v>0</v>
      </c>
      <c r="D14014" t="s">
        <v>23500</v>
      </c>
      <c r="E14014" t="s">
        <v>36489</v>
      </c>
    </row>
    <row r="14015" spans="1:5">
      <c r="A14015" t="s">
        <v>6</v>
      </c>
      <c r="B14015" t="s">
        <v>14020</v>
      </c>
      <c r="C14015">
        <f>HYPERLINK("C:\Users\franc\OneDrive\Documentos\MALENTIN KARIME\BANCO ESTADO\2012 DEPTO ESCRITURAS fata\NOTARIA 2009\CARLOS BUGUEÑÑ\resciliacion gonart - sept 2006 - extracto[1].doc", "Abrir Documento")</f>
        <v>0</v>
      </c>
      <c r="D14015" t="s">
        <v>23500</v>
      </c>
      <c r="E14015" t="s">
        <v>36490</v>
      </c>
    </row>
    <row r="14016" spans="1:5">
      <c r="A14016" t="s">
        <v>6</v>
      </c>
      <c r="B14016" t="s">
        <v>14021</v>
      </c>
      <c r="C14016">
        <f>HYPERLINK("C:\Users\franc\OneDrive\Documentos\MALENTIN KARIME\BANCO ESTADO\2012 DEPTO ESCRITURAS fata\NOTARIA 2009\CARLOS BUGUEÑÑ\Resciliacion Comunidad Agrícola El Potrero.doc", "Abrir Documento")</f>
        <v>0</v>
      </c>
      <c r="D14016" t="s">
        <v>23500</v>
      </c>
      <c r="E14016" t="s">
        <v>36491</v>
      </c>
    </row>
    <row r="14017" spans="1:5">
      <c r="A14017" t="s">
        <v>6</v>
      </c>
      <c r="B14017" t="s">
        <v>14022</v>
      </c>
      <c r="C14017">
        <f>HYPERLINK("C:\Users\franc\OneDrive\Documentos\MALENTIN KARIME\BANCO ESTADO\2012 DEPTO ESCRITURAS fata\NOTARIA 2009\CARLOS BUGUEÑÑ\RENATO GUERRA A LUIS PEPPI.doc", "Abrir Documento")</f>
        <v>0</v>
      </c>
      <c r="D14017" t="s">
        <v>23500</v>
      </c>
      <c r="E14017" t="s">
        <v>36492</v>
      </c>
    </row>
    <row r="14018" spans="1:5">
      <c r="A14018" t="s">
        <v>6</v>
      </c>
      <c r="B14018" t="s">
        <v>14023</v>
      </c>
      <c r="C14018">
        <f>HYPERLINK("C:\Users\franc\OneDrive\Documentos\MALENTIN KARIME\BANCO ESTADO\2012 DEPTO ESCRITURAS fata\NOTARIA 2009\CARLOS BUGUEÑÑ\RAFAEL MONTALBAN Y OTROS A AGROPAL LTDA..doc", "Abrir Documento")</f>
        <v>0</v>
      </c>
      <c r="D14018" t="s">
        <v>23500</v>
      </c>
      <c r="E14018" t="s">
        <v>36493</v>
      </c>
    </row>
    <row r="14019" spans="1:5">
      <c r="A14019" t="s">
        <v>6</v>
      </c>
      <c r="B14019" t="s">
        <v>14024</v>
      </c>
      <c r="C14019">
        <f>HYPERLINK("C:\Users\franc\OneDrive\Documentos\MALENTIN KARIME\BANCO ESTADO\2012 DEPTO ESCRITURAS fata\NOTARIA 2009\CARLOS BUGUEÑÑ\PAGARE LILIANA ALFARO.doc", "Abrir Documento")</f>
        <v>0</v>
      </c>
      <c r="D14019" t="s">
        <v>23500</v>
      </c>
      <c r="E14019" t="s">
        <v>36494</v>
      </c>
    </row>
    <row r="14020" spans="1:5">
      <c r="A14020" t="s">
        <v>6</v>
      </c>
      <c r="B14020" t="s">
        <v>14025</v>
      </c>
      <c r="C14020">
        <f>HYPERLINK("C:\Users\franc\OneDrive\Documentos\MALENTIN KARIME\BANCO ESTADO\2012 DEPTO ESCRITURAS fata\NOTARIA 2009\CARLOS BUGUEÑÑ\OTILIA OCHOA.doc", "Abrir Documento")</f>
        <v>0</v>
      </c>
      <c r="D14020" t="s">
        <v>23500</v>
      </c>
      <c r="E14020" t="s">
        <v>36495</v>
      </c>
    </row>
    <row r="14021" spans="1:5">
      <c r="A14021" t="s">
        <v>6</v>
      </c>
      <c r="B14021" t="s">
        <v>14026</v>
      </c>
      <c r="C14021">
        <f>HYPERLINK("C:\Users\franc\OneDrive\Documentos\MALENTIN KARIME\BANCO ESTADO\2012 DEPTO ESCRITURAS fata\NOTARIA 2009\CARLOS BUGUEÑÑ\NICOMEDES BUGUEÑO.doc", "Abrir Documento")</f>
        <v>0</v>
      </c>
      <c r="D14021" t="s">
        <v>23500</v>
      </c>
      <c r="E14021" t="s">
        <v>36496</v>
      </c>
    </row>
    <row r="14022" spans="1:5">
      <c r="A14022" t="s">
        <v>6</v>
      </c>
      <c r="B14022" t="s">
        <v>14027</v>
      </c>
      <c r="C14022">
        <f>HYPERLINK("C:\Users\franc\OneDrive\Documentos\MALENTIN KARIME\BANCO ESTADO\2012 DEPTO ESCRITURAS fata\NOTARIA 2009\CARLOS BUGUEÑÑ\NICOMEDES BUGUEÑO A LUIS PEPPI (AGUAS).doc", "Abrir Documento")</f>
        <v>0</v>
      </c>
      <c r="D14022" t="s">
        <v>23500</v>
      </c>
      <c r="E14022" t="s">
        <v>36497</v>
      </c>
    </row>
    <row r="14023" spans="1:5">
      <c r="A14023" t="s">
        <v>6</v>
      </c>
      <c r="B14023" t="s">
        <v>14028</v>
      </c>
      <c r="C14023">
        <f>HYPERLINK("C:\Users\franc\OneDrive\Documentos\MALENTIN KARIME\BANCO ESTADO\2012 DEPTO ESCRITURAS fata\NOTARIA 2009\CARLOS BUGUEÑÑ\MYRNA VEGA A HILDEGARD CUBILLOS.doc", "Abrir Documento")</f>
        <v>0</v>
      </c>
      <c r="D14023" t="s">
        <v>23500</v>
      </c>
      <c r="E14023" t="s">
        <v>36498</v>
      </c>
    </row>
    <row r="14024" spans="1:5">
      <c r="A14024" t="s">
        <v>6</v>
      </c>
      <c r="B14024" t="s">
        <v>14029</v>
      </c>
      <c r="C14024">
        <f>HYPERLINK("C:\Users\franc\OneDrive\Documentos\MALENTIN KARIME\BANCO ESTADO\2012 DEPTO ESCRITURAS fata\NOTARIA 2009\CARLOS BUGUEÑÑ\MODELO USUFRUCTO.doc", "Abrir Documento")</f>
        <v>0</v>
      </c>
      <c r="D14024" t="s">
        <v>23500</v>
      </c>
      <c r="E14024" t="s">
        <v>36499</v>
      </c>
    </row>
    <row r="14025" spans="1:5">
      <c r="A14025" t="s">
        <v>6</v>
      </c>
      <c r="B14025" t="s">
        <v>14030</v>
      </c>
      <c r="C14025">
        <f>HYPERLINK("C:\Users\franc\OneDrive\Documentos\MALENTIN KARIME\BANCO ESTADO\2012 DEPTO ESCRITURAS fata\NOTARIA 2009\CARLOS BUGUEÑÑ\MODELO NOTARIO.doc", "Abrir Documento")</f>
        <v>0</v>
      </c>
      <c r="D14025" t="s">
        <v>23500</v>
      </c>
      <c r="E14025" t="s">
        <v>36500</v>
      </c>
    </row>
    <row r="14026" spans="1:5">
      <c r="A14026" t="s">
        <v>6</v>
      </c>
      <c r="B14026" t="s">
        <v>14031</v>
      </c>
      <c r="C14026">
        <f>HYPERLINK("C:\Users\franc\OneDrive\Documentos\MALENTIN KARIME\BANCO ESTADO\2012 DEPTO ESCRITURAS fata\NOTARIA 2009\CARLOS BUGUEÑÑ\MIGUEL VEGA A SOC. EL CIENAGO.doc", "Abrir Documento")</f>
        <v>0</v>
      </c>
      <c r="D14026" t="s">
        <v>23500</v>
      </c>
      <c r="E14026" t="s">
        <v>36501</v>
      </c>
    </row>
    <row r="14027" spans="1:5">
      <c r="A14027" t="s">
        <v>6</v>
      </c>
      <c r="B14027" t="s">
        <v>14032</v>
      </c>
      <c r="C14027">
        <f>HYPERLINK("C:\Users\franc\OneDrive\Documentos\MALENTIN KARIME\BANCO ESTADO\2012 DEPTO ESCRITURAS fata\NOTARIA 2009\CARLOS BUGUEÑÑ\MARIO ROBLES A AGRICOLA ROBLES.doc", "Abrir Documento")</f>
        <v>0</v>
      </c>
      <c r="D14027" t="s">
        <v>23500</v>
      </c>
      <c r="E14027" t="s">
        <v>36502</v>
      </c>
    </row>
    <row r="14028" spans="1:5">
      <c r="A14028" t="s">
        <v>6</v>
      </c>
      <c r="B14028" t="s">
        <v>14033</v>
      </c>
      <c r="C14028">
        <f>HYPERLINK("C:\Users\franc\OneDrive\Documentos\MALENTIN KARIME\BANCO ESTADO\2012 DEPTO ESCRITURAS fata\NOTARIA 2009\CARLOS BUGUEÑÑ\MARIO ROBLES A ....doc", "Abrir Documento")</f>
        <v>0</v>
      </c>
      <c r="D14028" t="s">
        <v>23500</v>
      </c>
      <c r="E14028" t="s">
        <v>36503</v>
      </c>
    </row>
    <row r="14029" spans="1:5">
      <c r="A14029" t="s">
        <v>6</v>
      </c>
      <c r="B14029" t="s">
        <v>14034</v>
      </c>
      <c r="C14029">
        <f>HYPERLINK("C:\Users\franc\OneDrive\Documentos\MALENTIN KARIME\BANCO ESTADO\2012 DEPTO ESCRITURAS fata\NOTARIA 2009\CARLOS BUGUEÑÑ\MARCIAL VEGA A MARIA ZEPEDA GOMILA.doc", "Abrir Documento")</f>
        <v>0</v>
      </c>
      <c r="D14029" t="s">
        <v>23500</v>
      </c>
      <c r="E14029" t="s">
        <v>36504</v>
      </c>
    </row>
    <row r="14030" spans="1:5">
      <c r="A14030" t="s">
        <v>6</v>
      </c>
      <c r="B14030" t="s">
        <v>14035</v>
      </c>
      <c r="C14030">
        <f>HYPERLINK("C:\Users\franc\OneDrive\Documentos\MALENTIN KARIME\BANCO ESTADO\2012 DEPTO ESCRITURAS fata\NOTARIA 2009\CARLOS BUGUEÑÑ\MAL PASO LIMITADA.doc", "Abrir Documento")</f>
        <v>0</v>
      </c>
      <c r="D14030" t="s">
        <v>23500</v>
      </c>
      <c r="E14030" t="s">
        <v>36505</v>
      </c>
    </row>
    <row r="14031" spans="1:5">
      <c r="A14031" t="s">
        <v>6</v>
      </c>
      <c r="B14031" t="s">
        <v>14036</v>
      </c>
      <c r="C14031">
        <f>HYPERLINK("C:\Users\franc\OneDrive\Documentos\MALENTIN KARIME\BANCO ESTADO\2012 DEPTO ESCRITURAS fata\NOTARIA 2009\CARLOS BUGUEÑÑ\MAL PASO A JUAN MARENTIS}+.doc", "Abrir Documento")</f>
        <v>0</v>
      </c>
      <c r="D14031" t="s">
        <v>23500</v>
      </c>
      <c r="E14031" t="s">
        <v>36506</v>
      </c>
    </row>
    <row r="14032" spans="1:5">
      <c r="A14032" t="s">
        <v>6</v>
      </c>
      <c r="B14032" t="s">
        <v>14037</v>
      </c>
      <c r="C14032">
        <f>HYPERLINK("C:\Users\franc\OneDrive\Documentos\MALENTIN KARIME\BANCO ESTADO\2012 DEPTO ESCRITURAS fata\NOTARIA 2009\CARLOS BUGUEÑÑ\LIMARI TRADING S.A. (P. PINTO).doc", "Abrir Documento")</f>
        <v>0</v>
      </c>
      <c r="D14032" t="s">
        <v>23500</v>
      </c>
      <c r="E14032" t="s">
        <v>36507</v>
      </c>
    </row>
    <row r="14033" spans="1:5">
      <c r="A14033" t="s">
        <v>6</v>
      </c>
      <c r="B14033" t="s">
        <v>14038</v>
      </c>
      <c r="C14033">
        <f>HYPERLINK("C:\Users\franc\OneDrive\Documentos\MALENTIN KARIME\BANCO ESTADO\2012 DEPTO ESCRITURAS fata\NOTARIA 2009\CARLOS BUGUEÑÑ\LILIANA ALFARO A FCO. PINTO CV CON USU.doc", "Abrir Documento")</f>
        <v>0</v>
      </c>
      <c r="D14033" t="s">
        <v>23500</v>
      </c>
      <c r="E14033" t="s">
        <v>36508</v>
      </c>
    </row>
    <row r="14034" spans="1:5">
      <c r="A14034" t="s">
        <v>6</v>
      </c>
      <c r="B14034" t="s">
        <v>14039</v>
      </c>
      <c r="C14034">
        <f>HYPERLINK("C:\Users\franc\OneDrive\Documentos\MALENTIN KARIME\BANCO ESTADO\2012 DEPTO ESCRITURAS fata\NOTARIA 2009\CARLOS BUGUEÑÑ\LILIANA ALFARO A FCO. PINTO (FINAL).doc", "Abrir Documento")</f>
        <v>0</v>
      </c>
      <c r="D14034" t="s">
        <v>23500</v>
      </c>
      <c r="E14034" t="s">
        <v>36509</v>
      </c>
    </row>
    <row r="14035" spans="1:5">
      <c r="A14035" t="s">
        <v>6</v>
      </c>
      <c r="B14035" t="s">
        <v>14040</v>
      </c>
      <c r="C14035">
        <f>HYPERLINK("C:\Users\franc\OneDrive\Documentos\MALENTIN KARIME\BANCO ESTADO\2012 DEPTO ESCRITURAS fata\NOTARIA 2009\CARLOS BUGUEÑÑ\LAS REPRESAS.CONTRATO PROFESIONAL.doc", "Abrir Documento")</f>
        <v>0</v>
      </c>
      <c r="D14035" t="s">
        <v>23500</v>
      </c>
      <c r="E14035" t="s">
        <v>36510</v>
      </c>
    </row>
    <row r="14036" spans="1:5">
      <c r="A14036" t="s">
        <v>6</v>
      </c>
      <c r="B14036" t="s">
        <v>14041</v>
      </c>
      <c r="C14036">
        <f>HYPERLINK("C:\Users\franc\OneDrive\Documentos\MALENTIN KARIME\BANCO ESTADO\2012 DEPTO ESCRITURAS fata\NOTARIA 2009\CARLOS BUGUEÑÑ\JUAN SALINAS A HORACIO ROJAS (PLANTA MINERA).doc", "Abrir Documento")</f>
        <v>0</v>
      </c>
      <c r="D14036" t="s">
        <v>23500</v>
      </c>
      <c r="E14036" t="s">
        <v>36511</v>
      </c>
    </row>
    <row r="14037" spans="1:5">
      <c r="A14037" t="s">
        <v>6</v>
      </c>
      <c r="B14037" t="s">
        <v>14042</v>
      </c>
      <c r="C14037">
        <f>HYPERLINK("C:\Users\franc\OneDrive\Documentos\MALENTIN KARIME\BANCO ESTADO\2012 DEPTO ESCRITURAS fata\NOTARIA 2009\CARLOS BUGUEÑÑ\JORGE HERNAN CORTES A C. ARDILES MAND. JUD.doc", "Abrir Documento")</f>
        <v>0</v>
      </c>
      <c r="D14037" t="s">
        <v>23500</v>
      </c>
      <c r="E14037" t="s">
        <v>36512</v>
      </c>
    </row>
    <row r="14038" spans="1:5">
      <c r="A14038" t="s">
        <v>6</v>
      </c>
      <c r="B14038" t="s">
        <v>14043</v>
      </c>
      <c r="C14038">
        <f>HYPERLINK("C:\Users\franc\OneDrive\Documentos\MALENTIN KARIME\BANCO ESTADO\2012 DEPTO ESCRITURAS fata\NOTARIA 2009\CARLOS BUGUEÑÑ\JORGE EDO. CORTES A C. ARDILES MAND. JUD.doc", "Abrir Documento")</f>
        <v>0</v>
      </c>
      <c r="D14038" t="s">
        <v>23500</v>
      </c>
      <c r="E14038" t="s">
        <v>36513</v>
      </c>
    </row>
    <row r="14039" spans="1:5">
      <c r="A14039" t="s">
        <v>6</v>
      </c>
      <c r="B14039" t="s">
        <v>14044</v>
      </c>
      <c r="C14039">
        <f>HYPERLINK("C:\Users\franc\OneDrive\Documentos\MALENTIN KARIME\BANCO ESTADO\2012 DEPTO ESCRITURAS fata\NOTARIA 2009\CARLOS BUGUEÑÑ\INVERSIONES SERRAVALLE A SOC. VIGIA.doc", "Abrir Documento")</f>
        <v>0</v>
      </c>
      <c r="D14039" t="s">
        <v>23500</v>
      </c>
      <c r="E14039" t="s">
        <v>36514</v>
      </c>
    </row>
    <row r="14040" spans="1:5">
      <c r="A14040" t="s">
        <v>6</v>
      </c>
      <c r="B14040" t="s">
        <v>14045</v>
      </c>
      <c r="C14040">
        <f>HYPERLINK("C:\Users\franc\OneDrive\Documentos\MALENTIN KARIME\BANCO ESTADO\2012 DEPTO ESCRITURAS fata\NOTARIA 2009\CARLOS BUGUEÑÑ\INVERSIONES MARTINAC (COMPRAVENTA).doc", "Abrir Documento")</f>
        <v>0</v>
      </c>
      <c r="D14040" t="s">
        <v>23500</v>
      </c>
      <c r="E14040" t="s">
        <v>36515</v>
      </c>
    </row>
    <row r="14041" spans="1:5">
      <c r="A14041" t="s">
        <v>6</v>
      </c>
      <c r="B14041" t="s">
        <v>14046</v>
      </c>
      <c r="C14041">
        <f>HYPERLINK("C:\Users\franc\OneDrive\Documentos\MALENTIN KARIME\BANCO ESTADO\2012 DEPTO ESCRITURAS fata\NOTARIA 2009\CARLOS BUGUEÑÑ\INVEGON RESCILIACION.doc", "Abrir Documento")</f>
        <v>0</v>
      </c>
      <c r="D14041" t="s">
        <v>23500</v>
      </c>
      <c r="E14041" t="s">
        <v>36516</v>
      </c>
    </row>
    <row r="14042" spans="1:5">
      <c r="A14042" t="s">
        <v>6</v>
      </c>
      <c r="B14042" t="s">
        <v>14047</v>
      </c>
      <c r="C14042">
        <f>HYPERLINK("C:\Users\franc\OneDrive\Documentos\MALENTIN KARIME\BANCO ESTADO\2012 DEPTO ESCRITURAS fata\NOTARIA 2009\CARLOS BUGUEÑÑ\INVEGON LTDA.doc", "Abrir Documento")</f>
        <v>0</v>
      </c>
      <c r="D14042" t="s">
        <v>23500</v>
      </c>
      <c r="E14042" t="s">
        <v>36517</v>
      </c>
    </row>
    <row r="14043" spans="1:5">
      <c r="A14043" t="s">
        <v>6</v>
      </c>
      <c r="B14043" t="s">
        <v>14048</v>
      </c>
      <c r="C14043">
        <f>HYPERLINK("C:\Users\franc\OneDrive\Documentos\MALENTIN KARIME\BANCO ESTADO\2012 DEPTO ESCRITURAS fata\NOTARIA 2009\CARLOS BUGUEÑÑ\Inmobiliaria Cruz Limitada a Verónica Fernandez Arancibia.doc", "Abrir Documento")</f>
        <v>0</v>
      </c>
      <c r="D14043" t="s">
        <v>23500</v>
      </c>
      <c r="E14043" t="s">
        <v>36518</v>
      </c>
    </row>
    <row r="14044" spans="1:5">
      <c r="A14044" t="s">
        <v>6</v>
      </c>
      <c r="B14044" t="s">
        <v>14049</v>
      </c>
      <c r="C14044">
        <f>HYPERLINK("C:\Users\franc\OneDrive\Documentos\MALENTIN KARIME\BANCO ESTADO\2012 DEPTO ESCRITURAS fata\NOTARIA 2009\CARLOS BUGUEÑÑ\INMOBILIARIA CRUZ COLORADA LTDA..doc", "Abrir Documento")</f>
        <v>0</v>
      </c>
      <c r="D14044" t="s">
        <v>23500</v>
      </c>
      <c r="E14044" t="s">
        <v>36519</v>
      </c>
    </row>
    <row r="14045" spans="1:5">
      <c r="A14045" t="s">
        <v>6</v>
      </c>
      <c r="B14045" t="s">
        <v>14050</v>
      </c>
      <c r="C14045">
        <f>HYPERLINK("C:\Users\franc\OneDrive\Documentos\MALENTIN KARIME\BANCO ESTADO\2012 DEPTO ESCRITURAS fata\NOTARIA 2009\CARLOS BUGUEÑÑ\inmobiliaria cruz colorada ltda - extracto.doc", "Abrir Documento")</f>
        <v>0</v>
      </c>
      <c r="D14045" t="s">
        <v>23500</v>
      </c>
      <c r="E14045" t="s">
        <v>36520</v>
      </c>
    </row>
    <row r="14046" spans="1:5">
      <c r="A14046" t="s">
        <v>6</v>
      </c>
      <c r="B14046" t="s">
        <v>14051</v>
      </c>
      <c r="C14046">
        <f>HYPERLINK("C:\Users\franc\OneDrive\Documentos\MALENTIN KARIME\BANCO ESTADO\2012 DEPTO ESCRITURAS fata\NOTARIA 2009\CARLOS BUGUEÑÑ\INMOBILIARIA CRUZ COLORADA a Verónica Fernandez Arancibia.doc", "Abrir Documento")</f>
        <v>0</v>
      </c>
      <c r="D14046" t="s">
        <v>23500</v>
      </c>
      <c r="E14046" t="s">
        <v>36521</v>
      </c>
    </row>
    <row r="14047" spans="1:5">
      <c r="A14047" t="s">
        <v>6</v>
      </c>
      <c r="B14047" t="s">
        <v>14052</v>
      </c>
      <c r="C14047">
        <f>HYPERLINK("C:\Users\franc\OneDrive\Documentos\MALENTIN KARIME\BANCO ESTADO\2012 DEPTO ESCRITURAS fata\NOTARIA 2009\CARLOS BUGUEÑÑ\Inmobiliaria Cruz Colorada a pamela cofre  03-10-2007.doc", "Abrir Documento")</f>
        <v>0</v>
      </c>
      <c r="D14047" t="s">
        <v>23500</v>
      </c>
      <c r="E14047" t="s">
        <v>36522</v>
      </c>
    </row>
    <row r="14048" spans="1:5">
      <c r="A14048" t="s">
        <v>6</v>
      </c>
      <c r="B14048" t="s">
        <v>14053</v>
      </c>
      <c r="C14048">
        <f>HYPERLINK("C:\Users\franc\OneDrive\Documentos\MALENTIN KARIME\BANCO ESTADO\2012 DEPTO ESCRITURAS fata\NOTARIA 2009\CARLOS BUGUEÑÑ\Inmobiliaria Cruz Colorada a Manuel Mendez Madriaza.doc", "Abrir Documento")</f>
        <v>0</v>
      </c>
      <c r="D14048" t="s">
        <v>23500</v>
      </c>
      <c r="E14048" t="s">
        <v>36523</v>
      </c>
    </row>
    <row r="14049" spans="1:5">
      <c r="A14049" t="s">
        <v>6</v>
      </c>
      <c r="B14049" t="s">
        <v>14054</v>
      </c>
      <c r="C14049">
        <f>HYPERLINK("C:\Users\franc\OneDrive\Documentos\MALENTIN KARIME\BANCO ESTADO\2012 DEPTO ESCRITURAS fata\NOTARIA 2009\CARLOS BUGUEÑÑ\Inmobiliaria Cruz Colorada a ESTEBAN ARAYA.doc", "Abrir Documento")</f>
        <v>0</v>
      </c>
      <c r="D14049" t="s">
        <v>23500</v>
      </c>
      <c r="E14049" t="s">
        <v>36524</v>
      </c>
    </row>
    <row r="14050" spans="1:5">
      <c r="A14050" t="s">
        <v>6</v>
      </c>
      <c r="B14050" t="s">
        <v>14055</v>
      </c>
      <c r="C14050">
        <f>HYPERLINK("C:\Users\franc\OneDrive\Documentos\MALENTIN KARIME\BANCO ESTADO\2012 DEPTO ESCRITURAS fata\NOTARIA 2009\CARLOS BUGUEÑÑ\INMOBILIARIA CRUZ COLORADA A CRISTIAN ROBLES.doc", "Abrir Documento")</f>
        <v>0</v>
      </c>
      <c r="D14050" t="s">
        <v>23500</v>
      </c>
      <c r="E14050" t="s">
        <v>36525</v>
      </c>
    </row>
    <row r="14051" spans="1:5">
      <c r="A14051" t="s">
        <v>6</v>
      </c>
      <c r="B14051" t="s">
        <v>14056</v>
      </c>
      <c r="C14051">
        <f>HYPERLINK("C:\Users\franc\OneDrive\Documentos\MALENTIN KARIME\BANCO ESTADO\2012 DEPTO ESCRITURAS fata\NOTARIA 2009\CARLOS BUGUEÑÑ\INMOBILIARIA CRUZ A MANUEL VILLARROEL.doc", "Abrir Documento")</f>
        <v>0</v>
      </c>
      <c r="D14051" t="s">
        <v>23500</v>
      </c>
      <c r="E14051" t="s">
        <v>36526</v>
      </c>
    </row>
    <row r="14052" spans="1:5">
      <c r="A14052" t="s">
        <v>6</v>
      </c>
      <c r="B14052" t="s">
        <v>14057</v>
      </c>
      <c r="C14052">
        <f>HYPERLINK("C:\Users\franc\OneDrive\Documentos\MALENTIN KARIME\BANCO ESTADO\2012 DEPTO ESCRITURAS fata\NOTARIA 2009\CARLOS BUGUEÑÑ\INMOBILIARIA CRUZ A ESTEBAN ARAYA.doc", "Abrir Documento")</f>
        <v>0</v>
      </c>
      <c r="D14052" t="s">
        <v>23500</v>
      </c>
      <c r="E14052" t="s">
        <v>36527</v>
      </c>
    </row>
    <row r="14053" spans="1:5">
      <c r="A14053" t="s">
        <v>6</v>
      </c>
      <c r="B14053" t="s">
        <v>14058</v>
      </c>
      <c r="C14053">
        <f>HYPERLINK("C:\Users\franc\OneDrive\Documentos\MALENTIN KARIME\BANCO ESTADO\2012 DEPTO ESCRITURAS fata\NOTARIA 2009\CARLOS BUGUEÑÑ\INMOBILIARIA BOZO Y SANDOVAL.doc", "Abrir Documento")</f>
        <v>0</v>
      </c>
      <c r="D14053" t="s">
        <v>23500</v>
      </c>
      <c r="E14053" t="s">
        <v>36528</v>
      </c>
    </row>
    <row r="14054" spans="1:5">
      <c r="A14054" t="s">
        <v>6</v>
      </c>
      <c r="B14054" t="s">
        <v>14059</v>
      </c>
      <c r="C14054">
        <f>HYPERLINK("C:\Users\franc\OneDrive\Documentos\MALENTIN KARIME\BANCO ESTADO\2012 DEPTO ESCRITURAS fata\NOTARIA 2009\CARLOS BUGUEÑÑ\HUGO SEGOVIA Y OTROS A LUIS BAEZA (CESION DERECHOS).doc", "Abrir Documento")</f>
        <v>0</v>
      </c>
      <c r="D14054" t="s">
        <v>23500</v>
      </c>
      <c r="E14054" t="s">
        <v>36529</v>
      </c>
    </row>
    <row r="14055" spans="1:5">
      <c r="A14055" t="s">
        <v>6</v>
      </c>
      <c r="B14055" t="s">
        <v>14060</v>
      </c>
      <c r="C14055">
        <f>HYPERLINK("C:\Users\franc\OneDrive\Documentos\MALENTIN KARIME\BANCO ESTADO\2012 DEPTO ESCRITURAS fata\NOTARIA 2009\CARLOS BUGUEÑÑ\HUGO SEGOVIA (CONYUGE) RATIFICACION.doc", "Abrir Documento")</f>
        <v>0</v>
      </c>
      <c r="D14055" t="s">
        <v>23500</v>
      </c>
      <c r="E14055" t="s">
        <v>36530</v>
      </c>
    </row>
    <row r="14056" spans="1:5">
      <c r="A14056" t="s">
        <v>6</v>
      </c>
      <c r="B14056" t="s">
        <v>14061</v>
      </c>
      <c r="C14056">
        <f>HYPERLINK("C:\Users\franc\OneDrive\Documentos\MALENTIN KARIME\BANCO ESTADO\2012 DEPTO ESCRITURAS fata\NOTARIA 2009\CARLOS BUGUEÑÑ\hotelera plaza sa - constit sociedad - dic 2007 - extracto.doc", "Abrir Documento")</f>
        <v>0</v>
      </c>
      <c r="D14056" t="s">
        <v>23500</v>
      </c>
      <c r="E14056" t="s">
        <v>36531</v>
      </c>
    </row>
    <row r="14057" spans="1:5">
      <c r="A14057" t="s">
        <v>6</v>
      </c>
      <c r="B14057" t="s">
        <v>14062</v>
      </c>
      <c r="C14057">
        <f>HYPERLINK("C:\Users\franc\OneDrive\Documentos\MALENTIN KARIME\BANCO ESTADO\2012 DEPTO ESCRITURAS fata\NOTARIA 2009\CARLOS BUGUEÑÑ\hotelera american sa - constit soc dic 2007 - extracto.doc", "Abrir Documento")</f>
        <v>0</v>
      </c>
      <c r="D14057" t="s">
        <v>23500</v>
      </c>
      <c r="E14057" t="s">
        <v>36532</v>
      </c>
    </row>
    <row r="14058" spans="1:5">
      <c r="A14058" t="s">
        <v>6</v>
      </c>
      <c r="B14058" t="s">
        <v>14063</v>
      </c>
      <c r="C14058">
        <f>HYPERLINK("C:\Users\franc\OneDrive\Documentos\MALENTIN KARIME\BANCO ESTADO\2012 DEPTO ESCRITURAS fata\NOTARIA 2009\CARLOS BUGUEÑÑ\HERMAN ROJAS A BOSMAN.doc", "Abrir Documento")</f>
        <v>0</v>
      </c>
      <c r="D14058" t="s">
        <v>23500</v>
      </c>
      <c r="E14058" t="s">
        <v>36533</v>
      </c>
    </row>
    <row r="14059" spans="1:5">
      <c r="A14059" t="s">
        <v>6</v>
      </c>
      <c r="B14059" t="s">
        <v>14064</v>
      </c>
      <c r="C14059">
        <f>HYPERLINK("C:\Users\franc\OneDrive\Documentos\MALENTIN KARIME\BANCO ESTADO\2012 DEPTO ESCRITURAS fata\NOTARIA 2009\CARLOS BUGUEÑÑ\HANS FEISE SERVIDUMBRE FINAL.doc", "Abrir Documento")</f>
        <v>0</v>
      </c>
      <c r="D14059" t="s">
        <v>23500</v>
      </c>
      <c r="E14059" t="s">
        <v>36534</v>
      </c>
    </row>
    <row r="14060" spans="1:5">
      <c r="A14060" t="s">
        <v>6</v>
      </c>
      <c r="B14060" t="s">
        <v>14065</v>
      </c>
      <c r="C14060">
        <f>HYPERLINK("C:\Users\franc\OneDrive\Documentos\MALENTIN KARIME\BANCO ESTADO\2012 DEPTO ESCRITURAS fata\NOTARIA 2009\CARLOS BUGUEÑÑ\HANS FEISE A IVAN VARELA.doc", "Abrir Documento")</f>
        <v>0</v>
      </c>
      <c r="D14060" t="s">
        <v>23500</v>
      </c>
      <c r="E14060" t="s">
        <v>36535</v>
      </c>
    </row>
    <row r="14061" spans="1:5">
      <c r="A14061" t="s">
        <v>6</v>
      </c>
      <c r="B14061" t="s">
        <v>14066</v>
      </c>
      <c r="C14061">
        <f>HYPERLINK("C:\Users\franc\OneDrive\Documentos\MALENTIN KARIME\BANCO ESTADO\2012 DEPTO ESCRITURAS fata\NOTARIA 2009\CARLOS BUGUEÑÑ\HANS FEISE A GLORIA PROHENS.doc", "Abrir Documento")</f>
        <v>0</v>
      </c>
      <c r="D14061" t="s">
        <v>23500</v>
      </c>
      <c r="E14061" t="s">
        <v>36536</v>
      </c>
    </row>
    <row r="14062" spans="1:5">
      <c r="A14062" t="s">
        <v>6</v>
      </c>
      <c r="B14062" t="s">
        <v>14067</v>
      </c>
      <c r="C14062">
        <f>HYPERLINK("C:\Users\franc\OneDrive\Documentos\MALENTIN KARIME\BANCO ESTADO\2012 DEPTO ESCRITURAS fata\NOTARIA 2009\CARLOS BUGUEÑÑ\HANNA MISLEH.doc", "Abrir Documento")</f>
        <v>0</v>
      </c>
      <c r="D14062" t="s">
        <v>23500</v>
      </c>
      <c r="E14062" t="s">
        <v>36537</v>
      </c>
    </row>
    <row r="14063" spans="1:5">
      <c r="A14063" t="s">
        <v>6</v>
      </c>
      <c r="B14063" t="s">
        <v>14068</v>
      </c>
      <c r="C14063">
        <f>HYPERLINK("C:\Users\franc\OneDrive\Documentos\MALENTIN KARIME\BANCO ESTADO\2012 DEPTO ESCRITURAS fata\NOTARIA 2009\CARLOS BUGUEÑÑ\GONART RESCILIACION.doc", "Abrir Documento")</f>
        <v>0</v>
      </c>
      <c r="D14063" t="s">
        <v>23500</v>
      </c>
      <c r="E14063" t="s">
        <v>36538</v>
      </c>
    </row>
    <row r="14064" spans="1:5">
      <c r="A14064" t="s">
        <v>6</v>
      </c>
      <c r="B14064" t="s">
        <v>14069</v>
      </c>
      <c r="C14064">
        <f>HYPERLINK("C:\Users\franc\OneDrive\Documentos\MALENTIN KARIME\BANCO ESTADO\2012 DEPTO ESCRITURAS fata\NOTARIA 2009\CARLOS BUGUEÑÑ\GONART LTDA. (MODIFICACION).doc", "Abrir Documento")</f>
        <v>0</v>
      </c>
      <c r="D14064" t="s">
        <v>23500</v>
      </c>
      <c r="E14064" t="s">
        <v>36539</v>
      </c>
    </row>
    <row r="14065" spans="1:5">
      <c r="A14065" t="s">
        <v>6</v>
      </c>
      <c r="B14065" t="s">
        <v>14070</v>
      </c>
      <c r="C14065">
        <f>HYPERLINK("C:\Users\franc\OneDrive\Documentos\MALENTIN KARIME\BANCO ESTADO\2012 DEPTO ESCRITURAS fata\NOTARIA 2009\CARLOS BUGUEÑÑ\GONAGRO S.A. (MODIFICACION).doc", "Abrir Documento")</f>
        <v>0</v>
      </c>
      <c r="D14065" t="s">
        <v>23500</v>
      </c>
      <c r="E14065" t="s">
        <v>36540</v>
      </c>
    </row>
    <row r="14066" spans="1:5">
      <c r="A14066" t="s">
        <v>6</v>
      </c>
      <c r="B14066" t="s">
        <v>14071</v>
      </c>
      <c r="C14066">
        <f>HYPERLINK("C:\Users\franc\OneDrive\Documentos\MALENTIN KARIME\BANCO ESTADO\2012 DEPTO ESCRITURAS fata\NOTARIA 2009\CARLOS BUGUEÑÑ\FRANCISCO RIVERA A C. ARDILES Y OTRO.doc", "Abrir Documento")</f>
        <v>0</v>
      </c>
      <c r="D14066" t="s">
        <v>23500</v>
      </c>
      <c r="E14066" t="s">
        <v>36541</v>
      </c>
    </row>
    <row r="14067" spans="1:5">
      <c r="A14067" t="s">
        <v>6</v>
      </c>
      <c r="B14067" t="s">
        <v>14072</v>
      </c>
      <c r="C14067">
        <f>HYPERLINK("C:\Users\franc\OneDrive\Documentos\MALENTIN KARIME\BANCO ESTADO\2012 DEPTO ESCRITURAS fata\NOTARIA 2009\CARLOS BUGUEÑÑ\FARMACE. PRAD  SANEAMIENTO.doc", "Abrir Documento")</f>
        <v>0</v>
      </c>
      <c r="D14067" t="s">
        <v>23500</v>
      </c>
      <c r="E14067" t="s">
        <v>36542</v>
      </c>
    </row>
    <row r="14068" spans="1:5">
      <c r="A14068" t="s">
        <v>6</v>
      </c>
      <c r="B14068" t="s">
        <v>14073</v>
      </c>
      <c r="C14068">
        <f>HYPERLINK("C:\Users\franc\OneDrive\Documentos\MALENTIN KARIME\BANCO ESTADO\2012 DEPTO ESCRITURAS fata\NOTARIA 2009\CARLOS BUGUEÑÑ\declaracion jurada jcg jul 2006.doc", "Abrir Documento")</f>
        <v>0</v>
      </c>
      <c r="D14068" t="s">
        <v>23500</v>
      </c>
      <c r="E14068" t="s">
        <v>36543</v>
      </c>
    </row>
    <row r="14069" spans="1:5">
      <c r="A14069" t="s">
        <v>6</v>
      </c>
      <c r="B14069" t="s">
        <v>14074</v>
      </c>
      <c r="C14069">
        <f>HYPERLINK("C:\Users\franc\OneDrive\Documentos\MALENTIN KARIME\BANCO ESTADO\2012 DEPTO ESCRITURAS fata\NOTARIA 2009\CARLOS BUGUEÑÑ\CRUZ COLORADA SANEAMIENTO.doc", "Abrir Documento")</f>
        <v>0</v>
      </c>
      <c r="D14069" t="s">
        <v>23500</v>
      </c>
      <c r="E14069" t="s">
        <v>36544</v>
      </c>
    </row>
    <row r="14070" spans="1:5">
      <c r="A14070" t="s">
        <v>6</v>
      </c>
      <c r="B14070" t="s">
        <v>14075</v>
      </c>
      <c r="C14070">
        <f>HYPERLINK("C:\Users\franc\OneDrive\Documentos\MALENTIN KARIME\BANCO ESTADO\2012 DEPTO ESCRITURAS fata\NOTARIA 2009\CARLOS BUGUEÑÑ\clausula LIDIA AGUAS.doc", "Abrir Documento")</f>
        <v>0</v>
      </c>
      <c r="D14070" t="s">
        <v>23500</v>
      </c>
      <c r="E14070" t="s">
        <v>36545</v>
      </c>
    </row>
    <row r="14071" spans="1:5">
      <c r="A14071" t="s">
        <v>6</v>
      </c>
      <c r="B14071" t="s">
        <v>14076</v>
      </c>
      <c r="C14071">
        <f>HYPERLINK("C:\Users\franc\OneDrive\Documentos\MALENTIN KARIME\BANCO ESTADO\2012 DEPTO ESCRITURAS fata\NOTARIA 2009\CARLOS BUGUEÑÑ\CIA. PISQUERA CHILE A MANUEL LOPEZ.doc", "Abrir Documento")</f>
        <v>0</v>
      </c>
      <c r="D14071" t="s">
        <v>23500</v>
      </c>
      <c r="E14071" t="s">
        <v>36546</v>
      </c>
    </row>
    <row r="14072" spans="1:5">
      <c r="A14072" t="s">
        <v>6</v>
      </c>
      <c r="B14072" t="s">
        <v>14077</v>
      </c>
      <c r="C14072">
        <f>HYPERLINK("C:\Users\franc\OneDrive\Documentos\MALENTIN KARIME\BANCO ESTADO\2012 DEPTO ESCRITURAS fata\NOTARIA 2009\CARLOS BUGUEÑÑ\CHAÑARAL BAJO NORTE (REDUCCION).doc", "Abrir Documento")</f>
        <v>0</v>
      </c>
      <c r="D14072" t="s">
        <v>23500</v>
      </c>
      <c r="E14072" t="s">
        <v>36547</v>
      </c>
    </row>
    <row r="14073" spans="1:5">
      <c r="A14073" t="s">
        <v>6</v>
      </c>
      <c r="B14073" t="s">
        <v>14078</v>
      </c>
      <c r="C14073">
        <f>HYPERLINK("C:\Users\franc\OneDrive\Documentos\MALENTIN KARIME\BANCO ESTADO\2012 DEPTO ESCRITURAS fata\NOTARIA 2009\CARLOS BUGUEÑÑ\carta.instruccMIGUEL TAPIA.doc", "Abrir Documento")</f>
        <v>0</v>
      </c>
      <c r="D14073" t="s">
        <v>23500</v>
      </c>
      <c r="E14073" t="s">
        <v>36548</v>
      </c>
    </row>
    <row r="14074" spans="1:5">
      <c r="A14074" t="s">
        <v>6</v>
      </c>
      <c r="B14074" t="s">
        <v>14079</v>
      </c>
      <c r="C14074">
        <f>HYPERLINK("C:\Users\franc\OneDrive\Documentos\MALENTIN KARIME\BANCO ESTADO\2012 DEPTO ESCRITURAS fata\NOTARIA 2009\CARLOS BUGUEÑÑ\carta.instrucc hildegard.doc", "Abrir Documento")</f>
        <v>0</v>
      </c>
      <c r="D14074" t="s">
        <v>23500</v>
      </c>
      <c r="E14074" t="s">
        <v>36549</v>
      </c>
    </row>
    <row r="14075" spans="1:5">
      <c r="A14075" t="s">
        <v>6</v>
      </c>
      <c r="B14075" t="s">
        <v>14080</v>
      </c>
      <c r="C14075">
        <f>HYPERLINK("C:\Users\franc\OneDrive\Documentos\MALENTIN KARIME\BANCO ESTADO\2012 DEPTO ESCRITURAS fata\NOTARIA 2009\CARLOS BUGUEÑÑ\carta.instrucc ALCONES.doc", "Abrir Documento")</f>
        <v>0</v>
      </c>
      <c r="D14075" t="s">
        <v>23500</v>
      </c>
      <c r="E14075" t="s">
        <v>36550</v>
      </c>
    </row>
    <row r="14076" spans="1:5">
      <c r="A14076" t="s">
        <v>6</v>
      </c>
      <c r="B14076" t="s">
        <v>14081</v>
      </c>
      <c r="C14076">
        <f>HYPERLINK("C:\Users\franc\OneDrive\Documentos\MALENTIN KARIME\BANCO ESTADO\2012 DEPTO ESCRITURAS fata\NOTARIA 2009\CARLOS BUGUEÑÑ\carta.inst. mitimae ltda nov 2006.doc", "Abrir Documento")</f>
        <v>0</v>
      </c>
      <c r="D14076" t="s">
        <v>23500</v>
      </c>
      <c r="E14076" t="s">
        <v>36551</v>
      </c>
    </row>
    <row r="14077" spans="1:5">
      <c r="A14077" t="s">
        <v>6</v>
      </c>
      <c r="B14077" t="s">
        <v>14082</v>
      </c>
      <c r="C14077">
        <f>HYPERLINK("C:\Users\franc\OneDrive\Documentos\MALENTIN KARIME\BANCO ESTADO\2012 DEPTO ESCRITURAS fata\NOTARIA 2009\CARLOS BUGUEÑÑ\CARTA INSTR. FCO. GONZALEZ FIGARI.doc", "Abrir Documento")</f>
        <v>0</v>
      </c>
      <c r="D14077" t="s">
        <v>23500</v>
      </c>
      <c r="E14077" t="s">
        <v>36552</v>
      </c>
    </row>
    <row r="14078" spans="1:5">
      <c r="A14078" t="s">
        <v>6</v>
      </c>
      <c r="B14078" t="s">
        <v>14083</v>
      </c>
      <c r="C14078">
        <f>HYPERLINK("C:\Users\franc\OneDrive\Documentos\MALENTIN KARIME\BANCO ESTADO\2012 DEPTO ESCRITURAS fata\NOTARIA 2009\CARLOS BUGUEÑÑ\CARTA ERIC CONTRERAS.doc", "Abrir Documento")</f>
        <v>0</v>
      </c>
      <c r="D14078" t="s">
        <v>23500</v>
      </c>
      <c r="E14078" t="s">
        <v>36553</v>
      </c>
    </row>
    <row r="14079" spans="1:5">
      <c r="A14079" t="s">
        <v>6</v>
      </c>
      <c r="B14079" t="s">
        <v>14084</v>
      </c>
      <c r="C14079">
        <f>HYPERLINK("C:\Users\franc\OneDrive\Documentos\MALENTIN KARIME\BANCO ESTADO\2012 DEPTO ESCRITURAS fata\NOTARIA 2009\CARLOS BUGUEÑÑ\CARMEN ROJAS A BOSMAN.doc", "Abrir Documento")</f>
        <v>0</v>
      </c>
      <c r="D14079" t="s">
        <v>23500</v>
      </c>
      <c r="E14079" t="s">
        <v>36554</v>
      </c>
    </row>
    <row r="14080" spans="1:5">
      <c r="A14080" t="s">
        <v>6</v>
      </c>
      <c r="B14080" t="s">
        <v>14085</v>
      </c>
      <c r="C14080">
        <f>HYPERLINK("C:\Users\franc\OneDrive\Documentos\MALENTIN KARIME\BANCO ESTADO\2012 DEPTO ESCRITURAS fata\NOTARIA 2009\CARLOS BUGUEÑÑ\Bascope y Zepeda.modif -sep 2006 - extracto.doc", "Abrir Documento")</f>
        <v>0</v>
      </c>
      <c r="D14080" t="s">
        <v>23500</v>
      </c>
      <c r="E14080" t="s">
        <v>36555</v>
      </c>
    </row>
    <row r="14081" spans="1:5">
      <c r="A14081" t="s">
        <v>6</v>
      </c>
      <c r="B14081" t="s">
        <v>14086</v>
      </c>
      <c r="C14081">
        <f>HYPERLINK("C:\Users\franc\OneDrive\Documentos\MALENTIN KARIME\BANCO ESTADO\2012 DEPTO ESCRITURAS fata\NOTARIA 2009\CARLOS BUGUEÑÑ\AVESTRUCES A LUIS PIZARRO LTDA..doc", "Abrir Documento")</f>
        <v>0</v>
      </c>
      <c r="D14081" t="s">
        <v>23500</v>
      </c>
      <c r="E14081" t="s">
        <v>36556</v>
      </c>
    </row>
    <row r="14082" spans="1:5">
      <c r="A14082" t="s">
        <v>6</v>
      </c>
      <c r="B14082" t="s">
        <v>14087</v>
      </c>
      <c r="C14082">
        <f>HYPERLINK("C:\Users\franc\OneDrive\Documentos\MALENTIN KARIME\BANCO ESTADO\2012 DEPTO ESCRITURAS fata\NOTARIA 2009\CARLOS BUGUEÑÑ\AURA NEYRA ERAZO a MARIA ZEPEDA GOMILA.doc", "Abrir Documento")</f>
        <v>0</v>
      </c>
      <c r="D14082" t="s">
        <v>23500</v>
      </c>
      <c r="E14082" t="s">
        <v>36557</v>
      </c>
    </row>
    <row r="14083" spans="1:5">
      <c r="A14083" t="s">
        <v>6</v>
      </c>
      <c r="B14083" t="s">
        <v>14088</v>
      </c>
      <c r="C14083">
        <f>HYPERLINK("C:\Users\franc\OneDrive\Documentos\MALENTIN KARIME\BANCO ESTADO\2012 DEPTO ESCRITURAS fata\NOTARIA 2009\CARLOS BUGUEÑÑ\arriendo agide - agosto 2006.doc", "Abrir Documento")</f>
        <v>0</v>
      </c>
      <c r="D14083" t="s">
        <v>23500</v>
      </c>
      <c r="E14083" t="s">
        <v>36558</v>
      </c>
    </row>
    <row r="14084" spans="1:5">
      <c r="A14084" t="s">
        <v>6</v>
      </c>
      <c r="B14084" t="s">
        <v>14089</v>
      </c>
      <c r="C14084">
        <f>HYPERLINK("C:\Users\franc\OneDrive\Documentos\MALENTIN KARIME\BANCO ESTADO\2012 DEPTO ESCRITURAS fata\NOTARIA 2009\CARLOS BUGUEÑÑ\arriendo adige - agosto 2006.doc", "Abrir Documento")</f>
        <v>0</v>
      </c>
      <c r="D14084" t="s">
        <v>23500</v>
      </c>
      <c r="E14084" t="s">
        <v>36559</v>
      </c>
    </row>
    <row r="14085" spans="1:5">
      <c r="A14085" t="s">
        <v>6</v>
      </c>
      <c r="B14085" t="s">
        <v>14090</v>
      </c>
      <c r="C14085">
        <f>HYPERLINK("C:\Users\franc\OneDrive\Documentos\MALENTIN KARIME\BANCO ESTADO\2012 DEPTO ESCRITURAS fata\NOTARIA 2009\CARLOS BUGUEÑÑ\Antonio Muñoz a Inversiones BOSMAN.doc", "Abrir Documento")</f>
        <v>0</v>
      </c>
      <c r="D14085" t="s">
        <v>23500</v>
      </c>
      <c r="E14085" t="s">
        <v>36560</v>
      </c>
    </row>
    <row r="14086" spans="1:5">
      <c r="A14086" t="s">
        <v>6</v>
      </c>
      <c r="B14086" t="s">
        <v>14091</v>
      </c>
      <c r="C14086">
        <f>HYPERLINK("C:\Users\franc\OneDrive\Documentos\MALENTIN KARIME\BANCO ESTADO\2012 DEPTO ESCRITURAS fata\NOTARIA 2009\CARLOS BUGUEÑÑ\ALICIA ROJAS A CLAUDIO ARDILES Y OTRO.doc", "Abrir Documento")</f>
        <v>0</v>
      </c>
      <c r="D14086" t="s">
        <v>23500</v>
      </c>
      <c r="E14086" t="s">
        <v>36561</v>
      </c>
    </row>
    <row r="14087" spans="1:5">
      <c r="A14087" t="s">
        <v>6</v>
      </c>
      <c r="B14087" t="s">
        <v>14092</v>
      </c>
      <c r="C14087">
        <f>HYPERLINK("C:\Users\franc\OneDrive\Documentos\MALENTIN KARIME\BANCO ESTADO\2012 DEPTO ESCRITURAS fata\NOTARIA 2009\CARLOS BUGUEÑÑ\aguas antonio muñoz miranda AGUAS MARIO.doc", "Abrir Documento")</f>
        <v>0</v>
      </c>
      <c r="D14087" t="s">
        <v>23500</v>
      </c>
      <c r="E14087" t="s">
        <v>36562</v>
      </c>
    </row>
    <row r="14088" spans="1:5">
      <c r="A14088" t="s">
        <v>6</v>
      </c>
      <c r="B14088" t="s">
        <v>14093</v>
      </c>
      <c r="C14088">
        <f>HYPERLINK("C:\Users\franc\OneDrive\Documentos\MALENTIN KARIME\BANCO ESTADO\2012 DEPTO ESCRITURAS fata\NOTARIA 2009\CARLOS BUGUEÑÑ\aguas antonio muñoz miranda AGUAS LUIS.doc", "Abrir Documento")</f>
        <v>0</v>
      </c>
      <c r="D14088" t="s">
        <v>23500</v>
      </c>
      <c r="E14088" t="s">
        <v>36563</v>
      </c>
    </row>
    <row r="14089" spans="1:5">
      <c r="A14089" t="s">
        <v>6</v>
      </c>
      <c r="B14089" t="s">
        <v>14094</v>
      </c>
      <c r="C14089">
        <f>HYPERLINK("C:\Users\franc\OneDrive\Documentos\MALENTIN KARIME\BANCO ESTADO\2012 DEPTO ESCRITURAS fata\NOTARIA 2009\CARLOS BUGUEÑÑ\agrotransportes pineda ltda extracto[1].doc", "Abrir Documento")</f>
        <v>0</v>
      </c>
      <c r="D14089" t="s">
        <v>23500</v>
      </c>
      <c r="E14089" t="s">
        <v>36564</v>
      </c>
    </row>
    <row r="14090" spans="1:5">
      <c r="A14090" t="s">
        <v>6</v>
      </c>
      <c r="B14090" t="s">
        <v>14095</v>
      </c>
      <c r="C14090">
        <f>HYPERLINK("C:\Users\franc\OneDrive\Documentos\MALENTIN KARIME\BANCO ESTADO\2012 DEPTO ESCRITURAS fata\NOTARIA 2009\CARLOS BUGUEÑÑ\AGRICOLA MITIMAE LTDA. 20 NOV 2006.doc", "Abrir Documento")</f>
        <v>0</v>
      </c>
      <c r="D14090" t="s">
        <v>23500</v>
      </c>
      <c r="E14090" t="s">
        <v>36565</v>
      </c>
    </row>
    <row r="14091" spans="1:5">
      <c r="A14091" t="s">
        <v>6</v>
      </c>
      <c r="B14091" t="s">
        <v>14096</v>
      </c>
      <c r="C14091">
        <f>HYPERLINK("C:\Users\franc\OneDrive\Documentos\MALENTIN KARIME\BANCO ESTADO\2012 DEPTO ESCRITURAS fata\NOTARIA 2009\CARLOS BUGUEÑÑ\agricola los leones sa - dic 2007 - extracto.doc", "Abrir Documento")</f>
        <v>0</v>
      </c>
      <c r="D14091" t="s">
        <v>23500</v>
      </c>
      <c r="E14091" t="s">
        <v>36566</v>
      </c>
    </row>
    <row r="14092" spans="1:5">
      <c r="A14092" t="s">
        <v>6</v>
      </c>
      <c r="B14092" t="s">
        <v>14097</v>
      </c>
      <c r="C14092">
        <f>HYPERLINK("C:\Users\franc\OneDrive\Documentos\MALENTIN KARIME\BANCO ESTADO\2012 DEPTO ESCRITURAS fata\NOTARIA 2009\CARLOS BUGUEÑÑ\AGRICOLA JUANA GONZALEZ Y CIA. MOD SOC.doc", "Abrir Documento")</f>
        <v>0</v>
      </c>
      <c r="D14092" t="s">
        <v>23500</v>
      </c>
      <c r="E14092" t="s">
        <v>36567</v>
      </c>
    </row>
    <row r="14093" spans="1:5">
      <c r="A14093" t="s">
        <v>6</v>
      </c>
      <c r="B14093" t="s">
        <v>14098</v>
      </c>
      <c r="C14093">
        <f>HYPERLINK("C:\Users\franc\OneDrive\Documentos\MALENTIN KARIME\BANCO ESTADO\2012 DEPTO ESCRITURAS fata\NOTARIA 2009\CARLOS BUGUEÑÑ\AGRICOLA ALIRO PINTO Y CRUZ COLORADA PARTICION.doc", "Abrir Documento")</f>
        <v>0</v>
      </c>
      <c r="D14093" t="s">
        <v>23500</v>
      </c>
      <c r="E14093" t="s">
        <v>36568</v>
      </c>
    </row>
    <row r="14094" spans="1:5">
      <c r="A14094" t="s">
        <v>6</v>
      </c>
      <c r="B14094" t="s">
        <v>14099</v>
      </c>
      <c r="C14094">
        <f>HYPERLINK("C:\Users\franc\OneDrive\Documentos\MALENTIN KARIME\BANCO ESTADO\2012 DEPTO ESCRITURAS fata\NOTARIA 2009\CARLOS BUGUEÑÑ\AGIDE FINAL.doc", "Abrir Documento")</f>
        <v>0</v>
      </c>
      <c r="D14094" t="s">
        <v>23500</v>
      </c>
      <c r="E14094" t="s">
        <v>36569</v>
      </c>
    </row>
    <row r="14095" spans="1:5">
      <c r="A14095" t="s">
        <v>6</v>
      </c>
      <c r="B14095" t="s">
        <v>14100</v>
      </c>
      <c r="C14095">
        <f>HYPERLINK("C:\Users\franc\OneDrive\Documentos\MALENTIN KARIME\BANCO ESTADO\2012 DEPTO ESCRITURAS fata\NOTARIA 2009\CARLOS BUGUEÑÑ\ACUERDO Y FINIQUITO ORLANDO OLIVARES Y LAS REPRESAS.doc", "Abrir Documento")</f>
        <v>0</v>
      </c>
      <c r="D14095" t="s">
        <v>23500</v>
      </c>
      <c r="E14095" t="s">
        <v>36570</v>
      </c>
    </row>
    <row r="14096" spans="1:5">
      <c r="A14096" t="s">
        <v>6</v>
      </c>
      <c r="B14096" t="s">
        <v>14101</v>
      </c>
      <c r="C14096">
        <f>HYPERLINK("C:\Users\franc\OneDrive\Documentos\MALENTIN KARIME\BANCO ESTADO\2012 DEPTO ESCRITURAS fata\NOTARIA 2009\CARLOS BUGUEÑÑ\acta2 .directorio.agricola chañaral bajo norte sa nov 2006 - esc.doc", "Abrir Documento")</f>
        <v>0</v>
      </c>
      <c r="D14096" t="s">
        <v>23500</v>
      </c>
      <c r="E14096" t="s">
        <v>36571</v>
      </c>
    </row>
    <row r="14097" spans="1:5">
      <c r="A14097" t="s">
        <v>6</v>
      </c>
      <c r="B14097" t="s">
        <v>14102</v>
      </c>
      <c r="C14097">
        <f>HYPERLINK("C:\Users\franc\OneDrive\Documentos\MALENTIN KARIME\BANCO ESTADO\2012 DEPTO ESCRITURAS fata\NOTARIA 2009\CARLOS BUGUEÑÑ\ACTA SESION DIRECTORIO LIMARI TRADING.doc", "Abrir Documento")</f>
        <v>0</v>
      </c>
      <c r="D14097" t="s">
        <v>23500</v>
      </c>
      <c r="E14097" t="s">
        <v>36572</v>
      </c>
    </row>
    <row r="14098" spans="1:5">
      <c r="A14098" t="s">
        <v>6</v>
      </c>
      <c r="B14098" t="s">
        <v>14103</v>
      </c>
      <c r="C14098">
        <f>HYPERLINK("C:\Users\franc\OneDrive\Documentos\MALENTIN KARIME\BANCO ESTADO\2012 DEPTO ESCRITURAS fata\NOTARIA 2009\CARLOS BUGUEÑÑ\ACTA MALLORCA.doc", "Abrir Documento")</f>
        <v>0</v>
      </c>
      <c r="D14098" t="s">
        <v>23500</v>
      </c>
      <c r="E14098" t="s">
        <v>36573</v>
      </c>
    </row>
    <row r="14099" spans="1:5">
      <c r="A14099" t="s">
        <v>6</v>
      </c>
      <c r="B14099" t="s">
        <v>14104</v>
      </c>
      <c r="C14099">
        <f>HYPERLINK("C:\Users\franc\OneDrive\Documentos\MALENTIN KARIME\BANCO ESTADO\2012 DEPTO ESCRITURAS fata\NOTARIA 2009\CARLOS BUGUEÑÑ\Acta Junta Ext 2 agricola chañaral bajo norte sa nov 2006 - esc.doc", "Abrir Documento")</f>
        <v>0</v>
      </c>
      <c r="D14099" t="s">
        <v>23500</v>
      </c>
      <c r="E14099" t="s">
        <v>36574</v>
      </c>
    </row>
    <row r="14100" spans="1:5">
      <c r="A14100" t="s">
        <v>6</v>
      </c>
      <c r="B14100" t="s">
        <v>14105</v>
      </c>
      <c r="C14100">
        <f>HYPERLINK("C:\Users\franc\OneDrive\Documentos\MALENTIN KARIME\BANCO ESTADO\2012 DEPTO ESCRITURAS fata\NOTARIA 2009\CARLOS BUGUEÑÑ\ACTA AVESTRUCES.doc", "Abrir Documento")</f>
        <v>0</v>
      </c>
      <c r="D14100" t="s">
        <v>23500</v>
      </c>
      <c r="E14100" t="s">
        <v>36575</v>
      </c>
    </row>
    <row r="14101" spans="1:5">
      <c r="A14101" t="s">
        <v>6</v>
      </c>
      <c r="B14101" t="s">
        <v>14106</v>
      </c>
      <c r="C14101">
        <f>HYPERLINK("C:\Users\franc\OneDrive\Documentos\MALENTIN KARIME\BANCO ESTADO\2012 DEPTO ESCRITURAS fata\NOTARIA 2009\CARLOS BUGUEÑÑ\ACLARACION CERRO CAMPANARIO.doc", "Abrir Documento")</f>
        <v>0</v>
      </c>
      <c r="D14101" t="s">
        <v>23500</v>
      </c>
      <c r="E14101" t="s">
        <v>36576</v>
      </c>
    </row>
    <row r="14102" spans="1:5">
      <c r="A14102" t="s">
        <v>6</v>
      </c>
      <c r="B14102" t="s">
        <v>14107</v>
      </c>
      <c r="C14102">
        <f>HYPERLINK("C:\Users\franc\OneDrive\Documentos\MALENTIN KARIME\BANCO ESTADO\2012 DEPTO ESCRITURAS fata\NOTARIA 2009\CAPEL\REMIGIO CASTRO.doc", "Abrir Documento")</f>
        <v>0</v>
      </c>
      <c r="D14102" t="s">
        <v>23500</v>
      </c>
      <c r="E14102" t="s">
        <v>36577</v>
      </c>
    </row>
    <row r="14103" spans="1:5">
      <c r="A14103" t="s">
        <v>6</v>
      </c>
      <c r="B14103" t="s">
        <v>14108</v>
      </c>
      <c r="C14103">
        <f>HYPERLINK("C:\Users\franc\OneDrive\Documentos\MALENTIN KARIME\BANCO ESTADO\2012 DEPTO ESCRITURAS fata\NOTARIA 2009\CAPEL\LUZMENIA CORTES (VENTA).doc", "Abrir Documento")</f>
        <v>0</v>
      </c>
      <c r="D14103" t="s">
        <v>23500</v>
      </c>
      <c r="E14103" t="s">
        <v>36578</v>
      </c>
    </row>
    <row r="14104" spans="1:5">
      <c r="A14104" t="s">
        <v>6</v>
      </c>
      <c r="B14104" t="s">
        <v>14109</v>
      </c>
      <c r="C14104">
        <f>HYPERLINK("C:\Users\franc\OneDrive\Documentos\MALENTIN KARIME\BANCO ESTADO\2012 DEPTO ESCRITURAS fata\NOTARIA 2009\CAPEL\LUZMENIA CORTES (VENTA  2).doc", "Abrir Documento")</f>
        <v>0</v>
      </c>
      <c r="D14104" t="s">
        <v>23500</v>
      </c>
      <c r="E14104" t="s">
        <v>36579</v>
      </c>
    </row>
    <row r="14105" spans="1:5">
      <c r="A14105" t="s">
        <v>6</v>
      </c>
      <c r="B14105" t="s">
        <v>14110</v>
      </c>
      <c r="C14105">
        <f>HYPERLINK("C:\Users\franc\OneDrive\Documentos\MALENTIN KARIME\BANCO ESTADO\2012 DEPTO ESCRITURAS fata\NOTARIA 2009\CAPEL\LUZMENIA CORTES (CARTA).doc", "Abrir Documento")</f>
        <v>0</v>
      </c>
      <c r="D14105" t="s">
        <v>23500</v>
      </c>
      <c r="E14105" t="s">
        <v>36580</v>
      </c>
    </row>
    <row r="14106" spans="1:5">
      <c r="A14106" t="s">
        <v>6</v>
      </c>
      <c r="B14106" t="s">
        <v>14111</v>
      </c>
      <c r="C14106">
        <f>HYPERLINK("C:\Users\franc\OneDrive\Documentos\MALENTIN KARIME\BANCO ESTADO\2012 DEPTO ESCRITURAS fata\NOTARIA 2009\CAPEL\JOSE ADAROS.doc", "Abrir Documento")</f>
        <v>0</v>
      </c>
      <c r="D14106" t="s">
        <v>23500</v>
      </c>
      <c r="E14106" t="s">
        <v>36581</v>
      </c>
    </row>
    <row r="14107" spans="1:5">
      <c r="A14107" t="s">
        <v>6</v>
      </c>
      <c r="B14107" t="s">
        <v>14112</v>
      </c>
      <c r="C14107">
        <f>HYPERLINK("C:\Users\franc\OneDrive\Documentos\MALENTIN KARIME\BANCO ESTADO\2012 DEPTO ESCRITURAS fata\NOTARIA 2009\CAPEL\JORGE GUTIERREZ.doc", "Abrir Documento")</f>
        <v>0</v>
      </c>
      <c r="D14107" t="s">
        <v>23500</v>
      </c>
      <c r="E14107" t="s">
        <v>36582</v>
      </c>
    </row>
    <row r="14108" spans="1:5">
      <c r="A14108" t="s">
        <v>6</v>
      </c>
      <c r="B14108" t="s">
        <v>14113</v>
      </c>
      <c r="C14108">
        <f>HYPERLINK("C:\Users\franc\OneDrive\Documentos\MALENTIN KARIME\BANCO ESTADO\2012 DEPTO ESCRITURAS fata\NOTARIA 2009\CAPEL\HUMBERTO AGUIRRE CHARLIN.doc", "Abrir Documento")</f>
        <v>0</v>
      </c>
      <c r="D14108" t="s">
        <v>23500</v>
      </c>
      <c r="E14108" t="s">
        <v>36583</v>
      </c>
    </row>
    <row r="14109" spans="1:5">
      <c r="A14109" t="s">
        <v>6</v>
      </c>
      <c r="B14109" t="s">
        <v>14114</v>
      </c>
      <c r="C14109">
        <f>HYPERLINK("C:\Users\franc\OneDrive\Documentos\MALENTIN KARIME\BANCO ESTADO\2012 DEPTO ESCRITURAS fata\NOTARIA 2009\CAPEL\GLORIA JIMENEZ (VENTA).doc", "Abrir Documento")</f>
        <v>0</v>
      </c>
      <c r="D14109" t="s">
        <v>23500</v>
      </c>
      <c r="E14109" t="s">
        <v>36584</v>
      </c>
    </row>
    <row r="14110" spans="1:5">
      <c r="A14110" t="s">
        <v>6</v>
      </c>
      <c r="B14110" t="s">
        <v>14115</v>
      </c>
      <c r="C14110">
        <f>HYPERLINK("C:\Users\franc\OneDrive\Documentos\MALENTIN KARIME\BANCO ESTADO\2012 DEPTO ESCRITURAS fata\NOTARIA 2009\CAPEL\GLORIA JIMENEZ (CARTA).doc", "Abrir Documento")</f>
        <v>0</v>
      </c>
      <c r="D14110" t="s">
        <v>23500</v>
      </c>
      <c r="E14110" t="s">
        <v>36585</v>
      </c>
    </row>
    <row r="14111" spans="1:5">
      <c r="A14111" t="s">
        <v>6</v>
      </c>
      <c r="B14111" t="s">
        <v>14116</v>
      </c>
      <c r="C14111">
        <f>HYPERLINK("C:\Users\franc\OneDrive\Documentos\MALENTIN KARIME\BANCO ESTADO\2012 DEPTO ESCRITURAS fata\NOTARIA 2009\CAPEL\DOMINGO CHELEN.doc", "Abrir Documento")</f>
        <v>0</v>
      </c>
      <c r="D14111" t="s">
        <v>23500</v>
      </c>
      <c r="E14111" t="s">
        <v>36586</v>
      </c>
    </row>
    <row r="14112" spans="1:5">
      <c r="A14112" t="s">
        <v>6</v>
      </c>
      <c r="B14112" t="s">
        <v>14117</v>
      </c>
      <c r="C14112">
        <f>HYPERLINK("C:\Users\franc\OneDrive\Documentos\MALENTIN KARIME\BANCO ESTADO\2012 DEPTO ESCRITURAS fata\NOTARIA 2009\CAPEL\Chelen_Araya,_Domingo_-__CARTA[1].doc", "Abrir Documento")</f>
        <v>0</v>
      </c>
      <c r="D14112" t="s">
        <v>23500</v>
      </c>
      <c r="E14112" t="s">
        <v>36587</v>
      </c>
    </row>
    <row r="14113" spans="1:5">
      <c r="A14113" t="s">
        <v>6</v>
      </c>
      <c r="B14113" t="s">
        <v>14118</v>
      </c>
      <c r="C14113">
        <f>HYPERLINK("C:\Users\franc\OneDrive\Documentos\MALENTIN KARIME\BANCO ESTADO\2012 DEPTO ESCRITURAS fata\NOTARIA 2009\CAPEL\Aguirre Charlín, CARTA.doc", "Abrir Documento")</f>
        <v>0</v>
      </c>
      <c r="D14113" t="s">
        <v>23500</v>
      </c>
      <c r="E14113" t="s">
        <v>36588</v>
      </c>
    </row>
    <row r="14114" spans="1:5">
      <c r="A14114" t="s">
        <v>6</v>
      </c>
      <c r="B14114" t="s">
        <v>14119</v>
      </c>
      <c r="C14114">
        <f>HYPERLINK("C:\Users\franc\OneDrive\Documentos\MALENTIN KARIME\BANCO ESTADO\2012 DEPTO ESCRITURAS fata\NOTARIA 2009\CANTA RANA\transformación a SA ext.doc", "Abrir Documento")</f>
        <v>0</v>
      </c>
      <c r="D14114" t="s">
        <v>23500</v>
      </c>
      <c r="E14114" t="s">
        <v>36589</v>
      </c>
    </row>
    <row r="14115" spans="1:5">
      <c r="A14115" t="s">
        <v>6</v>
      </c>
      <c r="B14115" t="s">
        <v>14120</v>
      </c>
      <c r="C14115">
        <f>HYPERLINK("C:\Users\franc\OneDrive\Documentos\MALENTIN KARIME\BANCO ESTADO\2012 DEPTO ESCRITURAS fata\NOTARIA 2009\CANTA RANA\MODIFICACION SOCIEAD LOS TILOS.doc", "Abrir Documento")</f>
        <v>0</v>
      </c>
      <c r="D14115" t="s">
        <v>23500</v>
      </c>
      <c r="E14115" t="s">
        <v>36590</v>
      </c>
    </row>
    <row r="14116" spans="1:5">
      <c r="A14116" t="s">
        <v>6</v>
      </c>
      <c r="B14116" t="s">
        <v>14121</v>
      </c>
      <c r="C14116">
        <f>HYPERLINK("C:\Users\franc\OneDrive\Documentos\MALENTIN KARIME\BANCO ESTADO\2012 DEPTO ESCRITURAS fata\NOTARIA 2009\CANTA RANA\Doc6.doc", "Abrir Documento")</f>
        <v>0</v>
      </c>
      <c r="D14116" t="s">
        <v>23500</v>
      </c>
      <c r="E14116" t="s">
        <v>36591</v>
      </c>
    </row>
    <row r="14117" spans="1:5">
      <c r="A14117" t="s">
        <v>6</v>
      </c>
      <c r="B14117" t="s">
        <v>14122</v>
      </c>
      <c r="C14117">
        <f>HYPERLINK("C:\Users\franc\OneDrive\Documentos\MALENTIN KARIME\BANCO ESTADO\2012 DEPTO ESCRITURAS fata\NOTARIA 2009\CANTA RANA\Doc5.doc", "Abrir Documento")</f>
        <v>0</v>
      </c>
      <c r="D14117" t="s">
        <v>23500</v>
      </c>
      <c r="E14117" t="s">
        <v>36592</v>
      </c>
    </row>
    <row r="14118" spans="1:5">
      <c r="A14118" t="s">
        <v>6</v>
      </c>
      <c r="B14118" t="s">
        <v>14123</v>
      </c>
      <c r="C14118">
        <f>HYPERLINK("C:\Users\franc\OneDrive\Documentos\MALENTIN KARIME\BANCO ESTADO\2012 DEPTO ESCRITURAS fata\NOTARIA 2009\CANTA RANA\Doc4.doc", "Abrir Documento")</f>
        <v>0</v>
      </c>
      <c r="D14118" t="s">
        <v>23500</v>
      </c>
      <c r="E14118" t="s">
        <v>36593</v>
      </c>
    </row>
    <row r="14119" spans="1:5">
      <c r="A14119" t="s">
        <v>6</v>
      </c>
      <c r="B14119" t="s">
        <v>14124</v>
      </c>
      <c r="C14119">
        <f>HYPERLINK("C:\Users\franc\OneDrive\Documentos\MALENTIN KARIME\BANCO ESTADO\2012 DEPTO ESCRITURAS fata\NOTARIA 2009\CANCELACION\ULISES ROBLES A INMB. COLOMBRES (CANCELACION PARCIAL).doc", "Abrir Documento")</f>
        <v>0</v>
      </c>
      <c r="D14119" t="s">
        <v>23500</v>
      </c>
      <c r="E14119" t="s">
        <v>36594</v>
      </c>
    </row>
    <row r="14120" spans="1:5">
      <c r="A14120" t="s">
        <v>6</v>
      </c>
      <c r="B14120" t="s">
        <v>14125</v>
      </c>
      <c r="C14120">
        <f>HYPERLINK("C:\Users\franc\OneDrive\Documentos\MALENTIN KARIME\BANCO ESTADO\2012 DEPTO ESCRITURAS fata\NOTARIA 2009\CANCELACION\ROSA LARA A .....doc", "Abrir Documento")</f>
        <v>0</v>
      </c>
      <c r="D14120" t="s">
        <v>23500</v>
      </c>
      <c r="E14120" t="s">
        <v>36595</v>
      </c>
    </row>
    <row r="14121" spans="1:5">
      <c r="A14121" t="s">
        <v>6</v>
      </c>
      <c r="B14121" t="s">
        <v>14126</v>
      </c>
      <c r="C14121">
        <f>HYPERLINK("C:\Users\franc\OneDrive\Documentos\MALENTIN KARIME\BANCO ESTADO\2012 DEPTO ESCRITURAS fata\NOTARIA 2009\CANCELACION\RENE VALUENZUELA.doc", "Abrir Documento")</f>
        <v>0</v>
      </c>
      <c r="D14121" t="s">
        <v>23500</v>
      </c>
      <c r="E14121" t="s">
        <v>36596</v>
      </c>
    </row>
    <row r="14122" spans="1:5">
      <c r="A14122" t="s">
        <v>6</v>
      </c>
      <c r="B14122" t="s">
        <v>14127</v>
      </c>
      <c r="C14122">
        <f>HYPERLINK("C:\Users\franc\OneDrive\Documentos\MALENTIN KARIME\BANCO ESTADO\2012 DEPTO ESCRITURAS fata\NOTARIA 2009\CANCELACION\MIGUEL TAPIA Y JORGE ARACENA A MANTENCION Y CONSTRUCCION.doc", "Abrir Documento")</f>
        <v>0</v>
      </c>
      <c r="D14122" t="s">
        <v>23500</v>
      </c>
      <c r="E14122" t="s">
        <v>36597</v>
      </c>
    </row>
    <row r="14123" spans="1:5">
      <c r="A14123" t="s">
        <v>6</v>
      </c>
      <c r="B14123" t="s">
        <v>14128</v>
      </c>
      <c r="C14123">
        <f>HYPERLINK("C:\Users\franc\OneDrive\Documentos\MALENTIN KARIME\BANCO ESTADO\2012 DEPTO ESCRITURAS fata\NOTARIA 2009\CANCELACION\MIGUEL TAPIA A SOC. EL RECREO.doc", "Abrir Documento")</f>
        <v>0</v>
      </c>
      <c r="D14123" t="s">
        <v>23500</v>
      </c>
      <c r="E14123" t="s">
        <v>36598</v>
      </c>
    </row>
    <row r="14124" spans="1:5">
      <c r="A14124" t="s">
        <v>6</v>
      </c>
      <c r="B14124" t="s">
        <v>14129</v>
      </c>
      <c r="C14124">
        <f>HYPERLINK("C:\Users\franc\OneDrive\Documentos\MALENTIN KARIME\BANCO ESTADO\2012 DEPTO ESCRITURAS fata\NOTARIA 2009\CANCELACION\LUIS BRUNA A MANUEL JIMENEZ.doc", "Abrir Documento")</f>
        <v>0</v>
      </c>
      <c r="D14124" t="s">
        <v>23500</v>
      </c>
      <c r="E14124" t="s">
        <v>36599</v>
      </c>
    </row>
    <row r="14125" spans="1:5">
      <c r="A14125" t="s">
        <v>6</v>
      </c>
      <c r="B14125" t="s">
        <v>14130</v>
      </c>
      <c r="C14125">
        <f>HYPERLINK("C:\Users\franc\OneDrive\Documentos\MALENTIN KARIME\BANCO ESTADO\2012 DEPTO ESCRITURAS fata\NOTARIA 2009\CANCELACION\JAIME VILLALON.doc", "Abrir Documento")</f>
        <v>0</v>
      </c>
      <c r="D14125" t="s">
        <v>23500</v>
      </c>
      <c r="E14125" t="s">
        <v>36600</v>
      </c>
    </row>
    <row r="14126" spans="1:5">
      <c r="A14126" t="s">
        <v>6</v>
      </c>
      <c r="B14126" t="s">
        <v>14131</v>
      </c>
      <c r="C14126">
        <f>HYPERLINK("C:\Users\franc\OneDrive\Documentos\MALENTIN KARIME\BANCO ESTADO\2012 DEPTO ESCRITURAS fata\NOTARIA 2009\CANCELACION\JAIME RIVERA MALUENDA A ANGELICA MALUENDA.doc", "Abrir Documento")</f>
        <v>0</v>
      </c>
      <c r="D14126" t="s">
        <v>23500</v>
      </c>
      <c r="E14126" t="s">
        <v>36601</v>
      </c>
    </row>
    <row r="14127" spans="1:5">
      <c r="A14127" t="s">
        <v>6</v>
      </c>
      <c r="B14127" t="s">
        <v>14132</v>
      </c>
      <c r="C14127">
        <f>HYPERLINK("C:\Users\franc\OneDrive\Documentos\MALENTIN KARIME\BANCO ESTADO\2012 DEPTO ESCRITURAS fata\NOTARIA 2009\CANCELACION\GUSTAVO VERDUGO A MARIA ROJO.doc", "Abrir Documento")</f>
        <v>0</v>
      </c>
      <c r="D14127" t="s">
        <v>23500</v>
      </c>
      <c r="E14127" t="s">
        <v>36602</v>
      </c>
    </row>
    <row r="14128" spans="1:5">
      <c r="A14128" t="s">
        <v>6</v>
      </c>
      <c r="B14128" t="s">
        <v>14133</v>
      </c>
      <c r="C14128">
        <f>HYPERLINK("C:\Users\franc\OneDrive\Documentos\MALENTIN KARIME\BANCO ESTADO\2012 DEPTO ESCRITURAS fata\NOTARIA 2009\CANCELACION\GUILLERMO OSSANDON A DANIEL ZAPATA.doc", "Abrir Documento")</f>
        <v>0</v>
      </c>
      <c r="D14128" t="s">
        <v>23500</v>
      </c>
      <c r="E14128" t="s">
        <v>36603</v>
      </c>
    </row>
    <row r="14129" spans="1:5">
      <c r="A14129" t="s">
        <v>6</v>
      </c>
      <c r="B14129" t="s">
        <v>14134</v>
      </c>
      <c r="C14129">
        <f>HYPERLINK("C:\Users\franc\OneDrive\Documentos\MALENTIN KARIME\BANCO ESTADO\2012 DEPTO ESCRITURAS fata\NOTARIA 2009\CANCELACION\FELIX CORTES A CESAR FLORES.doc", "Abrir Documento")</f>
        <v>0</v>
      </c>
      <c r="D14129" t="s">
        <v>23500</v>
      </c>
      <c r="E14129" t="s">
        <v>36604</v>
      </c>
    </row>
    <row r="14130" spans="1:5">
      <c r="A14130" t="s">
        <v>6</v>
      </c>
      <c r="B14130" t="s">
        <v>14135</v>
      </c>
      <c r="C14130">
        <f>HYPERLINK("C:\Users\franc\OneDrive\Documentos\MALENTIN KARIME\BANCO ESTADO\2012 DEPTO ESCRITURAS fata\NOTARIA 2009\CANCELACION\FELIX CORTES A CESAR FLORES letra f.doc", "Abrir Documento")</f>
        <v>0</v>
      </c>
      <c r="D14130" t="s">
        <v>23500</v>
      </c>
      <c r="E14130" t="s">
        <v>36605</v>
      </c>
    </row>
    <row r="14131" spans="1:5">
      <c r="A14131" t="s">
        <v>6</v>
      </c>
      <c r="B14131" t="s">
        <v>14136</v>
      </c>
      <c r="C14131">
        <f>HYPERLINK("C:\Users\franc\OneDrive\Documentos\MALENTIN KARIME\BANCO ESTADO\2012 DEPTO ESCRITURAS fata\NOTARIA 2009\CANCELACION\FELIX CORTES A CESAR FLORES (MARZO 2008).doc", "Abrir Documento")</f>
        <v>0</v>
      </c>
      <c r="D14131" t="s">
        <v>23500</v>
      </c>
      <c r="E14131" t="s">
        <v>36606</v>
      </c>
    </row>
    <row r="14132" spans="1:5">
      <c r="A14132" t="s">
        <v>6</v>
      </c>
      <c r="B14132" t="s">
        <v>14137</v>
      </c>
      <c r="C14132">
        <f>HYPERLINK("C:\Users\franc\OneDrive\Documentos\MALENTIN KARIME\BANCO ESTADO\2012 DEPTO ESCRITURAS fata\NOTARIA 2009\CANCELACION\FELIX CORTES A CESAR FLORES (ABRIL 2008).doc", "Abrir Documento")</f>
        <v>0</v>
      </c>
      <c r="D14132" t="s">
        <v>23500</v>
      </c>
      <c r="E14132" t="s">
        <v>36607</v>
      </c>
    </row>
    <row r="14133" spans="1:5">
      <c r="A14133" t="s">
        <v>6</v>
      </c>
      <c r="B14133" t="s">
        <v>14138</v>
      </c>
      <c r="C14133">
        <f>HYPERLINK("C:\Users\franc\OneDrive\Documentos\MALENTIN KARIME\BANCO ESTADO\2012 DEPTO ESCRITURAS fata\NOTARIA 2009\CANCELACION\DANIELA TRONCOSO Y OT. A FCO. GOMEZ.doc", "Abrir Documento")</f>
        <v>0</v>
      </c>
      <c r="D14133" t="s">
        <v>23500</v>
      </c>
      <c r="E14133" t="s">
        <v>36608</v>
      </c>
    </row>
    <row r="14134" spans="1:5">
      <c r="A14134" t="s">
        <v>6</v>
      </c>
      <c r="B14134" t="s">
        <v>14139</v>
      </c>
      <c r="C14134">
        <f>HYPERLINK("C:\Users\franc\OneDrive\Documentos\MALENTIN KARIME\BANCO ESTADO\2012 DEPTO ESCRITURAS fata\NOTARIA 2009\CANCELACION\CIA. MRA. CANDELARIA A MARIO RIVERA.doc", "Abrir Documento")</f>
        <v>0</v>
      </c>
      <c r="D14134" t="s">
        <v>23500</v>
      </c>
      <c r="E14134" t="s">
        <v>36609</v>
      </c>
    </row>
    <row r="14135" spans="1:5">
      <c r="A14135" t="s">
        <v>6</v>
      </c>
      <c r="B14135" t="s">
        <v>14140</v>
      </c>
      <c r="C14135">
        <f>HYPERLINK("C:\Users\franc\OneDrive\Documentos\MALENTIN KARIME\BANCO ESTADO\2012 DEPTO ESCRITURAS fata\NOTARIA 2009\CANCELACION\CARLOS ALCAYAGA A GALVARINO VIORKLUMDS.doc", "Abrir Documento")</f>
        <v>0</v>
      </c>
      <c r="D14135" t="s">
        <v>23500</v>
      </c>
      <c r="E14135" t="s">
        <v>36610</v>
      </c>
    </row>
    <row r="14136" spans="1:5">
      <c r="A14136" t="s">
        <v>6</v>
      </c>
      <c r="B14136" t="s">
        <v>14141</v>
      </c>
      <c r="C14136">
        <f>HYPERLINK("C:\Users\franc\OneDrive\Documentos\MALENTIN KARIME\BANCO ESTADO\2012 DEPTO ESCRITURAS fata\NOTARIA 2009\CANCELACION\ARSENIO RODRIGUEZ A GRIMALDINA ROJAS.doc", "Abrir Documento")</f>
        <v>0</v>
      </c>
      <c r="D14136" t="s">
        <v>23500</v>
      </c>
      <c r="E14136" t="s">
        <v>36611</v>
      </c>
    </row>
    <row r="14137" spans="1:5">
      <c r="A14137" t="s">
        <v>6</v>
      </c>
      <c r="B14137" t="s">
        <v>14142</v>
      </c>
      <c r="C14137">
        <f>HYPERLINK("C:\Users\franc\OneDrive\Documentos\MALENTIN KARIME\BANCO ESTADO\2012 DEPTO ESCRITURAS fata\NOTARIA 2009\BANCO SANTANDER\RATIFICACION\SOC. LA ITALIANA A BCO. SANTANDER.doc", "Abrir Documento")</f>
        <v>0</v>
      </c>
      <c r="D14137" t="s">
        <v>23500</v>
      </c>
      <c r="E14137" t="s">
        <v>36612</v>
      </c>
    </row>
    <row r="14138" spans="1:5">
      <c r="A14138" t="s">
        <v>6</v>
      </c>
      <c r="B14138" t="s">
        <v>14143</v>
      </c>
      <c r="C14138">
        <f>HYPERLINK("C:\Users\franc\OneDrive\Documentos\MALENTIN KARIME\BANCO ESTADO\2012 DEPTO ESCRITURAS fata\NOTARIA 2009\BANCO SANTANDER\RATIFICACION\SOC. LA ITALIANA A BCO. SANTANDER (prenda).doc", "Abrir Documento")</f>
        <v>0</v>
      </c>
      <c r="D14138" t="s">
        <v>23500</v>
      </c>
      <c r="E14138" t="s">
        <v>36613</v>
      </c>
    </row>
    <row r="14139" spans="1:5">
      <c r="A14139" t="s">
        <v>6</v>
      </c>
      <c r="B14139" t="s">
        <v>14144</v>
      </c>
      <c r="C14139">
        <f>HYPERLINK("C:\Users\franc\OneDrive\Documentos\MALENTIN KARIME\BANCO ESTADO\2012 DEPTO ESCRITURAS fata\NOTARIA 2009\BANCO SANTANDER\RATIFICACION\SOC. LA ITALIANA A BCO SANTANDER (HIPOTECA).doc", "Abrir Documento")</f>
        <v>0</v>
      </c>
      <c r="D14139" t="s">
        <v>23500</v>
      </c>
      <c r="E14139" t="s">
        <v>36614</v>
      </c>
    </row>
    <row r="14140" spans="1:5">
      <c r="A14140" t="s">
        <v>6</v>
      </c>
      <c r="B14140" t="s">
        <v>14145</v>
      </c>
      <c r="C14140">
        <f>HYPERLINK("C:\Users\franc\OneDrive\Documentos\MALENTIN KARIME\BANCO ESTADO\2012 DEPTO ESCRITURAS fata\NOTARIA 2009\BANCO SANTANDER\PRENDAS\FRANCO PEREZ ZAMBRA EXTRACTO.doc", "Abrir Documento")</f>
        <v>0</v>
      </c>
      <c r="D14140" t="s">
        <v>23500</v>
      </c>
      <c r="E14140" t="s">
        <v>36615</v>
      </c>
    </row>
    <row r="14141" spans="1:5">
      <c r="A14141" t="s">
        <v>6</v>
      </c>
      <c r="B14141" t="s">
        <v>14146</v>
      </c>
      <c r="C14141">
        <f>HYPERLINK("C:\Users\franc\OneDrive\Documentos\MALENTIN KARIME\BANCO ESTADO\2012 DEPTO ESCRITURAS fata\NOTARIA 2009\BANCO SANTANDER\MANDATOS\AGRICOLA CHAÑARAL BAJO.doc", "Abrir Documento")</f>
        <v>0</v>
      </c>
      <c r="D14141" t="s">
        <v>23500</v>
      </c>
      <c r="E14141" t="s">
        <v>36616</v>
      </c>
    </row>
    <row r="14142" spans="1:5">
      <c r="A14142" t="s">
        <v>6</v>
      </c>
      <c r="B14142" t="s">
        <v>14147</v>
      </c>
      <c r="C14142">
        <f>HYPERLINK("C:\Users\franc\OneDrive\Documentos\MALENTIN KARIME\BANCO ESTADO\2012 DEPTO ESCRITURAS fata\NOTARIA 2009\BANCO SANTANDER\HIPOTECAS\MARCOS ARANDA.doc", "Abrir Documento")</f>
        <v>0</v>
      </c>
      <c r="D14142" t="s">
        <v>23500</v>
      </c>
      <c r="E14142" t="s">
        <v>36617</v>
      </c>
    </row>
    <row r="14143" spans="1:5">
      <c r="A14143" t="s">
        <v>6</v>
      </c>
      <c r="B14143" t="s">
        <v>14148</v>
      </c>
      <c r="C14143">
        <f>HYPERLINK("C:\Users\franc\OneDrive\Documentos\MALENTIN KARIME\BANCO ESTADO\2012 DEPTO ESCRITURAS fata\NOTARIA 2009\BANCO SANTANDER\HIPOTECAS\GABRIELA RIVAS.doc", "Abrir Documento")</f>
        <v>0</v>
      </c>
      <c r="D14143" t="s">
        <v>23500</v>
      </c>
      <c r="E14143" t="s">
        <v>36618</v>
      </c>
    </row>
    <row r="14144" spans="1:5">
      <c r="A14144" t="s">
        <v>6</v>
      </c>
      <c r="B14144" t="s">
        <v>14149</v>
      </c>
      <c r="C14144">
        <f>HYPERLINK("C:\Users\franc\OneDrive\Documentos\MALENTIN KARIME\BANCO ESTADO\2012 DEPTO ESCRITURAS fata\NOTARIA 2009\BANCO SANTANDER\HIPOTECAS\COOPERATIVA ELECTRICA LIMARI.doc", "Abrir Documento")</f>
        <v>0</v>
      </c>
      <c r="D14144" t="s">
        <v>23500</v>
      </c>
      <c r="E14144" t="s">
        <v>36619</v>
      </c>
    </row>
    <row r="14145" spans="1:5">
      <c r="A14145" t="s">
        <v>6</v>
      </c>
      <c r="B14145" t="s">
        <v>14150</v>
      </c>
      <c r="C14145">
        <f>HYPERLINK("C:\Users\franc\OneDrive\Documentos\MALENTIN KARIME\BANCO ESTADO\2012 DEPTO ESCRITURAS fata\NOTARIA 2009\BANCO SANTANDER\COMPLEMENTACION\LUIS RAFAEL PROHENS VILLALON.doc", "Abrir Documento")</f>
        <v>0</v>
      </c>
      <c r="D14145" t="s">
        <v>23500</v>
      </c>
      <c r="E14145" t="s">
        <v>36620</v>
      </c>
    </row>
    <row r="14146" spans="1:5">
      <c r="A14146" t="s">
        <v>6</v>
      </c>
      <c r="B14146" t="s">
        <v>14151</v>
      </c>
      <c r="C14146">
        <f>HYPERLINK("C:\Users\franc\OneDrive\Documentos\MALENTIN KARIME\BANCO ESTADO\2012 DEPTO ESCRITURAS fata\NOTARIA 2009\BANCO SANTANDER\COMPLEMENTACION\LUIS RAFAEL PROHENS VILLALON (NELSON MAURICIO).doc", "Abrir Documento")</f>
        <v>0</v>
      </c>
      <c r="D14146" t="s">
        <v>23500</v>
      </c>
      <c r="E14146" t="s">
        <v>36621</v>
      </c>
    </row>
    <row r="14147" spans="1:5">
      <c r="A14147" t="s">
        <v>6</v>
      </c>
      <c r="B14147" t="s">
        <v>14152</v>
      </c>
      <c r="C14147">
        <f>HYPERLINK("C:\Users\franc\OneDrive\Documentos\MALENTIN KARIME\BANCO ESTADO\2012 DEPTO ESCRITURAS fata\NOTARIA 2009\BANCO SANTANDER\BANCO ESTADO (CIBERGESTION)\WILSON ACOSTA CONTRERAS.doc", "Abrir Documento")</f>
        <v>0</v>
      </c>
      <c r="D14147" t="s">
        <v>23500</v>
      </c>
      <c r="E14147" t="s">
        <v>36622</v>
      </c>
    </row>
    <row r="14148" spans="1:5">
      <c r="A14148" t="s">
        <v>6</v>
      </c>
      <c r="B14148" t="s">
        <v>14153</v>
      </c>
      <c r="C14148">
        <f>HYPERLINK("C:\Users\franc\OneDrive\Documentos\MALENTIN KARIME\BANCO ESTADO\2012 DEPTO ESCRITURAS fata\NOTARIA 2009\BANCO SANTANDER\BANCO ESTADO (CIBERGESTION)\VITAL LOPEZ ROJO.doc", "Abrir Documento")</f>
        <v>0</v>
      </c>
      <c r="D14148" t="s">
        <v>23500</v>
      </c>
      <c r="E14148" t="s">
        <v>36623</v>
      </c>
    </row>
    <row r="14149" spans="1:5">
      <c r="A14149" t="s">
        <v>6</v>
      </c>
      <c r="B14149" t="s">
        <v>14154</v>
      </c>
      <c r="C14149">
        <f>HYPERLINK("C:\Users\franc\OneDrive\Documentos\MALENTIN KARIME\BANCO ESTADO\2012 DEPTO ESCRITURAS fata\NOTARIA 2009\BANCO SANTANDER\BANCO ESTADO (CIBERGESTION)\SIMON GUTIERREZ.doc", "Abrir Documento")</f>
        <v>0</v>
      </c>
      <c r="D14149" t="s">
        <v>23500</v>
      </c>
      <c r="E14149" t="s">
        <v>36624</v>
      </c>
    </row>
    <row r="14150" spans="1:5">
      <c r="A14150" t="s">
        <v>6</v>
      </c>
      <c r="B14150" t="s">
        <v>14155</v>
      </c>
      <c r="C14150">
        <f>HYPERLINK("C:\Users\franc\OneDrive\Documentos\MALENTIN KARIME\BANCO ESTADO\2012 DEPTO ESCRITURAS fata\NOTARIA 2009\BANCO SANTANDER\BANCO ESTADO (CIBERGESTION)\SILVIA ARDILES.doc", "Abrir Documento")</f>
        <v>0</v>
      </c>
      <c r="D14150" t="s">
        <v>23500</v>
      </c>
      <c r="E14150" t="s">
        <v>36625</v>
      </c>
    </row>
    <row r="14151" spans="1:5">
      <c r="A14151" t="s">
        <v>6</v>
      </c>
      <c r="B14151" t="s">
        <v>14156</v>
      </c>
      <c r="C14151">
        <f>HYPERLINK("C:\Users\franc\OneDrive\Documentos\MALENTIN KARIME\BANCO ESTADO\2012 DEPTO ESCRITURAS fata\NOTARIA 2009\BANCO SANTANDER\BANCO ESTADO (CIBERGESTION)\SERGIO CORTES (TRANSACCION).doc", "Abrir Documento")</f>
        <v>0</v>
      </c>
      <c r="D14151" t="s">
        <v>23500</v>
      </c>
      <c r="E14151" t="s">
        <v>36626</v>
      </c>
    </row>
    <row r="14152" spans="1:5">
      <c r="A14152" t="s">
        <v>6</v>
      </c>
      <c r="B14152" t="s">
        <v>14157</v>
      </c>
      <c r="C14152">
        <f>HYPERLINK("C:\Users\franc\OneDrive\Documentos\MALENTIN KARIME\BANCO ESTADO\2012 DEPTO ESCRITURAS fata\NOTARIA 2009\BANCO SANTANDER\BANCO ESTADO (CIBERGESTION)\SERGIO CANIHUANTE  PET.doc", "Abrir Documento")</f>
        <v>0</v>
      </c>
      <c r="D14152" t="s">
        <v>23500</v>
      </c>
      <c r="E14152" t="s">
        <v>36627</v>
      </c>
    </row>
    <row r="14153" spans="1:5">
      <c r="A14153" t="s">
        <v>6</v>
      </c>
      <c r="B14153" t="s">
        <v>14158</v>
      </c>
      <c r="C14153">
        <f>HYPERLINK("C:\Users\franc\OneDrive\Documentos\MALENTIN KARIME\BANCO ESTADO\2012 DEPTO ESCRITURAS fata\NOTARIA 2009\BANCO SANTANDER\BANCO ESTADO (CIBERGESTION)\SEGISMUNDO PIZARRO.doc", "Abrir Documento")</f>
        <v>0</v>
      </c>
      <c r="D14153" t="s">
        <v>23500</v>
      </c>
      <c r="E14153" t="s">
        <v>36628</v>
      </c>
    </row>
    <row r="14154" spans="1:5">
      <c r="A14154" t="s">
        <v>6</v>
      </c>
      <c r="B14154" t="s">
        <v>14159</v>
      </c>
      <c r="C14154">
        <f>HYPERLINK("C:\Users\franc\OneDrive\Documentos\MALENTIN KARIME\BANCO ESTADO\2012 DEPTO ESCRITURAS fata\NOTARIA 2009\BANCO SANTANDER\BANCO ESTADO (CIBERGESTION)\SANDRA COLLAO LAFFERTE.doc", "Abrir Documento")</f>
        <v>0</v>
      </c>
      <c r="D14154" t="s">
        <v>23500</v>
      </c>
      <c r="E14154" t="s">
        <v>36629</v>
      </c>
    </row>
    <row r="14155" spans="1:5">
      <c r="A14155" t="s">
        <v>6</v>
      </c>
      <c r="B14155" t="s">
        <v>14160</v>
      </c>
      <c r="C14155">
        <f>HYPERLINK("C:\Users\franc\OneDrive\Documentos\MALENTIN KARIME\BANCO ESTADO\2012 DEPTO ESCRITURAS fata\NOTARIA 2009\BANCO SANTANDER\BANCO ESTADO (CIBERGESTION)\RICARDO JIMENEZ.doc", "Abrir Documento")</f>
        <v>0</v>
      </c>
      <c r="D14155" t="s">
        <v>23500</v>
      </c>
      <c r="E14155" t="s">
        <v>36630</v>
      </c>
    </row>
    <row r="14156" spans="1:5">
      <c r="A14156" t="s">
        <v>6</v>
      </c>
      <c r="B14156" t="s">
        <v>14161</v>
      </c>
      <c r="C14156">
        <f>HYPERLINK("C:\Users\franc\OneDrive\Documentos\MALENTIN KARIME\BANCO ESTADO\2012 DEPTO ESCRITURAS fata\NOTARIA 2009\BANCO SANTANDER\BANCO ESTADO (CIBERGESTION)\RICARDO FIGUEROA.doc", "Abrir Documento")</f>
        <v>0</v>
      </c>
      <c r="D14156" t="s">
        <v>23500</v>
      </c>
      <c r="E14156" t="s">
        <v>36631</v>
      </c>
    </row>
    <row r="14157" spans="1:5">
      <c r="A14157" t="s">
        <v>6</v>
      </c>
      <c r="B14157" t="s">
        <v>14162</v>
      </c>
      <c r="C14157">
        <f>HYPERLINK("C:\Users\franc\OneDrive\Documentos\MALENTIN KARIME\BANCO ESTADO\2012 DEPTO ESCRITURAS fata\NOTARIA 2009\BANCO SANTANDER\BANCO ESTADO (CIBERGESTION)\REGULO ALBANEZ.doc", "Abrir Documento")</f>
        <v>0</v>
      </c>
      <c r="D14157" t="s">
        <v>23500</v>
      </c>
      <c r="E14157" t="s">
        <v>36632</v>
      </c>
    </row>
    <row r="14158" spans="1:5">
      <c r="A14158" t="s">
        <v>6</v>
      </c>
      <c r="B14158" t="s">
        <v>14163</v>
      </c>
      <c r="C14158">
        <f>HYPERLINK("C:\Users\franc\OneDrive\Documentos\MALENTIN KARIME\BANCO ESTADO\2012 DEPTO ESCRITURAS fata\NOTARIA 2009\BANCO SANTANDER\BANCO ESTADO (CIBERGESTION)\RAMON MEDALLA.doc", "Abrir Documento")</f>
        <v>0</v>
      </c>
      <c r="D14158" t="s">
        <v>23500</v>
      </c>
      <c r="E14158" t="s">
        <v>36633</v>
      </c>
    </row>
    <row r="14159" spans="1:5">
      <c r="A14159" t="s">
        <v>6</v>
      </c>
      <c r="B14159" t="s">
        <v>14164</v>
      </c>
      <c r="C14159">
        <f>HYPERLINK("C:\Users\franc\OneDrive\Documentos\MALENTIN KARIME\BANCO ESTADO\2012 DEPTO ESCRITURAS fata\NOTARIA 2009\BANCO SANTANDER\BANCO ESTADO (CIBERGESTION)\RAMON BARRIA.doc", "Abrir Documento")</f>
        <v>0</v>
      </c>
      <c r="D14159" t="s">
        <v>23500</v>
      </c>
      <c r="E14159" t="s">
        <v>36634</v>
      </c>
    </row>
    <row r="14160" spans="1:5">
      <c r="A14160" t="s">
        <v>6</v>
      </c>
      <c r="B14160" t="s">
        <v>14165</v>
      </c>
      <c r="C14160">
        <f>HYPERLINK("C:\Users\franc\OneDrive\Documentos\MALENTIN KARIME\BANCO ESTADO\2012 DEPTO ESCRITURAS fata\NOTARIA 2009\BANCO SANTANDER\BANCO ESTADO (CIBERGESTION)\PEDRO VIVANCO.doc", "Abrir Documento")</f>
        <v>0</v>
      </c>
      <c r="D14160" t="s">
        <v>23500</v>
      </c>
      <c r="E14160" t="s">
        <v>36635</v>
      </c>
    </row>
    <row r="14161" spans="1:5">
      <c r="A14161" t="s">
        <v>6</v>
      </c>
      <c r="B14161" t="s">
        <v>14166</v>
      </c>
      <c r="C14161">
        <f>HYPERLINK("C:\Users\franc\OneDrive\Documentos\MALENTIN KARIME\BANCO ESTADO\2012 DEPTO ESCRITURAS fata\NOTARIA 2009\BANCO SANTANDER\BANCO ESTADO (CIBERGESTION)\PEDRO PIÑONES.doc", "Abrir Documento")</f>
        <v>0</v>
      </c>
      <c r="D14161" t="s">
        <v>23500</v>
      </c>
      <c r="E14161" t="s">
        <v>36636</v>
      </c>
    </row>
    <row r="14162" spans="1:5">
      <c r="A14162" t="s">
        <v>6</v>
      </c>
      <c r="B14162" t="s">
        <v>14167</v>
      </c>
      <c r="C14162">
        <f>HYPERLINK("C:\Users\franc\OneDrive\Documentos\MALENTIN KARIME\BANCO ESTADO\2012 DEPTO ESCRITURAS fata\NOTARIA 2009\BANCO SANTANDER\BANCO ESTADO (CIBERGESTION)\PEDRO CONCHA SALFATE.doc", "Abrir Documento")</f>
        <v>0</v>
      </c>
      <c r="D14162" t="s">
        <v>23500</v>
      </c>
      <c r="E14162" t="s">
        <v>36637</v>
      </c>
    </row>
    <row r="14163" spans="1:5">
      <c r="A14163" t="s">
        <v>6</v>
      </c>
      <c r="B14163" t="s">
        <v>14168</v>
      </c>
      <c r="C14163">
        <f>HYPERLINK("C:\Users\franc\OneDrive\Documentos\MALENTIN KARIME\BANCO ESTADO\2012 DEPTO ESCRITURAS fata\NOTARIA 2009\BANCO SANTANDER\BANCO ESTADO (CIBERGESTION)\PEDRO BRITO.doc", "Abrir Documento")</f>
        <v>0</v>
      </c>
      <c r="D14163" t="s">
        <v>23500</v>
      </c>
      <c r="E14163" t="s">
        <v>36638</v>
      </c>
    </row>
    <row r="14164" spans="1:5">
      <c r="A14164" t="s">
        <v>6</v>
      </c>
      <c r="B14164" t="s">
        <v>14169</v>
      </c>
      <c r="C14164">
        <f>HYPERLINK("C:\Users\franc\OneDrive\Documentos\MALENTIN KARIME\BANCO ESTADO\2012 DEPTO ESCRITURAS fata\NOTARIA 2009\BANCO SANTANDER\BANCO ESTADO (CIBERGESTION)\PEDRO ALFARO.doc", "Abrir Documento")</f>
        <v>0</v>
      </c>
      <c r="D14164" t="s">
        <v>23500</v>
      </c>
      <c r="E14164" t="s">
        <v>36639</v>
      </c>
    </row>
    <row r="14165" spans="1:5">
      <c r="A14165" t="s">
        <v>6</v>
      </c>
      <c r="B14165" t="s">
        <v>14170</v>
      </c>
      <c r="C14165">
        <f>HYPERLINK("C:\Users\franc\OneDrive\Documentos\MALENTIN KARIME\BANCO ESTADO\2012 DEPTO ESCRITURAS fata\NOTARIA 2009\BANCO SANTANDER\BANCO ESTADO (CIBERGESTION)\PATRICIO ASTUDILLO.doc", "Abrir Documento")</f>
        <v>0</v>
      </c>
      <c r="D14165" t="s">
        <v>23500</v>
      </c>
      <c r="E14165" t="s">
        <v>36640</v>
      </c>
    </row>
    <row r="14166" spans="1:5">
      <c r="A14166" t="s">
        <v>6</v>
      </c>
      <c r="B14166" t="s">
        <v>14171</v>
      </c>
      <c r="C14166">
        <f>HYPERLINK("C:\Users\franc\OneDrive\Documentos\MALENTIN KARIME\BANCO ESTADO\2012 DEPTO ESCRITURAS fata\NOTARIA 2009\BANCO SANTANDER\BANCO ESTADO (CIBERGESTION)\PAOLA CONTRERAS.doc", "Abrir Documento")</f>
        <v>0</v>
      </c>
      <c r="D14166" t="s">
        <v>23500</v>
      </c>
      <c r="E14166" t="s">
        <v>36641</v>
      </c>
    </row>
    <row r="14167" spans="1:5">
      <c r="A14167" t="s">
        <v>6</v>
      </c>
      <c r="B14167" t="s">
        <v>14172</v>
      </c>
      <c r="C14167">
        <f>HYPERLINK("C:\Users\franc\OneDrive\Documentos\MALENTIN KARIME\BANCO ESTADO\2012 DEPTO ESCRITURAS fata\NOTARIA 2009\BANCO SANTANDER\BANCO ESTADO (CIBERGESTION)\PAMELA PASTEN.doc", "Abrir Documento")</f>
        <v>0</v>
      </c>
      <c r="D14167" t="s">
        <v>23500</v>
      </c>
      <c r="E14167" t="s">
        <v>36642</v>
      </c>
    </row>
    <row r="14168" spans="1:5">
      <c r="A14168" t="s">
        <v>6</v>
      </c>
      <c r="B14168" t="s">
        <v>14173</v>
      </c>
      <c r="C14168">
        <f>HYPERLINK("C:\Users\franc\OneDrive\Documentos\MALENTIN KARIME\BANCO ESTADO\2012 DEPTO ESCRITURAS fata\NOTARIA 2009\BANCO SANTANDER\BANCO ESTADO (CIBERGESTION)\PAMELA CONTRERAS.doc", "Abrir Documento")</f>
        <v>0</v>
      </c>
      <c r="D14168" t="s">
        <v>23500</v>
      </c>
      <c r="E14168" t="s">
        <v>36643</v>
      </c>
    </row>
    <row r="14169" spans="1:5">
      <c r="A14169" t="s">
        <v>6</v>
      </c>
      <c r="B14169" t="s">
        <v>14174</v>
      </c>
      <c r="C14169">
        <f>HYPERLINK("C:\Users\franc\OneDrive\Documentos\MALENTIN KARIME\BANCO ESTADO\2012 DEPTO ESCRITURAS fata\NOTARIA 2009\BANCO SANTANDER\BANCO ESTADO (CIBERGESTION)\OMAR ROJAS ROJAS.doc", "Abrir Documento")</f>
        <v>0</v>
      </c>
      <c r="D14169" t="s">
        <v>23500</v>
      </c>
      <c r="E14169" t="s">
        <v>36644</v>
      </c>
    </row>
    <row r="14170" spans="1:5">
      <c r="A14170" t="s">
        <v>6</v>
      </c>
      <c r="B14170" t="s">
        <v>14175</v>
      </c>
      <c r="C14170">
        <f>HYPERLINK("C:\Users\franc\OneDrive\Documentos\MALENTIN KARIME\BANCO ESTADO\2012 DEPTO ESCRITURAS fata\NOTARIA 2009\BANCO SANTANDER\BANCO ESTADO (CIBERGESTION)\OCTAVIANO  NAVEA PET.doc", "Abrir Documento")</f>
        <v>0</v>
      </c>
      <c r="D14170" t="s">
        <v>23500</v>
      </c>
      <c r="E14170" t="s">
        <v>36645</v>
      </c>
    </row>
    <row r="14171" spans="1:5">
      <c r="A14171" t="s">
        <v>6</v>
      </c>
      <c r="B14171" t="s">
        <v>14176</v>
      </c>
      <c r="C14171">
        <f>HYPERLINK("C:\Users\franc\OneDrive\Documentos\MALENTIN KARIME\BANCO ESTADO\2012 DEPTO ESCRITURAS fata\NOTARIA 2009\BANCO SANTANDER\BANCO ESTADO (CIBERGESTION)\NORA VALDES.doc", "Abrir Documento")</f>
        <v>0</v>
      </c>
      <c r="D14171" t="s">
        <v>23500</v>
      </c>
      <c r="E14171" t="s">
        <v>36646</v>
      </c>
    </row>
    <row r="14172" spans="1:5">
      <c r="A14172" t="s">
        <v>6</v>
      </c>
      <c r="B14172" t="s">
        <v>14177</v>
      </c>
      <c r="C14172">
        <f>HYPERLINK("C:\Users\franc\OneDrive\Documentos\MALENTIN KARIME\BANCO ESTADO\2012 DEPTO ESCRITURAS fata\NOTARIA 2009\BANCO SANTANDER\BANCO ESTADO (CIBERGESTION)\NELSON CUELLAR.doc", "Abrir Documento")</f>
        <v>0</v>
      </c>
      <c r="D14172" t="s">
        <v>23500</v>
      </c>
      <c r="E14172" t="s">
        <v>36647</v>
      </c>
    </row>
    <row r="14173" spans="1:5">
      <c r="A14173" t="s">
        <v>6</v>
      </c>
      <c r="B14173" t="s">
        <v>14178</v>
      </c>
      <c r="C14173">
        <f>HYPERLINK("C:\Users\franc\OneDrive\Documentos\MALENTIN KARIME\BANCO ESTADO\2012 DEPTO ESCRITURAS fata\NOTARIA 2009\BANCO SANTANDER\BANCO ESTADO (CIBERGESTION)\MIUGEL OLIVARES.doc", "Abrir Documento")</f>
        <v>0</v>
      </c>
      <c r="D14173" t="s">
        <v>23500</v>
      </c>
      <c r="E14173" t="s">
        <v>36648</v>
      </c>
    </row>
    <row r="14174" spans="1:5">
      <c r="A14174" t="s">
        <v>6</v>
      </c>
      <c r="B14174" t="s">
        <v>14179</v>
      </c>
      <c r="C14174">
        <f>HYPERLINK("C:\Users\franc\OneDrive\Documentos\MALENTIN KARIME\BANCO ESTADO\2012 DEPTO ESCRITURAS fata\NOTARIA 2009\BANCO SANTANDER\BANCO ESTADO (CIBERGESTION)\MIGUEL MARTINEZ.doc", "Abrir Documento")</f>
        <v>0</v>
      </c>
      <c r="D14174" t="s">
        <v>23500</v>
      </c>
      <c r="E14174" t="s">
        <v>36649</v>
      </c>
    </row>
    <row r="14175" spans="1:5">
      <c r="A14175" t="s">
        <v>6</v>
      </c>
      <c r="B14175" t="s">
        <v>14180</v>
      </c>
      <c r="C14175">
        <f>HYPERLINK("C:\Users\franc\OneDrive\Documentos\MALENTIN KARIME\BANCO ESTADO\2012 DEPTO ESCRITURAS fata\NOTARIA 2009\BANCO SANTANDER\BANCO ESTADO (CIBERGESTION)\MIGUEL MARTINEZ final.doc", "Abrir Documento")</f>
        <v>0</v>
      </c>
      <c r="D14175" t="s">
        <v>23500</v>
      </c>
      <c r="E14175" t="s">
        <v>36650</v>
      </c>
    </row>
    <row r="14176" spans="1:5">
      <c r="A14176" t="s">
        <v>6</v>
      </c>
      <c r="B14176" t="s">
        <v>14181</v>
      </c>
      <c r="C14176">
        <f>HYPERLINK("C:\Users\franc\OneDrive\Documentos\MALENTIN KARIME\BANCO ESTADO\2012 DEPTO ESCRITURAS fata\NOTARIA 2009\BANCO SANTANDER\BANCO ESTADO (CIBERGESTION)\MIGUEL BORDONES.doc", "Abrir Documento")</f>
        <v>0</v>
      </c>
      <c r="D14176" t="s">
        <v>23500</v>
      </c>
      <c r="E14176" t="s">
        <v>36651</v>
      </c>
    </row>
    <row r="14177" spans="1:5">
      <c r="A14177" t="s">
        <v>6</v>
      </c>
      <c r="B14177" t="s">
        <v>14182</v>
      </c>
      <c r="C14177">
        <f>HYPERLINK("C:\Users\franc\OneDrive\Documentos\MALENTIN KARIME\BANCO ESTADO\2012 DEPTO ESCRITURAS fata\NOTARIA 2009\BANCO SANTANDER\BANCO ESTADO (CIBERGESTION)\MARTA FERNANDEZ.doc", "Abrir Documento")</f>
        <v>0</v>
      </c>
      <c r="D14177" t="s">
        <v>23500</v>
      </c>
      <c r="E14177" t="s">
        <v>36652</v>
      </c>
    </row>
    <row r="14178" spans="1:5">
      <c r="A14178" t="s">
        <v>6</v>
      </c>
      <c r="B14178" t="s">
        <v>14183</v>
      </c>
      <c r="C14178">
        <f>HYPERLINK("C:\Users\franc\OneDrive\Documentos\MALENTIN KARIME\BANCO ESTADO\2012 DEPTO ESCRITURAS fata\NOTARIA 2009\BANCO SANTANDER\BANCO ESTADO (CIBERGESTION)\MARITZA CASTILLO.doc", "Abrir Documento")</f>
        <v>0</v>
      </c>
      <c r="D14178" t="s">
        <v>23500</v>
      </c>
      <c r="E14178" t="s">
        <v>36653</v>
      </c>
    </row>
    <row r="14179" spans="1:5">
      <c r="A14179" t="s">
        <v>6</v>
      </c>
      <c r="B14179" t="s">
        <v>14184</v>
      </c>
      <c r="C14179">
        <f>HYPERLINK("C:\Users\franc\OneDrive\Documentos\MALENTIN KARIME\BANCO ESTADO\2012 DEPTO ESCRITURAS fata\NOTARIA 2009\BANCO SANTANDER\BANCO ESTADO (CIBERGESTION)\MARITZA ALFARO.doc", "Abrir Documento")</f>
        <v>0</v>
      </c>
      <c r="D14179" t="s">
        <v>23500</v>
      </c>
      <c r="E14179" t="s">
        <v>36654</v>
      </c>
    </row>
    <row r="14180" spans="1:5">
      <c r="A14180" t="s">
        <v>6</v>
      </c>
      <c r="B14180" t="s">
        <v>14185</v>
      </c>
      <c r="C14180">
        <f>HYPERLINK("C:\Users\franc\OneDrive\Documentos\MALENTIN KARIME\BANCO ESTADO\2012 DEPTO ESCRITURAS fata\NOTARIA 2009\BANCO SANTANDER\BANCO ESTADO (CIBERGESTION)\MARIO GALLARDO.doc", "Abrir Documento")</f>
        <v>0</v>
      </c>
      <c r="D14180" t="s">
        <v>23500</v>
      </c>
      <c r="E14180" t="s">
        <v>36655</v>
      </c>
    </row>
    <row r="14181" spans="1:5">
      <c r="A14181" t="s">
        <v>6</v>
      </c>
      <c r="B14181" t="s">
        <v>14186</v>
      </c>
      <c r="C14181">
        <f>HYPERLINK("C:\Users\franc\OneDrive\Documentos\MALENTIN KARIME\BANCO ESTADO\2012 DEPTO ESCRITURAS fata\NOTARIA 2009\BANCO SANTANDER\BANCO ESTADO (CIBERGESTION)\MARINA PEÑA.doc", "Abrir Documento")</f>
        <v>0</v>
      </c>
      <c r="D14181" t="s">
        <v>23500</v>
      </c>
      <c r="E14181" t="s">
        <v>36656</v>
      </c>
    </row>
    <row r="14182" spans="1:5">
      <c r="A14182" t="s">
        <v>6</v>
      </c>
      <c r="B14182" t="s">
        <v>14187</v>
      </c>
      <c r="C14182">
        <f>HYPERLINK("C:\Users\franc\OneDrive\Documentos\MALENTIN KARIME\BANCO ESTADO\2012 DEPTO ESCRITURAS fata\NOTARIA 2009\BANCO SANTANDER\BANCO ESTADO (CIBERGESTION)\MARIA PEREZ.doc", "Abrir Documento")</f>
        <v>0</v>
      </c>
      <c r="D14182" t="s">
        <v>23500</v>
      </c>
      <c r="E14182" t="s">
        <v>36657</v>
      </c>
    </row>
    <row r="14183" spans="1:5">
      <c r="A14183" t="s">
        <v>6</v>
      </c>
      <c r="B14183" t="s">
        <v>14188</v>
      </c>
      <c r="C14183">
        <f>HYPERLINK("C:\Users\franc\OneDrive\Documentos\MALENTIN KARIME\BANCO ESTADO\2012 DEPTO ESCRITURAS fata\NOTARIA 2009\BANCO SANTANDER\BANCO ESTADO (CIBERGESTION)\MARIA JARA PEREZ.doc", "Abrir Documento")</f>
        <v>0</v>
      </c>
      <c r="D14183" t="s">
        <v>23500</v>
      </c>
      <c r="E14183" t="s">
        <v>36658</v>
      </c>
    </row>
    <row r="14184" spans="1:5">
      <c r="A14184" t="s">
        <v>6</v>
      </c>
      <c r="B14184" t="s">
        <v>14189</v>
      </c>
      <c r="C14184">
        <f>HYPERLINK("C:\Users\franc\OneDrive\Documentos\MALENTIN KARIME\BANCO ESTADO\2012 DEPTO ESCRITURAS fata\NOTARIA 2009\BANCO SANTANDER\BANCO ESTADO (CIBERGESTION)\MARIA CORTES PET.doc", "Abrir Documento")</f>
        <v>0</v>
      </c>
      <c r="D14184" t="s">
        <v>23500</v>
      </c>
      <c r="E14184" t="s">
        <v>36659</v>
      </c>
    </row>
    <row r="14185" spans="1:5">
      <c r="A14185" t="s">
        <v>6</v>
      </c>
      <c r="B14185" t="s">
        <v>14190</v>
      </c>
      <c r="C14185">
        <f>HYPERLINK("C:\Users\franc\OneDrive\Documentos\MALENTIN KARIME\BANCO ESTADO\2012 DEPTO ESCRITURAS fata\NOTARIA 2009\BANCO SANTANDER\BANCO ESTADO (CIBERGESTION)\MARIA ADAOS.doc", "Abrir Documento")</f>
        <v>0</v>
      </c>
      <c r="D14185" t="s">
        <v>23500</v>
      </c>
      <c r="E14185" t="s">
        <v>36660</v>
      </c>
    </row>
    <row r="14186" spans="1:5">
      <c r="A14186" t="s">
        <v>6</v>
      </c>
      <c r="B14186" t="s">
        <v>14191</v>
      </c>
      <c r="C14186">
        <f>HYPERLINK("C:\Users\franc\OneDrive\Documentos\MALENTIN KARIME\BANCO ESTADO\2012 DEPTO ESCRITURAS fata\NOTARIA 2009\BANCO SANTANDER\BANCO ESTADO (CIBERGESTION)\MARCO ALFARO.doc", "Abrir Documento")</f>
        <v>0</v>
      </c>
      <c r="D14186" t="s">
        <v>23500</v>
      </c>
      <c r="E14186" t="s">
        <v>36661</v>
      </c>
    </row>
    <row r="14187" spans="1:5">
      <c r="A14187" t="s">
        <v>6</v>
      </c>
      <c r="B14187" t="s">
        <v>14192</v>
      </c>
      <c r="C14187">
        <f>HYPERLINK("C:\Users\franc\OneDrive\Documentos\MALENTIN KARIME\BANCO ESTADO\2012 DEPTO ESCRITURAS fata\NOTARIA 2009\BANCO SANTANDER\BANCO ESTADO (CIBERGESTION)\MANUEL CAIMANQUE PET.doc", "Abrir Documento")</f>
        <v>0</v>
      </c>
      <c r="D14187" t="s">
        <v>23500</v>
      </c>
      <c r="E14187" t="s">
        <v>36662</v>
      </c>
    </row>
    <row r="14188" spans="1:5">
      <c r="A14188" t="s">
        <v>6</v>
      </c>
      <c r="B14188" t="s">
        <v>14193</v>
      </c>
      <c r="C14188">
        <f>HYPERLINK("C:\Users\franc\OneDrive\Documentos\MALENTIN KARIME\BANCO ESTADO\2012 DEPTO ESCRITURAS fata\NOTARIA 2009\BANCO SANTANDER\BANCO ESTADO (CIBERGESTION)\MAGALY ZEPEDA PET.doc", "Abrir Documento")</f>
        <v>0</v>
      </c>
      <c r="D14188" t="s">
        <v>23500</v>
      </c>
      <c r="E14188" t="s">
        <v>36663</v>
      </c>
    </row>
    <row r="14189" spans="1:5">
      <c r="A14189" t="s">
        <v>6</v>
      </c>
      <c r="B14189" t="s">
        <v>14194</v>
      </c>
      <c r="C14189">
        <f>HYPERLINK("C:\Users\franc\OneDrive\Documentos\MALENTIN KARIME\BANCO ESTADO\2012 DEPTO ESCRITURAS fata\NOTARIA 2009\BANCO SANTANDER\BANCO ESTADO (CIBERGESTION)\LUIS TABILO MONTENEGRO.doc", "Abrir Documento")</f>
        <v>0</v>
      </c>
      <c r="D14189" t="s">
        <v>23500</v>
      </c>
      <c r="E14189" t="s">
        <v>36664</v>
      </c>
    </row>
    <row r="14190" spans="1:5">
      <c r="A14190" t="s">
        <v>6</v>
      </c>
      <c r="B14190" t="s">
        <v>14195</v>
      </c>
      <c r="C14190">
        <f>HYPERLINK("C:\Users\franc\OneDrive\Documentos\MALENTIN KARIME\BANCO ESTADO\2012 DEPTO ESCRITURAS fata\NOTARIA 2009\BANCO SANTANDER\BANCO ESTADO (CIBERGESTION)\LUIS OLIVARESPET.doc", "Abrir Documento")</f>
        <v>0</v>
      </c>
      <c r="D14190" t="s">
        <v>23500</v>
      </c>
      <c r="E14190" t="s">
        <v>36665</v>
      </c>
    </row>
    <row r="14191" spans="1:5">
      <c r="A14191" t="s">
        <v>6</v>
      </c>
      <c r="B14191" t="s">
        <v>14196</v>
      </c>
      <c r="C14191">
        <f>HYPERLINK("C:\Users\franc\OneDrive\Documentos\MALENTIN KARIME\BANCO ESTADO\2012 DEPTO ESCRITURAS fata\NOTARIA 2009\BANCO SANTANDER\BANCO ESTADO (CIBERGESTION)\LISTADO FIRMAS.doc", "Abrir Documento")</f>
        <v>0</v>
      </c>
      <c r="D14191" t="s">
        <v>23500</v>
      </c>
      <c r="E14191" t="s">
        <v>36666</v>
      </c>
    </row>
    <row r="14192" spans="1:5">
      <c r="A14192" t="s">
        <v>6</v>
      </c>
      <c r="B14192" t="s">
        <v>14197</v>
      </c>
      <c r="C14192">
        <f>HYPERLINK("C:\Users\franc\OneDrive\Documentos\MALENTIN KARIME\BANCO ESTADO\2012 DEPTO ESCRITURAS fata\NOTARIA 2009\BANCO SANTANDER\BANCO ESTADO (CIBERGESTION)\LETICIA AGUILERA.doc", "Abrir Documento")</f>
        <v>0</v>
      </c>
      <c r="D14192" t="s">
        <v>23500</v>
      </c>
      <c r="E14192" t="s">
        <v>36667</v>
      </c>
    </row>
    <row r="14193" spans="1:5">
      <c r="A14193" t="s">
        <v>6</v>
      </c>
      <c r="B14193" t="s">
        <v>14198</v>
      </c>
      <c r="C14193">
        <f>HYPERLINK("C:\Users\franc\OneDrive\Documentos\MALENTIN KARIME\BANCO ESTADO\2012 DEPTO ESCRITURAS fata\NOTARIA 2009\BANCO SANTANDER\BANCO ESTADO (CIBERGESTION)\JULIO CAMPUSANO.doc", "Abrir Documento")</f>
        <v>0</v>
      </c>
      <c r="D14193" t="s">
        <v>23500</v>
      </c>
      <c r="E14193" t="s">
        <v>36668</v>
      </c>
    </row>
    <row r="14194" spans="1:5">
      <c r="A14194" t="s">
        <v>6</v>
      </c>
      <c r="B14194" t="s">
        <v>14199</v>
      </c>
      <c r="C14194">
        <f>HYPERLINK("C:\Users\franc\OneDrive\Documentos\MALENTIN KARIME\BANCO ESTADO\2012 DEPTO ESCRITURAS fata\NOTARIA 2009\BANCO SANTANDER\BANCO ESTADO (CIBERGESTION)\JUAN VASQUEZ (TRANSACCION).doc", "Abrir Documento")</f>
        <v>0</v>
      </c>
      <c r="D14194" t="s">
        <v>23500</v>
      </c>
      <c r="E14194" t="s">
        <v>36669</v>
      </c>
    </row>
    <row r="14195" spans="1:5">
      <c r="A14195" t="s">
        <v>6</v>
      </c>
      <c r="B14195" t="s">
        <v>14200</v>
      </c>
      <c r="C14195">
        <f>HYPERLINK("C:\Users\franc\OneDrive\Documentos\MALENTIN KARIME\BANCO ESTADO\2012 DEPTO ESCRITURAS fata\NOTARIA 2009\BANCO SANTANDER\BANCO ESTADO (CIBERGESTION)\JUAN BARRERA.doc", "Abrir Documento")</f>
        <v>0</v>
      </c>
      <c r="D14195" t="s">
        <v>23500</v>
      </c>
      <c r="E14195" t="s">
        <v>36670</v>
      </c>
    </row>
    <row r="14196" spans="1:5">
      <c r="A14196" t="s">
        <v>6</v>
      </c>
      <c r="B14196" t="s">
        <v>14201</v>
      </c>
      <c r="C14196">
        <f>HYPERLINK("C:\Users\franc\OneDrive\Documentos\MALENTIN KARIME\BANCO ESTADO\2012 DEPTO ESCRITURAS fata\NOTARIA 2009\BANCO SANTANDER\BANCO ESTADO (CIBERGESTION)\JUAN ALFAROPET.doc", "Abrir Documento")</f>
        <v>0</v>
      </c>
      <c r="D14196" t="s">
        <v>23500</v>
      </c>
      <c r="E14196" t="s">
        <v>36671</v>
      </c>
    </row>
    <row r="14197" spans="1:5">
      <c r="A14197" t="s">
        <v>6</v>
      </c>
      <c r="B14197" t="s">
        <v>14202</v>
      </c>
      <c r="C14197">
        <f>HYPERLINK("C:\Users\franc\OneDrive\Documentos\MALENTIN KARIME\BANCO ESTADO\2012 DEPTO ESCRITURAS fata\NOTARIA 2009\BANCO SANTANDER\BANCO ESTADO (CIBERGESTION)\JOSE VIDELA GALLEGOS.doc", "Abrir Documento")</f>
        <v>0</v>
      </c>
      <c r="D14197" t="s">
        <v>23500</v>
      </c>
      <c r="E14197" t="s">
        <v>36672</v>
      </c>
    </row>
    <row r="14198" spans="1:5">
      <c r="A14198" t="s">
        <v>6</v>
      </c>
      <c r="B14198" t="s">
        <v>14203</v>
      </c>
      <c r="C14198">
        <f>HYPERLINK("C:\Users\franc\OneDrive\Documentos\MALENTIN KARIME\BANCO ESTADO\2012 DEPTO ESCRITURAS fata\NOTARIA 2009\BANCO SANTANDER\BANCO ESTADO (CIBERGESTION)\JOSE GALLARDO.doc", "Abrir Documento")</f>
        <v>0</v>
      </c>
      <c r="D14198" t="s">
        <v>23500</v>
      </c>
      <c r="E14198" t="s">
        <v>36673</v>
      </c>
    </row>
    <row r="14199" spans="1:5">
      <c r="A14199" t="s">
        <v>6</v>
      </c>
      <c r="B14199" t="s">
        <v>14204</v>
      </c>
      <c r="C14199">
        <f>HYPERLINK("C:\Users\franc\OneDrive\Documentos\MALENTIN KARIME\BANCO ESTADO\2012 DEPTO ESCRITURAS fata\NOTARIA 2009\BANCO SANTANDER\BANCO ESTADO (CIBERGESTION)\JOSE ARAYA HERRERA.doc", "Abrir Documento")</f>
        <v>0</v>
      </c>
      <c r="D14199" t="s">
        <v>23500</v>
      </c>
      <c r="E14199" t="s">
        <v>36674</v>
      </c>
    </row>
    <row r="14200" spans="1:5">
      <c r="A14200" t="s">
        <v>6</v>
      </c>
      <c r="B14200" t="s">
        <v>14205</v>
      </c>
      <c r="C14200">
        <f>HYPERLINK("C:\Users\franc\OneDrive\Documentos\MALENTIN KARIME\BANCO ESTADO\2012 DEPTO ESCRITURAS fata\NOTARIA 2009\BANCO SANTANDER\BANCO ESTADO (CIBERGESTION)\JOSE ANDRADE.doc", "Abrir Documento")</f>
        <v>0</v>
      </c>
      <c r="D14200" t="s">
        <v>23500</v>
      </c>
      <c r="E14200" t="s">
        <v>36675</v>
      </c>
    </row>
    <row r="14201" spans="1:5">
      <c r="A14201" t="s">
        <v>6</v>
      </c>
      <c r="B14201" t="s">
        <v>14206</v>
      </c>
      <c r="C14201">
        <f>HYPERLINK("C:\Users\franc\OneDrive\Documentos\MALENTIN KARIME\BANCO ESTADO\2012 DEPTO ESCRITURAS fata\NOTARIA 2009\BANCO SANTANDER\BANCO ESTADO (CIBERGESTION)\JORGE ROJAS PET.doc", "Abrir Documento")</f>
        <v>0</v>
      </c>
      <c r="D14201" t="s">
        <v>23500</v>
      </c>
      <c r="E14201" t="s">
        <v>36676</v>
      </c>
    </row>
    <row r="14202" spans="1:5">
      <c r="A14202" t="s">
        <v>6</v>
      </c>
      <c r="B14202" t="s">
        <v>14207</v>
      </c>
      <c r="C14202">
        <f>HYPERLINK("C:\Users\franc\OneDrive\Documentos\MALENTIN KARIME\BANCO ESTADO\2012 DEPTO ESCRITURAS fata\NOTARIA 2009\BANCO SANTANDER\BANCO ESTADO (CIBERGESTION)\JORGE CASTRO CASTRO.doc", "Abrir Documento")</f>
        <v>0</v>
      </c>
      <c r="D14202" t="s">
        <v>23500</v>
      </c>
      <c r="E14202" t="s">
        <v>36677</v>
      </c>
    </row>
    <row r="14203" spans="1:5">
      <c r="A14203" t="s">
        <v>6</v>
      </c>
      <c r="B14203" t="s">
        <v>14208</v>
      </c>
      <c r="C14203">
        <f>HYPERLINK("C:\Users\franc\OneDrive\Documentos\MALENTIN KARIME\BANCO ESTADO\2012 DEPTO ESCRITURAS fata\NOTARIA 2009\BANCO SANTANDER\BANCO ESTADO (CIBERGESTION)\JORGE AVILA.doc", "Abrir Documento")</f>
        <v>0</v>
      </c>
      <c r="D14203" t="s">
        <v>23500</v>
      </c>
      <c r="E14203" t="s">
        <v>36678</v>
      </c>
    </row>
    <row r="14204" spans="1:5">
      <c r="A14204" t="s">
        <v>6</v>
      </c>
      <c r="B14204" t="s">
        <v>14209</v>
      </c>
      <c r="C14204">
        <f>HYPERLINK("C:\Users\franc\OneDrive\Documentos\MALENTIN KARIME\BANCO ESTADO\2012 DEPTO ESCRITURAS fata\NOTARIA 2009\BANCO SANTANDER\BANCO ESTADO (CIBERGESTION)\JANET MICHEA PET.doc", "Abrir Documento")</f>
        <v>0</v>
      </c>
      <c r="D14204" t="s">
        <v>23500</v>
      </c>
      <c r="E14204" t="s">
        <v>36679</v>
      </c>
    </row>
    <row r="14205" spans="1:5">
      <c r="A14205" t="s">
        <v>6</v>
      </c>
      <c r="B14205" t="s">
        <v>14210</v>
      </c>
      <c r="C14205">
        <f>HYPERLINK("C:\Users\franc\OneDrive\Documentos\MALENTIN KARIME\BANCO ESTADO\2012 DEPTO ESCRITURAS fata\NOTARIA 2009\BANCO SANTANDER\BANCO ESTADO (CIBERGESTION)\ISMAEL ARAYA (JULIO).doc", "Abrir Documento")</f>
        <v>0</v>
      </c>
      <c r="D14205" t="s">
        <v>23500</v>
      </c>
      <c r="E14205" t="s">
        <v>36680</v>
      </c>
    </row>
    <row r="14206" spans="1:5">
      <c r="A14206" t="s">
        <v>6</v>
      </c>
      <c r="B14206" t="s">
        <v>14211</v>
      </c>
      <c r="C14206">
        <f>HYPERLINK("C:\Users\franc\OneDrive\Documentos\MALENTIN KARIME\BANCO ESTADO\2012 DEPTO ESCRITURAS fata\NOTARIA 2009\BANCO SANTANDER\BANCO ESTADO (CIBERGESTION)\IRMA MALUENDA CASTRO.doc", "Abrir Documento")</f>
        <v>0</v>
      </c>
      <c r="D14206" t="s">
        <v>23500</v>
      </c>
      <c r="E14206" t="s">
        <v>36681</v>
      </c>
    </row>
    <row r="14207" spans="1:5">
      <c r="A14207" t="s">
        <v>6</v>
      </c>
      <c r="B14207" t="s">
        <v>14212</v>
      </c>
      <c r="C14207">
        <f>HYPERLINK("C:\Users\franc\OneDrive\Documentos\MALENTIN KARIME\BANCO ESTADO\2012 DEPTO ESCRITURAS fata\NOTARIA 2009\BANCO SANTANDER\BANCO ESTADO (CIBERGESTION)\IGNACIA LEIVA.doc", "Abrir Documento")</f>
        <v>0</v>
      </c>
      <c r="D14207" t="s">
        <v>23500</v>
      </c>
      <c r="E14207" t="s">
        <v>36682</v>
      </c>
    </row>
    <row r="14208" spans="1:5">
      <c r="A14208" t="s">
        <v>6</v>
      </c>
      <c r="B14208" t="s">
        <v>14213</v>
      </c>
      <c r="C14208">
        <f>HYPERLINK("C:\Users\franc\OneDrive\Documentos\MALENTIN KARIME\BANCO ESTADO\2012 DEPTO ESCRITURAS fata\NOTARIA 2009\BANCO SANTANDER\BANCO ESTADO (CIBERGESTION)\IGNACIA LEIVA PET.doc", "Abrir Documento")</f>
        <v>0</v>
      </c>
      <c r="D14208" t="s">
        <v>23500</v>
      </c>
      <c r="E14208" t="s">
        <v>36683</v>
      </c>
    </row>
    <row r="14209" spans="1:5">
      <c r="A14209" t="s">
        <v>6</v>
      </c>
      <c r="B14209" t="s">
        <v>14214</v>
      </c>
      <c r="C14209">
        <f>HYPERLINK("C:\Users\franc\OneDrive\Documentos\MALENTIN KARIME\BANCO ESTADO\2012 DEPTO ESCRITURAS fata\NOTARIA 2009\BANCO SANTANDER\BANCO ESTADO (CIBERGESTION)\HOMERO TAPIA ARAYA.doc", "Abrir Documento")</f>
        <v>0</v>
      </c>
      <c r="D14209" t="s">
        <v>23500</v>
      </c>
      <c r="E14209" t="s">
        <v>36684</v>
      </c>
    </row>
    <row r="14210" spans="1:5">
      <c r="A14210" t="s">
        <v>6</v>
      </c>
      <c r="B14210" t="s">
        <v>14215</v>
      </c>
      <c r="C14210">
        <f>HYPERLINK("C:\Users\franc\OneDrive\Documentos\MALENTIN KARIME\BANCO ESTADO\2012 DEPTO ESCRITURAS fata\NOTARIA 2009\BANCO SANTANDER\BANCO ESTADO (CIBERGESTION)\HECTOR SIERRA LOPEZ.doc", "Abrir Documento")</f>
        <v>0</v>
      </c>
      <c r="D14210" t="s">
        <v>23500</v>
      </c>
      <c r="E14210" t="s">
        <v>36685</v>
      </c>
    </row>
    <row r="14211" spans="1:5">
      <c r="A14211" t="s">
        <v>6</v>
      </c>
      <c r="B14211" t="s">
        <v>14216</v>
      </c>
      <c r="C14211">
        <f>HYPERLINK("C:\Users\franc\OneDrive\Documentos\MALENTIN KARIME\BANCO ESTADO\2012 DEPTO ESCRITURAS fata\NOTARIA 2009\BANCO SANTANDER\BANCO ESTADO (CIBERGESTION)\HAROLDO GALLEGUILLOS.doc", "Abrir Documento")</f>
        <v>0</v>
      </c>
      <c r="D14211" t="s">
        <v>23500</v>
      </c>
      <c r="E14211" t="s">
        <v>36686</v>
      </c>
    </row>
    <row r="14212" spans="1:5">
      <c r="A14212" t="s">
        <v>6</v>
      </c>
      <c r="B14212" t="s">
        <v>14217</v>
      </c>
      <c r="C14212">
        <f>HYPERLINK("C:\Users\franc\OneDrive\Documentos\MALENTIN KARIME\BANCO ESTADO\2012 DEPTO ESCRITURAS fata\NOTARIA 2009\BANCO SANTANDER\BANCO ESTADO (CIBERGESTION)\GUILLERMO FERNANDEZ.doc", "Abrir Documento")</f>
        <v>0</v>
      </c>
      <c r="D14212" t="s">
        <v>23500</v>
      </c>
      <c r="E14212" t="s">
        <v>36687</v>
      </c>
    </row>
    <row r="14213" spans="1:5">
      <c r="A14213" t="s">
        <v>6</v>
      </c>
      <c r="B14213" t="s">
        <v>14218</v>
      </c>
      <c r="C14213">
        <f>HYPERLINK("C:\Users\franc\OneDrive\Documentos\MALENTIN KARIME\BANCO ESTADO\2012 DEPTO ESCRITURAS fata\NOTARIA 2009\BANCO SANTANDER\BANCO ESTADO (CIBERGESTION)\GUILLERMO CARVAJAL.doc", "Abrir Documento")</f>
        <v>0</v>
      </c>
      <c r="D14213" t="s">
        <v>23500</v>
      </c>
      <c r="E14213" t="s">
        <v>36688</v>
      </c>
    </row>
    <row r="14214" spans="1:5">
      <c r="A14214" t="s">
        <v>6</v>
      </c>
      <c r="B14214" t="s">
        <v>14219</v>
      </c>
      <c r="C14214">
        <f>HYPERLINK("C:\Users\franc\OneDrive\Documentos\MALENTIN KARIME\BANCO ESTADO\2012 DEPTO ESCRITURAS fata\NOTARIA 2009\BANCO SANTANDER\BANCO ESTADO (CIBERGESTION)\GRACIELA OSSANDON.doc", "Abrir Documento")</f>
        <v>0</v>
      </c>
      <c r="D14214" t="s">
        <v>23500</v>
      </c>
      <c r="E14214" t="s">
        <v>36689</v>
      </c>
    </row>
    <row r="14215" spans="1:5">
      <c r="A14215" t="s">
        <v>6</v>
      </c>
      <c r="B14215" t="s">
        <v>14220</v>
      </c>
      <c r="C14215">
        <f>HYPERLINK("C:\Users\franc\OneDrive\Documentos\MALENTIN KARIME\BANCO ESTADO\2012 DEPTO ESCRITURAS fata\NOTARIA 2009\BANCO SANTANDER\BANCO ESTADO (CIBERGESTION)\GABRIEL SARMIENTO.doc", "Abrir Documento")</f>
        <v>0</v>
      </c>
      <c r="D14215" t="s">
        <v>23500</v>
      </c>
      <c r="E14215" t="s">
        <v>36690</v>
      </c>
    </row>
    <row r="14216" spans="1:5">
      <c r="A14216" t="s">
        <v>6</v>
      </c>
      <c r="B14216" t="s">
        <v>14221</v>
      </c>
      <c r="C14216">
        <f>HYPERLINK("C:\Users\franc\OneDrive\Documentos\MALENTIN KARIME\BANCO ESTADO\2012 DEPTO ESCRITURAS fata\NOTARIA 2009\BANCO SANTANDER\BANCO ESTADO (CIBERGESTION)\GABRIEL SANTANDER.doc", "Abrir Documento")</f>
        <v>0</v>
      </c>
      <c r="D14216" t="s">
        <v>23500</v>
      </c>
      <c r="E14216" t="s">
        <v>36691</v>
      </c>
    </row>
    <row r="14217" spans="1:5">
      <c r="A14217" t="s">
        <v>6</v>
      </c>
      <c r="B14217" t="s">
        <v>14222</v>
      </c>
      <c r="C14217">
        <f>HYPERLINK("C:\Users\franc\OneDrive\Documentos\MALENTIN KARIME\BANCO ESTADO\2012 DEPTO ESCRITURAS fata\NOTARIA 2009\BANCO SANTANDER\BANCO ESTADO (CIBERGESTION)\FERNANDO PIZARRO ROJAS.doc", "Abrir Documento")</f>
        <v>0</v>
      </c>
      <c r="D14217" t="s">
        <v>23500</v>
      </c>
      <c r="E14217" t="s">
        <v>36692</v>
      </c>
    </row>
    <row r="14218" spans="1:5">
      <c r="A14218" t="s">
        <v>6</v>
      </c>
      <c r="B14218" t="s">
        <v>14223</v>
      </c>
      <c r="C14218">
        <f>HYPERLINK("C:\Users\franc\OneDrive\Documentos\MALENTIN KARIME\BANCO ESTADO\2012 DEPTO ESCRITURAS fata\NOTARIA 2009\BANCO SANTANDER\BANCO ESTADO (CIBERGESTION)\FERNANDO ALVARADO PET.doc", "Abrir Documento")</f>
        <v>0</v>
      </c>
      <c r="D14218" t="s">
        <v>23500</v>
      </c>
      <c r="E14218" t="s">
        <v>36693</v>
      </c>
    </row>
    <row r="14219" spans="1:5">
      <c r="A14219" t="s">
        <v>6</v>
      </c>
      <c r="B14219" t="s">
        <v>14224</v>
      </c>
      <c r="C14219">
        <f>HYPERLINK("C:\Users\franc\OneDrive\Documentos\MALENTIN KARIME\BANCO ESTADO\2012 DEPTO ESCRITURAS fata\NOTARIA 2009\BANCO SANTANDER\BANCO ESTADO (CIBERGESTION)\FELIX TAPIA.doc", "Abrir Documento")</f>
        <v>0</v>
      </c>
      <c r="D14219" t="s">
        <v>23500</v>
      </c>
      <c r="E14219" t="s">
        <v>36694</v>
      </c>
    </row>
    <row r="14220" spans="1:5">
      <c r="A14220" t="s">
        <v>6</v>
      </c>
      <c r="B14220" t="s">
        <v>14225</v>
      </c>
      <c r="C14220">
        <f>HYPERLINK("C:\Users\franc\OneDrive\Documentos\MALENTIN KARIME\BANCO ESTADO\2012 DEPTO ESCRITURAS fata\NOTARIA 2009\BANCO SANTANDER\BANCO ESTADO (CIBERGESTION)\EVELYN RIVERA  PET.doc", "Abrir Documento")</f>
        <v>0</v>
      </c>
      <c r="D14220" t="s">
        <v>23500</v>
      </c>
      <c r="E14220" t="s">
        <v>36695</v>
      </c>
    </row>
    <row r="14221" spans="1:5">
      <c r="A14221" t="s">
        <v>6</v>
      </c>
      <c r="B14221" t="s">
        <v>14226</v>
      </c>
      <c r="C14221">
        <f>HYPERLINK("C:\Users\franc\OneDrive\Documentos\MALENTIN KARIME\BANCO ESTADO\2012 DEPTO ESCRITURAS fata\NOTARIA 2009\BANCO SANTANDER\BANCO ESTADO (CIBERGESTION)\EUGENIA GARCIA  PET.doc", "Abrir Documento")</f>
        <v>0</v>
      </c>
      <c r="D14221" t="s">
        <v>23500</v>
      </c>
      <c r="E14221" t="s">
        <v>36696</v>
      </c>
    </row>
    <row r="14222" spans="1:5">
      <c r="A14222" t="s">
        <v>6</v>
      </c>
      <c r="B14222" t="s">
        <v>14227</v>
      </c>
      <c r="C14222">
        <f>HYPERLINK("C:\Users\franc\OneDrive\Documentos\MALENTIN KARIME\BANCO ESTADO\2012 DEPTO ESCRITURAS fata\NOTARIA 2009\BANCO SANTANDER\BANCO ESTADO (CIBERGESTION)\ERICA TELLO.doc", "Abrir Documento")</f>
        <v>0</v>
      </c>
      <c r="D14222" t="s">
        <v>23500</v>
      </c>
      <c r="E14222" t="s">
        <v>36697</v>
      </c>
    </row>
    <row r="14223" spans="1:5">
      <c r="A14223" t="s">
        <v>6</v>
      </c>
      <c r="B14223" t="s">
        <v>14228</v>
      </c>
      <c r="C14223">
        <f>HYPERLINK("C:\Users\franc\OneDrive\Documentos\MALENTIN KARIME\BANCO ESTADO\2012 DEPTO ESCRITURAS fata\NOTARIA 2009\BANCO SANTANDER\BANCO ESTADO (CIBERGESTION)\ENY RODRIGUEZ.doc", "Abrir Documento")</f>
        <v>0</v>
      </c>
      <c r="D14223" t="s">
        <v>23500</v>
      </c>
      <c r="E14223" t="s">
        <v>36698</v>
      </c>
    </row>
    <row r="14224" spans="1:5">
      <c r="A14224" t="s">
        <v>6</v>
      </c>
      <c r="B14224" t="s">
        <v>14229</v>
      </c>
      <c r="C14224">
        <f>HYPERLINK("C:\Users\franc\OneDrive\Documentos\MALENTIN KARIME\BANCO ESTADO\2012 DEPTO ESCRITURAS fata\NOTARIA 2009\BANCO SANTANDER\BANCO ESTADO (CIBERGESTION)\ELSA CORTES PIZARRO  PET.doc", "Abrir Documento")</f>
        <v>0</v>
      </c>
      <c r="D14224" t="s">
        <v>23500</v>
      </c>
      <c r="E14224" t="s">
        <v>36699</v>
      </c>
    </row>
    <row r="14225" spans="1:5">
      <c r="A14225" t="s">
        <v>6</v>
      </c>
      <c r="B14225" t="s">
        <v>14230</v>
      </c>
      <c r="C14225">
        <f>HYPERLINK("C:\Users\franc\OneDrive\Documentos\MALENTIN KARIME\BANCO ESTADO\2012 DEPTO ESCRITURAS fata\NOTARIA 2009\BANCO SANTANDER\BANCO ESTADO (CIBERGESTION)\ELIZABETH GALVEZÇ.doc", "Abrir Documento")</f>
        <v>0</v>
      </c>
      <c r="D14225" t="s">
        <v>23500</v>
      </c>
      <c r="E14225" t="s">
        <v>36700</v>
      </c>
    </row>
    <row r="14226" spans="1:5">
      <c r="A14226" t="s">
        <v>6</v>
      </c>
      <c r="B14226" t="s">
        <v>14231</v>
      </c>
      <c r="C14226">
        <f>HYPERLINK("C:\Users\franc\OneDrive\Documentos\MALENTIN KARIME\BANCO ESTADO\2012 DEPTO ESCRITURAS fata\NOTARIA 2009\BANCO SANTANDER\BANCO ESTADO (CIBERGESTION)\EDITH TOLEDO  PET.doc", "Abrir Documento")</f>
        <v>0</v>
      </c>
      <c r="D14226" t="s">
        <v>23500</v>
      </c>
      <c r="E14226" t="s">
        <v>36701</v>
      </c>
    </row>
    <row r="14227" spans="1:5">
      <c r="A14227" t="s">
        <v>6</v>
      </c>
      <c r="B14227" t="s">
        <v>14232</v>
      </c>
      <c r="C14227">
        <f>HYPERLINK("C:\Users\franc\OneDrive\Documentos\MALENTIN KARIME\BANCO ESTADO\2012 DEPTO ESCRITURAS fata\NOTARIA 2009\BANCO SANTANDER\BANCO ESTADO (CIBERGESTION)\Doc1.doc", "Abrir Documento")</f>
        <v>0</v>
      </c>
      <c r="D14227" t="s">
        <v>23500</v>
      </c>
      <c r="E14227" t="s">
        <v>36702</v>
      </c>
    </row>
    <row r="14228" spans="1:5">
      <c r="A14228" t="s">
        <v>6</v>
      </c>
      <c r="B14228" t="s">
        <v>14233</v>
      </c>
      <c r="C14228">
        <f>HYPERLINK("C:\Users\franc\OneDrive\Documentos\MALENTIN KARIME\BANCO ESTADO\2012 DEPTO ESCRITURAS fata\NOTARIA 2009\BANCO SANTANDER\BANCO ESTADO (CIBERGESTION)\CLAUDIO CASTILLO.doc", "Abrir Documento")</f>
        <v>0</v>
      </c>
      <c r="D14228" t="s">
        <v>23500</v>
      </c>
      <c r="E14228" t="s">
        <v>36703</v>
      </c>
    </row>
    <row r="14229" spans="1:5">
      <c r="A14229" t="s">
        <v>6</v>
      </c>
      <c r="B14229" t="s">
        <v>14234</v>
      </c>
      <c r="C14229">
        <f>HYPERLINK("C:\Users\franc\OneDrive\Documentos\MALENTIN KARIME\BANCO ESTADO\2012 DEPTO ESCRITURAS fata\NOTARIA 2009\BANCO SANTANDER\BANCO ESTADO (CIBERGESTION)\Certificado de Ley 20130.doc", "Abrir Documento")</f>
        <v>0</v>
      </c>
      <c r="D14229" t="s">
        <v>23500</v>
      </c>
      <c r="E14229" t="s">
        <v>36704</v>
      </c>
    </row>
    <row r="14230" spans="1:5">
      <c r="A14230" t="s">
        <v>6</v>
      </c>
      <c r="B14230" t="s">
        <v>14235</v>
      </c>
      <c r="C14230">
        <f>HYPERLINK("C:\Users\franc\OneDrive\Documentos\MALENTIN KARIME\BANCO ESTADO\2012 DEPTO ESCRITURAS fata\NOTARIA 2009\BANCO SANTANDER\BANCO ESTADO (CIBERGESTION)\CELIA DAVID GRANADO.doc", "Abrir Documento")</f>
        <v>0</v>
      </c>
      <c r="D14230" t="s">
        <v>23500</v>
      </c>
      <c r="E14230" t="s">
        <v>36705</v>
      </c>
    </row>
    <row r="14231" spans="1:5">
      <c r="A14231" t="s">
        <v>6</v>
      </c>
      <c r="B14231" t="s">
        <v>14236</v>
      </c>
      <c r="C14231">
        <f>HYPERLINK("C:\Users\franc\OneDrive\Documentos\MALENTIN KARIME\BANCO ESTADO\2012 DEPTO ESCRITURAS fata\NOTARIA 2009\BANCO SANTANDER\BANCO ESTADO (CIBERGESTION)\CECILIA AGUIRRE.doc", "Abrir Documento")</f>
        <v>0</v>
      </c>
      <c r="D14231" t="s">
        <v>23500</v>
      </c>
      <c r="E14231" t="s">
        <v>36706</v>
      </c>
    </row>
    <row r="14232" spans="1:5">
      <c r="A14232" t="s">
        <v>6</v>
      </c>
      <c r="B14232" t="s">
        <v>14237</v>
      </c>
      <c r="C14232">
        <f>HYPERLINK("C:\Users\franc\OneDrive\Documentos\MALENTIN KARIME\BANCO ESTADO\2012 DEPTO ESCRITURAS fata\NOTARIA 2009\BANCO SANTANDER\BANCO ESTADO (CIBERGESTION)\BERNARDA GUZMAN  PET.doc", "Abrir Documento")</f>
        <v>0</v>
      </c>
      <c r="D14232" t="s">
        <v>23500</v>
      </c>
      <c r="E14232" t="s">
        <v>36707</v>
      </c>
    </row>
    <row r="14233" spans="1:5">
      <c r="A14233" t="s">
        <v>6</v>
      </c>
      <c r="B14233" t="s">
        <v>14238</v>
      </c>
      <c r="C14233">
        <f>HYPERLINK("C:\Users\franc\OneDrive\Documentos\MALENTIN KARIME\BANCO ESTADO\2012 DEPTO ESCRITURAS fata\NOTARIA 2009\BANCO SANTANDER\BANCO ESTADO (CIBERGESTION)\ARACELY ASTORGA PET.doc", "Abrir Documento")</f>
        <v>0</v>
      </c>
      <c r="D14233" t="s">
        <v>23500</v>
      </c>
      <c r="E14233" t="s">
        <v>36708</v>
      </c>
    </row>
    <row r="14234" spans="1:5">
      <c r="A14234" t="s">
        <v>6</v>
      </c>
      <c r="B14234" t="s">
        <v>14239</v>
      </c>
      <c r="C14234">
        <f>HYPERLINK("C:\Users\franc\OneDrive\Documentos\MALENTIN KARIME\BANCO ESTADO\2012 DEPTO ESCRITURAS fata\NOTARIA 2009\BANCO SANTANDER\BANCO ESTADO (CIBERGESTION)\ANA ZEPEDA.doc", "Abrir Documento")</f>
        <v>0</v>
      </c>
      <c r="D14234" t="s">
        <v>23500</v>
      </c>
      <c r="E14234" t="s">
        <v>36709</v>
      </c>
    </row>
    <row r="14235" spans="1:5">
      <c r="A14235" t="s">
        <v>6</v>
      </c>
      <c r="B14235" t="s">
        <v>14240</v>
      </c>
      <c r="C14235">
        <f>HYPERLINK("C:\Users\franc\OneDrive\Documentos\MALENTIN KARIME\BANCO ESTADO\2012 DEPTO ESCRITURAS fata\NOTARIA 2009\BANCO SANTANDER\BANCO ESTADO (CIBERGESTION)\AMANDA GUERRERO.doc", "Abrir Documento")</f>
        <v>0</v>
      </c>
      <c r="D14235" t="s">
        <v>23500</v>
      </c>
      <c r="E14235" t="s">
        <v>36710</v>
      </c>
    </row>
    <row r="14236" spans="1:5">
      <c r="A14236" t="s">
        <v>6</v>
      </c>
      <c r="B14236" t="s">
        <v>14241</v>
      </c>
      <c r="C14236">
        <f>HYPERLINK("C:\Users\franc\OneDrive\Documentos\MALENTIN KARIME\BANCO ESTADO\2012 DEPTO ESCRITURAS fata\NOTARIA 2009\BANCO SANTANDER\BANCO ESTADO (CIBERGESTION)\ALEX SEGOVIA.doc", "Abrir Documento")</f>
        <v>0</v>
      </c>
      <c r="D14236" t="s">
        <v>23500</v>
      </c>
      <c r="E14236" t="s">
        <v>36711</v>
      </c>
    </row>
    <row r="14237" spans="1:5">
      <c r="A14237" t="s">
        <v>6</v>
      </c>
      <c r="B14237" t="s">
        <v>14242</v>
      </c>
      <c r="C14237">
        <f>HYPERLINK("C:\Users\franc\OneDrive\Documentos\MALENTIN KARIME\BANCO ESTADO\2012 DEPTO ESCRITURAS fata\NOTARIA 2009\BANCO SANTANDER\ALZAMIENTOS\WILLIAMS ABUSLEME.doc", "Abrir Documento")</f>
        <v>0</v>
      </c>
      <c r="D14237" t="s">
        <v>23500</v>
      </c>
      <c r="E14237" t="s">
        <v>36712</v>
      </c>
    </row>
    <row r="14238" spans="1:5">
      <c r="A14238" t="s">
        <v>6</v>
      </c>
      <c r="B14238" t="s">
        <v>14243</v>
      </c>
      <c r="C14238">
        <f>HYPERLINK("C:\Users\franc\OneDrive\Documentos\MALENTIN KARIME\BANCO ESTADO\2012 DEPTO ESCRITURAS fata\NOTARIA 2009\BANCO SANTANDER\ALZAMIENTOS\SOCIEDAD MANFREDI CARRASCO.doc", "Abrir Documento")</f>
        <v>0</v>
      </c>
      <c r="D14238" t="s">
        <v>23500</v>
      </c>
      <c r="E14238" t="s">
        <v>36713</v>
      </c>
    </row>
    <row r="14239" spans="1:5">
      <c r="A14239" t="s">
        <v>6</v>
      </c>
      <c r="B14239" t="s">
        <v>14244</v>
      </c>
      <c r="C14239">
        <f>HYPERLINK("C:\Users\franc\OneDrive\Documentos\MALENTIN KARIME\BANCO ESTADO\2012 DEPTO ESCRITURAS fata\NOTARIA 2009\BANCO SANTANDER\ALZAMIENTOS\SERV. MEDICOS.doc", "Abrir Documento")</f>
        <v>0</v>
      </c>
      <c r="D14239" t="s">
        <v>23500</v>
      </c>
      <c r="E14239" t="s">
        <v>36714</v>
      </c>
    </row>
    <row r="14240" spans="1:5">
      <c r="A14240" t="s">
        <v>6</v>
      </c>
      <c r="B14240" t="s">
        <v>14245</v>
      </c>
      <c r="C14240">
        <f>HYPERLINK("C:\Users\franc\OneDrive\Documentos\MALENTIN KARIME\BANCO ESTADO\2012 DEPTO ESCRITURAS fata\NOTARIA 2009\BANCO SANTANDER\ALZAMIENTOS\RUBEN SIMON.doc", "Abrir Documento")</f>
        <v>0</v>
      </c>
      <c r="D14240" t="s">
        <v>23500</v>
      </c>
      <c r="E14240" t="s">
        <v>36715</v>
      </c>
    </row>
    <row r="14241" spans="1:5">
      <c r="A14241" t="s">
        <v>6</v>
      </c>
      <c r="B14241" t="s">
        <v>14246</v>
      </c>
      <c r="C14241">
        <f>HYPERLINK("C:\Users\franc\OneDrive\Documentos\MALENTIN KARIME\BANCO ESTADO\2012 DEPTO ESCRITURAS fata\NOTARIA 2009\BANCO SANTANDER\ALZAMIENTOS\LUIS CORTES ROBLES.doc", "Abrir Documento")</f>
        <v>0</v>
      </c>
      <c r="D14241" t="s">
        <v>23500</v>
      </c>
      <c r="E14241" t="s">
        <v>36716</v>
      </c>
    </row>
    <row r="14242" spans="1:5">
      <c r="A14242" t="s">
        <v>6</v>
      </c>
      <c r="B14242" t="s">
        <v>14247</v>
      </c>
      <c r="C14242">
        <f>HYPERLINK("C:\Users\franc\OneDrive\Documentos\MALENTIN KARIME\BANCO ESTADO\2012 DEPTO ESCRITURAS fata\NOTARIA 2009\BANCO SANTANDER\ALZAMIENTOS\IMPORT. Y EXTPO. COMSAT.doc", "Abrir Documento")</f>
        <v>0</v>
      </c>
      <c r="D14242" t="s">
        <v>23500</v>
      </c>
      <c r="E14242" t="s">
        <v>36717</v>
      </c>
    </row>
    <row r="14243" spans="1:5">
      <c r="A14243" t="s">
        <v>6</v>
      </c>
      <c r="B14243" t="s">
        <v>14248</v>
      </c>
      <c r="C14243">
        <f>HYPERLINK("C:\Users\franc\OneDrive\Documentos\MALENTIN KARIME\BANCO ESTADO\2012 DEPTO ESCRITURAS fata\NOTARIA 2009\BANCO SANTANDER\ALZAMIENTOS\BORIS CAMPOSANO.doc", "Abrir Documento")</f>
        <v>0</v>
      </c>
      <c r="D14243" t="s">
        <v>23500</v>
      </c>
      <c r="E14243" t="s">
        <v>36718</v>
      </c>
    </row>
    <row r="14244" spans="1:5">
      <c r="A14244" t="s">
        <v>6</v>
      </c>
      <c r="B14244" t="s">
        <v>14249</v>
      </c>
      <c r="C14244">
        <f>HYPERLINK("C:\Users\franc\OneDrive\Documentos\MALENTIN KARIME\BANCO ESTADO\2012 DEPTO ESCRITURAS fata\NOTARIA 2009\BANCO SANTANDER\YASNA GUERRA (MA. INES).doc", "Abrir Documento")</f>
        <v>0</v>
      </c>
      <c r="D14244" t="s">
        <v>23500</v>
      </c>
      <c r="E14244" t="s">
        <v>36719</v>
      </c>
    </row>
    <row r="14245" spans="1:5">
      <c r="A14245" t="s">
        <v>6</v>
      </c>
      <c r="B14245" t="s">
        <v>14250</v>
      </c>
      <c r="C14245">
        <f>HYPERLINK("C:\Users\franc\OneDrive\Documentos\MALENTIN KARIME\BANCO ESTADO\2012 DEPTO ESCRITURAS fata\NOTARIA 2009\BANCO SANTANDER\YASNA GUERRA (CIBERGESTION ) CARMEN ESPINDOLA.doc", "Abrir Documento")</f>
        <v>0</v>
      </c>
      <c r="D14245" t="s">
        <v>23500</v>
      </c>
      <c r="E14245" t="s">
        <v>36720</v>
      </c>
    </row>
    <row r="14246" spans="1:5">
      <c r="A14246" t="s">
        <v>6</v>
      </c>
      <c r="B14246" t="s">
        <v>14251</v>
      </c>
      <c r="C14246">
        <f>HYPERLINK("C:\Users\franc\OneDrive\Documentos\MALENTIN KARIME\BANCO ESTADO\2012 DEPTO ESCRITURAS fata\NOTARIA 2009\BANCO SANTANDER\XIMENA SALAS A GLADYS RODRIGUEZ MUT HIPO.doc", "Abrir Documento")</f>
        <v>0</v>
      </c>
      <c r="D14246" t="s">
        <v>23500</v>
      </c>
      <c r="E14246" t="s">
        <v>36721</v>
      </c>
    </row>
    <row r="14247" spans="1:5">
      <c r="A14247" t="s">
        <v>6</v>
      </c>
      <c r="B14247" t="s">
        <v>14252</v>
      </c>
      <c r="C14247">
        <f>HYPERLINK("C:\Users\franc\OneDrive\Documentos\MALENTIN KARIME\BANCO ESTADO\2012 DEPTO ESCRITURAS fata\NOTARIA 2009\BANCO SANTANDER\WILFREDO ARAYA.doc", "Abrir Documento")</f>
        <v>0</v>
      </c>
      <c r="D14247" t="s">
        <v>23500</v>
      </c>
      <c r="E14247" t="s">
        <v>36722</v>
      </c>
    </row>
    <row r="14248" spans="1:5">
      <c r="A14248" t="s">
        <v>6</v>
      </c>
      <c r="B14248" t="s">
        <v>14253</v>
      </c>
      <c r="C14248">
        <f>HYPERLINK("C:\Users\franc\OneDrive\Documentos\MALENTIN KARIME\BANCO ESTADO\2012 DEPTO ESCRITURAS fata\NOTARIA 2009\BANCO SANTANDER\WILFREDO ALFARO MAYA (JUILIOM 2007).doc", "Abrir Documento")</f>
        <v>0</v>
      </c>
      <c r="D14248" t="s">
        <v>23500</v>
      </c>
      <c r="E14248" t="s">
        <v>36723</v>
      </c>
    </row>
    <row r="14249" spans="1:5">
      <c r="A14249" t="s">
        <v>6</v>
      </c>
      <c r="B14249" t="s">
        <v>14254</v>
      </c>
      <c r="C14249">
        <f>HYPERLINK("C:\Users\franc\OneDrive\Documentos\MALENTIN KARIME\BANCO ESTADO\2012 DEPTO ESCRITURAS fata\NOTARIA 2009\BANCO SANTANDER\TORREJON HERMANOS (HIPOTECA).doc", "Abrir Documento")</f>
        <v>0</v>
      </c>
      <c r="D14249" t="s">
        <v>23500</v>
      </c>
      <c r="E14249" t="s">
        <v>36724</v>
      </c>
    </row>
    <row r="14250" spans="1:5">
      <c r="A14250" t="s">
        <v>6</v>
      </c>
      <c r="B14250" t="s">
        <v>14255</v>
      </c>
      <c r="C14250">
        <f>HYPERLINK("C:\Users\franc\OneDrive\Documentos\MALENTIN KARIME\BANCO ESTADO\2012 DEPTO ESCRITURAS fata\NOTARIA 2009\BANCO SANTANDER\SOC. LAS  MOLLACAS TIERRA.doc", "Abrir Documento")</f>
        <v>0</v>
      </c>
      <c r="D14250" t="s">
        <v>23500</v>
      </c>
      <c r="E14250" t="s">
        <v>36725</v>
      </c>
    </row>
    <row r="14251" spans="1:5">
      <c r="A14251" t="s">
        <v>6</v>
      </c>
      <c r="B14251" t="s">
        <v>14256</v>
      </c>
      <c r="C14251">
        <f>HYPERLINK("C:\Users\franc\OneDrive\Documentos\MALENTIN KARIME\BANCO ESTADO\2012 DEPTO ESCRITURAS fata\NOTARIA 2009\BANCO SANTANDER\SOC. CONDE Y DIAZ AGUAS.doc", "Abrir Documento")</f>
        <v>0</v>
      </c>
      <c r="D14251" t="s">
        <v>23500</v>
      </c>
      <c r="E14251" t="s">
        <v>36726</v>
      </c>
    </row>
    <row r="14252" spans="1:5">
      <c r="A14252" t="s">
        <v>6</v>
      </c>
      <c r="B14252" t="s">
        <v>14257</v>
      </c>
      <c r="C14252">
        <f>HYPERLINK("C:\Users\franc\OneDrive\Documentos\MALENTIN KARIME\BANCO ESTADO\2012 DEPTO ESCRITURAS fata\NOTARIA 2009\BANCO SANTANDER\SELEME YAGNAM, F 21 FGEN, ALZA B. CHILE.doc", "Abrir Documento")</f>
        <v>0</v>
      </c>
      <c r="D14252" t="s">
        <v>23500</v>
      </c>
      <c r="E14252" t="s">
        <v>36727</v>
      </c>
    </row>
    <row r="14253" spans="1:5">
      <c r="A14253" t="s">
        <v>6</v>
      </c>
      <c r="B14253" t="s">
        <v>14258</v>
      </c>
      <c r="C14253">
        <f>HYPERLINK("C:\Users\franc\OneDrive\Documentos\MALENTIN KARIME\BANCO ESTADO\2012 DEPTO ESCRITURAS fata\NOTARIA 2009\BANCO SANTANDER\SAYIRA OLIVARES (BANEFE).doc", "Abrir Documento")</f>
        <v>0</v>
      </c>
      <c r="D14253" t="s">
        <v>23500</v>
      </c>
      <c r="E14253" t="s">
        <v>36728</v>
      </c>
    </row>
    <row r="14254" spans="1:5">
      <c r="A14254" t="s">
        <v>6</v>
      </c>
      <c r="B14254" t="s">
        <v>14259</v>
      </c>
      <c r="C14254">
        <f>HYPERLINK("C:\Users\franc\OneDrive\Documentos\MALENTIN KARIME\BANCO ESTADO\2012 DEPTO ESCRITURAS fata\NOTARIA 2009\BANCO SANTANDER\RUTH VEGA (MA. INES.doc", "Abrir Documento")</f>
        <v>0</v>
      </c>
      <c r="D14254" t="s">
        <v>23500</v>
      </c>
      <c r="E14254" t="s">
        <v>36729</v>
      </c>
    </row>
    <row r="14255" spans="1:5">
      <c r="A14255" t="s">
        <v>6</v>
      </c>
      <c r="B14255" t="s">
        <v>14260</v>
      </c>
      <c r="C14255">
        <f>HYPERLINK("C:\Users\franc\OneDrive\Documentos\MALENTIN KARIME\BANCO ESTADO\2012 DEPTO ESCRITURAS fata\NOTARIA 2009\BANCO SANTANDER\ROXANA LARRONDO - ELENA CARVAJAL.doc", "Abrir Documento")</f>
        <v>0</v>
      </c>
      <c r="D14255" t="s">
        <v>23500</v>
      </c>
      <c r="E14255" t="s">
        <v>36730</v>
      </c>
    </row>
    <row r="14256" spans="1:5">
      <c r="A14256" t="s">
        <v>6</v>
      </c>
      <c r="B14256" t="s">
        <v>14261</v>
      </c>
      <c r="C14256">
        <f>HYPERLINK("C:\Users\franc\OneDrive\Documentos\MALENTIN KARIME\BANCO ESTADO\2012 DEPTO ESCRITURAS fata\NOTARIA 2009\BANCO SANTANDER\RITTER IRIARTE.doc", "Abrir Documento")</f>
        <v>0</v>
      </c>
      <c r="D14256" t="s">
        <v>23500</v>
      </c>
      <c r="E14256" t="s">
        <v>36731</v>
      </c>
    </row>
    <row r="14257" spans="1:5">
      <c r="A14257" t="s">
        <v>6</v>
      </c>
      <c r="B14257" t="s">
        <v>14262</v>
      </c>
      <c r="C14257">
        <f>HYPERLINK("C:\Users\franc\OneDrive\Documentos\MALENTIN KARIME\BANCO ESTADO\2012 DEPTO ESCRITURAS fata\NOTARIA 2009\BANCO SANTANDER\RICARDO RISI MONDACA.doc", "Abrir Documento")</f>
        <v>0</v>
      </c>
      <c r="D14257" t="s">
        <v>23500</v>
      </c>
      <c r="E14257" t="s">
        <v>36732</v>
      </c>
    </row>
    <row r="14258" spans="1:5">
      <c r="A14258" t="s">
        <v>6</v>
      </c>
      <c r="B14258" t="s">
        <v>14263</v>
      </c>
      <c r="C14258">
        <f>HYPERLINK("C:\Users\franc\OneDrive\Documentos\MALENTIN KARIME\BANCO ESTADO\2012 DEPTO ESCRITURAS fata\NOTARIA 2009\BANCO SANTANDER\RENE VASQUEZ (CIBERGESTION).doc", "Abrir Documento")</f>
        <v>0</v>
      </c>
      <c r="D14258" t="s">
        <v>23500</v>
      </c>
      <c r="E14258" t="s">
        <v>36733</v>
      </c>
    </row>
    <row r="14259" spans="1:5">
      <c r="A14259" t="s">
        <v>6</v>
      </c>
      <c r="B14259" t="s">
        <v>14264</v>
      </c>
      <c r="C14259">
        <f>HYPERLINK("C:\Users\franc\OneDrive\Documentos\MALENTIN KARIME\BANCO ESTADO\2012 DEPTO ESCRITURAS fata\NOTARIA 2009\BANCO SANTANDER\RECTIFICA MA. INES.doc", "Abrir Documento")</f>
        <v>0</v>
      </c>
      <c r="D14259" t="s">
        <v>23500</v>
      </c>
      <c r="E14259" t="s">
        <v>36734</v>
      </c>
    </row>
    <row r="14260" spans="1:5">
      <c r="A14260" t="s">
        <v>6</v>
      </c>
      <c r="B14260" t="s">
        <v>14265</v>
      </c>
      <c r="C14260">
        <f>HYPERLINK("C:\Users\franc\OneDrive\Documentos\MALENTIN KARIME\BANCO ESTADO\2012 DEPTO ESCRITURAS fata\NOTARIA 2009\BANCO SANTANDER\PERSONERIA MAURICIO VELIZ.doc", "Abrir Documento")</f>
        <v>0</v>
      </c>
      <c r="D14260" t="s">
        <v>23500</v>
      </c>
      <c r="E14260" t="s">
        <v>36735</v>
      </c>
    </row>
    <row r="14261" spans="1:5">
      <c r="A14261" t="s">
        <v>6</v>
      </c>
      <c r="B14261" t="s">
        <v>14266</v>
      </c>
      <c r="C14261">
        <f>HYPERLINK("C:\Users\franc\OneDrive\Documentos\MALENTIN KARIME\BANCO ESTADO\2012 DEPTO ESCRITURAS fata\NOTARIA 2009\BANCO SANTANDER\PERSONERIA BANCO SANTANDER.doc", "Abrir Documento")</f>
        <v>0</v>
      </c>
      <c r="D14261" t="s">
        <v>23500</v>
      </c>
      <c r="E14261" t="s">
        <v>36736</v>
      </c>
    </row>
    <row r="14262" spans="1:5">
      <c r="A14262" t="s">
        <v>6</v>
      </c>
      <c r="B14262" t="s">
        <v>14267</v>
      </c>
      <c r="C14262">
        <f>HYPERLINK("C:\Users\franc\OneDrive\Documentos\MALENTIN KARIME\BANCO ESTADO\2012 DEPTO ESCRITURAS fata\NOTARIA 2009\BANCO SANTANDER\PERINES ALVAREZ JUAN, ESC. MUTUO 30-04-2007.doc", "Abrir Documento")</f>
        <v>0</v>
      </c>
      <c r="D14262" t="s">
        <v>23500</v>
      </c>
      <c r="E14262" t="s">
        <v>36737</v>
      </c>
    </row>
    <row r="14263" spans="1:5">
      <c r="A14263" t="s">
        <v>6</v>
      </c>
      <c r="B14263" t="s">
        <v>14268</v>
      </c>
      <c r="C14263">
        <f>HYPERLINK("C:\Users\franc\OneDrive\Documentos\MALENTIN KARIME\BANCO ESTADO\2012 DEPTO ESCRITURAS fata\NOTARIA 2009\BANCO SANTANDER\MODIF. CONTRATO.DOC", "Abrir Documento")</f>
        <v>0</v>
      </c>
      <c r="D14263" t="s">
        <v>23500</v>
      </c>
      <c r="E14263" t="s">
        <v>36738</v>
      </c>
    </row>
    <row r="14264" spans="1:5">
      <c r="A14264" t="s">
        <v>6</v>
      </c>
      <c r="B14264" t="s">
        <v>14269</v>
      </c>
      <c r="C14264">
        <f>HYPERLINK("C:\Users\franc\OneDrive\Documentos\MALENTIN KARIME\BANCO ESTADO\2012 DEPTO ESCRITURAS fata\NOTARIA 2009\BANCO SANTANDER\MODELO.doc", "Abrir Documento")</f>
        <v>0</v>
      </c>
      <c r="D14264" t="s">
        <v>23500</v>
      </c>
      <c r="E14264" t="s">
        <v>36739</v>
      </c>
    </row>
    <row r="14265" spans="1:5">
      <c r="A14265" t="s">
        <v>6</v>
      </c>
      <c r="B14265" t="s">
        <v>14270</v>
      </c>
      <c r="C14265">
        <f>HYPERLINK("C:\Users\franc\OneDrive\Documentos\MALENTIN KARIME\BANCO ESTADO\2012 DEPTO ESCRITURAS fata\NOTARIA 2009\BANCO SANTANDER\MILENA VEGA RODRIGUEZ.doc", "Abrir Documento")</f>
        <v>0</v>
      </c>
      <c r="D14265" t="s">
        <v>23500</v>
      </c>
      <c r="E14265" t="s">
        <v>36740</v>
      </c>
    </row>
    <row r="14266" spans="1:5">
      <c r="A14266" t="s">
        <v>6</v>
      </c>
      <c r="B14266" t="s">
        <v>14271</v>
      </c>
      <c r="C14266">
        <f>HYPERLINK("C:\Users\franc\OneDrive\Documentos\MALENTIN KARIME\BANCO ESTADO\2012 DEPTO ESCRITURAS fata\NOTARIA 2009\BANCO SANTANDER\MAURO MANFREDI  (MA INES).doc", "Abrir Documento")</f>
        <v>0</v>
      </c>
      <c r="D14266" t="s">
        <v>23500</v>
      </c>
      <c r="E14266" t="s">
        <v>36741</v>
      </c>
    </row>
    <row r="14267" spans="1:5">
      <c r="A14267" t="s">
        <v>6</v>
      </c>
      <c r="B14267" t="s">
        <v>14272</v>
      </c>
      <c r="C14267">
        <f>HYPERLINK("C:\Users\franc\OneDrive\Documentos\MALENTIN KARIME\BANCO ESTADO\2012 DEPTO ESCRITURAS fata\NOTARIA 2009\BANCO SANTANDER\MARIA SANTIBAÑEZ.doc", "Abrir Documento")</f>
        <v>0</v>
      </c>
      <c r="D14267" t="s">
        <v>23500</v>
      </c>
      <c r="E14267" t="s">
        <v>36742</v>
      </c>
    </row>
    <row r="14268" spans="1:5">
      <c r="A14268" t="s">
        <v>6</v>
      </c>
      <c r="B14268" t="s">
        <v>14273</v>
      </c>
      <c r="C14268">
        <f>HYPERLINK("C:\Users\franc\OneDrive\Documentos\MALENTIN KARIME\BANCO ESTADO\2012 DEPTO ESCRITURAS fata\NOTARIA 2009\BANCO SANTANDER\MARIA RAGGI A MARIA CARVAJAL (M. INES).doc", "Abrir Documento")</f>
        <v>0</v>
      </c>
      <c r="D14268" t="s">
        <v>23500</v>
      </c>
      <c r="E14268" t="s">
        <v>36743</v>
      </c>
    </row>
    <row r="14269" spans="1:5">
      <c r="A14269" t="s">
        <v>6</v>
      </c>
      <c r="B14269" t="s">
        <v>14274</v>
      </c>
      <c r="C14269">
        <f>HYPERLINK("C:\Users\franc\OneDrive\Documentos\MALENTIN KARIME\BANCO ESTADO\2012 DEPTO ESCRITURAS fata\NOTARIA 2009\BANCO SANTANDER\MARGARITA DURAN (CIBERGESTION).doc", "Abrir Documento")</f>
        <v>0</v>
      </c>
      <c r="D14269" t="s">
        <v>23500</v>
      </c>
      <c r="E14269" t="s">
        <v>36744</v>
      </c>
    </row>
    <row r="14270" spans="1:5">
      <c r="A14270" t="s">
        <v>6</v>
      </c>
      <c r="B14270" t="s">
        <v>14275</v>
      </c>
      <c r="C14270">
        <f>HYPERLINK("C:\Users\franc\OneDrive\Documentos\MALENTIN KARIME\BANCO ESTADO\2012 DEPTO ESCRITURAS fata\NOTARIA 2009\BANCO SANTANDER\MA. RAGGI A MARIA CARVAJAL (M.INES NUÑEZ).doc", "Abrir Documento")</f>
        <v>0</v>
      </c>
      <c r="D14270" t="s">
        <v>23500</v>
      </c>
      <c r="E14270" t="s">
        <v>36745</v>
      </c>
    </row>
    <row r="14271" spans="1:5">
      <c r="A14271" t="s">
        <v>6</v>
      </c>
      <c r="B14271" t="s">
        <v>14276</v>
      </c>
      <c r="C14271">
        <f>HYPERLINK("C:\Users\franc\OneDrive\Documentos\MALENTIN KARIME\BANCO ESTADO\2012 DEPTO ESCRITURAS fata\NOTARIA 2009\BANCO SANTANDER\LUZ BOLVARAN FINAL.doc", "Abrir Documento")</f>
        <v>0</v>
      </c>
      <c r="D14271" t="s">
        <v>23500</v>
      </c>
      <c r="E14271" t="s">
        <v>36746</v>
      </c>
    </row>
    <row r="14272" spans="1:5">
      <c r="A14272" t="s">
        <v>6</v>
      </c>
      <c r="B14272" t="s">
        <v>14277</v>
      </c>
      <c r="C14272">
        <f>HYPERLINK("C:\Users\franc\OneDrive\Documentos\MALENTIN KARIME\BANCO ESTADO\2012 DEPTO ESCRITURAS fata\NOTARIA 2009\BANCO SANTANDER\LUIS PROHENS - MALLORCA.doc", "Abrir Documento")</f>
        <v>0</v>
      </c>
      <c r="D14272" t="s">
        <v>23500</v>
      </c>
      <c r="E14272" t="s">
        <v>36747</v>
      </c>
    </row>
    <row r="14273" spans="1:5">
      <c r="A14273" t="s">
        <v>6</v>
      </c>
      <c r="B14273" t="s">
        <v>14278</v>
      </c>
      <c r="C14273">
        <f>HYPERLINK("C:\Users\franc\OneDrive\Documentos\MALENTIN KARIME\BANCO ESTADO\2012 DEPTO ESCRITURAS fata\NOTARIA 2009\BANCO SANTANDER\KARINA VARAS.doc", "Abrir Documento")</f>
        <v>0</v>
      </c>
      <c r="D14273" t="s">
        <v>23500</v>
      </c>
      <c r="E14273" t="s">
        <v>36748</v>
      </c>
    </row>
    <row r="14274" spans="1:5">
      <c r="A14274" t="s">
        <v>6</v>
      </c>
      <c r="B14274" t="s">
        <v>14279</v>
      </c>
      <c r="C14274">
        <f>HYPERLINK("C:\Users\franc\OneDrive\Documentos\MALENTIN KARIME\BANCO ESTADO\2012 DEPTO ESCRITURAS fata\NOTARIA 2009\BANCO SANTANDER\JULIO MARDONES  (BCO. LA SERENA).doc", "Abrir Documento")</f>
        <v>0</v>
      </c>
      <c r="D14274" t="s">
        <v>23500</v>
      </c>
      <c r="E14274" t="s">
        <v>36749</v>
      </c>
    </row>
    <row r="14275" spans="1:5">
      <c r="A14275" t="s">
        <v>6</v>
      </c>
      <c r="B14275" t="s">
        <v>14280</v>
      </c>
      <c r="C14275">
        <f>HYPERLINK("C:\Users\franc\OneDrive\Documentos\MALENTIN KARIME\BANCO ESTADO\2012 DEPTO ESCRITURAS fata\NOTARIA 2009\BANCO SANTANDER\JUANA ROJAS CALLEJAS.doc", "Abrir Documento")</f>
        <v>0</v>
      </c>
      <c r="D14275" t="s">
        <v>23500</v>
      </c>
      <c r="E14275" t="s">
        <v>36750</v>
      </c>
    </row>
    <row r="14276" spans="1:5">
      <c r="A14276" t="s">
        <v>6</v>
      </c>
      <c r="B14276" t="s">
        <v>14281</v>
      </c>
      <c r="C14276">
        <f>HYPERLINK("C:\Users\franc\OneDrive\Documentos\MALENTIN KARIME\BANCO ESTADO\2012 DEPTO ESCRITURAS fata\NOTARIA 2009\BANCO SANTANDER\JUAN SALINAS MORA.doc", "Abrir Documento")</f>
        <v>0</v>
      </c>
      <c r="D14276" t="s">
        <v>23500</v>
      </c>
      <c r="E14276" t="s">
        <v>36751</v>
      </c>
    </row>
    <row r="14277" spans="1:5">
      <c r="A14277" t="s">
        <v>6</v>
      </c>
      <c r="B14277" t="s">
        <v>14282</v>
      </c>
      <c r="C14277">
        <f>HYPERLINK("C:\Users\franc\OneDrive\Documentos\MALENTIN KARIME\BANCO ESTADO\2012 DEPTO ESCRITURAS fata\NOTARIA 2009\BANCO SANTANDER\JUAN SAAVEDRA (MA. INES).doc", "Abrir Documento")</f>
        <v>0</v>
      </c>
      <c r="D14277" t="s">
        <v>23500</v>
      </c>
      <c r="E14277" t="s">
        <v>36752</v>
      </c>
    </row>
    <row r="14278" spans="1:5">
      <c r="A14278" t="s">
        <v>6</v>
      </c>
      <c r="B14278" t="s">
        <v>14283</v>
      </c>
      <c r="C14278">
        <f>HYPERLINK("C:\Users\franc\OneDrive\Documentos\MALENTIN KARIME\BANCO ESTADO\2012 DEPTO ESCRITURAS fata\NOTARIA 2009\BANCO SANTANDER\JUAN PERINES (MA. INES).doc", "Abrir Documento")</f>
        <v>0</v>
      </c>
      <c r="D14278" t="s">
        <v>23500</v>
      </c>
      <c r="E14278" t="s">
        <v>36753</v>
      </c>
    </row>
    <row r="14279" spans="1:5">
      <c r="A14279" t="s">
        <v>6</v>
      </c>
      <c r="B14279" t="s">
        <v>14284</v>
      </c>
      <c r="C14279">
        <f>HYPERLINK("C:\Users\franc\OneDrive\Documentos\MALENTIN KARIME\BANCO ESTADO\2012 DEPTO ESCRITURAS fata\NOTARIA 2009\BANCO SANTANDER\JUAN MAZU.doc", "Abrir Documento")</f>
        <v>0</v>
      </c>
      <c r="D14279" t="s">
        <v>23500</v>
      </c>
      <c r="E14279" t="s">
        <v>36754</v>
      </c>
    </row>
    <row r="14280" spans="1:5">
      <c r="A14280" t="s">
        <v>6</v>
      </c>
      <c r="B14280" t="s">
        <v>14285</v>
      </c>
      <c r="C14280">
        <f>HYPERLINK("C:\Users\franc\OneDrive\Documentos\MALENTIN KARIME\BANCO ESTADO\2012 DEPTO ESCRITURAS fata\NOTARIA 2009\BANCO SANTANDER\ISAIAS MORA (MA INES).doc", "Abrir Documento")</f>
        <v>0</v>
      </c>
      <c r="D14280" t="s">
        <v>23500</v>
      </c>
      <c r="E14280" t="s">
        <v>36755</v>
      </c>
    </row>
    <row r="14281" spans="1:5">
      <c r="A14281" t="s">
        <v>6</v>
      </c>
      <c r="B14281" t="s">
        <v>14286</v>
      </c>
      <c r="C14281">
        <f>HYPERLINK("C:\Users\franc\OneDrive\Documentos\MALENTIN KARIME\BANCO ESTADO\2012 DEPTO ESCRITURAS fata\NOTARIA 2009\BANCO SANTANDER\HORACIO ALVAREZ Y CIA..doc", "Abrir Documento")</f>
        <v>0</v>
      </c>
      <c r="D14281" t="s">
        <v>23500</v>
      </c>
      <c r="E14281" t="s">
        <v>36756</v>
      </c>
    </row>
    <row r="14282" spans="1:5">
      <c r="A14282" t="s">
        <v>6</v>
      </c>
      <c r="B14282" t="s">
        <v>14287</v>
      </c>
      <c r="C14282">
        <f>HYPERLINK("C:\Users\franc\OneDrive\Documentos\MALENTIN KARIME\BANCO ESTADO\2012 DEPTO ESCRITURAS fata\NOTARIA 2009\BANCO SANTANDER\HERNAN  REYES OLIVARES (MA. INES) FINAL.doc", "Abrir Documento")</f>
        <v>0</v>
      </c>
      <c r="D14282" t="s">
        <v>23500</v>
      </c>
      <c r="E14282" t="s">
        <v>36757</v>
      </c>
    </row>
    <row r="14283" spans="1:5">
      <c r="A14283" t="s">
        <v>6</v>
      </c>
      <c r="B14283" t="s">
        <v>14288</v>
      </c>
      <c r="C14283">
        <f>HYPERLINK("C:\Users\franc\OneDrive\Documentos\MALENTIN KARIME\BANCO ESTADO\2012 DEPTO ESCRITURAS fata\NOTARIA 2009\BANCO SANTANDER\HECTOR TORRES ORELLANA (MA. INES).doc", "Abrir Documento")</f>
        <v>0</v>
      </c>
      <c r="D14283" t="s">
        <v>23500</v>
      </c>
      <c r="E14283" t="s">
        <v>36758</v>
      </c>
    </row>
    <row r="14284" spans="1:5">
      <c r="A14284" t="s">
        <v>6</v>
      </c>
      <c r="B14284" t="s">
        <v>14289</v>
      </c>
      <c r="C14284">
        <f>HYPERLINK("C:\Users\franc\OneDrive\Documentos\MALENTIN KARIME\BANCO ESTADO\2012 DEPTO ESCRITURAS fata\NOTARIA 2009\BANCO SANTANDER\HECTOR RAMIREZ (MA. INES).doc", "Abrir Documento")</f>
        <v>0</v>
      </c>
      <c r="D14284" t="s">
        <v>23500</v>
      </c>
      <c r="E14284" t="s">
        <v>36759</v>
      </c>
    </row>
    <row r="14285" spans="1:5">
      <c r="A14285" t="s">
        <v>6</v>
      </c>
      <c r="B14285" t="s">
        <v>14290</v>
      </c>
      <c r="C14285">
        <f>HYPERLINK("C:\Users\franc\OneDrive\Documentos\MALENTIN KARIME\BANCO ESTADO\2012 DEPTO ESCRITURAS fata\NOTARIA 2009\BANCO SANTANDER\GLORIA PROHENS (CIBERGESTION).doc", "Abrir Documento")</f>
        <v>0</v>
      </c>
      <c r="D14285" t="s">
        <v>23500</v>
      </c>
      <c r="E14285" t="s">
        <v>36760</v>
      </c>
    </row>
    <row r="14286" spans="1:5">
      <c r="A14286" t="s">
        <v>6</v>
      </c>
      <c r="B14286" t="s">
        <v>14291</v>
      </c>
      <c r="C14286">
        <f>HYPERLINK("C:\Users\franc\OneDrive\Documentos\MALENTIN KARIME\BANCO ESTADO\2012 DEPTO ESCRITURAS fata\NOTARIA 2009\BANCO SANTANDER\GAMAL ROJAS PEREZ.doc", "Abrir Documento")</f>
        <v>0</v>
      </c>
      <c r="D14286" t="s">
        <v>23500</v>
      </c>
      <c r="E14286" t="s">
        <v>36761</v>
      </c>
    </row>
    <row r="14287" spans="1:5">
      <c r="A14287" t="s">
        <v>6</v>
      </c>
      <c r="B14287" t="s">
        <v>14292</v>
      </c>
      <c r="C14287">
        <f>HYPERLINK("C:\Users\franc\OneDrive\Documentos\MALENTIN KARIME\BANCO ESTADO\2012 DEPTO ESCRITURAS fata\NOTARIA 2009\BANCO SANTANDER\GABRIELA RIVAS.doc", "Abrir Documento")</f>
        <v>0</v>
      </c>
      <c r="D14287" t="s">
        <v>23500</v>
      </c>
      <c r="E14287" t="s">
        <v>36762</v>
      </c>
    </row>
    <row r="14288" spans="1:5">
      <c r="A14288" t="s">
        <v>6</v>
      </c>
      <c r="B14288" t="s">
        <v>14293</v>
      </c>
      <c r="C14288">
        <f>HYPERLINK("C:\Users\franc\OneDrive\Documentos\MALENTIN KARIME\BANCO ESTADO\2012 DEPTO ESCRITURAS fata\NOTARIA 2009\BANCO SANTANDER\GABRIEL ROJAS LEYTON 2.doc", "Abrir Documento")</f>
        <v>0</v>
      </c>
      <c r="D14288" t="s">
        <v>23500</v>
      </c>
      <c r="E14288" t="s">
        <v>36763</v>
      </c>
    </row>
    <row r="14289" spans="1:5">
      <c r="A14289" t="s">
        <v>6</v>
      </c>
      <c r="B14289" t="s">
        <v>14294</v>
      </c>
      <c r="C14289">
        <f>HYPERLINK("C:\Users\franc\OneDrive\Documentos\MALENTIN KARIME\BANCO ESTADO\2012 DEPTO ESCRITURAS fata\NOTARIA 2009\BANCO SANTANDER\GABRIEL LEYTON (MA. INES).doc", "Abrir Documento")</f>
        <v>0</v>
      </c>
      <c r="D14289" t="s">
        <v>23500</v>
      </c>
      <c r="E14289" t="s">
        <v>36764</v>
      </c>
    </row>
    <row r="14290" spans="1:5">
      <c r="A14290" t="s">
        <v>6</v>
      </c>
      <c r="B14290" t="s">
        <v>14295</v>
      </c>
      <c r="C14290">
        <f>HYPERLINK("C:\Users\franc\OneDrive\Documentos\MALENTIN KARIME\BANCO ESTADO\2012 DEPTO ESCRITURAS fata\NOTARIA 2009\BANCO SANTANDER\FLORENTINA JOFRE.doc", "Abrir Documento")</f>
        <v>0</v>
      </c>
      <c r="D14290" t="s">
        <v>23500</v>
      </c>
      <c r="E14290" t="s">
        <v>36765</v>
      </c>
    </row>
    <row r="14291" spans="1:5">
      <c r="A14291" t="s">
        <v>6</v>
      </c>
      <c r="B14291" t="s">
        <v>14296</v>
      </c>
      <c r="C14291">
        <f>HYPERLINK("C:\Users\franc\OneDrive\Documentos\MALENTIN KARIME\BANCO ESTADO\2012 DEPTO ESCRITURAS fata\NOTARIA 2009\BANCO SANTANDER\FLORENTINA COLLAO (BANEFE).doc", "Abrir Documento")</f>
        <v>0</v>
      </c>
      <c r="D14291" t="s">
        <v>23500</v>
      </c>
      <c r="E14291" t="s">
        <v>36766</v>
      </c>
    </row>
    <row r="14292" spans="1:5">
      <c r="A14292" t="s">
        <v>6</v>
      </c>
      <c r="B14292" t="s">
        <v>14297</v>
      </c>
      <c r="C14292">
        <f>HYPERLINK("C:\Users\franc\OneDrive\Documentos\MALENTIN KARIME\BANCO ESTADO\2012 DEPTO ESCRITURAS fata\NOTARIA 2009\BANCO SANTANDER\ERIK PIZARRO ALVAREZ (MA INES NUÑEZ).doc", "Abrir Documento")</f>
        <v>0</v>
      </c>
      <c r="D14292" t="s">
        <v>23500</v>
      </c>
      <c r="E14292" t="s">
        <v>36767</v>
      </c>
    </row>
    <row r="14293" spans="1:5">
      <c r="A14293" t="s">
        <v>6</v>
      </c>
      <c r="B14293" t="s">
        <v>14298</v>
      </c>
      <c r="C14293">
        <f>HYPERLINK("C:\Users\franc\OneDrive\Documentos\MALENTIN KARIME\BANCO ESTADO\2012 DEPTO ESCRITURAS fata\NOTARIA 2009\BANCO SANTANDER\EDUVINA CARVAJAL RUIZ.doc", "Abrir Documento")</f>
        <v>0</v>
      </c>
      <c r="D14293" t="s">
        <v>23500</v>
      </c>
      <c r="E14293" t="s">
        <v>36768</v>
      </c>
    </row>
    <row r="14294" spans="1:5">
      <c r="A14294" t="s">
        <v>6</v>
      </c>
      <c r="B14294" t="s">
        <v>14299</v>
      </c>
      <c r="C14294">
        <f>HYPERLINK("C:\Users\franc\OneDrive\Documentos\MALENTIN KARIME\BANCO ESTADO\2012 DEPTO ESCRITURAS fata\NOTARIA 2009\BANCO SANTANDER\EDUARDO VERGARA IZQUIERDO  MUTUO HIPOTECARIO.doc", "Abrir Documento")</f>
        <v>0</v>
      </c>
      <c r="D14294" t="s">
        <v>23500</v>
      </c>
      <c r="E14294" t="s">
        <v>36769</v>
      </c>
    </row>
    <row r="14295" spans="1:5">
      <c r="A14295" t="s">
        <v>6</v>
      </c>
      <c r="B14295" t="s">
        <v>14300</v>
      </c>
      <c r="C14295">
        <f>HYPERLINK("C:\Users\franc\OneDrive\Documentos\MALENTIN KARIME\BANCO ESTADO\2012 DEPTO ESCRITURAS fata\NOTARIA 2009\BANCO SANTANDER\EDUARDO VERGARA IZQUIERDO   2 cambio pers. bco. estado.doc", "Abrir Documento")</f>
        <v>0</v>
      </c>
      <c r="D14295" t="s">
        <v>23500</v>
      </c>
      <c r="E14295" t="s">
        <v>36770</v>
      </c>
    </row>
    <row r="14296" spans="1:5">
      <c r="A14296" t="s">
        <v>6</v>
      </c>
      <c r="B14296" t="s">
        <v>14301</v>
      </c>
      <c r="C14296">
        <f>HYPERLINK("C:\Users\franc\OneDrive\Documentos\MALENTIN KARIME\BANCO ESTADO\2012 DEPTO ESCRITURAS fata\NOTARIA 2009\BANCO SANTANDER\EDITH ARAYA ARANCIBIA.doc", "Abrir Documento")</f>
        <v>0</v>
      </c>
      <c r="D14296" t="s">
        <v>23500</v>
      </c>
      <c r="E14296" t="s">
        <v>36771</v>
      </c>
    </row>
    <row r="14297" spans="1:5">
      <c r="A14297" t="s">
        <v>6</v>
      </c>
      <c r="B14297" t="s">
        <v>14302</v>
      </c>
      <c r="C14297">
        <f>HYPERLINK("C:\Users\franc\OneDrive\Documentos\MALENTIN KARIME\BANCO ESTADO\2012 DEPTO ESCRITURAS fata\NOTARIA 2009\BANCO SANTANDER\EDISON JOFRE B. Mutuo Hipotec..doc", "Abrir Documento")</f>
        <v>0</v>
      </c>
      <c r="D14297" t="s">
        <v>23500</v>
      </c>
      <c r="E14297" t="s">
        <v>36772</v>
      </c>
    </row>
    <row r="14298" spans="1:5">
      <c r="A14298" t="s">
        <v>6</v>
      </c>
      <c r="B14298" t="s">
        <v>14303</v>
      </c>
      <c r="C14298">
        <f>HYPERLINK("C:\Users\franc\OneDrive\Documentos\MALENTIN KARIME\BANCO ESTADO\2012 DEPTO ESCRITURAS fata\NOTARIA 2009\BANCO SANTANDER\EDGARDO SAUD ROJAS.doc", "Abrir Documento")</f>
        <v>0</v>
      </c>
      <c r="D14298" t="s">
        <v>23500</v>
      </c>
      <c r="E14298" t="s">
        <v>36773</v>
      </c>
    </row>
    <row r="14299" spans="1:5">
      <c r="A14299" t="s">
        <v>6</v>
      </c>
      <c r="B14299" t="s">
        <v>14304</v>
      </c>
      <c r="C14299">
        <f>HYPERLINK("C:\Users\franc\OneDrive\Documentos\MALENTIN KARIME\BANCO ESTADO\2012 DEPTO ESCRITURAS fata\NOTARIA 2009\BANCO SANTANDER\Doc1.doc", "Abrir Documento")</f>
        <v>0</v>
      </c>
      <c r="D14299" t="s">
        <v>23500</v>
      </c>
      <c r="E14299" t="s">
        <v>36774</v>
      </c>
    </row>
    <row r="14300" spans="1:5">
      <c r="A14300" t="s">
        <v>6</v>
      </c>
      <c r="B14300" t="s">
        <v>14305</v>
      </c>
      <c r="C14300">
        <f>HYPERLINK("C:\Users\franc\OneDrive\Documentos\MALENTIN KARIME\BANCO ESTADO\2012 DEPTO ESCRITURAS fata\NOTARIA 2009\BANCO SANTANDER\DAVID CONTRERAS CON HILDA TELLO Y OTROS.doc", "Abrir Documento")</f>
        <v>0</v>
      </c>
      <c r="D14300" t="s">
        <v>23500</v>
      </c>
      <c r="E14300" t="s">
        <v>36775</v>
      </c>
    </row>
    <row r="14301" spans="1:5">
      <c r="A14301" t="s">
        <v>6</v>
      </c>
      <c r="B14301" t="s">
        <v>14306</v>
      </c>
      <c r="C14301">
        <f>HYPERLINK("C:\Users\franc\OneDrive\Documentos\MALENTIN KARIME\BANCO ESTADO\2012 DEPTO ESCRITURAS fata\NOTARIA 2009\BANCO SANTANDER\cvta y mutuo ANDRADES Y OTRAS A Gilberto Pardo.doc", "Abrir Documento")</f>
        <v>0</v>
      </c>
      <c r="D14301" t="s">
        <v>23500</v>
      </c>
      <c r="E14301" t="s">
        <v>36776</v>
      </c>
    </row>
    <row r="14302" spans="1:5">
      <c r="A14302" t="s">
        <v>6</v>
      </c>
      <c r="B14302" t="s">
        <v>14307</v>
      </c>
      <c r="C14302">
        <f>HYPERLINK("C:\Users\franc\OneDrive\Documentos\MALENTIN KARIME\BANCO ESTADO\2012 DEPTO ESCRITURAS fata\NOTARIA 2009\BANCO SANTANDER\CTTO. OPCION DE COMPRA PUNITAQUI.doc", "Abrir Documento")</f>
        <v>0</v>
      </c>
      <c r="D14302" t="s">
        <v>23500</v>
      </c>
      <c r="E14302" t="s">
        <v>36777</v>
      </c>
    </row>
    <row r="14303" spans="1:5">
      <c r="A14303" t="s">
        <v>6</v>
      </c>
      <c r="B14303" t="s">
        <v>14308</v>
      </c>
      <c r="C14303">
        <f>HYPERLINK("C:\Users\franc\OneDrive\Documentos\MALENTIN KARIME\BANCO ESTADO\2012 DEPTO ESCRITURAS fata\NOTARIA 2009\BANCO SANTANDER\CTTO. OPCION CIA. MRA.PUNITAQUI.doc", "Abrir Documento")</f>
        <v>0</v>
      </c>
      <c r="D14303" t="s">
        <v>23500</v>
      </c>
      <c r="E14303" t="s">
        <v>36778</v>
      </c>
    </row>
    <row r="14304" spans="1:5">
      <c r="A14304" t="s">
        <v>6</v>
      </c>
      <c r="B14304" t="s">
        <v>14309</v>
      </c>
      <c r="C14304">
        <f>HYPERLINK("C:\Users\franc\OneDrive\Documentos\MALENTIN KARIME\BANCO ESTADO\2012 DEPTO ESCRITURAS fata\NOTARIA 2009\BANCO SANTANDER\CTTO. OPCION CIA. MRA.PUNIT 13-09-2006.doc", "Abrir Documento")</f>
        <v>0</v>
      </c>
      <c r="D14304" t="s">
        <v>23500</v>
      </c>
      <c r="E14304" t="s">
        <v>36779</v>
      </c>
    </row>
    <row r="14305" spans="1:5">
      <c r="A14305" t="s">
        <v>6</v>
      </c>
      <c r="B14305" t="s">
        <v>14310</v>
      </c>
      <c r="C14305">
        <f>HYPERLINK("C:\Users\franc\OneDrive\Documentos\MALENTIN KARIME\BANCO ESTADO\2012 DEPTO ESCRITURAS fata\NOTARIA 2009\BANCO SANTANDER\CTTO. OPCION CIA. MRA.PUNIT (7-08-2006.doc", "Abrir Documento")</f>
        <v>0</v>
      </c>
      <c r="D14305" t="s">
        <v>23500</v>
      </c>
      <c r="E14305" t="s">
        <v>36780</v>
      </c>
    </row>
    <row r="14306" spans="1:5">
      <c r="A14306" t="s">
        <v>6</v>
      </c>
      <c r="B14306" t="s">
        <v>14311</v>
      </c>
      <c r="C14306">
        <f>HYPERLINK("C:\Users\franc\OneDrive\Documentos\MALENTIN KARIME\BANCO ESTADO\2012 DEPTO ESCRITURAS fata\NOTARIA 2009\BANCO SANTANDER\CRISTIAN HENRIQUEZ BENAVENTE.doc", "Abrir Documento")</f>
        <v>0</v>
      </c>
      <c r="D14306" t="s">
        <v>23500</v>
      </c>
      <c r="E14306" t="s">
        <v>36781</v>
      </c>
    </row>
    <row r="14307" spans="1:5">
      <c r="A14307" t="s">
        <v>6</v>
      </c>
      <c r="B14307" t="s">
        <v>14312</v>
      </c>
      <c r="C14307">
        <f>HYPERLINK("C:\Users\franc\OneDrive\Documentos\MALENTIN KARIME\BANCO ESTADO\2012 DEPTO ESCRITURAS fata\NOTARIA 2009\BANCO SANTANDER\complementación mardones.doc", "Abrir Documento")</f>
        <v>0</v>
      </c>
      <c r="D14307" t="s">
        <v>23500</v>
      </c>
      <c r="E14307" t="s">
        <v>36782</v>
      </c>
    </row>
    <row r="14308" spans="1:5">
      <c r="A14308" t="s">
        <v>6</v>
      </c>
      <c r="B14308" t="s">
        <v>14313</v>
      </c>
      <c r="C14308">
        <f>HYPERLINK("C:\Users\franc\OneDrive\Documentos\MALENTIN KARIME\BANCO ESTADO\2012 DEPTO ESCRITURAS fata\NOTARIA 2009\BANCO SANTANDER\COMPLEMENTACION MILENA VEGA.doc", "Abrir Documento")</f>
        <v>0</v>
      </c>
      <c r="D14308" t="s">
        <v>23500</v>
      </c>
      <c r="E14308" t="s">
        <v>36783</v>
      </c>
    </row>
    <row r="14309" spans="1:5">
      <c r="A14309" t="s">
        <v>6</v>
      </c>
      <c r="B14309" t="s">
        <v>14314</v>
      </c>
      <c r="C14309">
        <f>HYPERLINK("C:\Users\franc\OneDrive\Documentos\MALENTIN KARIME\BANCO ESTADO\2012 DEPTO ESCRITURAS fata\NOTARIA 2009\BANCO SANTANDER\CLAUDIO CASTILLO.doc", "Abrir Documento")</f>
        <v>0</v>
      </c>
      <c r="D14309" t="s">
        <v>23500</v>
      </c>
      <c r="E14309" t="s">
        <v>36784</v>
      </c>
    </row>
    <row r="14310" spans="1:5">
      <c r="A14310" t="s">
        <v>6</v>
      </c>
      <c r="B14310" t="s">
        <v>14315</v>
      </c>
      <c r="C14310">
        <f>HYPERLINK("C:\Users\franc\OneDrive\Documentos\MALENTIN KARIME\BANCO ESTADO\2012 DEPTO ESCRITURAS fata\NOTARIA 2009\BANCO SANTANDER\CLAUDIO CASTILLO CORREGIDA.doc", "Abrir Documento")</f>
        <v>0</v>
      </c>
      <c r="D14310" t="s">
        <v>23500</v>
      </c>
      <c r="E14310" t="s">
        <v>36785</v>
      </c>
    </row>
    <row r="14311" spans="1:5">
      <c r="A14311" t="s">
        <v>6</v>
      </c>
      <c r="B14311" t="s">
        <v>14316</v>
      </c>
      <c r="C14311">
        <f>HYPERLINK("C:\Users\franc\OneDrive\Documentos\MALENTIN KARIME\BANCO ESTADO\2012 DEPTO ESCRITURAS fata\NOTARIA 2009\BANCO SANTANDER\CL417915 CTTO. OPCION CIA. MRA. PUNITAQUI.DOC", "Abrir Documento")</f>
        <v>0</v>
      </c>
      <c r="D14311" t="s">
        <v>23500</v>
      </c>
      <c r="E14311" t="s">
        <v>36786</v>
      </c>
    </row>
    <row r="14312" spans="1:5">
      <c r="A14312" t="s">
        <v>6</v>
      </c>
      <c r="B14312" t="s">
        <v>14317</v>
      </c>
      <c r="C14312">
        <f>HYPERLINK("C:\Users\franc\OneDrive\Documentos\MALENTIN KARIME\BANCO ESTADO\2012 DEPTO ESCRITURAS fata\NOTARIA 2009\BANCO SANTANDER\CL417763 MODIF. CONTRATO.DOC", "Abrir Documento")</f>
        <v>0</v>
      </c>
      <c r="D14312" t="s">
        <v>23500</v>
      </c>
      <c r="E14312" t="s">
        <v>36787</v>
      </c>
    </row>
    <row r="14313" spans="1:5">
      <c r="A14313" t="s">
        <v>6</v>
      </c>
      <c r="B14313" t="s">
        <v>14318</v>
      </c>
      <c r="C14313">
        <f>HYPERLINK("C:\Users\franc\OneDrive\Documentos\MALENTIN KARIME\BANCO ESTADO\2012 DEPTO ESCRITURAS fata\NOTARIA 2009\BANCO SANTANDER\CECILIA CASTILLO (BANEFE).doc", "Abrir Documento")</f>
        <v>0</v>
      </c>
      <c r="D14313" t="s">
        <v>23500</v>
      </c>
      <c r="E14313" t="s">
        <v>36788</v>
      </c>
    </row>
    <row r="14314" spans="1:5">
      <c r="A14314" t="s">
        <v>6</v>
      </c>
      <c r="B14314" t="s">
        <v>14319</v>
      </c>
      <c r="C14314">
        <f>HYPERLINK("C:\Users\franc\OneDrive\Documentos\MALENTIN KARIME\BANCO ESTADO\2012 DEPTO ESCRITURAS fata\NOTARIA 2009\BANCO SANTANDER\CARTA PARA JUAN MANUEL FUENZALIDA COBO --- SANTANDER.doc", "Abrir Documento")</f>
        <v>0</v>
      </c>
      <c r="D14314" t="s">
        <v>23500</v>
      </c>
      <c r="E14314" t="s">
        <v>36789</v>
      </c>
    </row>
    <row r="14315" spans="1:5">
      <c r="A14315" t="s">
        <v>6</v>
      </c>
      <c r="B14315" t="s">
        <v>14320</v>
      </c>
      <c r="C14315">
        <f>HYPERLINK("C:\Users\franc\OneDrive\Documentos\MALENTIN KARIME\BANCO ESTADO\2012 DEPTO ESCRITURAS fata\NOTARIA 2009\BANCO SANTANDER\CARTA DE RESGUARDO HORACIO ALVAREZ.doc", "Abrir Documento")</f>
        <v>0</v>
      </c>
      <c r="D14315" t="s">
        <v>23500</v>
      </c>
      <c r="E14315" t="s">
        <v>36790</v>
      </c>
    </row>
    <row r="14316" spans="1:5">
      <c r="A14316" t="s">
        <v>6</v>
      </c>
      <c r="B14316" t="s">
        <v>14321</v>
      </c>
      <c r="C14316">
        <f>HYPERLINK("C:\Users\franc\OneDrive\Documentos\MALENTIN KARIME\BANCO ESTADO\2012 DEPTO ESCRITURAS fata\NOTARIA 2009\BANCO SANTANDER\CARTA DE BOLETAS PARA VERONICA VELIZ (CIBER).doc", "Abrir Documento")</f>
        <v>0</v>
      </c>
      <c r="D14316" t="s">
        <v>23500</v>
      </c>
      <c r="E14316" t="s">
        <v>36791</v>
      </c>
    </row>
    <row r="14317" spans="1:5">
      <c r="A14317" t="s">
        <v>6</v>
      </c>
      <c r="B14317" t="s">
        <v>14322</v>
      </c>
      <c r="C14317">
        <f>HYPERLINK("C:\Users\franc\OneDrive\Documentos\MALENTIN KARIME\BANCO ESTADO\2012 DEPTO ESCRITURAS fata\NOTARIA 2009\BANCO SANTANDER\BOLETAS.xls", "Abrir Documento")</f>
        <v>0</v>
      </c>
      <c r="D14317" t="s">
        <v>23500</v>
      </c>
      <c r="E14317" t="s">
        <v>36792</v>
      </c>
    </row>
    <row r="14318" spans="1:5">
      <c r="A14318" t="s">
        <v>6</v>
      </c>
      <c r="B14318" t="s">
        <v>14323</v>
      </c>
      <c r="C14318">
        <f>HYPERLINK("C:\Users\franc\OneDrive\Documentos\MALENTIN KARIME\BANCO ESTADO\2012 DEPTO ESCRITURAS fata\NOTARIA 2009\BANCO SANTANDER\BOLETAS BCO BANEFE.xls", "Abrir Documento")</f>
        <v>0</v>
      </c>
      <c r="D14318" t="s">
        <v>23500</v>
      </c>
      <c r="E14318" t="s">
        <v>36793</v>
      </c>
    </row>
    <row r="14319" spans="1:5">
      <c r="A14319" t="s">
        <v>6</v>
      </c>
      <c r="B14319" t="s">
        <v>14324</v>
      </c>
      <c r="C14319">
        <f>HYPERLINK("C:\Users\franc\OneDrive\Documentos\MALENTIN KARIME\BANCO ESTADO\2012 DEPTO ESCRITURAS fata\NOTARIA 2009\BANCO SANTANDER\BARBARA GONZALEZ.doc", "Abrir Documento")</f>
        <v>0</v>
      </c>
      <c r="D14319" t="s">
        <v>23500</v>
      </c>
      <c r="E14319" t="s">
        <v>36794</v>
      </c>
    </row>
    <row r="14320" spans="1:5">
      <c r="A14320" t="s">
        <v>6</v>
      </c>
      <c r="B14320" t="s">
        <v>14325</v>
      </c>
      <c r="C14320">
        <f>HYPERLINK("C:\Users\franc\OneDrive\Documentos\MALENTIN KARIME\BANCO ESTADO\2012 DEPTO ESCRITURAS fata\NOTARIA 2009\BANCO SANTANDER\Banco Santander chile Follo No.doc", "Abrir Documento")</f>
        <v>0</v>
      </c>
      <c r="D14320" t="s">
        <v>23500</v>
      </c>
      <c r="E14320" t="s">
        <v>36795</v>
      </c>
    </row>
    <row r="14321" spans="1:5">
      <c r="A14321" t="s">
        <v>6</v>
      </c>
      <c r="B14321" t="s">
        <v>14326</v>
      </c>
      <c r="C14321">
        <f>HYPERLINK("C:\Users\franc\OneDrive\Documentos\MALENTIN KARIME\BANCO ESTADO\2012 DEPTO ESCRITURAS fata\NOTARIA 2009\BANCO SANTANDER\ANA VARAS HIDALGO.doc", "Abrir Documento")</f>
        <v>0</v>
      </c>
      <c r="D14321" t="s">
        <v>23500</v>
      </c>
      <c r="E14321" t="s">
        <v>36796</v>
      </c>
    </row>
    <row r="14322" spans="1:5">
      <c r="A14322" t="s">
        <v>6</v>
      </c>
      <c r="B14322" t="s">
        <v>14327</v>
      </c>
      <c r="C14322">
        <f>HYPERLINK("C:\Users\franc\OneDrive\Documentos\MALENTIN KARIME\BANCO ESTADO\2012 DEPTO ESCRITURAS fata\NOTARIA 2009\BANCO SANTANDER\ANA VARAS HIDALGO con correccion.doc", "Abrir Documento")</f>
        <v>0</v>
      </c>
      <c r="D14322" t="s">
        <v>23500</v>
      </c>
      <c r="E14322" t="s">
        <v>36797</v>
      </c>
    </row>
    <row r="14323" spans="1:5">
      <c r="A14323" t="s">
        <v>6</v>
      </c>
      <c r="B14323" t="s">
        <v>14328</v>
      </c>
      <c r="C14323">
        <f>HYPERLINK("C:\Users\franc\OneDrive\Documentos\MALENTIN KARIME\BANCO ESTADO\2012 DEPTO ESCRITURAS fata\NOTARIA 2009\BANCO SANTANDER\ANA VALDERRAMA CORDERO.doc", "Abrir Documento")</f>
        <v>0</v>
      </c>
      <c r="D14323" t="s">
        <v>23500</v>
      </c>
      <c r="E14323" t="s">
        <v>36798</v>
      </c>
    </row>
    <row r="14324" spans="1:5">
      <c r="A14324" t="s">
        <v>6</v>
      </c>
      <c r="B14324" t="s">
        <v>14329</v>
      </c>
      <c r="C14324">
        <f>HYPERLINK("C:\Users\franc\OneDrive\Documentos\MALENTIN KARIME\BANCO ESTADO\2012 DEPTO ESCRITURAS fata\NOTARIA 2009\BANCO SANTANDER\ANA ARAYA ROJO - BANEFE.doc", "Abrir Documento")</f>
        <v>0</v>
      </c>
      <c r="D14324" t="s">
        <v>23500</v>
      </c>
      <c r="E14324" t="s">
        <v>36799</v>
      </c>
    </row>
    <row r="14325" spans="1:5">
      <c r="A14325" t="s">
        <v>6</v>
      </c>
      <c r="B14325" t="s">
        <v>14330</v>
      </c>
      <c r="C14325">
        <f>HYPERLINK("C:\Users\franc\OneDrive\Documentos\MALENTIN KARIME\BANCO ESTADO\2012 DEPTO ESCRITURAS fata\NOTARIA 2009\BANCO SANTANDER\ALEXIS CORTES - HIPOTECA.doc", "Abrir Documento")</f>
        <v>0</v>
      </c>
      <c r="D14325" t="s">
        <v>23500</v>
      </c>
      <c r="E14325" t="s">
        <v>36800</v>
      </c>
    </row>
    <row r="14326" spans="1:5">
      <c r="A14326" t="s">
        <v>6</v>
      </c>
      <c r="B14326" t="s">
        <v>14331</v>
      </c>
      <c r="C14326">
        <f>HYPERLINK("C:\Users\franc\OneDrive\Documentos\MALENTIN KARIME\BANCO ESTADO\2012 DEPTO ESCRITURAS fata\NOTARIA 2009\BANCO PARIS\DANIEL GARCIA LIZARDI (PRENDA SIN DESPLAZA).doc", "Abrir Documento")</f>
        <v>0</v>
      </c>
      <c r="D14326" t="s">
        <v>23500</v>
      </c>
      <c r="E14326" t="s">
        <v>36801</v>
      </c>
    </row>
    <row r="14327" spans="1:5">
      <c r="A14327" t="s">
        <v>6</v>
      </c>
      <c r="B14327" t="s">
        <v>14332</v>
      </c>
      <c r="C14327">
        <f>HYPERLINK("C:\Users\franc\OneDrive\Documentos\MALENTIN KARIME\BANCO ESTADO\2012 DEPTO ESCRITURAS fata\NOTARIA 2009\BANCO PARIS\DANIEL GARCIA EXTRACTO.doc", "Abrir Documento")</f>
        <v>0</v>
      </c>
      <c r="D14327" t="s">
        <v>23500</v>
      </c>
      <c r="E14327" t="s">
        <v>36802</v>
      </c>
    </row>
    <row r="14328" spans="1:5">
      <c r="A14328" t="s">
        <v>6</v>
      </c>
      <c r="B14328" t="s">
        <v>14333</v>
      </c>
      <c r="C14328">
        <f>HYPERLINK("C:\Users\franc\OneDrive\Documentos\MALENTIN KARIME\BANCO ESTADO\2012 DEPTO ESCRITURAS fata\NOTARIA 2009\BANCO ESTADO\VLADIMIR VALDERRAMA - DOBLE M (ESCRIT).doc", "Abrir Documento")</f>
        <v>0</v>
      </c>
      <c r="D14328" t="s">
        <v>23500</v>
      </c>
      <c r="E14328" t="s">
        <v>36803</v>
      </c>
    </row>
    <row r="14329" spans="1:5">
      <c r="A14329" t="s">
        <v>6</v>
      </c>
      <c r="B14329" t="s">
        <v>14334</v>
      </c>
      <c r="C14329">
        <f>HYPERLINK("C:\Users\franc\OneDrive\Documentos\MALENTIN KARIME\BANCO ESTADO\2012 DEPTO ESCRITURAS fata\NOTARIA 2009\BANCO ESTADO\VLADIMIR VALDERRAMA - CARTA INST.doc", "Abrir Documento")</f>
        <v>0</v>
      </c>
      <c r="D14329" t="s">
        <v>23500</v>
      </c>
      <c r="E14329" t="s">
        <v>36804</v>
      </c>
    </row>
    <row r="14330" spans="1:5">
      <c r="A14330" t="s">
        <v>6</v>
      </c>
      <c r="B14330" t="s">
        <v>14335</v>
      </c>
      <c r="C14330">
        <f>HYPERLINK("C:\Users\franc\OneDrive\Documentos\MALENTIN KARIME\BANCO ESTADO\2012 DEPTO ESCRITURAS fata\NOTARIA 2009\BANCO ESTADO\RODRIGO VALDES CARTA RESGUARDO.doc", "Abrir Documento")</f>
        <v>0</v>
      </c>
      <c r="D14330" t="s">
        <v>23500</v>
      </c>
      <c r="E14330" t="s">
        <v>36805</v>
      </c>
    </row>
    <row r="14331" spans="1:5">
      <c r="A14331" t="s">
        <v>6</v>
      </c>
      <c r="B14331" t="s">
        <v>14336</v>
      </c>
      <c r="C14331">
        <f>HYPERLINK("C:\Users\franc\OneDrive\Documentos\MALENTIN KARIME\BANCO ESTADO\2012 DEPTO ESCRITURAS fata\NOTARIA 2009\BANCO ESTADO\RODRIGO VALDES - DOBLE M - BCO. ESTADO.doc", "Abrir Documento")</f>
        <v>0</v>
      </c>
      <c r="D14331" t="s">
        <v>23500</v>
      </c>
      <c r="E14331" t="s">
        <v>36806</v>
      </c>
    </row>
    <row r="14332" spans="1:5">
      <c r="A14332" t="s">
        <v>6</v>
      </c>
      <c r="B14332" t="s">
        <v>14337</v>
      </c>
      <c r="C14332">
        <f>HYPERLINK("C:\Users\franc\OneDrive\Documentos\MALENTIN KARIME\BANCO ESTADO\2012 DEPTO ESCRITURAS fata\NOTARIA 2009\BANCO ESTADO\REINALDO CASTILLO.doc", "Abrir Documento")</f>
        <v>0</v>
      </c>
      <c r="D14332" t="s">
        <v>23500</v>
      </c>
      <c r="E14332" t="s">
        <v>36807</v>
      </c>
    </row>
    <row r="14333" spans="1:5">
      <c r="A14333" t="s">
        <v>6</v>
      </c>
      <c r="B14333" t="s">
        <v>14338</v>
      </c>
      <c r="C14333">
        <f>HYPERLINK("C:\Users\franc\OneDrive\Documentos\MALENTIN KARIME\BANCO ESTADO\2012 DEPTO ESCRITURAS fata\NOTARIA 2009\BANCO ESTADO\PAULINA EBNER A DOBLE M (ESCRIT).doc", "Abrir Documento")</f>
        <v>0</v>
      </c>
      <c r="D14333" t="s">
        <v>23500</v>
      </c>
      <c r="E14333" t="s">
        <v>36808</v>
      </c>
    </row>
    <row r="14334" spans="1:5">
      <c r="A14334" t="s">
        <v>6</v>
      </c>
      <c r="B14334" t="s">
        <v>14339</v>
      </c>
      <c r="C14334">
        <f>HYPERLINK("C:\Users\franc\OneDrive\Documentos\MALENTIN KARIME\BANCO ESTADO\2012 DEPTO ESCRITURAS fata\NOTARIA 2009\BANCO ESTADO\PAULINA EBNER  - CARTA INST.doc", "Abrir Documento")</f>
        <v>0</v>
      </c>
      <c r="D14334" t="s">
        <v>23500</v>
      </c>
      <c r="E14334" t="s">
        <v>36809</v>
      </c>
    </row>
    <row r="14335" spans="1:5">
      <c r="A14335" t="s">
        <v>6</v>
      </c>
      <c r="B14335" t="s">
        <v>14340</v>
      </c>
      <c r="C14335">
        <f>HYPERLINK("C:\Users\franc\OneDrive\Documentos\MALENTIN KARIME\BANCO ESTADO\2012 DEPTO ESCRITURAS fata\NOTARIA 2009\BANCO ESTADO\MIGUEL RIVERA  - DOBLE M - BCO. CHILE.doc", "Abrir Documento")</f>
        <v>0</v>
      </c>
      <c r="D14335" t="s">
        <v>23500</v>
      </c>
      <c r="E14335" t="s">
        <v>36810</v>
      </c>
    </row>
    <row r="14336" spans="1:5">
      <c r="A14336" t="s">
        <v>6</v>
      </c>
      <c r="B14336" t="s">
        <v>14341</v>
      </c>
      <c r="C14336">
        <f>HYPERLINK("C:\Users\franc\OneDrive\Documentos\MALENTIN KARIME\BANCO ESTADO\2012 DEPTO ESCRITURAS fata\NOTARIA 2009\BANCO ESTADO\MARIA ADONES.doc", "Abrir Documento")</f>
        <v>0</v>
      </c>
      <c r="D14336" t="s">
        <v>23500</v>
      </c>
      <c r="E14336" t="s">
        <v>36811</v>
      </c>
    </row>
    <row r="14337" spans="1:5">
      <c r="A14337" t="s">
        <v>6</v>
      </c>
      <c r="B14337" t="s">
        <v>14342</v>
      </c>
      <c r="C14337">
        <f>HYPERLINK("C:\Users\franc\OneDrive\Documentos\MALENTIN KARIME\BANCO ESTADO\2012 DEPTO ESCRITURAS fata\NOTARIA 2009\BANCO ESTADO\LUIS CONTRERAS - DOBLE M - BANCO DE CHILE.doc", "Abrir Documento")</f>
        <v>0</v>
      </c>
      <c r="D14337" t="s">
        <v>23500</v>
      </c>
      <c r="E14337" t="s">
        <v>36812</v>
      </c>
    </row>
    <row r="14338" spans="1:5">
      <c r="A14338" t="s">
        <v>6</v>
      </c>
      <c r="B14338" t="s">
        <v>14343</v>
      </c>
      <c r="C14338">
        <f>HYPERLINK("C:\Users\franc\OneDrive\Documentos\MALENTIN KARIME\BANCO ESTADO\2012 DEPTO ESCRITURAS fata\NOTARIA 2009\BANCO ESTADO\LUIS CONTRERAS - CARTA RESGUARDO.doc", "Abrir Documento")</f>
        <v>0</v>
      </c>
      <c r="D14338" t="s">
        <v>23500</v>
      </c>
      <c r="E14338" t="s">
        <v>36813</v>
      </c>
    </row>
    <row r="14339" spans="1:5">
      <c r="A14339" t="s">
        <v>6</v>
      </c>
      <c r="B14339" t="s">
        <v>14344</v>
      </c>
      <c r="C14339">
        <f>HYPERLINK("C:\Users\franc\OneDrive\Documentos\MALENTIN KARIME\BANCO ESTADO\2012 DEPTO ESCRITURAS fata\NOTARIA 2009\BANCO ESTADO\LILIAN RIQUELME VENEGAS (MUTUO HIPOTECARIO).doc", "Abrir Documento")</f>
        <v>0</v>
      </c>
      <c r="D14339" t="s">
        <v>23500</v>
      </c>
      <c r="E14339" t="s">
        <v>36814</v>
      </c>
    </row>
    <row r="14340" spans="1:5">
      <c r="A14340" t="s">
        <v>6</v>
      </c>
      <c r="B14340" t="s">
        <v>14345</v>
      </c>
      <c r="C14340">
        <f>HYPERLINK("C:\Users\franc\OneDrive\Documentos\MALENTIN KARIME\BANCO ESTADO\2012 DEPTO ESCRITURAS fata\NOTARIA 2009\BANCO ESTADO\JUAN HUERTA.doc", "Abrir Documento")</f>
        <v>0</v>
      </c>
      <c r="D14340" t="s">
        <v>23500</v>
      </c>
      <c r="E14340" t="s">
        <v>36815</v>
      </c>
    </row>
    <row r="14341" spans="1:5">
      <c r="A14341" t="s">
        <v>6</v>
      </c>
      <c r="B14341" t="s">
        <v>14346</v>
      </c>
      <c r="C14341">
        <f>HYPERLINK("C:\Users\franc\OneDrive\Documentos\MALENTIN KARIME\BANCO ESTADO\2012 DEPTO ESCRITURAS fata\NOTARIA 2009\BANCO ESTADO\JORGE TELLO ARANDA (MUTUO HIPOT).doc", "Abrir Documento")</f>
        <v>0</v>
      </c>
      <c r="D14341" t="s">
        <v>23500</v>
      </c>
      <c r="E14341" t="s">
        <v>36816</v>
      </c>
    </row>
    <row r="14342" spans="1:5">
      <c r="A14342" t="s">
        <v>6</v>
      </c>
      <c r="B14342" t="s">
        <v>14347</v>
      </c>
      <c r="C14342">
        <f>HYPERLINK("C:\Users\franc\OneDrive\Documentos\MALENTIN KARIME\BANCO ESTADO\2012 DEPTO ESCRITURAS fata\NOTARIA 2009\BANCO ESTADO\Jorge Tello Aranda (Doble M - Del Atardecer) - Banco Chile[1].doc", "Abrir Documento")</f>
        <v>0</v>
      </c>
      <c r="D14342" t="s">
        <v>23500</v>
      </c>
      <c r="E14342" t="s">
        <v>36817</v>
      </c>
    </row>
    <row r="14343" spans="1:5">
      <c r="A14343" t="s">
        <v>6</v>
      </c>
      <c r="B14343" t="s">
        <v>14348</v>
      </c>
      <c r="C14343">
        <f>HYPERLINK("C:\Users\franc\OneDrive\Documentos\MALENTIN KARIME\BANCO ESTADO\2012 DEPTO ESCRITURAS fata\NOTARIA 2009\BANCO ESTADO\JOCELYN BOYD - DOBLE M - BCO. CHILE.doc", "Abrir Documento")</f>
        <v>0</v>
      </c>
      <c r="D14343" t="s">
        <v>23500</v>
      </c>
      <c r="E14343" t="s">
        <v>36818</v>
      </c>
    </row>
    <row r="14344" spans="1:5">
      <c r="A14344" t="s">
        <v>6</v>
      </c>
      <c r="B14344" t="s">
        <v>14349</v>
      </c>
      <c r="C14344">
        <f>HYPERLINK("C:\Users\franc\OneDrive\Documentos\MALENTIN KARIME\BANCO ESTADO\2012 DEPTO ESCRITURAS fata\NOTARIA 2009\BANCO ESTADO\FALEY PACHECO - DOBLE M - BANCO CHILE.doc", "Abrir Documento")</f>
        <v>0</v>
      </c>
      <c r="D14344" t="s">
        <v>23500</v>
      </c>
      <c r="E14344" t="s">
        <v>36819</v>
      </c>
    </row>
    <row r="14345" spans="1:5">
      <c r="A14345" t="s">
        <v>6</v>
      </c>
      <c r="B14345" t="s">
        <v>14350</v>
      </c>
      <c r="C14345">
        <f>HYPERLINK("C:\Users\franc\OneDrive\Documentos\MALENTIN KARIME\BANCO ESTADO\2012 DEPTO ESCRITURAS fata\NOTARIA 2009\BANCO ESTADO\FALEY PACHECO - CARTA RESGUARDO.doc", "Abrir Documento")</f>
        <v>0</v>
      </c>
      <c r="D14345" t="s">
        <v>23500</v>
      </c>
      <c r="E14345" t="s">
        <v>36820</v>
      </c>
    </row>
    <row r="14346" spans="1:5">
      <c r="A14346" t="s">
        <v>6</v>
      </c>
      <c r="B14346" t="s">
        <v>14351</v>
      </c>
      <c r="C14346">
        <f>HYPERLINK("C:\Users\franc\OneDrive\Documentos\MALENTIN KARIME\BANCO ESTADO\2012 DEPTO ESCRITURAS fata\NOTARIA 2009\BANCO ESTADO\Fabian Gajardo Martinez carta resguardo.doc", "Abrir Documento")</f>
        <v>0</v>
      </c>
      <c r="D14346" t="s">
        <v>23500</v>
      </c>
      <c r="E14346" t="s">
        <v>36821</v>
      </c>
    </row>
    <row r="14347" spans="1:5">
      <c r="A14347" t="s">
        <v>6</v>
      </c>
      <c r="B14347" t="s">
        <v>14352</v>
      </c>
      <c r="C14347">
        <f>HYPERLINK("C:\Users\franc\OneDrive\Documentos\MALENTIN KARIME\BANCO ESTADO\2012 DEPTO ESCRITURAS fata\NOTARIA 2009\BANCO ESTADO\FABIAN GAJARDO - DOBLE M - BCO. ESTADO.doc", "Abrir Documento")</f>
        <v>0</v>
      </c>
      <c r="D14347" t="s">
        <v>23500</v>
      </c>
      <c r="E14347" t="s">
        <v>36822</v>
      </c>
    </row>
    <row r="14348" spans="1:5">
      <c r="A14348" t="s">
        <v>6</v>
      </c>
      <c r="B14348" t="s">
        <v>14353</v>
      </c>
      <c r="C14348">
        <f>HYPERLINK("C:\Users\franc\OneDrive\Documentos\MALENTIN KARIME\BANCO ESTADO\2012 DEPTO ESCRITURAS fata\NOTARIA 2009\BANCO ESTADO\CRISTIAN ROBLES con INMOBILILIARIA DOBLE M.doc", "Abrir Documento")</f>
        <v>0</v>
      </c>
      <c r="D14348" t="s">
        <v>23500</v>
      </c>
      <c r="E14348" t="s">
        <v>36823</v>
      </c>
    </row>
    <row r="14349" spans="1:5">
      <c r="A14349" t="s">
        <v>6</v>
      </c>
      <c r="B14349" t="s">
        <v>14354</v>
      </c>
      <c r="C14349">
        <f>HYPERLINK("C:\Users\franc\OneDrive\Documentos\MALENTIN KARIME\BANCO ESTADO\2012 DEPTO ESCRITURAS fata\NOTARIA 2009\BANCO DEL DESARROLLO\TRABAJADORES BANCO\RODRIGO PASTEN.doc", "Abrir Documento")</f>
        <v>0</v>
      </c>
      <c r="D14349" t="s">
        <v>23500</v>
      </c>
      <c r="E14349" t="s">
        <v>36824</v>
      </c>
    </row>
    <row r="14350" spans="1:5">
      <c r="A14350" t="s">
        <v>6</v>
      </c>
      <c r="B14350" t="s">
        <v>14355</v>
      </c>
      <c r="C14350">
        <f>HYPERLINK("C:\Users\franc\OneDrive\Documentos\MALENTIN KARIME\BANCO ESTADO\2012 DEPTO ESCRITURAS fata\NOTARIA 2009\BANCO DEL DESARROLLO\TRABAJADORES BANCO\MARIO HUERTA.doc", "Abrir Documento")</f>
        <v>0</v>
      </c>
      <c r="D14350" t="s">
        <v>23500</v>
      </c>
      <c r="E14350" t="s">
        <v>36825</v>
      </c>
    </row>
    <row r="14351" spans="1:5">
      <c r="A14351" t="s">
        <v>6</v>
      </c>
      <c r="B14351" t="s">
        <v>14356</v>
      </c>
      <c r="C14351">
        <f>HYPERLINK("C:\Users\franc\OneDrive\Documentos\MALENTIN KARIME\BANCO ESTADO\2012 DEPTO ESCRITURAS fata\NOTARIA 2009\BANCO DEL DESARROLLO\TRABAJADORES BANCO\MARIA CODOCEO.doc", "Abrir Documento")</f>
        <v>0</v>
      </c>
      <c r="D14351" t="s">
        <v>23500</v>
      </c>
      <c r="E14351" t="s">
        <v>36826</v>
      </c>
    </row>
    <row r="14352" spans="1:5">
      <c r="A14352" t="s">
        <v>6</v>
      </c>
      <c r="B14352" t="s">
        <v>14357</v>
      </c>
      <c r="C14352">
        <f>HYPERLINK("C:\Users\franc\OneDrive\Documentos\MALENTIN KARIME\BANCO ESTADO\2012 DEPTO ESCRITURAS fata\NOTARIA 2009\BANCO DEL DESARROLLO\TRABAJADORES BANCO\LORENA SANTIBAÑEZ.doc", "Abrir Documento")</f>
        <v>0</v>
      </c>
      <c r="D14352" t="s">
        <v>23500</v>
      </c>
      <c r="E14352" t="s">
        <v>36827</v>
      </c>
    </row>
    <row r="14353" spans="1:5">
      <c r="A14353" t="s">
        <v>6</v>
      </c>
      <c r="B14353" t="s">
        <v>14358</v>
      </c>
      <c r="C14353">
        <f>HYPERLINK("C:\Users\franc\OneDrive\Documentos\MALENTIN KARIME\BANCO ESTADO\2012 DEPTO ESCRITURAS fata\NOTARIA 2009\BANCO DEL DESARROLLO\TRABAJADORES BANCO\LORENA JARPA.doc", "Abrir Documento")</f>
        <v>0</v>
      </c>
      <c r="D14353" t="s">
        <v>23500</v>
      </c>
      <c r="E14353" t="s">
        <v>36828</v>
      </c>
    </row>
    <row r="14354" spans="1:5">
      <c r="A14354" t="s">
        <v>6</v>
      </c>
      <c r="B14354" t="s">
        <v>14359</v>
      </c>
      <c r="C14354">
        <f>HYPERLINK("C:\Users\franc\OneDrive\Documentos\MALENTIN KARIME\BANCO ESTADO\2012 DEPTO ESCRITURAS fata\NOTARIA 2009\BANCO DEL DESARROLLO\TRABAJADORES BANCO\GERARDO AROS.doc", "Abrir Documento")</f>
        <v>0</v>
      </c>
      <c r="D14354" t="s">
        <v>23500</v>
      </c>
      <c r="E14354" t="s">
        <v>36829</v>
      </c>
    </row>
    <row r="14355" spans="1:5">
      <c r="A14355" t="s">
        <v>6</v>
      </c>
      <c r="B14355" t="s">
        <v>14360</v>
      </c>
      <c r="C14355">
        <f>HYPERLINK("C:\Users\franc\OneDrive\Documentos\MALENTIN KARIME\BANCO ESTADO\2012 DEPTO ESCRITURAS fata\NOTARIA 2009\BANCO DEL DESARROLLO\TRABAJADORES BANCO\EDUARDO HERNANDEZ.doc", "Abrir Documento")</f>
        <v>0</v>
      </c>
      <c r="D14355" t="s">
        <v>23500</v>
      </c>
      <c r="E14355" t="s">
        <v>36830</v>
      </c>
    </row>
    <row r="14356" spans="1:5">
      <c r="A14356" t="s">
        <v>6</v>
      </c>
      <c r="B14356" t="s">
        <v>14361</v>
      </c>
      <c r="C14356">
        <f>HYPERLINK("C:\Users\franc\OneDrive\Documentos\MALENTIN KARIME\BANCO ESTADO\2012 DEPTO ESCRITURAS fata\NOTARIA 2009\BANCO DEL DESARROLLO\TRABAJADORES BANCO\EDGARDO SAUD.doc", "Abrir Documento")</f>
        <v>0</v>
      </c>
      <c r="D14356" t="s">
        <v>23500</v>
      </c>
      <c r="E14356" t="s">
        <v>36831</v>
      </c>
    </row>
    <row r="14357" spans="1:5">
      <c r="A14357" t="s">
        <v>6</v>
      </c>
      <c r="B14357" t="s">
        <v>14362</v>
      </c>
      <c r="C14357">
        <f>HYPERLINK("C:\Users\franc\OneDrive\Documentos\MALENTIN KARIME\BANCO ESTADO\2012 DEPTO ESCRITURAS fata\NOTARIA 2009\BANCO DEL DESARROLLO\SOCIEDAD\EXTRACTO SAUCOR S.A..doc", "Abrir Documento")</f>
        <v>0</v>
      </c>
      <c r="D14357" t="s">
        <v>23500</v>
      </c>
      <c r="E14357" t="s">
        <v>36832</v>
      </c>
    </row>
    <row r="14358" spans="1:5">
      <c r="A14358" t="s">
        <v>6</v>
      </c>
      <c r="B14358" t="s">
        <v>14363</v>
      </c>
      <c r="C14358">
        <f>HYPERLINK("C:\Users\franc\OneDrive\Documentos\MALENTIN KARIME\BANCO ESTADO\2012 DEPTO ESCRITURAS fata\NOTARIA 2009\BANCO DEL DESARROLLO\SOCIEDAD\EDGARDO SAUD.doc", "Abrir Documento")</f>
        <v>0</v>
      </c>
      <c r="D14358" t="s">
        <v>23500</v>
      </c>
      <c r="E14358" t="s">
        <v>36833</v>
      </c>
    </row>
    <row r="14359" spans="1:5">
      <c r="A14359" t="s">
        <v>6</v>
      </c>
      <c r="B14359" t="s">
        <v>14364</v>
      </c>
      <c r="C14359">
        <f>HYPERLINK("C:\Users\franc\OneDrive\Documentos\MALENTIN KARIME\BANCO ESTADO\2012 DEPTO ESCRITURAS fata\NOTARIA 2009\BANCO DEL DESARROLLO\REVOCACION\MANDATO INPROCOL.doc", "Abrir Documento")</f>
        <v>0</v>
      </c>
      <c r="D14359" t="s">
        <v>23500</v>
      </c>
      <c r="E14359" t="s">
        <v>36834</v>
      </c>
    </row>
    <row r="14360" spans="1:5">
      <c r="A14360" t="s">
        <v>6</v>
      </c>
      <c r="B14360" t="s">
        <v>14365</v>
      </c>
      <c r="C14360">
        <f>HYPERLINK("C:\Users\franc\OneDrive\Documentos\MALENTIN KARIME\BANCO ESTADO\2012 DEPTO ESCRITURAS fata\NOTARIA 2009\BANCO DEL DESARROLLO\PROTOCOLIZACION ESCRITURAS\WILSON MARIN.doc", "Abrir Documento")</f>
        <v>0</v>
      </c>
      <c r="D14360" t="s">
        <v>23500</v>
      </c>
      <c r="E14360" t="s">
        <v>36835</v>
      </c>
    </row>
    <row r="14361" spans="1:5">
      <c r="A14361" t="s">
        <v>6</v>
      </c>
      <c r="B14361" t="s">
        <v>14366</v>
      </c>
      <c r="C14361">
        <f>HYPERLINK("C:\Users\franc\OneDrive\Documentos\MALENTIN KARIME\BANCO ESTADO\2012 DEPTO ESCRITURAS fata\NOTARIA 2009\BANCO DEL DESARROLLO\PROTOCOLIZACION ESCRITURAS\Rosa Pizarro Ramirez a Victoria Suarez.doc", "Abrir Documento")</f>
        <v>0</v>
      </c>
      <c r="D14361" t="s">
        <v>23500</v>
      </c>
      <c r="E14361" t="s">
        <v>36836</v>
      </c>
    </row>
    <row r="14362" spans="1:5">
      <c r="A14362" t="s">
        <v>6</v>
      </c>
      <c r="B14362" t="s">
        <v>14367</v>
      </c>
      <c r="C14362">
        <f>HYPERLINK("C:\Users\franc\OneDrive\Documentos\MALENTIN KARIME\BANCO ESTADO\2012 DEPTO ESCRITURAS fata\NOTARIA 2009\BANCO DEL DESARROLLO\PROTOCOLIZACION ESCRITURAS\PROT.ROSA PIZARRO a VICTORIA SUAREZ.doc", "Abrir Documento")</f>
        <v>0</v>
      </c>
      <c r="D14362" t="s">
        <v>23500</v>
      </c>
      <c r="E14362" t="s">
        <v>36837</v>
      </c>
    </row>
    <row r="14363" spans="1:5">
      <c r="A14363" t="s">
        <v>6</v>
      </c>
      <c r="B14363" t="s">
        <v>14368</v>
      </c>
      <c r="C14363">
        <f>HYPERLINK("C:\Users\franc\OneDrive\Documentos\MALENTIN KARIME\BANCO ESTADO\2012 DEPTO ESCRITURAS fata\NOTARIA 2009\BANCO DEL DESARROLLO\PROTOCOLIZACION ESCRITURAS\NICOLAS RAMIREZ.doc", "Abrir Documento")</f>
        <v>0</v>
      </c>
      <c r="D14363" t="s">
        <v>23500</v>
      </c>
      <c r="E14363" t="s">
        <v>36838</v>
      </c>
    </row>
    <row r="14364" spans="1:5">
      <c r="A14364" t="s">
        <v>6</v>
      </c>
      <c r="B14364" t="s">
        <v>14369</v>
      </c>
      <c r="C14364">
        <f>HYPERLINK("C:\Users\franc\OneDrive\Documentos\MALENTIN KARIME\BANCO ESTADO\2012 DEPTO ESCRITURAS fata\NOTARIA 2009\BANCO DEL DESARROLLO\PROTOCOLIZACION ESCRITURAS\NANCY ANDRADES.doc", "Abrir Documento")</f>
        <v>0</v>
      </c>
      <c r="D14364" t="s">
        <v>23500</v>
      </c>
      <c r="E14364" t="s">
        <v>36839</v>
      </c>
    </row>
    <row r="14365" spans="1:5">
      <c r="A14365" t="s">
        <v>6</v>
      </c>
      <c r="B14365" t="s">
        <v>14370</v>
      </c>
      <c r="C14365">
        <f>HYPERLINK("C:\Users\franc\OneDrive\Documentos\MALENTIN KARIME\BANCO ESTADO\2012 DEPTO ESCRITURAS fata\NOTARIA 2009\BANCO DEL DESARROLLO\PROTOCOLIZACION ESCRITURAS\NANCY ANDRADES PROTO ESCRITURA.doc", "Abrir Documento")</f>
        <v>0</v>
      </c>
      <c r="D14365" t="s">
        <v>23500</v>
      </c>
      <c r="E14365" t="s">
        <v>36840</v>
      </c>
    </row>
    <row r="14366" spans="1:5">
      <c r="A14366" t="s">
        <v>6</v>
      </c>
      <c r="B14366" t="s">
        <v>14371</v>
      </c>
      <c r="C14366">
        <f>HYPERLINK("C:\Users\franc\OneDrive\Documentos\MALENTIN KARIME\BANCO ESTADO\2012 DEPTO ESCRITURAS fata\NOTARIA 2009\BANCO DEL DESARROLLO\PROTOCOLIZACION ESCRITURAS\MAURICIO RIVERA.doc", "Abrir Documento")</f>
        <v>0</v>
      </c>
      <c r="D14366" t="s">
        <v>23500</v>
      </c>
      <c r="E14366" t="s">
        <v>36841</v>
      </c>
    </row>
    <row r="14367" spans="1:5">
      <c r="A14367" t="s">
        <v>6</v>
      </c>
      <c r="B14367" t="s">
        <v>14372</v>
      </c>
      <c r="C14367">
        <f>HYPERLINK("C:\Users\franc\OneDrive\Documentos\MALENTIN KARIME\BANCO ESTADO\2012 DEPTO ESCRITURAS fata\NOTARIA 2009\BANCO DEL DESARROLLO\PROTOCOLIZACION ESCRITURAS\LUIS HENRIQUEZ.doc", "Abrir Documento")</f>
        <v>0</v>
      </c>
      <c r="D14367" t="s">
        <v>23500</v>
      </c>
      <c r="E14367" t="s">
        <v>36842</v>
      </c>
    </row>
    <row r="14368" spans="1:5">
      <c r="A14368" t="s">
        <v>6</v>
      </c>
      <c r="B14368" t="s">
        <v>14373</v>
      </c>
      <c r="C14368">
        <f>HYPERLINK("C:\Users\franc\OneDrive\Documentos\MALENTIN KARIME\BANCO ESTADO\2012 DEPTO ESCRITURAS fata\NOTARIA 2009\BANCO DEL DESARROLLO\PROTOCOLIZACION ESCRITURAS\LUIS HENRIQUEZ ARCOS.doc", "Abrir Documento")</f>
        <v>0</v>
      </c>
      <c r="D14368" t="s">
        <v>23500</v>
      </c>
      <c r="E14368" t="s">
        <v>36843</v>
      </c>
    </row>
    <row r="14369" spans="1:5">
      <c r="A14369" t="s">
        <v>6</v>
      </c>
      <c r="B14369" t="s">
        <v>14374</v>
      </c>
      <c r="C14369">
        <f>HYPERLINK("C:\Users\franc\OneDrive\Documentos\MALENTIN KARIME\BANCO ESTADO\2012 DEPTO ESCRITURAS fata\NOTARIA 2009\BANCO DEL DESARROLLO\PROTOCOLIZACION ESCRITURAS\JORGE MONTENEGRO.doc", "Abrir Documento")</f>
        <v>0</v>
      </c>
      <c r="D14369" t="s">
        <v>23500</v>
      </c>
      <c r="E14369" t="s">
        <v>36844</v>
      </c>
    </row>
    <row r="14370" spans="1:5">
      <c r="A14370" t="s">
        <v>6</v>
      </c>
      <c r="B14370" t="s">
        <v>14375</v>
      </c>
      <c r="C14370">
        <f>HYPERLINK("C:\Users\franc\OneDrive\Documentos\MALENTIN KARIME\BANCO ESTADO\2012 DEPTO ESCRITURAS fata\NOTARIA 2009\BANCO DEL DESARROLLO\PROTOCOLIZACION ESCRITURAS\JAVIER PINTO.doc", "Abrir Documento")</f>
        <v>0</v>
      </c>
      <c r="D14370" t="s">
        <v>23500</v>
      </c>
      <c r="E14370" t="s">
        <v>36845</v>
      </c>
    </row>
    <row r="14371" spans="1:5">
      <c r="A14371" t="s">
        <v>6</v>
      </c>
      <c r="B14371" t="s">
        <v>14376</v>
      </c>
      <c r="C14371">
        <f>HYPERLINK("C:\Users\franc\OneDrive\Documentos\MALENTIN KARIME\BANCO ESTADO\2012 DEPTO ESCRITURAS fata\NOTARIA 2009\BANCO DEL DESARROLLO\PROTOCOLIZACION ESCRITURAS\IRELDA MEDALLA ROJAS.doc", "Abrir Documento")</f>
        <v>0</v>
      </c>
      <c r="D14371" t="s">
        <v>23500</v>
      </c>
      <c r="E14371" t="s">
        <v>36846</v>
      </c>
    </row>
    <row r="14372" spans="1:5">
      <c r="A14372" t="s">
        <v>6</v>
      </c>
      <c r="B14372" t="s">
        <v>14377</v>
      </c>
      <c r="C14372">
        <f>HYPERLINK("C:\Users\franc\OneDrive\Documentos\MALENTIN KARIME\BANCO ESTADO\2012 DEPTO ESCRITURAS fata\NOTARIA 2009\BANCO DEL DESARROLLO\PROTOCOLIZACION ESCRITURAS\INGRID ROJAS A SANDRA HERRERA.doc", "Abrir Documento")</f>
        <v>0</v>
      </c>
      <c r="D14372" t="s">
        <v>23500</v>
      </c>
      <c r="E14372" t="s">
        <v>36847</v>
      </c>
    </row>
    <row r="14373" spans="1:5">
      <c r="A14373" t="s">
        <v>6</v>
      </c>
      <c r="B14373" t="s">
        <v>14378</v>
      </c>
      <c r="C14373">
        <f>HYPERLINK("C:\Users\franc\OneDrive\Documentos\MALENTIN KARIME\BANCO ESTADO\2012 DEPTO ESCRITURAS fata\NOTARIA 2009\BANCO DEL DESARROLLO\PROTOCOLIZACION ESCRITURAS\CLAUDIO DIAZ CARVAJAL.doc", "Abrir Documento")</f>
        <v>0</v>
      </c>
      <c r="D14373" t="s">
        <v>23500</v>
      </c>
      <c r="E14373" t="s">
        <v>36848</v>
      </c>
    </row>
    <row r="14374" spans="1:5">
      <c r="A14374" t="s">
        <v>6</v>
      </c>
      <c r="B14374" t="s">
        <v>14379</v>
      </c>
      <c r="C14374">
        <f>HYPERLINK("C:\Users\franc\OneDrive\Documentos\MALENTIN KARIME\BANCO ESTADO\2012 DEPTO ESCRITURAS fata\NOTARIA 2009\BANCO DEL DESARROLLO\PROTOCOLIZACION ESCRITURAS\CAROLINA ARAYA ARAYA.doc", "Abrir Documento")</f>
        <v>0</v>
      </c>
      <c r="D14374" t="s">
        <v>23500</v>
      </c>
      <c r="E14374" t="s">
        <v>36849</v>
      </c>
    </row>
    <row r="14375" spans="1:5">
      <c r="A14375" t="s">
        <v>6</v>
      </c>
      <c r="B14375" t="s">
        <v>14380</v>
      </c>
      <c r="C14375">
        <f>HYPERLINK("C:\Users\franc\OneDrive\Documentos\MALENTIN KARIME\BANCO ESTADO\2012 DEPTO ESCRITURAS fata\NOTARIA 2009\BANCO DEL DESARROLLO\PROTOCOLIZACION ESCRITURAS\CARLOS GARCIA.doc", "Abrir Documento")</f>
        <v>0</v>
      </c>
      <c r="D14375" t="s">
        <v>23500</v>
      </c>
      <c r="E14375" t="s">
        <v>36850</v>
      </c>
    </row>
    <row r="14376" spans="1:5">
      <c r="A14376" t="s">
        <v>6</v>
      </c>
      <c r="B14376" t="s">
        <v>14381</v>
      </c>
      <c r="C14376">
        <f>HYPERLINK("C:\Users\franc\OneDrive\Documentos\MALENTIN KARIME\BANCO ESTADO\2012 DEPTO ESCRITURAS fata\NOTARIA 2009\BANCO DEL DESARROLLO\PROTOCOLIZACION ESCRITURAS\Autorizo las firmas.doc", "Abrir Documento")</f>
        <v>0</v>
      </c>
      <c r="D14376" t="s">
        <v>23500</v>
      </c>
      <c r="E14376" t="s">
        <v>36851</v>
      </c>
    </row>
    <row r="14377" spans="1:5">
      <c r="A14377" t="s">
        <v>6</v>
      </c>
      <c r="B14377" t="s">
        <v>14382</v>
      </c>
      <c r="C14377">
        <f>HYPERLINK("C:\Users\franc\OneDrive\Documentos\MALENTIN KARIME\BANCO ESTADO\2012 DEPTO ESCRITURAS fata\NOTARIA 2009\BANCO DEL DESARROLLO\PROTOCOLIZACION ESCRITURAS\ANDRES TOLEDO.doc", "Abrir Documento")</f>
        <v>0</v>
      </c>
      <c r="D14377" t="s">
        <v>23500</v>
      </c>
      <c r="E14377" t="s">
        <v>36852</v>
      </c>
    </row>
    <row r="14378" spans="1:5">
      <c r="A14378" t="s">
        <v>6</v>
      </c>
      <c r="B14378" t="s">
        <v>14383</v>
      </c>
      <c r="C14378">
        <f>HYPERLINK("C:\Users\franc\OneDrive\Documentos\MALENTIN KARIME\BANCO ESTADO\2012 DEPTO ESCRITURAS fata\NOTARIA 2009\BANCO DEL DESARROLLO\PROTOCOLIZACION ESCRITURAS\ALEX URQUIETA.doc", "Abrir Documento")</f>
        <v>0</v>
      </c>
      <c r="D14378" t="s">
        <v>23500</v>
      </c>
      <c r="E14378" t="s">
        <v>36853</v>
      </c>
    </row>
    <row r="14379" spans="1:5">
      <c r="A14379" t="s">
        <v>6</v>
      </c>
      <c r="B14379" t="s">
        <v>14384</v>
      </c>
      <c r="C14379">
        <f>HYPERLINK("C:\Users\franc\OneDrive\Documentos\MALENTIN KARIME\BANCO ESTADO\2012 DEPTO ESCRITURAS fata\NOTARIA 2009\BANCO DEL DESARROLLO\prendas\REDUCCION\BOMBEROS OVALLE.doc", "Abrir Documento")</f>
        <v>0</v>
      </c>
      <c r="D14379" t="s">
        <v>23500</v>
      </c>
      <c r="E14379" t="s">
        <v>36854</v>
      </c>
    </row>
    <row r="14380" spans="1:5">
      <c r="A14380" t="s">
        <v>6</v>
      </c>
      <c r="B14380" t="s">
        <v>14385</v>
      </c>
      <c r="C14380">
        <f>HYPERLINK("C:\Users\franc\OneDrive\Documentos\MALENTIN KARIME\BANCO ESTADO\2012 DEPTO ESCRITURAS fata\NOTARIA 2009\BANCO DEL DESARROLLO\prendas\REDUCCION\BOMBEROS OVALLE RESOLUCION.doc", "Abrir Documento")</f>
        <v>0</v>
      </c>
      <c r="D14380" t="s">
        <v>23500</v>
      </c>
      <c r="E14380" t="s">
        <v>36855</v>
      </c>
    </row>
    <row r="14381" spans="1:5">
      <c r="A14381" t="s">
        <v>6</v>
      </c>
      <c r="B14381" t="s">
        <v>14386</v>
      </c>
      <c r="C14381">
        <f>HYPERLINK("C:\Users\franc\OneDrive\Documentos\MALENTIN KARIME\BANCO ESTADO\2012 DEPTO ESCRITURAS fata\NOTARIA 2009\BANCO DEL DESARROLLO\prendas\MODELO NOTARIO\MODELO NOTARIO.doc", "Abrir Documento")</f>
        <v>0</v>
      </c>
      <c r="D14381" t="s">
        <v>23500</v>
      </c>
      <c r="E14381" t="s">
        <v>36856</v>
      </c>
    </row>
    <row r="14382" spans="1:5">
      <c r="A14382" t="s">
        <v>6</v>
      </c>
      <c r="B14382" t="s">
        <v>14387</v>
      </c>
      <c r="C14382">
        <f>HYPERLINK("C:\Users\franc\OneDrive\Documentos\MALENTIN KARIME\BANCO ESTADO\2012 DEPTO ESCRITURAS fata\NOTARIA 2009\BANCO DEL DESARROLLO\prendas\MITSUI\WILLIAMS DIAZ A MARIA LIMPERT.doc", "Abrir Documento")</f>
        <v>0</v>
      </c>
      <c r="D14382" t="s">
        <v>23500</v>
      </c>
      <c r="E14382" t="s">
        <v>36857</v>
      </c>
    </row>
    <row r="14383" spans="1:5">
      <c r="A14383" t="s">
        <v>6</v>
      </c>
      <c r="B14383" t="s">
        <v>14388</v>
      </c>
      <c r="C14383">
        <f>HYPERLINK("C:\Users\franc\OneDrive\Documentos\MALENTIN KARIME\BANCO ESTADO\2012 DEPTO ESCRITURAS fata\NOTARIA 2009\BANCO DEL DESARROLLO\prendas\MITSUI\WALDO CARMONA ROJAS.doc", "Abrir Documento")</f>
        <v>0</v>
      </c>
      <c r="D14383" t="s">
        <v>23500</v>
      </c>
      <c r="E14383" t="s">
        <v>36858</v>
      </c>
    </row>
    <row r="14384" spans="1:5">
      <c r="A14384" t="s">
        <v>6</v>
      </c>
      <c r="B14384" t="s">
        <v>14389</v>
      </c>
      <c r="C14384">
        <f>HYPERLINK("C:\Users\franc\OneDrive\Documentos\MALENTIN KARIME\BANCO ESTADO\2012 DEPTO ESCRITURAS fata\NOTARIA 2009\BANCO DEL DESARROLLO\prendas\MITSUI\VERONICA HARO RODRIGUEZ.doc", "Abrir Documento")</f>
        <v>0</v>
      </c>
      <c r="D14384" t="s">
        <v>23500</v>
      </c>
      <c r="E14384" t="s">
        <v>36859</v>
      </c>
    </row>
    <row r="14385" spans="1:5">
      <c r="A14385" t="s">
        <v>6</v>
      </c>
      <c r="B14385" t="s">
        <v>14390</v>
      </c>
      <c r="C14385">
        <f>HYPERLINK("C:\Users\franc\OneDrive\Documentos\MALENTIN KARIME\BANCO ESTADO\2012 DEPTO ESCRITURAS fata\NOTARIA 2009\BANCO DEL DESARROLLO\prendas\MITSUI\RUBEN VARGAS NUÑEZ.doc", "Abrir Documento")</f>
        <v>0</v>
      </c>
      <c r="D14385" t="s">
        <v>23500</v>
      </c>
      <c r="E14385" t="s">
        <v>36860</v>
      </c>
    </row>
    <row r="14386" spans="1:5">
      <c r="A14386" t="s">
        <v>6</v>
      </c>
      <c r="B14386" t="s">
        <v>14391</v>
      </c>
      <c r="C14386">
        <f>HYPERLINK("C:\Users\franc\OneDrive\Documentos\MALENTIN KARIME\BANCO ESTADO\2012 DEPTO ESCRITURAS fata\NOTARIA 2009\BANCO DEL DESARROLLO\prendas\MITSUI\RAMON PEÑA.doc", "Abrir Documento")</f>
        <v>0</v>
      </c>
      <c r="D14386" t="s">
        <v>23500</v>
      </c>
      <c r="E14386" t="s">
        <v>36861</v>
      </c>
    </row>
    <row r="14387" spans="1:5">
      <c r="A14387" t="s">
        <v>6</v>
      </c>
      <c r="B14387" t="s">
        <v>14392</v>
      </c>
      <c r="C14387">
        <f>HYPERLINK("C:\Users\franc\OneDrive\Documentos\MALENTIN KARIME\BANCO ESTADO\2012 DEPTO ESCRITURAS fata\NOTARIA 2009\BANCO DEL DESARROLLO\prendas\MITSUI\PILAR GONZALEZ.doc", "Abrir Documento")</f>
        <v>0</v>
      </c>
      <c r="D14387" t="s">
        <v>23500</v>
      </c>
      <c r="E14387" t="s">
        <v>36862</v>
      </c>
    </row>
    <row r="14388" spans="1:5">
      <c r="A14388" t="s">
        <v>6</v>
      </c>
      <c r="B14388" t="s">
        <v>14393</v>
      </c>
      <c r="C14388">
        <f>HYPERLINK("C:\Users\franc\OneDrive\Documentos\MALENTIN KARIME\BANCO ESTADO\2012 DEPTO ESCRITURAS fata\NOTARIA 2009\BANCO DEL DESARROLLO\prendas\MITSUI\PABLO MUÑOZ.doc", "Abrir Documento")</f>
        <v>0</v>
      </c>
      <c r="D14388" t="s">
        <v>23500</v>
      </c>
      <c r="E14388" t="s">
        <v>36863</v>
      </c>
    </row>
    <row r="14389" spans="1:5">
      <c r="A14389" t="s">
        <v>6</v>
      </c>
      <c r="B14389" t="s">
        <v>14394</v>
      </c>
      <c r="C14389">
        <f>HYPERLINK("C:\Users\franc\OneDrive\Documentos\MALENTIN KARIME\BANCO ESTADO\2012 DEPTO ESCRITURAS fata\NOTARIA 2009\BANCO DEL DESARROLLO\prendas\MITSUI\MARIA ROMERO BERRIOS Y OTRA.doc", "Abrir Documento")</f>
        <v>0</v>
      </c>
      <c r="D14389" t="s">
        <v>23500</v>
      </c>
      <c r="E14389" t="s">
        <v>36864</v>
      </c>
    </row>
    <row r="14390" spans="1:5">
      <c r="A14390" t="s">
        <v>6</v>
      </c>
      <c r="B14390" t="s">
        <v>14395</v>
      </c>
      <c r="C14390">
        <f>HYPERLINK("C:\Users\franc\OneDrive\Documentos\MALENTIN KARIME\BANCO ESTADO\2012 DEPTO ESCRITURAS fata\NOTARIA 2009\BANCO DEL DESARROLLO\prendas\MITSUI\MARIA ARGANDOÑA.doc", "Abrir Documento")</f>
        <v>0</v>
      </c>
      <c r="D14390" t="s">
        <v>23500</v>
      </c>
      <c r="E14390" t="s">
        <v>36865</v>
      </c>
    </row>
    <row r="14391" spans="1:5">
      <c r="A14391" t="s">
        <v>6</v>
      </c>
      <c r="B14391" t="s">
        <v>14396</v>
      </c>
      <c r="C14391">
        <f>HYPERLINK("C:\Users\franc\OneDrive\Documentos\MALENTIN KARIME\BANCO ESTADO\2012 DEPTO ESCRITURAS fata\NOTARIA 2009\BANCO DEL DESARROLLO\prendas\MITSUI\MARCELA ZEPEDA.doc", "Abrir Documento")</f>
        <v>0</v>
      </c>
      <c r="D14391" t="s">
        <v>23500</v>
      </c>
      <c r="E14391" t="s">
        <v>36866</v>
      </c>
    </row>
    <row r="14392" spans="1:5">
      <c r="A14392" t="s">
        <v>6</v>
      </c>
      <c r="B14392" t="s">
        <v>14397</v>
      </c>
      <c r="C14392">
        <f>HYPERLINK("C:\Users\franc\OneDrive\Documentos\MALENTIN KARIME\BANCO ESTADO\2012 DEPTO ESCRITURAS fata\NOTARIA 2009\BANCO DEL DESARROLLO\prendas\MITSUI\LUZ MOLINA GONZALEZ.doc", "Abrir Documento")</f>
        <v>0</v>
      </c>
      <c r="D14392" t="s">
        <v>23500</v>
      </c>
      <c r="E14392" t="s">
        <v>36867</v>
      </c>
    </row>
    <row r="14393" spans="1:5">
      <c r="A14393" t="s">
        <v>6</v>
      </c>
      <c r="B14393" t="s">
        <v>14398</v>
      </c>
      <c r="C14393">
        <f>HYPERLINK("C:\Users\franc\OneDrive\Documentos\MALENTIN KARIME\BANCO ESTADO\2012 DEPTO ESCRITURAS fata\NOTARIA 2009\BANCO DEL DESARROLLO\prendas\MITSUI\LORENA VEGA.doc", "Abrir Documento")</f>
        <v>0</v>
      </c>
      <c r="D14393" t="s">
        <v>23500</v>
      </c>
      <c r="E14393" t="s">
        <v>36868</v>
      </c>
    </row>
    <row r="14394" spans="1:5">
      <c r="A14394" t="s">
        <v>6</v>
      </c>
      <c r="B14394" t="s">
        <v>14399</v>
      </c>
      <c r="C14394">
        <f>HYPERLINK("C:\Users\franc\OneDrive\Documentos\MALENTIN KARIME\BANCO ESTADO\2012 DEPTO ESCRITURAS fata\NOTARIA 2009\BANCO DEL DESARROLLO\prendas\MITSUI\LEYLA RAMIREZ.doc", "Abrir Documento")</f>
        <v>0</v>
      </c>
      <c r="D14394" t="s">
        <v>23500</v>
      </c>
      <c r="E14394" t="s">
        <v>36869</v>
      </c>
    </row>
    <row r="14395" spans="1:5">
      <c r="A14395" t="s">
        <v>6</v>
      </c>
      <c r="B14395" t="s">
        <v>14400</v>
      </c>
      <c r="C14395">
        <f>HYPERLINK("C:\Users\franc\OneDrive\Documentos\MALENTIN KARIME\BANCO ESTADO\2012 DEPTO ESCRITURAS fata\NOTARIA 2009\BANCO DEL DESARROLLO\prendas\MITSUI\KATHERINE BOUSELLET.doc", "Abrir Documento")</f>
        <v>0</v>
      </c>
      <c r="D14395" t="s">
        <v>23500</v>
      </c>
      <c r="E14395" t="s">
        <v>36870</v>
      </c>
    </row>
    <row r="14396" spans="1:5">
      <c r="A14396" t="s">
        <v>6</v>
      </c>
      <c r="B14396" t="s">
        <v>14401</v>
      </c>
      <c r="C14396">
        <f>HYPERLINK("C:\Users\franc\OneDrive\Documentos\MALENTIN KARIME\BANCO ESTADO\2012 DEPTO ESCRITURAS fata\NOTARIA 2009\BANCO DEL DESARROLLO\prendas\MITSUI\JULIE GONZALEZ.doc", "Abrir Documento")</f>
        <v>0</v>
      </c>
      <c r="D14396" t="s">
        <v>23500</v>
      </c>
      <c r="E14396" t="s">
        <v>36871</v>
      </c>
    </row>
    <row r="14397" spans="1:5">
      <c r="A14397" t="s">
        <v>6</v>
      </c>
      <c r="B14397" t="s">
        <v>14402</v>
      </c>
      <c r="C14397">
        <f>HYPERLINK("C:\Users\franc\OneDrive\Documentos\MALENTIN KARIME\BANCO ESTADO\2012 DEPTO ESCRITURAS fata\NOTARIA 2009\BANCO DEL DESARROLLO\prendas\MITSUI\JUAN MARAMBIO.doc", "Abrir Documento")</f>
        <v>0</v>
      </c>
      <c r="D14397" t="s">
        <v>23500</v>
      </c>
      <c r="E14397" t="s">
        <v>36872</v>
      </c>
    </row>
    <row r="14398" spans="1:5">
      <c r="A14398" t="s">
        <v>6</v>
      </c>
      <c r="B14398" t="s">
        <v>14403</v>
      </c>
      <c r="C14398">
        <f>HYPERLINK("C:\Users\franc\OneDrive\Documentos\MALENTIN KARIME\BANCO ESTADO\2012 DEPTO ESCRITURAS fata\NOTARIA 2009\BANCO DEL DESARROLLO\prendas\MITSUI\JUAN MARAMBIO Y OTRA.doc", "Abrir Documento")</f>
        <v>0</v>
      </c>
      <c r="D14398" t="s">
        <v>23500</v>
      </c>
      <c r="E14398" t="s">
        <v>36873</v>
      </c>
    </row>
    <row r="14399" spans="1:5">
      <c r="A14399" t="s">
        <v>6</v>
      </c>
      <c r="B14399" t="s">
        <v>14404</v>
      </c>
      <c r="C14399">
        <f>HYPERLINK("C:\Users\franc\OneDrive\Documentos\MALENTIN KARIME\BANCO ESTADO\2012 DEPTO ESCRITURAS fata\NOTARIA 2009\BANCO DEL DESARROLLO\prendas\MITSUI\JUAN MARAMBIO 2.doc", "Abrir Documento")</f>
        <v>0</v>
      </c>
      <c r="D14399" t="s">
        <v>23500</v>
      </c>
      <c r="E14399" t="s">
        <v>36874</v>
      </c>
    </row>
    <row r="14400" spans="1:5">
      <c r="A14400" t="s">
        <v>6</v>
      </c>
      <c r="B14400" t="s">
        <v>14405</v>
      </c>
      <c r="C14400">
        <f>HYPERLINK("C:\Users\franc\OneDrive\Documentos\MALENTIN KARIME\BANCO ESTADO\2012 DEPTO ESCRITURAS fata\NOTARIA 2009\BANCO DEL DESARROLLO\prendas\MITSUI\JORGE GONZALEZ.doc", "Abrir Documento")</f>
        <v>0</v>
      </c>
      <c r="D14400" t="s">
        <v>23500</v>
      </c>
      <c r="E14400" t="s">
        <v>36875</v>
      </c>
    </row>
    <row r="14401" spans="1:5">
      <c r="A14401" t="s">
        <v>6</v>
      </c>
      <c r="B14401" t="s">
        <v>14406</v>
      </c>
      <c r="C14401">
        <f>HYPERLINK("C:\Users\franc\OneDrive\Documentos\MALENTIN KARIME\BANCO ESTADO\2012 DEPTO ESCRITURAS fata\NOTARIA 2009\BANCO DEL DESARROLLO\prendas\MITSUI\JOAN MANUEL CAMPOS RAMOS.doc", "Abrir Documento")</f>
        <v>0</v>
      </c>
      <c r="D14401" t="s">
        <v>23500</v>
      </c>
      <c r="E14401" t="s">
        <v>36876</v>
      </c>
    </row>
    <row r="14402" spans="1:5">
      <c r="A14402" t="s">
        <v>6</v>
      </c>
      <c r="B14402" t="s">
        <v>14407</v>
      </c>
      <c r="C14402">
        <f>HYPERLINK("C:\Users\franc\OneDrive\Documentos\MALENTIN KARIME\BANCO ESTADO\2012 DEPTO ESCRITURAS fata\NOTARIA 2009\BANCO DEL DESARROLLO\prendas\MITSUI\FERNANDO BASCUR.doc", "Abrir Documento")</f>
        <v>0</v>
      </c>
      <c r="D14402" t="s">
        <v>23500</v>
      </c>
      <c r="E14402" t="s">
        <v>36877</v>
      </c>
    </row>
    <row r="14403" spans="1:5">
      <c r="A14403" t="s">
        <v>6</v>
      </c>
      <c r="B14403" t="s">
        <v>14408</v>
      </c>
      <c r="C14403">
        <f>HYPERLINK("C:\Users\franc\OneDrive\Documentos\MALENTIN KARIME\BANCO ESTADO\2012 DEPTO ESCRITURAS fata\NOTARIA 2009\BANCO DEL DESARROLLO\prendas\MITSUI\Doc1.doc", "Abrir Documento")</f>
        <v>0</v>
      </c>
      <c r="D14403" t="s">
        <v>23500</v>
      </c>
      <c r="E14403" t="s">
        <v>36878</v>
      </c>
    </row>
    <row r="14404" spans="1:5">
      <c r="A14404" t="s">
        <v>6</v>
      </c>
      <c r="B14404" t="s">
        <v>14409</v>
      </c>
      <c r="C14404">
        <f>HYPERLINK("C:\Users\franc\OneDrive\Documentos\MALENTIN KARIME\BANCO ESTADO\2012 DEPTO ESCRITURAS fata\NOTARIA 2009\BANCO DEL DESARROLLO\prendas\MITSUI\CARMEN TAPIA VALLEJOS.doc", "Abrir Documento")</f>
        <v>0</v>
      </c>
      <c r="D14404" t="s">
        <v>23500</v>
      </c>
      <c r="E14404" t="s">
        <v>36879</v>
      </c>
    </row>
    <row r="14405" spans="1:5">
      <c r="A14405" t="s">
        <v>6</v>
      </c>
      <c r="B14405" t="s">
        <v>14410</v>
      </c>
      <c r="C14405">
        <f>HYPERLINK("C:\Users\franc\OneDrive\Documentos\MALENTIN KARIME\BANCO ESTADO\2012 DEPTO ESCRITURAS fata\NOTARIA 2009\BANCO DEL DESARROLLO\prendas\MITSUI\Autorizo la firma.doc", "Abrir Documento")</f>
        <v>0</v>
      </c>
      <c r="D14405" t="s">
        <v>23500</v>
      </c>
      <c r="E14405" t="s">
        <v>36880</v>
      </c>
    </row>
    <row r="14406" spans="1:5">
      <c r="A14406" t="s">
        <v>6</v>
      </c>
      <c r="B14406" t="s">
        <v>14411</v>
      </c>
      <c r="C14406">
        <f>HYPERLINK("C:\Users\franc\OneDrive\Documentos\MALENTIN KARIME\BANCO ESTADO\2012 DEPTO ESCRITURAS fata\NOTARIA 2009\BANCO DEL DESARROLLO\prendas\INP\ALZAMIENTO JUVENAL ACUÑA.doc", "Abrir Documento")</f>
        <v>0</v>
      </c>
      <c r="D14406" t="s">
        <v>23500</v>
      </c>
      <c r="E14406" t="s">
        <v>36881</v>
      </c>
    </row>
    <row r="14407" spans="1:5">
      <c r="A14407" t="s">
        <v>6</v>
      </c>
      <c r="B14407" t="s">
        <v>14412</v>
      </c>
      <c r="C14407">
        <f>HYPERLINK("C:\Users\franc\OneDrive\Documentos\MALENTIN KARIME\BANCO ESTADO\2012 DEPTO ESCRITURAS fata\NOTARIA 2009\BANCO DEL DESARROLLO\prendas\DABED\MUTUO CARLOS ABRILOT.doc", "Abrir Documento")</f>
        <v>0</v>
      </c>
      <c r="D14407" t="s">
        <v>23500</v>
      </c>
      <c r="E14407" t="s">
        <v>36882</v>
      </c>
    </row>
    <row r="14408" spans="1:5">
      <c r="A14408" t="s">
        <v>6</v>
      </c>
      <c r="B14408" t="s">
        <v>14413</v>
      </c>
      <c r="C14408">
        <f>HYPERLINK("C:\Users\franc\OneDrive\Documentos\MALENTIN KARIME\BANCO ESTADO\2012 DEPTO ESCRITURAS fata\NOTARIA 2009\BANCO DEL DESARROLLO\prendas\COMPAÑIA MINERA PUNITAQUI\SILVIA RODRIGUEZ.doc", "Abrir Documento")</f>
        <v>0</v>
      </c>
      <c r="D14408" t="s">
        <v>23500</v>
      </c>
      <c r="E14408" t="s">
        <v>36883</v>
      </c>
    </row>
    <row r="14409" spans="1:5">
      <c r="A14409" t="s">
        <v>6</v>
      </c>
      <c r="B14409" t="s">
        <v>14414</v>
      </c>
      <c r="C14409">
        <f>HYPERLINK("C:\Users\franc\OneDrive\Documentos\MALENTIN KARIME\BANCO ESTADO\2012 DEPTO ESCRITURAS fata\NOTARIA 2009\BANCO DEL DESARROLLO\prendas\BANCO DEL ESTADO }\ALZAMIENTOS\SERGIO PEÑA TIERRA.doc", "Abrir Documento")</f>
        <v>0</v>
      </c>
      <c r="D14409" t="s">
        <v>23500</v>
      </c>
      <c r="E14409" t="s">
        <v>36884</v>
      </c>
    </row>
    <row r="14410" spans="1:5">
      <c r="A14410" t="s">
        <v>6</v>
      </c>
      <c r="B14410" t="s">
        <v>14415</v>
      </c>
      <c r="C14410">
        <f>HYPERLINK("C:\Users\franc\OneDrive\Documentos\MALENTIN KARIME\BANCO ESTADO\2012 DEPTO ESCRITURAS fata\NOTARIA 2009\BANCO DEL DESARROLLO\prendas\BANCO DEL ESTADO }\ALZAMIENTOS\SERGIO PEÑA AGUAS.doc", "Abrir Documento")</f>
        <v>0</v>
      </c>
      <c r="D14410" t="s">
        <v>23500</v>
      </c>
      <c r="E14410" t="s">
        <v>36885</v>
      </c>
    </row>
    <row r="14411" spans="1:5">
      <c r="A14411" t="s">
        <v>6</v>
      </c>
      <c r="B14411" t="s">
        <v>14416</v>
      </c>
      <c r="C14411">
        <f>HYPERLINK("C:\Users\franc\OneDrive\Documentos\MALENTIN KARIME\BANCO ESTADO\2012 DEPTO ESCRITURAS fata\NOTARIA 2009\BANCO DEL DESARROLLO\prendas\BANCO DEL ESTADO }\ALZAMIENTOS\PERSONERIA BANCO ESTADO.doc", "Abrir Documento")</f>
        <v>0</v>
      </c>
      <c r="D14411" t="s">
        <v>23500</v>
      </c>
      <c r="E14411" t="s">
        <v>36886</v>
      </c>
    </row>
    <row r="14412" spans="1:5">
      <c r="A14412" t="s">
        <v>6</v>
      </c>
      <c r="B14412" t="s">
        <v>14417</v>
      </c>
      <c r="C14412">
        <f>HYPERLINK("C:\Users\franc\OneDrive\Documentos\MALENTIN KARIME\BANCO ESTADO\2012 DEPTO ESCRITURAS fata\NOTARIA 2009\BANCO DEL DESARROLLO\prendas\2009\TRANSPORTES ALFALFARES A BDD (PLANTACION).doc", "Abrir Documento")</f>
        <v>0</v>
      </c>
      <c r="D14412" t="s">
        <v>23500</v>
      </c>
      <c r="E14412" t="s">
        <v>36887</v>
      </c>
    </row>
    <row r="14413" spans="1:5">
      <c r="A14413" t="s">
        <v>6</v>
      </c>
      <c r="B14413" t="s">
        <v>14418</v>
      </c>
      <c r="C14413">
        <f>HYPERLINK("C:\Users\franc\OneDrive\Documentos\MALENTIN KARIME\BANCO ESTADO\2012 DEPTO ESCRITURAS fata\NOTARIA 2009\BANCO DEL DESARROLLO\prendas\2009\SOC. LOS ALAMOS (AMP. Y MODIFIC) EXTRACTO.doc", "Abrir Documento")</f>
        <v>0</v>
      </c>
      <c r="D14413" t="s">
        <v>23500</v>
      </c>
      <c r="E14413" t="s">
        <v>36888</v>
      </c>
    </row>
    <row r="14414" spans="1:5">
      <c r="A14414" t="s">
        <v>6</v>
      </c>
      <c r="B14414" t="s">
        <v>14419</v>
      </c>
      <c r="C14414">
        <f>HYPERLINK("C:\Users\franc\OneDrive\Documentos\MALENTIN KARIME\BANCO ESTADO\2012 DEPTO ESCRITURAS fata\NOTARIA 2009\BANCO DEL DESARROLLO\prendas\2009\SOC. AGRICOLA AGRICOR.doc", "Abrir Documento")</f>
        <v>0</v>
      </c>
      <c r="D14414" t="s">
        <v>23500</v>
      </c>
      <c r="E14414" t="s">
        <v>36889</v>
      </c>
    </row>
    <row r="14415" spans="1:5">
      <c r="A14415" t="s">
        <v>6</v>
      </c>
      <c r="B14415" t="s">
        <v>14420</v>
      </c>
      <c r="C14415">
        <f>HYPERLINK("C:\Users\franc\OneDrive\Documentos\MALENTIN KARIME\BANCO ESTADO\2012 DEPTO ESCRITURAS fata\NOTARIA 2009\BANCO DEL DESARROLLO\prendas\2009\AGROIND. AGRICOR  PLANTACION  EXT.doc", "Abrir Documento")</f>
        <v>0</v>
      </c>
      <c r="D14415" t="s">
        <v>23500</v>
      </c>
      <c r="E14415" t="s">
        <v>36890</v>
      </c>
    </row>
    <row r="14416" spans="1:5">
      <c r="A14416" t="s">
        <v>6</v>
      </c>
      <c r="B14416" t="s">
        <v>14421</v>
      </c>
      <c r="C14416">
        <f>HYPERLINK("C:\Users\franc\OneDrive\Documentos\MALENTIN KARIME\BANCO ESTADO\2012 DEPTO ESCRITURAS fata\NOTARIA 2009\BANCO DEL DESARROLLO\prendas\2009\AGRICOLA ALFALFARES  PLANTACION  EXT.doc", "Abrir Documento")</f>
        <v>0</v>
      </c>
      <c r="D14416" t="s">
        <v>23500</v>
      </c>
      <c r="E14416" t="s">
        <v>36891</v>
      </c>
    </row>
    <row r="14417" spans="1:5">
      <c r="A14417" t="s">
        <v>6</v>
      </c>
      <c r="B14417" t="s">
        <v>14422</v>
      </c>
      <c r="C14417">
        <f>HYPERLINK("C:\Users\franc\OneDrive\Documentos\MALENTIN KARIME\BANCO ESTADO\2012 DEPTO ESCRITURAS fata\NOTARIA 2009\BANCO DEL DESARROLLO\prendas\2008\TOMAS CORTES.doc", "Abrir Documento")</f>
        <v>0</v>
      </c>
      <c r="D14417" t="s">
        <v>23500</v>
      </c>
      <c r="E14417" t="s">
        <v>36892</v>
      </c>
    </row>
    <row r="14418" spans="1:5">
      <c r="A14418" t="s">
        <v>6</v>
      </c>
      <c r="B14418" t="s">
        <v>14423</v>
      </c>
      <c r="C14418">
        <f>HYPERLINK("C:\Users\franc\OneDrive\Documentos\MALENTIN KARIME\BANCO ESTADO\2012 DEPTO ESCRITURAS fata\NOTARIA 2009\BANCO DEL DESARROLLO\prendas\2008\TOMAS CORTES  EXTRACTO.doc", "Abrir Documento")</f>
        <v>0</v>
      </c>
      <c r="D14418" t="s">
        <v>23500</v>
      </c>
      <c r="E14418" t="s">
        <v>36893</v>
      </c>
    </row>
    <row r="14419" spans="1:5">
      <c r="A14419" t="s">
        <v>6</v>
      </c>
      <c r="B14419" t="s">
        <v>14424</v>
      </c>
      <c r="C14419">
        <f>HYPERLINK("C:\Users\franc\OneDrive\Documentos\MALENTIN KARIME\BANCO ESTADO\2012 DEPTO ESCRITURAS fata\NOTARIA 2009\BANCO DEL DESARROLLO\prendas\2008\SOC. BOYENS CON ORIEL PERINES (PARTICULAR).doc", "Abrir Documento")</f>
        <v>0</v>
      </c>
      <c r="D14419" t="s">
        <v>23500</v>
      </c>
      <c r="E14419" t="s">
        <v>36894</v>
      </c>
    </row>
    <row r="14420" spans="1:5">
      <c r="A14420" t="s">
        <v>6</v>
      </c>
      <c r="B14420" t="s">
        <v>14425</v>
      </c>
      <c r="C14420">
        <f>HYPERLINK("C:\Users\franc\OneDrive\Documentos\MALENTIN KARIME\BANCO ESTADO\2012 DEPTO ESCRITURAS fata\NOTARIA 2009\BANCO DEL DESARROLLO\prendas\2008\SOC. ARKON LTDA.  A DABED (MANLIO METTIFOGO).doc", "Abrir Documento")</f>
        <v>0</v>
      </c>
      <c r="D14420" t="s">
        <v>23500</v>
      </c>
      <c r="E14420" t="s">
        <v>36895</v>
      </c>
    </row>
    <row r="14421" spans="1:5">
      <c r="A14421" t="s">
        <v>6</v>
      </c>
      <c r="B14421" t="s">
        <v>14426</v>
      </c>
      <c r="C14421">
        <f>HYPERLINK("C:\Users\franc\OneDrive\Documentos\MALENTIN KARIME\BANCO ESTADO\2012 DEPTO ESCRITURAS fata\NOTARIA 2009\BANCO DEL DESARROLLO\prendas\2008\SOC. AGRICOLA ALFALFARES.doc", "Abrir Documento")</f>
        <v>0</v>
      </c>
      <c r="D14421" t="s">
        <v>23500</v>
      </c>
      <c r="E14421" t="s">
        <v>36896</v>
      </c>
    </row>
    <row r="14422" spans="1:5">
      <c r="A14422" t="s">
        <v>6</v>
      </c>
      <c r="B14422" t="s">
        <v>14427</v>
      </c>
      <c r="C14422">
        <f>HYPERLINK("C:\Users\franc\OneDrive\Documentos\MALENTIN KARIME\BANCO ESTADO\2012 DEPTO ESCRITURAS fata\NOTARIA 2009\BANCO DEL DESARROLLO\prendas\2008\SCOTT WILLIAM 1.doc", "Abrir Documento")</f>
        <v>0</v>
      </c>
      <c r="D14422" t="s">
        <v>23500</v>
      </c>
      <c r="E14422" t="s">
        <v>36897</v>
      </c>
    </row>
    <row r="14423" spans="1:5">
      <c r="A14423" t="s">
        <v>6</v>
      </c>
      <c r="B14423" t="s">
        <v>14428</v>
      </c>
      <c r="C14423">
        <f>HYPERLINK("C:\Users\franc\OneDrive\Documentos\MALENTIN KARIME\BANCO ESTADO\2012 DEPTO ESCRITURAS fata\NOTARIA 2009\BANCO DEL DESARROLLO\prendas\2008\MIRIAM VEGA RIQUELME.doc", "Abrir Documento")</f>
        <v>0</v>
      </c>
      <c r="D14423" t="s">
        <v>23500</v>
      </c>
      <c r="E14423" t="s">
        <v>36898</v>
      </c>
    </row>
    <row r="14424" spans="1:5">
      <c r="A14424" t="s">
        <v>6</v>
      </c>
      <c r="B14424" t="s">
        <v>14429</v>
      </c>
      <c r="C14424">
        <f>HYPERLINK("C:\Users\franc\OneDrive\Documentos\MALENTIN KARIME\BANCO ESTADO\2012 DEPTO ESCRITURAS fata\NOTARIA 2009\BANCO DEL DESARROLLO\prendas\2008\MIRIAM VEGA EXTRACTO (MANLIO METTIFOGO).doc", "Abrir Documento")</f>
        <v>0</v>
      </c>
      <c r="D14424" t="s">
        <v>23500</v>
      </c>
      <c r="E14424" t="s">
        <v>36899</v>
      </c>
    </row>
    <row r="14425" spans="1:5">
      <c r="A14425" t="s">
        <v>6</v>
      </c>
      <c r="B14425" t="s">
        <v>14430</v>
      </c>
      <c r="C14425">
        <f>HYPERLINK("C:\Users\franc\OneDrive\Documentos\MALENTIN KARIME\BANCO ESTADO\2012 DEPTO ESCRITURAS fata\NOTARIA 2009\BANCO DEL DESARROLLO\prendas\2008\LAUTARO GONZALEZ.doc", "Abrir Documento")</f>
        <v>0</v>
      </c>
      <c r="D14425" t="s">
        <v>23500</v>
      </c>
      <c r="E14425" t="s">
        <v>36900</v>
      </c>
    </row>
    <row r="14426" spans="1:5">
      <c r="A14426" t="s">
        <v>6</v>
      </c>
      <c r="B14426" t="s">
        <v>14431</v>
      </c>
      <c r="C14426">
        <f>HYPERLINK("C:\Users\franc\OneDrive\Documentos\MALENTIN KARIME\BANCO ESTADO\2012 DEPTO ESCRITURAS fata\NOTARIA 2009\BANCO DEL DESARROLLO\prendas\2008\JULIO GONZALEZ EXTRACTO.doc", "Abrir Documento")</f>
        <v>0</v>
      </c>
      <c r="D14426" t="s">
        <v>23500</v>
      </c>
      <c r="E14426" t="s">
        <v>36901</v>
      </c>
    </row>
    <row r="14427" spans="1:5">
      <c r="A14427" t="s">
        <v>6</v>
      </c>
      <c r="B14427" t="s">
        <v>14432</v>
      </c>
      <c r="C14427">
        <f>HYPERLINK("C:\Users\franc\OneDrive\Documentos\MALENTIN KARIME\BANCO ESTADO\2012 DEPTO ESCRITURAS fata\NOTARIA 2009\BANCO DEL DESARROLLO\prendas\2008\JULIO GONZALEZ CANIVILO.doc", "Abrir Documento")</f>
        <v>0</v>
      </c>
      <c r="D14427" t="s">
        <v>23500</v>
      </c>
      <c r="E14427" t="s">
        <v>36902</v>
      </c>
    </row>
    <row r="14428" spans="1:5">
      <c r="A14428" t="s">
        <v>6</v>
      </c>
      <c r="B14428" t="s">
        <v>14433</v>
      </c>
      <c r="C14428">
        <f>HYPERLINK("C:\Users\franc\OneDrive\Documentos\MALENTIN KARIME\BANCO ESTADO\2012 DEPTO ESCRITURAS fata\NOTARIA 2009\BANCO DEL DESARROLLO\prendas\2008\JAVIER CASTILLO.doc", "Abrir Documento")</f>
        <v>0</v>
      </c>
      <c r="D14428" t="s">
        <v>23500</v>
      </c>
      <c r="E14428" t="s">
        <v>36903</v>
      </c>
    </row>
    <row r="14429" spans="1:5">
      <c r="A14429" t="s">
        <v>6</v>
      </c>
      <c r="B14429" t="s">
        <v>14434</v>
      </c>
      <c r="C14429">
        <f>HYPERLINK("C:\Users\franc\OneDrive\Documentos\MALENTIN KARIME\BANCO ESTADO\2012 DEPTO ESCRITURAS fata\NOTARIA 2009\BANCO DEL DESARROLLO\prendas\2008\JAVIER CASTILLO  EXTRACTO.doc", "Abrir Documento")</f>
        <v>0</v>
      </c>
      <c r="D14429" t="s">
        <v>23500</v>
      </c>
      <c r="E14429" t="s">
        <v>36904</v>
      </c>
    </row>
    <row r="14430" spans="1:5">
      <c r="A14430" t="s">
        <v>6</v>
      </c>
      <c r="B14430" t="s">
        <v>14435</v>
      </c>
      <c r="C14430">
        <f>HYPERLINK("C:\Users\franc\OneDrive\Documentos\MALENTIN KARIME\BANCO ESTADO\2012 DEPTO ESCRITURAS fata\NOTARIA 2009\BANCO DEL DESARROLLO\prendas\2008\INCOVEG LTDA..doc", "Abrir Documento")</f>
        <v>0</v>
      </c>
      <c r="D14430" t="s">
        <v>23500</v>
      </c>
      <c r="E14430" t="s">
        <v>36905</v>
      </c>
    </row>
    <row r="14431" spans="1:5">
      <c r="A14431" t="s">
        <v>6</v>
      </c>
      <c r="B14431" t="s">
        <v>14436</v>
      </c>
      <c r="C14431">
        <f>HYPERLINK("C:\Users\franc\OneDrive\Documentos\MALENTIN KARIME\BANCO ESTADO\2012 DEPTO ESCRITURAS fata\NOTARIA 2009\BANCO DEL DESARROLLO\prendas\2008\INCOVEG LTDA. EXTRACTO (MANLIO METTIFOGO).doc", "Abrir Documento")</f>
        <v>0</v>
      </c>
      <c r="D14431" t="s">
        <v>23500</v>
      </c>
      <c r="E14431" t="s">
        <v>36906</v>
      </c>
    </row>
    <row r="14432" spans="1:5">
      <c r="A14432" t="s">
        <v>6</v>
      </c>
      <c r="B14432" t="s">
        <v>14437</v>
      </c>
      <c r="C14432">
        <f>HYPERLINK("C:\Users\franc\OneDrive\Documentos\MALENTIN KARIME\BANCO ESTADO\2012 DEPTO ESCRITURAS fata\NOTARIA 2009\BANCO DEL DESARROLLO\prendas\2008\HERMAN VARAS.doc", "Abrir Documento")</f>
        <v>0</v>
      </c>
      <c r="D14432" t="s">
        <v>23500</v>
      </c>
      <c r="E14432" t="s">
        <v>36907</v>
      </c>
    </row>
    <row r="14433" spans="1:5">
      <c r="A14433" t="s">
        <v>6</v>
      </c>
      <c r="B14433" t="s">
        <v>14438</v>
      </c>
      <c r="C14433">
        <f>HYPERLINK("C:\Users\franc\OneDrive\Documentos\MALENTIN KARIME\BANCO ESTADO\2012 DEPTO ESCRITURAS fata\NOTARIA 2009\BANCO DEL DESARROLLO\prendas\2008\CIRO BARRIOS.doc", "Abrir Documento")</f>
        <v>0</v>
      </c>
      <c r="D14433" t="s">
        <v>23500</v>
      </c>
      <c r="E14433" t="s">
        <v>36908</v>
      </c>
    </row>
    <row r="14434" spans="1:5">
      <c r="A14434" t="s">
        <v>6</v>
      </c>
      <c r="B14434" t="s">
        <v>14439</v>
      </c>
      <c r="C14434">
        <f>HYPERLINK("C:\Users\franc\OneDrive\Documentos\MALENTIN KARIME\BANCO ESTADO\2012 DEPTO ESCRITURAS fata\NOTARIA 2009\BANCO DEL DESARROLLO\prendas\2008\CIRO BARRIOS EXTRACTO (MANLIO METTIFOGO).doc", "Abrir Documento")</f>
        <v>0</v>
      </c>
      <c r="D14434" t="s">
        <v>23500</v>
      </c>
      <c r="E14434" t="s">
        <v>36909</v>
      </c>
    </row>
    <row r="14435" spans="1:5">
      <c r="A14435" t="s">
        <v>6</v>
      </c>
      <c r="B14435" t="s">
        <v>14440</v>
      </c>
      <c r="C14435">
        <f>HYPERLINK("C:\Users\franc\OneDrive\Documentos\MALENTIN KARIME\BANCO ESTADO\2012 DEPTO ESCRITURAS fata\NOTARIA 2009\BANCO DEL DESARROLLO\prendas\2008\CARLOS ROJAS.doc", "Abrir Documento")</f>
        <v>0</v>
      </c>
      <c r="D14435" t="s">
        <v>23500</v>
      </c>
      <c r="E14435" t="s">
        <v>36910</v>
      </c>
    </row>
    <row r="14436" spans="1:5">
      <c r="A14436" t="s">
        <v>6</v>
      </c>
      <c r="B14436" t="s">
        <v>14441</v>
      </c>
      <c r="C14436">
        <f>HYPERLINK("C:\Users\franc\OneDrive\Documentos\MALENTIN KARIME\BANCO ESTADO\2012 DEPTO ESCRITURAS fata\NOTARIA 2009\BANCO DEL DESARROLLO\prendas\2008\CARLOS ROJAS   EXTRACTO.doc", "Abrir Documento")</f>
        <v>0</v>
      </c>
      <c r="D14436" t="s">
        <v>23500</v>
      </c>
      <c r="E14436" t="s">
        <v>36911</v>
      </c>
    </row>
    <row r="14437" spans="1:5">
      <c r="A14437" t="s">
        <v>6</v>
      </c>
      <c r="B14437" t="s">
        <v>14442</v>
      </c>
      <c r="C14437">
        <f>HYPERLINK("C:\Users\franc\OneDrive\Documentos\MALENTIN KARIME\BANCO ESTADO\2012 DEPTO ESCRITURAS fata\NOTARIA 2009\BANCO DEL DESARROLLO\prendas\2008\BERNARDO TAMBLAY.doc", "Abrir Documento")</f>
        <v>0</v>
      </c>
      <c r="D14437" t="s">
        <v>23500</v>
      </c>
      <c r="E14437" t="s">
        <v>36912</v>
      </c>
    </row>
    <row r="14438" spans="1:5">
      <c r="A14438" t="s">
        <v>6</v>
      </c>
      <c r="B14438" t="s">
        <v>14443</v>
      </c>
      <c r="C14438">
        <f>HYPERLINK("C:\Users\franc\OneDrive\Documentos\MALENTIN KARIME\BANCO ESTADO\2012 DEPTO ESCRITURAS fata\NOTARIA 2009\BANCO DEL DESARROLLO\prendas\2008\BERNARDO TAMBLAY EXTRACTO.doc", "Abrir Documento")</f>
        <v>0</v>
      </c>
      <c r="D14438" t="s">
        <v>23500</v>
      </c>
      <c r="E14438" t="s">
        <v>36913</v>
      </c>
    </row>
    <row r="14439" spans="1:5">
      <c r="A14439" t="s">
        <v>6</v>
      </c>
      <c r="B14439" t="s">
        <v>14444</v>
      </c>
      <c r="C14439">
        <f>HYPERLINK("C:\Users\franc\OneDrive\Documentos\MALENTIN KARIME\BANCO ESTADO\2012 DEPTO ESCRITURAS fata\NOTARIA 2009\BANCO DEL DESARROLLO\prendas\2007\VICTOR TORO.doc", "Abrir Documento")</f>
        <v>0</v>
      </c>
      <c r="D14439" t="s">
        <v>23500</v>
      </c>
      <c r="E14439" t="s">
        <v>36914</v>
      </c>
    </row>
    <row r="14440" spans="1:5">
      <c r="A14440" t="s">
        <v>6</v>
      </c>
      <c r="B14440" t="s">
        <v>14445</v>
      </c>
      <c r="C14440">
        <f>HYPERLINK("C:\Users\franc\OneDrive\Documentos\MALENTIN KARIME\BANCO ESTADO\2012 DEPTO ESCRITURAS fata\NOTARIA 2009\BANCO DEL DESARROLLO\prendas\2007\VICTOR TORO EXTRACTO.doc", "Abrir Documento")</f>
        <v>0</v>
      </c>
      <c r="D14440" t="s">
        <v>23500</v>
      </c>
      <c r="E14440" t="s">
        <v>36915</v>
      </c>
    </row>
    <row r="14441" spans="1:5">
      <c r="A14441" t="s">
        <v>6</v>
      </c>
      <c r="B14441" t="s">
        <v>14446</v>
      </c>
      <c r="C14441">
        <f>HYPERLINK("C:\Users\franc\OneDrive\Documentos\MALENTIN KARIME\BANCO ESTADO\2012 DEPTO ESCRITURAS fata\NOTARIA 2009\BANCO DEL DESARROLLO\prendas\2007\SOC. AGRIC. LOS ALAMOS LTDA..doc", "Abrir Documento")</f>
        <v>0</v>
      </c>
      <c r="D14441" t="s">
        <v>23500</v>
      </c>
      <c r="E14441" t="s">
        <v>36916</v>
      </c>
    </row>
    <row r="14442" spans="1:5">
      <c r="A14442" t="s">
        <v>6</v>
      </c>
      <c r="B14442" t="s">
        <v>14447</v>
      </c>
      <c r="C14442">
        <f>HYPERLINK("C:\Users\franc\OneDrive\Documentos\MALENTIN KARIME\BANCO ESTADO\2012 DEPTO ESCRITURAS fata\NOTARIA 2009\BANCO DEL DESARROLLO\prendas\2007\SANTA BARBARA.doc", "Abrir Documento")</f>
        <v>0</v>
      </c>
      <c r="D14442" t="s">
        <v>23500</v>
      </c>
      <c r="E14442" t="s">
        <v>36917</v>
      </c>
    </row>
    <row r="14443" spans="1:5">
      <c r="A14443" t="s">
        <v>6</v>
      </c>
      <c r="B14443" t="s">
        <v>14448</v>
      </c>
      <c r="C14443">
        <f>HYPERLINK("C:\Users\franc\OneDrive\Documentos\MALENTIN KARIME\BANCO ESTADO\2012 DEPTO ESCRITURAS fata\NOTARIA 2009\BANCO DEL DESARROLLO\prendas\2007\SANTA BARBARA EXTRACTO.doc", "Abrir Documento")</f>
        <v>0</v>
      </c>
      <c r="D14443" t="s">
        <v>23500</v>
      </c>
      <c r="E14443" t="s">
        <v>36918</v>
      </c>
    </row>
    <row r="14444" spans="1:5">
      <c r="A14444" t="s">
        <v>6</v>
      </c>
      <c r="B14444" t="s">
        <v>14449</v>
      </c>
      <c r="C14444">
        <f>HYPERLINK("C:\Users\franc\OneDrive\Documentos\MALENTIN KARIME\BANCO ESTADO\2012 DEPTO ESCRITURAS fata\NOTARIA 2009\BANCO DEL DESARROLLO\prendas\2007\SAMUEL CASTILLO.doc", "Abrir Documento")</f>
        <v>0</v>
      </c>
      <c r="D14444" t="s">
        <v>23500</v>
      </c>
      <c r="E14444" t="s">
        <v>36919</v>
      </c>
    </row>
    <row r="14445" spans="1:5">
      <c r="A14445" t="s">
        <v>6</v>
      </c>
      <c r="B14445" t="s">
        <v>14450</v>
      </c>
      <c r="C14445">
        <f>HYPERLINK("C:\Users\franc\OneDrive\Documentos\MALENTIN KARIME\BANCO ESTADO\2012 DEPTO ESCRITURAS fata\NOTARIA 2009\BANCO DEL DESARROLLO\prendas\2007\SAMUEL CASTILLO EXTRACTO.doc", "Abrir Documento")</f>
        <v>0</v>
      </c>
      <c r="D14445" t="s">
        <v>23500</v>
      </c>
      <c r="E14445" t="s">
        <v>36920</v>
      </c>
    </row>
    <row r="14446" spans="1:5">
      <c r="A14446" t="s">
        <v>6</v>
      </c>
      <c r="B14446" t="s">
        <v>14451</v>
      </c>
      <c r="C14446">
        <f>HYPERLINK("C:\Users\franc\OneDrive\Documentos\MALENTIN KARIME\BANCO ESTADO\2012 DEPTO ESCRITURAS fata\NOTARIA 2009\BANCO DEL DESARROLLO\prendas\2007\SALVADOR CASTILLO HONORES.doc", "Abrir Documento")</f>
        <v>0</v>
      </c>
      <c r="D14446" t="s">
        <v>23500</v>
      </c>
      <c r="E14446" t="s">
        <v>36921</v>
      </c>
    </row>
    <row r="14447" spans="1:5">
      <c r="A14447" t="s">
        <v>6</v>
      </c>
      <c r="B14447" t="s">
        <v>14452</v>
      </c>
      <c r="C14447">
        <f>HYPERLINK("C:\Users\franc\OneDrive\Documentos\MALENTIN KARIME\BANCO ESTADO\2012 DEPTO ESCRITURAS fata\NOTARIA 2009\BANCO DEL DESARROLLO\prendas\2007\RENE URZUA GOMEZ.doc", "Abrir Documento")</f>
        <v>0</v>
      </c>
      <c r="D14447" t="s">
        <v>23500</v>
      </c>
      <c r="E14447" t="s">
        <v>36922</v>
      </c>
    </row>
    <row r="14448" spans="1:5">
      <c r="A14448" t="s">
        <v>6</v>
      </c>
      <c r="B14448" t="s">
        <v>14453</v>
      </c>
      <c r="C14448">
        <f>HYPERLINK("C:\Users\franc\OneDrive\Documentos\MALENTIN KARIME\BANCO ESTADO\2012 DEPTO ESCRITURAS fata\NOTARIA 2009\BANCO DEL DESARROLLO\prendas\2007\RENE URZUA extracto.doc", "Abrir Documento")</f>
        <v>0</v>
      </c>
      <c r="D14448" t="s">
        <v>23500</v>
      </c>
      <c r="E14448" t="s">
        <v>36923</v>
      </c>
    </row>
    <row r="14449" spans="1:5">
      <c r="A14449" t="s">
        <v>6</v>
      </c>
      <c r="B14449" t="s">
        <v>14454</v>
      </c>
      <c r="C14449">
        <f>HYPERLINK("C:\Users\franc\OneDrive\Documentos\MALENTIN KARIME\BANCO ESTADO\2012 DEPTO ESCRITURAS fata\NOTARIA 2009\BANCO DEL DESARROLLO\prendas\2007\RAMON LUNA.doc", "Abrir Documento")</f>
        <v>0</v>
      </c>
      <c r="D14449" t="s">
        <v>23500</v>
      </c>
      <c r="E14449" t="s">
        <v>36924</v>
      </c>
    </row>
    <row r="14450" spans="1:5">
      <c r="A14450" t="s">
        <v>6</v>
      </c>
      <c r="B14450" t="s">
        <v>14455</v>
      </c>
      <c r="C14450">
        <f>HYPERLINK("C:\Users\franc\OneDrive\Documentos\MALENTIN KARIME\BANCO ESTADO\2012 DEPTO ESCRITURAS fata\NOTARIA 2009\BANCO DEL DESARROLLO\prendas\2007\RAMON LUNA EXTRACTO.doc", "Abrir Documento")</f>
        <v>0</v>
      </c>
      <c r="D14450" t="s">
        <v>23500</v>
      </c>
      <c r="E14450" t="s">
        <v>36925</v>
      </c>
    </row>
    <row r="14451" spans="1:5">
      <c r="A14451" t="s">
        <v>6</v>
      </c>
      <c r="B14451" t="s">
        <v>14456</v>
      </c>
      <c r="C14451">
        <f>HYPERLINK("C:\Users\franc\OneDrive\Documentos\MALENTIN KARIME\BANCO ESTADO\2012 DEPTO ESCRITURAS fata\NOTARIA 2009\BANCO DEL DESARROLLO\prendas\2007\POLO HEREDIA.doc", "Abrir Documento")</f>
        <v>0</v>
      </c>
      <c r="D14451" t="s">
        <v>23500</v>
      </c>
      <c r="E14451" t="s">
        <v>36926</v>
      </c>
    </row>
    <row r="14452" spans="1:5">
      <c r="A14452" t="s">
        <v>6</v>
      </c>
      <c r="B14452" t="s">
        <v>14457</v>
      </c>
      <c r="C14452">
        <f>HYPERLINK("C:\Users\franc\OneDrive\Documentos\MALENTIN KARIME\BANCO ESTADO\2012 DEPTO ESCRITURAS fata\NOTARIA 2009\BANCO DEL DESARROLLO\prendas\2007\POLO HEREDIA PLANTACION  EXT.doc", "Abrir Documento")</f>
        <v>0</v>
      </c>
      <c r="D14452" t="s">
        <v>23500</v>
      </c>
      <c r="E14452" t="s">
        <v>36927</v>
      </c>
    </row>
    <row r="14453" spans="1:5">
      <c r="A14453" t="s">
        <v>6</v>
      </c>
      <c r="B14453" t="s">
        <v>14458</v>
      </c>
      <c r="C14453">
        <f>HYPERLINK("C:\Users\franc\OneDrive\Documentos\MALENTIN KARIME\BANCO ESTADO\2012 DEPTO ESCRITURAS fata\NOTARIA 2009\BANCO DEL DESARROLLO\prendas\2007\POLO HEREDIA packing EXT.doc", "Abrir Documento")</f>
        <v>0</v>
      </c>
      <c r="D14453" t="s">
        <v>23500</v>
      </c>
      <c r="E14453" t="s">
        <v>36928</v>
      </c>
    </row>
    <row r="14454" spans="1:5">
      <c r="A14454" t="s">
        <v>6</v>
      </c>
      <c r="B14454" t="s">
        <v>14459</v>
      </c>
      <c r="C14454">
        <f>HYPERLINK("C:\Users\franc\OneDrive\Documentos\MALENTIN KARIME\BANCO ESTADO\2012 DEPTO ESCRITURAS fata\NOTARIA 2009\BANCO DEL DESARROLLO\prendas\2007\POLO HEREDIA (2) PACKING.doc", "Abrir Documento")</f>
        <v>0</v>
      </c>
      <c r="D14454" t="s">
        <v>23500</v>
      </c>
      <c r="E14454" t="s">
        <v>36929</v>
      </c>
    </row>
    <row r="14455" spans="1:5">
      <c r="A14455" t="s">
        <v>6</v>
      </c>
      <c r="B14455" t="s">
        <v>14460</v>
      </c>
      <c r="C14455">
        <f>HYPERLINK("C:\Users\franc\OneDrive\Documentos\MALENTIN KARIME\BANCO ESTADO\2012 DEPTO ESCRITURAS fata\NOTARIA 2009\BANCO DEL DESARROLLO\prendas\2007\NORA AGUIRRE FLORES.doc", "Abrir Documento")</f>
        <v>0</v>
      </c>
      <c r="D14455" t="s">
        <v>23500</v>
      </c>
      <c r="E14455" t="s">
        <v>36930</v>
      </c>
    </row>
    <row r="14456" spans="1:5">
      <c r="A14456" t="s">
        <v>6</v>
      </c>
      <c r="B14456" t="s">
        <v>14461</v>
      </c>
      <c r="C14456">
        <f>HYPERLINK("C:\Users\franc\OneDrive\Documentos\MALENTIN KARIME\BANCO ESTADO\2012 DEPTO ESCRITURAS fata\NOTARIA 2009\BANCO DEL DESARROLLO\prendas\2007\NORA AGUIRRE EXTRACTO.doc", "Abrir Documento")</f>
        <v>0</v>
      </c>
      <c r="D14456" t="s">
        <v>23500</v>
      </c>
      <c r="E14456" t="s">
        <v>36931</v>
      </c>
    </row>
    <row r="14457" spans="1:5">
      <c r="A14457" t="s">
        <v>6</v>
      </c>
      <c r="B14457" t="s">
        <v>14462</v>
      </c>
      <c r="C14457">
        <f>HYPERLINK("C:\Users\franc\OneDrive\Documentos\MALENTIN KARIME\BANCO ESTADO\2012 DEPTO ESCRITURAS fata\NOTARIA 2009\BANCO DEL DESARROLLO\prendas\2007\NIBALDO ORTIZ ORTIZ.doc", "Abrir Documento")</f>
        <v>0</v>
      </c>
      <c r="D14457" t="s">
        <v>23500</v>
      </c>
      <c r="E14457" t="s">
        <v>36932</v>
      </c>
    </row>
    <row r="14458" spans="1:5">
      <c r="A14458" t="s">
        <v>6</v>
      </c>
      <c r="B14458" t="s">
        <v>14463</v>
      </c>
      <c r="C14458">
        <f>HYPERLINK("C:\Users\franc\OneDrive\Documentos\MALENTIN KARIME\BANCO ESTADO\2012 DEPTO ESCRITURAS fata\NOTARIA 2009\BANCO DEL DESARROLLO\prendas\2007\NIBALDO ORTIZ EXTRACTO.doc", "Abrir Documento")</f>
        <v>0</v>
      </c>
      <c r="D14458" t="s">
        <v>23500</v>
      </c>
      <c r="E14458" t="s">
        <v>36933</v>
      </c>
    </row>
    <row r="14459" spans="1:5">
      <c r="A14459" t="s">
        <v>6</v>
      </c>
      <c r="B14459" t="s">
        <v>14464</v>
      </c>
      <c r="C14459">
        <f>HYPERLINK("C:\Users\franc\OneDrive\Documentos\MALENTIN KARIME\BANCO ESTADO\2012 DEPTO ESCRITURAS fata\NOTARIA 2009\BANCO DEL DESARROLLO\prendas\2007\MARIA HERNANDEZ.doc", "Abrir Documento")</f>
        <v>0</v>
      </c>
      <c r="D14459" t="s">
        <v>23500</v>
      </c>
      <c r="E14459" t="s">
        <v>36934</v>
      </c>
    </row>
    <row r="14460" spans="1:5">
      <c r="A14460" t="s">
        <v>6</v>
      </c>
      <c r="B14460" t="s">
        <v>14465</v>
      </c>
      <c r="C14460">
        <f>HYPERLINK("C:\Users\franc\OneDrive\Documentos\MALENTIN KARIME\BANCO ESTADO\2012 DEPTO ESCRITURAS fata\NOTARIA 2009\BANCO DEL DESARROLLO\prendas\2007\MANUEL ROBLES.doc", "Abrir Documento")</f>
        <v>0</v>
      </c>
      <c r="D14460" t="s">
        <v>23500</v>
      </c>
      <c r="E14460" t="s">
        <v>36935</v>
      </c>
    </row>
    <row r="14461" spans="1:5">
      <c r="A14461" t="s">
        <v>6</v>
      </c>
      <c r="B14461" t="s">
        <v>14466</v>
      </c>
      <c r="C14461">
        <f>HYPERLINK("C:\Users\franc\OneDrive\Documentos\MALENTIN KARIME\BANCO ESTADO\2012 DEPTO ESCRITURAS fata\NOTARIA 2009\BANCO DEL DESARROLLO\prendas\2007\MANUEL ROBLES EXTRACTO.doc", "Abrir Documento")</f>
        <v>0</v>
      </c>
      <c r="D14461" t="s">
        <v>23500</v>
      </c>
      <c r="E14461" t="s">
        <v>36936</v>
      </c>
    </row>
    <row r="14462" spans="1:5">
      <c r="A14462" t="s">
        <v>6</v>
      </c>
      <c r="B14462" t="s">
        <v>14467</v>
      </c>
      <c r="C14462">
        <f>HYPERLINK("C:\Users\franc\OneDrive\Documentos\MALENTIN KARIME\BANCO ESTADO\2012 DEPTO ESCRITURAS fata\NOTARIA 2009\BANCO DEL DESARROLLO\prendas\2007\MANUEL CASTAÑEDA.doc", "Abrir Documento")</f>
        <v>0</v>
      </c>
      <c r="D14462" t="s">
        <v>23500</v>
      </c>
      <c r="E14462" t="s">
        <v>36937</v>
      </c>
    </row>
    <row r="14463" spans="1:5">
      <c r="A14463" t="s">
        <v>6</v>
      </c>
      <c r="B14463" t="s">
        <v>14468</v>
      </c>
      <c r="C14463">
        <f>HYPERLINK("C:\Users\franc\OneDrive\Documentos\MALENTIN KARIME\BANCO ESTADO\2012 DEPTO ESCRITURAS fata\NOTARIA 2009\BANCO DEL DESARROLLO\prendas\2007\MANUEL CASTAÑEDA EXTRACTO.doc", "Abrir Documento")</f>
        <v>0</v>
      </c>
      <c r="D14463" t="s">
        <v>23500</v>
      </c>
      <c r="E14463" t="s">
        <v>36938</v>
      </c>
    </row>
    <row r="14464" spans="1:5">
      <c r="A14464" t="s">
        <v>6</v>
      </c>
      <c r="B14464" t="s">
        <v>14469</v>
      </c>
      <c r="C14464">
        <f>HYPERLINK("C:\Users\franc\OneDrive\Documentos\MALENTIN KARIME\BANCO ESTADO\2012 DEPTO ESCRITURAS fata\NOTARIA 2009\BANCO DEL DESARROLLO\prendas\2007\LUIS GARCIA.doc", "Abrir Documento")</f>
        <v>0</v>
      </c>
      <c r="D14464" t="s">
        <v>23500</v>
      </c>
      <c r="E14464" t="s">
        <v>36939</v>
      </c>
    </row>
    <row r="14465" spans="1:5">
      <c r="A14465" t="s">
        <v>6</v>
      </c>
      <c r="B14465" t="s">
        <v>14470</v>
      </c>
      <c r="C14465">
        <f>HYPERLINK("C:\Users\franc\OneDrive\Documentos\MALENTIN KARIME\BANCO ESTADO\2012 DEPTO ESCRITURAS fata\NOTARIA 2009\BANCO DEL DESARROLLO\prendas\2007\LUIS GARCIA GONZALEZ.doc", "Abrir Documento")</f>
        <v>0</v>
      </c>
      <c r="D14465" t="s">
        <v>23500</v>
      </c>
      <c r="E14465" t="s">
        <v>36940</v>
      </c>
    </row>
    <row r="14466" spans="1:5">
      <c r="A14466" t="s">
        <v>6</v>
      </c>
      <c r="B14466" t="s">
        <v>14471</v>
      </c>
      <c r="C14466">
        <f>HYPERLINK("C:\Users\franc\OneDrive\Documentos\MALENTIN KARIME\BANCO ESTADO\2012 DEPTO ESCRITURAS fata\NOTARIA 2009\BANCO DEL DESARROLLO\prendas\2007\LIDIA GONZALEZ EXTRACTO.doc", "Abrir Documento")</f>
        <v>0</v>
      </c>
      <c r="D14466" t="s">
        <v>23500</v>
      </c>
      <c r="E14466" t="s">
        <v>36941</v>
      </c>
    </row>
    <row r="14467" spans="1:5">
      <c r="A14467" t="s">
        <v>6</v>
      </c>
      <c r="B14467" t="s">
        <v>14472</v>
      </c>
      <c r="C14467">
        <f>HYPERLINK("C:\Users\franc\OneDrive\Documentos\MALENTIN KARIME\BANCO ESTADO\2012 DEPTO ESCRITURAS fata\NOTARIA 2009\BANCO DEL DESARROLLO\prendas\2007\JULIO ZEPEDA RAMIREZ.doc", "Abrir Documento")</f>
        <v>0</v>
      </c>
      <c r="D14467" t="s">
        <v>23500</v>
      </c>
      <c r="E14467" t="s">
        <v>36942</v>
      </c>
    </row>
    <row r="14468" spans="1:5">
      <c r="A14468" t="s">
        <v>6</v>
      </c>
      <c r="B14468" t="s">
        <v>14473</v>
      </c>
      <c r="C14468">
        <f>HYPERLINK("C:\Users\franc\OneDrive\Documentos\MALENTIN KARIME\BANCO ESTADO\2012 DEPTO ESCRITURAS fata\NOTARIA 2009\BANCO DEL DESARROLLO\prendas\2007\JULIO ZEPEDA EXTRACTO.doc", "Abrir Documento")</f>
        <v>0</v>
      </c>
      <c r="D14468" t="s">
        <v>23500</v>
      </c>
      <c r="E14468" t="s">
        <v>36943</v>
      </c>
    </row>
    <row r="14469" spans="1:5">
      <c r="A14469" t="s">
        <v>6</v>
      </c>
      <c r="B14469" t="s">
        <v>14474</v>
      </c>
      <c r="C14469">
        <f>HYPERLINK("C:\Users\franc\OneDrive\Documentos\MALENTIN KARIME\BANCO ESTADO\2012 DEPTO ESCRITURAS fata\NOTARIA 2009\BANCO DEL DESARROLLO\prendas\2007\JORGE ROJAS.doc", "Abrir Documento")</f>
        <v>0</v>
      </c>
      <c r="D14469" t="s">
        <v>23500</v>
      </c>
      <c r="E14469" t="s">
        <v>36944</v>
      </c>
    </row>
    <row r="14470" spans="1:5">
      <c r="A14470" t="s">
        <v>6</v>
      </c>
      <c r="B14470" t="s">
        <v>14475</v>
      </c>
      <c r="C14470">
        <f>HYPERLINK("C:\Users\franc\OneDrive\Documentos\MALENTIN KARIME\BANCO ESTADO\2012 DEPTO ESCRITURAS fata\NOTARIA 2009\BANCO DEL DESARROLLO\prendas\2007\JORGE ROJAS EXTRACTO.doc", "Abrir Documento")</f>
        <v>0</v>
      </c>
      <c r="D14470" t="s">
        <v>23500</v>
      </c>
      <c r="E14470" t="s">
        <v>36945</v>
      </c>
    </row>
    <row r="14471" spans="1:5">
      <c r="A14471" t="s">
        <v>6</v>
      </c>
      <c r="B14471" t="s">
        <v>14476</v>
      </c>
      <c r="C14471">
        <f>HYPERLINK("C:\Users\franc\OneDrive\Documentos\MALENTIN KARIME\BANCO ESTADO\2012 DEPTO ESCRITURAS fata\NOTARIA 2009\BANCO DEL DESARROLLO\prendas\2007\JAVIER AROS.doc", "Abrir Documento")</f>
        <v>0</v>
      </c>
      <c r="D14471" t="s">
        <v>23500</v>
      </c>
      <c r="E14471" t="s">
        <v>36946</v>
      </c>
    </row>
    <row r="14472" spans="1:5">
      <c r="A14472" t="s">
        <v>6</v>
      </c>
      <c r="B14472" t="s">
        <v>14477</v>
      </c>
      <c r="C14472">
        <f>HYPERLINK("C:\Users\franc\OneDrive\Documentos\MALENTIN KARIME\BANCO ESTADO\2012 DEPTO ESCRITURAS fata\NOTARIA 2009\BANCO DEL DESARROLLO\prendas\2007\JAVIER AROS EXTRACTO.doc", "Abrir Documento")</f>
        <v>0</v>
      </c>
      <c r="D14472" t="s">
        <v>23500</v>
      </c>
      <c r="E14472" t="s">
        <v>36947</v>
      </c>
    </row>
    <row r="14473" spans="1:5">
      <c r="A14473" t="s">
        <v>6</v>
      </c>
      <c r="B14473" t="s">
        <v>14478</v>
      </c>
      <c r="C14473">
        <f>HYPERLINK("C:\Users\franc\OneDrive\Documentos\MALENTIN KARIME\BANCO ESTADO\2012 DEPTO ESCRITURAS fata\NOTARIA 2009\BANCO DEL DESARROLLO\prendas\2007\JANET ESPINOSA.doc", "Abrir Documento")</f>
        <v>0</v>
      </c>
      <c r="D14473" t="s">
        <v>23500</v>
      </c>
      <c r="E14473" t="s">
        <v>36948</v>
      </c>
    </row>
    <row r="14474" spans="1:5">
      <c r="A14474" t="s">
        <v>6</v>
      </c>
      <c r="B14474" t="s">
        <v>14479</v>
      </c>
      <c r="C14474">
        <f>HYPERLINK("C:\Users\franc\OneDrive\Documentos\MALENTIN KARIME\BANCO ESTADO\2012 DEPTO ESCRITURAS fata\NOTARIA 2009\BANCO DEL DESARROLLO\prendas\2007\JANET ESPINOSA EXTRACTO.doc", "Abrir Documento")</f>
        <v>0</v>
      </c>
      <c r="D14474" t="s">
        <v>23500</v>
      </c>
      <c r="E14474" t="s">
        <v>36949</v>
      </c>
    </row>
    <row r="14475" spans="1:5">
      <c r="A14475" t="s">
        <v>6</v>
      </c>
      <c r="B14475" t="s">
        <v>14480</v>
      </c>
      <c r="C14475">
        <f>HYPERLINK("C:\Users\franc\OneDrive\Documentos\MALENTIN KARIME\BANCO ESTADO\2012 DEPTO ESCRITURAS fata\NOTARIA 2009\BANCO DEL DESARROLLO\prendas\2007\HERNAN CASTRO PIZARRO.doc", "Abrir Documento")</f>
        <v>0</v>
      </c>
      <c r="D14475" t="s">
        <v>23500</v>
      </c>
      <c r="E14475" t="s">
        <v>36950</v>
      </c>
    </row>
    <row r="14476" spans="1:5">
      <c r="A14476" t="s">
        <v>6</v>
      </c>
      <c r="B14476" t="s">
        <v>14481</v>
      </c>
      <c r="C14476">
        <f>HYPERLINK("C:\Users\franc\OneDrive\Documentos\MALENTIN KARIME\BANCO ESTADO\2012 DEPTO ESCRITURAS fata\NOTARIA 2009\BANCO DEL DESARROLLO\prendas\2007\GABRIEL ROBLES.doc", "Abrir Documento")</f>
        <v>0</v>
      </c>
      <c r="D14476" t="s">
        <v>23500</v>
      </c>
      <c r="E14476" t="s">
        <v>36951</v>
      </c>
    </row>
    <row r="14477" spans="1:5">
      <c r="A14477" t="s">
        <v>6</v>
      </c>
      <c r="B14477" t="s">
        <v>14482</v>
      </c>
      <c r="C14477">
        <f>HYPERLINK("C:\Users\franc\OneDrive\Documentos\MALENTIN KARIME\BANCO ESTADO\2012 DEPTO ESCRITURAS fata\NOTARIA 2009\BANCO DEL DESARROLLO\prendas\2007\ERWIN JIMENEZ.doc", "Abrir Documento")</f>
        <v>0</v>
      </c>
      <c r="D14477" t="s">
        <v>23500</v>
      </c>
      <c r="E14477" t="s">
        <v>36952</v>
      </c>
    </row>
    <row r="14478" spans="1:5">
      <c r="A14478" t="s">
        <v>6</v>
      </c>
      <c r="B14478" t="s">
        <v>14483</v>
      </c>
      <c r="C14478">
        <f>HYPERLINK("C:\Users\franc\OneDrive\Documentos\MALENTIN KARIME\BANCO ESTADO\2012 DEPTO ESCRITURAS fata\NOTARIA 2009\BANCO DEL DESARROLLO\prendas\2007\ERWIN JIMENEZ MERCADO extracto.doc", "Abrir Documento")</f>
        <v>0</v>
      </c>
      <c r="D14478" t="s">
        <v>23500</v>
      </c>
      <c r="E14478" t="s">
        <v>36953</v>
      </c>
    </row>
    <row r="14479" spans="1:5">
      <c r="A14479" t="s">
        <v>6</v>
      </c>
      <c r="B14479" t="s">
        <v>14484</v>
      </c>
      <c r="C14479">
        <f>HYPERLINK("C:\Users\franc\OneDrive\Documentos\MALENTIN KARIME\BANCO ESTADO\2012 DEPTO ESCRITURAS fata\NOTARIA 2009\BANCO DEL DESARROLLO\prendas\2007\ELIZABETH JOFRE.doc", "Abrir Documento")</f>
        <v>0</v>
      </c>
      <c r="D14479" t="s">
        <v>23500</v>
      </c>
      <c r="E14479" t="s">
        <v>36954</v>
      </c>
    </row>
    <row r="14480" spans="1:5">
      <c r="A14480" t="s">
        <v>6</v>
      </c>
      <c r="B14480" t="s">
        <v>14485</v>
      </c>
      <c r="C14480">
        <f>HYPERLINK("C:\Users\franc\OneDrive\Documentos\MALENTIN KARIME\BANCO ESTADO\2012 DEPTO ESCRITURAS fata\NOTARIA 2009\BANCO DEL DESARROLLO\prendas\2007\ELIZABETH JOFRE EXTRACTO.doc", "Abrir Documento")</f>
        <v>0</v>
      </c>
      <c r="D14480" t="s">
        <v>23500</v>
      </c>
      <c r="E14480" t="s">
        <v>36955</v>
      </c>
    </row>
    <row r="14481" spans="1:5">
      <c r="A14481" t="s">
        <v>6</v>
      </c>
      <c r="B14481" t="s">
        <v>14486</v>
      </c>
      <c r="C14481">
        <f>HYPERLINK("C:\Users\franc\OneDrive\Documentos\MALENTIN KARIME\BANCO ESTADO\2012 DEPTO ESCRITURAS fata\NOTARIA 2009\BANCO DEL DESARROLLO\prendas\2007\ADOLFO MONTENEGRO VEAS.doc", "Abrir Documento")</f>
        <v>0</v>
      </c>
      <c r="D14481" t="s">
        <v>23500</v>
      </c>
      <c r="E14481" t="s">
        <v>36956</v>
      </c>
    </row>
    <row r="14482" spans="1:5">
      <c r="A14482" t="s">
        <v>6</v>
      </c>
      <c r="B14482" t="s">
        <v>14487</v>
      </c>
      <c r="C14482">
        <f>HYPERLINK("C:\Users\franc\OneDrive\Documentos\MALENTIN KARIME\BANCO ESTADO\2012 DEPTO ESCRITURAS fata\NOTARIA 2009\BANCO DEL DESARROLLO\prendas\2007\ADOLFO MONTENEGRO  EXTRACTO.doc", "Abrir Documento")</f>
        <v>0</v>
      </c>
      <c r="D14482" t="s">
        <v>23500</v>
      </c>
      <c r="E14482" t="s">
        <v>36957</v>
      </c>
    </row>
    <row r="14483" spans="1:5">
      <c r="A14483" t="s">
        <v>6</v>
      </c>
      <c r="B14483" t="s">
        <v>14488</v>
      </c>
      <c r="C14483">
        <f>HYPERLINK("C:\Users\franc\OneDrive\Documentos\MALENTIN KARIME\BANCO ESTADO\2012 DEPTO ESCRITURAS fata\NOTARIA 2009\BANCO DEL DESARROLLO\prendas\YAMIL ROJO.doc", "Abrir Documento")</f>
        <v>0</v>
      </c>
      <c r="D14483" t="s">
        <v>23500</v>
      </c>
      <c r="E14483" t="s">
        <v>36958</v>
      </c>
    </row>
    <row r="14484" spans="1:5">
      <c r="A14484" t="s">
        <v>6</v>
      </c>
      <c r="B14484" t="s">
        <v>14489</v>
      </c>
      <c r="C14484">
        <f>HYPERLINK("C:\Users\franc\OneDrive\Documentos\MALENTIN KARIME\BANCO ESTADO\2012 DEPTO ESCRITURAS fata\NOTARIA 2009\BANCO DEL DESARROLLO\prendas\VICTOR CORTES.doc", "Abrir Documento")</f>
        <v>0</v>
      </c>
      <c r="D14484" t="s">
        <v>23500</v>
      </c>
      <c r="E14484" t="s">
        <v>36959</v>
      </c>
    </row>
    <row r="14485" spans="1:5">
      <c r="A14485" t="s">
        <v>6</v>
      </c>
      <c r="B14485" t="s">
        <v>14490</v>
      </c>
      <c r="C14485">
        <f>HYPERLINK("C:\Users\franc\OneDrive\Documentos\MALENTIN KARIME\BANCO ESTADO\2012 DEPTO ESCRITURAS fata\NOTARIA 2009\BANCO DEL DESARROLLO\prendas\VICTOR CORTES EXT.doc", "Abrir Documento")</f>
        <v>0</v>
      </c>
      <c r="D14485" t="s">
        <v>23500</v>
      </c>
      <c r="E14485" t="s">
        <v>36960</v>
      </c>
    </row>
    <row r="14486" spans="1:5">
      <c r="A14486" t="s">
        <v>6</v>
      </c>
      <c r="B14486" t="s">
        <v>14491</v>
      </c>
      <c r="C14486">
        <f>HYPERLINK("C:\Users\franc\OneDrive\Documentos\MALENTIN KARIME\BANCO ESTADO\2012 DEPTO ESCRITURAS fata\NOTARIA 2009\BANCO DEL DESARROLLO\prendas\SONIA MADRID.doc", "Abrir Documento")</f>
        <v>0</v>
      </c>
      <c r="D14486" t="s">
        <v>23500</v>
      </c>
      <c r="E14486" t="s">
        <v>36961</v>
      </c>
    </row>
    <row r="14487" spans="1:5">
      <c r="A14487" t="s">
        <v>6</v>
      </c>
      <c r="B14487" t="s">
        <v>14492</v>
      </c>
      <c r="C14487">
        <f>HYPERLINK("C:\Users\franc\OneDrive\Documentos\MALENTIN KARIME\BANCO ESTADO\2012 DEPTO ESCRITURAS fata\NOTARIA 2009\BANCO DEL DESARROLLO\prendas\SONIA MADRID EXTRACTO.doc", "Abrir Documento")</f>
        <v>0</v>
      </c>
      <c r="D14487" t="s">
        <v>23500</v>
      </c>
      <c r="E14487" t="s">
        <v>36962</v>
      </c>
    </row>
    <row r="14488" spans="1:5">
      <c r="A14488" t="s">
        <v>6</v>
      </c>
      <c r="B14488" t="s">
        <v>14493</v>
      </c>
      <c r="C14488">
        <f>HYPERLINK("C:\Users\franc\OneDrive\Documentos\MALENTIN KARIME\BANCO ESTADO\2012 DEPTO ESCRITURAS fata\NOTARIA 2009\BANCO DEL DESARROLLO\prendas\SOC. SAN LUIS EXTRACO.doc", "Abrir Documento")</f>
        <v>0</v>
      </c>
      <c r="D14488" t="s">
        <v>23500</v>
      </c>
      <c r="E14488" t="s">
        <v>36963</v>
      </c>
    </row>
    <row r="14489" spans="1:5">
      <c r="A14489" t="s">
        <v>6</v>
      </c>
      <c r="B14489" t="s">
        <v>14494</v>
      </c>
      <c r="C14489">
        <f>HYPERLINK("C:\Users\franc\OneDrive\Documentos\MALENTIN KARIME\BANCO ESTADO\2012 DEPTO ESCRITURAS fata\NOTARIA 2009\BANCO DEL DESARROLLO\prendas\SOC. MITIMAE.doc", "Abrir Documento")</f>
        <v>0</v>
      </c>
      <c r="D14489" t="s">
        <v>23500</v>
      </c>
      <c r="E14489" t="s">
        <v>36964</v>
      </c>
    </row>
    <row r="14490" spans="1:5">
      <c r="A14490" t="s">
        <v>6</v>
      </c>
      <c r="B14490" t="s">
        <v>14495</v>
      </c>
      <c r="C14490">
        <f>HYPERLINK("C:\Users\franc\OneDrive\Documentos\MALENTIN KARIME\BANCO ESTADO\2012 DEPTO ESCRITURAS fata\NOTARIA 2009\BANCO DEL DESARROLLO\prendas\SOC. MITIMAE EXT.doc", "Abrir Documento")</f>
        <v>0</v>
      </c>
      <c r="D14490" t="s">
        <v>23500</v>
      </c>
      <c r="E14490" t="s">
        <v>36965</v>
      </c>
    </row>
    <row r="14491" spans="1:5">
      <c r="A14491" t="s">
        <v>6</v>
      </c>
      <c r="B14491" t="s">
        <v>14496</v>
      </c>
      <c r="C14491">
        <f>HYPERLINK("C:\Users\franc\OneDrive\Documentos\MALENTIN KARIME\BANCO ESTADO\2012 DEPTO ESCRITURAS fata\NOTARIA 2009\BANCO DEL DESARROLLO\prendas\SOC. CONDE Y DIAZ.doc", "Abrir Documento")</f>
        <v>0</v>
      </c>
      <c r="D14491" t="s">
        <v>23500</v>
      </c>
      <c r="E14491" t="s">
        <v>36966</v>
      </c>
    </row>
    <row r="14492" spans="1:5">
      <c r="A14492" t="s">
        <v>6</v>
      </c>
      <c r="B14492" t="s">
        <v>14497</v>
      </c>
      <c r="C14492">
        <f>HYPERLINK("C:\Users\franc\OneDrive\Documentos\MALENTIN KARIME\BANCO ESTADO\2012 DEPTO ESCRITURAS fata\NOTARIA 2009\BANCO DEL DESARROLLO\prendas\SOC. CONDE Y DIAZ EXT.doc", "Abrir Documento")</f>
        <v>0</v>
      </c>
      <c r="D14492" t="s">
        <v>23500</v>
      </c>
      <c r="E14492" t="s">
        <v>36967</v>
      </c>
    </row>
    <row r="14493" spans="1:5">
      <c r="A14493" t="s">
        <v>6</v>
      </c>
      <c r="B14493" t="s">
        <v>14498</v>
      </c>
      <c r="C14493">
        <f>HYPERLINK("C:\Users\franc\OneDrive\Documentos\MALENTIN KARIME\BANCO ESTADO\2012 DEPTO ESCRITURAS fata\NOTARIA 2009\BANCO DEL DESARROLLO\prendas\Soc Agric San Luis Ltda.doc", "Abrir Documento")</f>
        <v>0</v>
      </c>
      <c r="D14493" t="s">
        <v>23500</v>
      </c>
      <c r="E14493" t="s">
        <v>36968</v>
      </c>
    </row>
    <row r="14494" spans="1:5">
      <c r="A14494" t="s">
        <v>6</v>
      </c>
      <c r="B14494" t="s">
        <v>14499</v>
      </c>
      <c r="C14494">
        <f>HYPERLINK("C:\Users\franc\OneDrive\Documentos\MALENTIN KARIME\BANCO ESTADO\2012 DEPTO ESCRITURAS fata\NOTARIA 2009\BANCO DEL DESARROLLO\prendas\SCOTT WILLIAM HEIDMILLER.doc", "Abrir Documento")</f>
        <v>0</v>
      </c>
      <c r="D14494" t="s">
        <v>23500</v>
      </c>
      <c r="E14494" t="s">
        <v>36969</v>
      </c>
    </row>
    <row r="14495" spans="1:5">
      <c r="A14495" t="s">
        <v>6</v>
      </c>
      <c r="B14495" t="s">
        <v>14500</v>
      </c>
      <c r="C14495">
        <f>HYPERLINK("C:\Users\franc\OneDrive\Documentos\MALENTIN KARIME\BANCO ESTADO\2012 DEPTO ESCRITURAS fata\NOTARIA 2009\BANCO DEL DESARROLLO\prendas\SCOTT WILLIAM EXT.doc", "Abrir Documento")</f>
        <v>0</v>
      </c>
      <c r="D14495" t="s">
        <v>23500</v>
      </c>
      <c r="E14495" t="s">
        <v>36970</v>
      </c>
    </row>
    <row r="14496" spans="1:5">
      <c r="A14496" t="s">
        <v>6</v>
      </c>
      <c r="B14496" t="s">
        <v>14501</v>
      </c>
      <c r="C14496">
        <f>HYPERLINK("C:\Users\franc\OneDrive\Documentos\MALENTIN KARIME\BANCO ESTADO\2012 DEPTO ESCRITURAS fata\NOTARIA 2009\BANCO DEL DESARROLLO\prendas\SALVADOR CASTILLO EXTRACTO.doc", "Abrir Documento")</f>
        <v>0</v>
      </c>
      <c r="D14496" t="s">
        <v>23500</v>
      </c>
      <c r="E14496" t="s">
        <v>36971</v>
      </c>
    </row>
    <row r="14497" spans="1:5">
      <c r="A14497" t="s">
        <v>6</v>
      </c>
      <c r="B14497" t="s">
        <v>14502</v>
      </c>
      <c r="C14497">
        <f>HYPERLINK("C:\Users\franc\OneDrive\Documentos\MALENTIN KARIME\BANCO ESTADO\2012 DEPTO ESCRITURAS fata\NOTARIA 2009\BANCO DEL DESARROLLO\prendas\ROSA BRAVO EXTRACTO.doc", "Abrir Documento")</f>
        <v>0</v>
      </c>
      <c r="D14497" t="s">
        <v>23500</v>
      </c>
      <c r="E14497" t="s">
        <v>36972</v>
      </c>
    </row>
    <row r="14498" spans="1:5">
      <c r="A14498" t="s">
        <v>6</v>
      </c>
      <c r="B14498" t="s">
        <v>14503</v>
      </c>
      <c r="C14498">
        <f>HYPERLINK("C:\Users\franc\OneDrive\Documentos\MALENTIN KARIME\BANCO ESTADO\2012 DEPTO ESCRITURAS fata\NOTARIA 2009\BANCO DEL DESARROLLO\prendas\ROSA BRAVO - RENE URZUA.doc", "Abrir Documento")</f>
        <v>0</v>
      </c>
      <c r="D14498" t="s">
        <v>23500</v>
      </c>
      <c r="E14498" t="s">
        <v>36973</v>
      </c>
    </row>
    <row r="14499" spans="1:5">
      <c r="A14499" t="s">
        <v>6</v>
      </c>
      <c r="B14499" t="s">
        <v>14504</v>
      </c>
      <c r="C14499">
        <f>HYPERLINK("C:\Users\franc\OneDrive\Documentos\MALENTIN KARIME\BANCO ESTADO\2012 DEPTO ESCRITURAS fata\NOTARIA 2009\BANCO DEL DESARROLLO\prendas\RICARDO ALLENDE SENTIS.doc", "Abrir Documento")</f>
        <v>0</v>
      </c>
      <c r="D14499" t="s">
        <v>23500</v>
      </c>
      <c r="E14499" t="s">
        <v>36974</v>
      </c>
    </row>
    <row r="14500" spans="1:5">
      <c r="A14500" t="s">
        <v>6</v>
      </c>
      <c r="B14500" t="s">
        <v>14505</v>
      </c>
      <c r="C14500">
        <f>HYPERLINK("C:\Users\franc\OneDrive\Documentos\MALENTIN KARIME\BANCO ESTADO\2012 DEPTO ESCRITURAS fata\NOTARIA 2009\BANCO DEL DESARROLLO\prendas\RICARDO ALLENDE EXT.doc", "Abrir Documento")</f>
        <v>0</v>
      </c>
      <c r="D14500" t="s">
        <v>23500</v>
      </c>
      <c r="E14500" t="s">
        <v>36975</v>
      </c>
    </row>
    <row r="14501" spans="1:5">
      <c r="A14501" t="s">
        <v>6</v>
      </c>
      <c r="B14501" t="s">
        <v>14506</v>
      </c>
      <c r="C14501">
        <f>HYPERLINK("C:\Users\franc\OneDrive\Documentos\MALENTIN KARIME\BANCO ESTADO\2012 DEPTO ESCRITURAS fata\NOTARIA 2009\BANCO DEL DESARROLLO\prendas\PERSONERIA MARIO HUERTA.doc", "Abrir Documento")</f>
        <v>0</v>
      </c>
      <c r="D14501" t="s">
        <v>23500</v>
      </c>
      <c r="E14501" t="s">
        <v>36976</v>
      </c>
    </row>
    <row r="14502" spans="1:5">
      <c r="A14502" t="s">
        <v>6</v>
      </c>
      <c r="B14502" t="s">
        <v>14507</v>
      </c>
      <c r="C14502">
        <f>HYPERLINK("C:\Users\franc\OneDrive\Documentos\MALENTIN KARIME\BANCO ESTADO\2012 DEPTO ESCRITURAS fata\NOTARIA 2009\BANCO DEL DESARROLLO\prendas\PABLINO ROJAS.doc", "Abrir Documento")</f>
        <v>0</v>
      </c>
      <c r="D14502" t="s">
        <v>23500</v>
      </c>
      <c r="E14502" t="s">
        <v>36977</v>
      </c>
    </row>
    <row r="14503" spans="1:5">
      <c r="A14503" t="s">
        <v>6</v>
      </c>
      <c r="B14503" t="s">
        <v>14508</v>
      </c>
      <c r="C14503">
        <f>HYPERLINK("C:\Users\franc\OneDrive\Documentos\MALENTIN KARIME\BANCO ESTADO\2012 DEPTO ESCRITURAS fata\NOTARIA 2009\BANCO DEL DESARROLLO\prendas\OSCIEL BUGUEÑO EXTRACTO.doc", "Abrir Documento")</f>
        <v>0</v>
      </c>
      <c r="D14503" t="s">
        <v>23500</v>
      </c>
      <c r="E14503" t="s">
        <v>36978</v>
      </c>
    </row>
    <row r="14504" spans="1:5">
      <c r="A14504" t="s">
        <v>6</v>
      </c>
      <c r="B14504" t="s">
        <v>14509</v>
      </c>
      <c r="C14504">
        <f>HYPERLINK("C:\Users\franc\OneDrive\Documentos\MALENTIN KARIME\BANCO ESTADO\2012 DEPTO ESCRITURAS fata\NOTARIA 2009\BANCO DEL DESARROLLO\prendas\OSCIEL BUGUEÑO CARVAJAL.doc", "Abrir Documento")</f>
        <v>0</v>
      </c>
      <c r="D14504" t="s">
        <v>23500</v>
      </c>
      <c r="E14504" t="s">
        <v>36979</v>
      </c>
    </row>
    <row r="14505" spans="1:5">
      <c r="A14505" t="s">
        <v>6</v>
      </c>
      <c r="B14505" t="s">
        <v>14510</v>
      </c>
      <c r="C14505">
        <f>HYPERLINK("C:\Users\franc\OneDrive\Documentos\MALENTIN KARIME\BANCO ESTADO\2012 DEPTO ESCRITURAS fata\NOTARIA 2009\BANCO DEL DESARROLLO\prendas\ORLANDO DALBOSCO.doc", "Abrir Documento")</f>
        <v>0</v>
      </c>
      <c r="D14505" t="s">
        <v>23500</v>
      </c>
      <c r="E14505" t="s">
        <v>36980</v>
      </c>
    </row>
    <row r="14506" spans="1:5">
      <c r="A14506" t="s">
        <v>6</v>
      </c>
      <c r="B14506" t="s">
        <v>14511</v>
      </c>
      <c r="C14506">
        <f>HYPERLINK("C:\Users\franc\OneDrive\Documentos\MALENTIN KARIME\BANCO ESTADO\2012 DEPTO ESCRITURAS fata\NOTARIA 2009\BANCO DEL DESARROLLO\prendas\ORLANDO DALBOSCO EXT.doc", "Abrir Documento")</f>
        <v>0</v>
      </c>
      <c r="D14506" t="s">
        <v>23500</v>
      </c>
      <c r="E14506" t="s">
        <v>36981</v>
      </c>
    </row>
    <row r="14507" spans="1:5">
      <c r="A14507" t="s">
        <v>6</v>
      </c>
      <c r="B14507" t="s">
        <v>14512</v>
      </c>
      <c r="C14507">
        <f>HYPERLINK("C:\Users\franc\OneDrive\Documentos\MALENTIN KARIME\BANCO ESTADO\2012 DEPTO ESCRITURAS fata\NOTARIA 2009\BANCO DEL DESARROLLO\prendas\MODELO NOTARIO.doc", "Abrir Documento")</f>
        <v>0</v>
      </c>
      <c r="D14507" t="s">
        <v>23500</v>
      </c>
      <c r="E14507" t="s">
        <v>36982</v>
      </c>
    </row>
    <row r="14508" spans="1:5">
      <c r="A14508" t="s">
        <v>6</v>
      </c>
      <c r="B14508" t="s">
        <v>14513</v>
      </c>
      <c r="C14508">
        <f>HYPERLINK("C:\Users\franc\OneDrive\Documentos\MALENTIN KARIME\BANCO ESTADO\2012 DEPTO ESCRITURAS fata\NOTARIA 2009\BANCO DEL DESARROLLO\prendas\Misael Tapia EXT.doc", "Abrir Documento")</f>
        <v>0</v>
      </c>
      <c r="D14508" t="s">
        <v>23500</v>
      </c>
      <c r="E14508" t="s">
        <v>36983</v>
      </c>
    </row>
    <row r="14509" spans="1:5">
      <c r="A14509" t="s">
        <v>6</v>
      </c>
      <c r="B14509" t="s">
        <v>14514</v>
      </c>
      <c r="C14509">
        <f>HYPERLINK("C:\Users\franc\OneDrive\Documentos\MALENTIN KARIME\BANCO ESTADO\2012 DEPTO ESCRITURAS fata\NOTARIA 2009\BANCO DEL DESARROLLO\prendas\Misael Tapia Campusano.doc", "Abrir Documento")</f>
        <v>0</v>
      </c>
      <c r="D14509" t="s">
        <v>23500</v>
      </c>
      <c r="E14509" t="s">
        <v>36984</v>
      </c>
    </row>
    <row r="14510" spans="1:5">
      <c r="A14510" t="s">
        <v>6</v>
      </c>
      <c r="B14510" t="s">
        <v>14515</v>
      </c>
      <c r="C14510">
        <f>HYPERLINK("C:\Users\franc\OneDrive\Documentos\MALENTIN KARIME\BANCO ESTADO\2012 DEPTO ESCRITURAS fata\NOTARIA 2009\BANCO DEL DESARROLLO\prendas\MANUEL CASTAÑEDA.doc", "Abrir Documento")</f>
        <v>0</v>
      </c>
      <c r="D14510" t="s">
        <v>23500</v>
      </c>
      <c r="E14510" t="s">
        <v>36985</v>
      </c>
    </row>
    <row r="14511" spans="1:5">
      <c r="A14511" t="s">
        <v>6</v>
      </c>
      <c r="B14511" t="s">
        <v>14516</v>
      </c>
      <c r="C14511">
        <f>HYPERLINK("C:\Users\franc\OneDrive\Documentos\MALENTIN KARIME\BANCO ESTADO\2012 DEPTO ESCRITURAS fata\NOTARIA 2009\BANCO DEL DESARROLLO\prendas\MANUEL CASTAÑEDA EXT.doc", "Abrir Documento")</f>
        <v>0</v>
      </c>
      <c r="D14511" t="s">
        <v>23500</v>
      </c>
      <c r="E14511" t="s">
        <v>36986</v>
      </c>
    </row>
    <row r="14512" spans="1:5">
      <c r="A14512" t="s">
        <v>6</v>
      </c>
      <c r="B14512" t="s">
        <v>14517</v>
      </c>
      <c r="C14512">
        <f>HYPERLINK("C:\Users\franc\OneDrive\Documentos\MALENTIN KARIME\BANCO ESTADO\2012 DEPTO ESCRITURAS fata\NOTARIA 2009\BANCO DEL DESARROLLO\prendas\MANUEL AVALOS EXTRACTO.doc", "Abrir Documento")</f>
        <v>0</v>
      </c>
      <c r="D14512" t="s">
        <v>23500</v>
      </c>
      <c r="E14512" t="s">
        <v>36987</v>
      </c>
    </row>
    <row r="14513" spans="1:5">
      <c r="A14513" t="s">
        <v>6</v>
      </c>
      <c r="B14513" t="s">
        <v>14518</v>
      </c>
      <c r="C14513">
        <f>HYPERLINK("C:\Users\franc\OneDrive\Documentos\MALENTIN KARIME\BANCO ESTADO\2012 DEPTO ESCRITURAS fata\NOTARIA 2009\BANCO DEL DESARROLLO\prendas\Manuel Avalos Castillo - cv.marzo.doc", "Abrir Documento")</f>
        <v>0</v>
      </c>
      <c r="D14513" t="s">
        <v>23500</v>
      </c>
      <c r="E14513" t="s">
        <v>36988</v>
      </c>
    </row>
    <row r="14514" spans="1:5">
      <c r="A14514" t="s">
        <v>6</v>
      </c>
      <c r="B14514" t="s">
        <v>14519</v>
      </c>
      <c r="C14514">
        <f>HYPERLINK("C:\Users\franc\OneDrive\Documentos\MALENTIN KARIME\BANCO ESTADO\2012 DEPTO ESCRITURAS fata\NOTARIA 2009\BANCO DEL DESARROLLO\prendas\MANDATO ISAAC ALAMO.doc", "Abrir Documento")</f>
        <v>0</v>
      </c>
      <c r="D14514" t="s">
        <v>23500</v>
      </c>
      <c r="E14514" t="s">
        <v>36989</v>
      </c>
    </row>
    <row r="14515" spans="1:5">
      <c r="A14515" t="s">
        <v>6</v>
      </c>
      <c r="B14515" t="s">
        <v>14520</v>
      </c>
      <c r="C14515">
        <f>HYPERLINK("C:\Users\franc\OneDrive\Documentos\MALENTIN KARIME\BANCO ESTADO\2012 DEPTO ESCRITURAS fata\NOTARIA 2009\BANCO DEL DESARROLLO\prendas\JUANA ROJAS.doc", "Abrir Documento")</f>
        <v>0</v>
      </c>
      <c r="D14515" t="s">
        <v>23500</v>
      </c>
      <c r="E14515" t="s">
        <v>36990</v>
      </c>
    </row>
    <row r="14516" spans="1:5">
      <c r="A14516" t="s">
        <v>6</v>
      </c>
      <c r="B14516" t="s">
        <v>14521</v>
      </c>
      <c r="C14516">
        <f>HYPERLINK("C:\Users\franc\OneDrive\Documentos\MALENTIN KARIME\BANCO ESTADO\2012 DEPTO ESCRITURAS fata\NOTARIA 2009\BANCO DEL DESARROLLO\prendas\JUANA ROJAS EXT.doc", "Abrir Documento")</f>
        <v>0</v>
      </c>
      <c r="D14516" t="s">
        <v>23500</v>
      </c>
      <c r="E14516" t="s">
        <v>36991</v>
      </c>
    </row>
    <row r="14517" spans="1:5">
      <c r="A14517" t="s">
        <v>6</v>
      </c>
      <c r="B14517" t="s">
        <v>14522</v>
      </c>
      <c r="C14517">
        <f>HYPERLINK("C:\Users\franc\OneDrive\Documentos\MALENTIN KARIME\BANCO ESTADO\2012 DEPTO ESCRITURAS fata\NOTARIA 2009\BANCO DEL DESARROLLO\prendas\JUANA ROJAS ARAYA EX.doc", "Abrir Documento")</f>
        <v>0</v>
      </c>
      <c r="D14517" t="s">
        <v>23500</v>
      </c>
      <c r="E14517" t="s">
        <v>36992</v>
      </c>
    </row>
    <row r="14518" spans="1:5">
      <c r="A14518" t="s">
        <v>6</v>
      </c>
      <c r="B14518" t="s">
        <v>14523</v>
      </c>
      <c r="C14518">
        <f>HYPERLINK("C:\Users\franc\OneDrive\Documentos\MALENTIN KARIME\BANCO ESTADO\2012 DEPTO ESCRITURAS fata\NOTARIA 2009\BANCO DEL DESARROLLO\prendas\JUAN DIAZ BUGUEÑO EXT.doc", "Abrir Documento")</f>
        <v>0</v>
      </c>
      <c r="D14518" t="s">
        <v>23500</v>
      </c>
      <c r="E14518" t="s">
        <v>36993</v>
      </c>
    </row>
    <row r="14519" spans="1:5">
      <c r="A14519" t="s">
        <v>6</v>
      </c>
      <c r="B14519" t="s">
        <v>14524</v>
      </c>
      <c r="C14519">
        <f>HYPERLINK("C:\Users\franc\OneDrive\Documentos\MALENTIN KARIME\BANCO ESTADO\2012 DEPTO ESCRITURAS fata\NOTARIA 2009\BANCO DEL DESARROLLO\prendas\JOSE OSSA HUENOLAFF.doc", "Abrir Documento")</f>
        <v>0</v>
      </c>
      <c r="D14519" t="s">
        <v>23500</v>
      </c>
      <c r="E14519" t="s">
        <v>36994</v>
      </c>
    </row>
    <row r="14520" spans="1:5">
      <c r="A14520" t="s">
        <v>6</v>
      </c>
      <c r="B14520" t="s">
        <v>14525</v>
      </c>
      <c r="C14520">
        <f>HYPERLINK("C:\Users\franc\OneDrive\Documentos\MALENTIN KARIME\BANCO ESTADO\2012 DEPTO ESCRITURAS fata\NOTARIA 2009\BANCO DEL DESARROLLO\prendas\JOSE OSSA EXTRACTO.doc", "Abrir Documento")</f>
        <v>0</v>
      </c>
      <c r="D14520" t="s">
        <v>23500</v>
      </c>
      <c r="E14520" t="s">
        <v>36995</v>
      </c>
    </row>
    <row r="14521" spans="1:5">
      <c r="A14521" t="s">
        <v>6</v>
      </c>
      <c r="B14521" t="s">
        <v>14526</v>
      </c>
      <c r="C14521">
        <f>HYPERLINK("C:\Users\franc\OneDrive\Documentos\MALENTIN KARIME\BANCO ESTADO\2012 DEPTO ESCRITURAS fata\NOTARIA 2009\BANCO DEL DESARROLLO\prendas\ISMAEL SEGOVIA - JULIO MEDALLA.doc", "Abrir Documento")</f>
        <v>0</v>
      </c>
      <c r="D14521" t="s">
        <v>23500</v>
      </c>
      <c r="E14521" t="s">
        <v>36996</v>
      </c>
    </row>
    <row r="14522" spans="1:5">
      <c r="A14522" t="s">
        <v>6</v>
      </c>
      <c r="B14522" t="s">
        <v>14527</v>
      </c>
      <c r="C14522">
        <f>HYPERLINK("C:\Users\franc\OneDrive\Documentos\MALENTIN KARIME\BANCO ESTADO\2012 DEPTO ESCRITURAS fata\NOTARIA 2009\BANCO DEL DESARROLLO\prendas\INVERSIONES ARTIGUES (2).doc", "Abrir Documento")</f>
        <v>0</v>
      </c>
      <c r="D14522" t="s">
        <v>23500</v>
      </c>
      <c r="E14522" t="s">
        <v>36997</v>
      </c>
    </row>
    <row r="14523" spans="1:5">
      <c r="A14523" t="s">
        <v>6</v>
      </c>
      <c r="B14523" t="s">
        <v>14528</v>
      </c>
      <c r="C14523">
        <f>HYPERLINK("C:\Users\franc\OneDrive\Documentos\MALENTIN KARIME\BANCO ESTADO\2012 DEPTO ESCRITURAS fata\NOTARIA 2009\BANCO DEL DESARROLLO\prendas\HERNAN CASTRO PIZARRO EXTR.doc", "Abrir Documento")</f>
        <v>0</v>
      </c>
      <c r="D14523" t="s">
        <v>23500</v>
      </c>
      <c r="E14523" t="s">
        <v>36998</v>
      </c>
    </row>
    <row r="14524" spans="1:5">
      <c r="A14524" t="s">
        <v>6</v>
      </c>
      <c r="B14524" t="s">
        <v>14529</v>
      </c>
      <c r="C14524">
        <f>HYPERLINK("C:\Users\franc\OneDrive\Documentos\MALENTIN KARIME\BANCO ESTADO\2012 DEPTO ESCRITURAS fata\NOTARIA 2009\BANCO DEL DESARROLLO\prendas\HERMAN CORTES ROBLE JUNIO 2006.doc", "Abrir Documento")</f>
        <v>0</v>
      </c>
      <c r="D14524" t="s">
        <v>23500</v>
      </c>
      <c r="E14524" t="s">
        <v>36999</v>
      </c>
    </row>
    <row r="14525" spans="1:5">
      <c r="A14525" t="s">
        <v>6</v>
      </c>
      <c r="B14525" t="s">
        <v>14530</v>
      </c>
      <c r="C14525">
        <f>HYPERLINK("C:\Users\franc\OneDrive\Documentos\MALENTIN KARIME\BANCO ESTADO\2012 DEPTO ESCRITURAS fata\NOTARIA 2009\BANCO DEL DESARROLLO\prendas\HERMAN CORTES EXT.doc", "Abrir Documento")</f>
        <v>0</v>
      </c>
      <c r="D14525" t="s">
        <v>23500</v>
      </c>
      <c r="E14525" t="s">
        <v>37000</v>
      </c>
    </row>
    <row r="14526" spans="1:5">
      <c r="A14526" t="s">
        <v>6</v>
      </c>
      <c r="B14526" t="s">
        <v>14531</v>
      </c>
      <c r="C14526">
        <f>HYPERLINK("C:\Users\franc\OneDrive\Documentos\MALENTIN KARIME\BANCO ESTADO\2012 DEPTO ESCRITURAS fata\NOTARIA 2009\BANCO DEL DESARROLLO\prendas\GABRIEL ROBLES MIRANDA EXTR.doc", "Abrir Documento")</f>
        <v>0</v>
      </c>
      <c r="D14526" t="s">
        <v>23500</v>
      </c>
      <c r="E14526" t="s">
        <v>37001</v>
      </c>
    </row>
    <row r="14527" spans="1:5">
      <c r="A14527" t="s">
        <v>6</v>
      </c>
      <c r="B14527" t="s">
        <v>14532</v>
      </c>
      <c r="C14527">
        <f>HYPERLINK("C:\Users\franc\OneDrive\Documentos\MALENTIN KARIME\BANCO ESTADO\2012 DEPTO ESCRITURAS fata\NOTARIA 2009\BANCO DEL DESARROLLO\prendas\FRANCO PEREZ ZAMBRA EXTRACTO.doc", "Abrir Documento")</f>
        <v>0</v>
      </c>
      <c r="D14527" t="s">
        <v>23500</v>
      </c>
      <c r="E14527" t="s">
        <v>37002</v>
      </c>
    </row>
    <row r="14528" spans="1:5">
      <c r="A14528" t="s">
        <v>6</v>
      </c>
      <c r="B14528" t="s">
        <v>14533</v>
      </c>
      <c r="C14528">
        <f>HYPERLINK("C:\Users\franc\OneDrive\Documentos\MALENTIN KARIME\BANCO ESTADO\2012 DEPTO ESCRITURAS fata\NOTARIA 2009\BANCO DEL DESARROLLO\prendas\FRANCISCO SALINAS.doc", "Abrir Documento")</f>
        <v>0</v>
      </c>
      <c r="D14528" t="s">
        <v>23500</v>
      </c>
      <c r="E14528" t="s">
        <v>37003</v>
      </c>
    </row>
    <row r="14529" spans="1:5">
      <c r="A14529" t="s">
        <v>6</v>
      </c>
      <c r="B14529" t="s">
        <v>14534</v>
      </c>
      <c r="C14529">
        <f>HYPERLINK("C:\Users\franc\OneDrive\Documentos\MALENTIN KARIME\BANCO ESTADO\2012 DEPTO ESCRITURAS fata\NOTARIA 2009\BANCO DEL DESARROLLO\prendas\Francisco Niño de Zepeda.doc", "Abrir Documento")</f>
        <v>0</v>
      </c>
      <c r="D14529" t="s">
        <v>23500</v>
      </c>
      <c r="E14529" t="s">
        <v>37004</v>
      </c>
    </row>
    <row r="14530" spans="1:5">
      <c r="A14530" t="s">
        <v>6</v>
      </c>
      <c r="B14530" t="s">
        <v>14535</v>
      </c>
      <c r="C14530">
        <f>HYPERLINK("C:\Users\franc\OneDrive\Documentos\MALENTIN KARIME\BANCO ESTADO\2012 DEPTO ESCRITURAS fata\NOTARIA 2009\BANCO DEL DESARROLLO\prendas\FITO MENDEZ.doc", "Abrir Documento")</f>
        <v>0</v>
      </c>
      <c r="D14530" t="s">
        <v>23500</v>
      </c>
      <c r="E14530" t="s">
        <v>37005</v>
      </c>
    </row>
    <row r="14531" spans="1:5">
      <c r="A14531" t="s">
        <v>6</v>
      </c>
      <c r="B14531" t="s">
        <v>14536</v>
      </c>
      <c r="C14531">
        <f>HYPERLINK("C:\Users\franc\OneDrive\Documentos\MALENTIN KARIME\BANCO ESTADO\2012 DEPTO ESCRITURAS fata\NOTARIA 2009\BANCO DEL DESARROLLO\prendas\FCO. SALINAS EXT.doc", "Abrir Documento")</f>
        <v>0</v>
      </c>
      <c r="D14531" t="s">
        <v>23500</v>
      </c>
      <c r="E14531" t="s">
        <v>37006</v>
      </c>
    </row>
    <row r="14532" spans="1:5">
      <c r="A14532" t="s">
        <v>6</v>
      </c>
      <c r="B14532" t="s">
        <v>14537</v>
      </c>
      <c r="C14532">
        <f>HYPERLINK("C:\Users\franc\OneDrive\Documentos\MALENTIN KARIME\BANCO ESTADO\2012 DEPTO ESCRITURAS fata\NOTARIA 2009\BANCO DEL DESARROLLO\prendas\EDUARDO CORTES AROSTICA.doc", "Abrir Documento")</f>
        <v>0</v>
      </c>
      <c r="D14532" t="s">
        <v>23500</v>
      </c>
      <c r="E14532" t="s">
        <v>37007</v>
      </c>
    </row>
    <row r="14533" spans="1:5">
      <c r="A14533" t="s">
        <v>6</v>
      </c>
      <c r="B14533" t="s">
        <v>14538</v>
      </c>
      <c r="C14533">
        <f>HYPERLINK("C:\Users\franc\OneDrive\Documentos\MALENTIN KARIME\BANCO ESTADO\2012 DEPTO ESCRITURAS fata\NOTARIA 2009\BANCO DEL DESARROLLO\prendas\DAVID CARVAJAL EXT.doc", "Abrir Documento")</f>
        <v>0</v>
      </c>
      <c r="D14533" t="s">
        <v>23500</v>
      </c>
      <c r="E14533" t="s">
        <v>37008</v>
      </c>
    </row>
    <row r="14534" spans="1:5">
      <c r="A14534" t="s">
        <v>6</v>
      </c>
      <c r="B14534" t="s">
        <v>14539</v>
      </c>
      <c r="C14534">
        <f>HYPERLINK("C:\Users\franc\OneDrive\Documentos\MALENTIN KARIME\BANCO ESTADO\2012 DEPTO ESCRITURAS fata\NOTARIA 2009\BANCO DEL DESARROLLO\prendas\CECILIA ROJAS Q..doc", "Abrir Documento")</f>
        <v>0</v>
      </c>
      <c r="D14534" t="s">
        <v>23500</v>
      </c>
      <c r="E14534" t="s">
        <v>37009</v>
      </c>
    </row>
    <row r="14535" spans="1:5">
      <c r="A14535" t="s">
        <v>6</v>
      </c>
      <c r="B14535" t="s">
        <v>14540</v>
      </c>
      <c r="C14535">
        <f>HYPERLINK("C:\Users\franc\OneDrive\Documentos\MALENTIN KARIME\BANCO ESTADO\2012 DEPTO ESCRITURAS fata\NOTARIA 2009\BANCO DEL DESARROLLO\prendas\CECILIA ROJAS  EXT.doc", "Abrir Documento")</f>
        <v>0</v>
      </c>
      <c r="D14535" t="s">
        <v>23500</v>
      </c>
      <c r="E14535" t="s">
        <v>37010</v>
      </c>
    </row>
    <row r="14536" spans="1:5">
      <c r="A14536" t="s">
        <v>6</v>
      </c>
      <c r="B14536" t="s">
        <v>14541</v>
      </c>
      <c r="C14536">
        <f>HYPERLINK("C:\Users\franc\OneDrive\Documentos\MALENTIN KARIME\BANCO ESTADO\2012 DEPTO ESCRITURAS fata\NOTARIA 2009\BANCO DEL DESARROLLO\prendas\CARTA GASTOS.doc", "Abrir Documento")</f>
        <v>0</v>
      </c>
      <c r="D14536" t="s">
        <v>23500</v>
      </c>
      <c r="E14536" t="s">
        <v>37011</v>
      </c>
    </row>
    <row r="14537" spans="1:5">
      <c r="A14537" t="s">
        <v>6</v>
      </c>
      <c r="B14537" t="s">
        <v>14542</v>
      </c>
      <c r="C14537">
        <f>HYPERLINK("C:\Users\franc\OneDrive\Documentos\MALENTIN KARIME\BANCO ESTADO\2012 DEPTO ESCRITURAS fata\NOTARIA 2009\BANCO DEL DESARROLLO\prendas\CARMEN BRAVO Y SOC. FLOR MARIA.doc", "Abrir Documento")</f>
        <v>0</v>
      </c>
      <c r="D14537" t="s">
        <v>23500</v>
      </c>
      <c r="E14537" t="s">
        <v>37012</v>
      </c>
    </row>
    <row r="14538" spans="1:5">
      <c r="A14538" t="s">
        <v>6</v>
      </c>
      <c r="B14538" t="s">
        <v>14543</v>
      </c>
      <c r="C14538">
        <f>HYPERLINK("C:\Users\franc\OneDrive\Documentos\MALENTIN KARIME\BANCO ESTADO\2012 DEPTO ESCRITURAS fata\NOTARIA 2009\BANCO DEL DESARROLLO\prendas\CARMEN BRAVCO.doc", "Abrir Documento")</f>
        <v>0</v>
      </c>
      <c r="D14538" t="s">
        <v>23500</v>
      </c>
      <c r="E14538" t="s">
        <v>37013</v>
      </c>
    </row>
    <row r="14539" spans="1:5">
      <c r="A14539" t="s">
        <v>6</v>
      </c>
      <c r="B14539" t="s">
        <v>14544</v>
      </c>
      <c r="C14539">
        <f>HYPERLINK("C:\Users\franc\OneDrive\Documentos\MALENTIN KARIME\BANCO ESTADO\2012 DEPTO ESCRITURAS fata\NOTARIA 2009\BANCO DEL DESARROLLO\prendas\Carlos Rojas Salinas PRENDA SIN DESPLAZAMIENTO.doc", "Abrir Documento")</f>
        <v>0</v>
      </c>
      <c r="D14539" t="s">
        <v>23500</v>
      </c>
      <c r="E14539" t="s">
        <v>37014</v>
      </c>
    </row>
    <row r="14540" spans="1:5">
      <c r="A14540" t="s">
        <v>6</v>
      </c>
      <c r="B14540" t="s">
        <v>14545</v>
      </c>
      <c r="C14540">
        <f>HYPERLINK("C:\Users\franc\OneDrive\Documentos\MALENTIN KARIME\BANCO ESTADO\2012 DEPTO ESCRITURAS fata\NOTARIA 2009\BANCO DEL DESARROLLO\prendas\Carlos Cisternas Rojas.doc", "Abrir Documento")</f>
        <v>0</v>
      </c>
      <c r="D14540" t="s">
        <v>23500</v>
      </c>
      <c r="E14540" t="s">
        <v>37015</v>
      </c>
    </row>
    <row r="14541" spans="1:5">
      <c r="A14541" t="s">
        <v>6</v>
      </c>
      <c r="B14541" t="s">
        <v>14546</v>
      </c>
      <c r="C14541">
        <f>HYPERLINK("C:\Users\franc\OneDrive\Documentos\MALENTIN KARIME\BANCO ESTADO\2012 DEPTO ESCRITURAS fata\NOTARIA 2009\BANCO DEL DESARROLLO\prendas\CARLOS ASTETE.doc", "Abrir Documento")</f>
        <v>0</v>
      </c>
      <c r="D14541" t="s">
        <v>23500</v>
      </c>
      <c r="E14541" t="s">
        <v>37016</v>
      </c>
    </row>
    <row r="14542" spans="1:5">
      <c r="A14542" t="s">
        <v>6</v>
      </c>
      <c r="B14542" t="s">
        <v>14547</v>
      </c>
      <c r="C14542">
        <f>HYPERLINK("C:\Users\franc\OneDrive\Documentos\MALENTIN KARIME\BANCO ESTADO\2012 DEPTO ESCRITURAS fata\NOTARIA 2009\BANCO DEL DESARROLLO\prendas\CARLOS ASTETE SEPULVEDA EX.doc", "Abrir Documento")</f>
        <v>0</v>
      </c>
      <c r="D14542" t="s">
        <v>23500</v>
      </c>
      <c r="E14542" t="s">
        <v>37017</v>
      </c>
    </row>
    <row r="14543" spans="1:5">
      <c r="A14543" t="s">
        <v>6</v>
      </c>
      <c r="B14543" t="s">
        <v>14548</v>
      </c>
      <c r="C14543">
        <f>HYPERLINK("C:\Users\franc\OneDrive\Documentos\MALENTIN KARIME\BANCO ESTADO\2012 DEPTO ESCRITURAS fata\NOTARIA 2009\BANCO DEL DESARROLLO\prendas\BENITO CASTAÑEDA.doc", "Abrir Documento")</f>
        <v>0</v>
      </c>
      <c r="D14543" t="s">
        <v>23500</v>
      </c>
      <c r="E14543" t="s">
        <v>37018</v>
      </c>
    </row>
    <row r="14544" spans="1:5">
      <c r="A14544" t="s">
        <v>6</v>
      </c>
      <c r="B14544" t="s">
        <v>14549</v>
      </c>
      <c r="C14544">
        <f>HYPERLINK("C:\Users\franc\OneDrive\Documentos\MALENTIN KARIME\BANCO ESTADO\2012 DEPTO ESCRITURAS fata\NOTARIA 2009\BANCO DEL DESARROLLO\prendas\BENITO CASTAÑEDA EXT.doc", "Abrir Documento")</f>
        <v>0</v>
      </c>
      <c r="D14544" t="s">
        <v>23500</v>
      </c>
      <c r="E14544" t="s">
        <v>37019</v>
      </c>
    </row>
    <row r="14545" spans="1:5">
      <c r="A14545" t="s">
        <v>6</v>
      </c>
      <c r="B14545" t="s">
        <v>14550</v>
      </c>
      <c r="C14545">
        <f>HYPERLINK("C:\Users\franc\OneDrive\Documentos\MALENTIN KARIME\BANCO ESTADO\2012 DEPTO ESCRITURAS fata\NOTARIA 2009\BANCO DEL DESARROLLO\prendas\AMILCAR NUÑEZ CASTILLO EXT.doc", "Abrir Documento")</f>
        <v>0</v>
      </c>
      <c r="D14545" t="s">
        <v>23500</v>
      </c>
      <c r="E14545" t="s">
        <v>37020</v>
      </c>
    </row>
    <row r="14546" spans="1:5">
      <c r="A14546" t="s">
        <v>6</v>
      </c>
      <c r="B14546" t="s">
        <v>14551</v>
      </c>
      <c r="C14546">
        <f>HYPERLINK("C:\Users\franc\OneDrive\Documentos\MALENTIN KARIME\BANCO ESTADO\2012 DEPTO ESCRITURAS fata\NOTARIA 2009\BANCO DEL DESARROLLO\prendas\ABEL CASTAÑEDA.doc", "Abrir Documento")</f>
        <v>0</v>
      </c>
      <c r="D14546" t="s">
        <v>23500</v>
      </c>
      <c r="E14546" t="s">
        <v>37021</v>
      </c>
    </row>
    <row r="14547" spans="1:5">
      <c r="A14547" t="s">
        <v>6</v>
      </c>
      <c r="B14547" t="s">
        <v>14552</v>
      </c>
      <c r="C14547">
        <f>HYPERLINK("C:\Users\franc\OneDrive\Documentos\MALENTIN KARIME\BANCO ESTADO\2012 DEPTO ESCRITURAS fata\NOTARIA 2009\BANCO DEL DESARROLLO\prendas\ABEL CASTAÑEDA EXT.doc", "Abrir Documento")</f>
        <v>0</v>
      </c>
      <c r="D14547" t="s">
        <v>23500</v>
      </c>
      <c r="E14547" t="s">
        <v>37022</v>
      </c>
    </row>
    <row r="14548" spans="1:5">
      <c r="A14548" t="s">
        <v>6</v>
      </c>
      <c r="B14548" t="s">
        <v>14553</v>
      </c>
      <c r="C14548">
        <f>HYPERLINK("C:\Users\franc\OneDrive\Documentos\MALENTIN KARIME\BANCO ESTADO\2012 DEPTO ESCRITURAS fata\NOTARIA 2009\BANCO DEL DESARROLLO\prendas\ABEL CASTAÑEDA   JUNIO 2006.doc", "Abrir Documento")</f>
        <v>0</v>
      </c>
      <c r="D14548" t="s">
        <v>23500</v>
      </c>
      <c r="E14548" t="s">
        <v>37023</v>
      </c>
    </row>
    <row r="14549" spans="1:5">
      <c r="A14549" t="s">
        <v>6</v>
      </c>
      <c r="B14549" t="s">
        <v>14554</v>
      </c>
      <c r="C14549">
        <f>HYPERLINK("C:\Users\franc\OneDrive\Documentos\MALENTIN KARIME\BANCO ESTADO\2012 DEPTO ESCRITURAS fata\NOTARIA 2009\BANCO DEL DESARROLLO\PAGO\CARLOS DIAZ PAGO Y SUBROGACION.doc", "Abrir Documento")</f>
        <v>0</v>
      </c>
      <c r="D14549" t="s">
        <v>23500</v>
      </c>
      <c r="E14549" t="s">
        <v>37024</v>
      </c>
    </row>
    <row r="14550" spans="1:5">
      <c r="A14550" t="s">
        <v>6</v>
      </c>
      <c r="B14550" t="s">
        <v>14555</v>
      </c>
      <c r="C14550">
        <f>HYPERLINK("C:\Users\franc\OneDrive\Documentos\MALENTIN KARIME\BANCO ESTADO\2012 DEPTO ESCRITURAS fata\NOTARIA 2009\BANCO DEL DESARROLLO\MUTUO E HIPOTECA\XIMENA RAMOS.doc", "Abrir Documento")</f>
        <v>0</v>
      </c>
      <c r="D14550" t="s">
        <v>23500</v>
      </c>
      <c r="E14550" t="s">
        <v>37025</v>
      </c>
    </row>
    <row r="14551" spans="1:5">
      <c r="A14551" t="s">
        <v>6</v>
      </c>
      <c r="B14551" t="s">
        <v>14556</v>
      </c>
      <c r="C14551">
        <f>HYPERLINK("C:\Users\franc\OneDrive\Documentos\MALENTIN KARIME\BANCO ESTADO\2012 DEPTO ESCRITURAS fata\NOTARIA 2009\BANCO DEL DESARROLLO\MUTUO E HIPOTECA\XIMENA BENAVENTE - ELSA TELLO.doc", "Abrir Documento")</f>
        <v>0</v>
      </c>
      <c r="D14551" t="s">
        <v>23500</v>
      </c>
      <c r="E14551" t="s">
        <v>37026</v>
      </c>
    </row>
    <row r="14552" spans="1:5">
      <c r="A14552" t="s">
        <v>6</v>
      </c>
      <c r="B14552" t="s">
        <v>14557</v>
      </c>
      <c r="C14552">
        <f>HYPERLINK("C:\Users\franc\OneDrive\Documentos\MALENTIN KARIME\BANCO ESTADO\2012 DEPTO ESCRITURAS fata\NOTARIA 2009\BANCO DEL DESARROLLO\MUTUO E HIPOTECA\UBERLINDA CORTES ROBLES.doc", "Abrir Documento")</f>
        <v>0</v>
      </c>
      <c r="D14552" t="s">
        <v>23500</v>
      </c>
      <c r="E14552" t="s">
        <v>37027</v>
      </c>
    </row>
    <row r="14553" spans="1:5">
      <c r="A14553" t="s">
        <v>6</v>
      </c>
      <c r="B14553" t="s">
        <v>14558</v>
      </c>
      <c r="C14553">
        <f>HYPERLINK("C:\Users\franc\OneDrive\Documentos\MALENTIN KARIME\BANCO ESTADO\2012 DEPTO ESCRITURAS fata\NOTARIA 2009\BANCO DEL DESARROLLO\MUTUO E HIPOTECA\SOC. COMERC. DE RIEGOS LTDA.doc", "Abrir Documento")</f>
        <v>0</v>
      </c>
      <c r="D14553" t="s">
        <v>23500</v>
      </c>
      <c r="E14553" t="s">
        <v>37028</v>
      </c>
    </row>
    <row r="14554" spans="1:5">
      <c r="A14554" t="s">
        <v>6</v>
      </c>
      <c r="B14554" t="s">
        <v>14559</v>
      </c>
      <c r="C14554">
        <f>HYPERLINK("C:\Users\franc\OneDrive\Documentos\MALENTIN KARIME\BANCO ESTADO\2012 DEPTO ESCRITURAS fata\NOTARIA 2009\BANCO DEL DESARROLLO\MUTUO E HIPOTECA\SOC ING Y CONST ALFA LTDA.doc", "Abrir Documento")</f>
        <v>0</v>
      </c>
      <c r="D14554" t="s">
        <v>23500</v>
      </c>
      <c r="E14554" t="s">
        <v>37029</v>
      </c>
    </row>
    <row r="14555" spans="1:5">
      <c r="A14555" t="s">
        <v>6</v>
      </c>
      <c r="B14555" t="s">
        <v>14560</v>
      </c>
      <c r="C14555">
        <f>HYPERLINK("C:\Users\franc\OneDrive\Documentos\MALENTIN KARIME\BANCO ESTADO\2012 DEPTO ESCRITURAS fata\NOTARIA 2009\BANCO DEL DESARROLLO\MUTUO E HIPOTECA\SILVIA VEGA VEGA.doc", "Abrir Documento")</f>
        <v>0</v>
      </c>
      <c r="D14555" t="s">
        <v>23500</v>
      </c>
      <c r="E14555" t="s">
        <v>37030</v>
      </c>
    </row>
    <row r="14556" spans="1:5">
      <c r="A14556" t="s">
        <v>6</v>
      </c>
      <c r="B14556" t="s">
        <v>14561</v>
      </c>
      <c r="C14556">
        <f>HYPERLINK("C:\Users\franc\OneDrive\Documentos\MALENTIN KARIME\BANCO ESTADO\2012 DEPTO ESCRITURAS fata\NOTARIA 2009\BANCO DEL DESARROLLO\MUTUO E HIPOTECA\SANDRA ROJAS - ALFONSO LATU.doc", "Abrir Documento")</f>
        <v>0</v>
      </c>
      <c r="D14556" t="s">
        <v>23500</v>
      </c>
      <c r="E14556" t="s">
        <v>37031</v>
      </c>
    </row>
    <row r="14557" spans="1:5">
      <c r="A14557" t="s">
        <v>6</v>
      </c>
      <c r="B14557" t="s">
        <v>14562</v>
      </c>
      <c r="C14557">
        <f>HYPERLINK("C:\Users\franc\OneDrive\Documentos\MALENTIN KARIME\BANCO ESTADO\2012 DEPTO ESCRITURAS fata\NOTARIA 2009\BANCO DEL DESARROLLO\MUTUO E HIPOTECA\ROSSANA SANTIBAÑEZ con BANCO DESARROLLO.doc", "Abrir Documento")</f>
        <v>0</v>
      </c>
      <c r="D14557" t="s">
        <v>23500</v>
      </c>
      <c r="E14557" t="s">
        <v>37032</v>
      </c>
    </row>
    <row r="14558" spans="1:5">
      <c r="A14558" t="s">
        <v>6</v>
      </c>
      <c r="B14558" t="s">
        <v>14563</v>
      </c>
      <c r="C14558">
        <f>HYPERLINK("C:\Users\franc\OneDrive\Documentos\MALENTIN KARIME\BANCO ESTADO\2012 DEPTO ESCRITURAS fata\NOTARIA 2009\BANCO DEL DESARROLLO\MUTUO E HIPOTECA\ROBINSON LABARCA - HERIBERTO CHELEN.doc", "Abrir Documento")</f>
        <v>0</v>
      </c>
      <c r="D14558" t="s">
        <v>23500</v>
      </c>
      <c r="E14558" t="s">
        <v>37033</v>
      </c>
    </row>
    <row r="14559" spans="1:5">
      <c r="A14559" t="s">
        <v>6</v>
      </c>
      <c r="B14559" t="s">
        <v>14564</v>
      </c>
      <c r="C14559">
        <f>HYPERLINK("C:\Users\franc\OneDrive\Documentos\MALENTIN KARIME\BANCO ESTADO\2012 DEPTO ESCRITURAS fata\NOTARIA 2009\BANCO DEL DESARROLLO\MUTUO E HIPOTECA\RENATO GUERRA MIRANDA.doc", "Abrir Documento")</f>
        <v>0</v>
      </c>
      <c r="D14559" t="s">
        <v>23500</v>
      </c>
      <c r="E14559" t="s">
        <v>37034</v>
      </c>
    </row>
    <row r="14560" spans="1:5">
      <c r="A14560" t="s">
        <v>6</v>
      </c>
      <c r="B14560" t="s">
        <v>14565</v>
      </c>
      <c r="C14560">
        <f>HYPERLINK("C:\Users\franc\OneDrive\Documentos\MALENTIN KARIME\BANCO ESTADO\2012 DEPTO ESCRITURAS fata\NOTARIA 2009\BANCO DEL DESARROLLO\MUTUO E HIPOTECA\PAULA Y CONSUELO LIMITADA.doc", "Abrir Documento")</f>
        <v>0</v>
      </c>
      <c r="D14560" t="s">
        <v>23500</v>
      </c>
      <c r="E14560" t="s">
        <v>37035</v>
      </c>
    </row>
    <row r="14561" spans="1:5">
      <c r="A14561" t="s">
        <v>6</v>
      </c>
      <c r="B14561" t="s">
        <v>14566</v>
      </c>
      <c r="C14561">
        <f>HYPERLINK("C:\Users\franc\OneDrive\Documentos\MALENTIN KARIME\BANCO ESTADO\2012 DEPTO ESCRITURAS fata\NOTARIA 2009\BANCO DEL DESARROLLO\MUTUO E HIPOTECA\PAOLA CUEVAS CORTES.doc", "Abrir Documento")</f>
        <v>0</v>
      </c>
      <c r="D14561" t="s">
        <v>23500</v>
      </c>
      <c r="E14561" t="s">
        <v>37036</v>
      </c>
    </row>
    <row r="14562" spans="1:5">
      <c r="A14562" t="s">
        <v>6</v>
      </c>
      <c r="B14562" t="s">
        <v>14567</v>
      </c>
      <c r="C14562">
        <f>HYPERLINK("C:\Users\franc\OneDrive\Documentos\MALENTIN KARIME\BANCO ESTADO\2012 DEPTO ESCRITURAS fata\NOTARIA 2009\BANCO DEL DESARROLLO\MUTUO E HIPOTECA\PABLO CORRAL RIVEROS.doc", "Abrir Documento")</f>
        <v>0</v>
      </c>
      <c r="D14562" t="s">
        <v>23500</v>
      </c>
      <c r="E14562" t="s">
        <v>37037</v>
      </c>
    </row>
    <row r="14563" spans="1:5">
      <c r="A14563" t="s">
        <v>6</v>
      </c>
      <c r="B14563" t="s">
        <v>14568</v>
      </c>
      <c r="C14563">
        <f>HYPERLINK("C:\Users\franc\OneDrive\Documentos\MALENTIN KARIME\BANCO ESTADO\2012 DEPTO ESCRITURAS fata\NOTARIA 2009\BANCO DEL DESARROLLO\MUTUO E HIPOTECA\OSCIEL SILVA - DOBLE M.doc", "Abrir Documento")</f>
        <v>0</v>
      </c>
      <c r="D14563" t="s">
        <v>23500</v>
      </c>
      <c r="E14563" t="s">
        <v>37038</v>
      </c>
    </row>
    <row r="14564" spans="1:5">
      <c r="A14564" t="s">
        <v>6</v>
      </c>
      <c r="B14564" t="s">
        <v>14569</v>
      </c>
      <c r="C14564">
        <f>HYPERLINK("C:\Users\franc\OneDrive\Documentos\MALENTIN KARIME\BANCO ESTADO\2012 DEPTO ESCRITURAS fata\NOTARIA 2009\BANCO DEL DESARROLLO\MUTUO E HIPOTECA\OSCIEL SILVA - DOBLE M final.doc", "Abrir Documento")</f>
        <v>0</v>
      </c>
      <c r="D14564" t="s">
        <v>23500</v>
      </c>
      <c r="E14564" t="s">
        <v>37039</v>
      </c>
    </row>
    <row r="14565" spans="1:5">
      <c r="A14565" t="s">
        <v>6</v>
      </c>
      <c r="B14565" t="s">
        <v>14570</v>
      </c>
      <c r="C14565">
        <f>HYPERLINK("C:\Users\franc\OneDrive\Documentos\MALENTIN KARIME\BANCO ESTADO\2012 DEPTO ESCRITURAS fata\NOTARIA 2009\BANCO DEL DESARROLLO\MUTUO E HIPOTECA\OSCAR BUGUEÑO.doc", "Abrir Documento")</f>
        <v>0</v>
      </c>
      <c r="D14565" t="s">
        <v>23500</v>
      </c>
      <c r="E14565" t="s">
        <v>37040</v>
      </c>
    </row>
    <row r="14566" spans="1:5">
      <c r="A14566" t="s">
        <v>6</v>
      </c>
      <c r="B14566" t="s">
        <v>14571</v>
      </c>
      <c r="C14566">
        <f>HYPERLINK("C:\Users\franc\OneDrive\Documentos\MALENTIN KARIME\BANCO ESTADO\2012 DEPTO ESCRITURAS fata\NOTARIA 2009\BANCO DEL DESARROLLO\MUTUO E HIPOTECA\OMAR VELIZ CARRASCO MUTUO COM.doc", "Abrir Documento")</f>
        <v>0</v>
      </c>
      <c r="D14566" t="s">
        <v>23500</v>
      </c>
      <c r="E14566" t="s">
        <v>37041</v>
      </c>
    </row>
    <row r="14567" spans="1:5">
      <c r="A14567" t="s">
        <v>6</v>
      </c>
      <c r="B14567" t="s">
        <v>14572</v>
      </c>
      <c r="C14567">
        <f>HYPERLINK("C:\Users\franc\OneDrive\Documentos\MALENTIN KARIME\BANCO ESTADO\2012 DEPTO ESCRITURAS fata\NOTARIA 2009\BANCO DEL DESARROLLO\MUTUO E HIPOTECA\NELIDA ZUMARAN (M. METTIFOGO).doc", "Abrir Documento")</f>
        <v>0</v>
      </c>
      <c r="D14567" t="s">
        <v>23500</v>
      </c>
      <c r="E14567" t="s">
        <v>37042</v>
      </c>
    </row>
    <row r="14568" spans="1:5">
      <c r="A14568" t="s">
        <v>6</v>
      </c>
      <c r="B14568" t="s">
        <v>14573</v>
      </c>
      <c r="C14568">
        <f>HYPERLINK("C:\Users\franc\OneDrive\Documentos\MALENTIN KARIME\BANCO ESTADO\2012 DEPTO ESCRITURAS fata\NOTARIA 2009\BANCO DEL DESARROLLO\MUTUO E HIPOTECA\MODELO NOTARIO.doc", "Abrir Documento")</f>
        <v>0</v>
      </c>
      <c r="D14568" t="s">
        <v>23500</v>
      </c>
      <c r="E14568" t="s">
        <v>37043</v>
      </c>
    </row>
    <row r="14569" spans="1:5">
      <c r="A14569" t="s">
        <v>6</v>
      </c>
      <c r="B14569" t="s">
        <v>14574</v>
      </c>
      <c r="C14569">
        <f>HYPERLINK("C:\Users\franc\OneDrive\Documentos\MALENTIN KARIME\BANCO ESTADO\2012 DEPTO ESCRITURAS fata\NOTARIA 2009\BANCO DEL DESARROLLO\MUTUO E HIPOTECA\MAURICIO BRICEÑO - DOBLE M.doc", "Abrir Documento")</f>
        <v>0</v>
      </c>
      <c r="D14569" t="s">
        <v>23500</v>
      </c>
      <c r="E14569" t="s">
        <v>37044</v>
      </c>
    </row>
    <row r="14570" spans="1:5">
      <c r="A14570" t="s">
        <v>6</v>
      </c>
      <c r="B14570" t="s">
        <v>14575</v>
      </c>
      <c r="C14570">
        <f>HYPERLINK("C:\Users\franc\OneDrive\Documentos\MALENTIN KARIME\BANCO ESTADO\2012 DEPTO ESCRITURAS fata\NOTARIA 2009\BANCO DEL DESARROLLO\MUTUO E HIPOTECA\MARTA ALVAREZ ARAYA.doc", "Abrir Documento")</f>
        <v>0</v>
      </c>
      <c r="D14570" t="s">
        <v>23500</v>
      </c>
      <c r="E14570" t="s">
        <v>37045</v>
      </c>
    </row>
    <row r="14571" spans="1:5">
      <c r="A14571" t="s">
        <v>6</v>
      </c>
      <c r="B14571" t="s">
        <v>14576</v>
      </c>
      <c r="C14571">
        <f>HYPERLINK("C:\Users\franc\OneDrive\Documentos\MALENTIN KARIME\BANCO ESTADO\2012 DEPTO ESCRITURAS fata\NOTARIA 2009\BANCO DEL DESARROLLO\MUTUO E HIPOTECA\MARIA MOLINA SOLA.doc", "Abrir Documento")</f>
        <v>0</v>
      </c>
      <c r="D14571" t="s">
        <v>23500</v>
      </c>
      <c r="E14571" t="s">
        <v>37046</v>
      </c>
    </row>
    <row r="14572" spans="1:5">
      <c r="A14572" t="s">
        <v>6</v>
      </c>
      <c r="B14572" t="s">
        <v>14577</v>
      </c>
      <c r="C14572">
        <f>HYPERLINK("C:\Users\franc\OneDrive\Documentos\MALENTIN KARIME\BANCO ESTADO\2012 DEPTO ESCRITURAS fata\NOTARIA 2009\BANCO DEL DESARROLLO\MUTUO E HIPOTECA\MANUEL BRICEÑO - ORLANDO BARRIOS.doc", "Abrir Documento")</f>
        <v>0</v>
      </c>
      <c r="D14572" t="s">
        <v>23500</v>
      </c>
      <c r="E14572" t="s">
        <v>37047</v>
      </c>
    </row>
    <row r="14573" spans="1:5">
      <c r="A14573" t="s">
        <v>6</v>
      </c>
      <c r="B14573" t="s">
        <v>14578</v>
      </c>
      <c r="C14573">
        <f>HYPERLINK("C:\Users\franc\OneDrive\Documentos\MALENTIN KARIME\BANCO ESTADO\2012 DEPTO ESCRITURAS fata\NOTARIA 2009\BANCO DEL DESARROLLO\MUTUO E HIPOTECA\LUIS CORTES ALFARO.doc", "Abrir Documento")</f>
        <v>0</v>
      </c>
      <c r="D14573" t="s">
        <v>23500</v>
      </c>
      <c r="E14573" t="s">
        <v>37048</v>
      </c>
    </row>
    <row r="14574" spans="1:5">
      <c r="A14574" t="s">
        <v>6</v>
      </c>
      <c r="B14574" t="s">
        <v>14579</v>
      </c>
      <c r="C14574">
        <f>HYPERLINK("C:\Users\franc\OneDrive\Documentos\MALENTIN KARIME\BANCO ESTADO\2012 DEPTO ESCRITURAS fata\NOTARIA 2009\BANCO DEL DESARROLLO\MUTUO E HIPOTECA\JULIO CORTES PASTEN.doc", "Abrir Documento")</f>
        <v>0</v>
      </c>
      <c r="D14574" t="s">
        <v>23500</v>
      </c>
      <c r="E14574" t="s">
        <v>37049</v>
      </c>
    </row>
    <row r="14575" spans="1:5">
      <c r="A14575" t="s">
        <v>6</v>
      </c>
      <c r="B14575" t="s">
        <v>14580</v>
      </c>
      <c r="C14575">
        <f>HYPERLINK("C:\Users\franc\OneDrive\Documentos\MALENTIN KARIME\BANCO ESTADO\2012 DEPTO ESCRITURAS fata\NOTARIA 2009\BANCO DEL DESARROLLO\MUTUO E HIPOTECA\JUAN LOPEZ PIZARRO.doc", "Abrir Documento")</f>
        <v>0</v>
      </c>
      <c r="D14575" t="s">
        <v>23500</v>
      </c>
      <c r="E14575" t="s">
        <v>37050</v>
      </c>
    </row>
    <row r="14576" spans="1:5">
      <c r="A14576" t="s">
        <v>6</v>
      </c>
      <c r="B14576" t="s">
        <v>14581</v>
      </c>
      <c r="C14576">
        <f>HYPERLINK("C:\Users\franc\OneDrive\Documentos\MALENTIN KARIME\BANCO ESTADO\2012 DEPTO ESCRITURAS fata\NOTARIA 2009\BANCO DEL DESARROLLO\MUTUO E HIPOTECA\JORGE RIVERA CASTRO.doc", "Abrir Documento")</f>
        <v>0</v>
      </c>
      <c r="D14576" t="s">
        <v>23500</v>
      </c>
      <c r="E14576" t="s">
        <v>37051</v>
      </c>
    </row>
    <row r="14577" spans="1:5">
      <c r="A14577" t="s">
        <v>6</v>
      </c>
      <c r="B14577" t="s">
        <v>14582</v>
      </c>
      <c r="C14577">
        <f>HYPERLINK("C:\Users\franc\OneDrive\Documentos\MALENTIN KARIME\BANCO ESTADO\2012 DEPTO ESCRITURAS fata\NOTARIA 2009\BANCO DEL DESARROLLO\MUTUO E HIPOTECA\JORGE BARRAZA.doc", "Abrir Documento")</f>
        <v>0</v>
      </c>
      <c r="D14577" t="s">
        <v>23500</v>
      </c>
      <c r="E14577" t="s">
        <v>37052</v>
      </c>
    </row>
    <row r="14578" spans="1:5">
      <c r="A14578" t="s">
        <v>6</v>
      </c>
      <c r="B14578" t="s">
        <v>14583</v>
      </c>
      <c r="C14578">
        <f>HYPERLINK("C:\Users\franc\OneDrive\Documentos\MALENTIN KARIME\BANCO ESTADO\2012 DEPTO ESCRITURAS fata\NOTARIA 2009\BANCO DEL DESARROLLO\MUTUO E HIPOTECA\JAIME TAPIA SAEZ MUTUO HIPOTECARIO.doc", "Abrir Documento")</f>
        <v>0</v>
      </c>
      <c r="D14578" t="s">
        <v>23500</v>
      </c>
      <c r="E14578" t="s">
        <v>37053</v>
      </c>
    </row>
    <row r="14579" spans="1:5">
      <c r="A14579" t="s">
        <v>6</v>
      </c>
      <c r="B14579" t="s">
        <v>14584</v>
      </c>
      <c r="C14579">
        <f>HYPERLINK("C:\Users\franc\OneDrive\Documentos\MALENTIN KARIME\BANCO ESTADO\2012 DEPTO ESCRITURAS fata\NOTARIA 2009\BANCO DEL DESARROLLO\MUTUO E HIPOTECA\ISRAEL DUBO.doc", "Abrir Documento")</f>
        <v>0</v>
      </c>
      <c r="D14579" t="s">
        <v>23500</v>
      </c>
      <c r="E14579" t="s">
        <v>37054</v>
      </c>
    </row>
    <row r="14580" spans="1:5">
      <c r="A14580" t="s">
        <v>6</v>
      </c>
      <c r="B14580" t="s">
        <v>14585</v>
      </c>
      <c r="C14580">
        <f>HYPERLINK("C:\Users\franc\OneDrive\Documentos\MALENTIN KARIME\BANCO ESTADO\2012 DEPTO ESCRITURAS fata\NOTARIA 2009\BANCO DEL DESARROLLO\MUTUO E HIPOTECA\ISMAEL SEGOVIA VILLANUEVA.doc", "Abrir Documento")</f>
        <v>0</v>
      </c>
      <c r="D14580" t="s">
        <v>23500</v>
      </c>
      <c r="E14580" t="s">
        <v>37055</v>
      </c>
    </row>
    <row r="14581" spans="1:5">
      <c r="A14581" t="s">
        <v>6</v>
      </c>
      <c r="B14581" t="s">
        <v>14586</v>
      </c>
      <c r="C14581">
        <f>HYPERLINK("C:\Users\franc\OneDrive\Documentos\MALENTIN KARIME\BANCO ESTADO\2012 DEPTO ESCRITURAS fata\NOTARIA 2009\BANCO DEL DESARROLLO\MUTUO E HIPOTECA\INVERS. CAHUR LTDA..doc", "Abrir Documento")</f>
        <v>0</v>
      </c>
      <c r="D14581" t="s">
        <v>23500</v>
      </c>
      <c r="E14581" t="s">
        <v>37056</v>
      </c>
    </row>
    <row r="14582" spans="1:5">
      <c r="A14582" t="s">
        <v>6</v>
      </c>
      <c r="B14582" t="s">
        <v>14587</v>
      </c>
      <c r="C14582">
        <f>HYPERLINK("C:\Users\franc\OneDrive\Documentos\MALENTIN KARIME\BANCO ESTADO\2012 DEPTO ESCRITURAS fata\NOTARIA 2009\BANCO DEL DESARROLLO\MUTUO E HIPOTECA\IBAR MORENO.doc", "Abrir Documento")</f>
        <v>0</v>
      </c>
      <c r="D14582" t="s">
        <v>23500</v>
      </c>
      <c r="E14582" t="s">
        <v>37057</v>
      </c>
    </row>
    <row r="14583" spans="1:5">
      <c r="A14583" t="s">
        <v>6</v>
      </c>
      <c r="B14583" t="s">
        <v>14588</v>
      </c>
      <c r="C14583">
        <f>HYPERLINK("C:\Users\franc\OneDrive\Documentos\MALENTIN KARIME\BANCO ESTADO\2012 DEPTO ESCRITURAS fata\NOTARIA 2009\BANCO DEL DESARROLLO\MUTUO E HIPOTECA\HUGO ROJAS - STA. CATALINA.doc", "Abrir Documento")</f>
        <v>0</v>
      </c>
      <c r="D14583" t="s">
        <v>23500</v>
      </c>
      <c r="E14583" t="s">
        <v>37058</v>
      </c>
    </row>
    <row r="14584" spans="1:5">
      <c r="A14584" t="s">
        <v>6</v>
      </c>
      <c r="B14584" t="s">
        <v>14589</v>
      </c>
      <c r="C14584">
        <f>HYPERLINK("C:\Users\franc\OneDrive\Documentos\MALENTIN KARIME\BANCO ESTADO\2012 DEPTO ESCRITURAS fata\NOTARIA 2009\BANCO DEL DESARROLLO\MUTUO E HIPOTECA\GUILLERMO CORTES - STA. CATALINA.doc", "Abrir Documento")</f>
        <v>0</v>
      </c>
      <c r="D14584" t="s">
        <v>23500</v>
      </c>
      <c r="E14584" t="s">
        <v>37059</v>
      </c>
    </row>
    <row r="14585" spans="1:5">
      <c r="A14585" t="s">
        <v>6</v>
      </c>
      <c r="B14585" t="s">
        <v>14590</v>
      </c>
      <c r="C14585">
        <f>HYPERLINK("C:\Users\franc\OneDrive\Documentos\MALENTIN KARIME\BANCO ESTADO\2012 DEPTO ESCRITURAS fata\NOTARIA 2009\BANCO DEL DESARROLLO\MUTUO E HIPOTECA\GABRIEL VICENCIO.doc", "Abrir Documento")</f>
        <v>0</v>
      </c>
      <c r="D14585" t="s">
        <v>23500</v>
      </c>
      <c r="E14585" t="s">
        <v>37060</v>
      </c>
    </row>
    <row r="14586" spans="1:5">
      <c r="A14586" t="s">
        <v>6</v>
      </c>
      <c r="B14586" t="s">
        <v>14591</v>
      </c>
      <c r="C14586">
        <f>HYPERLINK("C:\Users\franc\OneDrive\Documentos\MALENTIN KARIME\BANCO ESTADO\2012 DEPTO ESCRITURAS fata\NOTARIA 2009\BANCO DEL DESARROLLO\MUTUO E HIPOTECA\FREDT  CARRASCO.doc", "Abrir Documento")</f>
        <v>0</v>
      </c>
      <c r="D14586" t="s">
        <v>23500</v>
      </c>
      <c r="E14586" t="s">
        <v>37061</v>
      </c>
    </row>
    <row r="14587" spans="1:5">
      <c r="A14587" t="s">
        <v>6</v>
      </c>
      <c r="B14587" t="s">
        <v>14592</v>
      </c>
      <c r="C14587">
        <f>HYPERLINK("C:\Users\franc\OneDrive\Documentos\MALENTIN KARIME\BANCO ESTADO\2012 DEPTO ESCRITURAS fata\NOTARIA 2009\BANCO DEL DESARROLLO\MUTUO E HIPOTECA\EXEQUIEL ALFARO MUTUO E HIP.doc", "Abrir Documento")</f>
        <v>0</v>
      </c>
      <c r="D14587" t="s">
        <v>23500</v>
      </c>
      <c r="E14587" t="s">
        <v>37062</v>
      </c>
    </row>
    <row r="14588" spans="1:5">
      <c r="A14588" t="s">
        <v>6</v>
      </c>
      <c r="B14588" t="s">
        <v>14593</v>
      </c>
      <c r="C14588">
        <f>HYPERLINK("C:\Users\franc\OneDrive\Documentos\MALENTIN KARIME\BANCO ESTADO\2012 DEPTO ESCRITURAS fata\NOTARIA 2009\BANCO DEL DESARROLLO\MUTUO E HIPOTECA\ESTEBAN VILCHES.doc", "Abrir Documento")</f>
        <v>0</v>
      </c>
      <c r="D14588" t="s">
        <v>23500</v>
      </c>
      <c r="E14588" t="s">
        <v>37063</v>
      </c>
    </row>
    <row r="14589" spans="1:5">
      <c r="A14589" t="s">
        <v>6</v>
      </c>
      <c r="B14589" t="s">
        <v>14594</v>
      </c>
      <c r="C14589">
        <f>HYPERLINK("C:\Users\franc\OneDrive\Documentos\MALENTIN KARIME\BANCO ESTADO\2012 DEPTO ESCRITURAS fata\NOTARIA 2009\BANCO DEL DESARROLLO\MUTUO E HIPOTECA\EDUARDO CERDA.doc", "Abrir Documento")</f>
        <v>0</v>
      </c>
      <c r="D14589" t="s">
        <v>23500</v>
      </c>
      <c r="E14589" t="s">
        <v>37064</v>
      </c>
    </row>
    <row r="14590" spans="1:5">
      <c r="A14590" t="s">
        <v>6</v>
      </c>
      <c r="B14590" t="s">
        <v>14595</v>
      </c>
      <c r="C14590">
        <f>HYPERLINK("C:\Users\franc\OneDrive\Documentos\MALENTIN KARIME\BANCO ESTADO\2012 DEPTO ESCRITURAS fata\NOTARIA 2009\BANCO DEL DESARROLLO\MUTUO E HIPOTECA\DON VALENTINO S.A..doc", "Abrir Documento")</f>
        <v>0</v>
      </c>
      <c r="D14590" t="s">
        <v>23500</v>
      </c>
      <c r="E14590" t="s">
        <v>37065</v>
      </c>
    </row>
    <row r="14591" spans="1:5">
      <c r="A14591" t="s">
        <v>6</v>
      </c>
      <c r="B14591" t="s">
        <v>14596</v>
      </c>
      <c r="C14591">
        <f>HYPERLINK("C:\Users\franc\OneDrive\Documentos\MALENTIN KARIME\BANCO ESTADO\2012 DEPTO ESCRITURAS fata\NOTARIA 2009\BANCO DEL DESARROLLO\MUTUO E HIPOTECA\DAVID ROJAS.doc", "Abrir Documento")</f>
        <v>0</v>
      </c>
      <c r="D14591" t="s">
        <v>23500</v>
      </c>
      <c r="E14591" t="s">
        <v>37066</v>
      </c>
    </row>
    <row r="14592" spans="1:5">
      <c r="A14592" t="s">
        <v>6</v>
      </c>
      <c r="B14592" t="s">
        <v>14597</v>
      </c>
      <c r="C14592">
        <f>HYPERLINK("C:\Users\franc\OneDrive\Documentos\MALENTIN KARIME\BANCO ESTADO\2012 DEPTO ESCRITURAS fata\NOTARIA 2009\BANCO DEL DESARROLLO\MUTUO E HIPOTECA\CV Ptmo Let Cred Viv MARCELA ROJAS MONARDES.doc", "Abrir Documento")</f>
        <v>0</v>
      </c>
      <c r="D14592" t="s">
        <v>23500</v>
      </c>
      <c r="E14592" t="s">
        <v>37067</v>
      </c>
    </row>
    <row r="14593" spans="1:5">
      <c r="A14593" t="s">
        <v>6</v>
      </c>
      <c r="B14593" t="s">
        <v>14598</v>
      </c>
      <c r="C14593">
        <f>HYPERLINK("C:\Users\franc\OneDrive\Documentos\MALENTIN KARIME\BANCO ESTADO\2012 DEPTO ESCRITURAS fata\NOTARIA 2009\BANCO DEL DESARROLLO\MUTUO E HIPOTECA\CLAUDIO AVALOS ARAYA.doc", "Abrir Documento")</f>
        <v>0</v>
      </c>
      <c r="D14593" t="s">
        <v>23500</v>
      </c>
      <c r="E14593" t="s">
        <v>37068</v>
      </c>
    </row>
    <row r="14594" spans="1:5">
      <c r="A14594" t="s">
        <v>6</v>
      </c>
      <c r="B14594" t="s">
        <v>14599</v>
      </c>
      <c r="C14594">
        <f>HYPERLINK("C:\Users\franc\OneDrive\Documentos\MALENTIN KARIME\BANCO ESTADO\2012 DEPTO ESCRITURAS fata\NOTARIA 2009\BANCO DEL DESARROLLO\MUTUO E HIPOTECA\CARTA INSTRUCCIONES AGROPALQUI.doc", "Abrir Documento")</f>
        <v>0</v>
      </c>
      <c r="D14594" t="s">
        <v>23500</v>
      </c>
      <c r="E14594" t="s">
        <v>37069</v>
      </c>
    </row>
    <row r="14595" spans="1:5">
      <c r="A14595" t="s">
        <v>6</v>
      </c>
      <c r="B14595" t="s">
        <v>14600</v>
      </c>
      <c r="C14595">
        <f>HYPERLINK("C:\Users\franc\OneDrive\Documentos\MALENTIN KARIME\BANCO ESTADO\2012 DEPTO ESCRITURAS fata\NOTARIA 2009\BANCO DEL DESARROLLO\MUTUO E HIPOTECA\CARMEN GALLEGUILLOS A SUC. CORTES SULANTAY.doc", "Abrir Documento")</f>
        <v>0</v>
      </c>
      <c r="D14595" t="s">
        <v>23500</v>
      </c>
      <c r="E14595" t="s">
        <v>37070</v>
      </c>
    </row>
    <row r="14596" spans="1:5">
      <c r="A14596" t="s">
        <v>6</v>
      </c>
      <c r="B14596" t="s">
        <v>14601</v>
      </c>
      <c r="C14596">
        <f>HYPERLINK("C:\Users\franc\OneDrive\Documentos\MALENTIN KARIME\BANCO ESTADO\2012 DEPTO ESCRITURAS fata\NOTARIA 2009\BANCO DEL DESARROLLO\MUTUO E HIPOTECA\AURA CAMPILLAY (STA. BARBARA).doc", "Abrir Documento")</f>
        <v>0</v>
      </c>
      <c r="D14596" t="s">
        <v>23500</v>
      </c>
      <c r="E14596" t="s">
        <v>37071</v>
      </c>
    </row>
    <row r="14597" spans="1:5">
      <c r="A14597" t="s">
        <v>6</v>
      </c>
      <c r="B14597" t="s">
        <v>14602</v>
      </c>
      <c r="C14597">
        <f>HYPERLINK("C:\Users\franc\OneDrive\Documentos\MALENTIN KARIME\BANCO ESTADO\2012 DEPTO ESCRITURAS fata\NOTARIA 2009\BANCO DEL DESARROLLO\MUTUO E HIPOTECA\AQUILES PALACIOS.doc", "Abrir Documento")</f>
        <v>0</v>
      </c>
      <c r="D14597" t="s">
        <v>23500</v>
      </c>
      <c r="E14597" t="s">
        <v>37072</v>
      </c>
    </row>
    <row r="14598" spans="1:5">
      <c r="A14598" t="s">
        <v>6</v>
      </c>
      <c r="B14598" t="s">
        <v>14603</v>
      </c>
      <c r="C14598">
        <f>HYPERLINK("C:\Users\franc\OneDrive\Documentos\MALENTIN KARIME\BANCO ESTADO\2012 DEPTO ESCRITURAS fata\NOTARIA 2009\BANCO DEL DESARROLLO\MUTUO E HIPOTECA\ALTAMIRA[1].CVI.doc", "Abrir Documento")</f>
        <v>0</v>
      </c>
      <c r="D14598" t="s">
        <v>23500</v>
      </c>
      <c r="E14598" t="s">
        <v>37073</v>
      </c>
    </row>
    <row r="14599" spans="1:5">
      <c r="A14599" t="s">
        <v>6</v>
      </c>
      <c r="B14599" t="s">
        <v>14604</v>
      </c>
      <c r="C14599">
        <f>HYPERLINK("C:\Users\franc\OneDrive\Documentos\MALENTIN KARIME\BANCO ESTADO\2012 DEPTO ESCRITURAS fata\NOTARIA 2009\BANCO DEL DESARROLLO\MUTUO E HIPOTECA\ALEXIS TAPIA SANTANDER.doc", "Abrir Documento")</f>
        <v>0</v>
      </c>
      <c r="D14599" t="s">
        <v>23500</v>
      </c>
      <c r="E14599" t="s">
        <v>37074</v>
      </c>
    </row>
    <row r="14600" spans="1:5">
      <c r="A14600" t="s">
        <v>6</v>
      </c>
      <c r="B14600" t="s">
        <v>14605</v>
      </c>
      <c r="C14600">
        <f>HYPERLINK("C:\Users\franc\OneDrive\Documentos\MALENTIN KARIME\BANCO ESTADO\2012 DEPTO ESCRITURAS fata\NOTARIA 2009\BANCO DEL DESARROLLO\MUTUO E HIPOTECA\ALEXIS CORTES HINAREJO.doc", "Abrir Documento")</f>
        <v>0</v>
      </c>
      <c r="D14600" t="s">
        <v>23500</v>
      </c>
      <c r="E14600" t="s">
        <v>37075</v>
      </c>
    </row>
    <row r="14601" spans="1:5">
      <c r="A14601" t="s">
        <v>6</v>
      </c>
      <c r="B14601" t="s">
        <v>14606</v>
      </c>
      <c r="C14601">
        <f>HYPERLINK("C:\Users\franc\OneDrive\Documentos\MALENTIN KARIME\BANCO ESTADO\2012 DEPTO ESCRITURAS fata\NOTARIA 2009\BANCO DEL DESARROLLO\MUTUO E HIPOTECA\ALEJANDRO ROBLES  - STA. CATALINA.doc", "Abrir Documento")</f>
        <v>0</v>
      </c>
      <c r="D14601" t="s">
        <v>23500</v>
      </c>
      <c r="E14601" t="s">
        <v>37076</v>
      </c>
    </row>
    <row r="14602" spans="1:5">
      <c r="A14602" t="s">
        <v>6</v>
      </c>
      <c r="B14602" t="s">
        <v>14607</v>
      </c>
      <c r="C14602">
        <f>HYPERLINK("C:\Users\franc\OneDrive\Documentos\MALENTIN KARIME\BANCO ESTADO\2012 DEPTO ESCRITURAS fata\NOTARIA 2009\BANCO DEL DESARROLLO\MUTUO E HIPOTECA\ALBERTO LANAS.doc", "Abrir Documento")</f>
        <v>0</v>
      </c>
      <c r="D14602" t="s">
        <v>23500</v>
      </c>
      <c r="E14602" t="s">
        <v>37077</v>
      </c>
    </row>
    <row r="14603" spans="1:5">
      <c r="A14603" t="s">
        <v>6</v>
      </c>
      <c r="B14603" t="s">
        <v>14608</v>
      </c>
      <c r="C14603">
        <f>HYPERLINK("C:\Users\franc\OneDrive\Documentos\MALENTIN KARIME\BANCO ESTADO\2012 DEPTO ESCRITURAS fata\NOTARIA 2009\BANCO DEL DESARROLLO\MUTUO E HIPOTECA\ADOLFO MONTENEGRO VEAS 2.doc", "Abrir Documento")</f>
        <v>0</v>
      </c>
      <c r="D14603" t="s">
        <v>23500</v>
      </c>
      <c r="E14603" t="s">
        <v>37078</v>
      </c>
    </row>
    <row r="14604" spans="1:5">
      <c r="A14604" t="s">
        <v>6</v>
      </c>
      <c r="B14604" t="s">
        <v>14609</v>
      </c>
      <c r="C14604">
        <f>HYPERLINK("C:\Users\franc\OneDrive\Documentos\MALENTIN KARIME\BANCO ESTADO\2012 DEPTO ESCRITURAS fata\NOTARIA 2009\BANCO DEL DESARROLLO\MODIFICACIONES\SOC. COMERCIAL ARIDOS.doc", "Abrir Documento")</f>
        <v>0</v>
      </c>
      <c r="D14604" t="s">
        <v>23500</v>
      </c>
      <c r="E14604" t="s">
        <v>37079</v>
      </c>
    </row>
    <row r="14605" spans="1:5">
      <c r="A14605" t="s">
        <v>6</v>
      </c>
      <c r="B14605" t="s">
        <v>14610</v>
      </c>
      <c r="C14605">
        <f>HYPERLINK("C:\Users\franc\OneDrive\Documentos\MALENTIN KARIME\BANCO ESTADO\2012 DEPTO ESCRITURAS fata\NOTARIA 2009\BANCO DEL DESARROLLO\MANDATO COBRO\INPROCOL.doc", "Abrir Documento")</f>
        <v>0</v>
      </c>
      <c r="D14605" t="s">
        <v>23500</v>
      </c>
      <c r="E14605" t="s">
        <v>37080</v>
      </c>
    </row>
    <row r="14606" spans="1:5">
      <c r="A14606" t="s">
        <v>6</v>
      </c>
      <c r="B14606" t="s">
        <v>14611</v>
      </c>
      <c r="C14606">
        <f>HYPERLINK("C:\Users\franc\OneDrive\Documentos\MALENTIN KARIME\BANCO ESTADO\2012 DEPTO ESCRITURAS fata\NOTARIA 2009\BANCO DEL DESARROLLO\MANDATO COBRO\INPROCOL (2).doc", "Abrir Documento")</f>
        <v>0</v>
      </c>
      <c r="D14606" t="s">
        <v>23500</v>
      </c>
      <c r="E14606" t="s">
        <v>37081</v>
      </c>
    </row>
    <row r="14607" spans="1:5">
      <c r="A14607" t="s">
        <v>6</v>
      </c>
      <c r="B14607" t="s">
        <v>14612</v>
      </c>
      <c r="C14607">
        <f>HYPERLINK("C:\Users\franc\OneDrive\Documentos\MALENTIN KARIME\BANCO ESTADO\2012 DEPTO ESCRITURAS fata\NOTARIA 2009\BANCO DEL DESARROLLO\LIBERACION\MARIA SILVA.doc", "Abrir Documento")</f>
        <v>0</v>
      </c>
      <c r="D14607" t="s">
        <v>23500</v>
      </c>
      <c r="E14607" t="s">
        <v>37082</v>
      </c>
    </row>
    <row r="14608" spans="1:5">
      <c r="A14608" t="s">
        <v>6</v>
      </c>
      <c r="B14608" t="s">
        <v>14613</v>
      </c>
      <c r="C14608">
        <f>HYPERLINK("C:\Users\franc\OneDrive\Documentos\MALENTIN KARIME\BANCO ESTADO\2012 DEPTO ESCRITURAS fata\NOTARIA 2009\BANCO DEL DESARROLLO\LIBERACION\DALMACIA.doc", "Abrir Documento")</f>
        <v>0</v>
      </c>
      <c r="D14608" t="s">
        <v>23500</v>
      </c>
      <c r="E14608" t="s">
        <v>37083</v>
      </c>
    </row>
    <row r="14609" spans="1:5">
      <c r="A14609" t="s">
        <v>6</v>
      </c>
      <c r="B14609" t="s">
        <v>14614</v>
      </c>
      <c r="C14609">
        <f>HYPERLINK("C:\Users\franc\OneDrive\Documentos\MALENTIN KARIME\BANCO ESTADO\2012 DEPTO ESCRITURAS fata\NOTARIA 2009\BANCO DEL DESARROLLO\LEASING  (SANTIAGO)\PEDRO ARAYA VALDIVIA (TERMINO ARRIENDO).doc", "Abrir Documento")</f>
        <v>0</v>
      </c>
      <c r="D14609" t="s">
        <v>23500</v>
      </c>
      <c r="E14609" t="s">
        <v>37084</v>
      </c>
    </row>
    <row r="14610" spans="1:5">
      <c r="A14610" t="s">
        <v>6</v>
      </c>
      <c r="B14610" t="s">
        <v>14615</v>
      </c>
      <c r="C14610">
        <f>HYPERLINK("C:\Users\franc\OneDrive\Documentos\MALENTIN KARIME\BANCO ESTADO\2012 DEPTO ESCRITURAS fata\NOTARIA 2009\BANCO DEL DESARROLLO\LEASING  (SANTIAGO)\MODELO NOTARIO.doc", "Abrir Documento")</f>
        <v>0</v>
      </c>
      <c r="D14610" t="s">
        <v>23500</v>
      </c>
      <c r="E14610" t="s">
        <v>37085</v>
      </c>
    </row>
    <row r="14611" spans="1:5">
      <c r="A14611" t="s">
        <v>6</v>
      </c>
      <c r="B14611" t="s">
        <v>14616</v>
      </c>
      <c r="C14611">
        <f>HYPERLINK("C:\Users\franc\OneDrive\Documentos\MALENTIN KARIME\BANCO ESTADO\2012 DEPTO ESCRITURAS fata\NOTARIA 2009\BANCO DEL DESARROLLO\LEASING  (SANTIAGO)\JORGE HERRERA MUÑOZ.doc", "Abrir Documento")</f>
        <v>0</v>
      </c>
      <c r="D14611" t="s">
        <v>23500</v>
      </c>
      <c r="E14611" t="s">
        <v>37086</v>
      </c>
    </row>
    <row r="14612" spans="1:5">
      <c r="A14612" t="s">
        <v>6</v>
      </c>
      <c r="B14612" t="s">
        <v>14617</v>
      </c>
      <c r="C14612">
        <f>HYPERLINK("C:\Users\franc\OneDrive\Documentos\MALENTIN KARIME\BANCO ESTADO\2012 DEPTO ESCRITURAS fata\NOTARIA 2009\BANCO DEL DESARROLLO\LEASING  (SANTIAGO)\CONSTRUCCIONES Y RIEGO S.A..doc", "Abrir Documento")</f>
        <v>0</v>
      </c>
      <c r="D14612" t="s">
        <v>23500</v>
      </c>
      <c r="E14612" t="s">
        <v>37087</v>
      </c>
    </row>
    <row r="14613" spans="1:5">
      <c r="A14613" t="s">
        <v>6</v>
      </c>
      <c r="B14613" t="s">
        <v>14618</v>
      </c>
      <c r="C14613">
        <f>HYPERLINK("C:\Users\franc\OneDrive\Documentos\MALENTIN KARIME\BANCO ESTADO\2012 DEPTO ESCRITURAS fata\NOTARIA 2009\BANCO DEL DESARROLLO\LEASING  (SANTIAGO)\CARMEN SANTIBAÑEZ ZANFORLIN.doc", "Abrir Documento")</f>
        <v>0</v>
      </c>
      <c r="D14613" t="s">
        <v>23500</v>
      </c>
      <c r="E14613" t="s">
        <v>37088</v>
      </c>
    </row>
    <row r="14614" spans="1:5">
      <c r="A14614" t="s">
        <v>6</v>
      </c>
      <c r="B14614" t="s">
        <v>14619</v>
      </c>
      <c r="C14614">
        <f>HYPERLINK("C:\Users\franc\OneDrive\Documentos\MALENTIN KARIME\BANCO ESTADO\2012 DEPTO ESCRITURAS fata\NOTARIA 2009\BANCO DEL DESARROLLO\LEASING  (SANTIAGO)\BDD A MUNICIPALIDAD DE OVALLE.doc", "Abrir Documento")</f>
        <v>0</v>
      </c>
      <c r="D14614" t="s">
        <v>23500</v>
      </c>
      <c r="E14614" t="s">
        <v>37089</v>
      </c>
    </row>
    <row r="14615" spans="1:5">
      <c r="A14615" t="s">
        <v>6</v>
      </c>
      <c r="B14615" t="s">
        <v>14620</v>
      </c>
      <c r="C14615">
        <f>HYPERLINK("C:\Users\franc\OneDrive\Documentos\MALENTIN KARIME\BANCO ESTADO\2012 DEPTO ESCRITURAS fata\NOTARIA 2009\BANCO DEL DESARROLLO\HIPOTECAS\WILSON CALDERON.doc", "Abrir Documento")</f>
        <v>0</v>
      </c>
      <c r="D14615" t="s">
        <v>23500</v>
      </c>
      <c r="E14615" t="s">
        <v>37090</v>
      </c>
    </row>
    <row r="14616" spans="1:5">
      <c r="A14616" t="s">
        <v>6</v>
      </c>
      <c r="B14616" t="s">
        <v>14621</v>
      </c>
      <c r="C14616">
        <f>HYPERLINK("C:\Users\franc\OneDrive\Documentos\MALENTIN KARIME\BANCO ESTADO\2012 DEPTO ESCRITURAS fata\NOTARIA 2009\BANCO DEL DESARROLLO\HIPOTECAS\SOC. PHOLAG LIMITADA.doc", "Abrir Documento")</f>
        <v>0</v>
      </c>
      <c r="D14616" t="s">
        <v>23500</v>
      </c>
      <c r="E14616" t="s">
        <v>37091</v>
      </c>
    </row>
    <row r="14617" spans="1:5">
      <c r="A14617" t="s">
        <v>6</v>
      </c>
      <c r="B14617" t="s">
        <v>14622</v>
      </c>
      <c r="C14617">
        <f>HYPERLINK("C:\Users\franc\OneDrive\Documentos\MALENTIN KARIME\BANCO ESTADO\2012 DEPTO ESCRITURAS fata\NOTARIA 2009\BANCO DEL DESARROLLO\HIPOTECAS\SOC. MITIMAE ABRIL 2006.doc", "Abrir Documento")</f>
        <v>0</v>
      </c>
      <c r="D14617" t="s">
        <v>23500</v>
      </c>
      <c r="E14617" t="s">
        <v>37092</v>
      </c>
    </row>
    <row r="14618" spans="1:5">
      <c r="A14618" t="s">
        <v>6</v>
      </c>
      <c r="B14618" t="s">
        <v>14623</v>
      </c>
      <c r="C14618">
        <f>HYPERLINK("C:\Users\franc\OneDrive\Documentos\MALENTIN KARIME\BANCO ESTADO\2012 DEPTO ESCRITURAS fata\NOTARIA 2009\BANCO DEL DESARROLLO\HIPOTECAS\SOC. AGRIC. LOS ALAMOS LTDA..doc", "Abrir Documento")</f>
        <v>0</v>
      </c>
      <c r="D14618" t="s">
        <v>23500</v>
      </c>
      <c r="E14618" t="s">
        <v>37093</v>
      </c>
    </row>
    <row r="14619" spans="1:5">
      <c r="A14619" t="s">
        <v>6</v>
      </c>
      <c r="B14619" t="s">
        <v>14624</v>
      </c>
      <c r="C14619">
        <f>HYPERLINK("C:\Users\franc\OneDrive\Documentos\MALENTIN KARIME\BANCO ESTADO\2012 DEPTO ESCRITURAS fata\NOTARIA 2009\BANCO DEL DESARROLLO\HIPOTECAS\SCOTT WILLIAMS.doc", "Abrir Documento")</f>
        <v>0</v>
      </c>
      <c r="D14619" t="s">
        <v>23500</v>
      </c>
      <c r="E14619" t="s">
        <v>37094</v>
      </c>
    </row>
    <row r="14620" spans="1:5">
      <c r="A14620" t="s">
        <v>6</v>
      </c>
      <c r="B14620" t="s">
        <v>14625</v>
      </c>
      <c r="C14620">
        <f>HYPERLINK("C:\Users\franc\OneDrive\Documentos\MALENTIN KARIME\BANCO ESTADO\2012 DEPTO ESCRITURAS fata\NOTARIA 2009\BANCO DEL DESARROLLO\HIPOTECAS\SANTA BARBARA.doc", "Abrir Documento")</f>
        <v>0</v>
      </c>
      <c r="D14620" t="s">
        <v>23500</v>
      </c>
      <c r="E14620" t="s">
        <v>37095</v>
      </c>
    </row>
    <row r="14621" spans="1:5">
      <c r="A14621" t="s">
        <v>6</v>
      </c>
      <c r="B14621" t="s">
        <v>14626</v>
      </c>
      <c r="C14621">
        <f>HYPERLINK("C:\Users\franc\OneDrive\Documentos\MALENTIN KARIME\BANCO ESTADO\2012 DEPTO ESCRITURAS fata\NOTARIA 2009\BANCO DEL DESARROLLO\HIPOTECAS\SAMUEL BOZO Y CONYUGE.doc", "Abrir Documento")</f>
        <v>0</v>
      </c>
      <c r="D14621" t="s">
        <v>23500</v>
      </c>
      <c r="E14621" t="s">
        <v>37096</v>
      </c>
    </row>
    <row r="14622" spans="1:5">
      <c r="A14622" t="s">
        <v>6</v>
      </c>
      <c r="B14622" t="s">
        <v>14627</v>
      </c>
      <c r="C14622">
        <f>HYPERLINK("C:\Users\franc\OneDrive\Documentos\MALENTIN KARIME\BANCO ESTADO\2012 DEPTO ESCRITURAS fata\NOTARIA 2009\BANCO DEL DESARROLLO\HIPOTECAS\ROSA BRAVO - RENE URZUA.doc", "Abrir Documento")</f>
        <v>0</v>
      </c>
      <c r="D14622" t="s">
        <v>23500</v>
      </c>
      <c r="E14622" t="s">
        <v>37097</v>
      </c>
    </row>
    <row r="14623" spans="1:5">
      <c r="A14623" t="s">
        <v>6</v>
      </c>
      <c r="B14623" t="s">
        <v>14628</v>
      </c>
      <c r="C14623">
        <f>HYPERLINK("C:\Users\franc\OneDrive\Documentos\MALENTIN KARIME\BANCO ESTADO\2012 DEPTO ESCRITURAS fata\NOTARIA 2009\BANCO DEL DESARROLLO\HIPOTECAS\RICARDO ALLENDE SENTIS.doc", "Abrir Documento")</f>
        <v>0</v>
      </c>
      <c r="D14623" t="s">
        <v>23500</v>
      </c>
      <c r="E14623" t="s">
        <v>37098</v>
      </c>
    </row>
    <row r="14624" spans="1:5">
      <c r="A14624" t="s">
        <v>6</v>
      </c>
      <c r="B14624" t="s">
        <v>14629</v>
      </c>
      <c r="C14624">
        <f>HYPERLINK("C:\Users\franc\OneDrive\Documentos\MALENTIN KARIME\BANCO ESTADO\2012 DEPTO ESCRITURAS fata\NOTARIA 2009\BANCO DEL DESARROLLO\HIPOTECAS\RENE URZUA.doc", "Abrir Documento")</f>
        <v>0</v>
      </c>
      <c r="D14624" t="s">
        <v>23500</v>
      </c>
      <c r="E14624" t="s">
        <v>37099</v>
      </c>
    </row>
    <row r="14625" spans="1:5">
      <c r="A14625" t="s">
        <v>6</v>
      </c>
      <c r="B14625" t="s">
        <v>14630</v>
      </c>
      <c r="C14625">
        <f>HYPERLINK("C:\Users\franc\OneDrive\Documentos\MALENTIN KARIME\BANCO ESTADO\2012 DEPTO ESCRITURAS fata\NOTARIA 2009\BANCO DEL DESARROLLO\HIPOTECAS\RENE URZUA (MANUEL CORTES).doc", "Abrir Documento")</f>
        <v>0</v>
      </c>
      <c r="D14625" t="s">
        <v>23500</v>
      </c>
      <c r="E14625" t="s">
        <v>37100</v>
      </c>
    </row>
    <row r="14626" spans="1:5">
      <c r="A14626" t="s">
        <v>6</v>
      </c>
      <c r="B14626" t="s">
        <v>14631</v>
      </c>
      <c r="C14626">
        <f>HYPERLINK("C:\Users\franc\OneDrive\Documentos\MALENTIN KARIME\BANCO ESTADO\2012 DEPTO ESCRITURAS fata\NOTARIA 2009\BANCO DEL DESARROLLO\HIPOTECAS\RAQUEL LOYOLA ROJAS.doc", "Abrir Documento")</f>
        <v>0</v>
      </c>
      <c r="D14626" t="s">
        <v>23500</v>
      </c>
      <c r="E14626" t="s">
        <v>37101</v>
      </c>
    </row>
    <row r="14627" spans="1:5">
      <c r="A14627" t="s">
        <v>6</v>
      </c>
      <c r="B14627" t="s">
        <v>14632</v>
      </c>
      <c r="C14627">
        <f>HYPERLINK("C:\Users\franc\OneDrive\Documentos\MALENTIN KARIME\BANCO ESTADO\2012 DEPTO ESCRITURAS fata\NOTARIA 2009\BANCO DEL DESARROLLO\HIPOTECAS\RAMON LUNA Y ANGEL CUSTODIO.doc", "Abrir Documento")</f>
        <v>0</v>
      </c>
      <c r="D14627" t="s">
        <v>23500</v>
      </c>
      <c r="E14627" t="s">
        <v>37102</v>
      </c>
    </row>
    <row r="14628" spans="1:5">
      <c r="A14628" t="s">
        <v>6</v>
      </c>
      <c r="B14628" t="s">
        <v>14633</v>
      </c>
      <c r="C14628">
        <f>HYPERLINK("C:\Users\franc\OneDrive\Documentos\MALENTIN KARIME\BANCO ESTADO\2012 DEPTO ESCRITURAS fata\NOTARIA 2009\BANCO DEL DESARROLLO\HIPOTECAS\RAMON LUNA 1.doc", "Abrir Documento")</f>
        <v>0</v>
      </c>
      <c r="D14628" t="s">
        <v>23500</v>
      </c>
      <c r="E14628" t="s">
        <v>37103</v>
      </c>
    </row>
    <row r="14629" spans="1:5">
      <c r="A14629" t="s">
        <v>6</v>
      </c>
      <c r="B14629" t="s">
        <v>14634</v>
      </c>
      <c r="C14629">
        <f>HYPERLINK("C:\Users\franc\OneDrive\Documentos\MALENTIN KARIME\BANCO ESTADO\2012 DEPTO ESCRITURAS fata\NOTARIA 2009\BANCO DEL DESARROLLO\HIPOTECAS\PEDRO SAEZ BUGUEÑO.doc", "Abrir Documento")</f>
        <v>0</v>
      </c>
      <c r="D14629" t="s">
        <v>23500</v>
      </c>
      <c r="E14629" t="s">
        <v>37104</v>
      </c>
    </row>
    <row r="14630" spans="1:5">
      <c r="A14630" t="s">
        <v>6</v>
      </c>
      <c r="B14630" t="s">
        <v>14635</v>
      </c>
      <c r="C14630">
        <f>HYPERLINK("C:\Users\franc\OneDrive\Documentos\MALENTIN KARIME\BANCO ESTADO\2012 DEPTO ESCRITURAS fata\NOTARIA 2009\BANCO DEL DESARROLLO\HIPOTECAS\PATRICIA LUNA.doc", "Abrir Documento")</f>
        <v>0</v>
      </c>
      <c r="D14630" t="s">
        <v>23500</v>
      </c>
      <c r="E14630" t="s">
        <v>37105</v>
      </c>
    </row>
    <row r="14631" spans="1:5">
      <c r="A14631" t="s">
        <v>6</v>
      </c>
      <c r="B14631" t="s">
        <v>14636</v>
      </c>
      <c r="C14631">
        <f>HYPERLINK("C:\Users\franc\OneDrive\Documentos\MALENTIN KARIME\BANCO ESTADO\2012 DEPTO ESCRITURAS fata\NOTARIA 2009\BANCO DEL DESARROLLO\HIPOTECAS\PABLA GOMEZ.doc", "Abrir Documento")</f>
        <v>0</v>
      </c>
      <c r="D14631" t="s">
        <v>23500</v>
      </c>
      <c r="E14631" t="s">
        <v>37106</v>
      </c>
    </row>
    <row r="14632" spans="1:5">
      <c r="A14632" t="s">
        <v>6</v>
      </c>
      <c r="B14632" t="s">
        <v>14637</v>
      </c>
      <c r="C14632">
        <f>HYPERLINK("C:\Users\franc\OneDrive\Documentos\MALENTIN KARIME\BANCO ESTADO\2012 DEPTO ESCRITURAS fata\NOTARIA 2009\BANCO DEL DESARROLLO\HIPOTECAS\ORIANA ALFARO.doc", "Abrir Documento")</f>
        <v>0</v>
      </c>
      <c r="D14632" t="s">
        <v>23500</v>
      </c>
      <c r="E14632" t="s">
        <v>37107</v>
      </c>
    </row>
    <row r="14633" spans="1:5">
      <c r="A14633" t="s">
        <v>6</v>
      </c>
      <c r="B14633" t="s">
        <v>14638</v>
      </c>
      <c r="C14633">
        <f>HYPERLINK("C:\Users\franc\OneDrive\Documentos\MALENTIN KARIME\BANCO ESTADO\2012 DEPTO ESCRITURAS fata\NOTARIA 2009\BANCO DEL DESARROLLO\HIPOTECAS\NORA ALFONSO PERALTA.doc", "Abrir Documento")</f>
        <v>0</v>
      </c>
      <c r="D14633" t="s">
        <v>23500</v>
      </c>
      <c r="E14633" t="s">
        <v>37108</v>
      </c>
    </row>
    <row r="14634" spans="1:5">
      <c r="A14634" t="s">
        <v>6</v>
      </c>
      <c r="B14634" t="s">
        <v>14639</v>
      </c>
      <c r="C14634">
        <f>HYPERLINK("C:\Users\franc\OneDrive\Documentos\MALENTIN KARIME\BANCO ESTADO\2012 DEPTO ESCRITURAS fata\NOTARIA 2009\BANCO DEL DESARROLLO\HIPOTECAS\NORA ALFONSO PERALTA (AGUAS).doc", "Abrir Documento")</f>
        <v>0</v>
      </c>
      <c r="D14634" t="s">
        <v>23500</v>
      </c>
      <c r="E14634" t="s">
        <v>37109</v>
      </c>
    </row>
    <row r="14635" spans="1:5">
      <c r="A14635" t="s">
        <v>6</v>
      </c>
      <c r="B14635" t="s">
        <v>14640</v>
      </c>
      <c r="C14635">
        <f>HYPERLINK("C:\Users\franc\OneDrive\Documentos\MALENTIN KARIME\BANCO ESTADO\2012 DEPTO ESCRITURAS fata\NOTARIA 2009\BANCO DEL DESARROLLO\HIPOTECAS\MODELO NOTARIO.doc", "Abrir Documento")</f>
        <v>0</v>
      </c>
      <c r="D14635" t="s">
        <v>23500</v>
      </c>
      <c r="E14635" t="s">
        <v>37110</v>
      </c>
    </row>
    <row r="14636" spans="1:5">
      <c r="A14636" t="s">
        <v>6</v>
      </c>
      <c r="B14636" t="s">
        <v>14641</v>
      </c>
      <c r="C14636">
        <f>HYPERLINK("C:\Users\franc\OneDrive\Documentos\MALENTIN KARIME\BANCO ESTADO\2012 DEPTO ESCRITURAS fata\NOTARIA 2009\BANCO DEL DESARROLLO\HIPOTECAS\MEDALLA HECTOR.doc", "Abrir Documento")</f>
        <v>0</v>
      </c>
      <c r="D14636" t="s">
        <v>23500</v>
      </c>
      <c r="E14636" t="s">
        <v>37111</v>
      </c>
    </row>
    <row r="14637" spans="1:5">
      <c r="A14637" t="s">
        <v>6</v>
      </c>
      <c r="B14637" t="s">
        <v>14642</v>
      </c>
      <c r="C14637">
        <f>HYPERLINK("C:\Users\franc\OneDrive\Documentos\MALENTIN KARIME\BANCO ESTADO\2012 DEPTO ESCRITURAS fata\NOTARIA 2009\BANCO DEL DESARROLLO\HIPOTECAS\MARIA PLAZA PARTARRIEU (ROSANA SANTIBAÑEZ).doc", "Abrir Documento")</f>
        <v>0</v>
      </c>
      <c r="D14637" t="s">
        <v>23500</v>
      </c>
      <c r="E14637" t="s">
        <v>37112</v>
      </c>
    </row>
    <row r="14638" spans="1:5">
      <c r="A14638" t="s">
        <v>6</v>
      </c>
      <c r="B14638" t="s">
        <v>14643</v>
      </c>
      <c r="C14638">
        <f>HYPERLINK("C:\Users\franc\OneDrive\Documentos\MALENTIN KARIME\BANCO ESTADO\2012 DEPTO ESCRITURAS fata\NOTARIA 2009\BANCO DEL DESARROLLO\HIPOTECAS\MANUEL ROJAS ROJAS.doc", "Abrir Documento")</f>
        <v>0</v>
      </c>
      <c r="D14638" t="s">
        <v>23500</v>
      </c>
      <c r="E14638" t="s">
        <v>37113</v>
      </c>
    </row>
    <row r="14639" spans="1:5">
      <c r="A14639" t="s">
        <v>6</v>
      </c>
      <c r="B14639" t="s">
        <v>14644</v>
      </c>
      <c r="C14639">
        <f>HYPERLINK("C:\Users\franc\OneDrive\Documentos\MALENTIN KARIME\BANCO ESTADO\2012 DEPTO ESCRITURAS fata\NOTARIA 2009\BANCO DEL DESARROLLO\HIPOTECAS\INCOVEG LTDA..doc", "Abrir Documento")</f>
        <v>0</v>
      </c>
      <c r="D14639" t="s">
        <v>23500</v>
      </c>
      <c r="E14639" t="s">
        <v>37114</v>
      </c>
    </row>
    <row r="14640" spans="1:5">
      <c r="A14640" t="s">
        <v>6</v>
      </c>
      <c r="B14640" t="s">
        <v>14645</v>
      </c>
      <c r="C14640">
        <f>HYPERLINK("C:\Users\franc\OneDrive\Documentos\MALENTIN KARIME\BANCO ESTADO\2012 DEPTO ESCRITURAS fata\NOTARIA 2009\BANCO DEL DESARROLLO\HIPOTECAS\Hipoteca SERGIO CASTILLO CODOCEO.doc", "Abrir Documento")</f>
        <v>0</v>
      </c>
      <c r="D14640" t="s">
        <v>23500</v>
      </c>
      <c r="E14640" t="s">
        <v>37115</v>
      </c>
    </row>
    <row r="14641" spans="1:5">
      <c r="A14641" t="s">
        <v>6</v>
      </c>
      <c r="B14641" t="s">
        <v>14646</v>
      </c>
      <c r="C14641">
        <f>HYPERLINK("C:\Users\franc\OneDrive\Documentos\MALENTIN KARIME\BANCO ESTADO\2012 DEPTO ESCRITURAS fata\NOTARIA 2009\BANCO DEL DESARROLLO\HIPOTECAS\HIPOTECA GUILLERMO DIAZ.doc", "Abrir Documento")</f>
        <v>0</v>
      </c>
      <c r="D14641" t="s">
        <v>23500</v>
      </c>
      <c r="E14641" t="s">
        <v>37116</v>
      </c>
    </row>
    <row r="14642" spans="1:5">
      <c r="A14642" t="s">
        <v>6</v>
      </c>
      <c r="B14642" t="s">
        <v>14647</v>
      </c>
      <c r="C14642">
        <f>HYPERLINK("C:\Users\franc\OneDrive\Documentos\MALENTIN KARIME\BANCO ESTADO\2012 DEPTO ESCRITURAS fata\NOTARIA 2009\BANCO DEL DESARROLLO\HIPOTECAS\HELIA VERGARA.doc", "Abrir Documento")</f>
        <v>0</v>
      </c>
      <c r="D14642" t="s">
        <v>23500</v>
      </c>
      <c r="E14642" t="s">
        <v>37117</v>
      </c>
    </row>
    <row r="14643" spans="1:5">
      <c r="A14643" t="s">
        <v>6</v>
      </c>
      <c r="B14643" t="s">
        <v>14648</v>
      </c>
      <c r="C14643">
        <f>HYPERLINK("C:\Users\franc\OneDrive\Documentos\MALENTIN KARIME\BANCO ESTADO\2012 DEPTO ESCRITURAS fata\NOTARIA 2009\BANCO DEL DESARROLLO\HIPOTECAS\HECTOR DIAZ.doc", "Abrir Documento")</f>
        <v>0</v>
      </c>
      <c r="D14643" t="s">
        <v>23500</v>
      </c>
      <c r="E14643" t="s">
        <v>37118</v>
      </c>
    </row>
    <row r="14644" spans="1:5">
      <c r="A14644" t="s">
        <v>6</v>
      </c>
      <c r="B14644" t="s">
        <v>14649</v>
      </c>
      <c r="C14644">
        <f>HYPERLINK("C:\Users\franc\OneDrive\Documentos\MALENTIN KARIME\BANCO ESTADO\2012 DEPTO ESCRITURAS fata\NOTARIA 2009\BANCO DEL DESARROLLO\HIPOTECAS\GLORIA TAPIA HERRERA.doc", "Abrir Documento")</f>
        <v>0</v>
      </c>
      <c r="D14644" t="s">
        <v>23500</v>
      </c>
      <c r="E14644" t="s">
        <v>37119</v>
      </c>
    </row>
    <row r="14645" spans="1:5">
      <c r="A14645" t="s">
        <v>6</v>
      </c>
      <c r="B14645" t="s">
        <v>14650</v>
      </c>
      <c r="C14645">
        <f>HYPERLINK("C:\Users\franc\OneDrive\Documentos\MALENTIN KARIME\BANCO ESTADO\2012 DEPTO ESCRITURAS fata\NOTARIA 2009\BANCO DEL DESARROLLO\HIPOTECAS\CIA. FAST ROAD LTDA..doc", "Abrir Documento")</f>
        <v>0</v>
      </c>
      <c r="D14645" t="s">
        <v>23500</v>
      </c>
      <c r="E14645" t="s">
        <v>37120</v>
      </c>
    </row>
    <row r="14646" spans="1:5">
      <c r="A14646" t="s">
        <v>6</v>
      </c>
      <c r="B14646" t="s">
        <v>14651</v>
      </c>
      <c r="C14646">
        <f>HYPERLINK("C:\Users\franc\OneDrive\Documentos\MALENTIN KARIME\BANCO ESTADO\2012 DEPTO ESCRITURAS fata\NOTARIA 2009\BANCO DEL DESARROLLO\HIPOTECAS\CARMEN BRAVO.doc", "Abrir Documento")</f>
        <v>0</v>
      </c>
      <c r="D14646" t="s">
        <v>23500</v>
      </c>
      <c r="E14646" t="s">
        <v>37121</v>
      </c>
    </row>
    <row r="14647" spans="1:5">
      <c r="A14647" t="s">
        <v>6</v>
      </c>
      <c r="B14647" t="s">
        <v>14652</v>
      </c>
      <c r="C14647">
        <f>HYPERLINK("C:\Users\franc\OneDrive\Documentos\MALENTIN KARIME\BANCO ESTADO\2012 DEPTO ESCRITURAS fata\NOTARIA 2009\BANCO DEL DESARROLLO\HIPOTECAS\CARMEN BRAVO  2  (LA SERENA).doc", "Abrir Documento")</f>
        <v>0</v>
      </c>
      <c r="D14647" t="s">
        <v>23500</v>
      </c>
      <c r="E14647" t="s">
        <v>37122</v>
      </c>
    </row>
    <row r="14648" spans="1:5">
      <c r="A14648" t="s">
        <v>6</v>
      </c>
      <c r="B14648" t="s">
        <v>14653</v>
      </c>
      <c r="C14648">
        <f>HYPERLINK("C:\Users\franc\OneDrive\Documentos\MALENTIN KARIME\BANCO ESTADO\2012 DEPTO ESCRITURAS fata\NOTARIA 2009\BANCO DEL DESARROLLO\HIPOTECAS\AURA NEYRA.doc", "Abrir Documento")</f>
        <v>0</v>
      </c>
      <c r="D14648" t="s">
        <v>23500</v>
      </c>
      <c r="E14648" t="s">
        <v>37123</v>
      </c>
    </row>
    <row r="14649" spans="1:5">
      <c r="A14649" t="s">
        <v>6</v>
      </c>
      <c r="B14649" t="s">
        <v>14654</v>
      </c>
      <c r="C14649">
        <f>HYPERLINK("C:\Users\franc\OneDrive\Documentos\MALENTIN KARIME\BANCO ESTADO\2012 DEPTO ESCRITURAS fata\NOTARIA 2009\BANCO DEL DESARROLLO\HIPOTECAS\AGRICOLA ALIRO PINTO.doc", "Abrir Documento")</f>
        <v>0</v>
      </c>
      <c r="D14649" t="s">
        <v>23500</v>
      </c>
      <c r="E14649" t="s">
        <v>37124</v>
      </c>
    </row>
    <row r="14650" spans="1:5">
      <c r="A14650" t="s">
        <v>6</v>
      </c>
      <c r="B14650" t="s">
        <v>14655</v>
      </c>
      <c r="C14650">
        <f>HYPERLINK("C:\Users\franc\OneDrive\Documentos\MALENTIN KARIME\BANCO ESTADO\2012 DEPTO ESCRITURAS fata\NOTARIA 2009\BANCO DEL DESARROLLO\CV E HIPOTECA\VENTA BDD a AMADIEL MALDONADO.doc", "Abrir Documento")</f>
        <v>0</v>
      </c>
      <c r="D14650" t="s">
        <v>23500</v>
      </c>
      <c r="E14650" t="s">
        <v>37125</v>
      </c>
    </row>
    <row r="14651" spans="1:5">
      <c r="A14651" t="s">
        <v>6</v>
      </c>
      <c r="B14651" t="s">
        <v>14656</v>
      </c>
      <c r="C14651">
        <f>HYPERLINK("C:\Users\franc\OneDrive\Documentos\MALENTIN KARIME\BANCO ESTADO\2012 DEPTO ESCRITURAS fata\NOTARIA 2009\BANCO DEL DESARROLLO\CV E HIPOTECA\SOC. ALFALFARES LTDA. - MITIMAE.doc", "Abrir Documento")</f>
        <v>0</v>
      </c>
      <c r="D14651" t="s">
        <v>23500</v>
      </c>
      <c r="E14651" t="s">
        <v>37126</v>
      </c>
    </row>
    <row r="14652" spans="1:5">
      <c r="A14652" t="s">
        <v>6</v>
      </c>
      <c r="B14652" t="s">
        <v>14657</v>
      </c>
      <c r="C14652">
        <f>HYPERLINK("C:\Users\franc\OneDrive\Documentos\MALENTIN KARIME\BANCO ESTADO\2012 DEPTO ESCRITURAS fata\NOTARIA 2009\BANCO DEL DESARROLLO\CV E HIPOTECA\SERGIO CASTILLO.doc", "Abrir Documento")</f>
        <v>0</v>
      </c>
      <c r="D14652" t="s">
        <v>23500</v>
      </c>
      <c r="E14652" t="s">
        <v>37127</v>
      </c>
    </row>
    <row r="14653" spans="1:5">
      <c r="A14653" t="s">
        <v>6</v>
      </c>
      <c r="B14653" t="s">
        <v>14658</v>
      </c>
      <c r="C14653">
        <f>HYPERLINK("C:\Users\franc\OneDrive\Documentos\MALENTIN KARIME\BANCO ESTADO\2012 DEPTO ESCRITURAS fata\NOTARIA 2009\BANCO DEL DESARROLLO\CV E HIPOTECA\ROSSANA SANTIBAÑEZ.doc", "Abrir Documento")</f>
        <v>0</v>
      </c>
      <c r="D14653" t="s">
        <v>23500</v>
      </c>
      <c r="E14653" t="s">
        <v>37128</v>
      </c>
    </row>
    <row r="14654" spans="1:5">
      <c r="A14654" t="s">
        <v>6</v>
      </c>
      <c r="B14654" t="s">
        <v>14659</v>
      </c>
      <c r="C14654">
        <f>HYPERLINK("C:\Users\franc\OneDrive\Documentos\MALENTIN KARIME\BANCO ESTADO\2012 DEPTO ESCRITURAS fata\NOTARIA 2009\BANCO DEL DESARROLLO\CV E HIPOTECA\ROLANDO LAZO Y OTROS A PABLA GOMEZ.doc", "Abrir Documento")</f>
        <v>0</v>
      </c>
      <c r="D14654" t="s">
        <v>23500</v>
      </c>
      <c r="E14654" t="s">
        <v>37129</v>
      </c>
    </row>
    <row r="14655" spans="1:5">
      <c r="A14655" t="s">
        <v>6</v>
      </c>
      <c r="B14655" t="s">
        <v>14660</v>
      </c>
      <c r="C14655">
        <f>HYPERLINK("C:\Users\franc\OneDrive\Documentos\MALENTIN KARIME\BANCO ESTADO\2012 DEPTO ESCRITURAS fata\NOTARIA 2009\BANCO DEL DESARROLLO\CV E HIPOTECA\RENATO GUERRA.doc", "Abrir Documento")</f>
        <v>0</v>
      </c>
      <c r="D14655" t="s">
        <v>23500</v>
      </c>
      <c r="E14655" t="s">
        <v>37130</v>
      </c>
    </row>
    <row r="14656" spans="1:5">
      <c r="A14656" t="s">
        <v>6</v>
      </c>
      <c r="B14656" t="s">
        <v>14661</v>
      </c>
      <c r="C14656">
        <f>HYPERLINK("C:\Users\franc\OneDrive\Documentos\MALENTIN KARIME\BANCO ESTADO\2012 DEPTO ESCRITURAS fata\NOTARIA 2009\BANCO DEL DESARROLLO\CV E HIPOTECA\OLGA CONTRERAS Y SOC. FLOR DE MAYO.doc", "Abrir Documento")</f>
        <v>0</v>
      </c>
      <c r="D14656" t="s">
        <v>23500</v>
      </c>
      <c r="E14656" t="s">
        <v>37131</v>
      </c>
    </row>
    <row r="14657" spans="1:5">
      <c r="A14657" t="s">
        <v>6</v>
      </c>
      <c r="B14657" t="s">
        <v>14662</v>
      </c>
      <c r="C14657">
        <f>HYPERLINK("C:\Users\franc\OneDrive\Documentos\MALENTIN KARIME\BANCO ESTADO\2012 DEPTO ESCRITURAS fata\NOTARIA 2009\BANCO DEL DESARROLLO\CV E HIPOTECA\MODELO COMPRAVENTA CON HIPOTECA Y ALZAMIENTO.doc", "Abrir Documento")</f>
        <v>0</v>
      </c>
      <c r="D14657" t="s">
        <v>23500</v>
      </c>
      <c r="E14657" t="s">
        <v>37132</v>
      </c>
    </row>
    <row r="14658" spans="1:5">
      <c r="A14658" t="s">
        <v>6</v>
      </c>
      <c r="B14658" t="s">
        <v>14663</v>
      </c>
      <c r="C14658">
        <f>HYPERLINK("C:\Users\franc\OneDrive\Documentos\MALENTIN KARIME\BANCO ESTADO\2012 DEPTO ESCRITURAS fata\NOTARIA 2009\BANCO DEL DESARROLLO\CV E HIPOTECA\FERIA GANADERA A DOBLE M.doc", "Abrir Documento")</f>
        <v>0</v>
      </c>
      <c r="D14658" t="s">
        <v>23500</v>
      </c>
      <c r="E14658" t="s">
        <v>37133</v>
      </c>
    </row>
    <row r="14659" spans="1:5">
      <c r="A14659" t="s">
        <v>6</v>
      </c>
      <c r="B14659" t="s">
        <v>14664</v>
      </c>
      <c r="C14659">
        <f>HYPERLINK("C:\Users\franc\OneDrive\Documentos\MALENTIN KARIME\BANCO ESTADO\2012 DEPTO ESCRITURAS fata\NOTARIA 2009\BANCO DEL DESARROLLO\CV E HIPOTECA\ESMERALDO VALDIVIA.doc", "Abrir Documento")</f>
        <v>0</v>
      </c>
      <c r="D14659" t="s">
        <v>23500</v>
      </c>
      <c r="E14659" t="s">
        <v>37134</v>
      </c>
    </row>
    <row r="14660" spans="1:5">
      <c r="A14660" t="s">
        <v>6</v>
      </c>
      <c r="B14660" t="s">
        <v>14665</v>
      </c>
      <c r="C14660">
        <f>HYPERLINK("C:\Users\franc\OneDrive\Documentos\MALENTIN KARIME\BANCO ESTADO\2012 DEPTO ESCRITURAS fata\NOTARIA 2009\BANCO DEL DESARROLLO\CV E HIPOTECA\EMIR RODRIGUEZ CISTERNA.doc", "Abrir Documento")</f>
        <v>0</v>
      </c>
      <c r="D14660" t="s">
        <v>23500</v>
      </c>
      <c r="E14660" t="s">
        <v>37135</v>
      </c>
    </row>
    <row r="14661" spans="1:5">
      <c r="A14661" t="s">
        <v>6</v>
      </c>
      <c r="B14661" t="s">
        <v>14666</v>
      </c>
      <c r="C14661">
        <f>HYPERLINK("C:\Users\franc\OneDrive\Documentos\MALENTIN KARIME\BANCO ESTADO\2012 DEPTO ESCRITURAS fata\NOTARIA 2009\BANCO DEL DESARROLLO\CV E HIPOTECA\EMIR RODRIGUEZ CARTA INSTRUCCION.doc", "Abrir Documento")</f>
        <v>0</v>
      </c>
      <c r="D14661" t="s">
        <v>23500</v>
      </c>
      <c r="E14661" t="s">
        <v>37136</v>
      </c>
    </row>
    <row r="14662" spans="1:5">
      <c r="A14662" t="s">
        <v>6</v>
      </c>
      <c r="B14662" t="s">
        <v>14667</v>
      </c>
      <c r="C14662">
        <f>HYPERLINK("C:\Users\franc\OneDrive\Documentos\MALENTIN KARIME\BANCO ESTADO\2012 DEPTO ESCRITURAS fata\NOTARIA 2009\BANCO DEL DESARROLLO\CV E HIPOTECA\CV e Hipoteca DOS MIL UNO - DON VALENTINO S.A..doc", "Abrir Documento")</f>
        <v>0</v>
      </c>
      <c r="D14662" t="s">
        <v>23500</v>
      </c>
      <c r="E14662" t="s">
        <v>37137</v>
      </c>
    </row>
    <row r="14663" spans="1:5">
      <c r="A14663" t="s">
        <v>6</v>
      </c>
      <c r="B14663" t="s">
        <v>14668</v>
      </c>
      <c r="C14663">
        <f>HYPERLINK("C:\Users\franc\OneDrive\Documentos\MALENTIN KARIME\BANCO ESTADO\2012 DEPTO ESCRITURAS fata\NOTARIA 2009\BANCO DEL DESARROLLO\CV E HIPOTECA\CERTIFICADOS 4.doc", "Abrir Documento")</f>
        <v>0</v>
      </c>
      <c r="D14663" t="s">
        <v>23500</v>
      </c>
      <c r="E14663" t="s">
        <v>37138</v>
      </c>
    </row>
    <row r="14664" spans="1:5">
      <c r="A14664" t="s">
        <v>6</v>
      </c>
      <c r="B14664" t="s">
        <v>14669</v>
      </c>
      <c r="C14664">
        <f>HYPERLINK("C:\Users\franc\OneDrive\Documentos\MALENTIN KARIME\BANCO ESTADO\2012 DEPTO ESCRITURAS fata\NOTARIA 2009\BANCO DEL DESARROLLO\CV E HIPOTECA\CARTA INSTRUCCION.doc", "Abrir Documento")</f>
        <v>0</v>
      </c>
      <c r="D14664" t="s">
        <v>23500</v>
      </c>
      <c r="E14664" t="s">
        <v>37139</v>
      </c>
    </row>
    <row r="14665" spans="1:5">
      <c r="A14665" t="s">
        <v>6</v>
      </c>
      <c r="B14665" t="s">
        <v>14670</v>
      </c>
      <c r="C14665">
        <f>HYPERLINK("C:\Users\franc\OneDrive\Documentos\MALENTIN KARIME\BANCO ESTADO\2012 DEPTO ESCRITURAS fata\NOTARIA 2009\BANCO DEL DESARROLLO\CV E HIPOTECA\CARMEN BRAVO CASTILLO hipoteca dos.doc", "Abrir Documento")</f>
        <v>0</v>
      </c>
      <c r="D14665" t="s">
        <v>23500</v>
      </c>
      <c r="E14665" t="s">
        <v>37140</v>
      </c>
    </row>
    <row r="14666" spans="1:5">
      <c r="A14666" t="s">
        <v>6</v>
      </c>
      <c r="B14666" t="s">
        <v>14671</v>
      </c>
      <c r="C14666">
        <f>HYPERLINK("C:\Users\franc\OneDrive\Documentos\MALENTIN KARIME\BANCO ESTADO\2012 DEPTO ESCRITURAS fata\NOTARIA 2009\BANCO DEL DESARROLLO\CV E HIPOTECA\ANA MONTENEGRO.doc", "Abrir Documento")</f>
        <v>0</v>
      </c>
      <c r="D14666" t="s">
        <v>23500</v>
      </c>
      <c r="E14666" t="s">
        <v>37141</v>
      </c>
    </row>
    <row r="14667" spans="1:5">
      <c r="A14667" t="s">
        <v>6</v>
      </c>
      <c r="B14667" t="s">
        <v>14672</v>
      </c>
      <c r="C14667">
        <f>HYPERLINK("C:\Users\franc\OneDrive\Documentos\MALENTIN KARIME\BANCO ESTADO\2012 DEPTO ESCRITURAS fata\NOTARIA 2009\BANCO DEL DESARROLLO\CV E HIPOTECA\ALEXIS TAPIA SANTANDER A HUGO ALFARO.doc", "Abrir Documento")</f>
        <v>0</v>
      </c>
      <c r="D14667" t="s">
        <v>23500</v>
      </c>
      <c r="E14667" t="s">
        <v>37142</v>
      </c>
    </row>
    <row r="14668" spans="1:5">
      <c r="A14668" t="s">
        <v>6</v>
      </c>
      <c r="B14668" t="s">
        <v>14673</v>
      </c>
      <c r="C14668">
        <f>HYPERLINK("C:\Users\franc\OneDrive\Documentos\MALENTIN KARIME\BANCO ESTADO\2012 DEPTO ESCRITURAS fata\NOTARIA 2009\BANCO DEL DESARROLLO\CONVENIO MINVU\WILSON MARIN.doc", "Abrir Documento")</f>
        <v>0</v>
      </c>
      <c r="D14668" t="s">
        <v>23500</v>
      </c>
      <c r="E14668" t="s">
        <v>37143</v>
      </c>
    </row>
    <row r="14669" spans="1:5">
      <c r="A14669" t="s">
        <v>6</v>
      </c>
      <c r="B14669" t="s">
        <v>14674</v>
      </c>
      <c r="C14669">
        <f>HYPERLINK("C:\Users\franc\OneDrive\Documentos\MALENTIN KARIME\BANCO ESTADO\2012 DEPTO ESCRITURAS fata\NOTARIA 2009\BANCO DEL DESARROLLO\CONVENIO MINVU\SANDRA HERRERA JARA.doc", "Abrir Documento")</f>
        <v>0</v>
      </c>
      <c r="D14669" t="s">
        <v>23500</v>
      </c>
      <c r="E14669" t="s">
        <v>37144</v>
      </c>
    </row>
    <row r="14670" spans="1:5">
      <c r="A14670" t="s">
        <v>6</v>
      </c>
      <c r="B14670" t="s">
        <v>14675</v>
      </c>
      <c r="C14670">
        <f>HYPERLINK("C:\Users\franc\OneDrive\Documentos\MALENTIN KARIME\BANCO ESTADO\2012 DEPTO ESCRITURAS fata\NOTARIA 2009\BANCO DEL DESARROLLO\CONVENIO MINVU\NICOLAS RAMIREZ.doc", "Abrir Documento")</f>
        <v>0</v>
      </c>
      <c r="D14670" t="s">
        <v>23500</v>
      </c>
      <c r="E14670" t="s">
        <v>37145</v>
      </c>
    </row>
    <row r="14671" spans="1:5">
      <c r="A14671" t="s">
        <v>6</v>
      </c>
      <c r="B14671" t="s">
        <v>14676</v>
      </c>
      <c r="C14671">
        <f>HYPERLINK("C:\Users\franc\OneDrive\Documentos\MALENTIN KARIME\BANCO ESTADO\2012 DEPTO ESCRITURAS fata\NOTARIA 2009\BANCO DEL DESARROLLO\CONVENIO MINVU\NANCY ANDRADES.doc", "Abrir Documento")</f>
        <v>0</v>
      </c>
      <c r="D14671" t="s">
        <v>23500</v>
      </c>
      <c r="E14671" t="s">
        <v>37146</v>
      </c>
    </row>
    <row r="14672" spans="1:5">
      <c r="A14672" t="s">
        <v>6</v>
      </c>
      <c r="B14672" t="s">
        <v>14677</v>
      </c>
      <c r="C14672">
        <f>HYPERLINK("C:\Users\franc\OneDrive\Documentos\MALENTIN KARIME\BANCO ESTADO\2012 DEPTO ESCRITURAS fata\NOTARIA 2009\BANCO DEL DESARROLLO\CONVENIO MINVU\MIRIAM ROJAS.doc", "Abrir Documento")</f>
        <v>0</v>
      </c>
      <c r="D14672" t="s">
        <v>23500</v>
      </c>
      <c r="E14672" t="s">
        <v>37147</v>
      </c>
    </row>
    <row r="14673" spans="1:5">
      <c r="A14673" t="s">
        <v>6</v>
      </c>
      <c r="B14673" t="s">
        <v>14678</v>
      </c>
      <c r="C14673">
        <f>HYPERLINK("C:\Users\franc\OneDrive\Documentos\MALENTIN KARIME\BANCO ESTADO\2012 DEPTO ESCRITURAS fata\NOTARIA 2009\BANCO DEL DESARROLLO\CONVENIO MINVU\MAURICIO RIVERA.doc", "Abrir Documento")</f>
        <v>0</v>
      </c>
      <c r="D14673" t="s">
        <v>23500</v>
      </c>
      <c r="E14673" t="s">
        <v>37148</v>
      </c>
    </row>
    <row r="14674" spans="1:5">
      <c r="A14674" t="s">
        <v>6</v>
      </c>
      <c r="B14674" t="s">
        <v>14679</v>
      </c>
      <c r="C14674">
        <f>HYPERLINK("C:\Users\franc\OneDrive\Documentos\MALENTIN KARIME\BANCO ESTADO\2012 DEPTO ESCRITURAS fata\NOTARIA 2009\BANCO DEL DESARROLLO\CONVENIO MINVU\MARIO NUÑEZ.doc", "Abrir Documento")</f>
        <v>0</v>
      </c>
      <c r="D14674" t="s">
        <v>23500</v>
      </c>
      <c r="E14674" t="s">
        <v>37149</v>
      </c>
    </row>
    <row r="14675" spans="1:5">
      <c r="A14675" t="s">
        <v>6</v>
      </c>
      <c r="B14675" t="s">
        <v>14680</v>
      </c>
      <c r="C14675">
        <f>HYPERLINK("C:\Users\franc\OneDrive\Documentos\MALENTIN KARIME\BANCO ESTADO\2012 DEPTO ESCRITURAS fata\NOTARIA 2009\BANCO DEL DESARROLLO\CONVENIO MINVU\LUIS HENRIQUEZ.doc", "Abrir Documento")</f>
        <v>0</v>
      </c>
      <c r="D14675" t="s">
        <v>23500</v>
      </c>
      <c r="E14675" t="s">
        <v>37150</v>
      </c>
    </row>
    <row r="14676" spans="1:5">
      <c r="A14676" t="s">
        <v>6</v>
      </c>
      <c r="B14676" t="s">
        <v>14681</v>
      </c>
      <c r="C14676">
        <f>HYPERLINK("C:\Users\franc\OneDrive\Documentos\MALENTIN KARIME\BANCO ESTADO\2012 DEPTO ESCRITURAS fata\NOTARIA 2009\BANCO DEL DESARROLLO\CONVENIO MINVU\JORGE MONTENEGRO.doc", "Abrir Documento")</f>
        <v>0</v>
      </c>
      <c r="D14676" t="s">
        <v>23500</v>
      </c>
      <c r="E14676" t="s">
        <v>37151</v>
      </c>
    </row>
    <row r="14677" spans="1:5">
      <c r="A14677" t="s">
        <v>6</v>
      </c>
      <c r="B14677" t="s">
        <v>14682</v>
      </c>
      <c r="C14677">
        <f>HYPERLINK("C:\Users\franc\OneDrive\Documentos\MALENTIN KARIME\BANCO ESTADO\2012 DEPTO ESCRITURAS fata\NOTARIA 2009\BANCO DEL DESARROLLO\CONVENIO MINVU\JAVIER PINTO SALAS.doc", "Abrir Documento")</f>
        <v>0</v>
      </c>
      <c r="D14677" t="s">
        <v>23500</v>
      </c>
      <c r="E14677" t="s">
        <v>37152</v>
      </c>
    </row>
    <row r="14678" spans="1:5">
      <c r="A14678" t="s">
        <v>6</v>
      </c>
      <c r="B14678" t="s">
        <v>14683</v>
      </c>
      <c r="C14678">
        <f>HYPERLINK("C:\Users\franc\OneDrive\Documentos\MALENTIN KARIME\BANCO ESTADO\2012 DEPTO ESCRITURAS fata\NOTARIA 2009\BANCO DEL DESARROLLO\CONVENIO MINVU\ISABEL CORTES.doc", "Abrir Documento")</f>
        <v>0</v>
      </c>
      <c r="D14678" t="s">
        <v>23500</v>
      </c>
      <c r="E14678" t="s">
        <v>37153</v>
      </c>
    </row>
    <row r="14679" spans="1:5">
      <c r="A14679" t="s">
        <v>6</v>
      </c>
      <c r="B14679" t="s">
        <v>14684</v>
      </c>
      <c r="C14679">
        <f>HYPERLINK("C:\Users\franc\OneDrive\Documentos\MALENTIN KARIME\BANCO ESTADO\2012 DEPTO ESCRITURAS fata\NOTARIA 2009\BANCO DEL DESARROLLO\CONVENIO MINVU\IRELDA MEDALLA.doc", "Abrir Documento")</f>
        <v>0</v>
      </c>
      <c r="D14679" t="s">
        <v>23500</v>
      </c>
      <c r="E14679" t="s">
        <v>37154</v>
      </c>
    </row>
    <row r="14680" spans="1:5">
      <c r="A14680" t="s">
        <v>6</v>
      </c>
      <c r="B14680" t="s">
        <v>14685</v>
      </c>
      <c r="C14680">
        <f>HYPERLINK("C:\Users\franc\OneDrive\Documentos\MALENTIN KARIME\BANCO ESTADO\2012 DEPTO ESCRITURAS fata\NOTARIA 2009\BANCO DEL DESARROLLO\CONVENIO MINVU\HUGO DIAZ.doc", "Abrir Documento")</f>
        <v>0</v>
      </c>
      <c r="D14680" t="s">
        <v>23500</v>
      </c>
      <c r="E14680" t="s">
        <v>37155</v>
      </c>
    </row>
    <row r="14681" spans="1:5">
      <c r="A14681" t="s">
        <v>6</v>
      </c>
      <c r="B14681" t="s">
        <v>14686</v>
      </c>
      <c r="C14681">
        <f>HYPERLINK("C:\Users\franc\OneDrive\Documentos\MALENTIN KARIME\BANCO ESTADO\2012 DEPTO ESCRITURAS fata\NOTARIA 2009\BANCO DEL DESARROLLO\CONVENIO MINVU\GUSTAVO PIZARRO.doc", "Abrir Documento")</f>
        <v>0</v>
      </c>
      <c r="D14681" t="s">
        <v>23500</v>
      </c>
      <c r="E14681" t="s">
        <v>37156</v>
      </c>
    </row>
    <row r="14682" spans="1:5">
      <c r="A14682" t="s">
        <v>6</v>
      </c>
      <c r="B14682" t="s">
        <v>14687</v>
      </c>
      <c r="C14682">
        <f>HYPERLINK("C:\Users\franc\OneDrive\Documentos\MALENTIN KARIME\BANCO ESTADO\2012 DEPTO ESCRITURAS fata\NOTARIA 2009\BANCO DEL DESARROLLO\CONVENIO MINVU\CLAUDIO DIAZ CARVAJAL.doc", "Abrir Documento")</f>
        <v>0</v>
      </c>
      <c r="D14682" t="s">
        <v>23500</v>
      </c>
      <c r="E14682" t="s">
        <v>37157</v>
      </c>
    </row>
    <row r="14683" spans="1:5">
      <c r="A14683" t="s">
        <v>6</v>
      </c>
      <c r="B14683" t="s">
        <v>14688</v>
      </c>
      <c r="C14683">
        <f>HYPERLINK("C:\Users\franc\OneDrive\Documentos\MALENTIN KARIME\BANCO ESTADO\2012 DEPTO ESCRITURAS fata\NOTARIA 2009\BANCO DEL DESARROLLO\CONVENIO MINVU\CARLOS GARCIA CASTILLO.doc", "Abrir Documento")</f>
        <v>0</v>
      </c>
      <c r="D14683" t="s">
        <v>23500</v>
      </c>
      <c r="E14683" t="s">
        <v>37158</v>
      </c>
    </row>
    <row r="14684" spans="1:5">
      <c r="A14684" t="s">
        <v>6</v>
      </c>
      <c r="B14684" t="s">
        <v>14689</v>
      </c>
      <c r="C14684">
        <f>HYPERLINK("C:\Users\franc\OneDrive\Documentos\MALENTIN KARIME\BANCO ESTADO\2012 DEPTO ESCRITURAS fata\NOTARIA 2009\BANCO DEL DESARROLLO\CONVENIO MINVU\ANDRES TOLEDO.doc", "Abrir Documento")</f>
        <v>0</v>
      </c>
      <c r="D14684" t="s">
        <v>23500</v>
      </c>
      <c r="E14684" t="s">
        <v>37159</v>
      </c>
    </row>
    <row r="14685" spans="1:5">
      <c r="A14685" t="s">
        <v>6</v>
      </c>
      <c r="B14685" t="s">
        <v>14690</v>
      </c>
      <c r="C14685">
        <f>HYPERLINK("C:\Users\franc\OneDrive\Documentos\MALENTIN KARIME\BANCO ESTADO\2012 DEPTO ESCRITURAS fata\NOTARIA 2009\BANCO DEL DESARROLLO\CONVENIO MINVU\ALIRO ROJAS.doc", "Abrir Documento")</f>
        <v>0</v>
      </c>
      <c r="D14685" t="s">
        <v>23500</v>
      </c>
      <c r="E14685" t="s">
        <v>37160</v>
      </c>
    </row>
    <row r="14686" spans="1:5">
      <c r="A14686" t="s">
        <v>6</v>
      </c>
      <c r="B14686" t="s">
        <v>14691</v>
      </c>
      <c r="C14686">
        <f>HYPERLINK("C:\Users\franc\OneDrive\Documentos\MALENTIN KARIME\BANCO ESTADO\2012 DEPTO ESCRITURAS fata\NOTARIA 2009\BANCO DEL DESARROLLO\CONVENIO MINVU\ALFONSO BERRIOS.doc", "Abrir Documento")</f>
        <v>0</v>
      </c>
      <c r="D14686" t="s">
        <v>23500</v>
      </c>
      <c r="E14686" t="s">
        <v>37161</v>
      </c>
    </row>
    <row r="14687" spans="1:5">
      <c r="A14687" t="s">
        <v>6</v>
      </c>
      <c r="B14687" t="s">
        <v>14692</v>
      </c>
      <c r="C14687">
        <f>HYPERLINK("C:\Users\franc\OneDrive\Documentos\MALENTIN KARIME\BANCO ESTADO\2012 DEPTO ESCRITURAS fata\NOTARIA 2009\BANCO DEL DESARROLLO\CONVENIO MINVU\ALEX URQUIETA.doc", "Abrir Documento")</f>
        <v>0</v>
      </c>
      <c r="D14687" t="s">
        <v>23500</v>
      </c>
      <c r="E14687" t="s">
        <v>37162</v>
      </c>
    </row>
    <row r="14688" spans="1:5">
      <c r="A14688" t="s">
        <v>6</v>
      </c>
      <c r="B14688" t="s">
        <v>14693</v>
      </c>
      <c r="C14688">
        <f>HYPERLINK("C:\Users\franc\OneDrive\Documentos\MALENTIN KARIME\BANCO ESTADO\2012 DEPTO ESCRITURAS fata\NOTARIA 2009\BANCO DEL DESARROLLO\COMPRAVENTA Y ALZAMIENTO BDD\PERSONERIA B.D.D..doc", "Abrir Documento")</f>
        <v>0</v>
      </c>
      <c r="D14688" t="s">
        <v>23500</v>
      </c>
      <c r="E14688" t="s">
        <v>37163</v>
      </c>
    </row>
    <row r="14689" spans="1:5">
      <c r="A14689" t="s">
        <v>6</v>
      </c>
      <c r="B14689" t="s">
        <v>14694</v>
      </c>
      <c r="C14689">
        <f>HYPERLINK("C:\Users\franc\OneDrive\Documentos\MALENTIN KARIME\BANCO ESTADO\2012 DEPTO ESCRITURAS fata\NOTARIA 2009\BANCO DEL DESARROLLO\COMPRAVENTA Y ALZAMIENTO BDD\NARDA ALFARO (VEHICULO).doc", "Abrir Documento")</f>
        <v>0</v>
      </c>
      <c r="D14689" t="s">
        <v>23500</v>
      </c>
      <c r="E14689" t="s">
        <v>37164</v>
      </c>
    </row>
    <row r="14690" spans="1:5">
      <c r="A14690" t="s">
        <v>6</v>
      </c>
      <c r="B14690" t="s">
        <v>14695</v>
      </c>
      <c r="C14690">
        <f>HYPERLINK("C:\Users\franc\OneDrive\Documentos\MALENTIN KARIME\BANCO ESTADO\2012 DEPTO ESCRITURAS fata\NOTARIA 2009\BANCO DEL DESARROLLO\COMPRAVENTA Y ALZAMIENTO BDD\JUAN GALVEZ A SANDRA ALVAREZ Y BDD.doc", "Abrir Documento")</f>
        <v>0</v>
      </c>
      <c r="D14690" t="s">
        <v>23500</v>
      </c>
      <c r="E14690" t="s">
        <v>37165</v>
      </c>
    </row>
    <row r="14691" spans="1:5">
      <c r="A14691" t="s">
        <v>6</v>
      </c>
      <c r="B14691" t="s">
        <v>14696</v>
      </c>
      <c r="C14691">
        <f>HYPERLINK("C:\Users\franc\OneDrive\Documentos\MALENTIN KARIME\BANCO ESTADO\2012 DEPTO ESCRITURAS fata\NOTARIA 2009\BANCO DEL DESARROLLO\COMPRAVENTA Y ALZAMIENTO BDD\JUAN ALBANEZ A JESSICA VERGARA Y BDD.doc", "Abrir Documento")</f>
        <v>0</v>
      </c>
      <c r="D14691" t="s">
        <v>23500</v>
      </c>
      <c r="E14691" t="s">
        <v>37166</v>
      </c>
    </row>
    <row r="14692" spans="1:5">
      <c r="A14692" t="s">
        <v>6</v>
      </c>
      <c r="B14692" t="s">
        <v>14697</v>
      </c>
      <c r="C14692">
        <f>HYPERLINK("C:\Users\franc\OneDrive\Documentos\MALENTIN KARIME\BANCO ESTADO\2012 DEPTO ESCRITURAS fata\NOTARIA 2009\BANCO DEL DESARROLLO\COMPRAVENTA Y ALZAMIENTO BDD\Instrucciones_Rio_Hurtado_09.03.10[1].doc", "Abrir Documento")</f>
        <v>0</v>
      </c>
      <c r="D14692" t="s">
        <v>23500</v>
      </c>
      <c r="E14692" t="s">
        <v>37167</v>
      </c>
    </row>
    <row r="14693" spans="1:5">
      <c r="A14693" t="s">
        <v>6</v>
      </c>
      <c r="B14693" t="s">
        <v>14698</v>
      </c>
      <c r="C14693">
        <f>HYPERLINK("C:\Users\franc\OneDrive\Documentos\MALENTIN KARIME\BANCO ESTADO\2012 DEPTO ESCRITURAS fata\NOTARIA 2009\BANCO DEL DESARROLLO\COMPRAVENTA Y ALZAMIENTO BDD\AGRICOLA RIO NEGRO A NORA ALFONSO Y BDD.doc", "Abrir Documento")</f>
        <v>0</v>
      </c>
      <c r="D14693" t="s">
        <v>23500</v>
      </c>
      <c r="E14693" t="s">
        <v>37168</v>
      </c>
    </row>
    <row r="14694" spans="1:5">
      <c r="A14694" t="s">
        <v>6</v>
      </c>
      <c r="B14694" t="s">
        <v>14699</v>
      </c>
      <c r="C14694">
        <f>HYPERLINK("C:\Users\franc\OneDrive\Documentos\MALENTIN KARIME\BANCO ESTADO\2012 DEPTO ESCRITURAS fata\NOTARIA 2009\BANCO DEL DESARROLLO\CANCELACION\CANCELACION SOC AGRICOLA LOS ALAMOS.doc", "Abrir Documento")</f>
        <v>0</v>
      </c>
      <c r="D14694" t="s">
        <v>23500</v>
      </c>
      <c r="E14694" t="s">
        <v>37169</v>
      </c>
    </row>
    <row r="14695" spans="1:5">
      <c r="A14695" t="s">
        <v>6</v>
      </c>
      <c r="B14695" t="s">
        <v>14700</v>
      </c>
      <c r="C14695">
        <f>HYPERLINK("C:\Users\franc\OneDrive\Documentos\MALENTIN KARIME\BANCO ESTADO\2012 DEPTO ESCRITURAS fata\NOTARIA 2009\BANCO DEL DESARROLLO\ARRENDAMIENTOS\SALVADOR CASTILLO.doc", "Abrir Documento")</f>
        <v>0</v>
      </c>
      <c r="D14695" t="s">
        <v>23500</v>
      </c>
      <c r="E14695" t="s">
        <v>37170</v>
      </c>
    </row>
    <row r="14696" spans="1:5">
      <c r="A14696" t="s">
        <v>6</v>
      </c>
      <c r="B14696" t="s">
        <v>14701</v>
      </c>
      <c r="C14696">
        <f>HYPERLINK("C:\Users\franc\OneDrive\Documentos\MALENTIN KARIME\BANCO ESTADO\2012 DEPTO ESCRITURAS fata\NOTARIA 2009\BANCO DEL DESARROLLO\ARRENDAMIENTOS\PEDRO ARAYA.doc", "Abrir Documento")</f>
        <v>0</v>
      </c>
      <c r="D14696" t="s">
        <v>23500</v>
      </c>
      <c r="E14696" t="s">
        <v>37171</v>
      </c>
    </row>
    <row r="14697" spans="1:5">
      <c r="A14697" t="s">
        <v>6</v>
      </c>
      <c r="B14697" t="s">
        <v>14702</v>
      </c>
      <c r="C14697">
        <f>HYPERLINK("C:\Users\franc\OneDrive\Documentos\MALENTIN KARIME\BANCO ESTADO\2012 DEPTO ESCRITURAS fata\NOTARIA 2009\BANCO DEL DESARROLLO\ARRENDAMIENTOS\MUNICIPALIDAD DE PAIHUANO.doc", "Abrir Documento")</f>
        <v>0</v>
      </c>
      <c r="D14697" t="s">
        <v>23500</v>
      </c>
      <c r="E14697" t="s">
        <v>37172</v>
      </c>
    </row>
    <row r="14698" spans="1:5">
      <c r="A14698" t="s">
        <v>6</v>
      </c>
      <c r="B14698" t="s">
        <v>14703</v>
      </c>
      <c r="C14698">
        <f>HYPERLINK("C:\Users\franc\OneDrive\Documentos\MALENTIN KARIME\BANCO ESTADO\2012 DEPTO ESCRITURAS fata\NOTARIA 2009\BANCO DEL DESARROLLO\ARRENDAMIENTOS\MODELO NOTARIO.doc", "Abrir Documento")</f>
        <v>0</v>
      </c>
      <c r="D14698" t="s">
        <v>23500</v>
      </c>
      <c r="E14698" t="s">
        <v>37173</v>
      </c>
    </row>
    <row r="14699" spans="1:5">
      <c r="A14699" t="s">
        <v>6</v>
      </c>
      <c r="B14699" t="s">
        <v>14704</v>
      </c>
      <c r="C14699">
        <f>HYPERLINK("C:\Users\franc\OneDrive\Documentos\MALENTIN KARIME\BANCO ESTADO\2012 DEPTO ESCRITURAS fata\NOTARIA 2009\BANCO DEL DESARROLLO\ARRENDAMIENTOS\MISAEL TAPIA RESCILIACION.doc", "Abrir Documento")</f>
        <v>0</v>
      </c>
      <c r="D14699" t="s">
        <v>23500</v>
      </c>
      <c r="E14699" t="s">
        <v>37174</v>
      </c>
    </row>
    <row r="14700" spans="1:5">
      <c r="A14700" t="s">
        <v>6</v>
      </c>
      <c r="B14700" t="s">
        <v>14705</v>
      </c>
      <c r="C14700">
        <f>HYPERLINK("C:\Users\franc\OneDrive\Documentos\MALENTIN KARIME\BANCO ESTADO\2012 DEPTO ESCRITURAS fata\NOTARIA 2009\BANCO DEL DESARROLLO\ARRENDAMIENTOS\MISAEL TAPIA CAMPUSANO.doc", "Abrir Documento")</f>
        <v>0</v>
      </c>
      <c r="D14700" t="s">
        <v>23500</v>
      </c>
      <c r="E14700" t="s">
        <v>37175</v>
      </c>
    </row>
    <row r="14701" spans="1:5">
      <c r="A14701" t="s">
        <v>6</v>
      </c>
      <c r="B14701" t="s">
        <v>14706</v>
      </c>
      <c r="C14701">
        <f>HYPERLINK("C:\Users\franc\OneDrive\Documentos\MALENTIN KARIME\BANCO ESTADO\2012 DEPTO ESCRITURAS fata\NOTARIA 2009\BANCO DEL DESARROLLO\ARRENDAMIENTOS\MARCELA CORNEJO.doc", "Abrir Documento")</f>
        <v>0</v>
      </c>
      <c r="D14701" t="s">
        <v>23500</v>
      </c>
      <c r="E14701" t="s">
        <v>37176</v>
      </c>
    </row>
    <row r="14702" spans="1:5">
      <c r="A14702" t="s">
        <v>6</v>
      </c>
      <c r="B14702" t="s">
        <v>14707</v>
      </c>
      <c r="C14702">
        <f>HYPERLINK("C:\Users\franc\OneDrive\Documentos\MALENTIN KARIME\BANCO ESTADO\2012 DEPTO ESCRITURAS fata\NOTARIA 2009\BANCO DEL DESARROLLO\ARRENDAMIENTOS\LAS CABRAS.doc", "Abrir Documento")</f>
        <v>0</v>
      </c>
      <c r="D14702" t="s">
        <v>23500</v>
      </c>
      <c r="E14702" t="s">
        <v>37177</v>
      </c>
    </row>
    <row r="14703" spans="1:5">
      <c r="A14703" t="s">
        <v>6</v>
      </c>
      <c r="B14703" t="s">
        <v>14708</v>
      </c>
      <c r="C14703">
        <f>HYPERLINK("C:\Users\franc\OneDrive\Documentos\MALENTIN KARIME\BANCO ESTADO\2012 DEPTO ESCRITURAS fata\NOTARIA 2009\BANCO DEL DESARROLLO\ARRENDAMIENTOS\LAS CABRAS NISSAN.doc", "Abrir Documento")</f>
        <v>0</v>
      </c>
      <c r="D14703" t="s">
        <v>23500</v>
      </c>
      <c r="E14703" t="s">
        <v>37178</v>
      </c>
    </row>
    <row r="14704" spans="1:5">
      <c r="A14704" t="s">
        <v>6</v>
      </c>
      <c r="B14704" t="s">
        <v>14709</v>
      </c>
      <c r="C14704">
        <f>HYPERLINK("C:\Users\franc\OneDrive\Documentos\MALENTIN KARIME\BANCO ESTADO\2012 DEPTO ESCRITURAS fata\NOTARIA 2009\BANCO DEL DESARROLLO\ARRENDAMIENTOS\LAS CABRAS MITSUBISHI.doc", "Abrir Documento")</f>
        <v>0</v>
      </c>
      <c r="D14704" t="s">
        <v>23500</v>
      </c>
      <c r="E14704" t="s">
        <v>37179</v>
      </c>
    </row>
    <row r="14705" spans="1:5">
      <c r="A14705" t="s">
        <v>6</v>
      </c>
      <c r="B14705" t="s">
        <v>14710</v>
      </c>
      <c r="C14705">
        <f>HYPERLINK("C:\Users\franc\OneDrive\Documentos\MALENTIN KARIME\BANCO ESTADO\2012 DEPTO ESCRITURAS fata\NOTARIA 2009\BANCO DEL DESARROLLO\ARRENDAMIENTOS\GALO LUNA MODIFIC. CONTRATO.doc", "Abrir Documento")</f>
        <v>0</v>
      </c>
      <c r="D14705" t="s">
        <v>23500</v>
      </c>
      <c r="E14705" t="s">
        <v>37180</v>
      </c>
    </row>
    <row r="14706" spans="1:5">
      <c r="A14706" t="s">
        <v>6</v>
      </c>
      <c r="B14706" t="s">
        <v>14711</v>
      </c>
      <c r="C14706">
        <f>HYPERLINK("C:\Users\franc\OneDrive\Documentos\MALENTIN KARIME\BANCO ESTADO\2012 DEPTO ESCRITURAS fata\NOTARIA 2009\BANCO DEL DESARROLLO\ARRENDAMIENTOS\FERNANDO LAYANA.doc", "Abrir Documento")</f>
        <v>0</v>
      </c>
      <c r="D14706" t="s">
        <v>23500</v>
      </c>
      <c r="E14706" t="s">
        <v>37181</v>
      </c>
    </row>
    <row r="14707" spans="1:5">
      <c r="A14707" t="s">
        <v>6</v>
      </c>
      <c r="B14707" t="s">
        <v>14712</v>
      </c>
      <c r="C14707">
        <f>HYPERLINK("C:\Users\franc\OneDrive\Documentos\MALENTIN KARIME\BANCO ESTADO\2012 DEPTO ESCRITURAS fata\NOTARIA 2009\BANCO DEL DESARROLLO\ARRENDAMIENTOS\CONSTRUCCIONES Y RIEGO.doc", "Abrir Documento")</f>
        <v>0</v>
      </c>
      <c r="D14707" t="s">
        <v>23500</v>
      </c>
      <c r="E14707" t="s">
        <v>37182</v>
      </c>
    </row>
    <row r="14708" spans="1:5">
      <c r="A14708" t="s">
        <v>6</v>
      </c>
      <c r="B14708" t="s">
        <v>14713</v>
      </c>
      <c r="C14708">
        <f>HYPERLINK("C:\Users\franc\OneDrive\Documentos\MALENTIN KARIME\BANCO ESTADO\2012 DEPTO ESCRITURAS fata\NOTARIA 2009\BANCO DEL DESARROLLO\ARRENDAMIENTOS\CECILIA ROJAS QUINZACARA.doc", "Abrir Documento")</f>
        <v>0</v>
      </c>
      <c r="D14708" t="s">
        <v>23500</v>
      </c>
      <c r="E14708" t="s">
        <v>37183</v>
      </c>
    </row>
    <row r="14709" spans="1:5">
      <c r="A14709" t="s">
        <v>6</v>
      </c>
      <c r="B14709" t="s">
        <v>14714</v>
      </c>
      <c r="C14709">
        <f>HYPERLINK("C:\Users\franc\OneDrive\Documentos\MALENTIN KARIME\BANCO ESTADO\2012 DEPTO ESCRITURAS fata\NOTARIA 2009\BANCO DEL DESARROLLO\ARRENDAMIENTOS\BERNARDO ALFARO TAMBLAY.doc", "Abrir Documento")</f>
        <v>0</v>
      </c>
      <c r="D14709" t="s">
        <v>23500</v>
      </c>
      <c r="E14709" t="s">
        <v>37184</v>
      </c>
    </row>
    <row r="14710" spans="1:5">
      <c r="A14710" t="s">
        <v>6</v>
      </c>
      <c r="B14710" t="s">
        <v>14715</v>
      </c>
      <c r="C14710">
        <f>HYPERLINK("C:\Users\franc\OneDrive\Documentos\MALENTIN KARIME\BANCO ESTADO\2012 DEPTO ESCRITURAS fata\NOTARIA 2009\BANCO DEL DESARROLLO\ARRENDAMIENTOS\AGRICOLA AGUSTIN ARAYA.doc", "Abrir Documento")</f>
        <v>0</v>
      </c>
      <c r="D14710" t="s">
        <v>23500</v>
      </c>
      <c r="E14710" t="s">
        <v>37185</v>
      </c>
    </row>
    <row r="14711" spans="1:5">
      <c r="A14711" t="s">
        <v>6</v>
      </c>
      <c r="B14711" t="s">
        <v>14716</v>
      </c>
      <c r="C14711">
        <f>HYPERLINK("C:\Users\franc\OneDrive\Documentos\MALENTIN KARIME\BANCO ESTADO\2012 DEPTO ESCRITURAS fata\NOTARIA 2009\BANCO DEL DESARROLLO\ALZAMIENTOS\2009\VICTOR CORTES.doc", "Abrir Documento")</f>
        <v>0</v>
      </c>
      <c r="D14711" t="s">
        <v>23500</v>
      </c>
      <c r="E14711" t="s">
        <v>37186</v>
      </c>
    </row>
    <row r="14712" spans="1:5">
      <c r="A14712" t="s">
        <v>6</v>
      </c>
      <c r="B14712" t="s">
        <v>14717</v>
      </c>
      <c r="C14712">
        <f>HYPERLINK("C:\Users\franc\OneDrive\Documentos\MALENTIN KARIME\BANCO ESTADO\2012 DEPTO ESCRITURAS fata\NOTARIA 2009\BANCO DEL DESARROLLO\ALZAMIENTOS\2009\ROBERTO CORTES CORRAL.doc", "Abrir Documento")</f>
        <v>0</v>
      </c>
      <c r="D14712" t="s">
        <v>23500</v>
      </c>
      <c r="E14712" t="s">
        <v>37187</v>
      </c>
    </row>
    <row r="14713" spans="1:5">
      <c r="A14713" t="s">
        <v>6</v>
      </c>
      <c r="B14713" t="s">
        <v>14718</v>
      </c>
      <c r="C14713">
        <f>HYPERLINK("C:\Users\franc\OneDrive\Documentos\MALENTIN KARIME\BANCO ESTADO\2012 DEPTO ESCRITURAS fata\NOTARIA 2009\BANCO DEL DESARROLLO\ALZAMIENTOS\2009\PATRICIA LUNA.doc", "Abrir Documento")</f>
        <v>0</v>
      </c>
      <c r="D14713" t="s">
        <v>23500</v>
      </c>
      <c r="E14713" t="s">
        <v>37188</v>
      </c>
    </row>
    <row r="14714" spans="1:5">
      <c r="A14714" t="s">
        <v>6</v>
      </c>
      <c r="B14714" t="s">
        <v>14719</v>
      </c>
      <c r="C14714">
        <f>HYPERLINK("C:\Users\franc\OneDrive\Documentos\MALENTIN KARIME\BANCO ESTADO\2012 DEPTO ESCRITURAS fata\NOTARIA 2009\BANCO DEL DESARROLLO\ALZAMIENTOS\2009\OSVALDO CARMONA.doc", "Abrir Documento")</f>
        <v>0</v>
      </c>
      <c r="D14714" t="s">
        <v>23500</v>
      </c>
      <c r="E14714" t="s">
        <v>37189</v>
      </c>
    </row>
    <row r="14715" spans="1:5">
      <c r="A14715" t="s">
        <v>6</v>
      </c>
      <c r="B14715" t="s">
        <v>14720</v>
      </c>
      <c r="C14715">
        <f>HYPERLINK("C:\Users\franc\OneDrive\Documentos\MALENTIN KARIME\BANCO ESTADO\2012 DEPTO ESCRITURAS fata\NOTARIA 2009\BANCO DEL DESARROLLO\ALZAMIENTOS\2009\ORLANDO DALBOSCO.doc", "Abrir Documento")</f>
        <v>0</v>
      </c>
      <c r="D14715" t="s">
        <v>23500</v>
      </c>
      <c r="E14715" t="s">
        <v>37190</v>
      </c>
    </row>
    <row r="14716" spans="1:5">
      <c r="A14716" t="s">
        <v>6</v>
      </c>
      <c r="B14716" t="s">
        <v>14721</v>
      </c>
      <c r="C14716">
        <f>HYPERLINK("C:\Users\franc\OneDrive\Documentos\MALENTIN KARIME\BANCO ESTADO\2012 DEPTO ESCRITURAS fata\NOTARIA 2009\BANCO DEL DESARROLLO\ALZAMIENTOS\2009\NIBALDO OLIVARES.doc", "Abrir Documento")</f>
        <v>0</v>
      </c>
      <c r="D14716" t="s">
        <v>23500</v>
      </c>
      <c r="E14716" t="s">
        <v>37191</v>
      </c>
    </row>
    <row r="14717" spans="1:5">
      <c r="A14717" t="s">
        <v>6</v>
      </c>
      <c r="B14717" t="s">
        <v>14722</v>
      </c>
      <c r="C14717">
        <f>HYPERLINK("C:\Users\franc\OneDrive\Documentos\MALENTIN KARIME\BANCO ESTADO\2012 DEPTO ESCRITURAS fata\NOTARIA 2009\BANCO DEL DESARROLLO\ALZAMIENTOS\2009\LUIS BARRERA.doc", "Abrir Documento")</f>
        <v>0</v>
      </c>
      <c r="D14717" t="s">
        <v>23500</v>
      </c>
      <c r="E14717" t="s">
        <v>37192</v>
      </c>
    </row>
    <row r="14718" spans="1:5">
      <c r="A14718" t="s">
        <v>6</v>
      </c>
      <c r="B14718" t="s">
        <v>14723</v>
      </c>
      <c r="C14718">
        <f>HYPERLINK("C:\Users\franc\OneDrive\Documentos\MALENTIN KARIME\BANCO ESTADO\2012 DEPTO ESCRITURAS fata\NOTARIA 2009\BANCO DEL DESARROLLO\ALZAMIENTOS\2009\JUAN ALVAREZ ROJAS.doc", "Abrir Documento")</f>
        <v>0</v>
      </c>
      <c r="D14718" t="s">
        <v>23500</v>
      </c>
      <c r="E14718" t="s">
        <v>37193</v>
      </c>
    </row>
    <row r="14719" spans="1:5">
      <c r="A14719" t="s">
        <v>6</v>
      </c>
      <c r="B14719" t="s">
        <v>14724</v>
      </c>
      <c r="C14719">
        <f>HYPERLINK("C:\Users\franc\OneDrive\Documentos\MALENTIN KARIME\BANCO ESTADO\2012 DEPTO ESCRITURAS fata\NOTARIA 2009\BANCO DEL DESARROLLO\ALZAMIENTOS\2009\GABRIEL ROBLES MIRANDA.doc", "Abrir Documento")</f>
        <v>0</v>
      </c>
      <c r="D14719" t="s">
        <v>23500</v>
      </c>
      <c r="E14719" t="s">
        <v>37194</v>
      </c>
    </row>
    <row r="14720" spans="1:5">
      <c r="A14720" t="s">
        <v>6</v>
      </c>
      <c r="B14720" t="s">
        <v>14725</v>
      </c>
      <c r="C14720">
        <f>HYPERLINK("C:\Users\franc\OneDrive\Documentos\MALENTIN KARIME\BANCO ESTADO\2012 DEPTO ESCRITURAS fata\NOTARIA 2009\BANCO DEL DESARROLLO\ALZAMIENTOS\2009\FABIAN DIAZ.doc", "Abrir Documento")</f>
        <v>0</v>
      </c>
      <c r="D14720" t="s">
        <v>23500</v>
      </c>
      <c r="E14720" t="s">
        <v>37195</v>
      </c>
    </row>
    <row r="14721" spans="1:5">
      <c r="A14721" t="s">
        <v>6</v>
      </c>
      <c r="B14721" t="s">
        <v>14726</v>
      </c>
      <c r="C14721">
        <f>HYPERLINK("C:\Users\franc\OneDrive\Documentos\MALENTIN KARIME\BANCO ESTADO\2012 DEPTO ESCRITURAS fata\NOTARIA 2009\BANCO DEL DESARROLLO\ALZAMIENTOS\2009\DAVID ROJAS MONARDES.doc", "Abrir Documento")</f>
        <v>0</v>
      </c>
      <c r="D14721" t="s">
        <v>23500</v>
      </c>
      <c r="E14721" t="s">
        <v>37196</v>
      </c>
    </row>
    <row r="14722" spans="1:5">
      <c r="A14722" t="s">
        <v>6</v>
      </c>
      <c r="B14722" t="s">
        <v>14727</v>
      </c>
      <c r="C14722">
        <f>HYPERLINK("C:\Users\franc\OneDrive\Documentos\MALENTIN KARIME\BANCO ESTADO\2012 DEPTO ESCRITURAS fata\NOTARIA 2009\BANCO DEL DESARROLLO\ALZAMIENTOS\2009\DANIEL PIZARRO.doc", "Abrir Documento")</f>
        <v>0</v>
      </c>
      <c r="D14722" t="s">
        <v>23500</v>
      </c>
      <c r="E14722" t="s">
        <v>37197</v>
      </c>
    </row>
    <row r="14723" spans="1:5">
      <c r="A14723" t="s">
        <v>6</v>
      </c>
      <c r="B14723" t="s">
        <v>14728</v>
      </c>
      <c r="C14723">
        <f>HYPERLINK("C:\Users\franc\OneDrive\Documentos\MALENTIN KARIME\BANCO ESTADO\2012 DEPTO ESCRITURAS fata\NOTARIA 2009\BANCO DEL DESARROLLO\ALZAMIENTOS\2009\CLAUDIO ECHEVERRIA.doc", "Abrir Documento")</f>
        <v>0</v>
      </c>
      <c r="D14723" t="s">
        <v>23500</v>
      </c>
      <c r="E14723" t="s">
        <v>37198</v>
      </c>
    </row>
    <row r="14724" spans="1:5">
      <c r="A14724" t="s">
        <v>6</v>
      </c>
      <c r="B14724" t="s">
        <v>14729</v>
      </c>
      <c r="C14724">
        <f>HYPERLINK("C:\Users\franc\OneDrive\Documentos\MALENTIN KARIME\BANCO ESTADO\2012 DEPTO ESCRITURAS fata\NOTARIA 2009\BANCO DEL DESARROLLO\ALZAMIENTOS\2009\ALEJANDRO ROJAS (3).doc", "Abrir Documento")</f>
        <v>0</v>
      </c>
      <c r="D14724" t="s">
        <v>23500</v>
      </c>
      <c r="E14724" t="s">
        <v>37199</v>
      </c>
    </row>
    <row r="14725" spans="1:5">
      <c r="A14725" t="s">
        <v>6</v>
      </c>
      <c r="B14725" t="s">
        <v>14730</v>
      </c>
      <c r="C14725">
        <f>HYPERLINK("C:\Users\franc\OneDrive\Documentos\MALENTIN KARIME\BANCO ESTADO\2012 DEPTO ESCRITURAS fata\NOTARIA 2009\BANCO DEL DESARROLLO\ALZAMIENTOS\2009\ALEJANDRO ROJAS (2).doc", "Abrir Documento")</f>
        <v>0</v>
      </c>
      <c r="D14725" t="s">
        <v>23500</v>
      </c>
      <c r="E14725" t="s">
        <v>37200</v>
      </c>
    </row>
    <row r="14726" spans="1:5">
      <c r="A14726" t="s">
        <v>6</v>
      </c>
      <c r="B14726" t="s">
        <v>14731</v>
      </c>
      <c r="C14726">
        <f>HYPERLINK("C:\Users\franc\OneDrive\Documentos\MALENTIN KARIME\BANCO ESTADO\2012 DEPTO ESCRITURAS fata\NOTARIA 2009\BANCO DEL DESARROLLO\ALZAMIENTOS\2009\ALEJANDRO ROJAS (1).doc", "Abrir Documento")</f>
        <v>0</v>
      </c>
      <c r="D14726" t="s">
        <v>23500</v>
      </c>
      <c r="E14726" t="s">
        <v>37201</v>
      </c>
    </row>
    <row r="14727" spans="1:5">
      <c r="A14727" t="s">
        <v>6</v>
      </c>
      <c r="B14727" t="s">
        <v>14732</v>
      </c>
      <c r="C14727">
        <f>HYPERLINK("C:\Users\franc\OneDrive\Documentos\MALENTIN KARIME\BANCO ESTADO\2012 DEPTO ESCRITURAS fata\NOTARIA 2009\BANCO DEL DESARROLLO\ALZAMIENTOS\2008\RICARDO GUIÑEZ.doc", "Abrir Documento")</f>
        <v>0</v>
      </c>
      <c r="D14727" t="s">
        <v>23500</v>
      </c>
      <c r="E14727" t="s">
        <v>37202</v>
      </c>
    </row>
    <row r="14728" spans="1:5">
      <c r="A14728" t="s">
        <v>6</v>
      </c>
      <c r="B14728" t="s">
        <v>14733</v>
      </c>
      <c r="C14728">
        <f>HYPERLINK("C:\Users\franc\OneDrive\Documentos\MALENTIN KARIME\BANCO ESTADO\2012 DEPTO ESCRITURAS fata\NOTARIA 2009\BANCO DEL DESARROLLO\ALZAMIENTOS\2008\MIGUEL CHACANA.doc", "Abrir Documento")</f>
        <v>0</v>
      </c>
      <c r="D14728" t="s">
        <v>23500</v>
      </c>
      <c r="E14728" t="s">
        <v>37203</v>
      </c>
    </row>
    <row r="14729" spans="1:5">
      <c r="A14729" t="s">
        <v>6</v>
      </c>
      <c r="B14729" t="s">
        <v>14734</v>
      </c>
      <c r="C14729">
        <f>HYPERLINK("C:\Users\franc\OneDrive\Documentos\MALENTIN KARIME\BANCO ESTADO\2012 DEPTO ESCRITURAS fata\NOTARIA 2009\BANCO DEL DESARROLLO\ALZAMIENTOS\2008\MARCOS ZAPATA.doc", "Abrir Documento")</f>
        <v>0</v>
      </c>
      <c r="D14729" t="s">
        <v>23500</v>
      </c>
      <c r="E14729" t="s">
        <v>37204</v>
      </c>
    </row>
    <row r="14730" spans="1:5">
      <c r="A14730" t="s">
        <v>6</v>
      </c>
      <c r="B14730" t="s">
        <v>14735</v>
      </c>
      <c r="C14730">
        <f>HYPERLINK("C:\Users\franc\OneDrive\Documentos\MALENTIN KARIME\BANCO ESTADO\2012 DEPTO ESCRITURAS fata\NOTARIA 2009\BANCO DEL DESARROLLO\ALZAMIENTOS\2008\JUAN GALVEZ SALINAS.doc", "Abrir Documento")</f>
        <v>0</v>
      </c>
      <c r="D14730" t="s">
        <v>23500</v>
      </c>
      <c r="E14730" t="s">
        <v>37205</v>
      </c>
    </row>
    <row r="14731" spans="1:5">
      <c r="A14731" t="s">
        <v>6</v>
      </c>
      <c r="B14731" t="s">
        <v>14736</v>
      </c>
      <c r="C14731">
        <f>HYPERLINK("C:\Users\franc\OneDrive\Documentos\MALENTIN KARIME\BANCO ESTADO\2012 DEPTO ESCRITURAS fata\NOTARIA 2009\BANCO DEL DESARROLLO\ALZAMIENTOS\2008\JORGE FIGUEROA TELLO.doc", "Abrir Documento")</f>
        <v>0</v>
      </c>
      <c r="D14731" t="s">
        <v>23500</v>
      </c>
      <c r="E14731" t="s">
        <v>37206</v>
      </c>
    </row>
    <row r="14732" spans="1:5">
      <c r="A14732" t="s">
        <v>6</v>
      </c>
      <c r="B14732" t="s">
        <v>14737</v>
      </c>
      <c r="C14732">
        <f>HYPERLINK("C:\Users\franc\OneDrive\Documentos\MALENTIN KARIME\BANCO ESTADO\2012 DEPTO ESCRITURAS fata\NOTARIA 2009\BANCO DEL DESARROLLO\ALZAMIENTOS\2008\IGNACIO PIZARRO.doc", "Abrir Documento")</f>
        <v>0</v>
      </c>
      <c r="D14732" t="s">
        <v>23500</v>
      </c>
      <c r="E14732" t="s">
        <v>37207</v>
      </c>
    </row>
    <row r="14733" spans="1:5">
      <c r="A14733" t="s">
        <v>6</v>
      </c>
      <c r="B14733" t="s">
        <v>14738</v>
      </c>
      <c r="C14733">
        <f>HYPERLINK("C:\Users\franc\OneDrive\Documentos\MALENTIN KARIME\BANCO ESTADO\2012 DEPTO ESCRITURAS fata\NOTARIA 2009\BANCO DEL DESARROLLO\ALZAMIENTOS\2008\CRISTINA CASTILLO.doc", "Abrir Documento")</f>
        <v>0</v>
      </c>
      <c r="D14733" t="s">
        <v>23500</v>
      </c>
      <c r="E14733" t="s">
        <v>37208</v>
      </c>
    </row>
    <row r="14734" spans="1:5">
      <c r="A14734" t="s">
        <v>6</v>
      </c>
      <c r="B14734" t="s">
        <v>14739</v>
      </c>
      <c r="C14734">
        <f>HYPERLINK("C:\Users\franc\OneDrive\Documentos\MALENTIN KARIME\BANCO ESTADO\2012 DEPTO ESCRITURAS fata\NOTARIA 2009\BANCO DEL DESARROLLO\ALZAMIENTOS\2008\ALBERTO ALEGRIA.doc", "Abrir Documento")</f>
        <v>0</v>
      </c>
      <c r="D14734" t="s">
        <v>23500</v>
      </c>
      <c r="E14734" t="s">
        <v>37209</v>
      </c>
    </row>
    <row r="14735" spans="1:5">
      <c r="A14735" t="s">
        <v>6</v>
      </c>
      <c r="B14735" t="s">
        <v>14740</v>
      </c>
      <c r="C14735">
        <f>HYPERLINK("C:\Users\franc\OneDrive\Documentos\MALENTIN KARIME\BANCO ESTADO\2012 DEPTO ESCRITURAS fata\NOTARIA 2009\BANCO DEL DESARROLLO\ALZAMIENTOS\2008\AGRICOLA EL CHAÑAR DE RIO HURTADO.doc", "Abrir Documento")</f>
        <v>0</v>
      </c>
      <c r="D14735" t="s">
        <v>23500</v>
      </c>
      <c r="E14735" t="s">
        <v>37210</v>
      </c>
    </row>
    <row r="14736" spans="1:5">
      <c r="A14736" t="s">
        <v>6</v>
      </c>
      <c r="B14736" t="s">
        <v>14741</v>
      </c>
      <c r="C14736">
        <f>HYPERLINK("C:\Users\franc\OneDrive\Documentos\MALENTIN KARIME\BANCO ESTADO\2012 DEPTO ESCRITURAS fata\NOTARIA 2009\BANCO DEL DESARROLLO\ALZAMIENTOS\2007\TAMELCURA.doc", "Abrir Documento")</f>
        <v>0</v>
      </c>
      <c r="D14736" t="s">
        <v>23500</v>
      </c>
      <c r="E14736" t="s">
        <v>37211</v>
      </c>
    </row>
    <row r="14737" spans="1:5">
      <c r="A14737" t="s">
        <v>6</v>
      </c>
      <c r="B14737" t="s">
        <v>14742</v>
      </c>
      <c r="C14737">
        <f>HYPERLINK("C:\Users\franc\OneDrive\Documentos\MALENTIN KARIME\BANCO ESTADO\2012 DEPTO ESCRITURAS fata\NOTARIA 2009\BANCO DEL DESARROLLO\ALZAMIENTOS\2007\SARA MANDUJANO.doc", "Abrir Documento")</f>
        <v>0</v>
      </c>
      <c r="D14737" t="s">
        <v>23500</v>
      </c>
      <c r="E14737" t="s">
        <v>37212</v>
      </c>
    </row>
    <row r="14738" spans="1:5">
      <c r="A14738" t="s">
        <v>6</v>
      </c>
      <c r="B14738" t="s">
        <v>14743</v>
      </c>
      <c r="C14738">
        <f>HYPERLINK("C:\Users\franc\OneDrive\Documentos\MALENTIN KARIME\BANCO ESTADO\2012 DEPTO ESCRITURAS fata\NOTARIA 2009\BANCO DEL DESARROLLO\ALZAMIENTOS\2007\SALVADOR CASTILLO (2).doc", "Abrir Documento")</f>
        <v>0</v>
      </c>
      <c r="D14738" t="s">
        <v>23500</v>
      </c>
      <c r="E14738" t="s">
        <v>37213</v>
      </c>
    </row>
    <row r="14739" spans="1:5">
      <c r="A14739" t="s">
        <v>6</v>
      </c>
      <c r="B14739" t="s">
        <v>14744</v>
      </c>
      <c r="C14739">
        <f>HYPERLINK("C:\Users\franc\OneDrive\Documentos\MALENTIN KARIME\BANCO ESTADO\2012 DEPTO ESCRITURAS fata\NOTARIA 2009\BANCO DEL DESARROLLO\ALZAMIENTOS\2007\SALVADOR CASTILLO (1).doc", "Abrir Documento")</f>
        <v>0</v>
      </c>
      <c r="D14739" t="s">
        <v>23500</v>
      </c>
      <c r="E14739" t="s">
        <v>37214</v>
      </c>
    </row>
    <row r="14740" spans="1:5">
      <c r="A14740" t="s">
        <v>6</v>
      </c>
      <c r="B14740" t="s">
        <v>14745</v>
      </c>
      <c r="C14740">
        <f>HYPERLINK("C:\Users\franc\OneDrive\Documentos\MALENTIN KARIME\BANCO ESTADO\2012 DEPTO ESCRITURAS fata\NOTARIA 2009\BANCO DEL DESARROLLO\ALZAMIENTOS\2007\RAMON MALLEGAS.doc", "Abrir Documento")</f>
        <v>0</v>
      </c>
      <c r="D14740" t="s">
        <v>23500</v>
      </c>
      <c r="E14740" t="s">
        <v>37215</v>
      </c>
    </row>
    <row r="14741" spans="1:5">
      <c r="A14741" t="s">
        <v>6</v>
      </c>
      <c r="B14741" t="s">
        <v>14746</v>
      </c>
      <c r="C14741">
        <f>HYPERLINK("C:\Users\franc\OneDrive\Documentos\MALENTIN KARIME\BANCO ESTADO\2012 DEPTO ESCRITURAS fata\NOTARIA 2009\BANCO DEL DESARROLLO\ALZAMIENTOS\2007\PATRICIA LUNA CORTES.doc", "Abrir Documento")</f>
        <v>0</v>
      </c>
      <c r="D14741" t="s">
        <v>23500</v>
      </c>
      <c r="E14741" t="s">
        <v>37216</v>
      </c>
    </row>
    <row r="14742" spans="1:5">
      <c r="A14742" t="s">
        <v>6</v>
      </c>
      <c r="B14742" t="s">
        <v>14747</v>
      </c>
      <c r="C14742">
        <f>HYPERLINK("C:\Users\franc\OneDrive\Documentos\MALENTIN KARIME\BANCO ESTADO\2012 DEPTO ESCRITURAS fata\NOTARIA 2009\BANCO DEL DESARROLLO\ALZAMIENTOS\2007\PABLO MUÑOZ.doc", "Abrir Documento")</f>
        <v>0</v>
      </c>
      <c r="D14742" t="s">
        <v>23500</v>
      </c>
      <c r="E14742" t="s">
        <v>37217</v>
      </c>
    </row>
    <row r="14743" spans="1:5">
      <c r="A14743" t="s">
        <v>6</v>
      </c>
      <c r="B14743" t="s">
        <v>14748</v>
      </c>
      <c r="C14743">
        <f>HYPERLINK("C:\Users\franc\OneDrive\Documentos\MALENTIN KARIME\BANCO ESTADO\2012 DEPTO ESCRITURAS fata\NOTARIA 2009\BANCO DEL DESARROLLO\ALZAMIENTOS\2007\MARIA ROBLES ARAYA.doc", "Abrir Documento")</f>
        <v>0</v>
      </c>
      <c r="D14743" t="s">
        <v>23500</v>
      </c>
      <c r="E14743" t="s">
        <v>37218</v>
      </c>
    </row>
    <row r="14744" spans="1:5">
      <c r="A14744" t="s">
        <v>6</v>
      </c>
      <c r="B14744" t="s">
        <v>14749</v>
      </c>
      <c r="C14744">
        <f>HYPERLINK("C:\Users\franc\OneDrive\Documentos\MALENTIN KARIME\BANCO ESTADO\2012 DEPTO ESCRITURAS fata\NOTARIA 2009\BANCO DEL DESARROLLO\ALZAMIENTOS\2007\MARIA ARAYA HUERTA.doc", "Abrir Documento")</f>
        <v>0</v>
      </c>
      <c r="D14744" t="s">
        <v>23500</v>
      </c>
      <c r="E14744" t="s">
        <v>37219</v>
      </c>
    </row>
    <row r="14745" spans="1:5">
      <c r="A14745" t="s">
        <v>6</v>
      </c>
      <c r="B14745" t="s">
        <v>14750</v>
      </c>
      <c r="C14745">
        <f>HYPERLINK("C:\Users\franc\OneDrive\Documentos\MALENTIN KARIME\BANCO ESTADO\2012 DEPTO ESCRITURAS fata\NOTARIA 2009\BANCO DEL DESARROLLO\ALZAMIENTOS\2007\JUAN VILLARROEL Y CIA..doc", "Abrir Documento")</f>
        <v>0</v>
      </c>
      <c r="D14745" t="s">
        <v>23500</v>
      </c>
      <c r="E14745" t="s">
        <v>37220</v>
      </c>
    </row>
    <row r="14746" spans="1:5">
      <c r="A14746" t="s">
        <v>6</v>
      </c>
      <c r="B14746" t="s">
        <v>14751</v>
      </c>
      <c r="C14746">
        <f>HYPERLINK("C:\Users\franc\OneDrive\Documentos\MALENTIN KARIME\BANCO ESTADO\2012 DEPTO ESCRITURAS fata\NOTARIA 2009\BANCO DEL DESARROLLO\ALZAMIENTOS\2007\JUAN CUELLO CUELLO.doc", "Abrir Documento")</f>
        <v>0</v>
      </c>
      <c r="D14746" t="s">
        <v>23500</v>
      </c>
      <c r="E14746" t="s">
        <v>37221</v>
      </c>
    </row>
    <row r="14747" spans="1:5">
      <c r="A14747" t="s">
        <v>6</v>
      </c>
      <c r="B14747" t="s">
        <v>14752</v>
      </c>
      <c r="C14747">
        <f>HYPERLINK("C:\Users\franc\OneDrive\Documentos\MALENTIN KARIME\BANCO ESTADO\2012 DEPTO ESCRITURAS fata\NOTARIA 2009\BANCO DEL DESARROLLO\ALZAMIENTOS\2007\JUAN CONTRERAS BALLESTEROS.doc", "Abrir Documento")</f>
        <v>0</v>
      </c>
      <c r="D14747" t="s">
        <v>23500</v>
      </c>
      <c r="E14747" t="s">
        <v>37222</v>
      </c>
    </row>
    <row r="14748" spans="1:5">
      <c r="A14748" t="s">
        <v>6</v>
      </c>
      <c r="B14748" t="s">
        <v>14753</v>
      </c>
      <c r="C14748">
        <f>HYPERLINK("C:\Users\franc\OneDrive\Documentos\MALENTIN KARIME\BANCO ESTADO\2012 DEPTO ESCRITURAS fata\NOTARIA 2009\BANCO DEL DESARROLLO\ALZAMIENTOS\2007\JORGE QUIROZ PENNA.doc", "Abrir Documento")</f>
        <v>0</v>
      </c>
      <c r="D14748" t="s">
        <v>23500</v>
      </c>
      <c r="E14748" t="s">
        <v>37223</v>
      </c>
    </row>
    <row r="14749" spans="1:5">
      <c r="A14749" t="s">
        <v>6</v>
      </c>
      <c r="B14749" t="s">
        <v>14754</v>
      </c>
      <c r="C14749">
        <f>HYPERLINK("C:\Users\franc\OneDrive\Documentos\MALENTIN KARIME\BANCO ESTADO\2012 DEPTO ESCRITURAS fata\NOTARIA 2009\BANCO DEL DESARROLLO\ALZAMIENTOS\2007\JORGE QUIROZ PENNA  2.doc", "Abrir Documento")</f>
        <v>0</v>
      </c>
      <c r="D14749" t="s">
        <v>23500</v>
      </c>
      <c r="E14749" t="s">
        <v>37224</v>
      </c>
    </row>
    <row r="14750" spans="1:5">
      <c r="A14750" t="s">
        <v>6</v>
      </c>
      <c r="B14750" t="s">
        <v>14755</v>
      </c>
      <c r="C14750">
        <f>HYPERLINK("C:\Users\franc\OneDrive\Documentos\MALENTIN KARIME\BANCO ESTADO\2012 DEPTO ESCRITURAS fata\NOTARIA 2009\BANCO DEL DESARROLLO\ALZAMIENTOS\2007\INMOBILIARIA DOBLE M.doc", "Abrir Documento")</f>
        <v>0</v>
      </c>
      <c r="D14750" t="s">
        <v>23500</v>
      </c>
      <c r="E14750" t="s">
        <v>37225</v>
      </c>
    </row>
    <row r="14751" spans="1:5">
      <c r="A14751" t="s">
        <v>6</v>
      </c>
      <c r="B14751" t="s">
        <v>14756</v>
      </c>
      <c r="C14751">
        <f>HYPERLINK("C:\Users\franc\OneDrive\Documentos\MALENTIN KARIME\BANCO ESTADO\2012 DEPTO ESCRITURAS fata\NOTARIA 2009\BANCO DEL DESARROLLO\ALZAMIENTOS\2007\INMOBILIARIA DOBLE M  2.doc", "Abrir Documento")</f>
        <v>0</v>
      </c>
      <c r="D14751" t="s">
        <v>23500</v>
      </c>
      <c r="E14751" t="s">
        <v>37226</v>
      </c>
    </row>
    <row r="14752" spans="1:5">
      <c r="A14752" t="s">
        <v>6</v>
      </c>
      <c r="B14752" t="s">
        <v>14757</v>
      </c>
      <c r="C14752">
        <f>HYPERLINK("C:\Users\franc\OneDrive\Documentos\MALENTIN KARIME\BANCO ESTADO\2012 DEPTO ESCRITURAS fata\NOTARIA 2009\BANCO DEL DESARROLLO\ALZAMIENTOS\2007\INES ARAYA TIRADO.doc", "Abrir Documento")</f>
        <v>0</v>
      </c>
      <c r="D14752" t="s">
        <v>23500</v>
      </c>
      <c r="E14752" t="s">
        <v>37227</v>
      </c>
    </row>
    <row r="14753" spans="1:5">
      <c r="A14753" t="s">
        <v>6</v>
      </c>
      <c r="B14753" t="s">
        <v>14758</v>
      </c>
      <c r="C14753">
        <f>HYPERLINK("C:\Users\franc\OneDrive\Documentos\MALENTIN KARIME\BANCO ESTADO\2012 DEPTO ESCRITURAS fata\NOTARIA 2009\BANCO DEL DESARROLLO\ALZAMIENTOS\2007\GLORIA TAPIA HERRERA.doc", "Abrir Documento")</f>
        <v>0</v>
      </c>
      <c r="D14753" t="s">
        <v>23500</v>
      </c>
      <c r="E14753" t="s">
        <v>37228</v>
      </c>
    </row>
    <row r="14754" spans="1:5">
      <c r="A14754" t="s">
        <v>6</v>
      </c>
      <c r="B14754" t="s">
        <v>14759</v>
      </c>
      <c r="C14754">
        <f>HYPERLINK("C:\Users\franc\OneDrive\Documentos\MALENTIN KARIME\BANCO ESTADO\2012 DEPTO ESCRITURAS fata\NOTARIA 2009\BANCO DEL DESARROLLO\ALZAMIENTOS\2007\CLUB PESCA Y CAZA.doc", "Abrir Documento")</f>
        <v>0</v>
      </c>
      <c r="D14754" t="s">
        <v>23500</v>
      </c>
      <c r="E14754" t="s">
        <v>37229</v>
      </c>
    </row>
    <row r="14755" spans="1:5">
      <c r="A14755" t="s">
        <v>6</v>
      </c>
      <c r="B14755" t="s">
        <v>14760</v>
      </c>
      <c r="C14755">
        <f>HYPERLINK("C:\Users\franc\OneDrive\Documentos\MALENTIN KARIME\BANCO ESTADO\2012 DEPTO ESCRITURAS fata\NOTARIA 2009\BANCO DEL DESARROLLO\ALZAMIENTOS\2007\CARLOS ROJAS (VEHICULO).doc", "Abrir Documento")</f>
        <v>0</v>
      </c>
      <c r="D14755" t="s">
        <v>23500</v>
      </c>
      <c r="E14755" t="s">
        <v>37230</v>
      </c>
    </row>
    <row r="14756" spans="1:5">
      <c r="A14756" t="s">
        <v>6</v>
      </c>
      <c r="B14756" t="s">
        <v>14761</v>
      </c>
      <c r="C14756">
        <f>HYPERLINK("C:\Users\franc\OneDrive\Documentos\MALENTIN KARIME\BANCO ESTADO\2012 DEPTO ESCRITURAS fata\NOTARIA 2009\BANCO DEL DESARROLLO\ALZAMIENTOS\2007\BERNARDO ALFARO 3.doc", "Abrir Documento")</f>
        <v>0</v>
      </c>
      <c r="D14756" t="s">
        <v>23500</v>
      </c>
      <c r="E14756" t="s">
        <v>37231</v>
      </c>
    </row>
    <row r="14757" spans="1:5">
      <c r="A14757" t="s">
        <v>6</v>
      </c>
      <c r="B14757" t="s">
        <v>14762</v>
      </c>
      <c r="C14757">
        <f>HYPERLINK("C:\Users\franc\OneDrive\Documentos\MALENTIN KARIME\BANCO ESTADO\2012 DEPTO ESCRITURAS fata\NOTARIA 2009\BANCO DEL DESARROLLO\ALZAMIENTOS\2007\BERNARDO ALFARO 2.doc", "Abrir Documento")</f>
        <v>0</v>
      </c>
      <c r="D14757" t="s">
        <v>23500</v>
      </c>
      <c r="E14757" t="s">
        <v>37232</v>
      </c>
    </row>
    <row r="14758" spans="1:5">
      <c r="A14758" t="s">
        <v>6</v>
      </c>
      <c r="B14758" t="s">
        <v>14763</v>
      </c>
      <c r="C14758">
        <f>HYPERLINK("C:\Users\franc\OneDrive\Documentos\MALENTIN KARIME\BANCO ESTADO\2012 DEPTO ESCRITURAS fata\NOTARIA 2009\BANCO DEL DESARROLLO\ALZAMIENTOS\2007\BERNARDO ALFARO 1.doc", "Abrir Documento")</f>
        <v>0</v>
      </c>
      <c r="D14758" t="s">
        <v>23500</v>
      </c>
      <c r="E14758" t="s">
        <v>37233</v>
      </c>
    </row>
    <row r="14759" spans="1:5">
      <c r="A14759" t="s">
        <v>6</v>
      </c>
      <c r="B14759" t="s">
        <v>14764</v>
      </c>
      <c r="C14759">
        <f>HYPERLINK("C:\Users\franc\OneDrive\Documentos\MALENTIN KARIME\BANCO ESTADO\2012 DEPTO ESCRITURAS fata\NOTARIA 2009\BANCO DEL DESARROLLO\ALZAMIENTOS\2007\ASOC. CANALISTAS RECOLETA.doc", "Abrir Documento")</f>
        <v>0</v>
      </c>
      <c r="D14759" t="s">
        <v>23500</v>
      </c>
      <c r="E14759" t="s">
        <v>37234</v>
      </c>
    </row>
    <row r="14760" spans="1:5">
      <c r="A14760" t="s">
        <v>6</v>
      </c>
      <c r="B14760" t="s">
        <v>14765</v>
      </c>
      <c r="C14760">
        <f>HYPERLINK("C:\Users\franc\OneDrive\Documentos\MALENTIN KARIME\BANCO ESTADO\2012 DEPTO ESCRITURAS fata\NOTARIA 2009\BANCO DEL DESARROLLO\ALZAMIENTOS\2007\AMADIEL DEL ROSARIO MALDONADO CONTRERAS.doc", "Abrir Documento")</f>
        <v>0</v>
      </c>
      <c r="D14760" t="s">
        <v>23500</v>
      </c>
      <c r="E14760" t="s">
        <v>37235</v>
      </c>
    </row>
    <row r="14761" spans="1:5">
      <c r="A14761" t="s">
        <v>6</v>
      </c>
      <c r="B14761" t="s">
        <v>14766</v>
      </c>
      <c r="C14761">
        <f>HYPERLINK("C:\Users\franc\OneDrive\Documentos\MALENTIN KARIME\BANCO ESTADO\2012 DEPTO ESCRITURAS fata\NOTARIA 2009\BANCO DEL DESARROLLO\ALZAMIENTOS\2007\AGRICOLA ALIRO PINTO.doc", "Abrir Documento")</f>
        <v>0</v>
      </c>
      <c r="D14761" t="s">
        <v>23500</v>
      </c>
      <c r="E14761" t="s">
        <v>37236</v>
      </c>
    </row>
    <row r="14762" spans="1:5">
      <c r="A14762" t="s">
        <v>6</v>
      </c>
      <c r="B14762" t="s">
        <v>14767</v>
      </c>
      <c r="C14762">
        <f>HYPERLINK("C:\Users\franc\OneDrive\Documentos\MALENTIN KARIME\BANCO ESTADO\2012 DEPTO ESCRITURAS fata\NOTARIA 2009\BANCO DEL DESARROLLO\ALZAMIENTOS\2007\ABEL GALLARDO.doc", "Abrir Documento")</f>
        <v>0</v>
      </c>
      <c r="D14762" t="s">
        <v>23500</v>
      </c>
      <c r="E14762" t="s">
        <v>37237</v>
      </c>
    </row>
    <row r="14763" spans="1:5">
      <c r="A14763" t="s">
        <v>6</v>
      </c>
      <c r="B14763" t="s">
        <v>14768</v>
      </c>
      <c r="C14763">
        <f>HYPERLINK("C:\Users\franc\OneDrive\Documentos\MALENTIN KARIME\BANCO ESTADO\2012 DEPTO ESCRITURAS fata\NOTARIA 2009\BANCO DEL DESARROLLO\ALZAMIENTOS\Zulema Alucema Araya.doc", "Abrir Documento")</f>
        <v>0</v>
      </c>
      <c r="D14763" t="s">
        <v>23500</v>
      </c>
      <c r="E14763" t="s">
        <v>37238</v>
      </c>
    </row>
    <row r="14764" spans="1:5">
      <c r="A14764" t="s">
        <v>6</v>
      </c>
      <c r="B14764" t="s">
        <v>14769</v>
      </c>
      <c r="C14764">
        <f>HYPERLINK("C:\Users\franc\OneDrive\Documentos\MALENTIN KARIME\BANCO ESTADO\2012 DEPTO ESCRITURAS fata\NOTARIA 2009\BANCO DEL DESARROLLO\ALZAMIENTOS\ZOILA OLIVARES VALVERDE.doc", "Abrir Documento")</f>
        <v>0</v>
      </c>
      <c r="D14764" t="s">
        <v>23500</v>
      </c>
      <c r="E14764" t="s">
        <v>37239</v>
      </c>
    </row>
    <row r="14765" spans="1:5">
      <c r="A14765" t="s">
        <v>6</v>
      </c>
      <c r="B14765" t="s">
        <v>14770</v>
      </c>
      <c r="C14765">
        <f>HYPERLINK("C:\Users\franc\OneDrive\Documentos\MALENTIN KARIME\BANCO ESTADO\2012 DEPTO ESCRITURAS fata\NOTARIA 2009\BANCO DEL DESARROLLO\ALZAMIENTOS\YESSICA ARAYA ROJAS.doc", "Abrir Documento")</f>
        <v>0</v>
      </c>
      <c r="D14765" t="s">
        <v>23500</v>
      </c>
      <c r="E14765" t="s">
        <v>37240</v>
      </c>
    </row>
    <row r="14766" spans="1:5">
      <c r="A14766" t="s">
        <v>6</v>
      </c>
      <c r="B14766" t="s">
        <v>14771</v>
      </c>
      <c r="C14766">
        <f>HYPERLINK("C:\Users\franc\OneDrive\Documentos\MALENTIN KARIME\BANCO ESTADO\2012 DEPTO ESCRITURAS fata\NOTARIA 2009\BANCO DEL DESARROLLO\ALZAMIENTOS\SOC. ALIRO PINTO.doc", "Abrir Documento")</f>
        <v>0</v>
      </c>
      <c r="D14766" t="s">
        <v>23500</v>
      </c>
      <c r="E14766" t="s">
        <v>37241</v>
      </c>
    </row>
    <row r="14767" spans="1:5">
      <c r="A14767" t="s">
        <v>6</v>
      </c>
      <c r="B14767" t="s">
        <v>14772</v>
      </c>
      <c r="C14767">
        <f>HYPERLINK("C:\Users\franc\OneDrive\Documentos\MALENTIN KARIME\BANCO ESTADO\2012 DEPTO ESCRITURAS fata\NOTARIA 2009\BANCO DEL DESARROLLO\ALZAMIENTOS\SOC. AGRICOLA RECOLETA LTDA..doc", "Abrir Documento")</f>
        <v>0</v>
      </c>
      <c r="D14767" t="s">
        <v>23500</v>
      </c>
      <c r="E14767" t="s">
        <v>37242</v>
      </c>
    </row>
    <row r="14768" spans="1:5">
      <c r="A14768" t="s">
        <v>6</v>
      </c>
      <c r="B14768" t="s">
        <v>14773</v>
      </c>
      <c r="C14768">
        <f>HYPERLINK("C:\Users\franc\OneDrive\Documentos\MALENTIN KARIME\BANCO ESTADO\2012 DEPTO ESCRITURAS fata\NOTARIA 2009\BANCO DEL DESARROLLO\ALZAMIENTOS\SISTINA ROJAS VEGA.doc", "Abrir Documento")</f>
        <v>0</v>
      </c>
      <c r="D14768" t="s">
        <v>23500</v>
      </c>
      <c r="E14768" t="s">
        <v>37243</v>
      </c>
    </row>
    <row r="14769" spans="1:5">
      <c r="A14769" t="s">
        <v>6</v>
      </c>
      <c r="B14769" t="s">
        <v>14774</v>
      </c>
      <c r="C14769">
        <f>HYPERLINK("C:\Users\franc\OneDrive\Documentos\MALENTIN KARIME\BANCO ESTADO\2012 DEPTO ESCRITURAS fata\NOTARIA 2009\BANCO DEL DESARROLLO\ALZAMIENTOS\SERGIO CASTRO.doc", "Abrir Documento")</f>
        <v>0</v>
      </c>
      <c r="D14769" t="s">
        <v>23500</v>
      </c>
      <c r="E14769" t="s">
        <v>37244</v>
      </c>
    </row>
    <row r="14770" spans="1:5">
      <c r="A14770" t="s">
        <v>6</v>
      </c>
      <c r="B14770" t="s">
        <v>14775</v>
      </c>
      <c r="C14770">
        <f>HYPERLINK("C:\Users\franc\OneDrive\Documentos\MALENTIN KARIME\BANCO ESTADO\2012 DEPTO ESCRITURAS fata\NOTARIA 2009\BANCO DEL DESARROLLO\ALZAMIENTOS\ROXANA ROJAS CASTILLO.doc", "Abrir Documento")</f>
        <v>0</v>
      </c>
      <c r="D14770" t="s">
        <v>23500</v>
      </c>
      <c r="E14770" t="s">
        <v>37245</v>
      </c>
    </row>
    <row r="14771" spans="1:5">
      <c r="A14771" t="s">
        <v>6</v>
      </c>
      <c r="B14771" t="s">
        <v>14776</v>
      </c>
      <c r="C14771">
        <f>HYPERLINK("C:\Users\franc\OneDrive\Documentos\MALENTIN KARIME\BANCO ESTADO\2012 DEPTO ESCRITURAS fata\NOTARIA 2009\BANCO DEL DESARROLLO\ALZAMIENTOS\ROSA GODOY AGUIRRE.doc", "Abrir Documento")</f>
        <v>0</v>
      </c>
      <c r="D14771" t="s">
        <v>23500</v>
      </c>
      <c r="E14771" t="s">
        <v>37246</v>
      </c>
    </row>
    <row r="14772" spans="1:5">
      <c r="A14772" t="s">
        <v>6</v>
      </c>
      <c r="B14772" t="s">
        <v>14777</v>
      </c>
      <c r="C14772">
        <f>HYPERLINK("C:\Users\franc\OneDrive\Documentos\MALENTIN KARIME\BANCO ESTADO\2012 DEPTO ESCRITURAS fata\NOTARIA 2009\BANCO DEL DESARROLLO\ALZAMIENTOS\ROSA CORTES ORREGO.doc", "Abrir Documento")</f>
        <v>0</v>
      </c>
      <c r="D14772" t="s">
        <v>23500</v>
      </c>
      <c r="E14772" t="s">
        <v>37247</v>
      </c>
    </row>
    <row r="14773" spans="1:5">
      <c r="A14773" t="s">
        <v>6</v>
      </c>
      <c r="B14773" t="s">
        <v>14778</v>
      </c>
      <c r="C14773">
        <f>HYPERLINK("C:\Users\franc\OneDrive\Documentos\MALENTIN KARIME\BANCO ESTADO\2012 DEPTO ESCRITURAS fata\NOTARIA 2009\BANCO DEL DESARROLLO\ALZAMIENTOS\Rodolfo Rojas Lameles.doc", "Abrir Documento")</f>
        <v>0</v>
      </c>
      <c r="D14773" t="s">
        <v>23500</v>
      </c>
      <c r="E14773" t="s">
        <v>37248</v>
      </c>
    </row>
    <row r="14774" spans="1:5">
      <c r="A14774" t="s">
        <v>6</v>
      </c>
      <c r="B14774" t="s">
        <v>14779</v>
      </c>
      <c r="C14774">
        <f>HYPERLINK("C:\Users\franc\OneDrive\Documentos\MALENTIN KARIME\BANCO ESTADO\2012 DEPTO ESCRITURAS fata\NOTARIA 2009\BANCO DEL DESARROLLO\ALZAMIENTOS\ORLANDO GONZALEZ.doc", "Abrir Documento")</f>
        <v>0</v>
      </c>
      <c r="D14774" t="s">
        <v>23500</v>
      </c>
      <c r="E14774" t="s">
        <v>37249</v>
      </c>
    </row>
    <row r="14775" spans="1:5">
      <c r="A14775" t="s">
        <v>6</v>
      </c>
      <c r="B14775" t="s">
        <v>14780</v>
      </c>
      <c r="C14775">
        <f>HYPERLINK("C:\Users\franc\OneDrive\Documentos\MALENTIN KARIME\BANCO ESTADO\2012 DEPTO ESCRITURAS fata\NOTARIA 2009\BANCO DEL DESARROLLO\ALZAMIENTOS\ORLANDO GONZALEZ alzamiento hipoteca.doc", "Abrir Documento")</f>
        <v>0</v>
      </c>
      <c r="D14775" t="s">
        <v>23500</v>
      </c>
      <c r="E14775" t="s">
        <v>37250</v>
      </c>
    </row>
    <row r="14776" spans="1:5">
      <c r="A14776" t="s">
        <v>6</v>
      </c>
      <c r="B14776" t="s">
        <v>14781</v>
      </c>
      <c r="C14776">
        <f>HYPERLINK("C:\Users\franc\OneDrive\Documentos\MALENTIN KARIME\BANCO ESTADO\2012 DEPTO ESCRITURAS fata\NOTARIA 2009\BANCO DEL DESARROLLO\ALZAMIENTOS\NILDA HIDALGO.doc", "Abrir Documento")</f>
        <v>0</v>
      </c>
      <c r="D14776" t="s">
        <v>23500</v>
      </c>
      <c r="E14776" t="s">
        <v>37251</v>
      </c>
    </row>
    <row r="14777" spans="1:5">
      <c r="A14777" t="s">
        <v>6</v>
      </c>
      <c r="B14777" t="s">
        <v>14782</v>
      </c>
      <c r="C14777">
        <f>HYPERLINK("C:\Users\franc\OneDrive\Documentos\MALENTIN KARIME\BANCO ESTADO\2012 DEPTO ESCRITURAS fata\NOTARIA 2009\BANCO DEL DESARROLLO\ALZAMIENTOS\NATALIA CORREA.doc", "Abrir Documento")</f>
        <v>0</v>
      </c>
      <c r="D14777" t="s">
        <v>23500</v>
      </c>
      <c r="E14777" t="s">
        <v>37252</v>
      </c>
    </row>
    <row r="14778" spans="1:5">
      <c r="A14778" t="s">
        <v>6</v>
      </c>
      <c r="B14778" t="s">
        <v>14783</v>
      </c>
      <c r="C14778">
        <f>HYPERLINK("C:\Users\franc\OneDrive\Documentos\MALENTIN KARIME\BANCO ESTADO\2012 DEPTO ESCRITURAS fata\NOTARIA 2009\BANCO DEL DESARROLLO\ALZAMIENTOS\MODELO NOTARIO.doc", "Abrir Documento")</f>
        <v>0</v>
      </c>
      <c r="D14778" t="s">
        <v>23500</v>
      </c>
      <c r="E14778" t="s">
        <v>37253</v>
      </c>
    </row>
    <row r="14779" spans="1:5">
      <c r="A14779" t="s">
        <v>6</v>
      </c>
      <c r="B14779" t="s">
        <v>14784</v>
      </c>
      <c r="C14779">
        <f>HYPERLINK("C:\Users\franc\OneDrive\Documentos\MALENTIN KARIME\BANCO ESTADO\2012 DEPTO ESCRITURAS fata\NOTARIA 2009\BANCO DEL DESARROLLO\ALZAMIENTOS\MAURICIO LARRONDO ANDRADE.doc", "Abrir Documento")</f>
        <v>0</v>
      </c>
      <c r="D14779" t="s">
        <v>23500</v>
      </c>
      <c r="E14779" t="s">
        <v>37254</v>
      </c>
    </row>
    <row r="14780" spans="1:5">
      <c r="A14780" t="s">
        <v>6</v>
      </c>
      <c r="B14780" t="s">
        <v>14785</v>
      </c>
      <c r="C14780">
        <f>HYPERLINK("C:\Users\franc\OneDrive\Documentos\MALENTIN KARIME\BANCO ESTADO\2012 DEPTO ESCRITURAS fata\NOTARIA 2009\BANCO DEL DESARROLLO\ALZAMIENTOS\MARIANA CARVAJAL.doc", "Abrir Documento")</f>
        <v>0</v>
      </c>
      <c r="D14780" t="s">
        <v>23500</v>
      </c>
      <c r="E14780" t="s">
        <v>37255</v>
      </c>
    </row>
    <row r="14781" spans="1:5">
      <c r="A14781" t="s">
        <v>6</v>
      </c>
      <c r="B14781" t="s">
        <v>14786</v>
      </c>
      <c r="C14781">
        <f>HYPERLINK("C:\Users\franc\OneDrive\Documentos\MALENTIN KARIME\BANCO ESTADO\2012 DEPTO ESCRITURAS fata\NOTARIA 2009\BANCO DEL DESARROLLO\ALZAMIENTOS\MARIA SILVA.doc", "Abrir Documento")</f>
        <v>0</v>
      </c>
      <c r="D14781" t="s">
        <v>23500</v>
      </c>
      <c r="E14781" t="s">
        <v>37256</v>
      </c>
    </row>
    <row r="14782" spans="1:5">
      <c r="A14782" t="s">
        <v>6</v>
      </c>
      <c r="B14782" t="s">
        <v>14787</v>
      </c>
      <c r="C14782">
        <f>HYPERLINK("C:\Users\franc\OneDrive\Documentos\MALENTIN KARIME\BANCO ESTADO\2012 DEPTO ESCRITURAS fata\NOTARIA 2009\BANCO DEL DESARROLLO\ALZAMIENTOS\MARIA PALTA JOFRE.doc", "Abrir Documento")</f>
        <v>0</v>
      </c>
      <c r="D14782" t="s">
        <v>23500</v>
      </c>
      <c r="E14782" t="s">
        <v>37257</v>
      </c>
    </row>
    <row r="14783" spans="1:5">
      <c r="A14783" t="s">
        <v>6</v>
      </c>
      <c r="B14783" t="s">
        <v>14788</v>
      </c>
      <c r="C14783">
        <f>HYPERLINK("C:\Users\franc\OneDrive\Documentos\MALENTIN KARIME\BANCO ESTADO\2012 DEPTO ESCRITURAS fata\NOTARIA 2009\BANCO DEL DESARROLLO\ALZAMIENTOS\MARGARITA OYARCE LANAS.doc", "Abrir Documento")</f>
        <v>0</v>
      </c>
      <c r="D14783" t="s">
        <v>23500</v>
      </c>
      <c r="E14783" t="s">
        <v>37258</v>
      </c>
    </row>
    <row r="14784" spans="1:5">
      <c r="A14784" t="s">
        <v>6</v>
      </c>
      <c r="B14784" t="s">
        <v>14789</v>
      </c>
      <c r="C14784">
        <f>HYPERLINK("C:\Users\franc\OneDrive\Documentos\MALENTIN KARIME\BANCO ESTADO\2012 DEPTO ESCRITURAS fata\NOTARIA 2009\BANCO DEL DESARROLLO\ALZAMIENTOS\MANUEL ROJAS.doc", "Abrir Documento")</f>
        <v>0</v>
      </c>
      <c r="D14784" t="s">
        <v>23500</v>
      </c>
      <c r="E14784" t="s">
        <v>37259</v>
      </c>
    </row>
    <row r="14785" spans="1:5">
      <c r="A14785" t="s">
        <v>6</v>
      </c>
      <c r="B14785" t="s">
        <v>14790</v>
      </c>
      <c r="C14785">
        <f>HYPERLINK("C:\Users\franc\OneDrive\Documentos\MALENTIN KARIME\BANCO ESTADO\2012 DEPTO ESCRITURAS fata\NOTARIA 2009\BANCO DEL DESARROLLO\ALZAMIENTOS\MANUEL CASTILLO.doc", "Abrir Documento")</f>
        <v>0</v>
      </c>
      <c r="D14785" t="s">
        <v>23500</v>
      </c>
      <c r="E14785" t="s">
        <v>37260</v>
      </c>
    </row>
    <row r="14786" spans="1:5">
      <c r="A14786" t="s">
        <v>6</v>
      </c>
      <c r="B14786" t="s">
        <v>14791</v>
      </c>
      <c r="C14786">
        <f>HYPERLINK("C:\Users\franc\OneDrive\Documentos\MALENTIN KARIME\BANCO ESTADO\2012 DEPTO ESCRITURAS fata\NOTARIA 2009\BANCO DEL DESARROLLO\ALZAMIENTOS\LUISA LOPEZ MICHEA.doc", "Abrir Documento")</f>
        <v>0</v>
      </c>
      <c r="D14786" t="s">
        <v>23500</v>
      </c>
      <c r="E14786" t="s">
        <v>37261</v>
      </c>
    </row>
    <row r="14787" spans="1:5">
      <c r="A14787" t="s">
        <v>6</v>
      </c>
      <c r="B14787" t="s">
        <v>14792</v>
      </c>
      <c r="C14787">
        <f>HYPERLINK("C:\Users\franc\OneDrive\Documentos\MALENTIN KARIME\BANCO ESTADO\2012 DEPTO ESCRITURAS fata\NOTARIA 2009\BANCO DEL DESARROLLO\ALZAMIENTOS\LUIS ARAYA ARAYA.doc", "Abrir Documento")</f>
        <v>0</v>
      </c>
      <c r="D14787" t="s">
        <v>23500</v>
      </c>
      <c r="E14787" t="s">
        <v>37262</v>
      </c>
    </row>
    <row r="14788" spans="1:5">
      <c r="A14788" t="s">
        <v>6</v>
      </c>
      <c r="B14788" t="s">
        <v>14793</v>
      </c>
      <c r="C14788">
        <f>HYPERLINK("C:\Users\franc\OneDrive\Documentos\MALENTIN KARIME\BANCO ESTADO\2012 DEPTO ESCRITURAS fata\NOTARIA 2009\BANCO DEL DESARROLLO\ALZAMIENTOS\LUCIA MORENO.doc", "Abrir Documento")</f>
        <v>0</v>
      </c>
      <c r="D14788" t="s">
        <v>23500</v>
      </c>
      <c r="E14788" t="s">
        <v>37263</v>
      </c>
    </row>
    <row r="14789" spans="1:5">
      <c r="A14789" t="s">
        <v>6</v>
      </c>
      <c r="B14789" t="s">
        <v>14794</v>
      </c>
      <c r="C14789">
        <f>HYPERLINK("C:\Users\franc\OneDrive\Documentos\MALENTIN KARIME\BANCO ESTADO\2012 DEPTO ESCRITURAS fata\NOTARIA 2009\BANCO DEL DESARROLLO\ALZAMIENTOS\JULIA SAAVEDRA.doc", "Abrir Documento")</f>
        <v>0</v>
      </c>
      <c r="D14789" t="s">
        <v>23500</v>
      </c>
      <c r="E14789" t="s">
        <v>37264</v>
      </c>
    </row>
    <row r="14790" spans="1:5">
      <c r="A14790" t="s">
        <v>6</v>
      </c>
      <c r="B14790" t="s">
        <v>14795</v>
      </c>
      <c r="C14790">
        <f>HYPERLINK("C:\Users\franc\OneDrive\Documentos\MALENTIN KARIME\BANCO ESTADO\2012 DEPTO ESCRITURAS fata\NOTARIA 2009\BANCO DEL DESARROLLO\ALZAMIENTOS\JORGE ALCAYAGA MOLINA.doc", "Abrir Documento")</f>
        <v>0</v>
      </c>
      <c r="D14790" t="s">
        <v>23500</v>
      </c>
      <c r="E14790" t="s">
        <v>37265</v>
      </c>
    </row>
    <row r="14791" spans="1:5">
      <c r="A14791" t="s">
        <v>6</v>
      </c>
      <c r="B14791" t="s">
        <v>14796</v>
      </c>
      <c r="C14791">
        <f>HYPERLINK("C:\Users\franc\OneDrive\Documentos\MALENTIN KARIME\BANCO ESTADO\2012 DEPTO ESCRITURAS fata\NOTARIA 2009\BANCO DEL DESARROLLO\ALZAMIENTOS\INVERSIONES CERO LTDA..doc", "Abrir Documento")</f>
        <v>0</v>
      </c>
      <c r="D14791" t="s">
        <v>23500</v>
      </c>
      <c r="E14791" t="s">
        <v>37266</v>
      </c>
    </row>
    <row r="14792" spans="1:5">
      <c r="A14792" t="s">
        <v>6</v>
      </c>
      <c r="B14792" t="s">
        <v>14797</v>
      </c>
      <c r="C14792">
        <f>HYPERLINK("C:\Users\franc\OneDrive\Documentos\MALENTIN KARIME\BANCO ESTADO\2012 DEPTO ESCRITURAS fata\NOTARIA 2009\BANCO DEL DESARROLLO\ALZAMIENTOS\HERNAN ARDILES.doc", "Abrir Documento")</f>
        <v>0</v>
      </c>
      <c r="D14792" t="s">
        <v>23500</v>
      </c>
      <c r="E14792" t="s">
        <v>37267</v>
      </c>
    </row>
    <row r="14793" spans="1:5">
      <c r="A14793" t="s">
        <v>6</v>
      </c>
      <c r="B14793" t="s">
        <v>14798</v>
      </c>
      <c r="C14793">
        <f>HYPERLINK("C:\Users\franc\OneDrive\Documentos\MALENTIN KARIME\BANCO ESTADO\2012 DEPTO ESCRITURAS fata\NOTARIA 2009\BANCO DEL DESARROLLO\ALZAMIENTOS\GRACIELA CONTRERAS.doc", "Abrir Documento")</f>
        <v>0</v>
      </c>
      <c r="D14793" t="s">
        <v>23500</v>
      </c>
      <c r="E14793" t="s">
        <v>37268</v>
      </c>
    </row>
    <row r="14794" spans="1:5">
      <c r="A14794" t="s">
        <v>6</v>
      </c>
      <c r="B14794" t="s">
        <v>14799</v>
      </c>
      <c r="C14794">
        <f>HYPERLINK("C:\Users\franc\OneDrive\Documentos\MALENTIN KARIME\BANCO ESTADO\2012 DEPTO ESCRITURAS fata\NOTARIA 2009\BANCO DEL DESARROLLO\ALZAMIENTOS\EUFEMIA DE LA RIVERA.doc", "Abrir Documento")</f>
        <v>0</v>
      </c>
      <c r="D14794" t="s">
        <v>23500</v>
      </c>
      <c r="E14794" t="s">
        <v>37269</v>
      </c>
    </row>
    <row r="14795" spans="1:5">
      <c r="A14795" t="s">
        <v>6</v>
      </c>
      <c r="B14795" t="s">
        <v>14800</v>
      </c>
      <c r="C14795">
        <f>HYPERLINK("C:\Users\franc\OneDrive\Documentos\MALENTIN KARIME\BANCO ESTADO\2012 DEPTO ESCRITURAS fata\NOTARIA 2009\BANCO DEL DESARROLLO\ALZAMIENTOS\ELIANA TORO.doc", "Abrir Documento")</f>
        <v>0</v>
      </c>
      <c r="D14795" t="s">
        <v>23500</v>
      </c>
      <c r="E14795" t="s">
        <v>37270</v>
      </c>
    </row>
    <row r="14796" spans="1:5">
      <c r="A14796" t="s">
        <v>6</v>
      </c>
      <c r="B14796" t="s">
        <v>14801</v>
      </c>
      <c r="C14796">
        <f>HYPERLINK("C:\Users\franc\OneDrive\Documentos\MALENTIN KARIME\BANCO ESTADO\2012 DEPTO ESCRITURAS fata\NOTARIA 2009\BANCO DEL DESARROLLO\ALZAMIENTOS\DOMINGO MOLINA.doc", "Abrir Documento")</f>
        <v>0</v>
      </c>
      <c r="D14796" t="s">
        <v>23500</v>
      </c>
      <c r="E14796" t="s">
        <v>37271</v>
      </c>
    </row>
    <row r="14797" spans="1:5">
      <c r="A14797" t="s">
        <v>6</v>
      </c>
      <c r="B14797" t="s">
        <v>14802</v>
      </c>
      <c r="C14797">
        <f>HYPERLINK("C:\Users\franc\OneDrive\Documentos\MALENTIN KARIME\BANCO ESTADO\2012 DEPTO ESCRITURAS fata\NOTARIA 2009\BANCO DEL DESARROLLO\ALZAMIENTOS\CRISTIAN BARRAZA.doc", "Abrir Documento")</f>
        <v>0</v>
      </c>
      <c r="D14797" t="s">
        <v>23500</v>
      </c>
      <c r="E14797" t="s">
        <v>37272</v>
      </c>
    </row>
    <row r="14798" spans="1:5">
      <c r="A14798" t="s">
        <v>6</v>
      </c>
      <c r="B14798" t="s">
        <v>14803</v>
      </c>
      <c r="C14798">
        <f>HYPERLINK("C:\Users\franc\OneDrive\Documentos\MALENTIN KARIME\BANCO ESTADO\2012 DEPTO ESCRITURAS fata\NOTARIA 2009\BANCO DEL DESARROLLO\ALZAMIENTOS\CONDE Y DIAZ LIMITADA.doc", "Abrir Documento")</f>
        <v>0</v>
      </c>
      <c r="D14798" t="s">
        <v>23500</v>
      </c>
      <c r="E14798" t="s">
        <v>37273</v>
      </c>
    </row>
    <row r="14799" spans="1:5">
      <c r="A14799" t="s">
        <v>6</v>
      </c>
      <c r="B14799" t="s">
        <v>14804</v>
      </c>
      <c r="C14799">
        <f>HYPERLINK("C:\Users\franc\OneDrive\Documentos\MALENTIN KARIME\BANCO ESTADO\2012 DEPTO ESCRITURAS fata\NOTARIA 2009\BANCO DEL DESARROLLO\ALZAMIENTOS\COMERCIAL GONART MODAS.doc", "Abrir Documento")</f>
        <v>0</v>
      </c>
      <c r="D14799" t="s">
        <v>23500</v>
      </c>
      <c r="E14799" t="s">
        <v>37274</v>
      </c>
    </row>
    <row r="14800" spans="1:5">
      <c r="A14800" t="s">
        <v>6</v>
      </c>
      <c r="B14800" t="s">
        <v>14805</v>
      </c>
      <c r="C14800">
        <f>HYPERLINK("C:\Users\franc\OneDrive\Documentos\MALENTIN KARIME\BANCO ESTADO\2012 DEPTO ESCRITURAS fata\NOTARIA 2009\BANCO DEL DESARROLLO\ALZAMIENTOS\CLAUDIO ALFARO.doc", "Abrir Documento")</f>
        <v>0</v>
      </c>
      <c r="D14800" t="s">
        <v>23500</v>
      </c>
      <c r="E14800" t="s">
        <v>37275</v>
      </c>
    </row>
    <row r="14801" spans="1:5">
      <c r="A14801" t="s">
        <v>6</v>
      </c>
      <c r="B14801" t="s">
        <v>14806</v>
      </c>
      <c r="C14801">
        <f>HYPERLINK("C:\Users\franc\OneDrive\Documentos\MALENTIN KARIME\BANCO ESTADO\2012 DEPTO ESCRITURAS fata\NOTARIA 2009\BANCO DEL DESARROLLO\ALZAMIENTOS\CECILIA IBACACHE.doc", "Abrir Documento")</f>
        <v>0</v>
      </c>
      <c r="D14801" t="s">
        <v>23500</v>
      </c>
      <c r="E14801" t="s">
        <v>37276</v>
      </c>
    </row>
    <row r="14802" spans="1:5">
      <c r="A14802" t="s">
        <v>6</v>
      </c>
      <c r="B14802" t="s">
        <v>14807</v>
      </c>
      <c r="C14802">
        <f>HYPERLINK("C:\Users\franc\OneDrive\Documentos\MALENTIN KARIME\BANCO ESTADO\2012 DEPTO ESCRITURAS fata\NOTARIA 2009\BANCO DEL DESARROLLO\ALZAMIENTOS\CECILIA CANTO SOUZA.doc", "Abrir Documento")</f>
        <v>0</v>
      </c>
      <c r="D14802" t="s">
        <v>23500</v>
      </c>
      <c r="E14802" t="s">
        <v>37277</v>
      </c>
    </row>
    <row r="14803" spans="1:5">
      <c r="A14803" t="s">
        <v>6</v>
      </c>
      <c r="B14803" t="s">
        <v>14808</v>
      </c>
      <c r="C14803">
        <f>HYPERLINK("C:\Users\franc\OneDrive\Documentos\MALENTIN KARIME\BANCO ESTADO\2012 DEPTO ESCRITURAS fata\NOTARIA 2009\BANCO DEL DESARROLLO\ALZAMIENTOS\CECILIA BARRAZA.doc", "Abrir Documento")</f>
        <v>0</v>
      </c>
      <c r="D14803" t="s">
        <v>23500</v>
      </c>
      <c r="E14803" t="s">
        <v>37278</v>
      </c>
    </row>
    <row r="14804" spans="1:5">
      <c r="A14804" t="s">
        <v>6</v>
      </c>
      <c r="B14804" t="s">
        <v>14809</v>
      </c>
      <c r="C14804">
        <f>HYPERLINK("C:\Users\franc\OneDrive\Documentos\MALENTIN KARIME\BANCO ESTADO\2012 DEPTO ESCRITURAS fata\NOTARIA 2009\BANCO DEL DESARROLLO\ALZAMIENTOS\CARMEN VEGA.doc", "Abrir Documento")</f>
        <v>0</v>
      </c>
      <c r="D14804" t="s">
        <v>23500</v>
      </c>
      <c r="E14804" t="s">
        <v>37279</v>
      </c>
    </row>
    <row r="14805" spans="1:5">
      <c r="A14805" t="s">
        <v>6</v>
      </c>
      <c r="B14805" t="s">
        <v>14810</v>
      </c>
      <c r="C14805">
        <f>HYPERLINK("C:\Users\franc\OneDrive\Documentos\MALENTIN KARIME\BANCO ESTADO\2012 DEPTO ESCRITURAS fata\NOTARIA 2009\BANCO DEL DESARROLLO\ALZAMIENTOS\CARMEN VEGA CARVAJAL.doc", "Abrir Documento")</f>
        <v>0</v>
      </c>
      <c r="D14805" t="s">
        <v>23500</v>
      </c>
      <c r="E14805" t="s">
        <v>37280</v>
      </c>
    </row>
    <row r="14806" spans="1:5">
      <c r="A14806" t="s">
        <v>6</v>
      </c>
      <c r="B14806" t="s">
        <v>14811</v>
      </c>
      <c r="C14806">
        <f>HYPERLINK("C:\Users\franc\OneDrive\Documentos\MALENTIN KARIME\BANCO ESTADO\2012 DEPTO ESCRITURAS fata\NOTARIA 2009\BANCO DEL DESARROLLO\ALZAMIENTOS\Carlos Cisternas Rojas.doc", "Abrir Documento")</f>
        <v>0</v>
      </c>
      <c r="D14806" t="s">
        <v>23500</v>
      </c>
      <c r="E14806" t="s">
        <v>37281</v>
      </c>
    </row>
    <row r="14807" spans="1:5">
      <c r="A14807" t="s">
        <v>6</v>
      </c>
      <c r="B14807" t="s">
        <v>14812</v>
      </c>
      <c r="C14807">
        <f>HYPERLINK("C:\Users\franc\OneDrive\Documentos\MALENTIN KARIME\BANCO ESTADO\2012 DEPTO ESCRITURAS fata\NOTARIA 2009\BANCO DEL DESARROLLO\ALZAMIENTOS\BLANCA ALFARO.doc", "Abrir Documento")</f>
        <v>0</v>
      </c>
      <c r="D14807" t="s">
        <v>23500</v>
      </c>
      <c r="E14807" t="s">
        <v>37282</v>
      </c>
    </row>
    <row r="14808" spans="1:5">
      <c r="A14808" t="s">
        <v>6</v>
      </c>
      <c r="B14808" t="s">
        <v>14813</v>
      </c>
      <c r="C14808">
        <f>HYPERLINK("C:\Users\franc\OneDrive\Documentos\MALENTIN KARIME\BANCO ESTADO\2012 DEPTO ESCRITURAS fata\NOTARIA 2009\BANCO DEL DESARROLLO\ALZAMIENTOS\ANA CASTRO OGALDE.doc", "Abrir Documento")</f>
        <v>0</v>
      </c>
      <c r="D14808" t="s">
        <v>23500</v>
      </c>
      <c r="E14808" t="s">
        <v>37283</v>
      </c>
    </row>
    <row r="14809" spans="1:5">
      <c r="A14809" t="s">
        <v>6</v>
      </c>
      <c r="B14809" t="s">
        <v>14814</v>
      </c>
      <c r="C14809">
        <f>HYPERLINK("C:\Users\franc\OneDrive\Documentos\MALENTIN KARIME\BANCO ESTADO\2012 DEPTO ESCRITURAS fata\NOTARIA 2009\BANCO DEL DESARROLLO\ALZAMIENTOS\ALIDA FLORES.doc", "Abrir Documento")</f>
        <v>0</v>
      </c>
      <c r="D14809" t="s">
        <v>23500</v>
      </c>
      <c r="E14809" t="s">
        <v>37284</v>
      </c>
    </row>
    <row r="14810" spans="1:5">
      <c r="A14810" t="s">
        <v>6</v>
      </c>
      <c r="B14810" t="s">
        <v>14815</v>
      </c>
      <c r="C14810">
        <f>HYPERLINK("C:\Users\franc\OneDrive\Documentos\MALENTIN KARIME\BANCO ESTADO\2012 DEPTO ESCRITURAS fata\NOTARIA 2009\BANCO DEL DESARROLLO\ALZAMIENTOS\ADRIAN CORTES.doc", "Abrir Documento")</f>
        <v>0</v>
      </c>
      <c r="D14810" t="s">
        <v>23500</v>
      </c>
      <c r="E14810" t="s">
        <v>37285</v>
      </c>
    </row>
    <row r="14811" spans="1:5">
      <c r="A14811" t="s">
        <v>6</v>
      </c>
      <c r="B14811" t="s">
        <v>14816</v>
      </c>
      <c r="C14811">
        <f>HYPERLINK("C:\Users\franc\OneDrive\Documentos\MALENTIN KARIME\BANCO ESTADO\2012 DEPTO ESCRITURAS fata\NOTARIA 2009\BANCO DEL DESARROLLO\ACLARACION\CARLOS CISTERNAS ALZAMIENTO.doc", "Abrir Documento")</f>
        <v>0</v>
      </c>
      <c r="D14811" t="s">
        <v>23500</v>
      </c>
      <c r="E14811" t="s">
        <v>37286</v>
      </c>
    </row>
    <row r="14812" spans="1:5">
      <c r="A14812" t="s">
        <v>6</v>
      </c>
      <c r="B14812" t="s">
        <v>14817</v>
      </c>
      <c r="C14812">
        <f>HYPERLINK("C:\Users\franc\OneDrive\Documentos\MALENTIN KARIME\BANCO ESTADO\2012 DEPTO ESCRITURAS fata\NOTARIA 2009\BANCO DEL DESARROLLO\VENTA AMADIEL MALDONADO Y Alzamiento BDD.doc", "Abrir Documento")</f>
        <v>0</v>
      </c>
      <c r="D14812" t="s">
        <v>23500</v>
      </c>
      <c r="E14812" t="s">
        <v>37287</v>
      </c>
    </row>
    <row r="14813" spans="1:5">
      <c r="A14813" t="s">
        <v>6</v>
      </c>
      <c r="B14813" t="s">
        <v>14818</v>
      </c>
      <c r="C14813">
        <f>HYPERLINK("C:\Users\franc\OneDrive\Documentos\MALENTIN KARIME\BANCO ESTADO\2012 DEPTO ESCRITURAS fata\NOTARIA 2009\BANCO DEL DESARROLLO\UNI-AGRI a POLO HEREDIA.doc", "Abrir Documento")</f>
        <v>0</v>
      </c>
      <c r="D14813" t="s">
        <v>23500</v>
      </c>
      <c r="E14813" t="s">
        <v>37288</v>
      </c>
    </row>
    <row r="14814" spans="1:5">
      <c r="A14814" t="s">
        <v>6</v>
      </c>
      <c r="B14814" t="s">
        <v>14819</v>
      </c>
      <c r="C14814">
        <f>HYPERLINK("C:\Users\franc\OneDrive\Documentos\MALENTIN KARIME\BANCO ESTADO\2012 DEPTO ESCRITURAS fata\NOTARIA 2009\BANCO DEL DESARROLLO\carta banco.doc", "Abrir Documento")</f>
        <v>0</v>
      </c>
      <c r="D14814" t="s">
        <v>23500</v>
      </c>
      <c r="E14814" t="s">
        <v>37289</v>
      </c>
    </row>
    <row r="14815" spans="1:5">
      <c r="A14815" t="s">
        <v>6</v>
      </c>
      <c r="B14815" t="s">
        <v>14820</v>
      </c>
      <c r="C14815">
        <f>HYPERLINK("C:\Users\franc\OneDrive\Documentos\MALENTIN KARIME\BANCO ESTADO\2012 DEPTO ESCRITURAS fata\NOTARIA 2009\BANCO DEL DESARROLLO\carta banc.doc", "Abrir Documento")</f>
        <v>0</v>
      </c>
      <c r="D14815" t="s">
        <v>23500</v>
      </c>
      <c r="E14815" t="s">
        <v>37290</v>
      </c>
    </row>
    <row r="14816" spans="1:5">
      <c r="A14816" t="s">
        <v>6</v>
      </c>
      <c r="B14816" t="s">
        <v>14821</v>
      </c>
      <c r="C14816">
        <f>HYPERLINK("C:\Users\franc\OneDrive\Documentos\MALENTIN KARIME\BANCO ESTADO\2012 DEPTO ESCRITURAS fata\NOTARIA 2009\BANCO DEL DESARROLLO\ALZAMIENTO DE PRENDA Coq.doc", "Abrir Documento")</f>
        <v>0</v>
      </c>
      <c r="D14816" t="s">
        <v>23500</v>
      </c>
      <c r="E14816" t="s">
        <v>37291</v>
      </c>
    </row>
    <row r="14817" spans="1:5">
      <c r="A14817" t="s">
        <v>6</v>
      </c>
      <c r="B14817" t="s">
        <v>14822</v>
      </c>
      <c r="C14817">
        <f>HYPERLINK("C:\Users\franc\OneDrive\Documentos\MALENTIN KARIME\BANCO ESTADO\2012 DEPTO ESCRITURAS fata\NOTARIA 2009\BANCO DE CREDITO E INVERSIONES\La Itiana (Gondolas) 12-08-2009[2] FINAL.doc", "Abrir Documento")</f>
        <v>0</v>
      </c>
      <c r="D14817" t="s">
        <v>23500</v>
      </c>
      <c r="E14817" t="s">
        <v>37292</v>
      </c>
    </row>
    <row r="14818" spans="1:5">
      <c r="A14818" t="s">
        <v>6</v>
      </c>
      <c r="B14818" t="s">
        <v>14823</v>
      </c>
      <c r="C14818">
        <f>HYPERLINK("C:\Users\franc\OneDrive\Documentos\MALENTIN KARIME\BANCO ESTADO\2012 DEPTO ESCRITURAS fata\NOTARIA 2009\BANCO DE CREDITO E INVERSIONES\La Itiana (Gondolas) 12-08-2009[1].doc", "Abrir Documento")</f>
        <v>0</v>
      </c>
      <c r="D14818" t="s">
        <v>23500</v>
      </c>
      <c r="E14818" t="s">
        <v>37293</v>
      </c>
    </row>
    <row r="14819" spans="1:5">
      <c r="A14819" t="s">
        <v>6</v>
      </c>
      <c r="B14819" t="s">
        <v>14824</v>
      </c>
      <c r="C14819">
        <f>HYPERLINK("C:\Users\franc\OneDrive\Documentos\MALENTIN KARIME\BANCO ESTADO\2012 DEPTO ESCRITURAS fata\NOTARIA 2009\BANCO DE CREDITO E INVERSIONES\El Cienago (01 Jeep usado) 11-08-2009[1].doc", "Abrir Documento")</f>
        <v>0</v>
      </c>
      <c r="D14819" t="s">
        <v>23500</v>
      </c>
      <c r="E14819" t="s">
        <v>37294</v>
      </c>
    </row>
    <row r="14820" spans="1:5">
      <c r="A14820" t="s">
        <v>6</v>
      </c>
      <c r="B14820" t="s">
        <v>14825</v>
      </c>
      <c r="C14820">
        <f>HYPERLINK("C:\Users\franc\OneDrive\Documentos\MALENTIN KARIME\BANCO ESTADO\2012 DEPTO ESCRITURAS fata\NOTARIA 2009\BANCO DE CREDITO E INVERSIONES\DIOMEDES CRUZ - LOTE 1 y 2.doc", "Abrir Documento")</f>
        <v>0</v>
      </c>
      <c r="D14820" t="s">
        <v>23500</v>
      </c>
      <c r="E14820" t="s">
        <v>37295</v>
      </c>
    </row>
    <row r="14821" spans="1:5">
      <c r="A14821" t="s">
        <v>6</v>
      </c>
      <c r="B14821" t="s">
        <v>14826</v>
      </c>
      <c r="C14821">
        <f>HYPERLINK("C:\Users\franc\OneDrive\Documentos\MALENTIN KARIME\BANCO ESTADO\2012 DEPTO ESCRITURAS fata\NOTARIA 2009\BANCO DE CREDITO E INVERSIONES\DIOMEDES CRUZ  - AVENIDA LA PAZ.doc", "Abrir Documento")</f>
        <v>0</v>
      </c>
      <c r="D14821" t="s">
        <v>23500</v>
      </c>
      <c r="E14821" t="s">
        <v>37296</v>
      </c>
    </row>
    <row r="14822" spans="1:5">
      <c r="A14822" t="s">
        <v>6</v>
      </c>
      <c r="B14822" t="s">
        <v>14827</v>
      </c>
      <c r="C14822">
        <f>HYPERLINK("C:\Users\franc\OneDrive\Documentos\MALENTIN KARIME\BANCO ESTADO\2012 DEPTO ESCRITURAS fata\NOTARIA 2009\BANCO DE CREDITO E INVERSIONES\Contrato_Rafael Prohens y Cía. Ltda (01 galpón packing)(11-09-2007).doc", "Abrir Documento")</f>
        <v>0</v>
      </c>
      <c r="D14822" t="s">
        <v>23500</v>
      </c>
      <c r="E14822" t="s">
        <v>37297</v>
      </c>
    </row>
    <row r="14823" spans="1:5">
      <c r="A14823" t="s">
        <v>6</v>
      </c>
      <c r="B14823" t="s">
        <v>14828</v>
      </c>
      <c r="C14823">
        <f>HYPERLINK("C:\Users\franc\OneDrive\Documentos\MALENTIN KARIME\BANCO ESTADO\2012 DEPTO ESCRITURAS fata\NOTARIA 2009\BANCO DE CREDITO E INVERSIONES\Comparecencias y Personerias BCI.doc", "Abrir Documento")</f>
        <v>0</v>
      </c>
      <c r="D14823" t="s">
        <v>23500</v>
      </c>
      <c r="E14823" t="s">
        <v>37298</v>
      </c>
    </row>
    <row r="14824" spans="1:5">
      <c r="A14824" t="s">
        <v>6</v>
      </c>
      <c r="B14824" t="s">
        <v>14829</v>
      </c>
      <c r="C14824">
        <f>HYPERLINK("C:\Users\franc\OneDrive\Documentos\MALENTIN KARIME\BANCO ESTADO\2012 DEPTO ESCRITURAS fata\NOTARIA 2009\BANCO DE CREDITO E INVERSIONES\CIA. MRA. POTRERILLOS LTDA. A BCI (HIPOTECA).doc", "Abrir Documento")</f>
        <v>0</v>
      </c>
      <c r="D14824" t="s">
        <v>23500</v>
      </c>
      <c r="E14824" t="s">
        <v>37299</v>
      </c>
    </row>
    <row r="14825" spans="1:5">
      <c r="A14825" t="s">
        <v>6</v>
      </c>
      <c r="B14825" t="s">
        <v>14830</v>
      </c>
      <c r="C14825">
        <f>HYPERLINK("C:\Users\franc\OneDrive\Documentos\MALENTIN KARIME\BANCO ESTADO\2012 DEPTO ESCRITURAS fata\NOTARIA 2009\BANCO DE CREDITO E INVERSIONES\ALCIDES MUÑOZ (FIANZA).doc", "Abrir Documento")</f>
        <v>0</v>
      </c>
      <c r="D14825" t="s">
        <v>23500</v>
      </c>
      <c r="E14825" t="s">
        <v>37300</v>
      </c>
    </row>
    <row r="14826" spans="1:5">
      <c r="A14826" t="s">
        <v>6</v>
      </c>
      <c r="B14826" t="s">
        <v>14831</v>
      </c>
      <c r="C14826">
        <f>HYPERLINK("C:\Users\franc\OneDrive\Documentos\MALENTIN KARIME\BANCO ESTADO\2012 DEPTO ESCRITURAS fata\NOTARIA 2009\BANCO DE CREDITO E INVERSIONES\AGRICOLA LOS PRIMOS (MANDATO Y FIANZA SOLIDARIA).doc", "Abrir Documento")</f>
        <v>0</v>
      </c>
      <c r="D14826" t="s">
        <v>23500</v>
      </c>
      <c r="E14826" t="s">
        <v>37301</v>
      </c>
    </row>
    <row r="14827" spans="1:5">
      <c r="A14827" t="s">
        <v>6</v>
      </c>
      <c r="B14827" t="s">
        <v>14832</v>
      </c>
      <c r="C14827">
        <f>HYPERLINK("C:\Users\franc\OneDrive\Documentos\MALENTIN KARIME\BANCO ESTADO\2012 DEPTO ESCRITURAS fata\NOTARIA 2009\BANCO DE CREDITO E INVERSIONES\AGRICOLA LOS PRIMOS (FACTORING).doc", "Abrir Documento")</f>
        <v>0</v>
      </c>
      <c r="D14827" t="s">
        <v>23500</v>
      </c>
      <c r="E14827" t="s">
        <v>37302</v>
      </c>
    </row>
    <row r="14828" spans="1:5">
      <c r="A14828" t="s">
        <v>6</v>
      </c>
      <c r="B14828" t="s">
        <v>14833</v>
      </c>
      <c r="C14828">
        <f>HYPERLINK("C:\Users\franc\OneDrive\Documentos\MALENTIN KARIME\BANCO ESTADO\2012 DEPTO ESCRITURAS fata\NOTARIA 2009\BANCO DE CREDITO E INVERSIONES\AGRICOLA LOS PRIMOS (DECLARACION).doc", "Abrir Documento")</f>
        <v>0</v>
      </c>
      <c r="D14828" t="s">
        <v>23500</v>
      </c>
      <c r="E14828" t="s">
        <v>37303</v>
      </c>
    </row>
    <row r="14829" spans="1:5">
      <c r="A14829" t="s">
        <v>6</v>
      </c>
      <c r="B14829" t="s">
        <v>14834</v>
      </c>
      <c r="C14829">
        <f>HYPERLINK("C:\Users\franc\OneDrive\Documentos\MALENTIN KARIME\BANCO ESTADO\2012 DEPTO ESCRITURAS fata\NOTARIA 2009\BANCO CHILE\VALDIVIA Y CAMUS - ALZAMIENTO.doc", "Abrir Documento")</f>
        <v>0</v>
      </c>
      <c r="D14829" t="s">
        <v>23500</v>
      </c>
      <c r="E14829" t="s">
        <v>37304</v>
      </c>
    </row>
    <row r="14830" spans="1:5">
      <c r="A14830" t="s">
        <v>6</v>
      </c>
      <c r="B14830" t="s">
        <v>14835</v>
      </c>
      <c r="C14830">
        <f>HYPERLINK("C:\Users\franc\OneDrive\Documentos\MALENTIN KARIME\BANCO ESTADO\2012 DEPTO ESCRITURAS fata\NOTARIA 2009\BANCO CHILE\SANTA ELIANA PRENDA SIN DESPLAZAMIENTO.doc", "Abrir Documento")</f>
        <v>0</v>
      </c>
      <c r="D14830" t="s">
        <v>23500</v>
      </c>
      <c r="E14830" t="s">
        <v>37305</v>
      </c>
    </row>
    <row r="14831" spans="1:5">
      <c r="A14831" t="s">
        <v>6</v>
      </c>
      <c r="B14831" t="s">
        <v>14836</v>
      </c>
      <c r="C14831">
        <f>HYPERLINK("C:\Users\franc\OneDrive\Documentos\MALENTIN KARIME\BANCO ESTADO\2012 DEPTO ESCRITURAS fata\NOTARIA 2009\BANCO CHILE\SANTA BARBARA A ROBERTO CHAMBE.doc", "Abrir Documento")</f>
        <v>0</v>
      </c>
      <c r="D14831" t="s">
        <v>23500</v>
      </c>
      <c r="E14831" t="s">
        <v>37306</v>
      </c>
    </row>
    <row r="14832" spans="1:5">
      <c r="A14832" t="s">
        <v>6</v>
      </c>
      <c r="B14832" t="s">
        <v>14837</v>
      </c>
      <c r="C14832">
        <f>HYPERLINK("C:\Users\franc\OneDrive\Documentos\MALENTIN KARIME\BANCO ESTADO\2012 DEPTO ESCRITURAS fata\NOTARIA 2009\BANCO CHILE\MODELO NOTARIO SUPLENTE.doc", "Abrir Documento")</f>
        <v>0</v>
      </c>
      <c r="D14832" t="s">
        <v>23500</v>
      </c>
      <c r="E14832" t="s">
        <v>37307</v>
      </c>
    </row>
    <row r="14833" spans="1:5">
      <c r="A14833" t="s">
        <v>6</v>
      </c>
      <c r="B14833" t="s">
        <v>14838</v>
      </c>
      <c r="C14833">
        <f>HYPERLINK("C:\Users\franc\OneDrive\Documentos\MALENTIN KARIME\BANCO ESTADO\2012 DEPTO ESCRITURAS fata\NOTARIA 2009\BANCO CHILE\LORENA VELIZ MUTUO HIPOTECARIO.doc", "Abrir Documento")</f>
        <v>0</v>
      </c>
      <c r="D14833" t="s">
        <v>23500</v>
      </c>
      <c r="E14833" t="s">
        <v>37308</v>
      </c>
    </row>
    <row r="14834" spans="1:5">
      <c r="A14834" t="s">
        <v>6</v>
      </c>
      <c r="B14834" t="s">
        <v>14839</v>
      </c>
      <c r="C14834">
        <f>HYPERLINK("C:\Users\franc\OneDrive\Documentos\MALENTIN KARIME\BANCO ESTADO\2012 DEPTO ESCRITURAS fata\NOTARIA 2009\BANCO CHILE\JUAN ANDRADE TELLO.doc", "Abrir Documento")</f>
        <v>0</v>
      </c>
      <c r="D14834" t="s">
        <v>23500</v>
      </c>
      <c r="E14834" t="s">
        <v>37309</v>
      </c>
    </row>
    <row r="14835" spans="1:5">
      <c r="A14835" t="s">
        <v>6</v>
      </c>
      <c r="B14835" t="s">
        <v>14840</v>
      </c>
      <c r="C14835">
        <f>HYPERLINK("C:\Users\franc\OneDrive\Documentos\MALENTIN KARIME\BANCO ESTADO\2012 DEPTO ESCRITURAS fata\NOTARIA 2009\BANCO CHILE\JUAN ANDRADE TELLO RECTIFICACION.doc", "Abrir Documento")</f>
        <v>0</v>
      </c>
      <c r="D14835" t="s">
        <v>23500</v>
      </c>
      <c r="E14835" t="s">
        <v>37310</v>
      </c>
    </row>
    <row r="14836" spans="1:5">
      <c r="A14836" t="s">
        <v>6</v>
      </c>
      <c r="B14836" t="s">
        <v>14841</v>
      </c>
      <c r="C14836">
        <f>HYPERLINK("C:\Users\franc\OneDrive\Documentos\MALENTIN KARIME\BANCO ESTADO\2012 DEPTO ESCRITURAS fata\NOTARIA 2009\BANCO CHILE\GUSTAVO VEGA - CESAR LORCA MUTUO HIPOTECARI.doc", "Abrir Documento")</f>
        <v>0</v>
      </c>
      <c r="D14836" t="s">
        <v>23500</v>
      </c>
      <c r="E14836" t="s">
        <v>37311</v>
      </c>
    </row>
    <row r="14837" spans="1:5">
      <c r="A14837" t="s">
        <v>6</v>
      </c>
      <c r="B14837" t="s">
        <v>14842</v>
      </c>
      <c r="C14837">
        <f>HYPERLINK("C:\Users\franc\OneDrive\Documentos\MALENTIN KARIME\BANCO ESTADO\2012 DEPTO ESCRITURAS fata\NOTARIA 2009\BANCO CHILE\GUILLERMO ARROYO.doc", "Abrir Documento")</f>
        <v>0</v>
      </c>
      <c r="D14837" t="s">
        <v>23500</v>
      </c>
      <c r="E14837" t="s">
        <v>37312</v>
      </c>
    </row>
    <row r="14838" spans="1:5">
      <c r="A14838" t="s">
        <v>6</v>
      </c>
      <c r="B14838" t="s">
        <v>14843</v>
      </c>
      <c r="C14838">
        <f>HYPERLINK("C:\Users\franc\OneDrive\Documentos\MALENTIN KARIME\BANCO ESTADO\2012 DEPTO ESCRITURAS fata\NOTARIA 2009\BANCO CHILE\ELEODORO ESPINOZA (CANCELACION).doc", "Abrir Documento")</f>
        <v>0</v>
      </c>
      <c r="D14838" t="s">
        <v>23500</v>
      </c>
      <c r="E14838" t="s">
        <v>37313</v>
      </c>
    </row>
    <row r="14839" spans="1:5">
      <c r="A14839" t="s">
        <v>6</v>
      </c>
      <c r="B14839" t="s">
        <v>14844</v>
      </c>
      <c r="C14839">
        <f>HYPERLINK("C:\Users\franc\OneDrive\Documentos\MALENTIN KARIME\BANCO ESTADO\2012 DEPTO ESCRITURAS fata\NOTARIA 2009\BANCO CHILE\CERTIFIC. 20130 BCO CHILE.doc", "Abrir Documento")</f>
        <v>0</v>
      </c>
      <c r="D14839" t="s">
        <v>23500</v>
      </c>
      <c r="E14839" t="s">
        <v>37314</v>
      </c>
    </row>
    <row r="14840" spans="1:5">
      <c r="A14840" t="s">
        <v>6</v>
      </c>
      <c r="B14840" t="s">
        <v>14845</v>
      </c>
      <c r="C14840">
        <f>HYPERLINK("C:\Users\franc\OneDrive\Documentos\MALENTIN KARIME\BANCO ESTADO\2012 DEPTO ESCRITURAS fata\NOTARIA 2009\BANCO CHILE\Alberto Jopia Hidalgo a Banco Chile.doc", "Abrir Documento")</f>
        <v>0</v>
      </c>
      <c r="D14840" t="s">
        <v>23500</v>
      </c>
      <c r="E14840" t="s">
        <v>37315</v>
      </c>
    </row>
    <row r="14841" spans="1:5">
      <c r="A14841" t="s">
        <v>6</v>
      </c>
      <c r="B14841" t="s">
        <v>14846</v>
      </c>
      <c r="C14841">
        <f>HYPERLINK("C:\Users\franc\OneDrive\Documentos\MALENTIN KARIME\BANCO ESTADO\2012 DEPTO ESCRITURAS fata\NOTARIA 2009\AUTORIZACION\FRANCISCO PROHENS.doc", "Abrir Documento")</f>
        <v>0</v>
      </c>
      <c r="D14841" t="s">
        <v>23500</v>
      </c>
      <c r="E14841" t="s">
        <v>37316</v>
      </c>
    </row>
    <row r="14842" spans="1:5">
      <c r="A14842" t="s">
        <v>6</v>
      </c>
      <c r="B14842" t="s">
        <v>14847</v>
      </c>
      <c r="C14842">
        <f>HYPERLINK("C:\Users\franc\OneDrive\Documentos\MALENTIN KARIME\BANCO ESTADO\2012 DEPTO ESCRITURAS fata\NOTARIA 2009\ARTIGUES\REVOCACION.doc", "Abrir Documento")</f>
        <v>0</v>
      </c>
      <c r="D14842" t="s">
        <v>23500</v>
      </c>
      <c r="E14842" t="s">
        <v>37317</v>
      </c>
    </row>
    <row r="14843" spans="1:5">
      <c r="A14843" t="s">
        <v>6</v>
      </c>
      <c r="B14843" t="s">
        <v>14848</v>
      </c>
      <c r="C14843">
        <f>HYPERLINK("C:\Users\franc\OneDrive\Documentos\MALENTIN KARIME\BANCO ESTADO\2012 DEPTO ESCRITURAS fata\NOTARIA 2009\ARTIGUES\JAIME PROHENS.doc", "Abrir Documento")</f>
        <v>0</v>
      </c>
      <c r="D14843" t="s">
        <v>23500</v>
      </c>
      <c r="E14843" t="s">
        <v>37318</v>
      </c>
    </row>
    <row r="14844" spans="1:5">
      <c r="A14844" t="s">
        <v>6</v>
      </c>
      <c r="B14844" t="s">
        <v>14849</v>
      </c>
      <c r="C14844">
        <f>HYPERLINK("C:\Users\franc\OneDrive\Documentos\MALENTIN KARIME\BANCO ESTADO\2012 DEPTO ESCRITURAS fata\NOTARIA 2009\ARTIGUES\ARTIGUES A JAIME NUÑEZ (LOTE.doc", "Abrir Documento")</f>
        <v>0</v>
      </c>
      <c r="D14844" t="s">
        <v>23500</v>
      </c>
      <c r="E14844" t="s">
        <v>37319</v>
      </c>
    </row>
    <row r="14845" spans="1:5">
      <c r="A14845" t="s">
        <v>6</v>
      </c>
      <c r="B14845" t="s">
        <v>14850</v>
      </c>
      <c r="C14845">
        <f>HYPERLINK("C:\Users\franc\OneDrive\Documentos\MALENTIN KARIME\BANCO ESTADO\2012 DEPTO ESCRITURAS fata\NOTARIA 2009\ARRIENDOS M INEROS\SOC. SANTA LAURA A LUCY ZEPEDA.doc", "Abrir Documento")</f>
        <v>0</v>
      </c>
      <c r="D14845" t="s">
        <v>23500</v>
      </c>
      <c r="E14845" t="s">
        <v>37320</v>
      </c>
    </row>
    <row r="14846" spans="1:5">
      <c r="A14846" t="s">
        <v>6</v>
      </c>
      <c r="B14846" t="s">
        <v>14851</v>
      </c>
      <c r="C14846">
        <f>HYPERLINK("C:\Users\franc\OneDrive\Documentos\MALENTIN KARIME\BANCO ESTADO\2012 DEPTO ESCRITURAS fata\NOTARIA 2009\ARRIENDOS M INEROS\SLM CARMEN MATILDE A MIGUEL TAPIA.doc", "Abrir Documento")</f>
        <v>0</v>
      </c>
      <c r="D14846" t="s">
        <v>23500</v>
      </c>
      <c r="E14846" t="s">
        <v>37321</v>
      </c>
    </row>
    <row r="14847" spans="1:5">
      <c r="A14847" t="s">
        <v>6</v>
      </c>
      <c r="B14847" t="s">
        <v>14852</v>
      </c>
      <c r="C14847">
        <f>HYPERLINK("C:\Users\franc\OneDrive\Documentos\MALENTIN KARIME\BANCO ESTADO\2012 DEPTO ESCRITURAS fata\NOTARIA 2009\ARRIENDOS M INEROS\SLM AURORITA 1 AL 8.doc", "Abrir Documento")</f>
        <v>0</v>
      </c>
      <c r="D14847" t="s">
        <v>23500</v>
      </c>
      <c r="E14847" t="s">
        <v>37322</v>
      </c>
    </row>
    <row r="14848" spans="1:5">
      <c r="A14848" t="s">
        <v>6</v>
      </c>
      <c r="B14848" t="s">
        <v>14853</v>
      </c>
      <c r="C14848">
        <f>HYPERLINK("C:\Users\franc\OneDrive\Documentos\MALENTIN KARIME\BANCO ESTADO\2012 DEPTO ESCRITURAS fata\NOTARIA 2009\ARRIENDOS M INEROS\ROMELIO HONORES (LA FARELLON) a EMPRESA CONST. LIRCAY Y CIA. LTDA.-.doc", "Abrir Documento")</f>
        <v>0</v>
      </c>
      <c r="D14848" t="s">
        <v>23500</v>
      </c>
      <c r="E14848" t="s">
        <v>37323</v>
      </c>
    </row>
    <row r="14849" spans="1:5">
      <c r="A14849" t="s">
        <v>6</v>
      </c>
      <c r="B14849" t="s">
        <v>14854</v>
      </c>
      <c r="C14849">
        <f>HYPERLINK("C:\Users\franc\OneDrive\Documentos\MALENTIN KARIME\BANCO ESTADO\2012 DEPTO ESCRITURAS fata\NOTARIA 2009\ARRIENDOS M INEROS\RESCILIACION cont. minero (privado) 04-10-2007.doc", "Abrir Documento")</f>
        <v>0</v>
      </c>
      <c r="D14849" t="s">
        <v>23500</v>
      </c>
      <c r="E14849" t="s">
        <v>37324</v>
      </c>
    </row>
    <row r="14850" spans="1:5">
      <c r="A14850" t="s">
        <v>6</v>
      </c>
      <c r="B14850" t="s">
        <v>14855</v>
      </c>
      <c r="C14850">
        <f>HYPERLINK("C:\Users\franc\OneDrive\Documentos\MALENTIN KARIME\BANCO ESTADO\2012 DEPTO ESCRITURAS fata\NOTARIA 2009\ARRIENDOS M INEROS\RESCILIACION cont. minero (privado)  09-04-2010.doc", "Abrir Documento")</f>
        <v>0</v>
      </c>
      <c r="D14850" t="s">
        <v>23500</v>
      </c>
      <c r="E14850" t="s">
        <v>37325</v>
      </c>
    </row>
    <row r="14851" spans="1:5">
      <c r="A14851" t="s">
        <v>6</v>
      </c>
      <c r="B14851" t="s">
        <v>14856</v>
      </c>
      <c r="C14851">
        <f>HYPERLINK("C:\Users\franc\OneDrive\Documentos\MALENTIN KARIME\BANCO ESTADO\2012 DEPTO ESCRITURAS fata\NOTARIA 2009\ARRIENDOS M INEROS\PUSCANA.doc", "Abrir Documento")</f>
        <v>0</v>
      </c>
      <c r="D14851" t="s">
        <v>23500</v>
      </c>
      <c r="E14851" t="s">
        <v>37326</v>
      </c>
    </row>
    <row r="14852" spans="1:5">
      <c r="A14852" t="s">
        <v>6</v>
      </c>
      <c r="B14852" t="s">
        <v>14857</v>
      </c>
      <c r="C14852">
        <f>HYPERLINK("C:\Users\franc\OneDrive\Documentos\MALENTIN KARIME\BANCO ESTADO\2012 DEPTO ESCRITURAS fata\NOTARIA 2009\ARRIENDOS M INEROS\MODELO ARRIENDO MINERO.doc", "Abrir Documento")</f>
        <v>0</v>
      </c>
      <c r="D14852" t="s">
        <v>23500</v>
      </c>
      <c r="E14852" t="s">
        <v>37327</v>
      </c>
    </row>
    <row r="14853" spans="1:5">
      <c r="A14853" t="s">
        <v>6</v>
      </c>
      <c r="B14853" t="s">
        <v>14858</v>
      </c>
      <c r="C14853">
        <f>HYPERLINK("C:\Users\franc\OneDrive\Documentos\MALENTIN KARIME\BANCO ESTADO\2012 DEPTO ESCRITURAS fata\NOTARIA 2009\ARRIENDOS M INEROS\MIGUEL TAPIA Y OTROS A SOCIEDAD DE HECHO ALEJANRO ARAYA Y OTRO.doc", "Abrir Documento")</f>
        <v>0</v>
      </c>
      <c r="D14853" t="s">
        <v>23500</v>
      </c>
      <c r="E14853" t="s">
        <v>37328</v>
      </c>
    </row>
    <row r="14854" spans="1:5">
      <c r="A14854" t="s">
        <v>6</v>
      </c>
      <c r="B14854" t="s">
        <v>14859</v>
      </c>
      <c r="C14854">
        <f>HYPERLINK("C:\Users\franc\OneDrive\Documentos\MALENTIN KARIME\BANCO ESTADO\2012 DEPTO ESCRITURAS fata\NOTARIA 2009\ARRIENDOS M INEROS\MIGUEL TAPIA Y OTROS A ALEJANDRO ARAYA.doc", "Abrir Documento")</f>
        <v>0</v>
      </c>
      <c r="D14854" t="s">
        <v>23500</v>
      </c>
      <c r="E14854" t="s">
        <v>37329</v>
      </c>
    </row>
    <row r="14855" spans="1:5">
      <c r="A14855" t="s">
        <v>6</v>
      </c>
      <c r="B14855" t="s">
        <v>14860</v>
      </c>
      <c r="C14855">
        <f>HYPERLINK("C:\Users\franc\OneDrive\Documentos\MALENTIN KARIME\BANCO ESTADO\2012 DEPTO ESCRITURAS fata\NOTARIA 2009\ARRIENDOS M INEROS\MIGUEL TAPIA Y OTROS A ALEJANDRO ARAYA DEFINIT.doc", "Abrir Documento")</f>
        <v>0</v>
      </c>
      <c r="D14855" t="s">
        <v>23500</v>
      </c>
      <c r="E14855" t="s">
        <v>37330</v>
      </c>
    </row>
    <row r="14856" spans="1:5">
      <c r="A14856" t="s">
        <v>6</v>
      </c>
      <c r="B14856" t="s">
        <v>14861</v>
      </c>
      <c r="C14856">
        <f>HYPERLINK("C:\Users\franc\OneDrive\Documentos\MALENTIN KARIME\BANCO ESTADO\2012 DEPTO ESCRITURAS fata\NOTARIA 2009\ARRIENDOS M INEROS\MANUELITO MINERALS A MARJORIE ASTUDILLO (FDO. ZAPATA).doc", "Abrir Documento")</f>
        <v>0</v>
      </c>
      <c r="D14856" t="s">
        <v>23500</v>
      </c>
      <c r="E14856" t="s">
        <v>37331</v>
      </c>
    </row>
    <row r="14857" spans="1:5">
      <c r="A14857" t="s">
        <v>6</v>
      </c>
      <c r="B14857" t="s">
        <v>14862</v>
      </c>
      <c r="C14857">
        <f>HYPERLINK("C:\Users\franc\OneDrive\Documentos\MALENTIN KARIME\BANCO ESTADO\2012 DEPTO ESCRITURAS fata\NOTARIA 2009\ARRIENDOS M INEROS\ELIANA ARAYA A ROMELIO HONORES (LA FARELLON).doc", "Abrir Documento")</f>
        <v>0</v>
      </c>
      <c r="D14857" t="s">
        <v>23500</v>
      </c>
      <c r="E14857" t="s">
        <v>37332</v>
      </c>
    </row>
    <row r="14858" spans="1:5">
      <c r="A14858" t="s">
        <v>6</v>
      </c>
      <c r="B14858" t="s">
        <v>14863</v>
      </c>
      <c r="C14858">
        <f>HYPERLINK("C:\Users\franc\OneDrive\Documentos\MALENTIN KARIME\BANCO ESTADO\2012 DEPTO ESCRITURAS fata\NOTARIA 2009\ARRIENDOS M INEROS\DUILIO LETTURA A JUAN SANTELICES 05-10-2007.doc", "Abrir Documento")</f>
        <v>0</v>
      </c>
      <c r="D14858" t="s">
        <v>23500</v>
      </c>
      <c r="E14858" t="s">
        <v>37333</v>
      </c>
    </row>
    <row r="14859" spans="1:5">
      <c r="A14859" t="s">
        <v>6</v>
      </c>
      <c r="B14859" t="s">
        <v>14864</v>
      </c>
      <c r="C14859">
        <f>HYPERLINK("C:\Users\franc\OneDrive\Documentos\MALENTIN KARIME\BANCO ESTADO\2012 DEPTO ESCRITURAS fata\NOTARIA 2009\ARRIENDOS M INEROS\CIA. MRA LOS MANTOS (MIGUEL TAPIA) A IVAN JOFRE.doc", "Abrir Documento")</f>
        <v>0</v>
      </c>
      <c r="D14859" t="s">
        <v>23500</v>
      </c>
      <c r="E14859" t="s">
        <v>37334</v>
      </c>
    </row>
    <row r="14860" spans="1:5">
      <c r="A14860" t="s">
        <v>6</v>
      </c>
      <c r="B14860" t="s">
        <v>14865</v>
      </c>
      <c r="C14860">
        <f>HYPERLINK("C:\Users\franc\OneDrive\Documentos\MALENTIN KARIME\BANCO ESTADO\2012 DEPTO ESCRITURAS fata\NOTARIA 2009\ARRIENDOS M INEROS\ARRIENDO olvido.doc", "Abrir Documento")</f>
        <v>0</v>
      </c>
      <c r="D14860" t="s">
        <v>23500</v>
      </c>
      <c r="E14860" t="s">
        <v>37335</v>
      </c>
    </row>
    <row r="14861" spans="1:5">
      <c r="A14861" t="s">
        <v>6</v>
      </c>
      <c r="B14861" t="s">
        <v>14866</v>
      </c>
      <c r="C14861">
        <f>HYPERLINK("C:\Users\franc\OneDrive\Documentos\MALENTIN KARIME\BANCO ESTADO\2012 DEPTO ESCRITURAS fata\NOTARIA 2009\ARRIENDOS M INEROS\ARRENDAMIENTO SALEM.doc", "Abrir Documento")</f>
        <v>0</v>
      </c>
      <c r="D14861" t="s">
        <v>23500</v>
      </c>
      <c r="E14861" t="s">
        <v>37336</v>
      </c>
    </row>
    <row r="14862" spans="1:5">
      <c r="A14862" t="s">
        <v>6</v>
      </c>
      <c r="B14862" t="s">
        <v>14867</v>
      </c>
      <c r="C14862">
        <f>HYPERLINK("C:\Users\franc\OneDrive\Documentos\MALENTIN KARIME\BANCO ESTADO\2012 DEPTO ESCRITURAS fata\NOTARIA 2009\ARRIENDO PRIVADO\SUC. VILLAR.doc", "Abrir Documento")</f>
        <v>0</v>
      </c>
      <c r="D14862" t="s">
        <v>23500</v>
      </c>
      <c r="E14862" t="s">
        <v>37337</v>
      </c>
    </row>
    <row r="14863" spans="1:5">
      <c r="A14863" t="s">
        <v>6</v>
      </c>
      <c r="B14863" t="s">
        <v>14868</v>
      </c>
      <c r="C14863">
        <f>HYPERLINK("C:\Users\franc\OneDrive\Documentos\MALENTIN KARIME\BANCO ESTADO\2012 DEPTO ESCRITURAS fata\NOTARIA 2009\ARRIENDO PRIVADO\SRA. BOU A SOC. VICHUQUEN.doc", "Abrir Documento")</f>
        <v>0</v>
      </c>
      <c r="D14863" t="s">
        <v>23500</v>
      </c>
      <c r="E14863" t="s">
        <v>37338</v>
      </c>
    </row>
    <row r="14864" spans="1:5">
      <c r="A14864" t="s">
        <v>6</v>
      </c>
      <c r="B14864" t="s">
        <v>14869</v>
      </c>
      <c r="C14864">
        <f>HYPERLINK("C:\Users\franc\OneDrive\Documentos\MALENTIN KARIME\BANCO ESTADO\2012 DEPTO ESCRITURAS fata\NOTARIA 2009\ARRIENDO PRIVADO\CTO- ARRENDAMIENTO MI-FIGARI[1].DOC", "Abrir Documento")</f>
        <v>0</v>
      </c>
      <c r="D14864" t="s">
        <v>23500</v>
      </c>
      <c r="E14864" t="s">
        <v>37339</v>
      </c>
    </row>
    <row r="14865" spans="1:5">
      <c r="A14865" t="s">
        <v>6</v>
      </c>
      <c r="B14865" t="s">
        <v>14870</v>
      </c>
      <c r="C14865">
        <f>HYPERLINK("C:\Users\franc\OneDrive\Documentos\MALENTIN KARIME\BANCO ESTADO\2012 DEPTO ESCRITURAS fata\NOTARIA 2009\ARRENDAMIENTOS\TERMINO ARRENDAMIENTO MIGUEL TAPIA - HERNAN ARAYA.doc", "Abrir Documento")</f>
        <v>0</v>
      </c>
      <c r="D14865" t="s">
        <v>23500</v>
      </c>
      <c r="E14865" t="s">
        <v>37340</v>
      </c>
    </row>
    <row r="14866" spans="1:5">
      <c r="A14866" t="s">
        <v>6</v>
      </c>
      <c r="B14866" t="s">
        <v>14871</v>
      </c>
      <c r="C14866">
        <f>HYPERLINK("C:\Users\franc\OneDrive\Documentos\MALENTIN KARIME\BANCO ESTADO\2012 DEPTO ESCRITURAS fata\NOTARIA 2009\ARRENDAMIENTOS\SOC. AGRICOLA EL SAUCE A CRISTIAN OJEDA.doc", "Abrir Documento")</f>
        <v>0</v>
      </c>
      <c r="D14866" t="s">
        <v>23500</v>
      </c>
      <c r="E14866" t="s">
        <v>37341</v>
      </c>
    </row>
    <row r="14867" spans="1:5">
      <c r="A14867" t="s">
        <v>6</v>
      </c>
      <c r="B14867" t="s">
        <v>14872</v>
      </c>
      <c r="C14867">
        <f>HYPERLINK("C:\Users\franc\OneDrive\Documentos\MALENTIN KARIME\BANCO ESTADO\2012 DEPTO ESCRITURAS fata\NOTARIA 2009\ARRENDAMIENTOS\PARROQUIA.doc", "Abrir Documento")</f>
        <v>0</v>
      </c>
      <c r="D14867" t="s">
        <v>23500</v>
      </c>
      <c r="E14867" t="s">
        <v>37342</v>
      </c>
    </row>
    <row r="14868" spans="1:5">
      <c r="A14868" t="s">
        <v>6</v>
      </c>
      <c r="B14868" t="s">
        <v>14873</v>
      </c>
      <c r="C14868">
        <f>HYPERLINK("C:\Users\franc\OneDrive\Documentos\MALENTIN KARIME\BANCO ESTADO\2012 DEPTO ESCRITURAS fata\NOTARIA 2009\ARRENDAMIENTOS\MIGUEL TAPIA Y OTRO A LUIS CORTES.doc", "Abrir Documento")</f>
        <v>0</v>
      </c>
      <c r="D14868" t="s">
        <v>23500</v>
      </c>
      <c r="E14868" t="s">
        <v>37343</v>
      </c>
    </row>
    <row r="14869" spans="1:5">
      <c r="A14869" t="s">
        <v>6</v>
      </c>
      <c r="B14869" t="s">
        <v>14874</v>
      </c>
      <c r="C14869">
        <f>HYPERLINK("C:\Users\franc\OneDrive\Documentos\MALENTIN KARIME\BANCO ESTADO\2012 DEPTO ESCRITURAS fata\NOTARIA 2009\ARRENDAMIENTOS\MIGUEL TAPIA Y OTRO A JUAN CONTRERAS (PAPA).doc", "Abrir Documento")</f>
        <v>0</v>
      </c>
      <c r="D14869" t="s">
        <v>23500</v>
      </c>
      <c r="E14869" t="s">
        <v>37344</v>
      </c>
    </row>
    <row r="14870" spans="1:5">
      <c r="A14870" t="s">
        <v>6</v>
      </c>
      <c r="B14870" t="s">
        <v>14875</v>
      </c>
      <c r="C14870">
        <f>HYPERLINK("C:\Users\franc\OneDrive\Documentos\MALENTIN KARIME\BANCO ESTADO\2012 DEPTO ESCRITURAS fata\NOTARIA 2009\ARRENDAMIENTOS\MIGUEL TAPIA Y OTRO A JUAN CONTRERAS (HIJO).doc", "Abrir Documento")</f>
        <v>0</v>
      </c>
      <c r="D14870" t="s">
        <v>23500</v>
      </c>
      <c r="E14870" t="s">
        <v>37345</v>
      </c>
    </row>
    <row r="14871" spans="1:5">
      <c r="A14871" t="s">
        <v>6</v>
      </c>
      <c r="B14871" t="s">
        <v>14876</v>
      </c>
      <c r="C14871">
        <f>HYPERLINK("C:\Users\franc\OneDrive\Documentos\MALENTIN KARIME\BANCO ESTADO\2012 DEPTO ESCRITURAS fata\NOTARIA 2009\ARRENDAMIENTOS\MIGUEL TAPIA Y OTRO A HECTOR LOPEZ.doc", "Abrir Documento")</f>
        <v>0</v>
      </c>
      <c r="D14871" t="s">
        <v>23500</v>
      </c>
      <c r="E14871" t="s">
        <v>37346</v>
      </c>
    </row>
    <row r="14872" spans="1:5">
      <c r="A14872" t="s">
        <v>6</v>
      </c>
      <c r="B14872" t="s">
        <v>14877</v>
      </c>
      <c r="C14872">
        <f>HYPERLINK("C:\Users\franc\OneDrive\Documentos\MALENTIN KARIME\BANCO ESTADO\2012 DEPTO ESCRITURAS fata\NOTARIA 2009\ARRENDAMIENTOS\MIGUEL TAPIA Y OTRO A DANIEL CUELLO.doc", "Abrir Documento")</f>
        <v>0</v>
      </c>
      <c r="D14872" t="s">
        <v>23500</v>
      </c>
      <c r="E14872" t="s">
        <v>37347</v>
      </c>
    </row>
    <row r="14873" spans="1:5">
      <c r="A14873" t="s">
        <v>6</v>
      </c>
      <c r="B14873" t="s">
        <v>14878</v>
      </c>
      <c r="C14873">
        <f>HYPERLINK("C:\Users\franc\OneDrive\Documentos\MALENTIN KARIME\BANCO ESTADO\2012 DEPTO ESCRITURAS fata\NOTARIA 2009\ARRENDAMIENTOS\MIGUEL SALINAS PLANTA PROCESADORA.doc", "Abrir Documento")</f>
        <v>0</v>
      </c>
      <c r="D14873" t="s">
        <v>23500</v>
      </c>
      <c r="E14873" t="s">
        <v>37348</v>
      </c>
    </row>
    <row r="14874" spans="1:5">
      <c r="A14874" t="s">
        <v>6</v>
      </c>
      <c r="B14874" t="s">
        <v>14879</v>
      </c>
      <c r="C14874">
        <f>HYPERLINK("C:\Users\franc\OneDrive\Documentos\MALENTIN KARIME\BANCO ESTADO\2012 DEPTO ESCRITURAS fata\NOTARIA 2009\ARRENDAMIENTOS\MARIA CLAUSSEN A DRISCOLL.doc", "Abrir Documento")</f>
        <v>0</v>
      </c>
      <c r="D14874" t="s">
        <v>23500</v>
      </c>
      <c r="E14874" t="s">
        <v>37349</v>
      </c>
    </row>
    <row r="14875" spans="1:5">
      <c r="A14875" t="s">
        <v>6</v>
      </c>
      <c r="B14875" t="s">
        <v>14880</v>
      </c>
      <c r="C14875">
        <f>HYPERLINK("C:\Users\franc\OneDrive\Documentos\MALENTIN KARIME\BANCO ESTADO\2012 DEPTO ESCRITURAS fata\NOTARIA 2009\ARRENDAMIENTOS\MARIA CLAUSSEN A DRISCOLL (AGUAS).doc", "Abrir Documento")</f>
        <v>0</v>
      </c>
      <c r="D14875" t="s">
        <v>23500</v>
      </c>
      <c r="E14875" t="s">
        <v>37350</v>
      </c>
    </row>
    <row r="14876" spans="1:5">
      <c r="A14876" t="s">
        <v>6</v>
      </c>
      <c r="B14876" t="s">
        <v>14881</v>
      </c>
      <c r="C14876">
        <f>HYPERLINK("C:\Users\franc\OneDrive\Documentos\MALENTIN KARIME\BANCO ESTADO\2012 DEPTO ESCRITURAS fata\NOTARIA 2009\ARRENDAMIENTOS\MANTENCION MINERA A MIGUEL TAPIA Y OTRO.doc", "Abrir Documento")</f>
        <v>0</v>
      </c>
      <c r="D14876" t="s">
        <v>23500</v>
      </c>
      <c r="E14876" t="s">
        <v>37351</v>
      </c>
    </row>
    <row r="14877" spans="1:5">
      <c r="A14877" t="s">
        <v>6</v>
      </c>
      <c r="B14877" t="s">
        <v>14882</v>
      </c>
      <c r="C14877">
        <f>HYPERLINK("C:\Users\franc\OneDrive\Documentos\MALENTIN KARIME\BANCO ESTADO\2012 DEPTO ESCRITURAS fata\NOTARIA 2009\ARRENDAMIENTOS\MANTENCION MINERA A MIGUEL TAPIA Y OTRO  (PRIVADO).doc", "Abrir Documento")</f>
        <v>0</v>
      </c>
      <c r="D14877" t="s">
        <v>23500</v>
      </c>
      <c r="E14877" t="s">
        <v>37352</v>
      </c>
    </row>
    <row r="14878" spans="1:5">
      <c r="A14878" t="s">
        <v>6</v>
      </c>
      <c r="B14878" t="s">
        <v>14883</v>
      </c>
      <c r="C14878">
        <f>HYPERLINK("C:\Users\franc\OneDrive\Documentos\MALENTIN KARIME\BANCO ESTADO\2012 DEPTO ESCRITURAS fata\NOTARIA 2009\ARRENDAMIENTOS\JUAN OSSANDON A ERNESTO PEREDA (PROMESA).doc", "Abrir Documento")</f>
        <v>0</v>
      </c>
      <c r="D14878" t="s">
        <v>23500</v>
      </c>
      <c r="E14878" t="s">
        <v>37353</v>
      </c>
    </row>
    <row r="14879" spans="1:5">
      <c r="A14879" t="s">
        <v>6</v>
      </c>
      <c r="B14879" t="s">
        <v>14884</v>
      </c>
      <c r="C14879">
        <f>HYPERLINK("C:\Users\franc\OneDrive\Documentos\MALENTIN KARIME\BANCO ESTADO\2012 DEPTO ESCRITURAS fata\NOTARIA 2009\ARRENDAMIENTOS\IRELVA MOYA[2] a su hijo.doc", "Abrir Documento")</f>
        <v>0</v>
      </c>
      <c r="D14879" t="s">
        <v>23500</v>
      </c>
      <c r="E14879" t="s">
        <v>37354</v>
      </c>
    </row>
    <row r="14880" spans="1:5">
      <c r="A14880" t="s">
        <v>6</v>
      </c>
      <c r="B14880" t="s">
        <v>14885</v>
      </c>
      <c r="C14880">
        <f>HYPERLINK("C:\Users\franc\OneDrive\Documentos\MALENTIN KARIME\BANCO ESTADO\2012 DEPTO ESCRITURAS fata\NOTARIA 2009\ARRENDAMIENTOS\IRELVA MOYA[1] a su hijo.doc", "Abrir Documento")</f>
        <v>0</v>
      </c>
      <c r="D14880" t="s">
        <v>23500</v>
      </c>
      <c r="E14880" t="s">
        <v>37355</v>
      </c>
    </row>
    <row r="14881" spans="1:5">
      <c r="A14881" t="s">
        <v>6</v>
      </c>
      <c r="B14881" t="s">
        <v>14886</v>
      </c>
      <c r="C14881">
        <f>HYPERLINK("C:\Users\franc\OneDrive\Documentos\MALENTIN KARIME\BANCO ESTADO\2012 DEPTO ESCRITURAS fata\NOTARIA 2009\ARRENDAMIENTOS\INMB. SERRAVALLE A INST. CENAFOM S.A..doc", "Abrir Documento")</f>
        <v>0</v>
      </c>
      <c r="D14881" t="s">
        <v>23500</v>
      </c>
      <c r="E14881" t="s">
        <v>37356</v>
      </c>
    </row>
    <row r="14882" spans="1:5">
      <c r="A14882" t="s">
        <v>6</v>
      </c>
      <c r="B14882" t="s">
        <v>14887</v>
      </c>
      <c r="C14882">
        <f>HYPERLINK("C:\Users\franc\OneDrive\Documentos\MALENTIN KARIME\BANCO ESTADO\2012 DEPTO ESCRITURAS fata\NOTARIA 2009\ARRENDAMIENTOS\GRACIELA CORTES Y OTROS A MARIA ZEPEDA.doc", "Abrir Documento")</f>
        <v>0</v>
      </c>
      <c r="D14882" t="s">
        <v>23500</v>
      </c>
      <c r="E14882" t="s">
        <v>37357</v>
      </c>
    </row>
    <row r="14883" spans="1:5">
      <c r="A14883" t="s">
        <v>6</v>
      </c>
      <c r="B14883" t="s">
        <v>14888</v>
      </c>
      <c r="C14883">
        <f>HYPERLINK("C:\Users\franc\OneDrive\Documentos\MALENTIN KARIME\BANCO ESTADO\2012 DEPTO ESCRITURAS fata\NOTARIA 2009\ARRENDAMIENTOS\GRACIELA CORTES Y OTROS A MARIA ZEPEDA 2.doc", "Abrir Documento")</f>
        <v>0</v>
      </c>
      <c r="D14883" t="s">
        <v>23500</v>
      </c>
      <c r="E14883" t="s">
        <v>37358</v>
      </c>
    </row>
    <row r="14884" spans="1:5">
      <c r="A14884" t="s">
        <v>6</v>
      </c>
      <c r="B14884" t="s">
        <v>14889</v>
      </c>
      <c r="C14884">
        <f>HYPERLINK("C:\Users\franc\OneDrive\Documentos\MALENTIN KARIME\BANCO ESTADO\2012 DEPTO ESCRITURAS fata\NOTARIA 2009\ARRENDAMIENTOS\FUAD ALAMO A SOC. DE HECHO.doc", "Abrir Documento")</f>
        <v>0</v>
      </c>
      <c r="D14884" t="s">
        <v>23500</v>
      </c>
      <c r="E14884" t="s">
        <v>37359</v>
      </c>
    </row>
    <row r="14885" spans="1:5">
      <c r="A14885" t="s">
        <v>6</v>
      </c>
      <c r="B14885" t="s">
        <v>14890</v>
      </c>
      <c r="C14885">
        <f>HYPERLINK("C:\Users\franc\OneDrive\Documentos\MALENTIN KARIME\BANCO ESTADO\2012 DEPTO ESCRITURAS fata\NOTARIA 2009\ARRENDAMIENTOS\ELIANA (ALCONES).doc", "Abrir Documento")</f>
        <v>0</v>
      </c>
      <c r="D14885" t="s">
        <v>23500</v>
      </c>
      <c r="E14885" t="s">
        <v>37360</v>
      </c>
    </row>
    <row r="14886" spans="1:5">
      <c r="A14886" t="s">
        <v>6</v>
      </c>
      <c r="B14886" t="s">
        <v>14891</v>
      </c>
      <c r="C14886">
        <f>HYPERLINK("C:\Users\franc\OneDrive\Documentos\MALENTIN KARIME\BANCO ESTADO\2012 DEPTO ESCRITURAS fata\NOTARIA 2009\ARRENDAMIENTOS\ELIANA (ALCONES) 2 OCT. 2009.doc", "Abrir Documento")</f>
        <v>0</v>
      </c>
      <c r="D14886" t="s">
        <v>23500</v>
      </c>
      <c r="E14886" t="s">
        <v>37361</v>
      </c>
    </row>
    <row r="14887" spans="1:5">
      <c r="A14887" t="s">
        <v>6</v>
      </c>
      <c r="B14887" t="s">
        <v>14892</v>
      </c>
      <c r="C14887">
        <f>HYPERLINK("C:\Users\franc\OneDrive\Documentos\MALENTIN KARIME\BANCO ESTADO\2012 DEPTO ESCRITURAS fata\NOTARIA 2009\ARRENDAMIENTOS\DORALISA CASTILLO.doc", "Abrir Documento")</f>
        <v>0</v>
      </c>
      <c r="D14887" t="s">
        <v>23500</v>
      </c>
      <c r="E14887" t="s">
        <v>37362</v>
      </c>
    </row>
    <row r="14888" spans="1:5">
      <c r="A14888" t="s">
        <v>6</v>
      </c>
      <c r="B14888" t="s">
        <v>14893</v>
      </c>
      <c r="C14888">
        <f>HYPERLINK("C:\Users\franc\OneDrive\Documentos\MALENTIN KARIME\BANCO ESTADO\2012 DEPTO ESCRITURAS fata\NOTARIA 2009\ARRENDAMIENTOS\DORALISA CASTILLO 2.doc", "Abrir Documento")</f>
        <v>0</v>
      </c>
      <c r="D14888" t="s">
        <v>23500</v>
      </c>
      <c r="E14888" t="s">
        <v>37363</v>
      </c>
    </row>
    <row r="14889" spans="1:5">
      <c r="A14889" t="s">
        <v>6</v>
      </c>
      <c r="B14889" t="s">
        <v>14894</v>
      </c>
      <c r="C14889">
        <f>HYPERLINK("C:\Users\franc\OneDrive\Documentos\MALENTIN KARIME\BANCO ESTADO\2012 DEPTO ESCRITURAS fata\NOTARIA 2009\ARRENDAMIENTOS\COVALSA A KUPFER (PRIVADO).doc", "Abrir Documento")</f>
        <v>0</v>
      </c>
      <c r="D14889" t="s">
        <v>23500</v>
      </c>
      <c r="E14889" t="s">
        <v>37364</v>
      </c>
    </row>
    <row r="14890" spans="1:5">
      <c r="A14890" t="s">
        <v>6</v>
      </c>
      <c r="B14890" t="s">
        <v>14895</v>
      </c>
      <c r="C14890">
        <f>HYPERLINK("C:\Users\franc\OneDrive\Documentos\MALENTIN KARIME\BANCO ESTADO\2012 DEPTO ESCRITURAS fata\NOTARIA 2009\ARRENDAMIENTOS\COMUNIDAD SALASA A ENERTHI (PROMESA 2).doc", "Abrir Documento")</f>
        <v>0</v>
      </c>
      <c r="D14890" t="s">
        <v>23500</v>
      </c>
      <c r="E14890" t="s">
        <v>37365</v>
      </c>
    </row>
    <row r="14891" spans="1:5">
      <c r="A14891" t="s">
        <v>6</v>
      </c>
      <c r="B14891" t="s">
        <v>14896</v>
      </c>
      <c r="C14891">
        <f>HYPERLINK("C:\Users\franc\OneDrive\Documentos\MALENTIN KARIME\BANCO ESTADO\2012 DEPTO ESCRITURAS fata\NOTARIA 2009\ARRENDAMIENTOS\COMUNIDAD SALALA A ENERTHI (PROMESA).doc", "Abrir Documento")</f>
        <v>0</v>
      </c>
      <c r="D14891" t="s">
        <v>23500</v>
      </c>
      <c r="E14891" t="s">
        <v>37366</v>
      </c>
    </row>
    <row r="14892" spans="1:5">
      <c r="A14892" t="s">
        <v>6</v>
      </c>
      <c r="B14892" t="s">
        <v>14897</v>
      </c>
      <c r="C14892">
        <f>HYPERLINK("C:\Users\franc\OneDrive\Documentos\MALENTIN KARIME\BANCO ESTADO\2012 DEPTO ESCRITURAS fata\NOTARIA 2009\ARRENDAMIENTOS\COMUNIDAD AGRICOLA SALALA A ENERTHI.doc", "Abrir Documento")</f>
        <v>0</v>
      </c>
      <c r="D14892" t="s">
        <v>23500</v>
      </c>
      <c r="E14892" t="s">
        <v>37367</v>
      </c>
    </row>
    <row r="14893" spans="1:5">
      <c r="A14893" t="s">
        <v>6</v>
      </c>
      <c r="B14893" t="s">
        <v>14898</v>
      </c>
      <c r="C14893">
        <f>HYPERLINK("C:\Users\franc\OneDrive\Documentos\MALENTIN KARIME\BANCO ESTADO\2012 DEPTO ESCRITURAS fata\NOTARIA 2009\ARRENDAMIENTOS\COMUNIDAD AGRICOLA ALCONES.doc", "Abrir Documento")</f>
        <v>0</v>
      </c>
      <c r="D14893" t="s">
        <v>23500</v>
      </c>
      <c r="E14893" t="s">
        <v>37368</v>
      </c>
    </row>
    <row r="14894" spans="1:5">
      <c r="A14894" t="s">
        <v>6</v>
      </c>
      <c r="B14894" t="s">
        <v>14899</v>
      </c>
      <c r="C14894">
        <f>HYPERLINK("C:\Users\franc\OneDrive\Documentos\MALENTIN KARIME\BANCO ESTADO\2012 DEPTO ESCRITURAS fata\NOTARIA 2009\ARRENDAMIENTOS\COM. AGRICOLA PUNITAQUI A I. MUNICIPA. DE PUNITAQ.doc", "Abrir Documento")</f>
        <v>0</v>
      </c>
      <c r="D14894" t="s">
        <v>23500</v>
      </c>
      <c r="E14894" t="s">
        <v>37369</v>
      </c>
    </row>
    <row r="14895" spans="1:5">
      <c r="A14895" t="s">
        <v>6</v>
      </c>
      <c r="B14895" t="s">
        <v>14900</v>
      </c>
      <c r="C14895">
        <f>HYPERLINK("C:\Users\franc\OneDrive\Documentos\MALENTIN KARIME\BANCO ESTADO\2012 DEPTO ESCRITURAS fata\NOTARIA 2009\ARRENDAMIENTOS\CARMELA ALFARO A IVAN LAGUNAS.doc", "Abrir Documento")</f>
        <v>0</v>
      </c>
      <c r="D14895" t="s">
        <v>23500</v>
      </c>
      <c r="E14895" t="s">
        <v>37370</v>
      </c>
    </row>
    <row r="14896" spans="1:5">
      <c r="A14896" t="s">
        <v>6</v>
      </c>
      <c r="B14896" t="s">
        <v>14901</v>
      </c>
      <c r="C14896">
        <f>HYPERLINK("C:\Users\franc\OneDrive\Documentos\MALENTIN KARIME\BANCO ESTADO\2012 DEPTO ESCRITURAS fata\NOTARIA 2009\ARRENDAMIENTOS\BRIJIDA CISTERNAS A SOC. VARAS.doc", "Abrir Documento")</f>
        <v>0</v>
      </c>
      <c r="D14896" t="s">
        <v>23500</v>
      </c>
      <c r="E14896" t="s">
        <v>37371</v>
      </c>
    </row>
    <row r="14897" spans="1:5">
      <c r="A14897" t="s">
        <v>6</v>
      </c>
      <c r="B14897" t="s">
        <v>14902</v>
      </c>
      <c r="C14897">
        <f>HYPERLINK("C:\Users\franc\OneDrive\Documentos\MALENTIN KARIME\BANCO ESTADO\2012 DEPTO ESCRITURAS fata\NOTARIA 2009\ARMANDO SALAMANCA}\SLM SN RAMON UNO ÑIPAS A SOC. SAN ISIDRO.doc", "Abrir Documento")</f>
        <v>0</v>
      </c>
      <c r="D14897" t="s">
        <v>23500</v>
      </c>
      <c r="E14897" t="s">
        <v>37372</v>
      </c>
    </row>
    <row r="14898" spans="1:5">
      <c r="A14898" t="s">
        <v>6</v>
      </c>
      <c r="B14898" t="s">
        <v>14903</v>
      </c>
      <c r="C14898">
        <f>HYPERLINK("C:\Users\franc\OneDrive\Documentos\MALENTIN KARIME\BANCO ESTADO\2012 DEPTO ESCRITURAS fata\NOTARIA 2009\ANTONIO SABIONCELLO\MANDATO COMPRA FUNDACION MI CASA.doc", "Abrir Documento")</f>
        <v>0</v>
      </c>
      <c r="D14898" t="s">
        <v>23500</v>
      </c>
      <c r="E14898" t="s">
        <v>37373</v>
      </c>
    </row>
    <row r="14899" spans="1:5">
      <c r="A14899" t="s">
        <v>6</v>
      </c>
      <c r="B14899" t="s">
        <v>14904</v>
      </c>
      <c r="C14899">
        <f>HYPERLINK("C:\Users\franc\OneDrive\Documentos\MALENTIN KARIME\BANCO ESTADO\2012 DEPTO ESCRITURAS fata\NOTARIA 2009\ANTONIO SABIONCELLO\LIDIA ZAPATA - ARRIENDO.doc", "Abrir Documento")</f>
        <v>0</v>
      </c>
      <c r="D14899" t="s">
        <v>23500</v>
      </c>
      <c r="E14899" t="s">
        <v>37374</v>
      </c>
    </row>
    <row r="14900" spans="1:5">
      <c r="A14900" t="s">
        <v>6</v>
      </c>
      <c r="B14900" t="s">
        <v>14905</v>
      </c>
      <c r="C14900">
        <f>HYPERLINK("C:\Users\franc\OneDrive\Documentos\MALENTIN KARIME\BANCO ESTADO\2012 DEPTO ESCRITURAS fata\NOTARIA 2009\ANTONIO SABIONCELLO\JOSE LUIS BARRIOS Y SOC..doc", "Abrir Documento")</f>
        <v>0</v>
      </c>
      <c r="D14900" t="s">
        <v>23500</v>
      </c>
      <c r="E14900" t="s">
        <v>37375</v>
      </c>
    </row>
    <row r="14901" spans="1:5">
      <c r="A14901" t="s">
        <v>6</v>
      </c>
      <c r="B14901" t="s">
        <v>14906</v>
      </c>
      <c r="C14901">
        <f>HYPERLINK("C:\Users\franc\OneDrive\Documentos\MALENTIN KARIME\BANCO ESTADO\2012 DEPTO ESCRITURAS fata\NOTARIA 2009\ANTONIO SABIONCELLO\INVERSER (MARCIAL).doc", "Abrir Documento")</f>
        <v>0</v>
      </c>
      <c r="D14901" t="s">
        <v>23500</v>
      </c>
      <c r="E14901" t="s">
        <v>37376</v>
      </c>
    </row>
    <row r="14902" spans="1:5">
      <c r="A14902" t="s">
        <v>6</v>
      </c>
      <c r="B14902" t="s">
        <v>14907</v>
      </c>
      <c r="C14902">
        <f>HYPERLINK("C:\Users\franc\OneDrive\Documentos\MALENTIN KARIME\BANCO ESTADO\2012 DEPTO ESCRITURAS fata\NOTARIA 2009\ANTONIO SABIONCELLO\INSTRUCCIONES JOSE BARRIOS.doc", "Abrir Documento")</f>
        <v>0</v>
      </c>
      <c r="D14902" t="s">
        <v>23500</v>
      </c>
      <c r="E14902" t="s">
        <v>37377</v>
      </c>
    </row>
    <row r="14903" spans="1:5">
      <c r="A14903" t="s">
        <v>6</v>
      </c>
      <c r="B14903" t="s">
        <v>14908</v>
      </c>
      <c r="C14903">
        <f>HYPERLINK("C:\Users\franc\OneDrive\Documentos\MALENTIN KARIME\BANCO ESTADO\2012 DEPTO ESCRITURAS fata\NOTARIA 2009\ANTONIO SABIONCELLO\INSTRUCCIONES INVERSER.doc", "Abrir Documento")</f>
        <v>0</v>
      </c>
      <c r="D14903" t="s">
        <v>23500</v>
      </c>
      <c r="E14903" t="s">
        <v>37378</v>
      </c>
    </row>
    <row r="14904" spans="1:5">
      <c r="A14904" t="s">
        <v>6</v>
      </c>
      <c r="B14904" t="s">
        <v>14909</v>
      </c>
      <c r="C14904">
        <f>HYPERLINK("C:\Users\franc\OneDrive\Documentos\MALENTIN KARIME\BANCO ESTADO\2012 DEPTO ESCRITURAS fata\NOTARIA 2009\ANTONIO SABIONCELLO\INSTRUCCIONES C. JULIO.doc", "Abrir Documento")</f>
        <v>0</v>
      </c>
      <c r="D14904" t="s">
        <v>23500</v>
      </c>
      <c r="E14904" t="s">
        <v>37379</v>
      </c>
    </row>
    <row r="14905" spans="1:5">
      <c r="A14905" t="s">
        <v>6</v>
      </c>
      <c r="B14905" t="s">
        <v>14910</v>
      </c>
      <c r="C14905">
        <f>HYPERLINK("C:\Users\franc\OneDrive\Documentos\MALENTIN KARIME\BANCO ESTADO\2012 DEPTO ESCRITURAS fata\NOTARIA 2009\ANTONIO SABIONCELLO\INSTRUCCIONES ANA BARRAZA.doc", "Abrir Documento")</f>
        <v>0</v>
      </c>
      <c r="D14905" t="s">
        <v>23500</v>
      </c>
      <c r="E14905" t="s">
        <v>37380</v>
      </c>
    </row>
    <row r="14906" spans="1:5">
      <c r="A14906" t="s">
        <v>6</v>
      </c>
      <c r="B14906" t="s">
        <v>14911</v>
      </c>
      <c r="C14906">
        <f>HYPERLINK("C:\Users\franc\OneDrive\Documentos\MALENTIN KARIME\BANCO ESTADO\2012 DEPTO ESCRITURAS fata\NOTARIA 2009\ANTONIO SABIONCELLO\Fundación Mi Casa. Instrucciones compra Ovalle.doc", "Abrir Documento")</f>
        <v>0</v>
      </c>
      <c r="D14906" t="s">
        <v>23500</v>
      </c>
      <c r="E14906" t="s">
        <v>37381</v>
      </c>
    </row>
    <row r="14907" spans="1:5">
      <c r="A14907" t="s">
        <v>6</v>
      </c>
      <c r="B14907" t="s">
        <v>14912</v>
      </c>
      <c r="C14907">
        <f>HYPERLINK("C:\Users\franc\OneDrive\Documentos\MALENTIN KARIME\BANCO ESTADO\2012 DEPTO ESCRITURAS fata\NOTARIA 2009\ANTONIO SABIONCELLO\COMPRAV.  FUNDACION MI CASA.doc", "Abrir Documento")</f>
        <v>0</v>
      </c>
      <c r="D14907" t="s">
        <v>23500</v>
      </c>
      <c r="E14907" t="s">
        <v>37382</v>
      </c>
    </row>
    <row r="14908" spans="1:5">
      <c r="A14908" t="s">
        <v>6</v>
      </c>
      <c r="B14908" t="s">
        <v>14913</v>
      </c>
      <c r="C14908">
        <f>HYPERLINK("C:\Users\franc\OneDrive\Documentos\MALENTIN KARIME\BANCO ESTADO\2012 DEPTO ESCRITURAS fata\NOTARIA 2009\ANTONIO SABIONCELLO\CLAUDINA JULIO PIÑONES.doc", "Abrir Documento")</f>
        <v>0</v>
      </c>
      <c r="D14908" t="s">
        <v>23500</v>
      </c>
      <c r="E14908" t="s">
        <v>37383</v>
      </c>
    </row>
    <row r="14909" spans="1:5">
      <c r="A14909" t="s">
        <v>6</v>
      </c>
      <c r="B14909" t="s">
        <v>14914</v>
      </c>
      <c r="C14909">
        <f>HYPERLINK("C:\Users\franc\OneDrive\Documentos\MALENTIN KARIME\BANCO ESTADO\2012 DEPTO ESCRITURAS fata\NOTARIA 2009\ANTONIO SABIONCELLO\ANA BARRAZA.doc", "Abrir Documento")</f>
        <v>0</v>
      </c>
      <c r="D14909" t="s">
        <v>23500</v>
      </c>
      <c r="E14909" t="s">
        <v>37384</v>
      </c>
    </row>
    <row r="14910" spans="1:5">
      <c r="A14910" t="s">
        <v>6</v>
      </c>
      <c r="B14910" t="s">
        <v>14915</v>
      </c>
      <c r="C14910">
        <f>HYPERLINK("C:\Users\franc\OneDrive\Documentos\MALENTIN KARIME\BANCO ESTADO\2012 DEPTO ESCRITURAS fata\NOTARIA 2009\ANIBAL SERRANO\COMPRAVENTA.doc", "Abrir Documento")</f>
        <v>0</v>
      </c>
      <c r="D14910" t="s">
        <v>23500</v>
      </c>
      <c r="E14910" t="s">
        <v>37385</v>
      </c>
    </row>
    <row r="14911" spans="1:5">
      <c r="A14911" t="s">
        <v>6</v>
      </c>
      <c r="B14911" t="s">
        <v>14916</v>
      </c>
      <c r="C14911">
        <f>HYPERLINK("C:\Users\franc\OneDrive\Documentos\MALENTIN KARIME\BANCO ESTADO\2012 DEPTO ESCRITURAS fata\NOTARIA 2009\ANDRES MORALES\CESION DERECHOS VALLECITO.doc", "Abrir Documento")</f>
        <v>0</v>
      </c>
      <c r="D14911" t="s">
        <v>23500</v>
      </c>
      <c r="E14911" t="s">
        <v>37386</v>
      </c>
    </row>
    <row r="14912" spans="1:5">
      <c r="A14912" t="s">
        <v>6</v>
      </c>
      <c r="B14912" t="s">
        <v>14917</v>
      </c>
      <c r="C14912">
        <f>HYPERLINK("C:\Users\franc\OneDrive\Documentos\MALENTIN KARIME\BANCO ESTADO\2012 DEPTO ESCRITURAS fata\NOTARIA 2009\ANDRES MORALES\carta.doc", "Abrir Documento")</f>
        <v>0</v>
      </c>
      <c r="D14912" t="s">
        <v>23500</v>
      </c>
      <c r="E14912" t="s">
        <v>37387</v>
      </c>
    </row>
    <row r="14913" spans="1:5">
      <c r="A14913" t="s">
        <v>6</v>
      </c>
      <c r="B14913" t="s">
        <v>14918</v>
      </c>
      <c r="C14913">
        <f>HYPERLINK("C:\Users\franc\OneDrive\Documentos\MALENTIN KARIME\BANCO ESTADO\2012 DEPTO ESCRITURAS fata\NOTARIA 2009\ANDRES CORRAL\ALZAMIENTO SERVIU\SERVIU   AURORA SEGOVIA.doc", "Abrir Documento")</f>
        <v>0</v>
      </c>
      <c r="D14913" t="s">
        <v>23500</v>
      </c>
      <c r="E14913" t="s">
        <v>37388</v>
      </c>
    </row>
    <row r="14914" spans="1:5">
      <c r="A14914" t="s">
        <v>6</v>
      </c>
      <c r="B14914" t="s">
        <v>14919</v>
      </c>
      <c r="C14914">
        <f>HYPERLINK("C:\Users\franc\OneDrive\Documentos\MALENTIN KARIME\BANCO ESTADO\2012 DEPTO ESCRITURAS fata\NOTARIA 2009\ANDRES CORRAL\ALZAMIENTO SERVIU\ROSA CASTILLO.doc", "Abrir Documento")</f>
        <v>0</v>
      </c>
      <c r="D14914" t="s">
        <v>23500</v>
      </c>
      <c r="E14914" t="s">
        <v>37389</v>
      </c>
    </row>
    <row r="14915" spans="1:5">
      <c r="A14915" t="s">
        <v>6</v>
      </c>
      <c r="B14915" t="s">
        <v>14920</v>
      </c>
      <c r="C14915">
        <f>HYPERLINK("C:\Users\franc\OneDrive\Documentos\MALENTIN KARIME\BANCO ESTADO\2012 DEPTO ESCRITURAS fata\NOTARIA 2009\ANDRES CORRAL\ALZAMIENTO SERVIU\ORFELIO ARREDONDO.doc", "Abrir Documento")</f>
        <v>0</v>
      </c>
      <c r="D14915" t="s">
        <v>23500</v>
      </c>
      <c r="E14915" t="s">
        <v>37390</v>
      </c>
    </row>
    <row r="14916" spans="1:5">
      <c r="A14916" t="s">
        <v>6</v>
      </c>
      <c r="B14916" t="s">
        <v>14921</v>
      </c>
      <c r="C14916">
        <f>HYPERLINK("C:\Users\franc\OneDrive\Documentos\MALENTIN KARIME\BANCO ESTADO\2012 DEPTO ESCRITURAS fata\NOTARIA 2009\ANDRES CORRAL\ALZAMIENTO SERVIU\OMAR RAMIREZ.doc", "Abrir Documento")</f>
        <v>0</v>
      </c>
      <c r="D14916" t="s">
        <v>23500</v>
      </c>
      <c r="E14916" t="s">
        <v>37391</v>
      </c>
    </row>
    <row r="14917" spans="1:5">
      <c r="A14917" t="s">
        <v>6</v>
      </c>
      <c r="B14917" t="s">
        <v>14922</v>
      </c>
      <c r="C14917">
        <f>HYPERLINK("C:\Users\franc\OneDrive\Documentos\MALENTIN KARIME\BANCO ESTADO\2012 DEPTO ESCRITURAS fata\NOTARIA 2009\ANDRES CORRAL\ALZAMIENTO SERVIU\NORMA ARAYA   (C. ARDILES SUPLENTE).doc", "Abrir Documento")</f>
        <v>0</v>
      </c>
      <c r="D14917" t="s">
        <v>23500</v>
      </c>
      <c r="E14917" t="s">
        <v>37392</v>
      </c>
    </row>
    <row r="14918" spans="1:5">
      <c r="A14918" t="s">
        <v>6</v>
      </c>
      <c r="B14918" t="s">
        <v>14923</v>
      </c>
      <c r="C14918">
        <f>HYPERLINK("C:\Users\franc\OneDrive\Documentos\MALENTIN KARIME\BANCO ESTADO\2012 DEPTO ESCRITURAS fata\NOTARIA 2009\ANDRES CORRAL\ALZAMIENTO SERVIU\Nilda Araya Zepeda.doc", "Abrir Documento")</f>
        <v>0</v>
      </c>
      <c r="D14918" t="s">
        <v>23500</v>
      </c>
      <c r="E14918" t="s">
        <v>37393</v>
      </c>
    </row>
    <row r="14919" spans="1:5">
      <c r="A14919" t="s">
        <v>6</v>
      </c>
      <c r="B14919" t="s">
        <v>14924</v>
      </c>
      <c r="C14919">
        <f>HYPERLINK("C:\Users\franc\OneDrive\Documentos\MALENTIN KARIME\BANCO ESTADO\2012 DEPTO ESCRITURAS fata\NOTARIA 2009\ANDRES CORRAL\ALZAMIENTO SERVIU\MODELO ALZAMIENTO SERVIU.doc", "Abrir Documento")</f>
        <v>0</v>
      </c>
      <c r="D14919" t="s">
        <v>23500</v>
      </c>
      <c r="E14919" t="s">
        <v>37394</v>
      </c>
    </row>
    <row r="14920" spans="1:5">
      <c r="A14920" t="s">
        <v>6</v>
      </c>
      <c r="B14920" t="s">
        <v>14925</v>
      </c>
      <c r="C14920">
        <f>HYPERLINK("C:\Users\franc\OneDrive\Documentos\MALENTIN KARIME\BANCO ESTADO\2012 DEPTO ESCRITURAS fata\NOTARIA 2009\ANDRES CORRAL\ALZAMIENTO SERVIU\MARISEL GODOY.doc", "Abrir Documento")</f>
        <v>0</v>
      </c>
      <c r="D14920" t="s">
        <v>23500</v>
      </c>
      <c r="E14920" t="s">
        <v>37395</v>
      </c>
    </row>
    <row r="14921" spans="1:5">
      <c r="A14921" t="s">
        <v>6</v>
      </c>
      <c r="B14921" t="s">
        <v>14926</v>
      </c>
      <c r="C14921">
        <f>HYPERLINK("C:\Users\franc\OneDrive\Documentos\MALENTIN KARIME\BANCO ESTADO\2012 DEPTO ESCRITURAS fata\NOTARIA 2009\ANDRES CORRAL\ALZAMIENTO SERVIU\MARIA ROBLES.doc", "Abrir Documento")</f>
        <v>0</v>
      </c>
      <c r="D14921" t="s">
        <v>23500</v>
      </c>
      <c r="E14921" t="s">
        <v>37396</v>
      </c>
    </row>
    <row r="14922" spans="1:5">
      <c r="A14922" t="s">
        <v>6</v>
      </c>
      <c r="B14922" t="s">
        <v>14927</v>
      </c>
      <c r="C14922">
        <f>HYPERLINK("C:\Users\franc\OneDrive\Documentos\MALENTIN KARIME\BANCO ESTADO\2012 DEPTO ESCRITURAS fata\NOTARIA 2009\ANDRES CORRAL\ALZAMIENTO SERVIU\MARIA GUTIERREZ.doc", "Abrir Documento")</f>
        <v>0</v>
      </c>
      <c r="D14922" t="s">
        <v>23500</v>
      </c>
      <c r="E14922" t="s">
        <v>37397</v>
      </c>
    </row>
    <row r="14923" spans="1:5">
      <c r="A14923" t="s">
        <v>6</v>
      </c>
      <c r="B14923" t="s">
        <v>14928</v>
      </c>
      <c r="C14923">
        <f>HYPERLINK("C:\Users\franc\OneDrive\Documentos\MALENTIN KARIME\BANCO ESTADO\2012 DEPTO ESCRITURAS fata\NOTARIA 2009\ANDRES CORRAL\ALZAMIENTO SERVIU\MARIA ASTUDILLO.doc", "Abrir Documento")</f>
        <v>0</v>
      </c>
      <c r="D14923" t="s">
        <v>23500</v>
      </c>
      <c r="E14923" t="s">
        <v>37398</v>
      </c>
    </row>
    <row r="14924" spans="1:5">
      <c r="A14924" t="s">
        <v>6</v>
      </c>
      <c r="B14924" t="s">
        <v>14929</v>
      </c>
      <c r="C14924">
        <f>HYPERLINK("C:\Users\franc\OneDrive\Documentos\MALENTIN KARIME\BANCO ESTADO\2012 DEPTO ESCRITURAS fata\NOTARIA 2009\ANDRES CORRAL\ALZAMIENTO SERVIU\MARCELO CORTES  (SUBROGANTE).doc", "Abrir Documento")</f>
        <v>0</v>
      </c>
      <c r="D14924" t="s">
        <v>23500</v>
      </c>
      <c r="E14924" t="s">
        <v>37399</v>
      </c>
    </row>
    <row r="14925" spans="1:5">
      <c r="A14925" t="s">
        <v>6</v>
      </c>
      <c r="B14925" t="s">
        <v>14930</v>
      </c>
      <c r="C14925">
        <f>HYPERLINK("C:\Users\franc\OneDrive\Documentos\MALENTIN KARIME\BANCO ESTADO\2012 DEPTO ESCRITURAS fata\NOTARIA 2009\ANDRES CORRAL\ALZAMIENTO SERVIU\LILIA TAPIA CASTILLO.doc", "Abrir Documento")</f>
        <v>0</v>
      </c>
      <c r="D14925" t="s">
        <v>23500</v>
      </c>
      <c r="E14925" t="s">
        <v>37400</v>
      </c>
    </row>
    <row r="14926" spans="1:5">
      <c r="A14926" t="s">
        <v>6</v>
      </c>
      <c r="B14926" t="s">
        <v>14931</v>
      </c>
      <c r="C14926">
        <f>HYPERLINK("C:\Users\franc\OneDrive\Documentos\MALENTIN KARIME\BANCO ESTADO\2012 DEPTO ESCRITURAS fata\NOTARIA 2009\ANDRES CORRAL\ALZAMIENTO SERVIU\JUAN MUNDACA.doc", "Abrir Documento")</f>
        <v>0</v>
      </c>
      <c r="D14926" t="s">
        <v>23500</v>
      </c>
      <c r="E14926" t="s">
        <v>37401</v>
      </c>
    </row>
    <row r="14927" spans="1:5">
      <c r="A14927" t="s">
        <v>6</v>
      </c>
      <c r="B14927" t="s">
        <v>14932</v>
      </c>
      <c r="C14927">
        <f>HYPERLINK("C:\Users\franc\OneDrive\Documentos\MALENTIN KARIME\BANCO ESTADO\2012 DEPTO ESCRITURAS fata\NOTARIA 2009\ANDRES CORRAL\ALZAMIENTO SERVIU\JUAN HIDALGO CORTES.doc", "Abrir Documento")</f>
        <v>0</v>
      </c>
      <c r="D14927" t="s">
        <v>23500</v>
      </c>
      <c r="E14927" t="s">
        <v>37402</v>
      </c>
    </row>
    <row r="14928" spans="1:5">
      <c r="A14928" t="s">
        <v>6</v>
      </c>
      <c r="B14928" t="s">
        <v>14933</v>
      </c>
      <c r="C14928">
        <f>HYPERLINK("C:\Users\franc\OneDrive\Documentos\MALENTIN KARIME\BANCO ESTADO\2012 DEPTO ESCRITURAS fata\NOTARIA 2009\ANDRES CORRAL\ALZAMIENTO SERVIU\JOSE GUZMAN.doc", "Abrir Documento")</f>
        <v>0</v>
      </c>
      <c r="D14928" t="s">
        <v>23500</v>
      </c>
      <c r="E14928" t="s">
        <v>37403</v>
      </c>
    </row>
    <row r="14929" spans="1:5">
      <c r="A14929" t="s">
        <v>6</v>
      </c>
      <c r="B14929" t="s">
        <v>14934</v>
      </c>
      <c r="C14929">
        <f>HYPERLINK("C:\Users\franc\OneDrive\Documentos\MALENTIN KARIME\BANCO ESTADO\2012 DEPTO ESCRITURAS fata\NOTARIA 2009\ANDRES CORRAL\ALZAMIENTO SERVIU\JOSE CORTES.doc", "Abrir Documento")</f>
        <v>0</v>
      </c>
      <c r="D14929" t="s">
        <v>23500</v>
      </c>
      <c r="E14929" t="s">
        <v>37404</v>
      </c>
    </row>
    <row r="14930" spans="1:5">
      <c r="A14930" t="s">
        <v>6</v>
      </c>
      <c r="B14930" t="s">
        <v>14935</v>
      </c>
      <c r="C14930">
        <f>HYPERLINK("C:\Users\franc\OneDrive\Documentos\MALENTIN KARIME\BANCO ESTADO\2012 DEPTO ESCRITURAS fata\NOTARIA 2009\ANDRES CORRAL\ALZAMIENTO SERVIU\Ismael Castillo Rojas.doc", "Abrir Documento")</f>
        <v>0</v>
      </c>
      <c r="D14930" t="s">
        <v>23500</v>
      </c>
      <c r="E14930" t="s">
        <v>37405</v>
      </c>
    </row>
    <row r="14931" spans="1:5">
      <c r="A14931" t="s">
        <v>6</v>
      </c>
      <c r="B14931" t="s">
        <v>14936</v>
      </c>
      <c r="C14931">
        <f>HYPERLINK("C:\Users\franc\OneDrive\Documentos\MALENTIN KARIME\BANCO ESTADO\2012 DEPTO ESCRITURAS fata\NOTARIA 2009\ANDRES CORRAL\ALZAMIENTO SERVIU\HUMBERTO TAPIA.doc", "Abrir Documento")</f>
        <v>0</v>
      </c>
      <c r="D14931" t="s">
        <v>23500</v>
      </c>
      <c r="E14931" t="s">
        <v>37406</v>
      </c>
    </row>
    <row r="14932" spans="1:5">
      <c r="A14932" t="s">
        <v>6</v>
      </c>
      <c r="B14932" t="s">
        <v>14937</v>
      </c>
      <c r="C14932">
        <f>HYPERLINK("C:\Users\franc\OneDrive\Documentos\MALENTIN KARIME\BANCO ESTADO\2012 DEPTO ESCRITURAS fata\NOTARIA 2009\ANDRES CORRAL\ALZAMIENTO SERVIU\HUGO GONZALEZ.doc", "Abrir Documento")</f>
        <v>0</v>
      </c>
      <c r="D14932" t="s">
        <v>23500</v>
      </c>
      <c r="E14932" t="s">
        <v>37407</v>
      </c>
    </row>
    <row r="14933" spans="1:5">
      <c r="A14933" t="s">
        <v>6</v>
      </c>
      <c r="B14933" t="s">
        <v>14938</v>
      </c>
      <c r="C14933">
        <f>HYPERLINK("C:\Users\franc\OneDrive\Documentos\MALENTIN KARIME\BANCO ESTADO\2012 DEPTO ESCRITURAS fata\NOTARIA 2009\ANDRES CORRAL\ALZAMIENTO SERVIU\HONORIO OLIVARES.doc", "Abrir Documento")</f>
        <v>0</v>
      </c>
      <c r="D14933" t="s">
        <v>23500</v>
      </c>
      <c r="E14933" t="s">
        <v>37408</v>
      </c>
    </row>
    <row r="14934" spans="1:5">
      <c r="A14934" t="s">
        <v>6</v>
      </c>
      <c r="B14934" t="s">
        <v>14939</v>
      </c>
      <c r="C14934">
        <f>HYPERLINK("C:\Users\franc\OneDrive\Documentos\MALENTIN KARIME\BANCO ESTADO\2012 DEPTO ESCRITURAS fata\NOTARIA 2009\ANDRES CORRAL\ALZAMIENTO SERVIU\HERNAN RIVERA RIVERA.doc", "Abrir Documento")</f>
        <v>0</v>
      </c>
      <c r="D14934" t="s">
        <v>23500</v>
      </c>
      <c r="E14934" t="s">
        <v>37409</v>
      </c>
    </row>
    <row r="14935" spans="1:5">
      <c r="A14935" t="s">
        <v>6</v>
      </c>
      <c r="B14935" t="s">
        <v>14940</v>
      </c>
      <c r="C14935">
        <f>HYPERLINK("C:\Users\franc\OneDrive\Documentos\MALENTIN KARIME\BANCO ESTADO\2012 DEPTO ESCRITURAS fata\NOTARIA 2009\ANDRES CORRAL\ALZAMIENTO SERVIU\HERNAN RAMOS.doc", "Abrir Documento")</f>
        <v>0</v>
      </c>
      <c r="D14935" t="s">
        <v>23500</v>
      </c>
      <c r="E14935" t="s">
        <v>37410</v>
      </c>
    </row>
    <row r="14936" spans="1:5">
      <c r="A14936" t="s">
        <v>6</v>
      </c>
      <c r="B14936" t="s">
        <v>14941</v>
      </c>
      <c r="C14936">
        <f>HYPERLINK("C:\Users\franc\OneDrive\Documentos\MALENTIN KARIME\BANCO ESTADO\2012 DEPTO ESCRITURAS fata\NOTARIA 2009\ANDRES CORRAL\ALZAMIENTO SERVIU\GUILLERMO ROLDAN.doc", "Abrir Documento")</f>
        <v>0</v>
      </c>
      <c r="D14936" t="s">
        <v>23500</v>
      </c>
      <c r="E14936" t="s">
        <v>37411</v>
      </c>
    </row>
    <row r="14937" spans="1:5">
      <c r="A14937" t="s">
        <v>6</v>
      </c>
      <c r="B14937" t="s">
        <v>14942</v>
      </c>
      <c r="C14937">
        <f>HYPERLINK("C:\Users\franc\OneDrive\Documentos\MALENTIN KARIME\BANCO ESTADO\2012 DEPTO ESCRITURAS fata\NOTARIA 2009\ANDRES CORRAL\ALZAMIENTO SERVIU\GABRIEL CORTES.doc", "Abrir Documento")</f>
        <v>0</v>
      </c>
      <c r="D14937" t="s">
        <v>23500</v>
      </c>
      <c r="E14937" t="s">
        <v>37412</v>
      </c>
    </row>
    <row r="14938" spans="1:5">
      <c r="A14938" t="s">
        <v>6</v>
      </c>
      <c r="B14938" t="s">
        <v>14943</v>
      </c>
      <c r="C14938">
        <f>HYPERLINK("C:\Users\franc\OneDrive\Documentos\MALENTIN KARIME\BANCO ESTADO\2012 DEPTO ESCRITURAS fata\NOTARIA 2009\ANDRES CORRAL\ALZAMIENTO SERVIU\FRANCISCO RAMIREZ.doc", "Abrir Documento")</f>
        <v>0</v>
      </c>
      <c r="D14938" t="s">
        <v>23500</v>
      </c>
      <c r="E14938" t="s">
        <v>37413</v>
      </c>
    </row>
    <row r="14939" spans="1:5">
      <c r="A14939" t="s">
        <v>6</v>
      </c>
      <c r="B14939" t="s">
        <v>14944</v>
      </c>
      <c r="C14939">
        <f>HYPERLINK("C:\Users\franc\OneDrive\Documentos\MALENTIN KARIME\BANCO ESTADO\2012 DEPTO ESCRITURAS fata\NOTARIA 2009\ANDRES CORRAL\ALZAMIENTO SERVIU\FIRMAS.AUT.doc", "Abrir Documento")</f>
        <v>0</v>
      </c>
      <c r="D14939" t="s">
        <v>23500</v>
      </c>
      <c r="E14939" t="s">
        <v>37414</v>
      </c>
    </row>
    <row r="14940" spans="1:5">
      <c r="A14940" t="s">
        <v>6</v>
      </c>
      <c r="B14940" t="s">
        <v>14945</v>
      </c>
      <c r="C14940">
        <f>HYPERLINK("C:\Users\franc\OneDrive\Documentos\MALENTIN KARIME\BANCO ESTADO\2012 DEPTO ESCRITURAS fata\NOTARIA 2009\ANDRES CORRAL\ALZAMIENTO SERVIU\FIRMAS. SERVIU, TATIANA.dos.doc", "Abrir Documento")</f>
        <v>0</v>
      </c>
      <c r="D14940" t="s">
        <v>23500</v>
      </c>
      <c r="E14940" t="s">
        <v>37415</v>
      </c>
    </row>
    <row r="14941" spans="1:5">
      <c r="A14941" t="s">
        <v>6</v>
      </c>
      <c r="B14941" t="s">
        <v>14946</v>
      </c>
      <c r="C14941">
        <f>HYPERLINK("C:\Users\franc\OneDrive\Documentos\MALENTIN KARIME\BANCO ESTADO\2012 DEPTO ESCRITURAS fata\NOTARIA 2009\ANDRES CORRAL\ALZAMIENTO SERVIU\FIRMAS. dos.doc", "Abrir Documento")</f>
        <v>0</v>
      </c>
      <c r="D14941" t="s">
        <v>23500</v>
      </c>
      <c r="E14941" t="s">
        <v>37416</v>
      </c>
    </row>
    <row r="14942" spans="1:5">
      <c r="A14942" t="s">
        <v>6</v>
      </c>
      <c r="B14942" t="s">
        <v>14947</v>
      </c>
      <c r="C14942">
        <f>HYPERLINK("C:\Users\franc\OneDrive\Documentos\MALENTIN KARIME\BANCO ESTADO\2012 DEPTO ESCRITURAS fata\NOTARIA 2009\ANDRES CORRAL\ALZAMIENTO SERVIU\ERNESTO OSSANDON.doc", "Abrir Documento")</f>
        <v>0</v>
      </c>
      <c r="D14942" t="s">
        <v>23500</v>
      </c>
      <c r="E14942" t="s">
        <v>37417</v>
      </c>
    </row>
    <row r="14943" spans="1:5">
      <c r="A14943" t="s">
        <v>6</v>
      </c>
      <c r="B14943" t="s">
        <v>14948</v>
      </c>
      <c r="C14943">
        <f>HYPERLINK("C:\Users\franc\OneDrive\Documentos\MALENTIN KARIME\BANCO ESTADO\2012 DEPTO ESCRITURAS fata\NOTARIA 2009\ANDRES CORRAL\ALZAMIENTO SERVIU\EGLANTINA ARAYA.doc", "Abrir Documento")</f>
        <v>0</v>
      </c>
      <c r="D14943" t="s">
        <v>23500</v>
      </c>
      <c r="E14943" t="s">
        <v>37418</v>
      </c>
    </row>
    <row r="14944" spans="1:5">
      <c r="A14944" t="s">
        <v>6</v>
      </c>
      <c r="B14944" t="s">
        <v>14949</v>
      </c>
      <c r="C14944">
        <f>HYPERLINK("C:\Users\franc\OneDrive\Documentos\MALENTIN KARIME\BANCO ESTADO\2012 DEPTO ESCRITURAS fata\NOTARIA 2009\ANDRES CORRAL\ALZAMIENTO SERVIU\DARIO CARVAJAL.doc", "Abrir Documento")</f>
        <v>0</v>
      </c>
      <c r="D14944" t="s">
        <v>23500</v>
      </c>
      <c r="E14944" t="s">
        <v>37419</v>
      </c>
    </row>
    <row r="14945" spans="1:5">
      <c r="A14945" t="s">
        <v>6</v>
      </c>
      <c r="B14945" t="s">
        <v>14950</v>
      </c>
      <c r="C14945">
        <f>HYPERLINK("C:\Users\franc\OneDrive\Documentos\MALENTIN KARIME\BANCO ESTADO\2012 DEPTO ESCRITURAS fata\NOTARIA 2009\ANDRES CORRAL\ALZAMIENTO SERVIU\CARMEN CODOCEO.doc", "Abrir Documento")</f>
        <v>0</v>
      </c>
      <c r="D14945" t="s">
        <v>23500</v>
      </c>
      <c r="E14945" t="s">
        <v>37420</v>
      </c>
    </row>
    <row r="14946" spans="1:5">
      <c r="A14946" t="s">
        <v>6</v>
      </c>
      <c r="B14946" t="s">
        <v>14951</v>
      </c>
      <c r="C14946">
        <f>HYPERLINK("C:\Users\franc\OneDrive\Documentos\MALENTIN KARIME\BANCO ESTADO\2012 DEPTO ESCRITURAS fata\NOTARIA 2009\ANDRES CORRAL\ALZAMIENTO SERVIU\ARTURO AGUILAR TORDOLLA.doc", "Abrir Documento")</f>
        <v>0</v>
      </c>
      <c r="D14946" t="s">
        <v>23500</v>
      </c>
      <c r="E14946" t="s">
        <v>37421</v>
      </c>
    </row>
    <row r="14947" spans="1:5">
      <c r="A14947" t="s">
        <v>6</v>
      </c>
      <c r="B14947" t="s">
        <v>14952</v>
      </c>
      <c r="C14947">
        <f>HYPERLINK("C:\Users\franc\OneDrive\Documentos\MALENTIN KARIME\BANCO ESTADO\2012 DEPTO ESCRITURAS fata\NOTARIA 2009\ANDRES CORRAL\ALZAMIENTO SERVIU\ANGEL OLIVARES.doc", "Abrir Documento")</f>
        <v>0</v>
      </c>
      <c r="D14947" t="s">
        <v>23500</v>
      </c>
      <c r="E14947" t="s">
        <v>37422</v>
      </c>
    </row>
    <row r="14948" spans="1:5">
      <c r="A14948" t="s">
        <v>6</v>
      </c>
      <c r="B14948" t="s">
        <v>14953</v>
      </c>
      <c r="C14948">
        <f>HYPERLINK("C:\Users\franc\OneDrive\Documentos\MALENTIN KARIME\BANCO ESTADO\2012 DEPTO ESCRITURAS fata\NOTARIA 2009\ANDRES CORRAL\ALZAMIENTO SERVIU\alzamiento serviu.doc", "Abrir Documento")</f>
        <v>0</v>
      </c>
      <c r="D14948" t="s">
        <v>23500</v>
      </c>
      <c r="E14948" t="s">
        <v>37423</v>
      </c>
    </row>
    <row r="14949" spans="1:5">
      <c r="A14949" t="s">
        <v>6</v>
      </c>
      <c r="B14949" t="s">
        <v>14954</v>
      </c>
      <c r="C14949">
        <f>HYPERLINK("C:\Users\franc\OneDrive\Documentos\MALENTIN KARIME\BANCO ESTADO\2012 DEPTO ESCRITURAS fata\NOTARIA 2009\ANDRES CORRAL\ALZAMIENTO SERVIU\ALICIA ARREDONDO.doc", "Abrir Documento")</f>
        <v>0</v>
      </c>
      <c r="D14949" t="s">
        <v>23500</v>
      </c>
      <c r="E14949" t="s">
        <v>37424</v>
      </c>
    </row>
    <row r="14950" spans="1:5">
      <c r="A14950" t="s">
        <v>6</v>
      </c>
      <c r="B14950" t="s">
        <v>14955</v>
      </c>
      <c r="C14950">
        <f>HYPERLINK("C:\Users\franc\OneDrive\Documentos\MALENTIN KARIME\BANCO ESTADO\2012 DEPTO ESCRITURAS fata\NOTARIA 2009\ANDRES CORRAL\ALZAMIENTO SERVIU\ALFONSO ROJAS PIÑONES.doc", "Abrir Documento")</f>
        <v>0</v>
      </c>
      <c r="D14950" t="s">
        <v>23500</v>
      </c>
      <c r="E14950" t="s">
        <v>37425</v>
      </c>
    </row>
    <row r="14951" spans="1:5">
      <c r="A14951" t="s">
        <v>6</v>
      </c>
      <c r="B14951" t="s">
        <v>14956</v>
      </c>
      <c r="C14951">
        <f>HYPERLINK("C:\Users\franc\OneDrive\Documentos\MALENTIN KARIME\BANCO ESTADO\2012 DEPTO ESCRITURAS fata\NOTARIA 2009\ANDRES CORRAL\ALZAMIENTO SERVIU\ABELARDO SANTANDER.doc", "Abrir Documento")</f>
        <v>0</v>
      </c>
      <c r="D14951" t="s">
        <v>23500</v>
      </c>
      <c r="E14951" t="s">
        <v>37426</v>
      </c>
    </row>
    <row r="14952" spans="1:5">
      <c r="A14952" t="s">
        <v>6</v>
      </c>
      <c r="B14952" t="s">
        <v>14957</v>
      </c>
      <c r="C14952">
        <f>HYPERLINK("C:\Users\franc\OneDrive\Documentos\MALENTIN KARIME\BANCO ESTADO\2012 DEPTO ESCRITURAS fata\NOTARIA 2009\ANDRES CORRAL\SOC. RECOLETA (TRANSFORMACION).doc", "Abrir Documento")</f>
        <v>0</v>
      </c>
      <c r="D14952" t="s">
        <v>23500</v>
      </c>
      <c r="E14952" t="s">
        <v>37427</v>
      </c>
    </row>
    <row r="14953" spans="1:5">
      <c r="A14953" t="s">
        <v>6</v>
      </c>
      <c r="B14953" t="s">
        <v>14958</v>
      </c>
      <c r="C14953">
        <f>HYPERLINK("C:\Users\franc\OneDrive\Documentos\MALENTIN KARIME\BANCO ESTADO\2012 DEPTO ESCRITURAS fata\NOTARIA 2009\ANDRES CORRAL\SOC. JUAN PABLO A CLAUDIO REYES.doc", "Abrir Documento")</f>
        <v>0</v>
      </c>
      <c r="D14953" t="s">
        <v>23500</v>
      </c>
      <c r="E14953" t="s">
        <v>37428</v>
      </c>
    </row>
    <row r="14954" spans="1:5">
      <c r="A14954" t="s">
        <v>6</v>
      </c>
      <c r="B14954" t="s">
        <v>14959</v>
      </c>
      <c r="C14954">
        <f>HYPERLINK("C:\Users\franc\OneDrive\Documentos\MALENTIN KARIME\BANCO ESTADO\2012 DEPTO ESCRITURAS fata\NOTARIA 2009\ANDRES CORRAL\soc. angostura  A RODOLFO ARANEDA (PODER ESPE).doc", "Abrir Documento")</f>
        <v>0</v>
      </c>
      <c r="D14954" t="s">
        <v>23500</v>
      </c>
      <c r="E14954" t="s">
        <v>37429</v>
      </c>
    </row>
    <row r="14955" spans="1:5">
      <c r="A14955" t="s">
        <v>6</v>
      </c>
      <c r="B14955" t="s">
        <v>14960</v>
      </c>
      <c r="C14955">
        <f>HYPERLINK("C:\Users\franc\OneDrive\Documentos\MALENTIN KARIME\BANCO ESTADO\2012 DEPTO ESCRITURAS fata\NOTARIA 2009\ANDRES CORRAL\SOC. ALVAREZ ARTIGUES (SERVDUMBRE).doc", "Abrir Documento")</f>
        <v>0</v>
      </c>
      <c r="D14955" t="s">
        <v>23500</v>
      </c>
      <c r="E14955" t="s">
        <v>37430</v>
      </c>
    </row>
    <row r="14956" spans="1:5">
      <c r="A14956" t="s">
        <v>6</v>
      </c>
      <c r="B14956" t="s">
        <v>14961</v>
      </c>
      <c r="C14956">
        <f>HYPERLINK("C:\Users\franc\OneDrive\Documentos\MALENTIN KARIME\BANCO ESTADO\2012 DEPTO ESCRITURAS fata\NOTARIA 2009\ANDRES CORRAL\REVOCACION COVALSA.doc", "Abrir Documento")</f>
        <v>0</v>
      </c>
      <c r="D14956" t="s">
        <v>23500</v>
      </c>
      <c r="E14956" t="s">
        <v>37431</v>
      </c>
    </row>
    <row r="14957" spans="1:5">
      <c r="A14957" t="s">
        <v>6</v>
      </c>
      <c r="B14957" t="s">
        <v>14962</v>
      </c>
      <c r="C14957">
        <f>HYPERLINK("C:\Users\franc\OneDrive\Documentos\MALENTIN KARIME\BANCO ESTADO\2012 DEPTO ESCRITURAS fata\NOTARIA 2009\ANDRES CORRAL\PERLA MACIAS A ANDRES CORRAL Y OTRO (MANDATO JUDICIAL).doc", "Abrir Documento")</f>
        <v>0</v>
      </c>
      <c r="D14957" t="s">
        <v>23500</v>
      </c>
      <c r="E14957" t="s">
        <v>37432</v>
      </c>
    </row>
    <row r="14958" spans="1:5">
      <c r="A14958" t="s">
        <v>6</v>
      </c>
      <c r="B14958" t="s">
        <v>14963</v>
      </c>
      <c r="C14958">
        <f>HYPERLINK("C:\Users\franc\OneDrive\Documentos\MALENTIN KARIME\BANCO ESTADO\2012 DEPTO ESCRITURAS fata\NOTARIA 2009\ANDRES CORRAL\MODIFICACION ELIO ELORZA.doc", "Abrir Documento")</f>
        <v>0</v>
      </c>
      <c r="D14958" t="s">
        <v>23500</v>
      </c>
      <c r="E14958" t="s">
        <v>37433</v>
      </c>
    </row>
    <row r="14959" spans="1:5">
      <c r="A14959" t="s">
        <v>6</v>
      </c>
      <c r="B14959" t="s">
        <v>14964</v>
      </c>
      <c r="C14959">
        <f>HYPERLINK("C:\Users\franc\OneDrive\Documentos\MALENTIN KARIME\BANCO ESTADO\2012 DEPTO ESCRITURAS fata\NOTARIA 2009\ANDRES CORRAL\MODIF. AGRICOLA JUAN PABLO.doc", "Abrir Documento")</f>
        <v>0</v>
      </c>
      <c r="D14959" t="s">
        <v>23500</v>
      </c>
      <c r="E14959" t="s">
        <v>37434</v>
      </c>
    </row>
    <row r="14960" spans="1:5">
      <c r="A14960" t="s">
        <v>6</v>
      </c>
      <c r="B14960" t="s">
        <v>14965</v>
      </c>
      <c r="C14960">
        <f>HYPERLINK("C:\Users\franc\OneDrive\Documentos\MALENTIN KARIME\BANCO ESTADO\2012 DEPTO ESCRITURAS fata\NOTARIA 2009\ANDRES CORRAL\LUIS ARTIGUES A FCO. ARTIGUES DEPTO..doc", "Abrir Documento")</f>
        <v>0</v>
      </c>
      <c r="D14960" t="s">
        <v>23500</v>
      </c>
      <c r="E14960" t="s">
        <v>37435</v>
      </c>
    </row>
    <row r="14961" spans="1:5">
      <c r="A14961" t="s">
        <v>6</v>
      </c>
      <c r="B14961" t="s">
        <v>14966</v>
      </c>
      <c r="C14961">
        <f>HYPERLINK("C:\Users\franc\OneDrive\Documentos\MALENTIN KARIME\BANCO ESTADO\2012 DEPTO ESCRITURAS fata\NOTARIA 2009\ANDRES CORRAL\liquidacion doña adriana.doc", "Abrir Documento")</f>
        <v>0</v>
      </c>
      <c r="D14961" t="s">
        <v>23500</v>
      </c>
      <c r="E14961" t="s">
        <v>37436</v>
      </c>
    </row>
    <row r="14962" spans="1:5">
      <c r="A14962" t="s">
        <v>6</v>
      </c>
      <c r="B14962" t="s">
        <v>14967</v>
      </c>
      <c r="C14962">
        <f>HYPERLINK("C:\Users\franc\OneDrive\Documentos\MALENTIN KARIME\BANCO ESTADO\2012 DEPTO ESCRITURAS fata\NOTARIA 2009\ANDRES CORRAL\JAIME CAMPOSANO A CLAUDIO ALVAREZ Y OTRA.doc", "Abrir Documento")</f>
        <v>0</v>
      </c>
      <c r="D14962" t="s">
        <v>23500</v>
      </c>
      <c r="E14962" t="s">
        <v>37437</v>
      </c>
    </row>
    <row r="14963" spans="1:5">
      <c r="A14963" t="s">
        <v>6</v>
      </c>
      <c r="B14963" t="s">
        <v>14968</v>
      </c>
      <c r="C14963">
        <f>HYPERLINK("C:\Users\franc\OneDrive\Documentos\MALENTIN KARIME\BANCO ESTADO\2012 DEPTO ESCRITURAS fata\NOTARIA 2009\ANDRES CORRAL\INVERSIONES ARTIGUES A RODOLFO ARAVENA (PODER ESP.doc", "Abrir Documento")</f>
        <v>0</v>
      </c>
      <c r="D14963" t="s">
        <v>23500</v>
      </c>
      <c r="E14963" t="s">
        <v>37438</v>
      </c>
    </row>
    <row r="14964" spans="1:5">
      <c r="A14964" t="s">
        <v>6</v>
      </c>
      <c r="B14964" t="s">
        <v>14969</v>
      </c>
      <c r="C14964">
        <f>HYPERLINK("C:\Users\franc\OneDrive\Documentos\MALENTIN KARIME\BANCO ESTADO\2012 DEPTO ESCRITURAS fata\NOTARIA 2009\ANDRES CORRAL\INVERS. JUAN PABLO (MANDATO JUDICIALo.doc", "Abrir Documento")</f>
        <v>0</v>
      </c>
      <c r="D14964" t="s">
        <v>23500</v>
      </c>
      <c r="E14964" t="s">
        <v>37439</v>
      </c>
    </row>
    <row r="14965" spans="1:5">
      <c r="A14965" t="s">
        <v>6</v>
      </c>
      <c r="B14965" t="s">
        <v>14970</v>
      </c>
      <c r="C14965">
        <f>HYPERLINK("C:\Users\franc\OneDrive\Documentos\MALENTIN KARIME\BANCO ESTADO\2012 DEPTO ESCRITURAS fata\NOTARIA 2009\ANDRES CORRAL\INV. LOS ABETOS A PABLO CONCHA Y OTROS.doc", "Abrir Documento")</f>
        <v>0</v>
      </c>
      <c r="D14965" t="s">
        <v>23500</v>
      </c>
      <c r="E14965" t="s">
        <v>37440</v>
      </c>
    </row>
    <row r="14966" spans="1:5">
      <c r="A14966" t="s">
        <v>6</v>
      </c>
      <c r="B14966" t="s">
        <v>14971</v>
      </c>
      <c r="C14966">
        <f>HYPERLINK("C:\Users\franc\OneDrive\Documentos\MALENTIN KARIME\BANCO ESTADO\2012 DEPTO ESCRITURAS fata\NOTARIA 2009\ANDRES CORRAL\INSTRUC C-V JAIME CAMPOSANO (3).doc", "Abrir Documento")</f>
        <v>0</v>
      </c>
      <c r="D14966" t="s">
        <v>23500</v>
      </c>
      <c r="E14966" t="s">
        <v>37441</v>
      </c>
    </row>
    <row r="14967" spans="1:5">
      <c r="A14967" t="s">
        <v>6</v>
      </c>
      <c r="B14967" t="s">
        <v>14972</v>
      </c>
      <c r="C14967">
        <f>HYPERLINK("C:\Users\franc\OneDrive\Documentos\MALENTIN KARIME\BANCO ESTADO\2012 DEPTO ESCRITURAS fata\NOTARIA 2009\ANDRES CORRAL\GRACIELA PARADA A ELIO ELORZA.doc", "Abrir Documento")</f>
        <v>0</v>
      </c>
      <c r="D14967" t="s">
        <v>23500</v>
      </c>
      <c r="E14967" t="s">
        <v>37442</v>
      </c>
    </row>
    <row r="14968" spans="1:5">
      <c r="A14968" t="s">
        <v>6</v>
      </c>
      <c r="B14968" t="s">
        <v>14973</v>
      </c>
      <c r="C14968">
        <f>HYPERLINK("C:\Users\franc\OneDrive\Documentos\MALENTIN KARIME\BANCO ESTADO\2012 DEPTO ESCRITURAS fata\NOTARIA 2009\ANDRES CORRAL\EXTRART-TRANS-RECOLETA.doc", "Abrir Documento")</f>
        <v>0</v>
      </c>
      <c r="D14968" t="s">
        <v>23500</v>
      </c>
      <c r="E14968" t="s">
        <v>37443</v>
      </c>
    </row>
    <row r="14969" spans="1:5">
      <c r="A14969" t="s">
        <v>6</v>
      </c>
      <c r="B14969" t="s">
        <v>14974</v>
      </c>
      <c r="C14969">
        <f>HYPERLINK("C:\Users\franc\OneDrive\Documentos\MALENTIN KARIME\BANCO ESTADO\2012 DEPTO ESCRITURAS fata\NOTARIA 2009\ANDRES CORRAL\extracto disoluc-adriana[1].doc", "Abrir Documento")</f>
        <v>0</v>
      </c>
      <c r="D14969" t="s">
        <v>23500</v>
      </c>
      <c r="E14969" t="s">
        <v>37444</v>
      </c>
    </row>
    <row r="14970" spans="1:5">
      <c r="A14970" t="s">
        <v>6</v>
      </c>
      <c r="B14970" t="s">
        <v>14975</v>
      </c>
      <c r="C14970">
        <f>HYPERLINK("C:\Users\franc\OneDrive\Documentos\MALENTIN KARIME\BANCO ESTADO\2012 DEPTO ESCRITURAS fata\NOTARIA 2009\ANDRES CORRAL\ELIO ELORZA A AGRICOLA PAIHUEN (ARRIENDO MINERO).doc", "Abrir Documento")</f>
        <v>0</v>
      </c>
      <c r="D14970" t="s">
        <v>23500</v>
      </c>
      <c r="E14970" t="s">
        <v>37445</v>
      </c>
    </row>
    <row r="14971" spans="1:5">
      <c r="A14971" t="s">
        <v>6</v>
      </c>
      <c r="B14971" t="s">
        <v>14976</v>
      </c>
      <c r="C14971">
        <f>HYPERLINK("C:\Users\franc\OneDrive\Documentos\MALENTIN KARIME\BANCO ESTADO\2012 DEPTO ESCRITURAS fata\NOTARIA 2009\ANDRES CORRAL\ELIO ELORZA - CESION ACCIONES.doc", "Abrir Documento")</f>
        <v>0</v>
      </c>
      <c r="D14971" t="s">
        <v>23500</v>
      </c>
      <c r="E14971" t="s">
        <v>37446</v>
      </c>
    </row>
    <row r="14972" spans="1:5">
      <c r="A14972" t="s">
        <v>6</v>
      </c>
      <c r="B14972" t="s">
        <v>14977</v>
      </c>
      <c r="C14972">
        <f>HYPERLINK("C:\Users\franc\OneDrive\Documentos\MALENTIN KARIME\BANCO ESTADO\2012 DEPTO ESCRITURAS fata\NOTARIA 2009\ANDRES CORRAL\DISOLUCION SOC. DOÑA ADRIANA (ALFONSO ARTIGUES).doc", "Abrir Documento")</f>
        <v>0</v>
      </c>
      <c r="D14972" t="s">
        <v>23500</v>
      </c>
      <c r="E14972" t="s">
        <v>37447</v>
      </c>
    </row>
    <row r="14973" spans="1:5">
      <c r="A14973" t="s">
        <v>6</v>
      </c>
      <c r="B14973" t="s">
        <v>14978</v>
      </c>
      <c r="C14973">
        <f>HYPERLINK("C:\Users\franc\OneDrive\Documentos\MALENTIN KARIME\BANCO ESTADO\2012 DEPTO ESCRITURAS fata\NOTARIA 2009\ANDRES CORRAL\COVALSA A RODOLFO ARANEDA.doc", "Abrir Documento")</f>
        <v>0</v>
      </c>
      <c r="D14973" t="s">
        <v>23500</v>
      </c>
      <c r="E14973" t="s">
        <v>37448</v>
      </c>
    </row>
    <row r="14974" spans="1:5">
      <c r="A14974" t="s">
        <v>6</v>
      </c>
      <c r="B14974" t="s">
        <v>14979</v>
      </c>
      <c r="C14974">
        <f>HYPERLINK("C:\Users\franc\OneDrive\Documentos\MALENTIN KARIME\BANCO ESTADO\2012 DEPTO ESCRITURAS fata\NOTARIA 2009\ANDRES CORRAL\COVALSA A RODOLFO ARANEDA (OCT 2009).doc", "Abrir Documento")</f>
        <v>0</v>
      </c>
      <c r="D14974" t="s">
        <v>23500</v>
      </c>
      <c r="E14974" t="s">
        <v>37449</v>
      </c>
    </row>
    <row r="14975" spans="1:5">
      <c r="A14975" t="s">
        <v>6</v>
      </c>
      <c r="B14975" t="s">
        <v>14980</v>
      </c>
      <c r="C14975">
        <f>HYPERLINK("C:\Users\franc\OneDrive\Documentos\MALENTIN KARIME\BANCO ESTADO\2012 DEPTO ESCRITURAS fata\NOTARIA 2009\ANDRES CORRAL\COVALSA A JOSE ANGAN Y RUTH.doc", "Abrir Documento")</f>
        <v>0</v>
      </c>
      <c r="D14975" t="s">
        <v>23500</v>
      </c>
      <c r="E14975" t="s">
        <v>37450</v>
      </c>
    </row>
    <row r="14976" spans="1:5">
      <c r="A14976" t="s">
        <v>6</v>
      </c>
      <c r="B14976" t="s">
        <v>14981</v>
      </c>
      <c r="C14976">
        <f>HYPERLINK("C:\Users\franc\OneDrive\Documentos\MALENTIN KARIME\BANCO ESTADO\2012 DEPTO ESCRITURAS fata\NOTARIA 2009\ANDRES CORRAL\COVALSA (RECTIFICACION, ACLARACIONY COMPLEMENTACION).doc", "Abrir Documento")</f>
        <v>0</v>
      </c>
      <c r="D14976" t="s">
        <v>23500</v>
      </c>
      <c r="E14976" t="s">
        <v>37451</v>
      </c>
    </row>
    <row r="14977" spans="1:5">
      <c r="A14977" t="s">
        <v>6</v>
      </c>
      <c r="B14977" t="s">
        <v>14982</v>
      </c>
      <c r="C14977">
        <f>HYPERLINK("C:\Users\franc\OneDrive\Documentos\MALENTIN KARIME\BANCO ESTADO\2012 DEPTO ESCRITURAS fata\NOTARIA 2009\ANDRES CORRAL\ACTA ARTIGUES.doc", "Abrir Documento")</f>
        <v>0</v>
      </c>
      <c r="D14977" t="s">
        <v>23500</v>
      </c>
      <c r="E14977" t="s">
        <v>37452</v>
      </c>
    </row>
    <row r="14978" spans="1:5">
      <c r="A14978" t="s">
        <v>6</v>
      </c>
      <c r="B14978" t="s">
        <v>14983</v>
      </c>
      <c r="C14978">
        <f>HYPERLINK("C:\Users\franc\OneDrive\Documentos\MALENTIN KARIME\BANCO ESTADO\2012 DEPTO ESCRITURAS fata\NOTARIA 2009\ANDRES CORRAL\ACLARA SERVIDUMBRE.doc", "Abrir Documento")</f>
        <v>0</v>
      </c>
      <c r="D14978" t="s">
        <v>23500</v>
      </c>
      <c r="E14978" t="s">
        <v>37453</v>
      </c>
    </row>
    <row r="14979" spans="1:5">
      <c r="A14979" t="s">
        <v>6</v>
      </c>
      <c r="B14979" t="s">
        <v>14984</v>
      </c>
      <c r="C14979">
        <f>HYPERLINK("C:\Users\franc\OneDrive\Documentos\MALENTIN KARIME\BANCO ESTADO\2012 DEPTO ESCRITURAS fata\NOTARIA 2009\ALZAMIENTO HIPOTECA Y PROHB\VALENTIN ORTIZ A SIMON ROCO.doc", "Abrir Documento")</f>
        <v>0</v>
      </c>
      <c r="D14979" t="s">
        <v>23500</v>
      </c>
      <c r="E14979" t="s">
        <v>37454</v>
      </c>
    </row>
    <row r="14980" spans="1:5">
      <c r="A14980" t="s">
        <v>6</v>
      </c>
      <c r="B14980" t="s">
        <v>14985</v>
      </c>
      <c r="C14980">
        <f>HYPERLINK("C:\Users\franc\OneDrive\Documentos\MALENTIN KARIME\BANCO ESTADO\2012 DEPTO ESCRITURAS fata\NOTARIA 2009\ALZAMIENTO HIPOTECA Y PROHB\MAL PASO A LOS POZOS.doc", "Abrir Documento")</f>
        <v>0</v>
      </c>
      <c r="D14980" t="s">
        <v>23500</v>
      </c>
      <c r="E14980" t="s">
        <v>37455</v>
      </c>
    </row>
    <row r="14981" spans="1:5">
      <c r="A14981" t="s">
        <v>6</v>
      </c>
      <c r="B14981" t="s">
        <v>14986</v>
      </c>
      <c r="C14981">
        <f>HYPERLINK("C:\Users\franc\OneDrive\Documentos\MALENTIN KARIME\BANCO ESTADO\2012 DEPTO ESCRITURAS fata\NOTARIA 2009\ALZAMIENTO HIPOTECA Y PROHB\MAL PASO A COM. AGRICOLA S.A..doc", "Abrir Documento")</f>
        <v>0</v>
      </c>
      <c r="D14981" t="s">
        <v>23500</v>
      </c>
      <c r="E14981" t="s">
        <v>37456</v>
      </c>
    </row>
    <row r="14982" spans="1:5">
      <c r="A14982" t="s">
        <v>6</v>
      </c>
      <c r="B14982" t="s">
        <v>14987</v>
      </c>
      <c r="C14982">
        <f>HYPERLINK("C:\Users\franc\OneDrive\Documentos\MALENTIN KARIME\BANCO ESTADO\2012 DEPTO ESCRITURAS fata\NOTARIA 2009\ALZAMIENTO HIPOTECA Y PROHB\DINA SANCHEZ A LUCIANO CHOQUE.doc", "Abrir Documento")</f>
        <v>0</v>
      </c>
      <c r="D14982" t="s">
        <v>23500</v>
      </c>
      <c r="E14982" t="s">
        <v>37457</v>
      </c>
    </row>
    <row r="14983" spans="1:5">
      <c r="A14983" t="s">
        <v>6</v>
      </c>
      <c r="B14983" t="s">
        <v>14988</v>
      </c>
      <c r="C14983">
        <f>HYPERLINK("C:\Users\franc\OneDrive\Documentos\MALENTIN KARIME\BANCO ESTADO\2012 DEPTO ESCRITURAS fata\NOTARIA 2009\ALFREDO VILLAGRAN\EIRL SANEAMIENTO.doc", "Abrir Documento")</f>
        <v>0</v>
      </c>
      <c r="D14983" t="s">
        <v>23500</v>
      </c>
      <c r="E14983" t="s">
        <v>37458</v>
      </c>
    </row>
    <row r="14984" spans="1:5">
      <c r="A14984" t="s">
        <v>6</v>
      </c>
      <c r="B14984" t="s">
        <v>14989</v>
      </c>
      <c r="C14984">
        <f>HYPERLINK("C:\Users\franc\OneDrive\Documentos\MALENTIN KARIME\BANCO ESTADO\2012 DEPTO ESCRITURAS fata\NOTARIA 2009\ALEJANDRO VILLEGAS\JORGE CARVAJAL Y OTR. A PEDRO VILLALOBOS.doc", "Abrir Documento")</f>
        <v>0</v>
      </c>
      <c r="D14984" t="s">
        <v>23500</v>
      </c>
      <c r="E14984" t="s">
        <v>37459</v>
      </c>
    </row>
    <row r="14985" spans="1:5">
      <c r="A14985" t="s">
        <v>6</v>
      </c>
      <c r="B14985" t="s">
        <v>14990</v>
      </c>
      <c r="C14985">
        <f>HYPERLINK("C:\Users\franc\OneDrive\Documentos\MALENTIN KARIME\BANCO ESTADO\2012 DEPTO ESCRITURAS fata\NOTARIA 2009\AGRICOM\SOC. RECOLETA.doc", "Abrir Documento")</f>
        <v>0</v>
      </c>
      <c r="D14985" t="s">
        <v>23500</v>
      </c>
      <c r="E14985" t="s">
        <v>37460</v>
      </c>
    </row>
    <row r="14986" spans="1:5">
      <c r="A14986" t="s">
        <v>6</v>
      </c>
      <c r="B14986" t="s">
        <v>14991</v>
      </c>
      <c r="C14986">
        <f>HYPERLINK("C:\Users\franc\OneDrive\Documentos\MALENTIN KARIME\BANCO ESTADO\2012 DEPTO ESCRITURAS fata\NOTARIA 2009\AGRICOM\EXTRACTO RECOLETA.doc", "Abrir Documento")</f>
        <v>0</v>
      </c>
      <c r="D14986" t="s">
        <v>23500</v>
      </c>
      <c r="E14986" t="s">
        <v>37461</v>
      </c>
    </row>
    <row r="14987" spans="1:5">
      <c r="A14987" t="s">
        <v>6</v>
      </c>
      <c r="B14987" t="s">
        <v>14992</v>
      </c>
      <c r="C14987">
        <f>HYPERLINK("C:\Users\franc\OneDrive\Documentos\MALENTIN KARIME\BANCO ESTADO\2012 DEPTO ESCRITURAS fata\NOTARIA 2009\AGRELQUI\SOC. SEPRA A CANTA RANA(PRENDA).doc", "Abrir Documento")</f>
        <v>0</v>
      </c>
      <c r="D14987" t="s">
        <v>23500</v>
      </c>
      <c r="E14987" t="s">
        <v>37462</v>
      </c>
    </row>
    <row r="14988" spans="1:5">
      <c r="A14988" t="s">
        <v>6</v>
      </c>
      <c r="B14988" t="s">
        <v>14993</v>
      </c>
      <c r="C14988">
        <f>HYPERLINK("C:\Users\franc\OneDrive\Documentos\MALENTIN KARIME\BANCO ESTADO\2012 DEPTO ESCRITURAS fata\NOTARIA 2009\AGRELQUI\SOC. AGRICOLA MAPAL (PRENDA).doc", "Abrir Documento")</f>
        <v>0</v>
      </c>
      <c r="D14988" t="s">
        <v>23500</v>
      </c>
      <c r="E14988" t="s">
        <v>37463</v>
      </c>
    </row>
    <row r="14989" spans="1:5">
      <c r="A14989" t="s">
        <v>6</v>
      </c>
      <c r="B14989" t="s">
        <v>14994</v>
      </c>
      <c r="C14989">
        <f>HYPERLINK("C:\Users\franc\OneDrive\Documentos\MALENTIN KARIME\BANCO ESTADO\2012 DEPTO ESCRITURAS fata\NOTARIA 2009\AGRELQUI\SOC. AGRICOLA MAPAL (EXTRACTO).doc", "Abrir Documento")</f>
        <v>0</v>
      </c>
      <c r="D14989" t="s">
        <v>23500</v>
      </c>
      <c r="E14989" t="s">
        <v>37464</v>
      </c>
    </row>
    <row r="14990" spans="1:5">
      <c r="A14990" t="s">
        <v>6</v>
      </c>
      <c r="B14990" t="s">
        <v>14995</v>
      </c>
      <c r="C14990">
        <f>HYPERLINK("C:\Users\franc\OneDrive\Documentos\MALENTIN KARIME\BANCO ESTADO\2012 DEPTO ESCRITURAS fata\NOTARIA 2009\AGRELQUI\SOC. AGRICOLA HUANTA  (PRENDA).doc", "Abrir Documento")</f>
        <v>0</v>
      </c>
      <c r="D14990" t="s">
        <v>23500</v>
      </c>
      <c r="E14990" t="s">
        <v>37465</v>
      </c>
    </row>
    <row r="14991" spans="1:5">
      <c r="A14991" t="s">
        <v>6</v>
      </c>
      <c r="B14991" t="s">
        <v>14996</v>
      </c>
      <c r="C14991">
        <f>HYPERLINK("C:\Users\franc\OneDrive\Documentos\MALENTIN KARIME\BANCO ESTADO\2012 DEPTO ESCRITURAS fata\NOTARIA 2009\AGRELQUI\SOC. AGRICOLA COLLIGUAY BAJO  (PRENDA).doc", "Abrir Documento")</f>
        <v>0</v>
      </c>
      <c r="D14991" t="s">
        <v>23500</v>
      </c>
      <c r="E14991" t="s">
        <v>37466</v>
      </c>
    </row>
    <row r="14992" spans="1:5">
      <c r="A14992" t="s">
        <v>6</v>
      </c>
      <c r="B14992" t="s">
        <v>14997</v>
      </c>
      <c r="C14992">
        <f>HYPERLINK("C:\Users\franc\OneDrive\Documentos\MALENTIN KARIME\BANCO ESTADO\2012 DEPTO ESCRITURAS fata\NOTARIA 2009\AGRELQUI\SOC. AGRELQUE A CANTA RANA (PRENDA)Ç.doc", "Abrir Documento")</f>
        <v>0</v>
      </c>
      <c r="D14992" t="s">
        <v>23500</v>
      </c>
      <c r="E14992" t="s">
        <v>37467</v>
      </c>
    </row>
    <row r="14993" spans="1:5">
      <c r="A14993" t="s">
        <v>6</v>
      </c>
      <c r="B14993" t="s">
        <v>14998</v>
      </c>
      <c r="C14993">
        <f>HYPERLINK("C:\Users\franc\OneDrive\Documentos\MALENTIN KARIME\BANCO ESTADO\2012 DEPTO ESCRITURAS fata\NOTARIA 2009\AGRELQUI\PERSONERIAS.doc", "Abrir Documento")</f>
        <v>0</v>
      </c>
      <c r="D14993" t="s">
        <v>23500</v>
      </c>
      <c r="E14993" t="s">
        <v>37468</v>
      </c>
    </row>
    <row r="14994" spans="1:5">
      <c r="A14994" t="s">
        <v>6</v>
      </c>
      <c r="B14994" t="s">
        <v>14999</v>
      </c>
      <c r="C14994">
        <f>HYPERLINK("C:\Users\franc\OneDrive\Documentos\MALENTIN KARIME\BANCO ESTADO\2012 DEPTO ESCRITURAS fata\NOTARIA 2009\AGRELQUI\PAGARE_A_PLAZO_US$,_Mapal[1].doc", "Abrir Documento")</f>
        <v>0</v>
      </c>
      <c r="D14994" t="s">
        <v>23500</v>
      </c>
      <c r="E14994" t="s">
        <v>37469</v>
      </c>
    </row>
    <row r="14995" spans="1:5">
      <c r="A14995" t="s">
        <v>6</v>
      </c>
      <c r="B14995" t="s">
        <v>15000</v>
      </c>
      <c r="C14995">
        <f>HYPERLINK("C:\Users\franc\OneDrive\Documentos\MALENTIN KARIME\BANCO ESTADO\2012 DEPTO ESCRITURAS fata\NOTARIA 2009\AGRELQUI\PAGARE A PLAZO US$,Colliguay[1].doc", "Abrir Documento")</f>
        <v>0</v>
      </c>
      <c r="D14995" t="s">
        <v>23500</v>
      </c>
      <c r="E14995" t="s">
        <v>37470</v>
      </c>
    </row>
    <row r="14996" spans="1:5">
      <c r="A14996" t="s">
        <v>6</v>
      </c>
      <c r="B14996" t="s">
        <v>15001</v>
      </c>
      <c r="C14996">
        <f>HYPERLINK("C:\Users\franc\OneDrive\Documentos\MALENTIN KARIME\BANCO ESTADO\2012 DEPTO ESCRITURAS fata\NOTARIA 2009\AGRELQUI\PAGARE A PLAZO US$, Sepra[1].doc", "Abrir Documento")</f>
        <v>0</v>
      </c>
      <c r="D14996" t="s">
        <v>23500</v>
      </c>
      <c r="E14996" t="s">
        <v>37471</v>
      </c>
    </row>
    <row r="14997" spans="1:5">
      <c r="A14997" t="s">
        <v>6</v>
      </c>
      <c r="B14997" t="s">
        <v>15002</v>
      </c>
      <c r="C14997">
        <f>HYPERLINK("C:\Users\franc\OneDrive\Documentos\MALENTIN KARIME\BANCO ESTADO\2012 DEPTO ESCRITURAS fata\NOTARIA 2009\AGRELQUI\PAGARE A PLAZO US$, Huanta[1].doc", "Abrir Documento")</f>
        <v>0</v>
      </c>
      <c r="D14997" t="s">
        <v>23500</v>
      </c>
      <c r="E14997" t="s">
        <v>37472</v>
      </c>
    </row>
    <row r="14998" spans="1:5">
      <c r="A14998" t="s">
        <v>6</v>
      </c>
      <c r="B14998" t="s">
        <v>15003</v>
      </c>
      <c r="C14998">
        <f>HYPERLINK("C:\Users\franc\OneDrive\Documentos\MALENTIN KARIME\BANCO ESTADO\2012 DEPTO ESCRITURAS fata\NOTARIA 2009\AGRELQUI\PAGARE A LA VISTA.doc", "Abrir Documento")</f>
        <v>0</v>
      </c>
      <c r="D14998" t="s">
        <v>23500</v>
      </c>
      <c r="E14998" t="s">
        <v>37473</v>
      </c>
    </row>
    <row r="14999" spans="1:5">
      <c r="A14999" t="s">
        <v>6</v>
      </c>
      <c r="B14999" t="s">
        <v>15004</v>
      </c>
      <c r="C14999">
        <f>HYPERLINK("C:\Users\franc\OneDrive\Documentos\MALENTIN KARIME\BANCO ESTADO\2012 DEPTO ESCRITURAS fata\NOTARIA 2009\AGRELQUI\MANUEL ECHEVERRIA A AGRELQUI  (COMPRAV).doc", "Abrir Documento")</f>
        <v>0</v>
      </c>
      <c r="D14999" t="s">
        <v>23500</v>
      </c>
      <c r="E14999" t="s">
        <v>37474</v>
      </c>
    </row>
    <row r="15000" spans="1:5">
      <c r="A15000" t="s">
        <v>6</v>
      </c>
      <c r="B15000" t="s">
        <v>15005</v>
      </c>
      <c r="C15000">
        <f>HYPERLINK("C:\Users\franc\OneDrive\Documentos\MALENTIN KARIME\BANCO ESTADO\2012 DEPTO ESCRITURAS fata\NOTARIA 2009\AGRELQUI\Extracto Prenda SEPRA[1].doc", "Abrir Documento")</f>
        <v>0</v>
      </c>
      <c r="D15000" t="s">
        <v>23500</v>
      </c>
      <c r="E15000" t="s">
        <v>37475</v>
      </c>
    </row>
    <row r="15001" spans="1:5">
      <c r="A15001" t="s">
        <v>6</v>
      </c>
      <c r="B15001" t="s">
        <v>15006</v>
      </c>
      <c r="C15001">
        <f>HYPERLINK("C:\Users\franc\OneDrive\Documentos\MALENTIN KARIME\BANCO ESTADO\2012 DEPTO ESCRITURAS fata\NOTARIA 2009\AGRELQUI\Extracto Prenda Sepra  Final.doc", "Abrir Documento")</f>
        <v>0</v>
      </c>
      <c r="D15001" t="s">
        <v>23500</v>
      </c>
      <c r="E15001" t="s">
        <v>37476</v>
      </c>
    </row>
    <row r="15002" spans="1:5">
      <c r="A15002" t="s">
        <v>6</v>
      </c>
      <c r="B15002" t="s">
        <v>15007</v>
      </c>
      <c r="C15002">
        <f>HYPERLINK("C:\Users\franc\OneDrive\Documentos\MALENTIN KARIME\BANCO ESTADO\2012 DEPTO ESCRITURAS fata\NOTARIA 2009\AGRELQUI\Extracto Prenda HUANTA[1].doc", "Abrir Documento")</f>
        <v>0</v>
      </c>
      <c r="D15002" t="s">
        <v>23500</v>
      </c>
      <c r="E15002" t="s">
        <v>37477</v>
      </c>
    </row>
    <row r="15003" spans="1:5">
      <c r="A15003" t="s">
        <v>6</v>
      </c>
      <c r="B15003" t="s">
        <v>15008</v>
      </c>
      <c r="C15003">
        <f>HYPERLINK("C:\Users\franc\OneDrive\Documentos\MALENTIN KARIME\BANCO ESTADO\2012 DEPTO ESCRITURAS fata\NOTARIA 2009\AGRELQUI\Extracto Prenda huanta  Final.doc", "Abrir Documento")</f>
        <v>0</v>
      </c>
      <c r="D15003" t="s">
        <v>23500</v>
      </c>
      <c r="E15003" t="s">
        <v>37478</v>
      </c>
    </row>
    <row r="15004" spans="1:5">
      <c r="A15004" t="s">
        <v>6</v>
      </c>
      <c r="B15004" t="s">
        <v>15009</v>
      </c>
      <c r="C15004">
        <f>HYPERLINK("C:\Users\franc\OneDrive\Documentos\MALENTIN KARIME\BANCO ESTADO\2012 DEPTO ESCRITURAS fata\NOTARIA 2009\AGRELQUI\Extracto Prenda Colliguay[1].doc", "Abrir Documento")</f>
        <v>0</v>
      </c>
      <c r="D15004" t="s">
        <v>23500</v>
      </c>
      <c r="E15004" t="s">
        <v>37479</v>
      </c>
    </row>
    <row r="15005" spans="1:5">
      <c r="A15005" t="s">
        <v>6</v>
      </c>
      <c r="B15005" t="s">
        <v>15010</v>
      </c>
      <c r="C15005">
        <f>HYPERLINK("C:\Users\franc\OneDrive\Documentos\MALENTIN KARIME\BANCO ESTADO\2012 DEPTO ESCRITURAS fata\NOTARIA 2009\AGRELQUI\Extracto Prenda Colliguay Final.doc", "Abrir Documento")</f>
        <v>0</v>
      </c>
      <c r="D15005" t="s">
        <v>23500</v>
      </c>
      <c r="E15005" t="s">
        <v>37480</v>
      </c>
    </row>
    <row r="15006" spans="1:5">
      <c r="A15006" t="s">
        <v>6</v>
      </c>
      <c r="B15006" t="s">
        <v>15011</v>
      </c>
      <c r="C15006">
        <f>HYPERLINK("C:\Users\franc\OneDrive\Documentos\MALENTIN KARIME\BANCO ESTADO\2012 DEPTO ESCRITURAS fata\NOTARIA 2009\AGRELQUI\Extracto Prenda AGRELQUI  Final.doc", "Abrir Documento")</f>
        <v>0</v>
      </c>
      <c r="D15006" t="s">
        <v>23500</v>
      </c>
      <c r="E15006" t="s">
        <v>37481</v>
      </c>
    </row>
    <row r="15007" spans="1:5">
      <c r="A15007" t="s">
        <v>6</v>
      </c>
      <c r="B15007" t="s">
        <v>15012</v>
      </c>
      <c r="C15007">
        <f>HYPERLINK("C:\Users\franc\OneDrive\Documentos\MALENTIN KARIME\BANCO ESTADO\2012 DEPTO ESCRITURAS fata\NOTARIA 2009\AGRELQUI\COMPRAVENTA FRUTAS PRIVADO MAPAL.doc", "Abrir Documento")</f>
        <v>0</v>
      </c>
      <c r="D15007" t="s">
        <v>23500</v>
      </c>
      <c r="E15007" t="s">
        <v>37482</v>
      </c>
    </row>
    <row r="15008" spans="1:5">
      <c r="A15008" t="s">
        <v>6</v>
      </c>
      <c r="B15008" t="s">
        <v>15013</v>
      </c>
      <c r="C15008">
        <f>HYPERLINK("C:\Users\franc\OneDrive\Documentos\MALENTIN KARIME\BANCO ESTADO\2012 DEPTO ESCRITURAS fata\NOTARIA 2009\AGRELQUI\Compraventa Fruta Export Agrelqui-Colliguayi[1].doc", "Abrir Documento")</f>
        <v>0</v>
      </c>
      <c r="D15008" t="s">
        <v>23500</v>
      </c>
      <c r="E15008" t="s">
        <v>37483</v>
      </c>
    </row>
    <row r="15009" spans="1:5">
      <c r="A15009" t="s">
        <v>6</v>
      </c>
      <c r="B15009" t="s">
        <v>15014</v>
      </c>
      <c r="C15009">
        <f>HYPERLINK("C:\Users\franc\OneDrive\Documentos\MALENTIN KARIME\BANCO ESTADO\2012 DEPTO ESCRITURAS fata\NOTARIA 2009\AGRELQUI\Compraventa Fruta Export ACRSA A SEPRA[1].doc", "Abrir Documento")</f>
        <v>0</v>
      </c>
      <c r="D15009" t="s">
        <v>23500</v>
      </c>
      <c r="E15009" t="s">
        <v>37484</v>
      </c>
    </row>
    <row r="15010" spans="1:5">
      <c r="A15010" t="s">
        <v>6</v>
      </c>
      <c r="B15010" t="s">
        <v>15015</v>
      </c>
      <c r="C15010">
        <f>HYPERLINK("C:\Users\franc\OneDrive\Documentos\MALENTIN KARIME\BANCO ESTADO\2012 DEPTO ESCRITURAS fata\NOTARIA 2009\AGRELQUI\Compraventa Fruta Export ACRSA A HUANTA[1].doc", "Abrir Documento")</f>
        <v>0</v>
      </c>
      <c r="D15010" t="s">
        <v>23500</v>
      </c>
      <c r="E15010" t="s">
        <v>37485</v>
      </c>
    </row>
    <row r="15011" spans="1:5">
      <c r="A15011" t="s">
        <v>6</v>
      </c>
      <c r="B15011" t="s">
        <v>15016</v>
      </c>
      <c r="C15011">
        <f>HYPERLINK("C:\Users\franc\OneDrive\Documentos\MALENTIN KARIME\BANCO ESTADO\2012 DEPTO ESCRITURAS fata\NOTARIA 2009\AGRELQUI\Compraventa Fruta Export ACRSA A AGRELQUI[1].doc", "Abrir Documento")</f>
        <v>0</v>
      </c>
      <c r="D15011" t="s">
        <v>23500</v>
      </c>
      <c r="E15011" t="s">
        <v>37486</v>
      </c>
    </row>
    <row r="15012" spans="1:5">
      <c r="A15012" t="s">
        <v>6</v>
      </c>
      <c r="B15012" t="s">
        <v>15017</v>
      </c>
      <c r="C15012">
        <f>HYPERLINK("C:\Users\franc\OneDrive\Documentos\MALENTIN KARIME\BANCO ESTADO\2012 DEPTO ESCRITURAS fata\NOTARIA 2009\ADOLFO LAY\Manuel Arnoldo Tabilo Varas[1].doc", "Abrir Documento")</f>
        <v>0</v>
      </c>
      <c r="D15012" t="s">
        <v>23500</v>
      </c>
      <c r="E15012" t="s">
        <v>37487</v>
      </c>
    </row>
    <row r="15013" spans="1:5">
      <c r="A15013" t="s">
        <v>6</v>
      </c>
      <c r="B15013" t="s">
        <v>15018</v>
      </c>
      <c r="C15013">
        <f>HYPERLINK("C:\Users\franc\OneDrive\Documentos\MALENTIN KARIME\BANCO ESTADO\2012 DEPTO ESCRITURAS fata\NOTARIA 2009\ADOLFO LAY\Manuel Arnoldo  Tabilo Varas[1].doc", "Abrir Documento")</f>
        <v>0</v>
      </c>
      <c r="D15013" t="s">
        <v>23500</v>
      </c>
      <c r="E15013" t="s">
        <v>37488</v>
      </c>
    </row>
    <row r="15014" spans="1:5">
      <c r="A15014" t="s">
        <v>6</v>
      </c>
      <c r="B15014" t="s">
        <v>15019</v>
      </c>
      <c r="C15014">
        <f>HYPERLINK("C:\Users\franc\OneDrive\Documentos\MALENTIN KARIME\BANCO ESTADO\2012 DEPTO ESCRITURAS fata\NOTARIA 2009\ADOLFO LAY\INSTRUCCIONES ALIRO PINTO.doc", "Abrir Documento")</f>
        <v>0</v>
      </c>
      <c r="D15014" t="s">
        <v>23500</v>
      </c>
      <c r="E15014" t="s">
        <v>37489</v>
      </c>
    </row>
    <row r="15015" spans="1:5">
      <c r="A15015" t="s">
        <v>6</v>
      </c>
      <c r="B15015" t="s">
        <v>15020</v>
      </c>
      <c r="C15015">
        <f>HYPERLINK("C:\Users\franc\OneDrive\Documentos\MALENTIN KARIME\BANCO ESTADO\2012 DEPTO ESCRITURAS fata\NOTARIA 2009\ADOLFO LAY\AGRICOLA ALIRO PINTO A CRUZ SOLORZANO.doc", "Abrir Documento")</f>
        <v>0</v>
      </c>
      <c r="D15015" t="s">
        <v>23500</v>
      </c>
      <c r="E15015" t="s">
        <v>37490</v>
      </c>
    </row>
    <row r="15016" spans="1:5">
      <c r="A15016" t="s">
        <v>6</v>
      </c>
      <c r="B15016" t="s">
        <v>15021</v>
      </c>
      <c r="C15016">
        <f>HYPERLINK("C:\Users\franc\OneDrive\Documentos\MALENTIN KARIME\BANCO ESTADO\2012 DEPTO ESCRITURAS fata\NOTARIA 2009\ACTAS\SLM STA LAURA.doc", "Abrir Documento")</f>
        <v>0</v>
      </c>
      <c r="D15016" t="s">
        <v>23500</v>
      </c>
      <c r="E15016" t="s">
        <v>37491</v>
      </c>
    </row>
    <row r="15017" spans="1:5">
      <c r="A15017" t="s">
        <v>6</v>
      </c>
      <c r="B15017" t="s">
        <v>15022</v>
      </c>
      <c r="C15017">
        <f>HYPERLINK("C:\Users\franc\OneDrive\Documentos\MALENTIN KARIME\BANCO ESTADO\2012 DEPTO ESCRITURAS fata\NOTARIA 2009\ACTAS\SESION DON VALENTINO S.A..doc", "Abrir Documento")</f>
        <v>0</v>
      </c>
      <c r="D15017" t="s">
        <v>23500</v>
      </c>
      <c r="E15017" t="s">
        <v>37492</v>
      </c>
    </row>
    <row r="15018" spans="1:5">
      <c r="A15018" t="s">
        <v>6</v>
      </c>
      <c r="B15018" t="s">
        <v>15023</v>
      </c>
      <c r="C15018">
        <f>HYPERLINK("C:\Users\franc\OneDrive\Documentos\MALENTIN KARIME\BANCO ESTADO\2012 DEPTO ESCRITURAS fata\NOTARIA 2009\ACTAS\INVERSIONES ARTIGUES.doc", "Abrir Documento")</f>
        <v>0</v>
      </c>
      <c r="D15018" t="s">
        <v>23500</v>
      </c>
      <c r="E15018" t="s">
        <v>37493</v>
      </c>
    </row>
    <row r="15019" spans="1:5">
      <c r="A15019" t="s">
        <v>6</v>
      </c>
      <c r="B15019" t="s">
        <v>15024</v>
      </c>
      <c r="C15019">
        <f>HYPERLINK("C:\Users\franc\OneDrive\Documentos\MALENTIN KARIME\BANCO ESTADO\2012 DEPTO ESCRITURAS fata\NOTARIA 2009\ACTAS\AGROVAL.doc", "Abrir Documento")</f>
        <v>0</v>
      </c>
      <c r="D15019" t="s">
        <v>23500</v>
      </c>
      <c r="E15019" t="s">
        <v>37494</v>
      </c>
    </row>
    <row r="15020" spans="1:5">
      <c r="A15020" t="s">
        <v>6</v>
      </c>
      <c r="B15020" t="s">
        <v>15025</v>
      </c>
      <c r="C15020">
        <f>HYPERLINK("C:\Users\franc\OneDrive\Documentos\MALENTIN KARIME\BANCO ESTADO\2012 DEPTO ESCRITURAS fata\NOTARIA 2009\ACTAS\AGROVAL SEGUNDA ACTA.doc", "Abrir Documento")</f>
        <v>0</v>
      </c>
      <c r="D15020" t="s">
        <v>23500</v>
      </c>
      <c r="E15020" t="s">
        <v>37495</v>
      </c>
    </row>
    <row r="15021" spans="1:5">
      <c r="A15021" t="s">
        <v>6</v>
      </c>
      <c r="B15021" t="s">
        <v>15026</v>
      </c>
      <c r="C15021">
        <f>HYPERLINK("C:\Users\franc\OneDrive\Documentos\MALENTIN KARIME\BANCO ESTADO\2012 DEPTO ESCRITURAS fata\NOTARIA 2009\ACTAS\ACTA DON VALENTINO S.A..doc", "Abrir Documento")</f>
        <v>0</v>
      </c>
      <c r="D15021" t="s">
        <v>23500</v>
      </c>
      <c r="E15021" t="s">
        <v>37496</v>
      </c>
    </row>
    <row r="15022" spans="1:5">
      <c r="A15022" t="s">
        <v>6</v>
      </c>
      <c r="B15022" t="s">
        <v>15027</v>
      </c>
      <c r="C15022">
        <f>HYPERLINK("C:\Users\franc\OneDrive\Documentos\MALENTIN KARIME\BANCO ESTADO\2012 DEPTO ESCRITURAS fata\NOTARIA 2009\ACLARACION\NELSON CAMPOS (AGUAS).doc", "Abrir Documento")</f>
        <v>0</v>
      </c>
      <c r="D15022" t="s">
        <v>23500</v>
      </c>
      <c r="E15022" t="s">
        <v>37497</v>
      </c>
    </row>
    <row r="15023" spans="1:5">
      <c r="A15023" t="s">
        <v>6</v>
      </c>
      <c r="B15023" t="s">
        <v>15028</v>
      </c>
      <c r="C15023">
        <f>HYPERLINK("C:\Users\franc\OneDrive\Documentos\MALENTIN KARIME\BANCO ESTADO\2012 DEPTO ESCRITURAS fata\NOTARIA 2009\ACLARACION\MARIO PEÑAILILLO.doc", "Abrir Documento")</f>
        <v>0</v>
      </c>
      <c r="D15023" t="s">
        <v>23500</v>
      </c>
      <c r="E15023" t="s">
        <v>37498</v>
      </c>
    </row>
    <row r="15024" spans="1:5">
      <c r="A15024" t="s">
        <v>6</v>
      </c>
      <c r="B15024" t="s">
        <v>15029</v>
      </c>
      <c r="C15024">
        <f>HYPERLINK("C:\Users\franc\OneDrive\Documentos\MALENTIN KARIME\BANCO ESTADO\2012 DEPTO ESCRITURAS fata\NOTARIA 2009\ACLARACION\EMA JARAMILLO.doc", "Abrir Documento")</f>
        <v>0</v>
      </c>
      <c r="D15024" t="s">
        <v>23500</v>
      </c>
      <c r="E15024" t="s">
        <v>37499</v>
      </c>
    </row>
    <row r="15025" spans="1:5">
      <c r="A15025" t="s">
        <v>6</v>
      </c>
      <c r="B15025" t="s">
        <v>15030</v>
      </c>
      <c r="C15025">
        <f>HYPERLINK("C:\Users\franc\OneDrive\Documentos\MALENTIN KARIME\BANCO ESTADO\2012 DEPTO ESCRITURAS fata\NOTARIA 2009\ACLARACION\DANIEL RAPIMAN.doc", "Abrir Documento")</f>
        <v>0</v>
      </c>
      <c r="D15025" t="s">
        <v>23500</v>
      </c>
      <c r="E15025" t="s">
        <v>37500</v>
      </c>
    </row>
    <row r="15026" spans="1:5">
      <c r="A15026" t="s">
        <v>6</v>
      </c>
      <c r="B15026" t="s">
        <v>15031</v>
      </c>
      <c r="C15026">
        <f>HYPERLINK("C:\Users\franc\OneDrive\Documentos\MALENTIN KARIME\BANCO ESTADO\2012 DEPTO ESCRITURAS fata\NOTARIA 2009\ACLARACION\AGRICOLA PAULA Y CONSUELO LTDA..doc", "Abrir Documento")</f>
        <v>0</v>
      </c>
      <c r="D15026" t="s">
        <v>23500</v>
      </c>
      <c r="E15026" t="s">
        <v>37501</v>
      </c>
    </row>
    <row r="15027" spans="1:5">
      <c r="A15027" t="s">
        <v>6</v>
      </c>
      <c r="B15027" t="s">
        <v>15032</v>
      </c>
      <c r="C15027">
        <f>HYPERLINK("C:\Users\franc\OneDrive\Documentos\MALENTIN KARIME\BANCO ESTADO\2012 DEPTO ESCRITURAS fata\NOTARIA 2009\001 MATRICES DE ESCRITURAS PUBLICAS\TIMBRE PRIVILEGIO POBREZA.doc", "Abrir Documento")</f>
        <v>0</v>
      </c>
      <c r="D15027" t="s">
        <v>23500</v>
      </c>
      <c r="E15027" t="s">
        <v>37502</v>
      </c>
    </row>
    <row r="15028" spans="1:5">
      <c r="A15028" t="s">
        <v>6</v>
      </c>
      <c r="B15028" t="s">
        <v>15033</v>
      </c>
      <c r="C15028">
        <f>HYPERLINK("C:\Users\franc\OneDrive\Documentos\MALENTIN KARIME\BANCO ESTADO\2012 DEPTO ESCRITURAS fata\NOTARIA 2009\001 MATRICES DE ESCRITURAS PUBLICAS\PRENDA SIN DESPLAZAMIENTO.doc", "Abrir Documento")</f>
        <v>0</v>
      </c>
      <c r="D15028" t="s">
        <v>23500</v>
      </c>
      <c r="E15028" t="s">
        <v>37503</v>
      </c>
    </row>
    <row r="15029" spans="1:5">
      <c r="A15029" t="s">
        <v>6</v>
      </c>
      <c r="B15029" t="s">
        <v>15034</v>
      </c>
      <c r="C15029">
        <f>HYPERLINK("C:\Users\franc\OneDrive\Documentos\MALENTIN KARIME\BANCO ESTADO\2012 DEPTO ESCRITURAS fata\NOTARIA 2009\001 MATRICES DE ESCRITURAS PUBLICAS\NOTAS COMPLEMENTARIAS CONT..doc", "Abrir Documento")</f>
        <v>0</v>
      </c>
      <c r="D15029" t="s">
        <v>23500</v>
      </c>
      <c r="E15029" t="s">
        <v>37504</v>
      </c>
    </row>
    <row r="15030" spans="1:5">
      <c r="A15030" t="s">
        <v>6</v>
      </c>
      <c r="B15030" t="s">
        <v>15035</v>
      </c>
      <c r="C15030">
        <f>HYPERLINK("C:\Users\franc\OneDrive\Documentos\MALENTIN KARIME\BANCO ESTADO\2012 DEPTO ESCRITURAS fata\NOTARIA 2009\001 MATRICES DE ESCRITURAS PUBLICAS\NOTA.doc", "Abrir Documento")</f>
        <v>0</v>
      </c>
      <c r="D15030" t="s">
        <v>23500</v>
      </c>
      <c r="E15030" t="s">
        <v>37505</v>
      </c>
    </row>
    <row r="15031" spans="1:5">
      <c r="A15031" t="s">
        <v>6</v>
      </c>
      <c r="B15031" t="s">
        <v>15036</v>
      </c>
      <c r="C15031">
        <f>HYPERLINK("C:\Users\franc\OneDrive\Documentos\MALENTIN KARIME\BANCO ESTADO\2012 DEPTO ESCRITURAS fata\NOTARIA 2009\001 MATRICES DE ESCRITURAS PUBLICAS\NOTA MARGINAL.doc", "Abrir Documento")</f>
        <v>0</v>
      </c>
      <c r="D15031" t="s">
        <v>23500</v>
      </c>
      <c r="E15031" t="s">
        <v>37506</v>
      </c>
    </row>
    <row r="15032" spans="1:5">
      <c r="A15032" t="s">
        <v>6</v>
      </c>
      <c r="B15032" t="s">
        <v>15037</v>
      </c>
      <c r="C15032">
        <f>HYPERLINK("C:\Users\franc\OneDrive\Documentos\MALENTIN KARIME\BANCO ESTADO\2012 DEPTO ESCRITURAS fata\NOTARIA 2009\001 MATRICES DE ESCRITURAS PUBLICAS\N. COMPLEMENTARIAS ARUEGO.doc", "Abrir Documento")</f>
        <v>0</v>
      </c>
      <c r="D15032" t="s">
        <v>23500</v>
      </c>
      <c r="E15032" t="s">
        <v>37507</v>
      </c>
    </row>
    <row r="15033" spans="1:5">
      <c r="A15033" t="s">
        <v>6</v>
      </c>
      <c r="B15033" t="s">
        <v>15038</v>
      </c>
      <c r="C15033">
        <f>HYPERLINK("C:\Users\franc\OneDrive\Documentos\MALENTIN KARIME\BANCO ESTADO\2012 DEPTO ESCRITURAS fata\NOTARIA 2009\001 MATRICES DE ESCRITURAS PUBLICAS\MEMBRETE FACSIMIL.doc", "Abrir Documento")</f>
        <v>0</v>
      </c>
      <c r="D15033" t="s">
        <v>23500</v>
      </c>
      <c r="E15033" t="s">
        <v>37508</v>
      </c>
    </row>
    <row r="15034" spans="1:5">
      <c r="A15034" t="s">
        <v>6</v>
      </c>
      <c r="B15034" t="s">
        <v>15039</v>
      </c>
      <c r="C15034">
        <f>HYPERLINK("C:\Users\franc\OneDrive\Documentos\MALENTIN KARIME\BANCO ESTADO\2012 DEPTO ESCRITURAS fata\NOTARIA 2009\001 MATRICES DE ESCRITURAS PUBLICAS\HOJA ANEXA PROT..doc", "Abrir Documento")</f>
        <v>0</v>
      </c>
      <c r="D15034" t="s">
        <v>23500</v>
      </c>
      <c r="E15034" t="s">
        <v>37509</v>
      </c>
    </row>
    <row r="15035" spans="1:5">
      <c r="A15035" t="s">
        <v>6</v>
      </c>
      <c r="B15035" t="s">
        <v>15040</v>
      </c>
      <c r="C15035">
        <f>HYPERLINK("C:\Users\franc\OneDrive\Documentos\MALENTIN KARIME\BANCO ESTADO\2012 DEPTO ESCRITURAS fata\NOTARIA 2009\001 MATRICES DE ESCRITURAS PUBLICAS\ELECCIONES PARTIDOS POLITICOS.doc", "Abrir Documento")</f>
        <v>0</v>
      </c>
      <c r="D15035" t="s">
        <v>23500</v>
      </c>
      <c r="E15035" t="s">
        <v>37510</v>
      </c>
    </row>
    <row r="15036" spans="1:5">
      <c r="A15036" t="s">
        <v>6</v>
      </c>
      <c r="B15036" t="s">
        <v>15041</v>
      </c>
      <c r="C15036">
        <f>HYPERLINK("C:\Users\franc\OneDrive\Documentos\MALENTIN KARIME\BANCO ESTADO\2012 DEPTO ESCRITURAS fata\NOTARIA 2009\001 MATRICES DE ESCRITURAS PUBLICAS\ELECCIONES PARTIDOS POLITICOS lista firmas.doc", "Abrir Documento")</f>
        <v>0</v>
      </c>
      <c r="D15036" t="s">
        <v>23500</v>
      </c>
      <c r="E15036" t="s">
        <v>37511</v>
      </c>
    </row>
    <row r="15037" spans="1:5">
      <c r="A15037" t="s">
        <v>6</v>
      </c>
      <c r="B15037" t="s">
        <v>15042</v>
      </c>
      <c r="C15037">
        <f>HYPERLINK("C:\Users\franc\OneDrive\Documentos\MALENTIN KARIME\BANCO ESTADO\2012 DEPTO ESCRITURAS fata\NOTARIA 2009\001 MATRICES DE ESCRITURAS PUBLICAS\CERTIFICACIONES.doc", "Abrir Documento")</f>
        <v>0</v>
      </c>
      <c r="D15037" t="s">
        <v>23500</v>
      </c>
      <c r="E15037" t="s">
        <v>37512</v>
      </c>
    </row>
    <row r="15038" spans="1:5">
      <c r="A15038" t="s">
        <v>6</v>
      </c>
      <c r="B15038" t="s">
        <v>15043</v>
      </c>
      <c r="C15038">
        <f>HYPERLINK("C:\Users\franc\OneDrive\Documentos\MALENTIN KARIME\BANCO ESTADO\2012 DEPTO ESCRITURAS fata\NOTARIA 2009\001 MATRICES DE ESCRITURAS PUBLICAS\CERTIFICACIONES auto PROTOCOLIZACION.doc", "Abrir Documento")</f>
        <v>0</v>
      </c>
      <c r="D15038" t="s">
        <v>23500</v>
      </c>
      <c r="E15038" t="s">
        <v>37513</v>
      </c>
    </row>
    <row r="15039" spans="1:5">
      <c r="A15039" t="s">
        <v>6</v>
      </c>
      <c r="B15039" t="s">
        <v>15044</v>
      </c>
      <c r="C15039">
        <f>HYPERLINK("C:\Users\franc\OneDrive\Documentos\MALENTIN KARIME\BANCO ESTADO\2012 DEPTO ESCRITURAS fata\NOTARIA 2009\001 MATRICES DE ESCRITURAS PUBLICAS\AUT HOJA SIGUIENTE.doc", "Abrir Documento")</f>
        <v>0</v>
      </c>
      <c r="D15039" t="s">
        <v>23500</v>
      </c>
      <c r="E15039" t="s">
        <v>37514</v>
      </c>
    </row>
    <row r="15040" spans="1:5">
      <c r="A15040" t="s">
        <v>6</v>
      </c>
      <c r="B15040" t="s">
        <v>15045</v>
      </c>
      <c r="C15040">
        <f>HYPERLINK("C:\Users\franc\OneDrive\Documentos\MALENTIN KARIME\BANCO ESTADO\2012 DEPTO ESCRITURAS fata\NOTARIA 2009\001 MATRICES DE ESCRITURAS PUBLICAS\124.1 EXTRACTO LIMITADA.doc", "Abrir Documento")</f>
        <v>0</v>
      </c>
      <c r="D15040" t="s">
        <v>23500</v>
      </c>
      <c r="E15040" t="s">
        <v>37515</v>
      </c>
    </row>
    <row r="15041" spans="1:5">
      <c r="A15041" t="s">
        <v>6</v>
      </c>
      <c r="B15041" t="s">
        <v>15046</v>
      </c>
      <c r="C15041">
        <f>HYPERLINK("C:\Users\franc\OneDrive\Documentos\MALENTIN KARIME\BANCO ESTADO\2012 DEPTO ESCRITURAS fata\NOTARIA 2009\001 MATRICES DE ESCRITURAS PUBLICAS\108 REPERTORIO ESCRITURAS.doc", "Abrir Documento")</f>
        <v>0</v>
      </c>
      <c r="D15041" t="s">
        <v>23500</v>
      </c>
      <c r="E15041" t="s">
        <v>37516</v>
      </c>
    </row>
    <row r="15042" spans="1:5">
      <c r="A15042" t="s">
        <v>6</v>
      </c>
      <c r="B15042" t="s">
        <v>15047</v>
      </c>
      <c r="C15042">
        <f>HYPERLINK("C:\Users\franc\OneDrive\Documentos\MALENTIN KARIME\BANCO ESTADO\2012 DEPTO ESCRITURAS fata\NOTARIA 2009\001 MATRICES DE ESCRITURAS PUBLICAS\107 NOTAS COMPLEMENTARIAS.doc", "Abrir Documento")</f>
        <v>0</v>
      </c>
      <c r="D15042" t="s">
        <v>23500</v>
      </c>
      <c r="E15042" t="s">
        <v>37517</v>
      </c>
    </row>
    <row r="15043" spans="1:5">
      <c r="A15043" t="s">
        <v>6</v>
      </c>
      <c r="B15043" t="s">
        <v>15048</v>
      </c>
      <c r="C15043">
        <f>HYPERLINK("C:\Users\franc\OneDrive\Documentos\MALENTIN KARIME\BANCO ESTADO\2012 DEPTO ESCRITURAS fata\NOTARIA 2009\001 MATRICES DE ESCRITURAS PUBLICAS\107 correcciones escrituras.doc", "Abrir Documento")</f>
        <v>0</v>
      </c>
      <c r="D15043" t="s">
        <v>23500</v>
      </c>
      <c r="E15043" t="s">
        <v>37518</v>
      </c>
    </row>
    <row r="15044" spans="1:5">
      <c r="A15044" t="s">
        <v>6</v>
      </c>
      <c r="B15044" t="s">
        <v>15049</v>
      </c>
      <c r="C15044">
        <f>HYPERLINK("C:\Users\franc\OneDrive\Documentos\MALENTIN KARIME\BANCO ESTADO\2012 DEPTO ESCRITURAS fata\NOTARIA 2009\001 MATRICES DE ESCRITURAS PUBLICAS\103.02 MATRIZ ESCRITURA SUPLENTE.doc", "Abrir Documento")</f>
        <v>0</v>
      </c>
      <c r="D15044" t="s">
        <v>23500</v>
      </c>
      <c r="E15044" t="s">
        <v>37519</v>
      </c>
    </row>
    <row r="15045" spans="1:5">
      <c r="A15045" t="s">
        <v>6</v>
      </c>
      <c r="B15045" t="s">
        <v>15050</v>
      </c>
      <c r="C15045">
        <f>HYPERLINK("C:\Users\franc\OneDrive\Documentos\MALENTIN KARIME\BANCO ESTADO\2012 DEPTO ESCRITURAS fata\NOTARIA 2009\001 MATRICES DE ESCRITURAS PUBLICAS\102.00 MATRIZ PROTOCOLIZACION.doc", "Abrir Documento")</f>
        <v>0</v>
      </c>
      <c r="D15045" t="s">
        <v>23500</v>
      </c>
      <c r="E15045" t="s">
        <v>37520</v>
      </c>
    </row>
    <row r="15046" spans="1:5">
      <c r="A15046" t="s">
        <v>6</v>
      </c>
      <c r="B15046" t="s">
        <v>15051</v>
      </c>
      <c r="C15046">
        <f>HYPERLINK("C:\Users\franc\OneDrive\Documentos\MALENTIN KARIME\BANCO ESTADO\2012 DEPTO ESCRITURAS fata\NOTARIA 2009\001 MATRICES DE ESCRITURAS PUBLICAS\101.02 MATRIZ ESCRITURA CON PRIVILEGIO.doc", "Abrir Documento")</f>
        <v>0</v>
      </c>
      <c r="D15046" t="s">
        <v>23500</v>
      </c>
      <c r="E15046" t="s">
        <v>37521</v>
      </c>
    </row>
    <row r="15047" spans="1:5">
      <c r="A15047" t="s">
        <v>6</v>
      </c>
      <c r="B15047" t="s">
        <v>15052</v>
      </c>
      <c r="C15047">
        <f>HYPERLINK("C:\Users\franc\OneDrive\Documentos\MALENTIN KARIME\BANCO ESTADO\2012 DEPTO ESCRITURAS fata\NOTARIA 2009\001 MATRICES DE ESCRITURAS PUBLICAS\101.01 MATRIZ ESCRITURA.doc", "Abrir Documento")</f>
        <v>0</v>
      </c>
      <c r="D15047" t="s">
        <v>23500</v>
      </c>
      <c r="E15047" t="s">
        <v>37522</v>
      </c>
    </row>
    <row r="15048" spans="1:5">
      <c r="A15048" t="s">
        <v>6</v>
      </c>
      <c r="B15048" t="s">
        <v>15053</v>
      </c>
      <c r="C15048">
        <f>HYPERLINK("C:\Users\franc\OneDrive\Documentos\MALENTIN KARIME\BANCO ESTADO\2012 DEPTO ESCRITURAS fata\NOTARIA 2009\SERGIO HERNANDEZ AGUIRRE.doc", "Abrir Documento")</f>
        <v>0</v>
      </c>
      <c r="D15048" t="s">
        <v>23500</v>
      </c>
      <c r="E15048" t="s">
        <v>37523</v>
      </c>
    </row>
    <row r="15049" spans="1:5">
      <c r="A15049" t="s">
        <v>6</v>
      </c>
      <c r="B15049" t="s">
        <v>15054</v>
      </c>
      <c r="C15049">
        <f>HYPERLINK("C:\Users\franc\OneDrive\Documentos\MALENTIN KARIME\BANCO ESTADO\2012 DEPTO ESCRITURAS fata\NOTARIA 2009\SEPARACION DE BIENES.doc", "Abrir Documento")</f>
        <v>0</v>
      </c>
      <c r="D15049" t="s">
        <v>23500</v>
      </c>
      <c r="E15049" t="s">
        <v>37524</v>
      </c>
    </row>
    <row r="15050" spans="1:5">
      <c r="A15050" t="s">
        <v>6</v>
      </c>
      <c r="B15050" t="s">
        <v>15055</v>
      </c>
      <c r="C15050">
        <f>HYPERLINK("C:\Users\franc\OneDrive\Documentos\MALENTIN KARIME\BANCO ESTADO\2012 DEPTO ESCRITURAS fata\NOTARIA 2009\punitaqui.doc", "Abrir Documento")</f>
        <v>0</v>
      </c>
      <c r="D15050" t="s">
        <v>23500</v>
      </c>
      <c r="E15050" t="s">
        <v>37525</v>
      </c>
    </row>
    <row r="15051" spans="1:5">
      <c r="A15051" t="s">
        <v>6</v>
      </c>
      <c r="B15051" t="s">
        <v>15056</v>
      </c>
      <c r="C15051">
        <f>HYPERLINK("C:\Users\franc\OneDrive\Documentos\MALENTIN KARIME\BANCO ESTADO\2012 DEPTO ESCRITURAS fata\NOTARIA 2009\PAGARE promesa carmelitana.doc", "Abrir Documento")</f>
        <v>0</v>
      </c>
      <c r="D15051" t="s">
        <v>23500</v>
      </c>
      <c r="E15051" t="s">
        <v>37526</v>
      </c>
    </row>
    <row r="15052" spans="1:5">
      <c r="A15052" t="s">
        <v>6</v>
      </c>
      <c r="B15052" t="s">
        <v>15057</v>
      </c>
      <c r="C15052">
        <f>HYPERLINK("C:\Users\franc\OneDrive\Documentos\MALENTIN KARIME\BANCO ESTADO\2012 DEPTO ESCRITURAS fata\NOTARIA 2009\MODELO TRANSACCION judicial.doc", "Abrir Documento")</f>
        <v>0</v>
      </c>
      <c r="D15052" t="s">
        <v>23500</v>
      </c>
      <c r="E15052" t="s">
        <v>37527</v>
      </c>
    </row>
    <row r="15053" spans="1:5">
      <c r="A15053" t="s">
        <v>6</v>
      </c>
      <c r="B15053" t="s">
        <v>15058</v>
      </c>
      <c r="C15053">
        <f>HYPERLINK("C:\Users\franc\OneDrive\Documentos\MALENTIN KARIME\BANCO ESTADO\2012 DEPTO ESCRITURAS fata\NOTARIA 2009\MODELO NOTARIO.doc", "Abrir Documento")</f>
        <v>0</v>
      </c>
      <c r="D15053" t="s">
        <v>23500</v>
      </c>
      <c r="E15053" t="s">
        <v>37528</v>
      </c>
    </row>
    <row r="15054" spans="1:5">
      <c r="A15054" t="s">
        <v>6</v>
      </c>
      <c r="B15054" t="s">
        <v>15059</v>
      </c>
      <c r="C15054">
        <f>HYPERLINK("C:\Users\franc\OneDrive\Documentos\MALENTIN KARIME\BANCO ESTADO\2012 DEPTO ESCRITURAS fata\NOTARIA 2009\MODELO NOTARIO SUPLENTE.doc", "Abrir Documento")</f>
        <v>0</v>
      </c>
      <c r="D15054" t="s">
        <v>23500</v>
      </c>
      <c r="E15054" t="s">
        <v>37529</v>
      </c>
    </row>
    <row r="15055" spans="1:5">
      <c r="A15055" t="s">
        <v>6</v>
      </c>
      <c r="B15055" t="s">
        <v>15060</v>
      </c>
      <c r="C15055">
        <f>HYPERLINK("C:\Users\franc\OneDrive\Documentos\MALENTIN KARIME\BANCO ESTADO\2012 DEPTO ESCRITURAS fata\NOTARIA 2009\MODELO CV.doc", "Abrir Documento")</f>
        <v>0</v>
      </c>
      <c r="D15055" t="s">
        <v>23500</v>
      </c>
      <c r="E15055" t="s">
        <v>37530</v>
      </c>
    </row>
    <row r="15056" spans="1:5">
      <c r="A15056" t="s">
        <v>6</v>
      </c>
      <c r="B15056" t="s">
        <v>15061</v>
      </c>
      <c r="C15056">
        <f>HYPERLINK("C:\Users\franc\OneDrive\Documentos\MALENTIN KARIME\BANCO ESTADO\2012 DEPTO ESCRITURAS fata\NOTARIA 2009\lucia donoso.doc", "Abrir Documento")</f>
        <v>0</v>
      </c>
      <c r="D15056" t="s">
        <v>23500</v>
      </c>
      <c r="E15056" t="s">
        <v>37531</v>
      </c>
    </row>
    <row r="15057" spans="1:5">
      <c r="A15057" t="s">
        <v>6</v>
      </c>
      <c r="B15057" t="s">
        <v>15062</v>
      </c>
      <c r="C15057">
        <f>HYPERLINK("C:\Users\franc\OneDrive\Documentos\MALENTIN KARIME\BANCO ESTADO\2012 DEPTO ESCRITURAS fata\NOTARIA 2009\lucia donoso - usufructo.doc", "Abrir Documento")</f>
        <v>0</v>
      </c>
      <c r="D15057" t="s">
        <v>23500</v>
      </c>
      <c r="E15057" t="s">
        <v>37532</v>
      </c>
    </row>
    <row r="15058" spans="1:5">
      <c r="A15058" t="s">
        <v>6</v>
      </c>
      <c r="B15058" t="s">
        <v>15063</v>
      </c>
      <c r="C15058">
        <f>HYPERLINK("C:\Users\franc\OneDrive\Documentos\MALENTIN KARIME\BANCO ESTADO\2012 DEPTO ESCRITURAS fata\NOTARIA 2009\HILDA VIDELA Y OTROS A DAVID CONTRERAS.doc", "Abrir Documento")</f>
        <v>0</v>
      </c>
      <c r="D15058" t="s">
        <v>23500</v>
      </c>
      <c r="E15058" t="s">
        <v>37533</v>
      </c>
    </row>
    <row r="15059" spans="1:5">
      <c r="A15059" t="s">
        <v>6</v>
      </c>
      <c r="B15059" t="s">
        <v>15064</v>
      </c>
      <c r="C15059">
        <f>HYPERLINK("C:\Users\franc\OneDrive\Documentos\MALENTIN KARIME\BANCO ESTADO\2012 DEPTO ESCRITURAS fata\NOTARIA 2009\HILDA BONILLA.doc", "Abrir Documento")</f>
        <v>0</v>
      </c>
      <c r="D15059" t="s">
        <v>23500</v>
      </c>
      <c r="E15059" t="s">
        <v>37534</v>
      </c>
    </row>
    <row r="15060" spans="1:5">
      <c r="A15060" t="s">
        <v>6</v>
      </c>
      <c r="B15060" t="s">
        <v>15065</v>
      </c>
      <c r="C15060">
        <f>HYPERLINK("C:\Users\franc\OneDrive\Documentos\MALENTIN KARIME\BANCO ESTADO\2012 DEPTO ESCRITURAS fata\NOTARIA 2009\GABRIEL VIII 1-16.doc", "Abrir Documento")</f>
        <v>0</v>
      </c>
      <c r="D15060" t="s">
        <v>23500</v>
      </c>
      <c r="E15060" t="s">
        <v>37535</v>
      </c>
    </row>
    <row r="15061" spans="1:5">
      <c r="A15061" t="s">
        <v>6</v>
      </c>
      <c r="B15061" t="s">
        <v>15066</v>
      </c>
      <c r="C15061">
        <f>HYPERLINK("C:\Users\franc\OneDrive\Documentos\MALENTIN KARIME\BANCO ESTADO\2012 DEPTO ESCRITURAS fata\NOTARIA 2009\FRANCISCO NIÑO DE ZEPEDA FEBRERO 2007.doc", "Abrir Documento")</f>
        <v>0</v>
      </c>
      <c r="D15061" t="s">
        <v>23500</v>
      </c>
      <c r="E15061" t="s">
        <v>37536</v>
      </c>
    </row>
    <row r="15062" spans="1:5">
      <c r="A15062" t="s">
        <v>6</v>
      </c>
      <c r="B15062" t="s">
        <v>15067</v>
      </c>
      <c r="C15062">
        <f>HYPERLINK("C:\Users\franc\OneDrive\Documentos\MALENTIN KARIME\BANCO ESTADO\2012 DEPTO ESCRITURAS fata\NOTARIA 2009\FILOMENA ROJAS (COLEGIO).doc", "Abrir Documento")</f>
        <v>0</v>
      </c>
      <c r="D15062" t="s">
        <v>23500</v>
      </c>
      <c r="E15062" t="s">
        <v>37537</v>
      </c>
    </row>
    <row r="15063" spans="1:5">
      <c r="A15063" t="s">
        <v>6</v>
      </c>
      <c r="B15063" t="s">
        <v>15068</v>
      </c>
      <c r="C15063">
        <f>HYPERLINK("C:\Users\franc\OneDrive\Documentos\MALENTIN KARIME\BANCO ESTADO\2012 DEPTO ESCRITURAS fata\NOTARIA 2009\Estimada Ana Luisa.doc", "Abrir Documento")</f>
        <v>0</v>
      </c>
      <c r="D15063" t="s">
        <v>23500</v>
      </c>
      <c r="E15063" t="s">
        <v>37538</v>
      </c>
    </row>
    <row r="15064" spans="1:5">
      <c r="A15064" t="s">
        <v>6</v>
      </c>
      <c r="B15064" t="s">
        <v>15069</v>
      </c>
      <c r="C15064">
        <f>HYPERLINK("C:\Users\franc\OneDrive\Documentos\MALENTIN KARIME\BANCO ESTADO\2012 DEPTO ESCRITURAS fata\NOTARIA 2009\COVALSA A JOSE ANGAN Y RUTH.doc", "Abrir Documento")</f>
        <v>0</v>
      </c>
      <c r="D15064" t="s">
        <v>23500</v>
      </c>
      <c r="E15064" t="s">
        <v>37539</v>
      </c>
    </row>
    <row r="15065" spans="1:5">
      <c r="A15065" t="s">
        <v>6</v>
      </c>
      <c r="B15065" t="s">
        <v>15070</v>
      </c>
      <c r="C15065">
        <f>HYPERLINK("C:\Users\franc\OneDrive\Documentos\MALENTIN KARIME\BANCO ESTADO\2012 DEPTO ESCRITURAS fata\NOTARIA 2009\CERTIFICO.doc", "Abrir Documento")</f>
        <v>0</v>
      </c>
      <c r="D15065" t="s">
        <v>23500</v>
      </c>
      <c r="E15065" t="s">
        <v>37540</v>
      </c>
    </row>
    <row r="15066" spans="1:5">
      <c r="A15066" t="s">
        <v>6</v>
      </c>
      <c r="B15066" t="s">
        <v>15071</v>
      </c>
      <c r="C15066">
        <f>HYPERLINK("C:\Users\franc\OneDrive\Documentos\MALENTIN KARIME\BANCO ESTADO\2012 DEPTO ESCRITURAS fata\NOTARIA 2009\ARKON.DOC", "Abrir Documento")</f>
        <v>0</v>
      </c>
      <c r="D15066" t="s">
        <v>23500</v>
      </c>
      <c r="E15066" t="s">
        <v>37541</v>
      </c>
    </row>
    <row r="15067" spans="1:5">
      <c r="A15067" t="s">
        <v>6</v>
      </c>
      <c r="B15067" t="s">
        <v>15072</v>
      </c>
      <c r="C15067">
        <f>HYPERLINK("C:\Users\franc\OneDrive\Documentos\MALENTIN KARIME\BANCO ESTADO\2012 DEPTO ESCRITURAS fata\NOTARIA 2009\ALZAMIENTO FABIOLA CONTRERAS.doc", "Abrir Documento")</f>
        <v>0</v>
      </c>
      <c r="D15067" t="s">
        <v>23500</v>
      </c>
      <c r="E15067" t="s">
        <v>37542</v>
      </c>
    </row>
    <row r="15068" spans="1:5">
      <c r="A15068" t="s">
        <v>6</v>
      </c>
      <c r="B15068" t="s">
        <v>15073</v>
      </c>
      <c r="C15068">
        <f>HYPERLINK("C:\Users\franc\OneDrive\Documentos\MALENTIN KARIME\BANCO ESTADO\2012 DEPTO ESCRITURAS fata\Dc Simples\VEHICULOS\PROMESA VEHICULO.doc", "Abrir Documento")</f>
        <v>0</v>
      </c>
      <c r="D15068" t="s">
        <v>23500</v>
      </c>
      <c r="E15068" t="s">
        <v>37543</v>
      </c>
    </row>
    <row r="15069" spans="1:5">
      <c r="A15069" t="s">
        <v>6</v>
      </c>
      <c r="B15069" t="s">
        <v>15074</v>
      </c>
      <c r="C15069">
        <f>HYPERLINK("C:\Users\franc\OneDrive\Documentos\MALENTIN KARIME\BANCO ESTADO\2012 DEPTO ESCRITURAS fata\Dc Simples\RESPALDO comp notaria 27_12_12\NOTARIA 2012\VEHICULOS\VINKO.doc", "Abrir Documento")</f>
        <v>0</v>
      </c>
      <c r="D15069" t="s">
        <v>23500</v>
      </c>
      <c r="E15069" t="s">
        <v>37544</v>
      </c>
    </row>
    <row r="15070" spans="1:5">
      <c r="A15070" t="s">
        <v>6</v>
      </c>
      <c r="B15070" t="s">
        <v>15075</v>
      </c>
      <c r="C15070">
        <f>HYPERLINK("C:\Users\franc\OneDrive\Documentos\MALENTIN KARIME\BANCO ESTADO\2012 DEPTO ESCRITURAS fata\Dc Simples\RESPALDO comp notaria 27_12_12\NOTARIA 2012\VEHICULOS\VEHICULO 1 CON DEUDA.doc", "Abrir Documento")</f>
        <v>0</v>
      </c>
      <c r="D15070" t="s">
        <v>23500</v>
      </c>
      <c r="E15070" t="s">
        <v>37545</v>
      </c>
    </row>
    <row r="15071" spans="1:5">
      <c r="A15071" t="s">
        <v>6</v>
      </c>
      <c r="B15071" t="s">
        <v>15076</v>
      </c>
      <c r="C15071">
        <f>HYPERLINK("C:\Users\franc\OneDrive\Documentos\MALENTIN KARIME\BANCO ESTADO\2012 DEPTO ESCRITURAS fata\Dc Simples\RESPALDO comp notaria 27_12_12\NOTARIA 2012\VEHICULOS\VEHIC. CON REP.doc", "Abrir Documento")</f>
        <v>0</v>
      </c>
      <c r="D15071" t="s">
        <v>23500</v>
      </c>
      <c r="E15071" t="s">
        <v>37546</v>
      </c>
    </row>
    <row r="15072" spans="1:5">
      <c r="A15072" t="s">
        <v>6</v>
      </c>
      <c r="B15072" t="s">
        <v>15077</v>
      </c>
      <c r="C15072">
        <f>HYPERLINK("C:\Users\franc\OneDrive\Documentos\MALENTIN KARIME\BANCO ESTADO\2012 DEPTO ESCRITURAS fata\Dc Simples\RESPALDO comp notaria 27_12_12\NOTARIA 2012\VEHICULOS\VEHIC. CON REP 656.doc", "Abrir Documento")</f>
        <v>0</v>
      </c>
      <c r="D15072" t="s">
        <v>23500</v>
      </c>
      <c r="E15072" t="s">
        <v>37547</v>
      </c>
    </row>
    <row r="15073" spans="1:5">
      <c r="A15073" t="s">
        <v>6</v>
      </c>
      <c r="B15073" t="s">
        <v>15078</v>
      </c>
      <c r="C15073">
        <f>HYPERLINK("C:\Users\franc\OneDrive\Documentos\MALENTIN KARIME\BANCO ESTADO\2012 DEPTO ESCRITURAS fata\Dc Simples\RESPALDO comp notaria 27_12_12\NOTARIA 2012\VEHICULOS\VEHIC. 1 CON LETRA.doc", "Abrir Documento")</f>
        <v>0</v>
      </c>
      <c r="D15073" t="s">
        <v>23500</v>
      </c>
      <c r="E15073" t="s">
        <v>37548</v>
      </c>
    </row>
    <row r="15074" spans="1:5">
      <c r="A15074" t="s">
        <v>6</v>
      </c>
      <c r="B15074" t="s">
        <v>15079</v>
      </c>
      <c r="C15074">
        <f>HYPERLINK("C:\Users\franc\OneDrive\Documentos\MALENTIN KARIME\BANCO ESTADO\2012 DEPTO ESCRITURAS fata\Dc Simples\RESPALDO comp notaria 27_12_12\NOTARIA 2012\VEHICULOS\VARIOS VENDEDORES.doc", "Abrir Documento")</f>
        <v>0</v>
      </c>
      <c r="D15074" t="s">
        <v>23500</v>
      </c>
      <c r="E15074" t="s">
        <v>37549</v>
      </c>
    </row>
    <row r="15075" spans="1:5">
      <c r="A15075" t="s">
        <v>6</v>
      </c>
      <c r="B15075" t="s">
        <v>15080</v>
      </c>
      <c r="C15075">
        <f>HYPERLINK("C:\Users\franc\OneDrive\Documentos\MALENTIN KARIME\BANCO ESTADO\2012 DEPTO ESCRITURAS fata\Dc Simples\RESPALDO comp notaria 27_12_12\NOTARIA 2012\VEHICULOS\SOCOR LTDA..doc", "Abrir Documento")</f>
        <v>0</v>
      </c>
      <c r="D15075" t="s">
        <v>23500</v>
      </c>
      <c r="E15075" t="s">
        <v>37550</v>
      </c>
    </row>
    <row r="15076" spans="1:5">
      <c r="A15076" t="s">
        <v>6</v>
      </c>
      <c r="B15076" t="s">
        <v>15081</v>
      </c>
      <c r="C15076">
        <f>HYPERLINK("C:\Users\franc\OneDrive\Documentos\MALENTIN KARIME\BANCO ESTADO\2012 DEPTO ESCRITURAS fata\Dc Simples\RESPALDO comp notaria 27_12_12\NOTARIA 2012\VEHICULOS\SOC. HECHO.doc", "Abrir Documento")</f>
        <v>0</v>
      </c>
      <c r="D15076" t="s">
        <v>23500</v>
      </c>
      <c r="E15076" t="s">
        <v>37551</v>
      </c>
    </row>
    <row r="15077" spans="1:5">
      <c r="A15077" t="s">
        <v>6</v>
      </c>
      <c r="B15077" t="s">
        <v>15082</v>
      </c>
      <c r="C15077">
        <f>HYPERLINK("C:\Users\franc\OneDrive\Documentos\MALENTIN KARIME\BANCO ESTADO\2012 DEPTO ESCRITURAS fata\Dc Simples\RESPALDO comp notaria 27_12_12\NOTARIA 2012\VEHICULOS\SIN REP..doc", "Abrir Documento")</f>
        <v>0</v>
      </c>
      <c r="D15077" t="s">
        <v>23500</v>
      </c>
      <c r="E15077" t="s">
        <v>37552</v>
      </c>
    </row>
    <row r="15078" spans="1:5">
      <c r="A15078" t="s">
        <v>6</v>
      </c>
      <c r="B15078" t="s">
        <v>15083</v>
      </c>
      <c r="C15078">
        <f>HYPERLINK("C:\Users\franc\OneDrive\Documentos\MALENTIN KARIME\BANCO ESTADO\2012 DEPTO ESCRITURAS fata\Dc Simples\RESPALDO comp notaria 27_12_12\NOTARIA 2012\VEHICULOS\SIMPLE.doc", "Abrir Documento")</f>
        <v>0</v>
      </c>
      <c r="D15078" t="s">
        <v>23500</v>
      </c>
      <c r="E15078" t="s">
        <v>37553</v>
      </c>
    </row>
    <row r="15079" spans="1:5">
      <c r="A15079" t="s">
        <v>6</v>
      </c>
      <c r="B15079" t="s">
        <v>15084</v>
      </c>
      <c r="C15079">
        <f>HYPERLINK("C:\Users\franc\OneDrive\Documentos\MALENTIN KARIME\BANCO ESTADO\2012 DEPTO ESCRITURAS fata\Dc Simples\RESPALDO comp notaria 27_12_12\NOTARIA 2012\VEHICULOS\SIMPLE ok.doc", "Abrir Documento")</f>
        <v>0</v>
      </c>
      <c r="D15079" t="s">
        <v>23500</v>
      </c>
      <c r="E15079" t="s">
        <v>37554</v>
      </c>
    </row>
    <row r="15080" spans="1:5">
      <c r="A15080" t="s">
        <v>6</v>
      </c>
      <c r="B15080" t="s">
        <v>15085</v>
      </c>
      <c r="C15080">
        <f>HYPERLINK("C:\Users\franc\OneDrive\Documentos\MALENTIN KARIME\BANCO ESTADO\2012 DEPTO ESCRITURAS fata\Dc Simples\RESPALDO comp notaria 27_12_12\NOTARIA 2012\VEHICULOS\SIMPLE ok SIN REPERTORIO.doc", "Abrir Documento")</f>
        <v>0</v>
      </c>
      <c r="D15080" t="s">
        <v>23500</v>
      </c>
      <c r="E15080" t="s">
        <v>37555</v>
      </c>
    </row>
    <row r="15081" spans="1:5">
      <c r="A15081" t="s">
        <v>6</v>
      </c>
      <c r="B15081" t="s">
        <v>15086</v>
      </c>
      <c r="C15081">
        <f>HYPERLINK("C:\Users\franc\OneDrive\Documentos\MALENTIN KARIME\BANCO ESTADO\2012 DEPTO ESCRITURAS fata\Dc Simples\RESPALDO comp notaria 27_12_12\NOTARIA 2012\VEHICULOS\SIMPLE ok maleb.doc", "Abrir Documento")</f>
        <v>0</v>
      </c>
      <c r="D15081" t="s">
        <v>23500</v>
      </c>
      <c r="E15081" t="s">
        <v>37556</v>
      </c>
    </row>
    <row r="15082" spans="1:5">
      <c r="A15082" t="s">
        <v>6</v>
      </c>
      <c r="B15082" t="s">
        <v>15087</v>
      </c>
      <c r="C15082">
        <f>HYPERLINK("C:\Users\franc\OneDrive\Documentos\MALENTIN KARIME\BANCO ESTADO\2012 DEPTO ESCRITURAS fata\Dc Simples\RESPALDO comp notaria 27_12_12\NOTARIA 2012\VEHICULOS\simple ok con cheque.doc", "Abrir Documento")</f>
        <v>0</v>
      </c>
      <c r="D15082" t="s">
        <v>23500</v>
      </c>
      <c r="E15082" t="s">
        <v>37557</v>
      </c>
    </row>
    <row r="15083" spans="1:5">
      <c r="A15083" t="s">
        <v>6</v>
      </c>
      <c r="B15083" t="s">
        <v>15088</v>
      </c>
      <c r="C15083">
        <f>HYPERLINK("C:\Users\franc\OneDrive\Documentos\MALENTIN KARIME\BANCO ESTADO\2012 DEPTO ESCRITURAS fata\Dc Simples\RESPALDO comp notaria 27_12_12\NOTARIA 2012\VEHICULOS\SIMPLE ok AUTOVENDER.doc", "Abrir Documento")</f>
        <v>0</v>
      </c>
      <c r="D15083" t="s">
        <v>23500</v>
      </c>
      <c r="E15083" t="s">
        <v>37558</v>
      </c>
    </row>
    <row r="15084" spans="1:5">
      <c r="A15084" t="s">
        <v>6</v>
      </c>
      <c r="B15084" t="s">
        <v>15089</v>
      </c>
      <c r="C15084">
        <f>HYPERLINK("C:\Users\franc\OneDrive\Documentos\MALENTIN KARIME\BANCO ESTADO\2012 DEPTO ESCRITURAS fata\Dc Simples\RESPALDO comp notaria 27_12_12\NOTARIA 2012\VEHICULOS\SIMPLE ok AUTOVENDER richard aviles.doc", "Abrir Documento")</f>
        <v>0</v>
      </c>
      <c r="D15084" t="s">
        <v>23500</v>
      </c>
      <c r="E15084" t="s">
        <v>37559</v>
      </c>
    </row>
    <row r="15085" spans="1:5">
      <c r="A15085" t="s">
        <v>6</v>
      </c>
      <c r="B15085" t="s">
        <v>15090</v>
      </c>
      <c r="C15085">
        <f>HYPERLINK("C:\Users\franc\OneDrive\Documentos\MALENTIN KARIME\BANCO ESTADO\2012 DEPTO ESCRITURAS fata\Dc Simples\RESPALDO comp notaria 27_12_12\NOTARIA 2012\VEHICULOS\SIMPLE ok  taxi colectivo.doc", "Abrir Documento")</f>
        <v>0</v>
      </c>
      <c r="D15085" t="s">
        <v>23500</v>
      </c>
      <c r="E15085" t="s">
        <v>37560</v>
      </c>
    </row>
    <row r="15086" spans="1:5">
      <c r="A15086" t="s">
        <v>6</v>
      </c>
      <c r="B15086" t="s">
        <v>15091</v>
      </c>
      <c r="C15086">
        <f>HYPERLINK("C:\Users\franc\OneDrive\Documentos\MALENTIN KARIME\BANCO ESTADO\2012 DEPTO ESCRITURAS fata\Dc Simples\RESPALDO comp notaria 27_12_12\NOTARIA 2012\VEHICULOS\SIMPLE CON LETRAS.doc", "Abrir Documento")</f>
        <v>0</v>
      </c>
      <c r="D15086" t="s">
        <v>23500</v>
      </c>
      <c r="E15086" t="s">
        <v>37561</v>
      </c>
    </row>
    <row r="15087" spans="1:5">
      <c r="A15087" t="s">
        <v>6</v>
      </c>
      <c r="B15087" t="s">
        <v>15092</v>
      </c>
      <c r="C15087">
        <f>HYPERLINK("C:\Users\franc\OneDrive\Documentos\MALENTIN KARIME\BANCO ESTADO\2012 DEPTO ESCRITURAS fata\Dc Simples\RESPALDO comp notaria 27_12_12\NOTARIA 2012\VEHICULOS\SIMPLE  maquinarias.doc", "Abrir Documento")</f>
        <v>0</v>
      </c>
      <c r="D15087" t="s">
        <v>23500</v>
      </c>
      <c r="E15087" t="s">
        <v>37562</v>
      </c>
    </row>
    <row r="15088" spans="1:5">
      <c r="A15088" t="s">
        <v>6</v>
      </c>
      <c r="B15088" t="s">
        <v>15093</v>
      </c>
      <c r="C15088">
        <f>HYPERLINK("C:\Users\franc\OneDrive\Documentos\MALENTIN KARIME\BANCO ESTADO\2012 DEPTO ESCRITURAS fata\Dc Simples\RESPALDO comp notaria 27_12_12\NOTARIA 2012\VEHICULOS\REP. VENDEDOR SUC..doc", "Abrir Documento")</f>
        <v>0</v>
      </c>
      <c r="D15088" t="s">
        <v>23500</v>
      </c>
      <c r="E15088" t="s">
        <v>37563</v>
      </c>
    </row>
    <row r="15089" spans="1:5">
      <c r="A15089" t="s">
        <v>6</v>
      </c>
      <c r="B15089" t="s">
        <v>15094</v>
      </c>
      <c r="C15089">
        <f>HYPERLINK("C:\Users\franc\OneDrive\Documentos\MALENTIN KARIME\BANCO ESTADO\2012 DEPTO ESCRITURAS fata\Dc Simples\RESPALDO comp notaria 27_12_12\NOTARIA 2012\VEHICULOS\REP. COMPRADOR.doc", "Abrir Documento")</f>
        <v>0</v>
      </c>
      <c r="D15089" t="s">
        <v>23500</v>
      </c>
      <c r="E15089" t="s">
        <v>37564</v>
      </c>
    </row>
    <row r="15090" spans="1:5">
      <c r="A15090" t="s">
        <v>6</v>
      </c>
      <c r="B15090" t="s">
        <v>15095</v>
      </c>
      <c r="C15090">
        <f>HYPERLINK("C:\Users\franc\OneDrive\Documentos\MALENTIN KARIME\BANCO ESTADO\2012 DEPTO ESCRITURAS fata\Dc Simples\RESPALDO comp notaria 27_12_12\NOTARIA 2012\VEHICULOS\REMOLQUE.doc", "Abrir Documento")</f>
        <v>0</v>
      </c>
      <c r="D15090" t="s">
        <v>23500</v>
      </c>
      <c r="E15090" t="s">
        <v>37565</v>
      </c>
    </row>
    <row r="15091" spans="1:5">
      <c r="A15091" t="s">
        <v>6</v>
      </c>
      <c r="B15091" t="s">
        <v>15096</v>
      </c>
      <c r="C15091">
        <f>HYPERLINK("C:\Users\franc\OneDrive\Documentos\MALENTIN KARIME\BANCO ESTADO\2012 DEPTO ESCRITURAS fata\Dc Simples\RESPALDO comp notaria 27_12_12\NOTARIA 2012\VEHICULOS\PROMESA SIN EFECTO.doc", "Abrir Documento")</f>
        <v>0</v>
      </c>
      <c r="D15091" t="s">
        <v>23500</v>
      </c>
      <c r="E15091" t="s">
        <v>37566</v>
      </c>
    </row>
    <row r="15092" spans="1:5">
      <c r="A15092" t="s">
        <v>6</v>
      </c>
      <c r="B15092" t="s">
        <v>15097</v>
      </c>
      <c r="C15092">
        <f>HYPERLINK("C:\Users\franc\OneDrive\Documentos\MALENTIN KARIME\BANCO ESTADO\2012 DEPTO ESCRITURAS fata\Dc Simples\RESPALDO comp notaria 27_12_12\NOTARIA 2012\VEHICULOS\PEND..doc", "Abrir Documento")</f>
        <v>0</v>
      </c>
      <c r="D15092" t="s">
        <v>23500</v>
      </c>
      <c r="E15092" t="s">
        <v>37567</v>
      </c>
    </row>
    <row r="15093" spans="1:5">
      <c r="A15093" t="s">
        <v>6</v>
      </c>
      <c r="B15093" t="s">
        <v>15098</v>
      </c>
      <c r="C15093">
        <f>HYPERLINK("C:\Users\franc\OneDrive\Documentos\MALENTIN KARIME\BANCO ESTADO\2012 DEPTO ESCRITURAS fata\Dc Simples\RESPALDO comp notaria 27_12_12\NOTARIA 2012\VEHICULOS\PATO NICOLAS.doc", "Abrir Documento")</f>
        <v>0</v>
      </c>
      <c r="D15093" t="s">
        <v>23500</v>
      </c>
      <c r="E15093" t="s">
        <v>37568</v>
      </c>
    </row>
    <row r="15094" spans="1:5">
      <c r="A15094" t="s">
        <v>6</v>
      </c>
      <c r="B15094" t="s">
        <v>15099</v>
      </c>
      <c r="C15094">
        <f>HYPERLINK("C:\Users\franc\OneDrive\Documentos\MALENTIN KARIME\BANCO ESTADO\2012 DEPTO ESCRITURAS fata\Dc Simples\RESPALDO comp notaria 27_12_12\NOTARIA 2012\VEHICULOS\PASTEN Y BOU LTDA..doc", "Abrir Documento")</f>
        <v>0</v>
      </c>
      <c r="D15094" t="s">
        <v>23500</v>
      </c>
      <c r="E15094" t="s">
        <v>37569</v>
      </c>
    </row>
    <row r="15095" spans="1:5">
      <c r="A15095" t="s">
        <v>6</v>
      </c>
      <c r="B15095" t="s">
        <v>15100</v>
      </c>
      <c r="C15095">
        <f>HYPERLINK("C:\Users\franc\OneDrive\Documentos\MALENTIN KARIME\BANCO ESTADO\2012 DEPTO ESCRITURAS fata\Dc Simples\RESPALDO comp notaria 27_12_12\NOTARIA 2012\VEHICULOS\P.P. VENDEDOR Y 2 COMP..doc", "Abrir Documento")</f>
        <v>0</v>
      </c>
      <c r="D15095" t="s">
        <v>23500</v>
      </c>
      <c r="E15095" t="s">
        <v>37570</v>
      </c>
    </row>
    <row r="15096" spans="1:5">
      <c r="A15096" t="s">
        <v>6</v>
      </c>
      <c r="B15096" t="s">
        <v>15101</v>
      </c>
      <c r="C15096">
        <f>HYPERLINK("C:\Users\franc\OneDrive\Documentos\MALENTIN KARIME\BANCO ESTADO\2012 DEPTO ESCRITURAS fata\Dc Simples\RESPALDO comp notaria 27_12_12\NOTARIA 2012\VEHICULOS\NUEVO.doc", "Abrir Documento")</f>
        <v>0</v>
      </c>
      <c r="D15096" t="s">
        <v>23500</v>
      </c>
      <c r="E15096" t="s">
        <v>37571</v>
      </c>
    </row>
    <row r="15097" spans="1:5">
      <c r="A15097" t="s">
        <v>6</v>
      </c>
      <c r="B15097" t="s">
        <v>15102</v>
      </c>
      <c r="C15097">
        <f>HYPERLINK("C:\Users\franc\OneDrive\Documentos\MALENTIN KARIME\BANCO ESTADO\2012 DEPTO ESCRITURAS fata\Dc Simples\RESPALDO comp notaria 27_12_12\NOTARIA 2012\VEHICULOS\multa.doc", "Abrir Documento")</f>
        <v>0</v>
      </c>
      <c r="D15097" t="s">
        <v>23500</v>
      </c>
      <c r="E15097" t="s">
        <v>37572</v>
      </c>
    </row>
    <row r="15098" spans="1:5">
      <c r="A15098" t="s">
        <v>6</v>
      </c>
      <c r="B15098" t="s">
        <v>15103</v>
      </c>
      <c r="C15098">
        <f>HYPERLINK("C:\Users\franc\OneDrive\Documentos\MALENTIN KARIME\BANCO ESTADO\2012 DEPTO ESCRITURAS fata\Dc Simples\RESPALDO comp notaria 27_12_12\NOTARIA 2012\VEHICULOS\MOTO.doc", "Abrir Documento")</f>
        <v>0</v>
      </c>
      <c r="D15098" t="s">
        <v>23500</v>
      </c>
      <c r="E15098" t="s">
        <v>37573</v>
      </c>
    </row>
    <row r="15099" spans="1:5">
      <c r="A15099" t="s">
        <v>6</v>
      </c>
      <c r="B15099" t="s">
        <v>15104</v>
      </c>
      <c r="C15099">
        <f>HYPERLINK("C:\Users\franc\OneDrive\Documentos\MALENTIN KARIME\BANCO ESTADO\2012 DEPTO ESCRITURAS fata\Dc Simples\RESPALDO comp notaria 27_12_12\NOTARIA 2012\VEHICULOS\MAQUINA INDUSTRIAL.doc", "Abrir Documento")</f>
        <v>0</v>
      </c>
      <c r="D15099" t="s">
        <v>23500</v>
      </c>
      <c r="E15099" t="s">
        <v>37574</v>
      </c>
    </row>
    <row r="15100" spans="1:5">
      <c r="A15100" t="s">
        <v>6</v>
      </c>
      <c r="B15100" t="s">
        <v>15105</v>
      </c>
      <c r="C15100">
        <f>HYPERLINK("C:\Users\franc\OneDrive\Documentos\MALENTIN KARIME\BANCO ESTADO\2012 DEPTO ESCRITURAS fata\Dc Simples\RESPALDO comp notaria 27_12_12\NOTARIA 2012\VEHICULOS\LOS AROMOS A FLECHA.doc", "Abrir Documento")</f>
        <v>0</v>
      </c>
      <c r="D15100" t="s">
        <v>23500</v>
      </c>
      <c r="E15100" t="s">
        <v>37575</v>
      </c>
    </row>
    <row r="15101" spans="1:5">
      <c r="A15101" t="s">
        <v>6</v>
      </c>
      <c r="B15101" t="s">
        <v>15106</v>
      </c>
      <c r="C15101">
        <f>HYPERLINK("C:\Users\franc\OneDrive\Documentos\MALENTIN KARIME\BANCO ESTADO\2012 DEPTO ESCRITURAS fata\Dc Simples\RESPALDO comp notaria 27_12_12\NOTARIA 2012\VEHICULOS\JUAN SOTO.doc", "Abrir Documento")</f>
        <v>0</v>
      </c>
      <c r="D15101" t="s">
        <v>23500</v>
      </c>
      <c r="E15101" t="s">
        <v>37576</v>
      </c>
    </row>
    <row r="15102" spans="1:5">
      <c r="A15102" t="s">
        <v>6</v>
      </c>
      <c r="B15102" t="s">
        <v>15107</v>
      </c>
      <c r="C15102">
        <f>HYPERLINK("C:\Users\franc\OneDrive\Documentos\MALENTIN KARIME\BANCO ESTADO\2012 DEPTO ESCRITURAS fata\Dc Simples\RESPALDO comp notaria 27_12_12\NOTARIA 2012\VEHICULOS\FUNERARIA.doc", "Abrir Documento")</f>
        <v>0</v>
      </c>
      <c r="D15102" t="s">
        <v>23500</v>
      </c>
      <c r="E15102" t="s">
        <v>37577</v>
      </c>
    </row>
    <row r="15103" spans="1:5">
      <c r="A15103" t="s">
        <v>6</v>
      </c>
      <c r="B15103" t="s">
        <v>15108</v>
      </c>
      <c r="C15103">
        <f>HYPERLINK("C:\Users\franc\OneDrive\Documentos\MALENTIN KARIME\BANCO ESTADO\2012 DEPTO ESCRITURAS fata\Dc Simples\RESPALDO comp notaria 27_12_12\NOTARIA 2012\VEHICULOS\FRANCISCA.doc", "Abrir Documento")</f>
        <v>0</v>
      </c>
      <c r="D15103" t="s">
        <v>23500</v>
      </c>
      <c r="E15103" t="s">
        <v>37578</v>
      </c>
    </row>
    <row r="15104" spans="1:5">
      <c r="A15104" t="s">
        <v>6</v>
      </c>
      <c r="B15104" t="s">
        <v>15109</v>
      </c>
      <c r="C15104">
        <f>HYPERLINK("C:\Users\franc\OneDrive\Documentos\MALENTIN KARIME\BANCO ESTADO\2012 DEPTO ESCRITURAS fata\Dc Simples\RESPALDO comp notaria 27_12_12\NOTARIA 2012\VEHICULOS\FELIPE DIAZ.doc", "Abrir Documento")</f>
        <v>0</v>
      </c>
      <c r="D15104" t="s">
        <v>23500</v>
      </c>
      <c r="E15104" t="s">
        <v>37579</v>
      </c>
    </row>
    <row r="15105" spans="1:5">
      <c r="A15105" t="s">
        <v>6</v>
      </c>
      <c r="B15105" t="s">
        <v>15110</v>
      </c>
      <c r="C15105">
        <f>HYPERLINK("C:\Users\franc\OneDrive\Documentos\MALENTIN KARIME\BANCO ESTADO\2012 DEPTO ESCRITURAS fata\Dc Simples\RESPALDO comp notaria 27_12_12\NOTARIA 2012\VEHICULOS\Exento.doc", "Abrir Documento")</f>
        <v>0</v>
      </c>
      <c r="D15105" t="s">
        <v>23500</v>
      </c>
      <c r="E15105" t="s">
        <v>37580</v>
      </c>
    </row>
    <row r="15106" spans="1:5">
      <c r="A15106" t="s">
        <v>6</v>
      </c>
      <c r="B15106" t="s">
        <v>15111</v>
      </c>
      <c r="C15106">
        <f>HYPERLINK("C:\Users\franc\OneDrive\Documentos\MALENTIN KARIME\BANCO ESTADO\2012 DEPTO ESCRITURAS fata\Dc Simples\RESPALDO comp notaria 27_12_12\NOTARIA 2012\VEHICULOS\DOS REP. COMP Y VEND.doc", "Abrir Documento")</f>
        <v>0</v>
      </c>
      <c r="D15106" t="s">
        <v>23500</v>
      </c>
      <c r="E15106" t="s">
        <v>37581</v>
      </c>
    </row>
    <row r="15107" spans="1:5">
      <c r="A15107" t="s">
        <v>6</v>
      </c>
      <c r="B15107" t="s">
        <v>15112</v>
      </c>
      <c r="C15107">
        <f>HYPERLINK("C:\Users\franc\OneDrive\Documentos\MALENTIN KARIME\BANCO ESTADO\2012 DEPTO ESCRITURAS fata\Dc Simples\RESPALDO comp notaria 27_12_12\NOTARIA 2012\VEHICULOS\CUMPL. PROMESA.doc", "Abrir Documento")</f>
        <v>0</v>
      </c>
      <c r="D15107" t="s">
        <v>23500</v>
      </c>
      <c r="E15107" t="s">
        <v>37582</v>
      </c>
    </row>
    <row r="15108" spans="1:5">
      <c r="A15108" t="s">
        <v>6</v>
      </c>
      <c r="B15108" t="s">
        <v>15113</v>
      </c>
      <c r="C15108">
        <f>HYPERLINK("C:\Users\franc\OneDrive\Documentos\MALENTIN KARIME\BANCO ESTADO\2012 DEPTO ESCRITURAS fata\Dc Simples\RESPALDO comp notaria 27_12_12\NOTARIA 2012\VEHICULOS\CREDITORL6633-0.doc", "Abrir Documento")</f>
        <v>0</v>
      </c>
      <c r="D15108" t="s">
        <v>23500</v>
      </c>
      <c r="E15108" t="s">
        <v>37583</v>
      </c>
    </row>
    <row r="15109" spans="1:5">
      <c r="A15109" t="s">
        <v>6</v>
      </c>
      <c r="B15109" t="s">
        <v>15114</v>
      </c>
      <c r="C15109">
        <f>HYPERLINK("C:\Users\franc\OneDrive\Documentos\MALENTIN KARIME\BANCO ESTADO\2012 DEPTO ESCRITURAS fata\Dc Simples\RESPALDO comp notaria 27_12_12\NOTARIA 2012\VEHICULOS\CREDITO.doc", "Abrir Documento")</f>
        <v>0</v>
      </c>
      <c r="D15109" t="s">
        <v>23500</v>
      </c>
      <c r="E15109" t="s">
        <v>37584</v>
      </c>
    </row>
    <row r="15110" spans="1:5">
      <c r="A15110" t="s">
        <v>6</v>
      </c>
      <c r="B15110" t="s">
        <v>15115</v>
      </c>
      <c r="C15110">
        <f>HYPERLINK("C:\Users\franc\OneDrive\Documentos\MALENTIN KARIME\BANCO ESTADO\2012 DEPTO ESCRITURAS fata\Dc Simples\RESPALDO comp notaria 27_12_12\NOTARIA 2012\VEHICULOS\CREDITO SIMPLE.doc", "Abrir Documento")</f>
        <v>0</v>
      </c>
      <c r="D15110" t="s">
        <v>23500</v>
      </c>
      <c r="E15110" t="s">
        <v>37585</v>
      </c>
    </row>
    <row r="15111" spans="1:5">
      <c r="A15111" t="s">
        <v>6</v>
      </c>
      <c r="B15111" t="s">
        <v>15116</v>
      </c>
      <c r="C15111">
        <f>HYPERLINK("C:\Users\franc\OneDrive\Documentos\MALENTIN KARIME\BANCO ESTADO\2012 DEPTO ESCRITURAS fata\Dc Simples\RESPALDO comp notaria 27_12_12\NOTARIA 2012\VEHICULOS\CREDITO ac7165-1.doc", "Abrir Documento")</f>
        <v>0</v>
      </c>
      <c r="D15111" t="s">
        <v>23500</v>
      </c>
      <c r="E15111" t="s">
        <v>37586</v>
      </c>
    </row>
    <row r="15112" spans="1:5">
      <c r="A15112" t="s">
        <v>6</v>
      </c>
      <c r="B15112" t="s">
        <v>15117</v>
      </c>
      <c r="C15112">
        <f>HYPERLINK("C:\Users\franc\OneDrive\Documentos\MALENTIN KARIME\BANCO ESTADO\2012 DEPTO ESCRITURAS fata\Dc Simples\RESPALDO comp notaria 27_12_12\NOTARIA 2012\VEHICULOS\CONTRATO DE VEHICULO CON REPR..doc", "Abrir Documento")</f>
        <v>0</v>
      </c>
      <c r="D15112" t="s">
        <v>23500</v>
      </c>
      <c r="E15112" t="s">
        <v>37587</v>
      </c>
    </row>
    <row r="15113" spans="1:5">
      <c r="A15113" t="s">
        <v>6</v>
      </c>
      <c r="B15113" t="s">
        <v>15118</v>
      </c>
      <c r="C15113">
        <f>HYPERLINK("C:\Users\franc\OneDrive\Documentos\MALENTIN KARIME\BANCO ESTADO\2012 DEPTO ESCRITURAS fata\Dc Simples\RESPALDO comp notaria 27_12_12\NOTARIA 2012\VEHICULOS\CONTRATO CON PRENDA DE PINCHEIRA.doc", "Abrir Documento")</f>
        <v>0</v>
      </c>
      <c r="D15113" t="s">
        <v>23500</v>
      </c>
      <c r="E15113" t="s">
        <v>37588</v>
      </c>
    </row>
    <row r="15114" spans="1:5">
      <c r="A15114" t="s">
        <v>6</v>
      </c>
      <c r="B15114" t="s">
        <v>15119</v>
      </c>
      <c r="C15114">
        <f>HYPERLINK("C:\Users\franc\OneDrive\Documentos\MALENTIN KARIME\BANCO ESTADO\2012 DEPTO ESCRITURAS fata\Dc Simples\RESPALDO comp notaria 27_12_12\NOTARIA 2012\VEHICULOS\CONTRATO CON PRENDA DE PINCHEIRA con modificacion.doc", "Abrir Documento")</f>
        <v>0</v>
      </c>
      <c r="D15114" t="s">
        <v>23500</v>
      </c>
      <c r="E15114" t="s">
        <v>37589</v>
      </c>
    </row>
    <row r="15115" spans="1:5">
      <c r="A15115" t="s">
        <v>6</v>
      </c>
      <c r="B15115" t="s">
        <v>15120</v>
      </c>
      <c r="C15115">
        <f>HYPERLINK("C:\Users\franc\OneDrive\Documentos\MALENTIN KARIME\BANCO ESTADO\2012 DEPTO ESCRITURAS fata\Dc Simples\RESPALDO comp notaria 27_12_12\NOTARIA 2012\VEHICULOS\compraventa tractor.doc", "Abrir Documento")</f>
        <v>0</v>
      </c>
      <c r="D15115" t="s">
        <v>23500</v>
      </c>
      <c r="E15115" t="s">
        <v>37590</v>
      </c>
    </row>
    <row r="15116" spans="1:5">
      <c r="A15116" t="s">
        <v>6</v>
      </c>
      <c r="B15116" t="s">
        <v>15121</v>
      </c>
      <c r="C15116">
        <f>HYPERLINK("C:\Users\franc\OneDrive\Documentos\MALENTIN KARIME\BANCO ESTADO\2012 DEPTO ESCRITURAS fata\Dc Simples\RESPALDO comp notaria 27_12_12\NOTARIA 2012\VEHICULOS\CLEMENTE FUENTEALBA.doc", "Abrir Documento")</f>
        <v>0</v>
      </c>
      <c r="D15116" t="s">
        <v>23500</v>
      </c>
      <c r="E15116" t="s">
        <v>37591</v>
      </c>
    </row>
    <row r="15117" spans="1:5">
      <c r="A15117" t="s">
        <v>6</v>
      </c>
      <c r="B15117" t="s">
        <v>15122</v>
      </c>
      <c r="C15117">
        <f>HYPERLINK("C:\Users\franc\OneDrive\Documentos\MALENTIN KARIME\BANCO ESTADO\2012 DEPTO ESCRITURAS fata\Dc Simples\RESPALDO comp notaria 27_12_12\NOTARIA 2012\VEHICULOS\CARLOS SARRAS ELTIT.doc", "Abrir Documento")</f>
        <v>0</v>
      </c>
      <c r="D15117" t="s">
        <v>23500</v>
      </c>
      <c r="E15117" t="s">
        <v>37592</v>
      </c>
    </row>
    <row r="15118" spans="1:5">
      <c r="A15118" t="s">
        <v>6</v>
      </c>
      <c r="B15118" t="s">
        <v>15123</v>
      </c>
      <c r="C15118">
        <f>HYPERLINK("C:\Users\franc\OneDrive\Documentos\MALENTIN KARIME\BANCO ESTADO\2012 DEPTO ESCRITURAS fata\Dc Simples\RESPALDO comp notaria 27_12_12\NOTARIA 2012\VEHICULOS\5 VENDEDORES.doc", "Abrir Documento")</f>
        <v>0</v>
      </c>
      <c r="D15118" t="s">
        <v>23500</v>
      </c>
      <c r="E15118" t="s">
        <v>37593</v>
      </c>
    </row>
    <row r="15119" spans="1:5">
      <c r="A15119" t="s">
        <v>6</v>
      </c>
      <c r="B15119" t="s">
        <v>15124</v>
      </c>
      <c r="C15119">
        <f>HYPERLINK("C:\Users\franc\OneDrive\Documentos\MALENTIN KARIME\BANCO ESTADO\2012 DEPTO ESCRITURAS fata\Dc Simples\RESPALDO comp notaria 27_12_12\NOTARIA 2012\VEHICULOS\2 VENDEDORES.doc", "Abrir Documento")</f>
        <v>0</v>
      </c>
      <c r="D15119" t="s">
        <v>23500</v>
      </c>
      <c r="E15119" t="s">
        <v>37594</v>
      </c>
    </row>
    <row r="15120" spans="1:5">
      <c r="A15120" t="s">
        <v>6</v>
      </c>
      <c r="B15120" t="s">
        <v>15125</v>
      </c>
      <c r="C15120">
        <f>HYPERLINK("C:\Users\franc\OneDrive\Documentos\MALENTIN KARIME\BANCO ESTADO\2012 DEPTO ESCRITURAS fata\Dc Simples\RESPALDO comp notaria 27_12_12\NOTARIA 2012\VARIOS\SOBRE MEDIO OF..doc", "Abrir Documento")</f>
        <v>0</v>
      </c>
      <c r="D15120" t="s">
        <v>23500</v>
      </c>
      <c r="E15120" t="s">
        <v>37595</v>
      </c>
    </row>
    <row r="15121" spans="1:5">
      <c r="A15121" t="s">
        <v>6</v>
      </c>
      <c r="B15121" t="s">
        <v>15126</v>
      </c>
      <c r="C15121">
        <f>HYPERLINK("C:\Users\franc\OneDrive\Documentos\MALENTIN KARIME\BANCO ESTADO\2012 DEPTO ESCRITURAS fata\Dc Simples\RESPALDO comp notaria 27_12_12\NOTARIA 2012\VARIOS\SOBRE AMERICANO.doc", "Abrir Documento")</f>
        <v>0</v>
      </c>
      <c r="D15121" t="s">
        <v>23500</v>
      </c>
      <c r="E15121" t="s">
        <v>37596</v>
      </c>
    </row>
    <row r="15122" spans="1:5">
      <c r="A15122" t="s">
        <v>6</v>
      </c>
      <c r="B15122" t="s">
        <v>15127</v>
      </c>
      <c r="C15122">
        <f>HYPERLINK("C:\Users\franc\OneDrive\Documentos\MALENTIN KARIME\BANCO ESTADO\2012 DEPTO ESCRITURAS fata\Dc Simples\RESPALDO comp notaria 27_12_12\NOTARIA 2012\VARIOS\RECIBO RAMIRO BARCELO.doc", "Abrir Documento")</f>
        <v>0</v>
      </c>
      <c r="D15122" t="s">
        <v>23500</v>
      </c>
      <c r="E15122" t="s">
        <v>37597</v>
      </c>
    </row>
    <row r="15123" spans="1:5">
      <c r="A15123" t="s">
        <v>6</v>
      </c>
      <c r="B15123" t="s">
        <v>15128</v>
      </c>
      <c r="C15123">
        <f>HYPERLINK("C:\Users\franc\OneDrive\Documentos\MALENTIN KARIME\BANCO ESTADO\2012 DEPTO ESCRITURAS fata\Dc Simples\RESPALDO comp notaria 27_12_12\NOTARIA 2012\VARIOS\RECIBO DE DINERO.doc", "Abrir Documento")</f>
        <v>0</v>
      </c>
      <c r="D15123" t="s">
        <v>23500</v>
      </c>
      <c r="E15123" t="s">
        <v>37598</v>
      </c>
    </row>
    <row r="15124" spans="1:5">
      <c r="A15124" t="s">
        <v>6</v>
      </c>
      <c r="B15124" t="s">
        <v>15129</v>
      </c>
      <c r="C15124">
        <f>HYPERLINK("C:\Users\franc\OneDrive\Documentos\MALENTIN KARIME\BANCO ESTADO\2012 DEPTO ESCRITURAS fata\Dc Simples\RESPALDO comp notaria 27_12_12\NOTARIA 2012\VARIOS\RECIBO DE DINERO VEHICULO.doc", "Abrir Documento")</f>
        <v>0</v>
      </c>
      <c r="D15124" t="s">
        <v>23500</v>
      </c>
      <c r="E15124" t="s">
        <v>37599</v>
      </c>
    </row>
    <row r="15125" spans="1:5">
      <c r="A15125" t="s">
        <v>6</v>
      </c>
      <c r="B15125" t="s">
        <v>15130</v>
      </c>
      <c r="C15125">
        <f>HYPERLINK("C:\Users\franc\OneDrive\Documentos\MALENTIN KARIME\BANCO ESTADO\2012 DEPTO ESCRITURAS fata\Dc Simples\RESPALDO comp notaria 27_12_12\NOTARIA 2012\VARIOS\RECIBO DE DINERO con rep.doc", "Abrir Documento")</f>
        <v>0</v>
      </c>
      <c r="D15125" t="s">
        <v>23500</v>
      </c>
      <c r="E15125" t="s">
        <v>37600</v>
      </c>
    </row>
    <row r="15126" spans="1:5">
      <c r="A15126" t="s">
        <v>6</v>
      </c>
      <c r="B15126" t="s">
        <v>15131</v>
      </c>
      <c r="C15126">
        <f>HYPERLINK("C:\Users\franc\OneDrive\Documentos\MALENTIN KARIME\BANCO ESTADO\2012 DEPTO ESCRITURAS fata\Dc Simples\RESPALDO comp notaria 27_12_12\NOTARIA 2012\VARIOS\RECIBO DE DINERO 1.doc", "Abrir Documento")</f>
        <v>0</v>
      </c>
      <c r="D15126" t="s">
        <v>23500</v>
      </c>
      <c r="E15126" t="s">
        <v>37601</v>
      </c>
    </row>
    <row r="15127" spans="1:5">
      <c r="A15127" t="s">
        <v>6</v>
      </c>
      <c r="B15127" t="s">
        <v>15132</v>
      </c>
      <c r="C15127">
        <f>HYPERLINK("C:\Users\franc\OneDrive\Documentos\MALENTIN KARIME\BANCO ESTADO\2012 DEPTO ESCRITURAS fata\Dc Simples\RESPALDO comp notaria 27_12_12\NOTARIA 2012\VARIOS\PRECIOS.doc", "Abrir Documento")</f>
        <v>0</v>
      </c>
      <c r="D15127" t="s">
        <v>23500</v>
      </c>
      <c r="E15127" t="s">
        <v>37602</v>
      </c>
    </row>
    <row r="15128" spans="1:5">
      <c r="A15128" t="s">
        <v>6</v>
      </c>
      <c r="B15128" t="s">
        <v>15133</v>
      </c>
      <c r="C15128">
        <f>HYPERLINK("C:\Users\franc\OneDrive\Documentos\MALENTIN KARIME\BANCO ESTADO\2012 DEPTO ESCRITURAS fata\Dc Simples\RESPALDO comp notaria 27_12_12\NOTARIA 2012\VARIOS\PAGARE.doc", "Abrir Documento")</f>
        <v>0</v>
      </c>
      <c r="D15128" t="s">
        <v>23500</v>
      </c>
      <c r="E15128" t="s">
        <v>37603</v>
      </c>
    </row>
    <row r="15129" spans="1:5">
      <c r="A15129" t="s">
        <v>6</v>
      </c>
      <c r="B15129" t="s">
        <v>15134</v>
      </c>
      <c r="C15129">
        <f>HYPERLINK("C:\Users\franc\OneDrive\Documentos\MALENTIN KARIME\BANCO ESTADO\2012 DEPTO ESCRITURAS fata\Dc Simples\RESPALDO comp notaria 27_12_12\NOTARIA 2012\VARIOS\PAGARE PEND..doc", "Abrir Documento")</f>
        <v>0</v>
      </c>
      <c r="D15129" t="s">
        <v>23500</v>
      </c>
      <c r="E15129" t="s">
        <v>37604</v>
      </c>
    </row>
    <row r="15130" spans="1:5">
      <c r="A15130" t="s">
        <v>6</v>
      </c>
      <c r="B15130" t="s">
        <v>15135</v>
      </c>
      <c r="C15130">
        <f>HYPERLINK("C:\Users\franc\OneDrive\Documentos\MALENTIN KARIME\BANCO ESTADO\2012 DEPTO ESCRITURAS fata\Dc Simples\RESPALDO comp notaria 27_12_12\NOTARIA 2012\VARIOS\PAGARE PATO NICOLAS.doc", "Abrir Documento")</f>
        <v>0</v>
      </c>
      <c r="D15130" t="s">
        <v>23500</v>
      </c>
      <c r="E15130" t="s">
        <v>37605</v>
      </c>
    </row>
    <row r="15131" spans="1:5">
      <c r="A15131" t="s">
        <v>6</v>
      </c>
      <c r="B15131" t="s">
        <v>15136</v>
      </c>
      <c r="C15131">
        <f>HYPERLINK("C:\Users\franc\OneDrive\Documentos\MALENTIN KARIME\BANCO ESTADO\2012 DEPTO ESCRITURAS fata\Dc Simples\RESPALDO comp notaria 27_12_12\NOTARIA 2012\VARIOS\PAGARE PATAGONIA.doc", "Abrir Documento")</f>
        <v>0</v>
      </c>
      <c r="D15131" t="s">
        <v>23500</v>
      </c>
      <c r="E15131" t="s">
        <v>37606</v>
      </c>
    </row>
    <row r="15132" spans="1:5">
      <c r="A15132" t="s">
        <v>6</v>
      </c>
      <c r="B15132" t="s">
        <v>15137</v>
      </c>
      <c r="C15132">
        <f>HYPERLINK("C:\Users\franc\OneDrive\Documentos\MALENTIN KARIME\BANCO ESTADO\2012 DEPTO ESCRITURAS fata\Dc Simples\RESPALDO comp notaria 27_12_12\NOTARIA 2012\VARIOS\PAGARE NIVALDO.doc", "Abrir Documento")</f>
        <v>0</v>
      </c>
      <c r="D15132" t="s">
        <v>23500</v>
      </c>
      <c r="E15132" t="s">
        <v>37607</v>
      </c>
    </row>
    <row r="15133" spans="1:5">
      <c r="A15133" t="s">
        <v>6</v>
      </c>
      <c r="B15133" t="s">
        <v>15138</v>
      </c>
      <c r="C15133">
        <f>HYPERLINK("C:\Users\franc\OneDrive\Documentos\MALENTIN KARIME\BANCO ESTADO\2012 DEPTO ESCRITURAS fata\Dc Simples\RESPALDO comp notaria 27_12_12\NOTARIA 2012\VARIOS\PAGARE MINERA EL COBRE.doc", "Abrir Documento")</f>
        <v>0</v>
      </c>
      <c r="D15133" t="s">
        <v>23500</v>
      </c>
      <c r="E15133" t="s">
        <v>37608</v>
      </c>
    </row>
    <row r="15134" spans="1:5">
      <c r="A15134" t="s">
        <v>6</v>
      </c>
      <c r="B15134" t="s">
        <v>15139</v>
      </c>
      <c r="C15134">
        <f>HYPERLINK("C:\Users\franc\OneDrive\Documentos\MALENTIN KARIME\BANCO ESTADO\2012 DEPTO ESCRITURAS fata\Dc Simples\RESPALDO comp notaria 27_12_12\NOTARIA 2012\VARIOS\PAGARE CYNTIA.doc", "Abrir Documento")</f>
        <v>0</v>
      </c>
      <c r="D15134" t="s">
        <v>23500</v>
      </c>
      <c r="E15134" t="s">
        <v>37609</v>
      </c>
    </row>
    <row r="15135" spans="1:5">
      <c r="A15135" t="s">
        <v>6</v>
      </c>
      <c r="B15135" t="s">
        <v>15140</v>
      </c>
      <c r="C15135">
        <f>HYPERLINK("C:\Users\franc\OneDrive\Documentos\MALENTIN KARIME\BANCO ESTADO\2012 DEPTO ESCRITURAS fata\Dc Simples\RESPALDO comp notaria 27_12_12\NOTARIA 2012\VARIOS\PAGARE CLEMENTE FUENTEALBA.doc", "Abrir Documento")</f>
        <v>0</v>
      </c>
      <c r="D15135" t="s">
        <v>23500</v>
      </c>
      <c r="E15135" t="s">
        <v>37610</v>
      </c>
    </row>
    <row r="15136" spans="1:5">
      <c r="A15136" t="s">
        <v>6</v>
      </c>
      <c r="B15136" t="s">
        <v>15141</v>
      </c>
      <c r="C15136">
        <f>HYPERLINK("C:\Users\franc\OneDrive\Documentos\MALENTIN KARIME\BANCO ESTADO\2012 DEPTO ESCRITURAS fata\Dc Simples\RESPALDO comp notaria 27_12_12\NOTARIA 2012\VARIOS\PAGARE 36 CUOTAS.doc", "Abrir Documento")</f>
        <v>0</v>
      </c>
      <c r="D15136" t="s">
        <v>23500</v>
      </c>
      <c r="E15136" t="s">
        <v>37611</v>
      </c>
    </row>
    <row r="15137" spans="1:5">
      <c r="A15137" t="s">
        <v>6</v>
      </c>
      <c r="B15137" t="s">
        <v>15142</v>
      </c>
      <c r="C15137">
        <f>HYPERLINK("C:\Users\franc\OneDrive\Documentos\MALENTIN KARIME\BANCO ESTADO\2012 DEPTO ESCRITURAS fata\Dc Simples\RESPALDO comp notaria 27_12_12\NOTARIA 2012\VARIOS\PAGARE 17 CUOTAS.doc", "Abrir Documento")</f>
        <v>0</v>
      </c>
      <c r="D15137" t="s">
        <v>23500</v>
      </c>
      <c r="E15137" t="s">
        <v>37612</v>
      </c>
    </row>
    <row r="15138" spans="1:5">
      <c r="A15138" t="s">
        <v>6</v>
      </c>
      <c r="B15138" t="s">
        <v>15143</v>
      </c>
      <c r="C15138">
        <f>HYPERLINK("C:\Users\franc\OneDrive\Documentos\MALENTIN KARIME\BANCO ESTADO\2012 DEPTO ESCRITURAS fata\Dc Simples\RESPALDO comp notaria 27_12_12\NOTARIA 2012\VARIOS\PAG.MULTIEXPORT S.A..doc", "Abrir Documento")</f>
        <v>0</v>
      </c>
      <c r="D15138" t="s">
        <v>23500</v>
      </c>
      <c r="E15138" t="s">
        <v>37613</v>
      </c>
    </row>
    <row r="15139" spans="1:5">
      <c r="A15139" t="s">
        <v>6</v>
      </c>
      <c r="B15139" t="s">
        <v>15144</v>
      </c>
      <c r="C15139">
        <f>HYPERLINK("C:\Users\franc\OneDrive\Documentos\MALENTIN KARIME\BANCO ESTADO\2012 DEPTO ESCRITURAS fata\Dc Simples\RESPALDO comp notaria 27_12_12\NOTARIA 2012\VARIOS\PAG. JOSE PIZARRO.doc", "Abrir Documento")</f>
        <v>0</v>
      </c>
      <c r="D15139" t="s">
        <v>23500</v>
      </c>
      <c r="E15139" t="s">
        <v>37614</v>
      </c>
    </row>
    <row r="15140" spans="1:5">
      <c r="A15140" t="s">
        <v>6</v>
      </c>
      <c r="B15140" t="s">
        <v>15145</v>
      </c>
      <c r="C15140">
        <f>HYPERLINK("C:\Users\franc\OneDrive\Documentos\MALENTIN KARIME\BANCO ESTADO\2012 DEPTO ESCRITURAS fata\Dc Simples\RESPALDO comp notaria 27_12_12\NOTARIA 2012\VARIOS\MUTUO.doc", "Abrir Documento")</f>
        <v>0</v>
      </c>
      <c r="D15140" t="s">
        <v>23500</v>
      </c>
      <c r="E15140" t="s">
        <v>37615</v>
      </c>
    </row>
    <row r="15141" spans="1:5">
      <c r="A15141" t="s">
        <v>6</v>
      </c>
      <c r="B15141" t="s">
        <v>15146</v>
      </c>
      <c r="C15141">
        <f>HYPERLINK("C:\Users\franc\OneDrive\Documentos\MALENTIN KARIME\BANCO ESTADO\2012 DEPTO ESCRITURAS fata\Dc Simples\RESPALDO comp notaria 27_12_12\NOTARIA 2012\VARIOS\MUTUO COMPLETO.doc", "Abrir Documento")</f>
        <v>0</v>
      </c>
      <c r="D15141" t="s">
        <v>23500</v>
      </c>
      <c r="E15141" t="s">
        <v>37616</v>
      </c>
    </row>
    <row r="15142" spans="1:5">
      <c r="A15142" t="s">
        <v>6</v>
      </c>
      <c r="B15142" t="s">
        <v>15147</v>
      </c>
      <c r="C15142">
        <f>HYPERLINK("C:\Users\franc\OneDrive\Documentos\MALENTIN KARIME\BANCO ESTADO\2012 DEPTO ESCRITURAS fata\Dc Simples\RESPALDO comp notaria 27_12_12\NOTARIA 2012\VARIOS\MUTUO A LA VISTA.doc", "Abrir Documento")</f>
        <v>0</v>
      </c>
      <c r="D15142" t="s">
        <v>23500</v>
      </c>
      <c r="E15142" t="s">
        <v>37617</v>
      </c>
    </row>
    <row r="15143" spans="1:5">
      <c r="A15143" t="s">
        <v>6</v>
      </c>
      <c r="B15143" t="s">
        <v>15148</v>
      </c>
      <c r="C15143">
        <f>HYPERLINK("C:\Users\franc\OneDrive\Documentos\MALENTIN KARIME\BANCO ESTADO\2012 DEPTO ESCRITURAS fata\Dc Simples\RESPALDO comp notaria 27_12_12\NOTARIA 2012\VARIOS\MINISTERIO DE SALUD.doc", "Abrir Documento")</f>
        <v>0</v>
      </c>
      <c r="D15143" t="s">
        <v>23500</v>
      </c>
      <c r="E15143" t="s">
        <v>37618</v>
      </c>
    </row>
    <row r="15144" spans="1:5">
      <c r="A15144" t="s">
        <v>6</v>
      </c>
      <c r="B15144" t="s">
        <v>15149</v>
      </c>
      <c r="C15144">
        <f>HYPERLINK("C:\Users\franc\OneDrive\Documentos\MALENTIN KARIME\BANCO ESTADO\2012 DEPTO ESCRITURAS fata\Dc Simples\RESPALDO comp notaria 27_12_12\NOTARIA 2012\VARIOS\LETRA MODELO.doc", "Abrir Documento")</f>
        <v>0</v>
      </c>
      <c r="D15144" t="s">
        <v>23500</v>
      </c>
      <c r="E15144" t="s">
        <v>37619</v>
      </c>
    </row>
    <row r="15145" spans="1:5">
      <c r="A15145" t="s">
        <v>6</v>
      </c>
      <c r="B15145" t="s">
        <v>15150</v>
      </c>
      <c r="C15145">
        <f>HYPERLINK("C:\Users\franc\OneDrive\Documentos\MALENTIN KARIME\BANCO ESTADO\2012 DEPTO ESCRITURAS fata\Dc Simples\RESPALDO comp notaria 27_12_12\NOTARIA 2012\VARIOS\LABORAL SIN GOCE.doc", "Abrir Documento")</f>
        <v>0</v>
      </c>
      <c r="D15145" t="s">
        <v>23500</v>
      </c>
      <c r="E15145" t="s">
        <v>37620</v>
      </c>
    </row>
    <row r="15146" spans="1:5">
      <c r="A15146" t="s">
        <v>6</v>
      </c>
      <c r="B15146" t="s">
        <v>15151</v>
      </c>
      <c r="C15146">
        <f>HYPERLINK("C:\Users\franc\OneDrive\Documentos\MALENTIN KARIME\BANCO ESTADO\2012 DEPTO ESCRITURAS fata\Dc Simples\RESPALDO comp notaria 27_12_12\NOTARIA 2012\VARIOS\FORMULARIO  24.doc FRUTICOLA.doc", "Abrir Documento")</f>
        <v>0</v>
      </c>
      <c r="D15146" t="s">
        <v>23500</v>
      </c>
      <c r="E15146" t="s">
        <v>37621</v>
      </c>
    </row>
    <row r="15147" spans="1:5">
      <c r="A15147" t="s">
        <v>6</v>
      </c>
      <c r="B15147" t="s">
        <v>15152</v>
      </c>
      <c r="C15147">
        <f>HYPERLINK("C:\Users\franc\OneDrive\Documentos\MALENTIN KARIME\BANCO ESTADO\2012 DEPTO ESCRITURAS fata\Dc Simples\RESPALDO comp notaria 27_12_12\NOTARIA 2012\VARIOS\FORMULARIO  24.doc", "Abrir Documento")</f>
        <v>0</v>
      </c>
      <c r="D15147" t="s">
        <v>23500</v>
      </c>
      <c r="E15147" t="s">
        <v>37622</v>
      </c>
    </row>
    <row r="15148" spans="1:5">
      <c r="A15148" t="s">
        <v>6</v>
      </c>
      <c r="B15148" t="s">
        <v>15153</v>
      </c>
      <c r="C15148">
        <f>HYPERLINK("C:\Users\franc\OneDrive\Documentos\MALENTIN KARIME\BANCO ESTADO\2012 DEPTO ESCRITURAS fata\Dc Simples\RESPALDO comp notaria 27_12_12\NOTARIA 2012\VARIOS\FORMULARIO  24 REP..doc", "Abrir Documento")</f>
        <v>0</v>
      </c>
      <c r="D15148" t="s">
        <v>23500</v>
      </c>
      <c r="E15148" t="s">
        <v>37623</v>
      </c>
    </row>
    <row r="15149" spans="1:5">
      <c r="A15149" t="s">
        <v>6</v>
      </c>
      <c r="B15149" t="s">
        <v>15154</v>
      </c>
      <c r="C15149">
        <f>HYPERLINK("C:\Users\franc\OneDrive\Documentos\MALENTIN KARIME\BANCO ESTADO\2012 DEPTO ESCRITURAS fata\Dc Simples\RESPALDO comp notaria 27_12_12\NOTARIA 2012\VARIOS\FORMULARIO  24 REP Prohens..doc", "Abrir Documento")</f>
        <v>0</v>
      </c>
      <c r="D15149" t="s">
        <v>23500</v>
      </c>
      <c r="E15149" t="s">
        <v>37624</v>
      </c>
    </row>
    <row r="15150" spans="1:5">
      <c r="A15150" t="s">
        <v>6</v>
      </c>
      <c r="B15150" t="s">
        <v>15155</v>
      </c>
      <c r="C15150">
        <f>HYPERLINK("C:\Users\franc\OneDrive\Documentos\MALENTIN KARIME\BANCO ESTADO\2012 DEPTO ESCRITURAS fata\Dc Simples\RESPALDO comp notaria 27_12_12\NOTARIA 2012\VARIOS\FORM 24 NOTARIA.doc", "Abrir Documento")</f>
        <v>0</v>
      </c>
      <c r="D15150" t="s">
        <v>23500</v>
      </c>
      <c r="E15150" t="s">
        <v>37625</v>
      </c>
    </row>
    <row r="15151" spans="1:5">
      <c r="A15151" t="s">
        <v>6</v>
      </c>
      <c r="B15151" t="s">
        <v>15156</v>
      </c>
      <c r="C15151">
        <f>HYPERLINK("C:\Users\franc\OneDrive\Documentos\MALENTIN KARIME\BANCO ESTADO\2012 DEPTO ESCRITURAS fata\Dc Simples\RESPALDO comp notaria 27_12_12\NOTARIA 2012\VARIOS\EDIFICIO MAL ESTADO.doc", "Abrir Documento")</f>
        <v>0</v>
      </c>
      <c r="D15151" t="s">
        <v>23500</v>
      </c>
      <c r="E15151" t="s">
        <v>37626</v>
      </c>
    </row>
    <row r="15152" spans="1:5">
      <c r="A15152" t="s">
        <v>6</v>
      </c>
      <c r="B15152" t="s">
        <v>15157</v>
      </c>
      <c r="C15152">
        <f>HYPERLINK("C:\Users\franc\OneDrive\Documentos\MALENTIN KARIME\BANCO ESTADO\2012 DEPTO ESCRITURAS fata\Dc Simples\RESPALDO comp notaria 27_12_12\NOTARIA 2012\VARIOS\CLEMENTE.doc", "Abrir Documento")</f>
        <v>0</v>
      </c>
      <c r="D15152" t="s">
        <v>23500</v>
      </c>
      <c r="E15152" t="s">
        <v>37627</v>
      </c>
    </row>
    <row r="15153" spans="1:5">
      <c r="A15153" t="s">
        <v>6</v>
      </c>
      <c r="B15153" t="s">
        <v>15158</v>
      </c>
      <c r="C15153">
        <f>HYPERLINK("C:\Users\franc\OneDrive\Documentos\MALENTIN KARIME\BANCO ESTADO\2012 DEPTO ESCRITURAS fata\Dc Simples\RESPALDO comp notaria 27_12_12\NOTARIA 2012\VARIOS\CHOQUE VEHICULO.doc", "Abrir Documento")</f>
        <v>0</v>
      </c>
      <c r="D15153" t="s">
        <v>23500</v>
      </c>
      <c r="E15153" t="s">
        <v>37628</v>
      </c>
    </row>
    <row r="15154" spans="1:5">
      <c r="A15154" t="s">
        <v>6</v>
      </c>
      <c r="B15154" t="s">
        <v>15159</v>
      </c>
      <c r="C15154">
        <f>HYPERLINK("C:\Users\franc\OneDrive\Documentos\MALENTIN KARIME\BANCO ESTADO\2012 DEPTO ESCRITURAS fata\Dc Simples\RESPALDO comp notaria 27_12_12\NOTARIA 2012\VARIOS\CHOQUE HORIZONTAL.doc", "Abrir Documento")</f>
        <v>0</v>
      </c>
      <c r="D15154" t="s">
        <v>23500</v>
      </c>
      <c r="E15154" t="s">
        <v>37629</v>
      </c>
    </row>
    <row r="15155" spans="1:5">
      <c r="A15155" t="s">
        <v>6</v>
      </c>
      <c r="B15155" t="s">
        <v>15160</v>
      </c>
      <c r="C15155">
        <f>HYPERLINK("C:\Users\franc\OneDrive\Documentos\MALENTIN KARIME\BANCO ESTADO\2012 DEPTO ESCRITURAS fata\Dc Simples\RESPALDO comp notaria 27_12_12\NOTARIA 2012\VARIOS\CERTIFICADO DE PIEZA.doc", "Abrir Documento")</f>
        <v>0</v>
      </c>
      <c r="D15155" t="s">
        <v>23500</v>
      </c>
      <c r="E15155" t="s">
        <v>37630</v>
      </c>
    </row>
    <row r="15156" spans="1:5">
      <c r="A15156" t="s">
        <v>6</v>
      </c>
      <c r="B15156" t="s">
        <v>15161</v>
      </c>
      <c r="C15156">
        <f>HYPERLINK("C:\Users\franc\OneDrive\Documentos\MALENTIN KARIME\BANCO ESTADO\2012 DEPTO ESCRITURAS fata\Dc Simples\RESPALDO comp notaria 27_12_12\NOTARIA 2012\VARIOS\CARTA DE AVISO.doc", "Abrir Documento")</f>
        <v>0</v>
      </c>
      <c r="D15156" t="s">
        <v>23500</v>
      </c>
      <c r="E15156" t="s">
        <v>37631</v>
      </c>
    </row>
    <row r="15157" spans="1:5">
      <c r="A15157" t="s">
        <v>6</v>
      </c>
      <c r="B15157" t="s">
        <v>15162</v>
      </c>
      <c r="C15157">
        <f>HYPERLINK("C:\Users\franc\OneDrive\Documentos\MALENTIN KARIME\BANCO ESTADO\2012 DEPTO ESCRITURAS fata\Dc Simples\RESPALDO comp notaria 27_12_12\NOTARIA 2012\VARIOS\CARTA CERTIFICADA.doc", "Abrir Documento")</f>
        <v>0</v>
      </c>
      <c r="D15157" t="s">
        <v>23500</v>
      </c>
      <c r="E15157" t="s">
        <v>37632</v>
      </c>
    </row>
    <row r="15158" spans="1:5">
      <c r="A15158" t="s">
        <v>6</v>
      </c>
      <c r="B15158" t="s">
        <v>15163</v>
      </c>
      <c r="C15158">
        <f>HYPERLINK("C:\Users\franc\OneDrive\Documentos\MALENTIN KARIME\BANCO ESTADO\2012 DEPTO ESCRITURAS fata\Dc Simples\RESPALDO comp notaria 27_12_12\NOTARIA 2012\VARIOS\CARTA CERTIFICADA Minera punitaqui.doc", "Abrir Documento")</f>
        <v>0</v>
      </c>
      <c r="D15158" t="s">
        <v>23500</v>
      </c>
      <c r="E15158" t="s">
        <v>37633</v>
      </c>
    </row>
    <row r="15159" spans="1:5">
      <c r="A15159" t="s">
        <v>6</v>
      </c>
      <c r="B15159" t="s">
        <v>15164</v>
      </c>
      <c r="C15159">
        <f>HYPERLINK("C:\Users\franc\OneDrive\Documentos\MALENTIN KARIME\BANCO ESTADO\2012 DEPTO ESCRITURAS fata\Dc Simples\RESPALDO comp notaria 27_12_12\NOTARIA 2012\VARIOS\CARTA CERTIFICADA II.doc", "Abrir Documento")</f>
        <v>0</v>
      </c>
      <c r="D15159" t="s">
        <v>23500</v>
      </c>
      <c r="E15159" t="s">
        <v>37634</v>
      </c>
    </row>
    <row r="15160" spans="1:5">
      <c r="A15160" t="s">
        <v>6</v>
      </c>
      <c r="B15160" t="s">
        <v>15165</v>
      </c>
      <c r="C15160">
        <f>HYPERLINK("C:\Users\franc\OneDrive\Documentos\MALENTIN KARIME\BANCO ESTADO\2012 DEPTO ESCRITURAS fata\Dc Simples\RESPALDO comp notaria 27_12_12\NOTARIA 2012\VARIOS\CARILLA VEHICULOS.doc", "Abrir Documento")</f>
        <v>0</v>
      </c>
      <c r="D15160" t="s">
        <v>23500</v>
      </c>
      <c r="E15160" t="s">
        <v>37635</v>
      </c>
    </row>
    <row r="15161" spans="1:5">
      <c r="A15161" t="s">
        <v>6</v>
      </c>
      <c r="B15161" t="s">
        <v>15166</v>
      </c>
      <c r="C15161">
        <f>HYPERLINK("C:\Users\franc\OneDrive\Documentos\MALENTIN KARIME\BANCO ESTADO\2012 DEPTO ESCRITURAS fata\Dc Simples\RESPALDO comp notaria 27_12_12\NOTARIA 2012\VARIOS\CARATULA TESTAMENTO.doc", "Abrir Documento")</f>
        <v>0</v>
      </c>
      <c r="D15161" t="s">
        <v>23500</v>
      </c>
      <c r="E15161" t="s">
        <v>37636</v>
      </c>
    </row>
    <row r="15162" spans="1:5">
      <c r="A15162" t="s">
        <v>6</v>
      </c>
      <c r="B15162" t="s">
        <v>15167</v>
      </c>
      <c r="C15162">
        <f>HYPERLINK("C:\Users\franc\OneDrive\Documentos\MALENTIN KARIME\BANCO ESTADO\2012 DEPTO ESCRITURAS fata\Dc Simples\RESPALDO comp notaria 27_12_12\NOTARIA 2012\VARIOS\CAMBIO CLAUSULA.doc", "Abrir Documento")</f>
        <v>0</v>
      </c>
      <c r="D15162" t="s">
        <v>23500</v>
      </c>
      <c r="E15162" t="s">
        <v>37637</v>
      </c>
    </row>
    <row r="15163" spans="1:5">
      <c r="A15163" t="s">
        <v>6</v>
      </c>
      <c r="B15163" t="s">
        <v>15168</v>
      </c>
      <c r="C15163">
        <f>HYPERLINK("C:\Users\franc\OneDrive\Documentos\MALENTIN KARIME\BANCO ESTADO\2012 DEPTO ESCRITURAS fata\Dc Simples\RESPALDO comp notaria 27_12_12\NOTARIA 2012\VARIOS\Autorizo la firma de don MIGUEL DIAZ ARIAS.docx", "Abrir Documento")</f>
        <v>0</v>
      </c>
      <c r="D15163" t="s">
        <v>23501</v>
      </c>
      <c r="E15163" t="s">
        <v>37638</v>
      </c>
    </row>
    <row r="15164" spans="1:5">
      <c r="A15164" t="s">
        <v>6</v>
      </c>
      <c r="B15164" t="s">
        <v>15169</v>
      </c>
      <c r="C15164">
        <f>HYPERLINK("C:\Users\franc\OneDrive\Documentos\MALENTIN KARIME\BANCO ESTADO\2012 DEPTO ESCRITURAS fata\Dc Simples\RESPALDO comp notaria 27_12_12\NOTARIA 2012\VARIOS\ANEXO VEHICULO.doc", "Abrir Documento")</f>
        <v>0</v>
      </c>
      <c r="D15164" t="s">
        <v>23500</v>
      </c>
      <c r="E15164" t="s">
        <v>37639</v>
      </c>
    </row>
    <row r="15165" spans="1:5">
      <c r="A15165" t="s">
        <v>6</v>
      </c>
      <c r="B15165" t="s">
        <v>15170</v>
      </c>
      <c r="C15165">
        <f>HYPERLINK("C:\Users\franc\OneDrive\Documentos\MALENTIN KARIME\BANCO ESTADO\2012 DEPTO ESCRITURAS fata\Dc Simples\RESPALDO comp notaria 27_12_12\NOTARIA 2012\VARIOS\ANEXO SOC. HECHO.doc", "Abrir Documento")</f>
        <v>0</v>
      </c>
      <c r="D15165" t="s">
        <v>23500</v>
      </c>
      <c r="E15165" t="s">
        <v>37640</v>
      </c>
    </row>
    <row r="15166" spans="1:5">
      <c r="A15166" t="s">
        <v>6</v>
      </c>
      <c r="B15166" t="s">
        <v>15171</v>
      </c>
      <c r="C15166">
        <f>HYPERLINK("C:\Users\franc\OneDrive\Documentos\MALENTIN KARIME\BANCO ESTADO\2012 DEPTO ESCRITURAS fata\Dc Simples\RESPALDO comp notaria 27_12_12\NOTARIA 2012\VARIOS\AMPLIACION plazo perfecto.doc", "Abrir Documento")</f>
        <v>0</v>
      </c>
      <c r="D15166" t="s">
        <v>23500</v>
      </c>
      <c r="E15166" t="s">
        <v>37641</v>
      </c>
    </row>
    <row r="15167" spans="1:5">
      <c r="A15167" t="s">
        <v>6</v>
      </c>
      <c r="B15167" t="s">
        <v>15172</v>
      </c>
      <c r="C15167">
        <f>HYPERLINK("C:\Users\franc\OneDrive\Documentos\MALENTIN KARIME\BANCO ESTADO\2012 DEPTO ESCRITURAS fata\Dc Simples\RESPALDO comp notaria 27_12_12\NOTARIA 2012\VARIOS\AMPLIACION PLAZO german adones.doc", "Abrir Documento")</f>
        <v>0</v>
      </c>
      <c r="D15167" t="s">
        <v>23500</v>
      </c>
      <c r="E15167" t="s">
        <v>37642</v>
      </c>
    </row>
    <row r="15168" spans="1:5">
      <c r="A15168" t="s">
        <v>6</v>
      </c>
      <c r="B15168" t="s">
        <v>15173</v>
      </c>
      <c r="C15168">
        <f>HYPERLINK("C:\Users\franc\OneDrive\Documentos\MALENTIN KARIME\BANCO ESTADO\2012 DEPTO ESCRITURAS fata\Dc Simples\RESPALDO comp notaria 27_12_12\NOTARIA 2012\VARIOS\AMPLIACION PLAZO CRISTIAN RIVERA.doc", "Abrir Documento")</f>
        <v>0</v>
      </c>
      <c r="D15168" t="s">
        <v>23500</v>
      </c>
      <c r="E15168" t="s">
        <v>37643</v>
      </c>
    </row>
    <row r="15169" spans="1:5">
      <c r="A15169" t="s">
        <v>6</v>
      </c>
      <c r="B15169" t="s">
        <v>15174</v>
      </c>
      <c r="C15169">
        <f>HYPERLINK("C:\Users\franc\OneDrive\Documentos\MALENTIN KARIME\BANCO ESTADO\2012 DEPTO ESCRITURAS fata\Dc Simples\RESPALDO comp notaria 27_12_12\NOTARIA 2012\VARIOS\AMPLIACION MARINA.doc", "Abrir Documento")</f>
        <v>0</v>
      </c>
      <c r="D15169" t="s">
        <v>23500</v>
      </c>
      <c r="E15169" t="s">
        <v>37644</v>
      </c>
    </row>
    <row r="15170" spans="1:5">
      <c r="A15170" t="s">
        <v>6</v>
      </c>
      <c r="B15170" t="s">
        <v>15175</v>
      </c>
      <c r="C15170">
        <f>HYPERLINK("C:\Users\franc\OneDrive\Documentos\MALENTIN KARIME\BANCO ESTADO\2012 DEPTO ESCRITURAS fata\Dc Simples\RESPALDO comp notaria 27_12_12\NOTARIA 2012\SOC. DE HECHO\PROTESTOS\UPV\YASNA MUÑOZ.doc", "Abrir Documento")</f>
        <v>0</v>
      </c>
      <c r="D15170" t="s">
        <v>23500</v>
      </c>
      <c r="E15170" t="s">
        <v>37645</v>
      </c>
    </row>
    <row r="15171" spans="1:5">
      <c r="A15171" t="s">
        <v>6</v>
      </c>
      <c r="B15171" t="s">
        <v>15176</v>
      </c>
      <c r="C15171">
        <f>HYPERLINK("C:\Users\franc\OneDrive\Documentos\MALENTIN KARIME\BANCO ESTADO\2012 DEPTO ESCRITURAS fata\Dc Simples\RESPALDO comp notaria 27_12_12\NOTARIA 2012\SOC. DE HECHO\PROTESTOS\UPV\YASNA CUELLO.doc", "Abrir Documento")</f>
        <v>0</v>
      </c>
      <c r="D15171" t="s">
        <v>23500</v>
      </c>
      <c r="E15171" t="s">
        <v>37646</v>
      </c>
    </row>
    <row r="15172" spans="1:5">
      <c r="A15172" t="s">
        <v>6</v>
      </c>
      <c r="B15172" t="s">
        <v>15177</v>
      </c>
      <c r="C15172">
        <f>HYPERLINK("C:\Users\franc\OneDrive\Documentos\MALENTIN KARIME\BANCO ESTADO\2012 DEPTO ESCRITURAS fata\Dc Simples\RESPALDO comp notaria 27_12_12\NOTARIA 2012\SOC. DE HECHO\PROTESTOS\UPV\WILLIAM ARACENA.doc", "Abrir Documento")</f>
        <v>0</v>
      </c>
      <c r="D15172" t="s">
        <v>23500</v>
      </c>
      <c r="E15172" t="s">
        <v>37647</v>
      </c>
    </row>
    <row r="15173" spans="1:5">
      <c r="A15173" t="s">
        <v>6</v>
      </c>
      <c r="B15173" t="s">
        <v>15178</v>
      </c>
      <c r="C15173">
        <f>HYPERLINK("C:\Users\franc\OneDrive\Documentos\MALENTIN KARIME\BANCO ESTADO\2012 DEPTO ESCRITURAS fata\Dc Simples\RESPALDO comp notaria 27_12_12\NOTARIA 2012\SOC. DE HECHO\PROTESTOS\UPV\WILFREDO ROJAS PEREZ.doc", "Abrir Documento")</f>
        <v>0</v>
      </c>
      <c r="D15173" t="s">
        <v>23500</v>
      </c>
      <c r="E15173" t="s">
        <v>37648</v>
      </c>
    </row>
    <row r="15174" spans="1:5">
      <c r="A15174" t="s">
        <v>6</v>
      </c>
      <c r="B15174" t="s">
        <v>15179</v>
      </c>
      <c r="C15174">
        <f>HYPERLINK("C:\Users\franc\OneDrive\Documentos\MALENTIN KARIME\BANCO ESTADO\2012 DEPTO ESCRITURAS fata\Dc Simples\RESPALDO comp notaria 27_12_12\NOTARIA 2012\SOC. DE HECHO\PROTESTOS\UPV\WASHINGTON LEONARDO.doc", "Abrir Documento")</f>
        <v>0</v>
      </c>
      <c r="D15174" t="s">
        <v>23500</v>
      </c>
      <c r="E15174" t="s">
        <v>37649</v>
      </c>
    </row>
    <row r="15175" spans="1:5">
      <c r="A15175" t="s">
        <v>6</v>
      </c>
      <c r="B15175" t="s">
        <v>15180</v>
      </c>
      <c r="C15175">
        <f>HYPERLINK("C:\Users\franc\OneDrive\Documentos\MALENTIN KARIME\BANCO ESTADO\2012 DEPTO ESCRITURAS fata\Dc Simples\RESPALDO comp notaria 27_12_12\NOTARIA 2012\SOC. DE HECHO\PROTESTOS\UPV\VIRGINIA DIAZ.doc", "Abrir Documento")</f>
        <v>0</v>
      </c>
      <c r="D15175" t="s">
        <v>23500</v>
      </c>
      <c r="E15175" t="s">
        <v>37650</v>
      </c>
    </row>
    <row r="15176" spans="1:5">
      <c r="A15176" t="s">
        <v>6</v>
      </c>
      <c r="B15176" t="s">
        <v>15181</v>
      </c>
      <c r="C15176">
        <f>HYPERLINK("C:\Users\franc\OneDrive\Documentos\MALENTIN KARIME\BANCO ESTADO\2012 DEPTO ESCRITURAS fata\Dc Simples\RESPALDO comp notaria 27_12_12\NOTARIA 2012\SOC. DE HECHO\PROTESTOS\UPV\VIOLETA ELENA GONZALEZ ROJAS.doc", "Abrir Documento")</f>
        <v>0</v>
      </c>
      <c r="D15176" t="s">
        <v>23500</v>
      </c>
      <c r="E15176" t="s">
        <v>37651</v>
      </c>
    </row>
    <row r="15177" spans="1:5">
      <c r="A15177" t="s">
        <v>6</v>
      </c>
      <c r="B15177" t="s">
        <v>15182</v>
      </c>
      <c r="C15177">
        <f>HYPERLINK("C:\Users\franc\OneDrive\Documentos\MALENTIN KARIME\BANCO ESTADO\2012 DEPTO ESCRITURAS fata\Dc Simples\RESPALDO comp notaria 27_12_12\NOTARIA 2012\SOC. DE HECHO\PROTESTOS\UPV\VICTORIA DELGADO.doc", "Abrir Documento")</f>
        <v>0</v>
      </c>
      <c r="D15177" t="s">
        <v>23500</v>
      </c>
      <c r="E15177" t="s">
        <v>37652</v>
      </c>
    </row>
    <row r="15178" spans="1:5">
      <c r="A15178" t="s">
        <v>6</v>
      </c>
      <c r="B15178" t="s">
        <v>15183</v>
      </c>
      <c r="C15178">
        <f>HYPERLINK("C:\Users\franc\OneDrive\Documentos\MALENTIN KARIME\BANCO ESTADO\2012 DEPTO ESCRITURAS fata\Dc Simples\RESPALDO comp notaria 27_12_12\NOTARIA 2012\SOC. DE HECHO\PROTESTOS\UPV\VICTOR JARA.doc", "Abrir Documento")</f>
        <v>0</v>
      </c>
      <c r="D15178" t="s">
        <v>23500</v>
      </c>
      <c r="E15178" t="s">
        <v>37653</v>
      </c>
    </row>
    <row r="15179" spans="1:5">
      <c r="A15179" t="s">
        <v>6</v>
      </c>
      <c r="B15179" t="s">
        <v>15184</v>
      </c>
      <c r="C15179">
        <f>HYPERLINK("C:\Users\franc\OneDrive\Documentos\MALENTIN KARIME\BANCO ESTADO\2012 DEPTO ESCRITURAS fata\Dc Simples\RESPALDO comp notaria 27_12_12\NOTARIA 2012\SOC. DE HECHO\PROTESTOS\UPV\VERONICA TORO.doc", "Abrir Documento")</f>
        <v>0</v>
      </c>
      <c r="D15179" t="s">
        <v>23500</v>
      </c>
      <c r="E15179" t="s">
        <v>37654</v>
      </c>
    </row>
    <row r="15180" spans="1:5">
      <c r="A15180" t="s">
        <v>6</v>
      </c>
      <c r="B15180" t="s">
        <v>15185</v>
      </c>
      <c r="C15180">
        <f>HYPERLINK("C:\Users\franc\OneDrive\Documentos\MALENTIN KARIME\BANCO ESTADO\2012 DEPTO ESCRITURAS fata\Dc Simples\RESPALDO comp notaria 27_12_12\NOTARIA 2012\SOC. DE HECHO\PROTESTOS\UPV\VANIA GONZALEZ CORTES.doc", "Abrir Documento")</f>
        <v>0</v>
      </c>
      <c r="D15180" t="s">
        <v>23500</v>
      </c>
      <c r="E15180" t="s">
        <v>37655</v>
      </c>
    </row>
    <row r="15181" spans="1:5">
      <c r="A15181" t="s">
        <v>6</v>
      </c>
      <c r="B15181" t="s">
        <v>15186</v>
      </c>
      <c r="C15181">
        <f>HYPERLINK("C:\Users\franc\OneDrive\Documentos\MALENTIN KARIME\BANCO ESTADO\2012 DEPTO ESCRITURAS fata\Dc Simples\RESPALDO comp notaria 27_12_12\NOTARIA 2012\SOC. DE HECHO\PROTESTOS\UPV\VALERIE TAPIA.doc", "Abrir Documento")</f>
        <v>0</v>
      </c>
      <c r="D15181" t="s">
        <v>23500</v>
      </c>
      <c r="E15181" t="s">
        <v>37656</v>
      </c>
    </row>
    <row r="15182" spans="1:5">
      <c r="A15182" t="s">
        <v>6</v>
      </c>
      <c r="B15182" t="s">
        <v>15187</v>
      </c>
      <c r="C15182">
        <f>HYPERLINK("C:\Users\franc\OneDrive\Documentos\MALENTIN KARIME\BANCO ESTADO\2012 DEPTO ESCRITURAS fata\Dc Simples\RESPALDO comp notaria 27_12_12\NOTARIA 2012\SOC. DE HECHO\PROTESTOS\UPV\VALERIA SILVA MARIQUEO.doc", "Abrir Documento")</f>
        <v>0</v>
      </c>
      <c r="D15182" t="s">
        <v>23500</v>
      </c>
      <c r="E15182" t="s">
        <v>37657</v>
      </c>
    </row>
    <row r="15183" spans="1:5">
      <c r="A15183" t="s">
        <v>6</v>
      </c>
      <c r="B15183" t="s">
        <v>15188</v>
      </c>
      <c r="C15183">
        <f>HYPERLINK("C:\Users\franc\OneDrive\Documentos\MALENTIN KARIME\BANCO ESTADO\2012 DEPTO ESCRITURAS fata\Dc Simples\RESPALDO comp notaria 27_12_12\NOTARIA 2012\SOC. DE HECHO\PROTESTOS\UPV\VALERIA CORTES.doc", "Abrir Documento")</f>
        <v>0</v>
      </c>
      <c r="D15183" t="s">
        <v>23500</v>
      </c>
      <c r="E15183" t="s">
        <v>37658</v>
      </c>
    </row>
    <row r="15184" spans="1:5">
      <c r="A15184" t="s">
        <v>6</v>
      </c>
      <c r="B15184" t="s">
        <v>15189</v>
      </c>
      <c r="C15184">
        <f>HYPERLINK("C:\Users\franc\OneDrive\Documentos\MALENTIN KARIME\BANCO ESTADO\2012 DEPTO ESCRITURAS fata\Dc Simples\RESPALDO comp notaria 27_12_12\NOTARIA 2012\SOC. DE HECHO\PROTESTOS\UPV\TERESA CASTILLO.doc", "Abrir Documento")</f>
        <v>0</v>
      </c>
      <c r="D15184" t="s">
        <v>23500</v>
      </c>
      <c r="E15184" t="s">
        <v>37659</v>
      </c>
    </row>
    <row r="15185" spans="1:5">
      <c r="A15185" t="s">
        <v>6</v>
      </c>
      <c r="B15185" t="s">
        <v>15190</v>
      </c>
      <c r="C15185">
        <f>HYPERLINK("C:\Users\franc\OneDrive\Documentos\MALENTIN KARIME\BANCO ESTADO\2012 DEPTO ESCRITURAS fata\Dc Simples\RESPALDO comp notaria 27_12_12\NOTARIA 2012\SOC. DE HECHO\PROTESTOS\UPV\TANIA MONTENEGRO.doc", "Abrir Documento")</f>
        <v>0</v>
      </c>
      <c r="D15185" t="s">
        <v>23500</v>
      </c>
      <c r="E15185" t="s">
        <v>37660</v>
      </c>
    </row>
    <row r="15186" spans="1:5">
      <c r="A15186" t="s">
        <v>6</v>
      </c>
      <c r="B15186" t="s">
        <v>15191</v>
      </c>
      <c r="C15186">
        <f>HYPERLINK("C:\Users\franc\OneDrive\Documentos\MALENTIN KARIME\BANCO ESTADO\2012 DEPTO ESCRITURAS fata\Dc Simples\RESPALDO comp notaria 27_12_12\NOTARIA 2012\SOC. DE HECHO\PROTESTOS\UPV\TADEO CASTILLO ARAYA.doc", "Abrir Documento")</f>
        <v>0</v>
      </c>
      <c r="D15186" t="s">
        <v>23500</v>
      </c>
      <c r="E15186" t="s">
        <v>37661</v>
      </c>
    </row>
    <row r="15187" spans="1:5">
      <c r="A15187" t="s">
        <v>6</v>
      </c>
      <c r="B15187" t="s">
        <v>15192</v>
      </c>
      <c r="C15187">
        <f>HYPERLINK("C:\Users\franc\OneDrive\Documentos\MALENTIN KARIME\BANCO ESTADO\2012 DEPTO ESCRITURAS fata\Dc Simples\RESPALDO comp notaria 27_12_12\NOTARIA 2012\SOC. DE HECHO\PROTESTOS\UPV\SOLANGE MARIN.doc", "Abrir Documento")</f>
        <v>0</v>
      </c>
      <c r="D15187" t="s">
        <v>23500</v>
      </c>
      <c r="E15187" t="s">
        <v>37662</v>
      </c>
    </row>
    <row r="15188" spans="1:5">
      <c r="A15188" t="s">
        <v>6</v>
      </c>
      <c r="B15188" t="s">
        <v>15193</v>
      </c>
      <c r="C15188">
        <f>HYPERLINK("C:\Users\franc\OneDrive\Documentos\MALENTIN KARIME\BANCO ESTADO\2012 DEPTO ESCRITURAS fata\Dc Simples\RESPALDO comp notaria 27_12_12\NOTARIA 2012\SOC. DE HECHO\PROTESTOS\UPV\SOC. AGRIC. RALIN.doc", "Abrir Documento")</f>
        <v>0</v>
      </c>
      <c r="D15188" t="s">
        <v>23500</v>
      </c>
      <c r="E15188" t="s">
        <v>37663</v>
      </c>
    </row>
    <row r="15189" spans="1:5">
      <c r="A15189" t="s">
        <v>6</v>
      </c>
      <c r="B15189" t="s">
        <v>15194</v>
      </c>
      <c r="C15189">
        <f>HYPERLINK("C:\Users\franc\OneDrive\Documentos\MALENTIN KARIME\BANCO ESTADO\2012 DEPTO ESCRITURAS fata\Dc Simples\RESPALDO comp notaria 27_12_12\NOTARIA 2012\SOC. DE HECHO\PROTESTOS\UPV\SILVIA RAMIREZ DIAZ.doc", "Abrir Documento")</f>
        <v>0</v>
      </c>
      <c r="D15189" t="s">
        <v>23500</v>
      </c>
      <c r="E15189" t="s">
        <v>37664</v>
      </c>
    </row>
    <row r="15190" spans="1:5">
      <c r="A15190" t="s">
        <v>6</v>
      </c>
      <c r="B15190" t="s">
        <v>15195</v>
      </c>
      <c r="C15190">
        <f>HYPERLINK("C:\Users\franc\OneDrive\Documentos\MALENTIN KARIME\BANCO ESTADO\2012 DEPTO ESCRITURAS fata\Dc Simples\RESPALDO comp notaria 27_12_12\NOTARIA 2012\SOC. DE HECHO\PROTESTOS\UPV\SILVIA HALLES.doc", "Abrir Documento")</f>
        <v>0</v>
      </c>
      <c r="D15190" t="s">
        <v>23500</v>
      </c>
      <c r="E15190" t="s">
        <v>37665</v>
      </c>
    </row>
    <row r="15191" spans="1:5">
      <c r="A15191" t="s">
        <v>6</v>
      </c>
      <c r="B15191" t="s">
        <v>15196</v>
      </c>
      <c r="C15191">
        <f>HYPERLINK("C:\Users\franc\OneDrive\Documentos\MALENTIN KARIME\BANCO ESTADO\2012 DEPTO ESCRITURAS fata\Dc Simples\RESPALDO comp notaria 27_12_12\NOTARIA 2012\SOC. DE HECHO\PROTESTOS\UPV\SERGIO VELIZ PEREZ.doc", "Abrir Documento")</f>
        <v>0</v>
      </c>
      <c r="D15191" t="s">
        <v>23500</v>
      </c>
      <c r="E15191" t="s">
        <v>37666</v>
      </c>
    </row>
    <row r="15192" spans="1:5">
      <c r="A15192" t="s">
        <v>6</v>
      </c>
      <c r="B15192" t="s">
        <v>15197</v>
      </c>
      <c r="C15192">
        <f>HYPERLINK("C:\Users\franc\OneDrive\Documentos\MALENTIN KARIME\BANCO ESTADO\2012 DEPTO ESCRITURAS fata\Dc Simples\RESPALDO comp notaria 27_12_12\NOTARIA 2012\SOC. DE HECHO\PROTESTOS\UPV\SERGIO ROJAS CONTRERAS.doc", "Abrir Documento")</f>
        <v>0</v>
      </c>
      <c r="D15192" t="s">
        <v>23500</v>
      </c>
      <c r="E15192" t="s">
        <v>37667</v>
      </c>
    </row>
    <row r="15193" spans="1:5">
      <c r="A15193" t="s">
        <v>6</v>
      </c>
      <c r="B15193" t="s">
        <v>15198</v>
      </c>
      <c r="C15193">
        <f>HYPERLINK("C:\Users\franc\OneDrive\Documentos\MALENTIN KARIME\BANCO ESTADO\2012 DEPTO ESCRITURAS fata\Dc Simples\RESPALDO comp notaria 27_12_12\NOTARIA 2012\SOC. DE HECHO\PROTESTOS\UPV\SERGIO RIVERA MOLINA.doc", "Abrir Documento")</f>
        <v>0</v>
      </c>
      <c r="D15193" t="s">
        <v>23500</v>
      </c>
      <c r="E15193" t="s">
        <v>37668</v>
      </c>
    </row>
    <row r="15194" spans="1:5">
      <c r="A15194" t="s">
        <v>6</v>
      </c>
      <c r="B15194" t="s">
        <v>15199</v>
      </c>
      <c r="C15194">
        <f>HYPERLINK("C:\Users\franc\OneDrive\Documentos\MALENTIN KARIME\BANCO ESTADO\2012 DEPTO ESCRITURAS fata\Dc Simples\RESPALDO comp notaria 27_12_12\NOTARIA 2012\SOC. DE HECHO\PROTESTOS\UPV\SEBASTIAN CORTES.doc", "Abrir Documento")</f>
        <v>0</v>
      </c>
      <c r="D15194" t="s">
        <v>23500</v>
      </c>
      <c r="E15194" t="s">
        <v>37669</v>
      </c>
    </row>
    <row r="15195" spans="1:5">
      <c r="A15195" t="s">
        <v>6</v>
      </c>
      <c r="B15195" t="s">
        <v>15200</v>
      </c>
      <c r="C15195">
        <f>HYPERLINK("C:\Users\franc\OneDrive\Documentos\MALENTIN KARIME\BANCO ESTADO\2012 DEPTO ESCRITURAS fata\Dc Simples\RESPALDO comp notaria 27_12_12\NOTARIA 2012\SOC. DE HECHO\PROTESTOS\UPV\SANDRA CEPEDA.doc", "Abrir Documento")</f>
        <v>0</v>
      </c>
      <c r="D15195" t="s">
        <v>23500</v>
      </c>
      <c r="E15195" t="s">
        <v>37670</v>
      </c>
    </row>
    <row r="15196" spans="1:5">
      <c r="A15196" t="s">
        <v>6</v>
      </c>
      <c r="B15196" t="s">
        <v>15201</v>
      </c>
      <c r="C15196">
        <f>HYPERLINK("C:\Users\franc\OneDrive\Documentos\MALENTIN KARIME\BANCO ESTADO\2012 DEPTO ESCRITURAS fata\Dc Simples\RESPALDO comp notaria 27_12_12\NOTARIA 2012\SOC. DE HECHO\PROTESTOS\UPV\ROSA RUBINA.doc", "Abrir Documento")</f>
        <v>0</v>
      </c>
      <c r="D15196" t="s">
        <v>23500</v>
      </c>
      <c r="E15196" t="s">
        <v>37671</v>
      </c>
    </row>
    <row r="15197" spans="1:5">
      <c r="A15197" t="s">
        <v>6</v>
      </c>
      <c r="B15197" t="s">
        <v>15202</v>
      </c>
      <c r="C15197">
        <f>HYPERLINK("C:\Users\franc\OneDrive\Documentos\MALENTIN KARIME\BANCO ESTADO\2012 DEPTO ESCRITURAS fata\Dc Simples\RESPALDO comp notaria 27_12_12\NOTARIA 2012\SOC. DE HECHO\PROTESTOS\UPV\ROSA ISABEL CORTES CORTES.doc", "Abrir Documento")</f>
        <v>0</v>
      </c>
      <c r="D15197" t="s">
        <v>23500</v>
      </c>
      <c r="E15197" t="s">
        <v>37672</v>
      </c>
    </row>
    <row r="15198" spans="1:5">
      <c r="A15198" t="s">
        <v>6</v>
      </c>
      <c r="B15198" t="s">
        <v>15203</v>
      </c>
      <c r="C15198">
        <f>HYPERLINK("C:\Users\franc\OneDrive\Documentos\MALENTIN KARIME\BANCO ESTADO\2012 DEPTO ESCRITURAS fata\Dc Simples\RESPALDO comp notaria 27_12_12\NOTARIA 2012\SOC. DE HECHO\PROTESTOS\UPV\ROSA DEL C. PIZARRO ROJAS.doc", "Abrir Documento")</f>
        <v>0</v>
      </c>
      <c r="D15198" t="s">
        <v>23500</v>
      </c>
      <c r="E15198" t="s">
        <v>37673</v>
      </c>
    </row>
    <row r="15199" spans="1:5">
      <c r="A15199" t="s">
        <v>6</v>
      </c>
      <c r="B15199" t="s">
        <v>15204</v>
      </c>
      <c r="C15199">
        <f>HYPERLINK("C:\Users\franc\OneDrive\Documentos\MALENTIN KARIME\BANCO ESTADO\2012 DEPTO ESCRITURAS fata\Dc Simples\RESPALDO comp notaria 27_12_12\NOTARIA 2012\SOC. DE HECHO\PROTESTOS\UPV\ROMINA RUIZ.doc", "Abrir Documento")</f>
        <v>0</v>
      </c>
      <c r="D15199" t="s">
        <v>23500</v>
      </c>
      <c r="E15199" t="s">
        <v>37674</v>
      </c>
    </row>
    <row r="15200" spans="1:5">
      <c r="A15200" t="s">
        <v>6</v>
      </c>
      <c r="B15200" t="s">
        <v>15205</v>
      </c>
      <c r="C15200">
        <f>HYPERLINK("C:\Users\franc\OneDrive\Documentos\MALENTIN KARIME\BANCO ESTADO\2012 DEPTO ESCRITURAS fata\Dc Simples\RESPALDO comp notaria 27_12_12\NOTARIA 2012\SOC. DE HECHO\PROTESTOS\UPV\ROCIO MUÑOZ CARMONA.doc", "Abrir Documento")</f>
        <v>0</v>
      </c>
      <c r="D15200" t="s">
        <v>23500</v>
      </c>
      <c r="E15200" t="s">
        <v>37675</v>
      </c>
    </row>
    <row r="15201" spans="1:5">
      <c r="A15201" t="s">
        <v>6</v>
      </c>
      <c r="B15201" t="s">
        <v>15206</v>
      </c>
      <c r="C15201">
        <f>HYPERLINK("C:\Users\franc\OneDrive\Documentos\MALENTIN KARIME\BANCO ESTADO\2012 DEPTO ESCRITURAS fata\Dc Simples\RESPALDO comp notaria 27_12_12\NOTARIA 2012\SOC. DE HECHO\PROTESTOS\UPV\RICHARD VARAS.doc", "Abrir Documento")</f>
        <v>0</v>
      </c>
      <c r="D15201" t="s">
        <v>23500</v>
      </c>
      <c r="E15201" t="s">
        <v>37676</v>
      </c>
    </row>
    <row r="15202" spans="1:5">
      <c r="A15202" t="s">
        <v>6</v>
      </c>
      <c r="B15202" t="s">
        <v>15207</v>
      </c>
      <c r="C15202">
        <f>HYPERLINK("C:\Users\franc\OneDrive\Documentos\MALENTIN KARIME\BANCO ESTADO\2012 DEPTO ESCRITURAS fata\Dc Simples\RESPALDO comp notaria 27_12_12\NOTARIA 2012\SOC. DE HECHO\PROTESTOS\UPV\RICARDO RAMIREZ.doc", "Abrir Documento")</f>
        <v>0</v>
      </c>
      <c r="D15202" t="s">
        <v>23500</v>
      </c>
      <c r="E15202" t="s">
        <v>37677</v>
      </c>
    </row>
    <row r="15203" spans="1:5">
      <c r="A15203" t="s">
        <v>6</v>
      </c>
      <c r="B15203" t="s">
        <v>15208</v>
      </c>
      <c r="C15203">
        <f>HYPERLINK("C:\Users\franc\OneDrive\Documentos\MALENTIN KARIME\BANCO ESTADO\2012 DEPTO ESCRITURAS fata\Dc Simples\RESPALDO comp notaria 27_12_12\NOTARIA 2012\SOC. DE HECHO\PROTESTOS\UPV\REINALDO RUIZ LOPEZ.doc", "Abrir Documento")</f>
        <v>0</v>
      </c>
      <c r="D15203" t="s">
        <v>23500</v>
      </c>
      <c r="E15203" t="s">
        <v>37678</v>
      </c>
    </row>
    <row r="15204" spans="1:5">
      <c r="A15204" t="s">
        <v>6</v>
      </c>
      <c r="B15204" t="s">
        <v>15209</v>
      </c>
      <c r="C15204">
        <f>HYPERLINK("C:\Users\franc\OneDrive\Documentos\MALENTIN KARIME\BANCO ESTADO\2012 DEPTO ESCRITURAS fata\Dc Simples\RESPALDO comp notaria 27_12_12\NOTARIA 2012\SOC. DE HECHO\PROTESTOS\UPV\RAUL OJEDA GROBIER.doc", "Abrir Documento")</f>
        <v>0</v>
      </c>
      <c r="D15204" t="s">
        <v>23500</v>
      </c>
      <c r="E15204" t="s">
        <v>37679</v>
      </c>
    </row>
    <row r="15205" spans="1:5">
      <c r="A15205" t="s">
        <v>6</v>
      </c>
      <c r="B15205" t="s">
        <v>15210</v>
      </c>
      <c r="C15205">
        <f>HYPERLINK("C:\Users\franc\OneDrive\Documentos\MALENTIN KARIME\BANCO ESTADO\2012 DEPTO ESCRITURAS fata\Dc Simples\RESPALDO comp notaria 27_12_12\NOTARIA 2012\SOC. DE HECHO\PROTESTOS\UPV\PILAR RODRIGUEZ.doc", "Abrir Documento")</f>
        <v>0</v>
      </c>
      <c r="D15205" t="s">
        <v>23500</v>
      </c>
      <c r="E15205" t="s">
        <v>37680</v>
      </c>
    </row>
    <row r="15206" spans="1:5">
      <c r="A15206" t="s">
        <v>6</v>
      </c>
      <c r="B15206" t="s">
        <v>15211</v>
      </c>
      <c r="C15206">
        <f>HYPERLINK("C:\Users\franc\OneDrive\Documentos\MALENTIN KARIME\BANCO ESTADO\2012 DEPTO ESCRITURAS fata\Dc Simples\RESPALDO comp notaria 27_12_12\NOTARIA 2012\SOC. DE HECHO\PROTESTOS\UPV\PAULO BARRAZA.doc", "Abrir Documento")</f>
        <v>0</v>
      </c>
      <c r="D15206" t="s">
        <v>23500</v>
      </c>
      <c r="E15206" t="s">
        <v>37681</v>
      </c>
    </row>
    <row r="15207" spans="1:5">
      <c r="A15207" t="s">
        <v>6</v>
      </c>
      <c r="B15207" t="s">
        <v>15212</v>
      </c>
      <c r="C15207">
        <f>HYPERLINK("C:\Users\franc\OneDrive\Documentos\MALENTIN KARIME\BANCO ESTADO\2012 DEPTO ESCRITURAS fata\Dc Simples\RESPALDO comp notaria 27_12_12\NOTARIA 2012\SOC. DE HECHO\PROTESTOS\UPV\PAULINA RIVERA.doc", "Abrir Documento")</f>
        <v>0</v>
      </c>
      <c r="D15207" t="s">
        <v>23500</v>
      </c>
      <c r="E15207" t="s">
        <v>37682</v>
      </c>
    </row>
    <row r="15208" spans="1:5">
      <c r="A15208" t="s">
        <v>6</v>
      </c>
      <c r="B15208" t="s">
        <v>15213</v>
      </c>
      <c r="C15208">
        <f>HYPERLINK("C:\Users\franc\OneDrive\Documentos\MALENTIN KARIME\BANCO ESTADO\2012 DEPTO ESCRITURAS fata\Dc Simples\RESPALDO comp notaria 27_12_12\NOTARIA 2012\SOC. DE HECHO\PROTESTOS\UPV\PAULINA OSSANDON.doc", "Abrir Documento")</f>
        <v>0</v>
      </c>
      <c r="D15208" t="s">
        <v>23500</v>
      </c>
      <c r="E15208" t="s">
        <v>37683</v>
      </c>
    </row>
    <row r="15209" spans="1:5">
      <c r="A15209" t="s">
        <v>6</v>
      </c>
      <c r="B15209" t="s">
        <v>15214</v>
      </c>
      <c r="C15209">
        <f>HYPERLINK("C:\Users\franc\OneDrive\Documentos\MALENTIN KARIME\BANCO ESTADO\2012 DEPTO ESCRITURAS fata\Dc Simples\RESPALDO comp notaria 27_12_12\NOTARIA 2012\SOC. DE HECHO\PROTESTOS\UPV\PAULINA CHELEN.doc", "Abrir Documento")</f>
        <v>0</v>
      </c>
      <c r="D15209" t="s">
        <v>23500</v>
      </c>
      <c r="E15209" t="s">
        <v>37684</v>
      </c>
    </row>
    <row r="15210" spans="1:5">
      <c r="A15210" t="s">
        <v>6</v>
      </c>
      <c r="B15210" t="s">
        <v>15215</v>
      </c>
      <c r="C15210">
        <f>HYPERLINK("C:\Users\franc\OneDrive\Documentos\MALENTIN KARIME\BANCO ESTADO\2012 DEPTO ESCRITURAS fata\Dc Simples\RESPALDO comp notaria 27_12_12\NOTARIA 2012\SOC. DE HECHO\PROTESTOS\UPV\PAULINA CASANOVA BARRAZA.doc", "Abrir Documento")</f>
        <v>0</v>
      </c>
      <c r="D15210" t="s">
        <v>23500</v>
      </c>
      <c r="E15210" t="s">
        <v>37685</v>
      </c>
    </row>
    <row r="15211" spans="1:5">
      <c r="A15211" t="s">
        <v>6</v>
      </c>
      <c r="B15211" t="s">
        <v>15216</v>
      </c>
      <c r="C15211">
        <f>HYPERLINK("C:\Users\franc\OneDrive\Documentos\MALENTIN KARIME\BANCO ESTADO\2012 DEPTO ESCRITURAS fata\Dc Simples\RESPALDO comp notaria 27_12_12\NOTARIA 2012\SOC. DE HECHO\PROTESTOS\UPV\PAULA VALENZUELA.doc", "Abrir Documento")</f>
        <v>0</v>
      </c>
      <c r="D15211" t="s">
        <v>23500</v>
      </c>
      <c r="E15211" t="s">
        <v>37686</v>
      </c>
    </row>
    <row r="15212" spans="1:5">
      <c r="A15212" t="s">
        <v>6</v>
      </c>
      <c r="B15212" t="s">
        <v>15217</v>
      </c>
      <c r="C15212">
        <f>HYPERLINK("C:\Users\franc\OneDrive\Documentos\MALENTIN KARIME\BANCO ESTADO\2012 DEPTO ESCRITURAS fata\Dc Simples\RESPALDO comp notaria 27_12_12\NOTARIA 2012\SOC. DE HECHO\PROTESTOS\UPV\PAULA MANRIQUEZ.doc", "Abrir Documento")</f>
        <v>0</v>
      </c>
      <c r="D15212" t="s">
        <v>23500</v>
      </c>
      <c r="E15212" t="s">
        <v>37687</v>
      </c>
    </row>
    <row r="15213" spans="1:5">
      <c r="A15213" t="s">
        <v>6</v>
      </c>
      <c r="B15213" t="s">
        <v>15218</v>
      </c>
      <c r="C15213">
        <f>HYPERLINK("C:\Users\franc\OneDrive\Documentos\MALENTIN KARIME\BANCO ESTADO\2012 DEPTO ESCRITURAS fata\Dc Simples\RESPALDO comp notaria 27_12_12\NOTARIA 2012\SOC. DE HECHO\PROTESTOS\UPV\PATRICIO JAMETT.doc", "Abrir Documento")</f>
        <v>0</v>
      </c>
      <c r="D15213" t="s">
        <v>23500</v>
      </c>
      <c r="E15213" t="s">
        <v>37688</v>
      </c>
    </row>
    <row r="15214" spans="1:5">
      <c r="A15214" t="s">
        <v>6</v>
      </c>
      <c r="B15214" t="s">
        <v>15219</v>
      </c>
      <c r="C15214">
        <f>HYPERLINK("C:\Users\franc\OneDrive\Documentos\MALENTIN KARIME\BANCO ESTADO\2012 DEPTO ESCRITURAS fata\Dc Simples\RESPALDO comp notaria 27_12_12\NOTARIA 2012\SOC. DE HECHO\PROTESTOS\UPV\PATRICIA RAMIREZ GOMEZ.doc", "Abrir Documento")</f>
        <v>0</v>
      </c>
      <c r="D15214" t="s">
        <v>23500</v>
      </c>
      <c r="E15214" t="s">
        <v>37689</v>
      </c>
    </row>
    <row r="15215" spans="1:5">
      <c r="A15215" t="s">
        <v>6</v>
      </c>
      <c r="B15215" t="s">
        <v>15220</v>
      </c>
      <c r="C15215">
        <f>HYPERLINK("C:\Users\franc\OneDrive\Documentos\MALENTIN KARIME\BANCO ESTADO\2012 DEPTO ESCRITURAS fata\Dc Simples\RESPALDO comp notaria 27_12_12\NOTARIA 2012\SOC. DE HECHO\PROTESTOS\UPV\PATRICIA MARGOT LEDEZMA.doc", "Abrir Documento")</f>
        <v>0</v>
      </c>
      <c r="D15215" t="s">
        <v>23500</v>
      </c>
      <c r="E15215" t="s">
        <v>37690</v>
      </c>
    </row>
    <row r="15216" spans="1:5">
      <c r="A15216" t="s">
        <v>6</v>
      </c>
      <c r="B15216" t="s">
        <v>15221</v>
      </c>
      <c r="C15216">
        <f>HYPERLINK("C:\Users\franc\OneDrive\Documentos\MALENTIN KARIME\BANCO ESTADO\2012 DEPTO ESCRITURAS fata\Dc Simples\RESPALDO comp notaria 27_12_12\NOTARIA 2012\SOC. DE HECHO\PROTESTOS\UPV\PATRICIA CATALAN.doc", "Abrir Documento")</f>
        <v>0</v>
      </c>
      <c r="D15216" t="s">
        <v>23500</v>
      </c>
      <c r="E15216" t="s">
        <v>37691</v>
      </c>
    </row>
    <row r="15217" spans="1:5">
      <c r="A15217" t="s">
        <v>6</v>
      </c>
      <c r="B15217" t="s">
        <v>15222</v>
      </c>
      <c r="C15217">
        <f>HYPERLINK("C:\Users\franc\OneDrive\Documentos\MALENTIN KARIME\BANCO ESTADO\2012 DEPTO ESCRITURAS fata\Dc Simples\RESPALDO comp notaria 27_12_12\NOTARIA 2012\SOC. DE HECHO\PROTESTOS\UPV\PAOLA VIVIANA GARCIA PEÑA.doc", "Abrir Documento")</f>
        <v>0</v>
      </c>
      <c r="D15217" t="s">
        <v>23500</v>
      </c>
      <c r="E15217" t="s">
        <v>37692</v>
      </c>
    </row>
    <row r="15218" spans="1:5">
      <c r="A15218" t="s">
        <v>6</v>
      </c>
      <c r="B15218" t="s">
        <v>15223</v>
      </c>
      <c r="C15218">
        <f>HYPERLINK("C:\Users\franc\OneDrive\Documentos\MALENTIN KARIME\BANCO ESTADO\2012 DEPTO ESCRITURAS fata\Dc Simples\RESPALDO comp notaria 27_12_12\NOTARIA 2012\SOC. DE HECHO\PROTESTOS\UPV\PAOLA ALFARO.doc", "Abrir Documento")</f>
        <v>0</v>
      </c>
      <c r="D15218" t="s">
        <v>23500</v>
      </c>
      <c r="E15218" t="s">
        <v>37693</v>
      </c>
    </row>
    <row r="15219" spans="1:5">
      <c r="A15219" t="s">
        <v>6</v>
      </c>
      <c r="B15219" t="s">
        <v>15224</v>
      </c>
      <c r="C15219">
        <f>HYPERLINK("C:\Users\franc\OneDrive\Documentos\MALENTIN KARIME\BANCO ESTADO\2012 DEPTO ESCRITURAS fata\Dc Simples\RESPALDO comp notaria 27_12_12\NOTARIA 2012\SOC. DE HECHO\PROTESTOS\UPV\OLGA DIAZ CASTILLO.doc", "Abrir Documento")</f>
        <v>0</v>
      </c>
      <c r="D15219" t="s">
        <v>23500</v>
      </c>
      <c r="E15219" t="s">
        <v>37694</v>
      </c>
    </row>
    <row r="15220" spans="1:5">
      <c r="A15220" t="s">
        <v>6</v>
      </c>
      <c r="B15220" t="s">
        <v>15225</v>
      </c>
      <c r="C15220">
        <f>HYPERLINK("C:\Users\franc\OneDrive\Documentos\MALENTIN KARIME\BANCO ESTADO\2012 DEPTO ESCRITURAS fata\Dc Simples\RESPALDO comp notaria 27_12_12\NOTARIA 2012\SOC. DE HECHO\PROTESTOS\UPV\OLGA ARANCIBIA.doc", "Abrir Documento")</f>
        <v>0</v>
      </c>
      <c r="D15220" t="s">
        <v>23500</v>
      </c>
      <c r="E15220" t="s">
        <v>37695</v>
      </c>
    </row>
    <row r="15221" spans="1:5">
      <c r="A15221" t="s">
        <v>6</v>
      </c>
      <c r="B15221" t="s">
        <v>15226</v>
      </c>
      <c r="C15221">
        <f>HYPERLINK("C:\Users\franc\OneDrive\Documentos\MALENTIN KARIME\BANCO ESTADO\2012 DEPTO ESCRITURAS fata\Dc Simples\RESPALDO comp notaria 27_12_12\NOTARIA 2012\SOC. DE HECHO\PROTESTOS\UPV\NORMA ALVAREZ OLIVARES.doc", "Abrir Documento")</f>
        <v>0</v>
      </c>
      <c r="D15221" t="s">
        <v>23500</v>
      </c>
      <c r="E15221" t="s">
        <v>37696</v>
      </c>
    </row>
    <row r="15222" spans="1:5">
      <c r="A15222" t="s">
        <v>6</v>
      </c>
      <c r="B15222" t="s">
        <v>15227</v>
      </c>
      <c r="C15222">
        <f>HYPERLINK("C:\Users\franc\OneDrive\Documentos\MALENTIN KARIME\BANCO ESTADO\2012 DEPTO ESCRITURAS fata\Dc Simples\RESPALDO comp notaria 27_12_12\NOTARIA 2012\SOC. DE HECHO\PROTESTOS\UPV\NILDA LOPEZ.doc", "Abrir Documento")</f>
        <v>0</v>
      </c>
      <c r="D15222" t="s">
        <v>23500</v>
      </c>
      <c r="E15222" t="s">
        <v>37697</v>
      </c>
    </row>
    <row r="15223" spans="1:5">
      <c r="A15223" t="s">
        <v>6</v>
      </c>
      <c r="B15223" t="s">
        <v>15228</v>
      </c>
      <c r="C15223">
        <f>HYPERLINK("C:\Users\franc\OneDrive\Documentos\MALENTIN KARIME\BANCO ESTADO\2012 DEPTO ESCRITURAS fata\Dc Simples\RESPALDO comp notaria 27_12_12\NOTARIA 2012\SOC. DE HECHO\PROTESTOS\UPV\NICOLAS CAÑETE VALDIVIA.doc", "Abrir Documento")</f>
        <v>0</v>
      </c>
      <c r="D15223" t="s">
        <v>23500</v>
      </c>
      <c r="E15223" t="s">
        <v>37698</v>
      </c>
    </row>
    <row r="15224" spans="1:5">
      <c r="A15224" t="s">
        <v>6</v>
      </c>
      <c r="B15224" t="s">
        <v>15229</v>
      </c>
      <c r="C15224">
        <f>HYPERLINK("C:\Users\franc\OneDrive\Documentos\MALENTIN KARIME\BANCO ESTADO\2012 DEPTO ESCRITURAS fata\Dc Simples\RESPALDO comp notaria 27_12_12\NOTARIA 2012\SOC. DE HECHO\PROTESTOS\UPV\MONICA PEREZ CHAZARRO.doc", "Abrir Documento")</f>
        <v>0</v>
      </c>
      <c r="D15224" t="s">
        <v>23500</v>
      </c>
      <c r="E15224" t="s">
        <v>37699</v>
      </c>
    </row>
    <row r="15225" spans="1:5">
      <c r="A15225" t="s">
        <v>6</v>
      </c>
      <c r="B15225" t="s">
        <v>15230</v>
      </c>
      <c r="C15225">
        <f>HYPERLINK("C:\Users\franc\OneDrive\Documentos\MALENTIN KARIME\BANCO ESTADO\2012 DEPTO ESCRITURAS fata\Dc Simples\RESPALDO comp notaria 27_12_12\NOTARIA 2012\SOC. DE HECHO\PROTESTOS\UPV\MIRIAM CERDA ARAYA.doc", "Abrir Documento")</f>
        <v>0</v>
      </c>
      <c r="D15225" t="s">
        <v>23500</v>
      </c>
      <c r="E15225" t="s">
        <v>37700</v>
      </c>
    </row>
    <row r="15226" spans="1:5">
      <c r="A15226" t="s">
        <v>6</v>
      </c>
      <c r="B15226" t="s">
        <v>15231</v>
      </c>
      <c r="C15226">
        <f>HYPERLINK("C:\Users\franc\OneDrive\Documentos\MALENTIN KARIME\BANCO ESTADO\2012 DEPTO ESCRITURAS fata\Dc Simples\RESPALDO comp notaria 27_12_12\NOTARIA 2012\SOC. DE HECHO\PROTESTOS\UPV\MIGUEL MAIRA.doc", "Abrir Documento")</f>
        <v>0</v>
      </c>
      <c r="D15226" t="s">
        <v>23500</v>
      </c>
      <c r="E15226" t="s">
        <v>37701</v>
      </c>
    </row>
    <row r="15227" spans="1:5">
      <c r="A15227" t="s">
        <v>6</v>
      </c>
      <c r="B15227" t="s">
        <v>15232</v>
      </c>
      <c r="C15227">
        <f>HYPERLINK("C:\Users\franc\OneDrive\Documentos\MALENTIN KARIME\BANCO ESTADO\2012 DEPTO ESCRITURAS fata\Dc Simples\RESPALDO comp notaria 27_12_12\NOTARIA 2012\SOC. DE HECHO\PROTESTOS\UPV\MIGUEL GRANDON VEGA.doc", "Abrir Documento")</f>
        <v>0</v>
      </c>
      <c r="D15227" t="s">
        <v>23500</v>
      </c>
      <c r="E15227" t="s">
        <v>37702</v>
      </c>
    </row>
    <row r="15228" spans="1:5">
      <c r="A15228" t="s">
        <v>6</v>
      </c>
      <c r="B15228" t="s">
        <v>15233</v>
      </c>
      <c r="C15228">
        <f>HYPERLINK("C:\Users\franc\OneDrive\Documentos\MALENTIN KARIME\BANCO ESTADO\2012 DEPTO ESCRITURAS fata\Dc Simples\RESPALDO comp notaria 27_12_12\NOTARIA 2012\SOC. DE HECHO\PROTESTOS\UPV\MIGUEL ADONES ORREGO.doc", "Abrir Documento")</f>
        <v>0</v>
      </c>
      <c r="D15228" t="s">
        <v>23500</v>
      </c>
      <c r="E15228" t="s">
        <v>37703</v>
      </c>
    </row>
    <row r="15229" spans="1:5">
      <c r="A15229" t="s">
        <v>6</v>
      </c>
      <c r="B15229" t="s">
        <v>15234</v>
      </c>
      <c r="C15229">
        <f>HYPERLINK("C:\Users\franc\OneDrive\Documentos\MALENTIN KARIME\BANCO ESTADO\2012 DEPTO ESCRITURAS fata\Dc Simples\RESPALDO comp notaria 27_12_12\NOTARIA 2012\SOC. DE HECHO\PROTESTOS\UPV\MICHAEL OJEDA DIAZ.doc", "Abrir Documento")</f>
        <v>0</v>
      </c>
      <c r="D15229" t="s">
        <v>23500</v>
      </c>
      <c r="E15229" t="s">
        <v>37704</v>
      </c>
    </row>
    <row r="15230" spans="1:5">
      <c r="A15230" t="s">
        <v>6</v>
      </c>
      <c r="B15230" t="s">
        <v>15235</v>
      </c>
      <c r="C15230">
        <f>HYPERLINK("C:\Users\franc\OneDrive\Documentos\MALENTIN KARIME\BANCO ESTADO\2012 DEPTO ESCRITURAS fata\Dc Simples\RESPALDO comp notaria 27_12_12\NOTARIA 2012\SOC. DE HECHO\PROTESTOS\UPV\MAYKOL PACHECO.doc", "Abrir Documento")</f>
        <v>0</v>
      </c>
      <c r="D15230" t="s">
        <v>23500</v>
      </c>
      <c r="E15230" t="s">
        <v>37705</v>
      </c>
    </row>
    <row r="15231" spans="1:5">
      <c r="A15231" t="s">
        <v>6</v>
      </c>
      <c r="B15231" t="s">
        <v>15236</v>
      </c>
      <c r="C15231">
        <f>HYPERLINK("C:\Users\franc\OneDrive\Documentos\MALENTIN KARIME\BANCO ESTADO\2012 DEPTO ESCRITURAS fata\Dc Simples\RESPALDO comp notaria 27_12_12\NOTARIA 2012\SOC. DE HECHO\PROTESTOS\UPV\MAURO ARACENA.doc", "Abrir Documento")</f>
        <v>0</v>
      </c>
      <c r="D15231" t="s">
        <v>23500</v>
      </c>
      <c r="E15231" t="s">
        <v>37706</v>
      </c>
    </row>
    <row r="15232" spans="1:5">
      <c r="A15232" t="s">
        <v>6</v>
      </c>
      <c r="B15232" t="s">
        <v>15237</v>
      </c>
      <c r="C15232">
        <f>HYPERLINK("C:\Users\franc\OneDrive\Documentos\MALENTIN KARIME\BANCO ESTADO\2012 DEPTO ESCRITURAS fata\Dc Simples\RESPALDO comp notaria 27_12_12\NOTARIA 2012\SOC. DE HECHO\PROTESTOS\UPV\MAURICIO JULIO GONZALEZ.doc", "Abrir Documento")</f>
        <v>0</v>
      </c>
      <c r="D15232" t="s">
        <v>23500</v>
      </c>
      <c r="E15232" t="s">
        <v>37707</v>
      </c>
    </row>
    <row r="15233" spans="1:5">
      <c r="A15233" t="s">
        <v>6</v>
      </c>
      <c r="B15233" t="s">
        <v>15238</v>
      </c>
      <c r="C15233">
        <f>HYPERLINK("C:\Users\franc\OneDrive\Documentos\MALENTIN KARIME\BANCO ESTADO\2012 DEPTO ESCRITURAS fata\Dc Simples\RESPALDO comp notaria 27_12_12\NOTARIA 2012\SOC. DE HECHO\PROTESTOS\UPV\MARJORIE ARAYA ROBLES.doc", "Abrir Documento")</f>
        <v>0</v>
      </c>
      <c r="D15233" t="s">
        <v>23500</v>
      </c>
      <c r="E15233" t="s">
        <v>37708</v>
      </c>
    </row>
    <row r="15234" spans="1:5">
      <c r="A15234" t="s">
        <v>6</v>
      </c>
      <c r="B15234" t="s">
        <v>15239</v>
      </c>
      <c r="C15234">
        <f>HYPERLINK("C:\Users\franc\OneDrive\Documentos\MALENTIN KARIME\BANCO ESTADO\2012 DEPTO ESCRITURAS fata\Dc Simples\RESPALDO comp notaria 27_12_12\NOTARIA 2012\SOC. DE HECHO\PROTESTOS\UPV\MARISOL GONZALEZ.doc", "Abrir Documento")</f>
        <v>0</v>
      </c>
      <c r="D15234" t="s">
        <v>23500</v>
      </c>
      <c r="E15234" t="s">
        <v>37709</v>
      </c>
    </row>
    <row r="15235" spans="1:5">
      <c r="A15235" t="s">
        <v>6</v>
      </c>
      <c r="B15235" t="s">
        <v>15240</v>
      </c>
      <c r="C15235">
        <f>HYPERLINK("C:\Users\franc\OneDrive\Documentos\MALENTIN KARIME\BANCO ESTADO\2012 DEPTO ESCRITURAS fata\Dc Simples\RESPALDO comp notaria 27_12_12\NOTARIA 2012\SOC. DE HECHO\PROTESTOS\UPV\MARIO ARACENA.doc", "Abrir Documento")</f>
        <v>0</v>
      </c>
      <c r="D15235" t="s">
        <v>23500</v>
      </c>
      <c r="E15235" t="s">
        <v>37710</v>
      </c>
    </row>
    <row r="15236" spans="1:5">
      <c r="A15236" t="s">
        <v>6</v>
      </c>
      <c r="B15236" t="s">
        <v>15241</v>
      </c>
      <c r="C15236">
        <f>HYPERLINK("C:\Users\franc\OneDrive\Documentos\MALENTIN KARIME\BANCO ESTADO\2012 DEPTO ESCRITURAS fata\Dc Simples\RESPALDO comp notaria 27_12_12\NOTARIA 2012\SOC. DE HECHO\PROTESTOS\UPV\MARINA BRICEÑO.doc", "Abrir Documento")</f>
        <v>0</v>
      </c>
      <c r="D15236" t="s">
        <v>23500</v>
      </c>
      <c r="E15236" t="s">
        <v>37711</v>
      </c>
    </row>
    <row r="15237" spans="1:5">
      <c r="A15237" t="s">
        <v>6</v>
      </c>
      <c r="B15237" t="s">
        <v>15242</v>
      </c>
      <c r="C15237">
        <f>HYPERLINK("C:\Users\franc\OneDrive\Documentos\MALENTIN KARIME\BANCO ESTADO\2012 DEPTO ESCRITURAS fata\Dc Simples\RESPALDO comp notaria 27_12_12\NOTARIA 2012\SOC. DE HECHO\PROTESTOS\UPV\MARIANELA MONTALVAN.doc", "Abrir Documento")</f>
        <v>0</v>
      </c>
      <c r="D15237" t="s">
        <v>23500</v>
      </c>
      <c r="E15237" t="s">
        <v>37712</v>
      </c>
    </row>
    <row r="15238" spans="1:5">
      <c r="A15238" t="s">
        <v>6</v>
      </c>
      <c r="B15238" t="s">
        <v>15243</v>
      </c>
      <c r="C15238">
        <f>HYPERLINK("C:\Users\franc\OneDrive\Documentos\MALENTIN KARIME\BANCO ESTADO\2012 DEPTO ESCRITURAS fata\Dc Simples\RESPALDO comp notaria 27_12_12\NOTARIA 2012\SOC. DE HECHO\PROTESTOS\UPV\MARIA VERGARA CASTILLO.doc", "Abrir Documento")</f>
        <v>0</v>
      </c>
      <c r="D15238" t="s">
        <v>23500</v>
      </c>
      <c r="E15238" t="s">
        <v>37713</v>
      </c>
    </row>
    <row r="15239" spans="1:5">
      <c r="A15239" t="s">
        <v>6</v>
      </c>
      <c r="B15239" t="s">
        <v>15244</v>
      </c>
      <c r="C15239">
        <f>HYPERLINK("C:\Users\franc\OneDrive\Documentos\MALENTIN KARIME\BANCO ESTADO\2012 DEPTO ESCRITURAS fata\Dc Simples\RESPALDO comp notaria 27_12_12\NOTARIA 2012\SOC. DE HECHO\PROTESTOS\UPV\MARIA VALDIVIA TORREJON.doc", "Abrir Documento")</f>
        <v>0</v>
      </c>
      <c r="D15239" t="s">
        <v>23500</v>
      </c>
      <c r="E15239" t="s">
        <v>37714</v>
      </c>
    </row>
    <row r="15240" spans="1:5">
      <c r="A15240" t="s">
        <v>6</v>
      </c>
      <c r="B15240" t="s">
        <v>15245</v>
      </c>
      <c r="C15240">
        <f>HYPERLINK("C:\Users\franc\OneDrive\Documentos\MALENTIN KARIME\BANCO ESTADO\2012 DEPTO ESCRITURAS fata\Dc Simples\RESPALDO comp notaria 27_12_12\NOTARIA 2012\SOC. DE HECHO\PROTESTOS\UPV\MARIA TORRES.doc", "Abrir Documento")</f>
        <v>0</v>
      </c>
      <c r="D15240" t="s">
        <v>23500</v>
      </c>
      <c r="E15240" t="s">
        <v>37715</v>
      </c>
    </row>
    <row r="15241" spans="1:5">
      <c r="A15241" t="s">
        <v>6</v>
      </c>
      <c r="B15241" t="s">
        <v>15246</v>
      </c>
      <c r="C15241">
        <f>HYPERLINK("C:\Users\franc\OneDrive\Documentos\MALENTIN KARIME\BANCO ESTADO\2012 DEPTO ESCRITURAS fata\Dc Simples\RESPALDO comp notaria 27_12_12\NOTARIA 2012\SOC. DE HECHO\PROTESTOS\UPV\MARIA TELLO FLORES.doc", "Abrir Documento")</f>
        <v>0</v>
      </c>
      <c r="D15241" t="s">
        <v>23500</v>
      </c>
      <c r="E15241" t="s">
        <v>37716</v>
      </c>
    </row>
    <row r="15242" spans="1:5">
      <c r="A15242" t="s">
        <v>6</v>
      </c>
      <c r="B15242" t="s">
        <v>15247</v>
      </c>
      <c r="C15242">
        <f>HYPERLINK("C:\Users\franc\OneDrive\Documentos\MALENTIN KARIME\BANCO ESTADO\2012 DEPTO ESCRITURAS fata\Dc Simples\RESPALDO comp notaria 27_12_12\NOTARIA 2012\SOC. DE HECHO\PROTESTOS\UPV\MARIA PIZARRO CASTILLO.doc", "Abrir Documento")</f>
        <v>0</v>
      </c>
      <c r="D15242" t="s">
        <v>23500</v>
      </c>
      <c r="E15242" t="s">
        <v>37717</v>
      </c>
    </row>
    <row r="15243" spans="1:5">
      <c r="A15243" t="s">
        <v>6</v>
      </c>
      <c r="B15243" t="s">
        <v>15248</v>
      </c>
      <c r="C15243">
        <f>HYPERLINK("C:\Users\franc\OneDrive\Documentos\MALENTIN KARIME\BANCO ESTADO\2012 DEPTO ESCRITURAS fata\Dc Simples\RESPALDO comp notaria 27_12_12\NOTARIA 2012\SOC. DE HECHO\PROTESTOS\UPV\MARIA NAVEA TREVERTON.doc", "Abrir Documento")</f>
        <v>0</v>
      </c>
      <c r="D15243" t="s">
        <v>23500</v>
      </c>
      <c r="E15243" t="s">
        <v>37718</v>
      </c>
    </row>
    <row r="15244" spans="1:5">
      <c r="A15244" t="s">
        <v>6</v>
      </c>
      <c r="B15244" t="s">
        <v>15249</v>
      </c>
      <c r="C15244">
        <f>HYPERLINK("C:\Users\franc\OneDrive\Documentos\MALENTIN KARIME\BANCO ESTADO\2012 DEPTO ESCRITURAS fata\Dc Simples\RESPALDO comp notaria 27_12_12\NOTARIA 2012\SOC. DE HECHO\PROTESTOS\UPV\MARIA LUISA CUELLO ASCUETA.doc", "Abrir Documento")</f>
        <v>0</v>
      </c>
      <c r="D15244" t="s">
        <v>23500</v>
      </c>
      <c r="E15244" t="s">
        <v>37719</v>
      </c>
    </row>
    <row r="15245" spans="1:5">
      <c r="A15245" t="s">
        <v>6</v>
      </c>
      <c r="B15245" t="s">
        <v>15250</v>
      </c>
      <c r="C15245">
        <f>HYPERLINK("C:\Users\franc\OneDrive\Documentos\MALENTIN KARIME\BANCO ESTADO\2012 DEPTO ESCRITURAS fata\Dc Simples\RESPALDO comp notaria 27_12_12\NOTARIA 2012\SOC. DE HECHO\PROTESTOS\UPV\MARIA LEON LUCO.doc", "Abrir Documento")</f>
        <v>0</v>
      </c>
      <c r="D15245" t="s">
        <v>23500</v>
      </c>
      <c r="E15245" t="s">
        <v>37720</v>
      </c>
    </row>
    <row r="15246" spans="1:5">
      <c r="A15246" t="s">
        <v>6</v>
      </c>
      <c r="B15246" t="s">
        <v>15251</v>
      </c>
      <c r="C15246">
        <f>HYPERLINK("C:\Users\franc\OneDrive\Documentos\MALENTIN KARIME\BANCO ESTADO\2012 DEPTO ESCRITURAS fata\Dc Simples\RESPALDO comp notaria 27_12_12\NOTARIA 2012\SOC. DE HECHO\PROTESTOS\UPV\MARIA FRANCO FLORES.doc", "Abrir Documento")</f>
        <v>0</v>
      </c>
      <c r="D15246" t="s">
        <v>23500</v>
      </c>
      <c r="E15246" t="s">
        <v>37721</v>
      </c>
    </row>
    <row r="15247" spans="1:5">
      <c r="A15247" t="s">
        <v>6</v>
      </c>
      <c r="B15247" t="s">
        <v>15252</v>
      </c>
      <c r="C15247">
        <f>HYPERLINK("C:\Users\franc\OneDrive\Documentos\MALENTIN KARIME\BANCO ESTADO\2012 DEPTO ESCRITURAS fata\Dc Simples\RESPALDO comp notaria 27_12_12\NOTARIA 2012\SOC. DE HECHO\PROTESTOS\UPV\MARIA ELVIRA CORTES.doc", "Abrir Documento")</f>
        <v>0</v>
      </c>
      <c r="D15247" t="s">
        <v>23500</v>
      </c>
      <c r="E15247" t="s">
        <v>37722</v>
      </c>
    </row>
    <row r="15248" spans="1:5">
      <c r="A15248" t="s">
        <v>6</v>
      </c>
      <c r="B15248" t="s">
        <v>15253</v>
      </c>
      <c r="C15248">
        <f>HYPERLINK("C:\Users\franc\OneDrive\Documentos\MALENTIN KARIME\BANCO ESTADO\2012 DEPTO ESCRITURAS fata\Dc Simples\RESPALDO comp notaria 27_12_12\NOTARIA 2012\SOC. DE HECHO\PROTESTOS\UPV\MARIA DE LA PAZ.doc", "Abrir Documento")</f>
        <v>0</v>
      </c>
      <c r="D15248" t="s">
        <v>23500</v>
      </c>
      <c r="E15248" t="s">
        <v>37723</v>
      </c>
    </row>
    <row r="15249" spans="1:5">
      <c r="A15249" t="s">
        <v>6</v>
      </c>
      <c r="B15249" t="s">
        <v>15254</v>
      </c>
      <c r="C15249">
        <f>HYPERLINK("C:\Users\franc\OneDrive\Documentos\MALENTIN KARIME\BANCO ESTADO\2012 DEPTO ESCRITURAS fata\Dc Simples\RESPALDO comp notaria 27_12_12\NOTARIA 2012\SOC. DE HECHO\PROTESTOS\UPV\MARIA CORTES TAPIA.doc", "Abrir Documento")</f>
        <v>0</v>
      </c>
      <c r="D15249" t="s">
        <v>23500</v>
      </c>
      <c r="E15249" t="s">
        <v>37724</v>
      </c>
    </row>
    <row r="15250" spans="1:5">
      <c r="A15250" t="s">
        <v>6</v>
      </c>
      <c r="B15250" t="s">
        <v>15255</v>
      </c>
      <c r="C15250">
        <f>HYPERLINK("C:\Users\franc\OneDrive\Documentos\MALENTIN KARIME\BANCO ESTADO\2012 DEPTO ESCRITURAS fata\Dc Simples\RESPALDO comp notaria 27_12_12\NOTARIA 2012\SOC. DE HECHO\PROTESTOS\UPV\MARIA ANGELICA PIZARRO.doc", "Abrir Documento")</f>
        <v>0</v>
      </c>
      <c r="D15250" t="s">
        <v>23500</v>
      </c>
      <c r="E15250" t="s">
        <v>37725</v>
      </c>
    </row>
    <row r="15251" spans="1:5">
      <c r="A15251" t="s">
        <v>6</v>
      </c>
      <c r="B15251" t="s">
        <v>15256</v>
      </c>
      <c r="C15251">
        <f>HYPERLINK("C:\Users\franc\OneDrive\Documentos\MALENTIN KARIME\BANCO ESTADO\2012 DEPTO ESCRITURAS fata\Dc Simples\RESPALDO comp notaria 27_12_12\NOTARIA 2012\SOC. DE HECHO\PROTESTOS\UPV\MARCELA SEGOVIA IBARRA.doc", "Abrir Documento")</f>
        <v>0</v>
      </c>
      <c r="D15251" t="s">
        <v>23500</v>
      </c>
      <c r="E15251" t="s">
        <v>37726</v>
      </c>
    </row>
    <row r="15252" spans="1:5">
      <c r="A15252" t="s">
        <v>6</v>
      </c>
      <c r="B15252" t="s">
        <v>15257</v>
      </c>
      <c r="C15252">
        <f>HYPERLINK("C:\Users\franc\OneDrive\Documentos\MALENTIN KARIME\BANCO ESTADO\2012 DEPTO ESCRITURAS fata\Dc Simples\RESPALDO comp notaria 27_12_12\NOTARIA 2012\SOC. DE HECHO\PROTESTOS\UPV\MARCELA ORTIZ DIAZ.doc", "Abrir Documento")</f>
        <v>0</v>
      </c>
      <c r="D15252" t="s">
        <v>23500</v>
      </c>
      <c r="E15252" t="s">
        <v>37727</v>
      </c>
    </row>
    <row r="15253" spans="1:5">
      <c r="A15253" t="s">
        <v>6</v>
      </c>
      <c r="B15253" t="s">
        <v>15258</v>
      </c>
      <c r="C15253">
        <f>HYPERLINK("C:\Users\franc\OneDrive\Documentos\MALENTIN KARIME\BANCO ESTADO\2012 DEPTO ESCRITURAS fata\Dc Simples\RESPALDO comp notaria 27_12_12\NOTARIA 2012\SOC. DE HECHO\PROTESTOS\UPV\MARCELA GUARDIA.doc", "Abrir Documento")</f>
        <v>0</v>
      </c>
      <c r="D15253" t="s">
        <v>23500</v>
      </c>
      <c r="E15253" t="s">
        <v>37728</v>
      </c>
    </row>
    <row r="15254" spans="1:5">
      <c r="A15254" t="s">
        <v>6</v>
      </c>
      <c r="B15254" t="s">
        <v>15259</v>
      </c>
      <c r="C15254">
        <f>HYPERLINK("C:\Users\franc\OneDrive\Documentos\MALENTIN KARIME\BANCO ESTADO\2012 DEPTO ESCRITURAS fata\Dc Simples\RESPALDO comp notaria 27_12_12\NOTARIA 2012\SOC. DE HECHO\PROTESTOS\UPV\MANUEL ROBLES PEREZ.doc", "Abrir Documento")</f>
        <v>0</v>
      </c>
      <c r="D15254" t="s">
        <v>23500</v>
      </c>
      <c r="E15254" t="s">
        <v>37729</v>
      </c>
    </row>
    <row r="15255" spans="1:5">
      <c r="A15255" t="s">
        <v>6</v>
      </c>
      <c r="B15255" t="s">
        <v>15260</v>
      </c>
      <c r="C15255">
        <f>HYPERLINK("C:\Users\franc\OneDrive\Documentos\MALENTIN KARIME\BANCO ESTADO\2012 DEPTO ESCRITURAS fata\Dc Simples\RESPALDO comp notaria 27_12_12\NOTARIA 2012\SOC. DE HECHO\PROTESTOS\UPV\MANUEL JOFRE ROJAS.doc", "Abrir Documento")</f>
        <v>0</v>
      </c>
      <c r="D15255" t="s">
        <v>23500</v>
      </c>
      <c r="E15255" t="s">
        <v>37730</v>
      </c>
    </row>
    <row r="15256" spans="1:5">
      <c r="A15256" t="s">
        <v>6</v>
      </c>
      <c r="B15256" t="s">
        <v>15261</v>
      </c>
      <c r="C15256">
        <f>HYPERLINK("C:\Users\franc\OneDrive\Documentos\MALENTIN KARIME\BANCO ESTADO\2012 DEPTO ESCRITURAS fata\Dc Simples\RESPALDO comp notaria 27_12_12\NOTARIA 2012\SOC. DE HECHO\PROTESTOS\UPV\MANUEL FARIAS BARRAZA.doc", "Abrir Documento")</f>
        <v>0</v>
      </c>
      <c r="D15256" t="s">
        <v>23500</v>
      </c>
      <c r="E15256" t="s">
        <v>37731</v>
      </c>
    </row>
    <row r="15257" spans="1:5">
      <c r="A15257" t="s">
        <v>6</v>
      </c>
      <c r="B15257" t="s">
        <v>15262</v>
      </c>
      <c r="C15257">
        <f>HYPERLINK("C:\Users\franc\OneDrive\Documentos\MALENTIN KARIME\BANCO ESTADO\2012 DEPTO ESCRITURAS fata\Dc Simples\RESPALDO comp notaria 27_12_12\NOTARIA 2012\SOC. DE HECHO\PROTESTOS\UPV\MAGDA TAPIA.doc", "Abrir Documento")</f>
        <v>0</v>
      </c>
      <c r="D15257" t="s">
        <v>23500</v>
      </c>
      <c r="E15257" t="s">
        <v>37732</v>
      </c>
    </row>
    <row r="15258" spans="1:5">
      <c r="A15258" t="s">
        <v>6</v>
      </c>
      <c r="B15258" t="s">
        <v>15263</v>
      </c>
      <c r="C15258">
        <f>HYPERLINK("C:\Users\franc\OneDrive\Documentos\MALENTIN KARIME\BANCO ESTADO\2012 DEPTO ESCRITURAS fata\Dc Simples\RESPALDO comp notaria 27_12_12\NOTARIA 2012\SOC. DE HECHO\PROTESTOS\UPV\MAGALY HERBAS.doc", "Abrir Documento")</f>
        <v>0</v>
      </c>
      <c r="D15258" t="s">
        <v>23500</v>
      </c>
      <c r="E15258" t="s">
        <v>37733</v>
      </c>
    </row>
    <row r="15259" spans="1:5">
      <c r="A15259" t="s">
        <v>6</v>
      </c>
      <c r="B15259" t="s">
        <v>15264</v>
      </c>
      <c r="C15259">
        <f>HYPERLINK("C:\Users\franc\OneDrive\Documentos\MALENTIN KARIME\BANCO ESTADO\2012 DEPTO ESCRITURAS fata\Dc Simples\RESPALDO comp notaria 27_12_12\NOTARIA 2012\SOC. DE HECHO\PROTESTOS\UPV\MABEL MUNDACA MICHEA.doc", "Abrir Documento")</f>
        <v>0</v>
      </c>
      <c r="D15259" t="s">
        <v>23500</v>
      </c>
      <c r="E15259" t="s">
        <v>37734</v>
      </c>
    </row>
    <row r="15260" spans="1:5">
      <c r="A15260" t="s">
        <v>6</v>
      </c>
      <c r="B15260" t="s">
        <v>15265</v>
      </c>
      <c r="C15260">
        <f>HYPERLINK("C:\Users\franc\OneDrive\Documentos\MALENTIN KARIME\BANCO ESTADO\2012 DEPTO ESCRITURAS fata\Dc Simples\RESPALDO comp notaria 27_12_12\NOTARIA 2012\SOC. DE HECHO\PROTESTOS\UPV\LUIS RODOLFO TELLO.doc", "Abrir Documento")</f>
        <v>0</v>
      </c>
      <c r="D15260" t="s">
        <v>23500</v>
      </c>
      <c r="E15260" t="s">
        <v>37735</v>
      </c>
    </row>
    <row r="15261" spans="1:5">
      <c r="A15261" t="s">
        <v>6</v>
      </c>
      <c r="B15261" t="s">
        <v>15266</v>
      </c>
      <c r="C15261">
        <f>HYPERLINK("C:\Users\franc\OneDrive\Documentos\MALENTIN KARIME\BANCO ESTADO\2012 DEPTO ESCRITURAS fata\Dc Simples\RESPALDO comp notaria 27_12_12\NOTARIA 2012\SOC. DE HECHO\PROTESTOS\UPV\LUIS OLIVARES RODRIGUEZ.doc", "Abrir Documento")</f>
        <v>0</v>
      </c>
      <c r="D15261" t="s">
        <v>23500</v>
      </c>
      <c r="E15261" t="s">
        <v>37736</v>
      </c>
    </row>
    <row r="15262" spans="1:5">
      <c r="A15262" t="s">
        <v>6</v>
      </c>
      <c r="B15262" t="s">
        <v>15267</v>
      </c>
      <c r="C15262">
        <f>HYPERLINK("C:\Users\franc\OneDrive\Documentos\MALENTIN KARIME\BANCO ESTADO\2012 DEPTO ESCRITURAS fata\Dc Simples\RESPALDO comp notaria 27_12_12\NOTARIA 2012\SOC. DE HECHO\PROTESTOS\UPV\LUIS MUÑOZ.doc", "Abrir Documento")</f>
        <v>0</v>
      </c>
      <c r="D15262" t="s">
        <v>23500</v>
      </c>
      <c r="E15262" t="s">
        <v>37737</v>
      </c>
    </row>
    <row r="15263" spans="1:5">
      <c r="A15263" t="s">
        <v>6</v>
      </c>
      <c r="B15263" t="s">
        <v>15268</v>
      </c>
      <c r="C15263">
        <f>HYPERLINK("C:\Users\franc\OneDrive\Documentos\MALENTIN KARIME\BANCO ESTADO\2012 DEPTO ESCRITURAS fata\Dc Simples\RESPALDO comp notaria 27_12_12\NOTARIA 2012\SOC. DE HECHO\PROTESTOS\UPV\LORETO CORTES.doc", "Abrir Documento")</f>
        <v>0</v>
      </c>
      <c r="D15263" t="s">
        <v>23500</v>
      </c>
      <c r="E15263" t="s">
        <v>37738</v>
      </c>
    </row>
    <row r="15264" spans="1:5">
      <c r="A15264" t="s">
        <v>6</v>
      </c>
      <c r="B15264" t="s">
        <v>15269</v>
      </c>
      <c r="C15264">
        <f>HYPERLINK("C:\Users\franc\OneDrive\Documentos\MALENTIN KARIME\BANCO ESTADO\2012 DEPTO ESCRITURAS fata\Dc Simples\RESPALDO comp notaria 27_12_12\NOTARIA 2012\SOC. DE HECHO\PROTESTOS\UPV\LORENA CEBALLOS.doc", "Abrir Documento")</f>
        <v>0</v>
      </c>
      <c r="D15264" t="s">
        <v>23500</v>
      </c>
      <c r="E15264" t="s">
        <v>37739</v>
      </c>
    </row>
    <row r="15265" spans="1:5">
      <c r="A15265" t="s">
        <v>6</v>
      </c>
      <c r="B15265" t="s">
        <v>15270</v>
      </c>
      <c r="C15265">
        <f>HYPERLINK("C:\Users\franc\OneDrive\Documentos\MALENTIN KARIME\BANCO ESTADO\2012 DEPTO ESCRITURAS fata\Dc Simples\RESPALDO comp notaria 27_12_12\NOTARIA 2012\SOC. DE HECHO\PROTESTOS\UPV\LISETTE DONOSO.doc", "Abrir Documento")</f>
        <v>0</v>
      </c>
      <c r="D15265" t="s">
        <v>23500</v>
      </c>
      <c r="E15265" t="s">
        <v>37740</v>
      </c>
    </row>
    <row r="15266" spans="1:5">
      <c r="A15266" t="s">
        <v>6</v>
      </c>
      <c r="B15266" t="s">
        <v>15271</v>
      </c>
      <c r="C15266">
        <f>HYPERLINK("C:\Users\franc\OneDrive\Documentos\MALENTIN KARIME\BANCO ESTADO\2012 DEPTO ESCRITURAS fata\Dc Simples\RESPALDO comp notaria 27_12_12\NOTARIA 2012\SOC. DE HECHO\PROTESTOS\UPV\LEYLA OVALLE.doc", "Abrir Documento")</f>
        <v>0</v>
      </c>
      <c r="D15266" t="s">
        <v>23500</v>
      </c>
      <c r="E15266" t="s">
        <v>37741</v>
      </c>
    </row>
    <row r="15267" spans="1:5">
      <c r="A15267" t="s">
        <v>6</v>
      </c>
      <c r="B15267" t="s">
        <v>15272</v>
      </c>
      <c r="C15267">
        <f>HYPERLINK("C:\Users\franc\OneDrive\Documentos\MALENTIN KARIME\BANCO ESTADO\2012 DEPTO ESCRITURAS fata\Dc Simples\RESPALDO comp notaria 27_12_12\NOTARIA 2012\SOC. DE HECHO\PROTESTOS\UPV\KATTYA TABILO.doc", "Abrir Documento")</f>
        <v>0</v>
      </c>
      <c r="D15267" t="s">
        <v>23500</v>
      </c>
      <c r="E15267" t="s">
        <v>37742</v>
      </c>
    </row>
    <row r="15268" spans="1:5">
      <c r="A15268" t="s">
        <v>6</v>
      </c>
      <c r="B15268" t="s">
        <v>15273</v>
      </c>
      <c r="C15268">
        <f>HYPERLINK("C:\Users\franc\OneDrive\Documentos\MALENTIN KARIME\BANCO ESTADO\2012 DEPTO ESCRITURAS fata\Dc Simples\RESPALDO comp notaria 27_12_12\NOTARIA 2012\SOC. DE HECHO\PROTESTOS\UPV\KATHERINE VASQUEZ.doc", "Abrir Documento")</f>
        <v>0</v>
      </c>
      <c r="D15268" t="s">
        <v>23500</v>
      </c>
      <c r="E15268" t="s">
        <v>37743</v>
      </c>
    </row>
    <row r="15269" spans="1:5">
      <c r="A15269" t="s">
        <v>6</v>
      </c>
      <c r="B15269" t="s">
        <v>15274</v>
      </c>
      <c r="C15269">
        <f>HYPERLINK("C:\Users\franc\OneDrive\Documentos\MALENTIN KARIME\BANCO ESTADO\2012 DEPTO ESCRITURAS fata\Dc Simples\RESPALDO comp notaria 27_12_12\NOTARIA 2012\SOC. DE HECHO\PROTESTOS\UPV\KATHERINE ROJAS.doc", "Abrir Documento")</f>
        <v>0</v>
      </c>
      <c r="D15269" t="s">
        <v>23500</v>
      </c>
      <c r="E15269" t="s">
        <v>37744</v>
      </c>
    </row>
    <row r="15270" spans="1:5">
      <c r="A15270" t="s">
        <v>6</v>
      </c>
      <c r="B15270" t="s">
        <v>15275</v>
      </c>
      <c r="C15270">
        <f>HYPERLINK("C:\Users\franc\OneDrive\Documentos\MALENTIN KARIME\BANCO ESTADO\2012 DEPTO ESCRITURAS fata\Dc Simples\RESPALDO comp notaria 27_12_12\NOTARIA 2012\SOC. DE HECHO\PROTESTOS\UPV\KAROLA ALFARO ARAYA.doc", "Abrir Documento")</f>
        <v>0</v>
      </c>
      <c r="D15270" t="s">
        <v>23500</v>
      </c>
      <c r="E15270" t="s">
        <v>37745</v>
      </c>
    </row>
    <row r="15271" spans="1:5">
      <c r="A15271" t="s">
        <v>6</v>
      </c>
      <c r="B15271" t="s">
        <v>15276</v>
      </c>
      <c r="C15271">
        <f>HYPERLINK("C:\Users\franc\OneDrive\Documentos\MALENTIN KARIME\BANCO ESTADO\2012 DEPTO ESCRITURAS fata\Dc Simples\RESPALDO comp notaria 27_12_12\NOTARIA 2012\SOC. DE HECHO\PROTESTOS\UPV\KAROL JORQUERA.doc", "Abrir Documento")</f>
        <v>0</v>
      </c>
      <c r="D15271" t="s">
        <v>23500</v>
      </c>
      <c r="E15271" t="s">
        <v>37746</v>
      </c>
    </row>
    <row r="15272" spans="1:5">
      <c r="A15272" t="s">
        <v>6</v>
      </c>
      <c r="B15272" t="s">
        <v>15277</v>
      </c>
      <c r="C15272">
        <f>HYPERLINK("C:\Users\franc\OneDrive\Documentos\MALENTIN KARIME\BANCO ESTADO\2012 DEPTO ESCRITURAS fata\Dc Simples\RESPALDO comp notaria 27_12_12\NOTARIA 2012\SOC. DE HECHO\PROTESTOS\UPV\JULY CASTRO HONORES.doc", "Abrir Documento")</f>
        <v>0</v>
      </c>
      <c r="D15272" t="s">
        <v>23500</v>
      </c>
      <c r="E15272" t="s">
        <v>37747</v>
      </c>
    </row>
    <row r="15273" spans="1:5">
      <c r="A15273" t="s">
        <v>6</v>
      </c>
      <c r="B15273" t="s">
        <v>15278</v>
      </c>
      <c r="C15273">
        <f>HYPERLINK("C:\Users\franc\OneDrive\Documentos\MALENTIN KARIME\BANCO ESTADO\2012 DEPTO ESCRITURAS fata\Dc Simples\RESPALDO comp notaria 27_12_12\NOTARIA 2012\SOC. DE HECHO\PROTESTOS\UPV\JULIA CASTILLO.doc", "Abrir Documento")</f>
        <v>0</v>
      </c>
      <c r="D15273" t="s">
        <v>23500</v>
      </c>
      <c r="E15273" t="s">
        <v>37748</v>
      </c>
    </row>
    <row r="15274" spans="1:5">
      <c r="A15274" t="s">
        <v>6</v>
      </c>
      <c r="B15274" t="s">
        <v>15279</v>
      </c>
      <c r="C15274">
        <f>HYPERLINK("C:\Users\franc\OneDrive\Documentos\MALENTIN KARIME\BANCO ESTADO\2012 DEPTO ESCRITURAS fata\Dc Simples\RESPALDO comp notaria 27_12_12\NOTARIA 2012\SOC. DE HECHO\PROTESTOS\UPV\JUAN NARVAEZ BARAHONA.doc", "Abrir Documento")</f>
        <v>0</v>
      </c>
      <c r="D15274" t="s">
        <v>23500</v>
      </c>
      <c r="E15274" t="s">
        <v>37749</v>
      </c>
    </row>
    <row r="15275" spans="1:5">
      <c r="A15275" t="s">
        <v>6</v>
      </c>
      <c r="B15275" t="s">
        <v>15280</v>
      </c>
      <c r="C15275">
        <f>HYPERLINK("C:\Users\franc\OneDrive\Documentos\MALENTIN KARIME\BANCO ESTADO\2012 DEPTO ESCRITURAS fata\Dc Simples\RESPALDO comp notaria 27_12_12\NOTARIA 2012\SOC. DE HECHO\PROTESTOS\UPV\JOSE SALGADO.doc", "Abrir Documento")</f>
        <v>0</v>
      </c>
      <c r="D15275" t="s">
        <v>23500</v>
      </c>
      <c r="E15275" t="s">
        <v>37750</v>
      </c>
    </row>
    <row r="15276" spans="1:5">
      <c r="A15276" t="s">
        <v>6</v>
      </c>
      <c r="B15276" t="s">
        <v>15281</v>
      </c>
      <c r="C15276">
        <f>HYPERLINK("C:\Users\franc\OneDrive\Documentos\MALENTIN KARIME\BANCO ESTADO\2012 DEPTO ESCRITURAS fata\Dc Simples\RESPALDO comp notaria 27_12_12\NOTARIA 2012\SOC. DE HECHO\PROTESTOS\UPV\JOSE JULIA.doc", "Abrir Documento")</f>
        <v>0</v>
      </c>
      <c r="D15276" t="s">
        <v>23500</v>
      </c>
      <c r="E15276" t="s">
        <v>37751</v>
      </c>
    </row>
    <row r="15277" spans="1:5">
      <c r="A15277" t="s">
        <v>6</v>
      </c>
      <c r="B15277" t="s">
        <v>15282</v>
      </c>
      <c r="C15277">
        <f>HYPERLINK("C:\Users\franc\OneDrive\Documentos\MALENTIN KARIME\BANCO ESTADO\2012 DEPTO ESCRITURAS fata\Dc Simples\RESPALDO comp notaria 27_12_12\NOTARIA 2012\SOC. DE HECHO\PROTESTOS\UPV\JORGE ROGELIO AVILEZ.doc", "Abrir Documento")</f>
        <v>0</v>
      </c>
      <c r="D15277" t="s">
        <v>23500</v>
      </c>
      <c r="E15277" t="s">
        <v>37752</v>
      </c>
    </row>
    <row r="15278" spans="1:5">
      <c r="A15278" t="s">
        <v>6</v>
      </c>
      <c r="B15278" t="s">
        <v>15283</v>
      </c>
      <c r="C15278">
        <f>HYPERLINK("C:\Users\franc\OneDrive\Documentos\MALENTIN KARIME\BANCO ESTADO\2012 DEPTO ESCRITURAS fata\Dc Simples\RESPALDO comp notaria 27_12_12\NOTARIA 2012\SOC. DE HECHO\PROTESTOS\UPV\JORGE CORTES.doc", "Abrir Documento")</f>
        <v>0</v>
      </c>
      <c r="D15278" t="s">
        <v>23500</v>
      </c>
      <c r="E15278" t="s">
        <v>37753</v>
      </c>
    </row>
    <row r="15279" spans="1:5">
      <c r="A15279" t="s">
        <v>6</v>
      </c>
      <c r="B15279" t="s">
        <v>15284</v>
      </c>
      <c r="C15279">
        <f>HYPERLINK("C:\Users\franc\OneDrive\Documentos\MALENTIN KARIME\BANCO ESTADO\2012 DEPTO ESCRITURAS fata\Dc Simples\RESPALDO comp notaria 27_12_12\NOTARIA 2012\SOC. DE HECHO\PROTESTOS\UPV\JONATHAN GUTIERREZ.doc", "Abrir Documento")</f>
        <v>0</v>
      </c>
      <c r="D15279" t="s">
        <v>23500</v>
      </c>
      <c r="E15279" t="s">
        <v>37754</v>
      </c>
    </row>
    <row r="15280" spans="1:5">
      <c r="A15280" t="s">
        <v>6</v>
      </c>
      <c r="B15280" t="s">
        <v>15285</v>
      </c>
      <c r="C15280">
        <f>HYPERLINK("C:\Users\franc\OneDrive\Documentos\MALENTIN KARIME\BANCO ESTADO\2012 DEPTO ESCRITURAS fata\Dc Simples\RESPALDO comp notaria 27_12_12\NOTARIA 2012\SOC. DE HECHO\PROTESTOS\UPV\JOHANNA PIZARRO.doc", "Abrir Documento")</f>
        <v>0</v>
      </c>
      <c r="D15280" t="s">
        <v>23500</v>
      </c>
      <c r="E15280" t="s">
        <v>37755</v>
      </c>
    </row>
    <row r="15281" spans="1:5">
      <c r="A15281" t="s">
        <v>6</v>
      </c>
      <c r="B15281" t="s">
        <v>15286</v>
      </c>
      <c r="C15281">
        <f>HYPERLINK("C:\Users\franc\OneDrive\Documentos\MALENTIN KARIME\BANCO ESTADO\2012 DEPTO ESCRITURAS fata\Dc Simples\RESPALDO comp notaria 27_12_12\NOTARIA 2012\SOC. DE HECHO\PROTESTOS\UPV\JOEL CAMPUSANO.doc", "Abrir Documento")</f>
        <v>0</v>
      </c>
      <c r="D15281" t="s">
        <v>23500</v>
      </c>
      <c r="E15281" t="s">
        <v>37756</v>
      </c>
    </row>
    <row r="15282" spans="1:5">
      <c r="A15282" t="s">
        <v>6</v>
      </c>
      <c r="B15282" t="s">
        <v>15287</v>
      </c>
      <c r="C15282">
        <f>HYPERLINK("C:\Users\franc\OneDrive\Documentos\MALENTIN KARIME\BANCO ESTADO\2012 DEPTO ESCRITURAS fata\Dc Simples\RESPALDO comp notaria 27_12_12\NOTARIA 2012\SOC. DE HECHO\PROTESTOS\UPV\JOCELYN NAVARRO CASTILLO.doc", "Abrir Documento")</f>
        <v>0</v>
      </c>
      <c r="D15282" t="s">
        <v>23500</v>
      </c>
      <c r="E15282" t="s">
        <v>37757</v>
      </c>
    </row>
    <row r="15283" spans="1:5">
      <c r="A15283" t="s">
        <v>6</v>
      </c>
      <c r="B15283" t="s">
        <v>15288</v>
      </c>
      <c r="C15283">
        <f>HYPERLINK("C:\Users\franc\OneDrive\Documentos\MALENTIN KARIME\BANCO ESTADO\2012 DEPTO ESCRITURAS fata\Dc Simples\RESPALDO comp notaria 27_12_12\NOTARIA 2012\SOC. DE HECHO\PROTESTOS\UPV\JOCELYN IRIGOYEN CORTES.doc", "Abrir Documento")</f>
        <v>0</v>
      </c>
      <c r="D15283" t="s">
        <v>23500</v>
      </c>
      <c r="E15283" t="s">
        <v>37758</v>
      </c>
    </row>
    <row r="15284" spans="1:5">
      <c r="A15284" t="s">
        <v>6</v>
      </c>
      <c r="B15284" t="s">
        <v>15289</v>
      </c>
      <c r="C15284">
        <f>HYPERLINK("C:\Users\franc\OneDrive\Documentos\MALENTIN KARIME\BANCO ESTADO\2012 DEPTO ESCRITURAS fata\Dc Simples\RESPALDO comp notaria 27_12_12\NOTARIA 2012\SOC. DE HECHO\PROTESTOS\UPV\JOAQUIN MONTERO.doc", "Abrir Documento")</f>
        <v>0</v>
      </c>
      <c r="D15284" t="s">
        <v>23500</v>
      </c>
      <c r="E15284" t="s">
        <v>37759</v>
      </c>
    </row>
    <row r="15285" spans="1:5">
      <c r="A15285" t="s">
        <v>6</v>
      </c>
      <c r="B15285" t="s">
        <v>15290</v>
      </c>
      <c r="C15285">
        <f>HYPERLINK("C:\Users\franc\OneDrive\Documentos\MALENTIN KARIME\BANCO ESTADO\2012 DEPTO ESCRITURAS fata\Dc Simples\RESPALDO comp notaria 27_12_12\NOTARIA 2012\SOC. DE HECHO\PROTESTOS\UPV\JIMENA ZEPEDA FUENTES.doc", "Abrir Documento")</f>
        <v>0</v>
      </c>
      <c r="D15285" t="s">
        <v>23500</v>
      </c>
      <c r="E15285" t="s">
        <v>37760</v>
      </c>
    </row>
    <row r="15286" spans="1:5">
      <c r="A15286" t="s">
        <v>6</v>
      </c>
      <c r="B15286" t="s">
        <v>15291</v>
      </c>
      <c r="C15286">
        <f>HYPERLINK("C:\Users\franc\OneDrive\Documentos\MALENTIN KARIME\BANCO ESTADO\2012 DEPTO ESCRITURAS fata\Dc Simples\RESPALDO comp notaria 27_12_12\NOTARIA 2012\SOC. DE HECHO\PROTESTOS\UPV\JESSICA CARVAJAL.doc", "Abrir Documento")</f>
        <v>0</v>
      </c>
      <c r="D15286" t="s">
        <v>23500</v>
      </c>
      <c r="E15286" t="s">
        <v>37761</v>
      </c>
    </row>
    <row r="15287" spans="1:5">
      <c r="A15287" t="s">
        <v>6</v>
      </c>
      <c r="B15287" t="s">
        <v>15292</v>
      </c>
      <c r="C15287">
        <f>HYPERLINK("C:\Users\franc\OneDrive\Documentos\MALENTIN KARIME\BANCO ESTADO\2012 DEPTO ESCRITURAS fata\Dc Simples\RESPALDO comp notaria 27_12_12\NOTARIA 2012\SOC. DE HECHO\PROTESTOS\UPV\JENY BONILLA.doc", "Abrir Documento")</f>
        <v>0</v>
      </c>
      <c r="D15287" t="s">
        <v>23500</v>
      </c>
      <c r="E15287" t="s">
        <v>37762</v>
      </c>
    </row>
    <row r="15288" spans="1:5">
      <c r="A15288" t="s">
        <v>6</v>
      </c>
      <c r="B15288" t="s">
        <v>15293</v>
      </c>
      <c r="C15288">
        <f>HYPERLINK("C:\Users\franc\OneDrive\Documentos\MALENTIN KARIME\BANCO ESTADO\2012 DEPTO ESCRITURAS fata\Dc Simples\RESPALDO comp notaria 27_12_12\NOTARIA 2012\SOC. DE HECHO\PROTESTOS\UPV\JENIFER PIZARRO.doc", "Abrir Documento")</f>
        <v>0</v>
      </c>
      <c r="D15288" t="s">
        <v>23500</v>
      </c>
      <c r="E15288" t="s">
        <v>37763</v>
      </c>
    </row>
    <row r="15289" spans="1:5">
      <c r="A15289" t="s">
        <v>6</v>
      </c>
      <c r="B15289" t="s">
        <v>15294</v>
      </c>
      <c r="C15289">
        <f>HYPERLINK("C:\Users\franc\OneDrive\Documentos\MALENTIN KARIME\BANCO ESTADO\2012 DEPTO ESCRITURAS fata\Dc Simples\RESPALDO comp notaria 27_12_12\NOTARIA 2012\SOC. DE HECHO\PROTESTOS\UPV\JANETT ESPINOSA.doc", "Abrir Documento")</f>
        <v>0</v>
      </c>
      <c r="D15289" t="s">
        <v>23500</v>
      </c>
      <c r="E15289" t="s">
        <v>37764</v>
      </c>
    </row>
    <row r="15290" spans="1:5">
      <c r="A15290" t="s">
        <v>6</v>
      </c>
      <c r="B15290" t="s">
        <v>15295</v>
      </c>
      <c r="C15290">
        <f>HYPERLINK("C:\Users\franc\OneDrive\Documentos\MALENTIN KARIME\BANCO ESTADO\2012 DEPTO ESCRITURAS fata\Dc Simples\RESPALDO comp notaria 27_12_12\NOTARIA 2012\SOC. DE HECHO\PROTESTOS\UPV\IVETTE MAURIN.doc", "Abrir Documento")</f>
        <v>0</v>
      </c>
      <c r="D15290" t="s">
        <v>23500</v>
      </c>
      <c r="E15290" t="s">
        <v>37765</v>
      </c>
    </row>
    <row r="15291" spans="1:5">
      <c r="A15291" t="s">
        <v>6</v>
      </c>
      <c r="B15291" t="s">
        <v>15296</v>
      </c>
      <c r="C15291">
        <f>HYPERLINK("C:\Users\franc\OneDrive\Documentos\MALENTIN KARIME\BANCO ESTADO\2012 DEPTO ESCRITURAS fata\Dc Simples\RESPALDO comp notaria 27_12_12\NOTARIA 2012\SOC. DE HECHO\PROTESTOS\UPV\ISNELDA GUERRA CAMPOS.doc", "Abrir Documento")</f>
        <v>0</v>
      </c>
      <c r="D15291" t="s">
        <v>23500</v>
      </c>
      <c r="E15291" t="s">
        <v>37766</v>
      </c>
    </row>
    <row r="15292" spans="1:5">
      <c r="A15292" t="s">
        <v>6</v>
      </c>
      <c r="B15292" t="s">
        <v>15297</v>
      </c>
      <c r="C15292">
        <f>HYPERLINK("C:\Users\franc\OneDrive\Documentos\MALENTIN KARIME\BANCO ESTADO\2012 DEPTO ESCRITURAS fata\Dc Simples\RESPALDO comp notaria 27_12_12\NOTARIA 2012\SOC. DE HECHO\PROTESTOS\UPV\ISABEL MANRIQUEZ.doc", "Abrir Documento")</f>
        <v>0</v>
      </c>
      <c r="D15292" t="s">
        <v>23500</v>
      </c>
      <c r="E15292" t="s">
        <v>37767</v>
      </c>
    </row>
    <row r="15293" spans="1:5">
      <c r="A15293" t="s">
        <v>6</v>
      </c>
      <c r="B15293" t="s">
        <v>15298</v>
      </c>
      <c r="C15293">
        <f>HYPERLINK("C:\Users\franc\OneDrive\Documentos\MALENTIN KARIME\BANCO ESTADO\2012 DEPTO ESCRITURAS fata\Dc Simples\RESPALDO comp notaria 27_12_12\NOTARIA 2012\SOC. DE HECHO\PROTESTOS\UPV\IRLANDA GONZALEZ.doc", "Abrir Documento")</f>
        <v>0</v>
      </c>
      <c r="D15293" t="s">
        <v>23500</v>
      </c>
      <c r="E15293" t="s">
        <v>37768</v>
      </c>
    </row>
    <row r="15294" spans="1:5">
      <c r="A15294" t="s">
        <v>6</v>
      </c>
      <c r="B15294" t="s">
        <v>15299</v>
      </c>
      <c r="C15294">
        <f>HYPERLINK("C:\Users\franc\OneDrive\Documentos\MALENTIN KARIME\BANCO ESTADO\2012 DEPTO ESCRITURAS fata\Dc Simples\RESPALDO comp notaria 27_12_12\NOTARIA 2012\SOC. DE HECHO\PROTESTOS\UPV\INES CASTILLO VELASQUEZ.doc", "Abrir Documento")</f>
        <v>0</v>
      </c>
      <c r="D15294" t="s">
        <v>23500</v>
      </c>
      <c r="E15294" t="s">
        <v>37769</v>
      </c>
    </row>
    <row r="15295" spans="1:5">
      <c r="A15295" t="s">
        <v>6</v>
      </c>
      <c r="B15295" t="s">
        <v>15300</v>
      </c>
      <c r="C15295">
        <f>HYPERLINK("C:\Users\franc\OneDrive\Documentos\MALENTIN KARIME\BANCO ESTADO\2012 DEPTO ESCRITURAS fata\Dc Simples\RESPALDO comp notaria 27_12_12\NOTARIA 2012\SOC. DE HECHO\PROTESTOS\UPV\HONORIO PIZARRO.doc", "Abrir Documento")</f>
        <v>0</v>
      </c>
      <c r="D15295" t="s">
        <v>23500</v>
      </c>
      <c r="E15295" t="s">
        <v>37770</v>
      </c>
    </row>
    <row r="15296" spans="1:5">
      <c r="A15296" t="s">
        <v>6</v>
      </c>
      <c r="B15296" t="s">
        <v>15301</v>
      </c>
      <c r="C15296">
        <f>HYPERLINK("C:\Users\franc\OneDrive\Documentos\MALENTIN KARIME\BANCO ESTADO\2012 DEPTO ESCRITURAS fata\Dc Simples\RESPALDO comp notaria 27_12_12\NOTARIA 2012\SOC. DE HECHO\PROTESTOS\UPV\HERNAN VILLANUEVA.doc", "Abrir Documento")</f>
        <v>0</v>
      </c>
      <c r="D15296" t="s">
        <v>23500</v>
      </c>
      <c r="E15296" t="s">
        <v>37771</v>
      </c>
    </row>
    <row r="15297" spans="1:5">
      <c r="A15297" t="s">
        <v>6</v>
      </c>
      <c r="B15297" t="s">
        <v>15302</v>
      </c>
      <c r="C15297">
        <f>HYPERLINK("C:\Users\franc\OneDrive\Documentos\MALENTIN KARIME\BANCO ESTADO\2012 DEPTO ESCRITURAS fata\Dc Simples\RESPALDO comp notaria 27_12_12\NOTARIA 2012\SOC. DE HECHO\PROTESTOS\UPV\HERNAN TAPIA.doc", "Abrir Documento")</f>
        <v>0</v>
      </c>
      <c r="D15297" t="s">
        <v>23500</v>
      </c>
      <c r="E15297" t="s">
        <v>37772</v>
      </c>
    </row>
    <row r="15298" spans="1:5">
      <c r="A15298" t="s">
        <v>6</v>
      </c>
      <c r="B15298" t="s">
        <v>15303</v>
      </c>
      <c r="C15298">
        <f>HYPERLINK("C:\Users\franc\OneDrive\Documentos\MALENTIN KARIME\BANCO ESTADO\2012 DEPTO ESCRITURAS fata\Dc Simples\RESPALDO comp notaria 27_12_12\NOTARIA 2012\SOC. DE HECHO\PROTESTOS\UPV\HARRY VALENZUELA.doc", "Abrir Documento")</f>
        <v>0</v>
      </c>
      <c r="D15298" t="s">
        <v>23500</v>
      </c>
      <c r="E15298" t="s">
        <v>37773</v>
      </c>
    </row>
    <row r="15299" spans="1:5">
      <c r="A15299" t="s">
        <v>6</v>
      </c>
      <c r="B15299" t="s">
        <v>15304</v>
      </c>
      <c r="C15299">
        <f>HYPERLINK("C:\Users\franc\OneDrive\Documentos\MALENTIN KARIME\BANCO ESTADO\2012 DEPTO ESCRITURAS fata\Dc Simples\RESPALDO comp notaria 27_12_12\NOTARIA 2012\SOC. DE HECHO\PROTESTOS\UPV\HARRY DICTTER.doc", "Abrir Documento")</f>
        <v>0</v>
      </c>
      <c r="D15299" t="s">
        <v>23500</v>
      </c>
      <c r="E15299" t="s">
        <v>37774</v>
      </c>
    </row>
    <row r="15300" spans="1:5">
      <c r="A15300" t="s">
        <v>6</v>
      </c>
      <c r="B15300" t="s">
        <v>15305</v>
      </c>
      <c r="C15300">
        <f>HYPERLINK("C:\Users\franc\OneDrive\Documentos\MALENTIN KARIME\BANCO ESTADO\2012 DEPTO ESCRITURAS fata\Dc Simples\RESPALDO comp notaria 27_12_12\NOTARIA 2012\SOC. DE HECHO\PROTESTOS\UPV\GONZALO VEGA GODOY.doc", "Abrir Documento")</f>
        <v>0</v>
      </c>
      <c r="D15300" t="s">
        <v>23500</v>
      </c>
      <c r="E15300" t="s">
        <v>37775</v>
      </c>
    </row>
    <row r="15301" spans="1:5">
      <c r="A15301" t="s">
        <v>6</v>
      </c>
      <c r="B15301" t="s">
        <v>15306</v>
      </c>
      <c r="C15301">
        <f>HYPERLINK("C:\Users\franc\OneDrive\Documentos\MALENTIN KARIME\BANCO ESTADO\2012 DEPTO ESCRITURAS fata\Dc Simples\RESPALDO comp notaria 27_12_12\NOTARIA 2012\SOC. DE HECHO\PROTESTOS\UPV\GLADYS ADAROS.doc", "Abrir Documento")</f>
        <v>0</v>
      </c>
      <c r="D15301" t="s">
        <v>23500</v>
      </c>
      <c r="E15301" t="s">
        <v>37776</v>
      </c>
    </row>
    <row r="15302" spans="1:5">
      <c r="A15302" t="s">
        <v>6</v>
      </c>
      <c r="B15302" t="s">
        <v>15307</v>
      </c>
      <c r="C15302">
        <f>HYPERLINK("C:\Users\franc\OneDrive\Documentos\MALENTIN KARIME\BANCO ESTADO\2012 DEPTO ESCRITURAS fata\Dc Simples\RESPALDO comp notaria 27_12_12\NOTARIA 2012\SOC. DE HECHO\PROTESTOS\UPV\GILBERTO CORDOVA.doc", "Abrir Documento")</f>
        <v>0</v>
      </c>
      <c r="D15302" t="s">
        <v>23500</v>
      </c>
      <c r="E15302" t="s">
        <v>37777</v>
      </c>
    </row>
    <row r="15303" spans="1:5">
      <c r="A15303" t="s">
        <v>6</v>
      </c>
      <c r="B15303" t="s">
        <v>15308</v>
      </c>
      <c r="C15303">
        <f>HYPERLINK("C:\Users\franc\OneDrive\Documentos\MALENTIN KARIME\BANCO ESTADO\2012 DEPTO ESCRITURAS fata\Dc Simples\RESPALDO comp notaria 27_12_12\NOTARIA 2012\SOC. DE HECHO\PROTESTOS\UPV\FRESIA MONARDES TORRES.doc", "Abrir Documento")</f>
        <v>0</v>
      </c>
      <c r="D15303" t="s">
        <v>23500</v>
      </c>
      <c r="E15303" t="s">
        <v>37778</v>
      </c>
    </row>
    <row r="15304" spans="1:5">
      <c r="A15304" t="s">
        <v>6</v>
      </c>
      <c r="B15304" t="s">
        <v>15309</v>
      </c>
      <c r="C15304">
        <f>HYPERLINK("C:\Users\franc\OneDrive\Documentos\MALENTIN KARIME\BANCO ESTADO\2012 DEPTO ESCRITURAS fata\Dc Simples\RESPALDO comp notaria 27_12_12\NOTARIA 2012\SOC. DE HECHO\PROTESTOS\UPV\FREDDY DIAZ ARDILES.doc", "Abrir Documento")</f>
        <v>0</v>
      </c>
      <c r="D15304" t="s">
        <v>23500</v>
      </c>
      <c r="E15304" t="s">
        <v>37779</v>
      </c>
    </row>
    <row r="15305" spans="1:5">
      <c r="A15305" t="s">
        <v>6</v>
      </c>
      <c r="B15305" t="s">
        <v>15310</v>
      </c>
      <c r="C15305">
        <f>HYPERLINK("C:\Users\franc\OneDrive\Documentos\MALENTIN KARIME\BANCO ESTADO\2012 DEPTO ESCRITURAS fata\Dc Simples\RESPALDO comp notaria 27_12_12\NOTARIA 2012\SOC. DE HECHO\PROTESTOS\UPV\FRANCY IRIGOYEN CORTES.doc", "Abrir Documento")</f>
        <v>0</v>
      </c>
      <c r="D15305" t="s">
        <v>23500</v>
      </c>
      <c r="E15305" t="s">
        <v>37780</v>
      </c>
    </row>
    <row r="15306" spans="1:5">
      <c r="A15306" t="s">
        <v>6</v>
      </c>
      <c r="B15306" t="s">
        <v>15311</v>
      </c>
      <c r="C15306">
        <f>HYPERLINK("C:\Users\franc\OneDrive\Documentos\MALENTIN KARIME\BANCO ESTADO\2012 DEPTO ESCRITURAS fata\Dc Simples\RESPALDO comp notaria 27_12_12\NOTARIA 2012\SOC. DE HECHO\PROTESTOS\UPV\FRANCISCO VEGA SALAS.doc", "Abrir Documento")</f>
        <v>0</v>
      </c>
      <c r="D15306" t="s">
        <v>23500</v>
      </c>
      <c r="E15306" t="s">
        <v>37781</v>
      </c>
    </row>
    <row r="15307" spans="1:5">
      <c r="A15307" t="s">
        <v>6</v>
      </c>
      <c r="B15307" t="s">
        <v>15312</v>
      </c>
      <c r="C15307">
        <f>HYPERLINK("C:\Users\franc\OneDrive\Documentos\MALENTIN KARIME\BANCO ESTADO\2012 DEPTO ESCRITURAS fata\Dc Simples\RESPALDO comp notaria 27_12_12\NOTARIA 2012\SOC. DE HECHO\PROTESTOS\UPV\FRANCISCO GODOY ROJAS.doc", "Abrir Documento")</f>
        <v>0</v>
      </c>
      <c r="D15307" t="s">
        <v>23500</v>
      </c>
      <c r="E15307" t="s">
        <v>37782</v>
      </c>
    </row>
    <row r="15308" spans="1:5">
      <c r="A15308" t="s">
        <v>6</v>
      </c>
      <c r="B15308" t="s">
        <v>15313</v>
      </c>
      <c r="C15308">
        <f>HYPERLINK("C:\Users\franc\OneDrive\Documentos\MALENTIN KARIME\BANCO ESTADO\2012 DEPTO ESCRITURAS fata\Dc Simples\RESPALDO comp notaria 27_12_12\NOTARIA 2012\SOC. DE HECHO\PROTESTOS\UPV\FRANCISCO CORTES.doc", "Abrir Documento")</f>
        <v>0</v>
      </c>
      <c r="D15308" t="s">
        <v>23500</v>
      </c>
      <c r="E15308" t="s">
        <v>37783</v>
      </c>
    </row>
    <row r="15309" spans="1:5">
      <c r="A15309" t="s">
        <v>6</v>
      </c>
      <c r="B15309" t="s">
        <v>15314</v>
      </c>
      <c r="C15309">
        <f>HYPERLINK("C:\Users\franc\OneDrive\Documentos\MALENTIN KARIME\BANCO ESTADO\2012 DEPTO ESCRITURAS fata\Dc Simples\RESPALDO comp notaria 27_12_12\NOTARIA 2012\SOC. DE HECHO\PROTESTOS\UPV\FERNANDA BOLADOS.doc", "Abrir Documento")</f>
        <v>0</v>
      </c>
      <c r="D15309" t="s">
        <v>23500</v>
      </c>
      <c r="E15309" t="s">
        <v>37784</v>
      </c>
    </row>
    <row r="15310" spans="1:5">
      <c r="A15310" t="s">
        <v>6</v>
      </c>
      <c r="B15310" t="s">
        <v>15315</v>
      </c>
      <c r="C15310">
        <f>HYPERLINK("C:\Users\franc\OneDrive\Documentos\MALENTIN KARIME\BANCO ESTADO\2012 DEPTO ESCRITURAS fata\Dc Simples\RESPALDO comp notaria 27_12_12\NOTARIA 2012\SOC. DE HECHO\PROTESTOS\UPV\FELIPE CORDOVA.doc", "Abrir Documento")</f>
        <v>0</v>
      </c>
      <c r="D15310" t="s">
        <v>23500</v>
      </c>
      <c r="E15310" t="s">
        <v>37785</v>
      </c>
    </row>
    <row r="15311" spans="1:5">
      <c r="A15311" t="s">
        <v>6</v>
      </c>
      <c r="B15311" t="s">
        <v>15316</v>
      </c>
      <c r="C15311">
        <f>HYPERLINK("C:\Users\franc\OneDrive\Documentos\MALENTIN KARIME\BANCO ESTADO\2012 DEPTO ESCRITURAS fata\Dc Simples\RESPALDO comp notaria 27_12_12\NOTARIA 2012\SOC. DE HECHO\PROTESTOS\UPV\FABIOLA JARA CERDA.doc", "Abrir Documento")</f>
        <v>0</v>
      </c>
      <c r="D15311" t="s">
        <v>23500</v>
      </c>
      <c r="E15311" t="s">
        <v>37786</v>
      </c>
    </row>
    <row r="15312" spans="1:5">
      <c r="A15312" t="s">
        <v>6</v>
      </c>
      <c r="B15312" t="s">
        <v>15317</v>
      </c>
      <c r="C15312">
        <f>HYPERLINK("C:\Users\franc\OneDrive\Documentos\MALENTIN KARIME\BANCO ESTADO\2012 DEPTO ESCRITURAS fata\Dc Simples\RESPALDO comp notaria 27_12_12\NOTARIA 2012\SOC. DE HECHO\PROTESTOS\UPV\FABIOLA FARIAS HEREBIA.doc", "Abrir Documento")</f>
        <v>0</v>
      </c>
      <c r="D15312" t="s">
        <v>23500</v>
      </c>
      <c r="E15312" t="s">
        <v>37787</v>
      </c>
    </row>
    <row r="15313" spans="1:5">
      <c r="A15313" t="s">
        <v>6</v>
      </c>
      <c r="B15313" t="s">
        <v>15318</v>
      </c>
      <c r="C15313">
        <f>HYPERLINK("C:\Users\franc\OneDrive\Documentos\MALENTIN KARIME\BANCO ESTADO\2012 DEPTO ESCRITURAS fata\Dc Simples\RESPALDO comp notaria 27_12_12\NOTARIA 2012\SOC. DE HECHO\PROTESTOS\UPV\ERICH GUERRERO ARAYA.doc", "Abrir Documento")</f>
        <v>0</v>
      </c>
      <c r="D15313" t="s">
        <v>23500</v>
      </c>
      <c r="E15313" t="s">
        <v>37788</v>
      </c>
    </row>
    <row r="15314" spans="1:5">
      <c r="A15314" t="s">
        <v>6</v>
      </c>
      <c r="B15314" t="s">
        <v>15319</v>
      </c>
      <c r="C15314">
        <f>HYPERLINK("C:\Users\franc\OneDrive\Documentos\MALENTIN KARIME\BANCO ESTADO\2012 DEPTO ESCRITURAS fata\Dc Simples\RESPALDO comp notaria 27_12_12\NOTARIA 2012\SOC. DE HECHO\PROTESTOS\UPV\ELIZABETH ROBLES.doc", "Abrir Documento")</f>
        <v>0</v>
      </c>
      <c r="D15314" t="s">
        <v>23500</v>
      </c>
      <c r="E15314" t="s">
        <v>37789</v>
      </c>
    </row>
    <row r="15315" spans="1:5">
      <c r="A15315" t="s">
        <v>6</v>
      </c>
      <c r="B15315" t="s">
        <v>15320</v>
      </c>
      <c r="C15315">
        <f>HYPERLINK("C:\Users\franc\OneDrive\Documentos\MALENTIN KARIME\BANCO ESTADO\2012 DEPTO ESCRITURAS fata\Dc Simples\RESPALDO comp notaria 27_12_12\NOTARIA 2012\SOC. DE HECHO\PROTESTOS\UPV\ELISEO DEL R. BARRAZA CASTRO.doc", "Abrir Documento")</f>
        <v>0</v>
      </c>
      <c r="D15315" t="s">
        <v>23500</v>
      </c>
      <c r="E15315" t="s">
        <v>37790</v>
      </c>
    </row>
    <row r="15316" spans="1:5">
      <c r="A15316" t="s">
        <v>6</v>
      </c>
      <c r="B15316" t="s">
        <v>15321</v>
      </c>
      <c r="C15316">
        <f>HYPERLINK("C:\Users\franc\OneDrive\Documentos\MALENTIN KARIME\BANCO ESTADO\2012 DEPTO ESCRITURAS fata\Dc Simples\RESPALDO comp notaria 27_12_12\NOTARIA 2012\SOC. DE HECHO\PROTESTOS\UPV\EKATERINNE ARAYA LAYANA.doc", "Abrir Documento")</f>
        <v>0</v>
      </c>
      <c r="D15316" t="s">
        <v>23500</v>
      </c>
      <c r="E15316" t="s">
        <v>37791</v>
      </c>
    </row>
    <row r="15317" spans="1:5">
      <c r="A15317" t="s">
        <v>6</v>
      </c>
      <c r="B15317" t="s">
        <v>15322</v>
      </c>
      <c r="C15317">
        <f>HYPERLINK("C:\Users\franc\OneDrive\Documentos\MALENTIN KARIME\BANCO ESTADO\2012 DEPTO ESCRITURAS fata\Dc Simples\RESPALDO comp notaria 27_12_12\NOTARIA 2012\SOC. DE HECHO\PROTESTOS\UPV\EDITH MUÑOZ.doc", "Abrir Documento")</f>
        <v>0</v>
      </c>
      <c r="D15317" t="s">
        <v>23500</v>
      </c>
      <c r="E15317" t="s">
        <v>37792</v>
      </c>
    </row>
    <row r="15318" spans="1:5">
      <c r="A15318" t="s">
        <v>6</v>
      </c>
      <c r="B15318" t="s">
        <v>15323</v>
      </c>
      <c r="C15318">
        <f>HYPERLINK("C:\Users\franc\OneDrive\Documentos\MALENTIN KARIME\BANCO ESTADO\2012 DEPTO ESCRITURAS fata\Dc Simples\RESPALDO comp notaria 27_12_12\NOTARIA 2012\SOC. DE HECHO\PROTESTOS\UPV\DORIS ARAYA.doc", "Abrir Documento")</f>
        <v>0</v>
      </c>
      <c r="D15318" t="s">
        <v>23500</v>
      </c>
      <c r="E15318" t="s">
        <v>37793</v>
      </c>
    </row>
    <row r="15319" spans="1:5">
      <c r="A15319" t="s">
        <v>6</v>
      </c>
      <c r="B15319" t="s">
        <v>15324</v>
      </c>
      <c r="C15319">
        <f>HYPERLINK("C:\Users\franc\OneDrive\Documentos\MALENTIN KARIME\BANCO ESTADO\2012 DEPTO ESCRITURAS fata\Dc Simples\RESPALDO comp notaria 27_12_12\NOTARIA 2012\SOC. DE HECHO\PROTESTOS\UPV\DINA CAMPUSANO.doc", "Abrir Documento")</f>
        <v>0</v>
      </c>
      <c r="D15319" t="s">
        <v>23500</v>
      </c>
      <c r="E15319" t="s">
        <v>37794</v>
      </c>
    </row>
    <row r="15320" spans="1:5">
      <c r="A15320" t="s">
        <v>6</v>
      </c>
      <c r="B15320" t="s">
        <v>15325</v>
      </c>
      <c r="C15320">
        <f>HYPERLINK("C:\Users\franc\OneDrive\Documentos\MALENTIN KARIME\BANCO ESTADO\2012 DEPTO ESCRITURAS fata\Dc Simples\RESPALDO comp notaria 27_12_12\NOTARIA 2012\SOC. DE HECHO\PROTESTOS\UPV\DIEGO VEGA LEON.doc", "Abrir Documento")</f>
        <v>0</v>
      </c>
      <c r="D15320" t="s">
        <v>23500</v>
      </c>
      <c r="E15320" t="s">
        <v>37795</v>
      </c>
    </row>
    <row r="15321" spans="1:5">
      <c r="A15321" t="s">
        <v>6</v>
      </c>
      <c r="B15321" t="s">
        <v>15326</v>
      </c>
      <c r="C15321">
        <f>HYPERLINK("C:\Users\franc\OneDrive\Documentos\MALENTIN KARIME\BANCO ESTADO\2012 DEPTO ESCRITURAS fata\Dc Simples\RESPALDO comp notaria 27_12_12\NOTARIA 2012\SOC. DE HECHO\PROTESTOS\UPV\DHAPNE PIZARRO.doc", "Abrir Documento")</f>
        <v>0</v>
      </c>
      <c r="D15321" t="s">
        <v>23500</v>
      </c>
      <c r="E15321" t="s">
        <v>37796</v>
      </c>
    </row>
    <row r="15322" spans="1:5">
      <c r="A15322" t="s">
        <v>6</v>
      </c>
      <c r="B15322" t="s">
        <v>15327</v>
      </c>
      <c r="C15322">
        <f>HYPERLINK("C:\Users\franc\OneDrive\Documentos\MALENTIN KARIME\BANCO ESTADO\2012 DEPTO ESCRITURAS fata\Dc Simples\RESPALDO comp notaria 27_12_12\NOTARIA 2012\SOC. DE HECHO\PROTESTOS\UPV\DANIELA BENAVIDES AVALOS.doc", "Abrir Documento")</f>
        <v>0</v>
      </c>
      <c r="D15322" t="s">
        <v>23500</v>
      </c>
      <c r="E15322" t="s">
        <v>37797</v>
      </c>
    </row>
    <row r="15323" spans="1:5">
      <c r="A15323" t="s">
        <v>6</v>
      </c>
      <c r="B15323" t="s">
        <v>15328</v>
      </c>
      <c r="C15323">
        <f>HYPERLINK("C:\Users\franc\OneDrive\Documentos\MALENTIN KARIME\BANCO ESTADO\2012 DEPTO ESCRITURAS fata\Dc Simples\RESPALDO comp notaria 27_12_12\NOTARIA 2012\SOC. DE HECHO\PROTESTOS\UPV\CONSTANZA OSSANDON.doc", "Abrir Documento")</f>
        <v>0</v>
      </c>
      <c r="D15323" t="s">
        <v>23500</v>
      </c>
      <c r="E15323" t="s">
        <v>37798</v>
      </c>
    </row>
    <row r="15324" spans="1:5">
      <c r="A15324" t="s">
        <v>6</v>
      </c>
      <c r="B15324" t="s">
        <v>15329</v>
      </c>
      <c r="C15324">
        <f>HYPERLINK("C:\Users\franc\OneDrive\Documentos\MALENTIN KARIME\BANCO ESTADO\2012 DEPTO ESCRITURAS fata\Dc Simples\RESPALDO comp notaria 27_12_12\NOTARIA 2012\SOC. DE HECHO\PROTESTOS\UPV\CONSTANZA GONZALEZ.doc", "Abrir Documento")</f>
        <v>0</v>
      </c>
      <c r="D15324" t="s">
        <v>23500</v>
      </c>
      <c r="E15324" t="s">
        <v>37799</v>
      </c>
    </row>
    <row r="15325" spans="1:5">
      <c r="A15325" t="s">
        <v>6</v>
      </c>
      <c r="B15325" t="s">
        <v>15330</v>
      </c>
      <c r="C15325">
        <f>HYPERLINK("C:\Users\franc\OneDrive\Documentos\MALENTIN KARIME\BANCO ESTADO\2012 DEPTO ESCRITURAS fata\Dc Simples\RESPALDO comp notaria 27_12_12\NOTARIA 2012\SOC. DE HECHO\PROTESTOS\UPV\CLAUDIO VELIZ.doc", "Abrir Documento")</f>
        <v>0</v>
      </c>
      <c r="D15325" t="s">
        <v>23500</v>
      </c>
      <c r="E15325" t="s">
        <v>37800</v>
      </c>
    </row>
    <row r="15326" spans="1:5">
      <c r="A15326" t="s">
        <v>6</v>
      </c>
      <c r="B15326" t="s">
        <v>15331</v>
      </c>
      <c r="C15326">
        <f>HYPERLINK("C:\Users\franc\OneDrive\Documentos\MALENTIN KARIME\BANCO ESTADO\2012 DEPTO ESCRITURAS fata\Dc Simples\RESPALDO comp notaria 27_12_12\NOTARIA 2012\SOC. DE HECHO\PROTESTOS\UPV\CLAUDIO MORGADO GONZALEZ.doc", "Abrir Documento")</f>
        <v>0</v>
      </c>
      <c r="D15326" t="s">
        <v>23500</v>
      </c>
      <c r="E15326" t="s">
        <v>37801</v>
      </c>
    </row>
    <row r="15327" spans="1:5">
      <c r="A15327" t="s">
        <v>6</v>
      </c>
      <c r="B15327" t="s">
        <v>15332</v>
      </c>
      <c r="C15327">
        <f>HYPERLINK("C:\Users\franc\OneDrive\Documentos\MALENTIN KARIME\BANCO ESTADO\2012 DEPTO ESCRITURAS fata\Dc Simples\RESPALDO comp notaria 27_12_12\NOTARIA 2012\SOC. DE HECHO\PROTESTOS\UPV\CLAUDIA FARIAS.doc", "Abrir Documento")</f>
        <v>0</v>
      </c>
      <c r="D15327" t="s">
        <v>23500</v>
      </c>
      <c r="E15327" t="s">
        <v>37802</v>
      </c>
    </row>
    <row r="15328" spans="1:5">
      <c r="A15328" t="s">
        <v>6</v>
      </c>
      <c r="B15328" t="s">
        <v>15333</v>
      </c>
      <c r="C15328">
        <f>HYPERLINK("C:\Users\franc\OneDrive\Documentos\MALENTIN KARIME\BANCO ESTADO\2012 DEPTO ESCRITURAS fata\Dc Simples\RESPALDO comp notaria 27_12_12\NOTARIA 2012\SOC. DE HECHO\PROTESTOS\UPV\CINTHIA OSSANDON.doc", "Abrir Documento")</f>
        <v>0</v>
      </c>
      <c r="D15328" t="s">
        <v>23500</v>
      </c>
      <c r="E15328" t="s">
        <v>37803</v>
      </c>
    </row>
    <row r="15329" spans="1:5">
      <c r="A15329" t="s">
        <v>6</v>
      </c>
      <c r="B15329" t="s">
        <v>15334</v>
      </c>
      <c r="C15329">
        <f>HYPERLINK("C:\Users\franc\OneDrive\Documentos\MALENTIN KARIME\BANCO ESTADO\2012 DEPTO ESCRITURAS fata\Dc Simples\RESPALDO comp notaria 27_12_12\NOTARIA 2012\SOC. DE HECHO\PROTESTOS\UPV\CESAR DIAZ OLIVARES.doc", "Abrir Documento")</f>
        <v>0</v>
      </c>
      <c r="D15329" t="s">
        <v>23500</v>
      </c>
      <c r="E15329" t="s">
        <v>37804</v>
      </c>
    </row>
    <row r="15330" spans="1:5">
      <c r="A15330" t="s">
        <v>6</v>
      </c>
      <c r="B15330" t="s">
        <v>15335</v>
      </c>
      <c r="C15330">
        <f>HYPERLINK("C:\Users\franc\OneDrive\Documentos\MALENTIN KARIME\BANCO ESTADO\2012 DEPTO ESCRITURAS fata\Dc Simples\RESPALDO comp notaria 27_12_12\NOTARIA 2012\SOC. DE HECHO\PROTESTOS\UPV\CATALINA GONZALEZ OYARZUN.doc", "Abrir Documento")</f>
        <v>0</v>
      </c>
      <c r="D15330" t="s">
        <v>23500</v>
      </c>
      <c r="E15330" t="s">
        <v>37805</v>
      </c>
    </row>
    <row r="15331" spans="1:5">
      <c r="A15331" t="s">
        <v>6</v>
      </c>
      <c r="B15331" t="s">
        <v>15336</v>
      </c>
      <c r="C15331">
        <f>HYPERLINK("C:\Users\franc\OneDrive\Documentos\MALENTIN KARIME\BANCO ESTADO\2012 DEPTO ESCRITURAS fata\Dc Simples\RESPALDO comp notaria 27_12_12\NOTARIA 2012\SOC. DE HECHO\PROTESTOS\UPV\CARY WORREN ALFARO DICTTER.doc", "Abrir Documento")</f>
        <v>0</v>
      </c>
      <c r="D15331" t="s">
        <v>23500</v>
      </c>
      <c r="E15331" t="s">
        <v>37806</v>
      </c>
    </row>
    <row r="15332" spans="1:5">
      <c r="A15332" t="s">
        <v>6</v>
      </c>
      <c r="B15332" t="s">
        <v>15337</v>
      </c>
      <c r="C15332">
        <f>HYPERLINK("C:\Users\franc\OneDrive\Documentos\MALENTIN KARIME\BANCO ESTADO\2012 DEPTO ESCRITURAS fata\Dc Simples\RESPALDO comp notaria 27_12_12\NOTARIA 2012\SOC. DE HECHO\PROTESTOS\UPV\CAROLINA GATICA.doc", "Abrir Documento")</f>
        <v>0</v>
      </c>
      <c r="D15332" t="s">
        <v>23500</v>
      </c>
      <c r="E15332" t="s">
        <v>37807</v>
      </c>
    </row>
    <row r="15333" spans="1:5">
      <c r="A15333" t="s">
        <v>6</v>
      </c>
      <c r="B15333" t="s">
        <v>15338</v>
      </c>
      <c r="C15333">
        <f>HYPERLINK("C:\Users\franc\OneDrive\Documentos\MALENTIN KARIME\BANCO ESTADO\2012 DEPTO ESCRITURAS fata\Dc Simples\RESPALDO comp notaria 27_12_12\NOTARIA 2012\SOC. DE HECHO\PROTESTOS\UPV\CAROLA TELLO.doc", "Abrir Documento")</f>
        <v>0</v>
      </c>
      <c r="D15333" t="s">
        <v>23500</v>
      </c>
      <c r="E15333" t="s">
        <v>37808</v>
      </c>
    </row>
    <row r="15334" spans="1:5">
      <c r="A15334" t="s">
        <v>6</v>
      </c>
      <c r="B15334" t="s">
        <v>15339</v>
      </c>
      <c r="C15334">
        <f>HYPERLINK("C:\Users\franc\OneDrive\Documentos\MALENTIN KARIME\BANCO ESTADO\2012 DEPTO ESCRITURAS fata\Dc Simples\RESPALDO comp notaria 27_12_12\NOTARIA 2012\SOC. DE HECHO\PROTESTOS\UPV\CARLOS IRIARTE.doc", "Abrir Documento")</f>
        <v>0</v>
      </c>
      <c r="D15334" t="s">
        <v>23500</v>
      </c>
      <c r="E15334" t="s">
        <v>37809</v>
      </c>
    </row>
    <row r="15335" spans="1:5">
      <c r="A15335" t="s">
        <v>6</v>
      </c>
      <c r="B15335" t="s">
        <v>15340</v>
      </c>
      <c r="C15335">
        <f>HYPERLINK("C:\Users\franc\OneDrive\Documentos\MALENTIN KARIME\BANCO ESTADO\2012 DEPTO ESCRITURAS fata\Dc Simples\RESPALDO comp notaria 27_12_12\NOTARIA 2012\SOC. DE HECHO\PROTESTOS\UPV\CARLOS FLORES.doc", "Abrir Documento")</f>
        <v>0</v>
      </c>
      <c r="D15335" t="s">
        <v>23500</v>
      </c>
      <c r="E15335" t="s">
        <v>37810</v>
      </c>
    </row>
    <row r="15336" spans="1:5">
      <c r="A15336" t="s">
        <v>6</v>
      </c>
      <c r="B15336" t="s">
        <v>15341</v>
      </c>
      <c r="C15336">
        <f>HYPERLINK("C:\Users\franc\OneDrive\Documentos\MALENTIN KARIME\BANCO ESTADO\2012 DEPTO ESCRITURAS fata\Dc Simples\RESPALDO comp notaria 27_12_12\NOTARIA 2012\SOC. DE HECHO\PROTESTOS\UPV\CARLOS CAMPUSANO.doc", "Abrir Documento")</f>
        <v>0</v>
      </c>
      <c r="D15336" t="s">
        <v>23500</v>
      </c>
      <c r="E15336" t="s">
        <v>37811</v>
      </c>
    </row>
    <row r="15337" spans="1:5">
      <c r="A15337" t="s">
        <v>6</v>
      </c>
      <c r="B15337" t="s">
        <v>15342</v>
      </c>
      <c r="C15337">
        <f>HYPERLINK("C:\Users\franc\OneDrive\Documentos\MALENTIN KARIME\BANCO ESTADO\2012 DEPTO ESCRITURAS fata\Dc Simples\RESPALDO comp notaria 27_12_12\NOTARIA 2012\SOC. DE HECHO\PROTESTOS\UPV\CARLOS ARAYA.doc", "Abrir Documento")</f>
        <v>0</v>
      </c>
      <c r="D15337" t="s">
        <v>23500</v>
      </c>
      <c r="E15337" t="s">
        <v>37812</v>
      </c>
    </row>
    <row r="15338" spans="1:5">
      <c r="A15338" t="s">
        <v>6</v>
      </c>
      <c r="B15338" t="s">
        <v>15343</v>
      </c>
      <c r="C15338">
        <f>HYPERLINK("C:\Users\franc\OneDrive\Documentos\MALENTIN KARIME\BANCO ESTADO\2012 DEPTO ESCRITURAS fata\Dc Simples\RESPALDO comp notaria 27_12_12\NOTARIA 2012\SOC. DE HECHO\PROTESTOS\UPV\CARLOS ALFARO.doc", "Abrir Documento")</f>
        <v>0</v>
      </c>
      <c r="D15338" t="s">
        <v>23500</v>
      </c>
      <c r="E15338" t="s">
        <v>37813</v>
      </c>
    </row>
    <row r="15339" spans="1:5">
      <c r="A15339" t="s">
        <v>6</v>
      </c>
      <c r="B15339" t="s">
        <v>15344</v>
      </c>
      <c r="C15339">
        <f>HYPERLINK("C:\Users\franc\OneDrive\Documentos\MALENTIN KARIME\BANCO ESTADO\2012 DEPTO ESCRITURAS fata\Dc Simples\RESPALDO comp notaria 27_12_12\NOTARIA 2012\SOC. DE HECHO\PROTESTOS\UPV\CAREN CASTRO ARAYA.doc", "Abrir Documento")</f>
        <v>0</v>
      </c>
      <c r="D15339" t="s">
        <v>23500</v>
      </c>
      <c r="E15339" t="s">
        <v>37814</v>
      </c>
    </row>
    <row r="15340" spans="1:5">
      <c r="A15340" t="s">
        <v>6</v>
      </c>
      <c r="B15340" t="s">
        <v>15345</v>
      </c>
      <c r="C15340">
        <f>HYPERLINK("C:\Users\franc\OneDrive\Documentos\MALENTIN KARIME\BANCO ESTADO\2012 DEPTO ESCRITURAS fata\Dc Simples\RESPALDO comp notaria 27_12_12\NOTARIA 2012\SOC. DE HECHO\PROTESTOS\UPV\BARBARA JARA.doc", "Abrir Documento")</f>
        <v>0</v>
      </c>
      <c r="D15340" t="s">
        <v>23500</v>
      </c>
      <c r="E15340" t="s">
        <v>37815</v>
      </c>
    </row>
    <row r="15341" spans="1:5">
      <c r="A15341" t="s">
        <v>6</v>
      </c>
      <c r="B15341" t="s">
        <v>15346</v>
      </c>
      <c r="C15341">
        <f>HYPERLINK("C:\Users\franc\OneDrive\Documentos\MALENTIN KARIME\BANCO ESTADO\2012 DEPTO ESCRITURAS fata\Dc Simples\RESPALDO comp notaria 27_12_12\NOTARIA 2012\SOC. DE HECHO\PROTESTOS\UPV\ANGELA SALAS.doc", "Abrir Documento")</f>
        <v>0</v>
      </c>
      <c r="D15341" t="s">
        <v>23500</v>
      </c>
      <c r="E15341" t="s">
        <v>37816</v>
      </c>
    </row>
    <row r="15342" spans="1:5">
      <c r="A15342" t="s">
        <v>6</v>
      </c>
      <c r="B15342" t="s">
        <v>15347</v>
      </c>
      <c r="C15342">
        <f>HYPERLINK("C:\Users\franc\OneDrive\Documentos\MALENTIN KARIME\BANCO ESTADO\2012 DEPTO ESCRITURAS fata\Dc Simples\RESPALDO comp notaria 27_12_12\NOTARIA 2012\SOC. DE HECHO\PROTESTOS\UPV\ANDREA CAPDEVILA TORRES.doc", "Abrir Documento")</f>
        <v>0</v>
      </c>
      <c r="D15342" t="s">
        <v>23500</v>
      </c>
      <c r="E15342" t="s">
        <v>37817</v>
      </c>
    </row>
    <row r="15343" spans="1:5">
      <c r="A15343" t="s">
        <v>6</v>
      </c>
      <c r="B15343" t="s">
        <v>15348</v>
      </c>
      <c r="C15343">
        <f>HYPERLINK("C:\Users\franc\OneDrive\Documentos\MALENTIN KARIME\BANCO ESTADO\2012 DEPTO ESCRITURAS fata\Dc Simples\RESPALDO comp notaria 27_12_12\NOTARIA 2012\SOC. DE HECHO\PROTESTOS\UPV\ANDREA  BOLADOS.doc", "Abrir Documento")</f>
        <v>0</v>
      </c>
      <c r="D15343" t="s">
        <v>23500</v>
      </c>
      <c r="E15343" t="s">
        <v>37818</v>
      </c>
    </row>
    <row r="15344" spans="1:5">
      <c r="A15344" t="s">
        <v>6</v>
      </c>
      <c r="B15344" t="s">
        <v>15349</v>
      </c>
      <c r="C15344">
        <f>HYPERLINK("C:\Users\franc\OneDrive\Documentos\MALENTIN KARIME\BANCO ESTADO\2012 DEPTO ESCRITURAS fata\Dc Simples\RESPALDO comp notaria 27_12_12\NOTARIA 2012\SOC. DE HECHO\PROTESTOS\UPV\ANA MATAMOROS ZEPEDA.doc", "Abrir Documento")</f>
        <v>0</v>
      </c>
      <c r="D15344" t="s">
        <v>23500</v>
      </c>
      <c r="E15344" t="s">
        <v>37819</v>
      </c>
    </row>
    <row r="15345" spans="1:5">
      <c r="A15345" t="s">
        <v>6</v>
      </c>
      <c r="B15345" t="s">
        <v>15350</v>
      </c>
      <c r="C15345">
        <f>HYPERLINK("C:\Users\franc\OneDrive\Documentos\MALENTIN KARIME\BANCO ESTADO\2012 DEPTO ESCRITURAS fata\Dc Simples\RESPALDO comp notaria 27_12_12\NOTARIA 2012\SOC. DE HECHO\PROTESTOS\UPV\ANA CASTILLO.doc", "Abrir Documento")</f>
        <v>0</v>
      </c>
      <c r="D15345" t="s">
        <v>23500</v>
      </c>
      <c r="E15345" t="s">
        <v>37820</v>
      </c>
    </row>
    <row r="15346" spans="1:5">
      <c r="A15346" t="s">
        <v>6</v>
      </c>
      <c r="B15346" t="s">
        <v>15351</v>
      </c>
      <c r="C15346">
        <f>HYPERLINK("C:\Users\franc\OneDrive\Documentos\MALENTIN KARIME\BANCO ESTADO\2012 DEPTO ESCRITURAS fata\Dc Simples\RESPALDO comp notaria 27_12_12\NOTARIA 2012\SOC. DE HECHO\PROTESTOS\UPV\ALISON GUERRA TAPIA.doc", "Abrir Documento")</f>
        <v>0</v>
      </c>
      <c r="D15346" t="s">
        <v>23500</v>
      </c>
      <c r="E15346" t="s">
        <v>37821</v>
      </c>
    </row>
    <row r="15347" spans="1:5">
      <c r="A15347" t="s">
        <v>6</v>
      </c>
      <c r="B15347" t="s">
        <v>15352</v>
      </c>
      <c r="C15347">
        <f>HYPERLINK("C:\Users\franc\OneDrive\Documentos\MALENTIN KARIME\BANCO ESTADO\2012 DEPTO ESCRITURAS fata\Dc Simples\RESPALDO comp notaria 27_12_12\NOTARIA 2012\SOC. DE HECHO\PROTESTOS\UPV\ALIRO GUILLERMO GONZALEZ.doc", "Abrir Documento")</f>
        <v>0</v>
      </c>
      <c r="D15347" t="s">
        <v>23500</v>
      </c>
      <c r="E15347" t="s">
        <v>37822</v>
      </c>
    </row>
    <row r="15348" spans="1:5">
      <c r="A15348" t="s">
        <v>6</v>
      </c>
      <c r="B15348" t="s">
        <v>15353</v>
      </c>
      <c r="C15348">
        <f>HYPERLINK("C:\Users\franc\OneDrive\Documentos\MALENTIN KARIME\BANCO ESTADO\2012 DEPTO ESCRITURAS fata\Dc Simples\RESPALDO comp notaria 27_12_12\NOTARIA 2012\SOC. DE HECHO\PROTESTOS\UPV\ALFONSO ARAYA.doc", "Abrir Documento")</f>
        <v>0</v>
      </c>
      <c r="D15348" t="s">
        <v>23500</v>
      </c>
      <c r="E15348" t="s">
        <v>37823</v>
      </c>
    </row>
    <row r="15349" spans="1:5">
      <c r="A15349" t="s">
        <v>6</v>
      </c>
      <c r="B15349" t="s">
        <v>15354</v>
      </c>
      <c r="C15349">
        <f>HYPERLINK("C:\Users\franc\OneDrive\Documentos\MALENTIN KARIME\BANCO ESTADO\2012 DEPTO ESCRITURAS fata\Dc Simples\RESPALDO comp notaria 27_12_12\NOTARIA 2012\SOC. DE HECHO\PROTESTOS\UPV\ALEXIS VALENZUELA.doc", "Abrir Documento")</f>
        <v>0</v>
      </c>
      <c r="D15349" t="s">
        <v>23500</v>
      </c>
      <c r="E15349" t="s">
        <v>37824</v>
      </c>
    </row>
    <row r="15350" spans="1:5">
      <c r="A15350" t="s">
        <v>6</v>
      </c>
      <c r="B15350" t="s">
        <v>15355</v>
      </c>
      <c r="C15350">
        <f>HYPERLINK("C:\Users\franc\OneDrive\Documentos\MALENTIN KARIME\BANCO ESTADO\2012 DEPTO ESCRITURAS fata\Dc Simples\RESPALDO comp notaria 27_12_12\NOTARIA 2012\SOC. DE HECHO\PROTESTOS\UPV\ALEXIS LOPEZ.doc", "Abrir Documento")</f>
        <v>0</v>
      </c>
      <c r="D15350" t="s">
        <v>23500</v>
      </c>
      <c r="E15350" t="s">
        <v>37825</v>
      </c>
    </row>
    <row r="15351" spans="1:5">
      <c r="A15351" t="s">
        <v>6</v>
      </c>
      <c r="B15351" t="s">
        <v>15356</v>
      </c>
      <c r="C15351">
        <f>HYPERLINK("C:\Users\franc\OneDrive\Documentos\MALENTIN KARIME\BANCO ESTADO\2012 DEPTO ESCRITURAS fata\Dc Simples\RESPALDO comp notaria 27_12_12\NOTARIA 2012\SOC. DE HECHO\PROTESTOS\XENIT LTDA..xls", "Abrir Documento")</f>
        <v>0</v>
      </c>
      <c r="D15351" t="s">
        <v>23500</v>
      </c>
      <c r="E15351" t="s">
        <v>37826</v>
      </c>
    </row>
    <row r="15352" spans="1:5">
      <c r="A15352" t="s">
        <v>6</v>
      </c>
      <c r="B15352" t="s">
        <v>15357</v>
      </c>
      <c r="C15352">
        <f>HYPERLINK("C:\Users\franc\OneDrive\Documentos\MALENTIN KARIME\BANCO ESTADO\2012 DEPTO ESCRITURAS fata\Dc Simples\RESPALDO comp notaria 27_12_12\NOTARIA 2012\SOC. DE HECHO\PROTESTOS\SIN PROTESTO.xls", "Abrir Documento")</f>
        <v>0</v>
      </c>
      <c r="D15352" t="s">
        <v>23500</v>
      </c>
      <c r="E15352" t="s">
        <v>37827</v>
      </c>
    </row>
    <row r="15353" spans="1:5">
      <c r="A15353" t="s">
        <v>6</v>
      </c>
      <c r="B15353" t="s">
        <v>15358</v>
      </c>
      <c r="C15353">
        <f>HYPERLINK("C:\Users\franc\OneDrive\Documentos\MALENTIN KARIME\BANCO ESTADO\2012 DEPTO ESCRITURAS fata\Dc Simples\RESPALDO comp notaria 27_12_12\NOTARIA 2012\SOC. DE HECHO\PROTESTOS\RECIBO JACINTO.doc", "Abrir Documento")</f>
        <v>0</v>
      </c>
      <c r="D15353" t="s">
        <v>23500</v>
      </c>
      <c r="E15353" t="s">
        <v>37828</v>
      </c>
    </row>
    <row r="15354" spans="1:5">
      <c r="A15354" t="s">
        <v>6</v>
      </c>
      <c r="B15354" t="s">
        <v>15359</v>
      </c>
      <c r="C15354">
        <f>HYPERLINK("C:\Users\franc\OneDrive\Documentos\MALENTIN KARIME\BANCO ESTADO\2012 DEPTO ESCRITURAS fata\Dc Simples\RESPALDO comp notaria 27_12_12\NOTARIA 2012\SOC. DE HECHO\PROTESTOS\RECIBO IMPUESTO.doc", "Abrir Documento")</f>
        <v>0</v>
      </c>
      <c r="D15354" t="s">
        <v>23500</v>
      </c>
      <c r="E15354" t="s">
        <v>37829</v>
      </c>
    </row>
    <row r="15355" spans="1:5">
      <c r="A15355" t="s">
        <v>6</v>
      </c>
      <c r="B15355" t="s">
        <v>15360</v>
      </c>
      <c r="C15355">
        <f>HYPERLINK("C:\Users\franc\OneDrive\Documentos\MALENTIN KARIME\BANCO ESTADO\2012 DEPTO ESCRITURAS fata\Dc Simples\RESPALDO comp notaria 27_12_12\NOTARIA 2012\SOC. DE HECHO\PROTESTOS\PRECIOS SOBRE $2.000.000.doc", "Abrir Documento")</f>
        <v>0</v>
      </c>
      <c r="D15355" t="s">
        <v>23500</v>
      </c>
      <c r="E15355" t="s">
        <v>37830</v>
      </c>
    </row>
    <row r="15356" spans="1:5">
      <c r="A15356" t="s">
        <v>6</v>
      </c>
      <c r="B15356" t="s">
        <v>15361</v>
      </c>
      <c r="C15356">
        <f>HYPERLINK("C:\Users\franc\OneDrive\Documentos\MALENTIN KARIME\BANCO ESTADO\2012 DEPTO ESCRITURAS fata\Dc Simples\RESPALDO comp notaria 27_12_12\NOTARIA 2012\SOC. DE HECHO\PROTESTOS\PRECIOS PROTESTO.xls", "Abrir Documento")</f>
        <v>0</v>
      </c>
      <c r="D15356" t="s">
        <v>23500</v>
      </c>
      <c r="E15356" t="s">
        <v>37831</v>
      </c>
    </row>
    <row r="15357" spans="1:5">
      <c r="A15357" t="s">
        <v>6</v>
      </c>
      <c r="B15357" t="s">
        <v>15362</v>
      </c>
      <c r="C15357">
        <f>HYPERLINK("C:\Users\franc\OneDrive\Documentos\MALENTIN KARIME\BANCO ESTADO\2012 DEPTO ESCRITURAS fata\Dc Simples\RESPALDO comp notaria 27_12_12\NOTARIA 2012\SOC. DE HECHO\PROTESTOS\PAGARE URBANO.doc", "Abrir Documento")</f>
        <v>0</v>
      </c>
      <c r="D15357" t="s">
        <v>23500</v>
      </c>
      <c r="E15357" t="s">
        <v>37832</v>
      </c>
    </row>
    <row r="15358" spans="1:5">
      <c r="A15358" t="s">
        <v>6</v>
      </c>
      <c r="B15358" t="s">
        <v>15363</v>
      </c>
      <c r="C15358">
        <f>HYPERLINK("C:\Users\franc\OneDrive\Documentos\MALENTIN KARIME\BANCO ESTADO\2012 DEPTO ESCRITURAS fata\Dc Simples\RESPALDO comp notaria 27_12_12\NOTARIA 2012\SOC. DE HECHO\PROTESTOS\PAGARE RURAL.doc", "Abrir Documento")</f>
        <v>0</v>
      </c>
      <c r="D15358" t="s">
        <v>23500</v>
      </c>
      <c r="E15358" t="s">
        <v>37833</v>
      </c>
    </row>
    <row r="15359" spans="1:5">
      <c r="A15359" t="s">
        <v>6</v>
      </c>
      <c r="B15359" t="s">
        <v>15364</v>
      </c>
      <c r="C15359">
        <f>HYPERLINK("C:\Users\franc\OneDrive\Documentos\MALENTIN KARIME\BANCO ESTADO\2012 DEPTO ESCRITURAS fata\Dc Simples\RESPALDO comp notaria 27_12_12\NOTARIA 2012\SOC. DE HECHO\PROTESTOS\PAG. GONART URBANO.doc", "Abrir Documento")</f>
        <v>0</v>
      </c>
      <c r="D15359" t="s">
        <v>23500</v>
      </c>
      <c r="E15359" t="s">
        <v>37834</v>
      </c>
    </row>
    <row r="15360" spans="1:5">
      <c r="A15360" t="s">
        <v>6</v>
      </c>
      <c r="B15360" t="s">
        <v>15365</v>
      </c>
      <c r="C15360">
        <f>HYPERLINK("C:\Users\franc\OneDrive\Documentos\MALENTIN KARIME\BANCO ESTADO\2012 DEPTO ESCRITURAS fata\Dc Simples\RESPALDO comp notaria 27_12_12\NOTARIA 2012\SOC. DE HECHO\PROTESTOS\PAG. GONART RURAL.doc", "Abrir Documento")</f>
        <v>0</v>
      </c>
      <c r="D15360" t="s">
        <v>23500</v>
      </c>
      <c r="E15360" t="s">
        <v>37835</v>
      </c>
    </row>
    <row r="15361" spans="1:5">
      <c r="A15361" t="s">
        <v>6</v>
      </c>
      <c r="B15361" t="s">
        <v>15366</v>
      </c>
      <c r="C15361">
        <f>HYPERLINK("C:\Users\franc\OneDrive\Documentos\MALENTIN KARIME\BANCO ESTADO\2012 DEPTO ESCRITURAS fata\Dc Simples\RESPALDO comp notaria 27_12_12\NOTARIA 2012\SOC. DE HECHO\PROTESTOS\LISTADO GONART.xls", "Abrir Documento")</f>
        <v>0</v>
      </c>
      <c r="D15361" t="s">
        <v>23500</v>
      </c>
      <c r="E15361" t="s">
        <v>37836</v>
      </c>
    </row>
    <row r="15362" spans="1:5">
      <c r="A15362" t="s">
        <v>6</v>
      </c>
      <c r="B15362" t="s">
        <v>15367</v>
      </c>
      <c r="C15362">
        <f>HYPERLINK("C:\Users\franc\OneDrive\Documentos\MALENTIN KARIME\BANCO ESTADO\2012 DEPTO ESCRITURAS fata\Dc Simples\RESPALDO comp notaria 27_12_12\NOTARIA 2012\SOC. DE HECHO\PROTESTOS\LISTA.xls", "Abrir Documento")</f>
        <v>0</v>
      </c>
      <c r="D15362" t="s">
        <v>23500</v>
      </c>
      <c r="E15362" t="s">
        <v>37837</v>
      </c>
    </row>
    <row r="15363" spans="1:5">
      <c r="A15363" t="s">
        <v>6</v>
      </c>
      <c r="B15363" t="s">
        <v>15368</v>
      </c>
      <c r="C15363">
        <f>HYPERLINK("C:\Users\franc\OneDrive\Documentos\MALENTIN KARIME\BANCO ESTADO\2012 DEPTO ESCRITURAS fata\Dc Simples\RESPALDO comp notaria 27_12_12\NOTARIA 2012\SOC. DE HECHO\PROTESTOS\LISTA U. CENTRAL.xls", "Abrir Documento")</f>
        <v>0</v>
      </c>
      <c r="D15363" t="s">
        <v>23500</v>
      </c>
      <c r="E15363" t="s">
        <v>37838</v>
      </c>
    </row>
    <row r="15364" spans="1:5">
      <c r="A15364" t="s">
        <v>6</v>
      </c>
      <c r="B15364" t="s">
        <v>15369</v>
      </c>
      <c r="C15364">
        <f>HYPERLINK("C:\Users\franc\OneDrive\Documentos\MALENTIN KARIME\BANCO ESTADO\2012 DEPTO ESCRITURAS fata\Dc Simples\RESPALDO comp notaria 27_12_12\NOTARIA 2012\SOC. DE HECHO\PROTESTOS\LISTA LARGA CORPBANCA.xls", "Abrir Documento")</f>
        <v>0</v>
      </c>
      <c r="D15364" t="s">
        <v>23500</v>
      </c>
      <c r="E15364" t="s">
        <v>37839</v>
      </c>
    </row>
    <row r="15365" spans="1:5">
      <c r="A15365" t="s">
        <v>6</v>
      </c>
      <c r="B15365" t="s">
        <v>15370</v>
      </c>
      <c r="C15365">
        <f>HYPERLINK("C:\Users\franc\OneDrive\Documentos\MALENTIN KARIME\BANCO ESTADO\2012 DEPTO ESCRITURAS fata\Dc Simples\RESPALDO comp notaria 27_12_12\NOTARIA 2012\SOC. DE HECHO\PROTESTOS\LISTA INACAP.xls", "Abrir Documento")</f>
        <v>0</v>
      </c>
      <c r="D15365" t="s">
        <v>23500</v>
      </c>
      <c r="E15365" t="s">
        <v>37840</v>
      </c>
    </row>
    <row r="15366" spans="1:5">
      <c r="A15366" t="s">
        <v>6</v>
      </c>
      <c r="B15366" t="s">
        <v>15371</v>
      </c>
      <c r="C15366">
        <f>HYPERLINK("C:\Users\franc\OneDrive\Documentos\MALENTIN KARIME\BANCO ESTADO\2012 DEPTO ESCRITURAS fata\Dc Simples\RESPALDO comp notaria 27_12_12\NOTARIA 2012\SOC. DE HECHO\PROTESTOS\LISTA CORPBANCA.xls", "Abrir Documento")</f>
        <v>0</v>
      </c>
      <c r="D15366" t="s">
        <v>23500</v>
      </c>
      <c r="E15366" t="s">
        <v>37841</v>
      </c>
    </row>
    <row r="15367" spans="1:5">
      <c r="A15367" t="s">
        <v>6</v>
      </c>
      <c r="B15367" t="s">
        <v>15372</v>
      </c>
      <c r="C15367">
        <f>HYPERLINK("C:\Users\franc\OneDrive\Documentos\MALENTIN KARIME\BANCO ESTADO\2012 DEPTO ESCRITURAS fata\Dc Simples\RESPALDO comp notaria 27_12_12\NOTARIA 2012\SOC. DE HECHO\PROTESTOS\LETRA URBANA.doc", "Abrir Documento")</f>
        <v>0</v>
      </c>
      <c r="D15367" t="s">
        <v>23500</v>
      </c>
      <c r="E15367" t="s">
        <v>37842</v>
      </c>
    </row>
    <row r="15368" spans="1:5">
      <c r="A15368" t="s">
        <v>6</v>
      </c>
      <c r="B15368" t="s">
        <v>15373</v>
      </c>
      <c r="C15368">
        <f>HYPERLINK("C:\Users\franc\OneDrive\Documentos\MALENTIN KARIME\BANCO ESTADO\2012 DEPTO ESCRITURAS fata\Dc Simples\RESPALDO comp notaria 27_12_12\NOTARIA 2012\SOC. DE HECHO\PROTESTOS\LETRA RURAL.doc", "Abrir Documento")</f>
        <v>0</v>
      </c>
      <c r="D15368" t="s">
        <v>23500</v>
      </c>
      <c r="E15368" t="s">
        <v>37843</v>
      </c>
    </row>
    <row r="15369" spans="1:5">
      <c r="A15369" t="s">
        <v>6</v>
      </c>
      <c r="B15369" t="s">
        <v>15374</v>
      </c>
      <c r="C15369">
        <f>HYPERLINK("C:\Users\franc\OneDrive\Documentos\MALENTIN KARIME\BANCO ESTADO\2012 DEPTO ESCRITURAS fata\Dc Simples\RESPALDO comp notaria 27_12_12\NOTARIA 2012\SOC. DE HECHO\PROTESTOS\ESTRELLA ALPINA.xls", "Abrir Documento")</f>
        <v>0</v>
      </c>
      <c r="D15369" t="s">
        <v>23500</v>
      </c>
      <c r="E15369" t="s">
        <v>37844</v>
      </c>
    </row>
    <row r="15370" spans="1:5">
      <c r="A15370" t="s">
        <v>6</v>
      </c>
      <c r="B15370" t="s">
        <v>15375</v>
      </c>
      <c r="C15370">
        <f>HYPERLINK("C:\Users\franc\OneDrive\Documentos\MALENTIN KARIME\BANCO ESTADO\2012 DEPTO ESCRITURAS fata\Dc Simples\RESPALDO comp notaria 27_12_12\NOTARIA 2012\SOC. DE HECHO\PROTESTOS\ESTRELLA ALP. CORTA.xls", "Abrir Documento")</f>
        <v>0</v>
      </c>
      <c r="D15370" t="s">
        <v>23500</v>
      </c>
      <c r="E15370" t="s">
        <v>37845</v>
      </c>
    </row>
    <row r="15371" spans="1:5">
      <c r="A15371" t="s">
        <v>6</v>
      </c>
      <c r="B15371" t="s">
        <v>15376</v>
      </c>
      <c r="C15371">
        <f>HYPERLINK("C:\Users\franc\OneDrive\Documentos\MALENTIN KARIME\BANCO ESTADO\2012 DEPTO ESCRITURAS fata\Dc Simples\RESPALDO comp notaria 27_12_12\NOTARIA 2012\SOC. DE HECHO\PROTESTOS\DALBOSCO URBANO.doc", "Abrir Documento")</f>
        <v>0</v>
      </c>
      <c r="D15371" t="s">
        <v>23500</v>
      </c>
      <c r="E15371" t="s">
        <v>37846</v>
      </c>
    </row>
    <row r="15372" spans="1:5">
      <c r="A15372" t="s">
        <v>6</v>
      </c>
      <c r="B15372" t="s">
        <v>15377</v>
      </c>
      <c r="C15372">
        <f>HYPERLINK("C:\Users\franc\OneDrive\Documentos\MALENTIN KARIME\BANCO ESTADO\2012 DEPTO ESCRITURAS fata\Dc Simples\RESPALDO comp notaria 27_12_12\NOTARIA 2012\SOC. DE HECHO\PROTESTOS\DALBOSCO RURAL.doc", "Abrir Documento")</f>
        <v>0</v>
      </c>
      <c r="D15372" t="s">
        <v>23500</v>
      </c>
      <c r="E15372" t="s">
        <v>37847</v>
      </c>
    </row>
    <row r="15373" spans="1:5">
      <c r="A15373" t="s">
        <v>6</v>
      </c>
      <c r="B15373" t="s">
        <v>15378</v>
      </c>
      <c r="C15373">
        <f>HYPERLINK("C:\Users\franc\OneDrive\Documentos\MALENTIN KARIME\BANCO ESTADO\2012 DEPTO ESCRITURAS fata\Dc Simples\RESPALDO comp notaria 27_12_12\NOTARIA 2012\SOC. DE HECHO\PROTESTOS\CORCAP.xls", "Abrir Documento")</f>
        <v>0</v>
      </c>
      <c r="D15373" t="s">
        <v>23500</v>
      </c>
      <c r="E15373" t="s">
        <v>37848</v>
      </c>
    </row>
    <row r="15374" spans="1:5">
      <c r="A15374" t="s">
        <v>6</v>
      </c>
      <c r="B15374" t="s">
        <v>15379</v>
      </c>
      <c r="C15374">
        <f>HYPERLINK("C:\Users\franc\OneDrive\Documentos\MALENTIN KARIME\BANCO ESTADO\2012 DEPTO ESCRITURAS fata\Dc Simples\RESPALDO comp notaria 27_12_12\NOTARIA 2012\SOC. DE HECHO\PROTESTOS\CITACION.doc", "Abrir Documento")</f>
        <v>0</v>
      </c>
      <c r="D15374" t="s">
        <v>23500</v>
      </c>
      <c r="E15374" t="s">
        <v>37849</v>
      </c>
    </row>
    <row r="15375" spans="1:5">
      <c r="A15375" t="s">
        <v>6</v>
      </c>
      <c r="B15375" t="s">
        <v>15380</v>
      </c>
      <c r="C15375">
        <f>HYPERLINK("C:\Users\franc\OneDrive\Documentos\MALENTIN KARIME\BANCO ESTADO\2012 DEPTO ESCRITURAS fata\Dc Simples\RESPALDO comp notaria 27_12_12\NOTARIA 2012\SOC. DE HECHO\PROTESTOS\CERTIFICADO BANCO.doc", "Abrir Documento")</f>
        <v>0</v>
      </c>
      <c r="D15375" t="s">
        <v>23500</v>
      </c>
      <c r="E15375" t="s">
        <v>37850</v>
      </c>
    </row>
    <row r="15376" spans="1:5">
      <c r="A15376" t="s">
        <v>6</v>
      </c>
      <c r="B15376" t="s">
        <v>15381</v>
      </c>
      <c r="C15376">
        <f>HYPERLINK("C:\Users\franc\OneDrive\Documentos\MALENTIN KARIME\BANCO ESTADO\2012 DEPTO ESCRITURAS fata\Dc Simples\RESPALDO comp notaria 27_12_12\NOTARIA 2012\SOC. DE HECHO\PROTESTOS\CANCELACION DE LETRAS.doc", "Abrir Documento")</f>
        <v>0</v>
      </c>
      <c r="D15376" t="s">
        <v>23500</v>
      </c>
      <c r="E15376" t="s">
        <v>37851</v>
      </c>
    </row>
    <row r="15377" spans="1:5">
      <c r="A15377" t="s">
        <v>6</v>
      </c>
      <c r="B15377" t="s">
        <v>15382</v>
      </c>
      <c r="C15377">
        <f>HYPERLINK("C:\Users\franc\OneDrive\Documentos\MALENTIN KARIME\BANCO ESTADO\2012 DEPTO ESCRITURAS fata\Dc Simples\RESPALDO comp notaria 27_12_12\NOTARIA 2012\SOC. DE HECHO\PROTESTOS\BCO.ESTADO PROT..xls", "Abrir Documento")</f>
        <v>0</v>
      </c>
      <c r="D15377" t="s">
        <v>23500</v>
      </c>
      <c r="E15377" t="s">
        <v>37852</v>
      </c>
    </row>
    <row r="15378" spans="1:5">
      <c r="A15378" t="s">
        <v>6</v>
      </c>
      <c r="B15378" t="s">
        <v>15383</v>
      </c>
      <c r="C15378">
        <f>HYPERLINK("C:\Users\franc\OneDrive\Documentos\MALENTIN KARIME\BANCO ESTADO\2012 DEPTO ESCRITURAS fata\Dc Simples\RESPALDO comp notaria 27_12_12\NOTARIA 2012\SOC. DE HECHO\PROTESTOS\BCO.ESTADO CANC..xls", "Abrir Documento")</f>
        <v>0</v>
      </c>
      <c r="D15378" t="s">
        <v>23500</v>
      </c>
      <c r="E15378" t="s">
        <v>37853</v>
      </c>
    </row>
    <row r="15379" spans="1:5">
      <c r="A15379" t="s">
        <v>6</v>
      </c>
      <c r="B15379" t="s">
        <v>15384</v>
      </c>
      <c r="C15379">
        <f>HYPERLINK("C:\Users\franc\OneDrive\Documentos\MALENTIN KARIME\BANCO ESTADO\2012 DEPTO ESCRITURAS fata\Dc Simples\RESPALDO comp notaria 27_12_12\NOTARIA 2012\SOC. DE HECHO\PROTESTOS\BANCO NOVA.xls", "Abrir Documento")</f>
        <v>0</v>
      </c>
      <c r="D15379" t="s">
        <v>23500</v>
      </c>
      <c r="E15379" t="s">
        <v>37854</v>
      </c>
    </row>
    <row r="15380" spans="1:5">
      <c r="A15380" t="s">
        <v>6</v>
      </c>
      <c r="B15380" t="s">
        <v>15385</v>
      </c>
      <c r="C15380">
        <f>HYPERLINK("C:\Users\franc\OneDrive\Documentos\MALENTIN KARIME\BANCO ESTADO\2012 DEPTO ESCRITURAS fata\Dc Simples\RESPALDO comp notaria 27_12_12\NOTARIA 2012\SOC. DE HECHO\SOTRAC.doc", "Abrir Documento")</f>
        <v>0</v>
      </c>
      <c r="D15380" t="s">
        <v>23500</v>
      </c>
      <c r="E15380" t="s">
        <v>37855</v>
      </c>
    </row>
    <row r="15381" spans="1:5">
      <c r="A15381" t="s">
        <v>6</v>
      </c>
      <c r="B15381" t="s">
        <v>15386</v>
      </c>
      <c r="C15381">
        <f>HYPERLINK("C:\Users\franc\OneDrive\Documentos\MALENTIN KARIME\BANCO ESTADO\2012 DEPTO ESCRITURAS fata\Dc Simples\RESPALDO comp notaria 27_12_12\NOTARIA 2012\SOC. DE HECHO\Sociedad de Hecho Mina San Ignacio.doc", "Abrir Documento")</f>
        <v>0</v>
      </c>
      <c r="D15381" t="s">
        <v>23500</v>
      </c>
      <c r="E15381" t="s">
        <v>37856</v>
      </c>
    </row>
    <row r="15382" spans="1:5">
      <c r="A15382" t="s">
        <v>6</v>
      </c>
      <c r="B15382" t="s">
        <v>15387</v>
      </c>
      <c r="C15382">
        <f>HYPERLINK("C:\Users\franc\OneDrive\Documentos\MALENTIN KARIME\BANCO ESTADO\2012 DEPTO ESCRITURAS fata\Dc Simples\RESPALDO comp notaria 27_12_12\NOTARIA 2012\SOC. DE HECHO\SOCIEDAD DE HECHO Cyntia.doc", "Abrir Documento")</f>
        <v>0</v>
      </c>
      <c r="D15382" t="s">
        <v>23500</v>
      </c>
      <c r="E15382" t="s">
        <v>37857</v>
      </c>
    </row>
    <row r="15383" spans="1:5">
      <c r="A15383" t="s">
        <v>6</v>
      </c>
      <c r="B15383" t="s">
        <v>15388</v>
      </c>
      <c r="C15383">
        <f>HYPERLINK("C:\Users\franc\OneDrive\Documentos\MALENTIN KARIME\BANCO ESTADO\2012 DEPTO ESCRITURAS fata\Dc Simples\RESPALDO comp notaria 27_12_12\NOTARIA 2012\SOC. DE HECHO\SOC. HECHO. BERNARDINA Y OTROS.doc", "Abrir Documento")</f>
        <v>0</v>
      </c>
      <c r="D15383" t="s">
        <v>23500</v>
      </c>
      <c r="E15383" t="s">
        <v>37858</v>
      </c>
    </row>
    <row r="15384" spans="1:5">
      <c r="A15384" t="s">
        <v>6</v>
      </c>
      <c r="B15384" t="s">
        <v>15389</v>
      </c>
      <c r="C15384">
        <f>HYPERLINK("C:\Users\franc\OneDrive\Documentos\MALENTIN KARIME\BANCO ESTADO\2012 DEPTO ESCRITURAS fata\Dc Simples\RESPALDO comp notaria 27_12_12\NOTARIA 2012\SOC. DE HECHO\SOC. HECHO PEDRO SEGOVIA.doc", "Abrir Documento")</f>
        <v>0</v>
      </c>
      <c r="D15384" t="s">
        <v>23500</v>
      </c>
      <c r="E15384" t="s">
        <v>37859</v>
      </c>
    </row>
    <row r="15385" spans="1:5">
      <c r="A15385" t="s">
        <v>6</v>
      </c>
      <c r="B15385" t="s">
        <v>15390</v>
      </c>
      <c r="C15385">
        <f>HYPERLINK("C:\Users\franc\OneDrive\Documentos\MALENTIN KARIME\BANCO ESTADO\2012 DEPTO ESCRITURAS fata\Dc Simples\RESPALDO comp notaria 27_12_12\NOTARIA 2012\SOC. DE HECHO\SOC. HECHO MYRIAM CASTRO Y OTRO.doc", "Abrir Documento")</f>
        <v>0</v>
      </c>
      <c r="D15385" t="s">
        <v>23500</v>
      </c>
      <c r="E15385" t="s">
        <v>37860</v>
      </c>
    </row>
    <row r="15386" spans="1:5">
      <c r="A15386" t="s">
        <v>6</v>
      </c>
      <c r="B15386" t="s">
        <v>15391</v>
      </c>
      <c r="C15386">
        <f>HYPERLINK("C:\Users\franc\OneDrive\Documentos\MALENTIN KARIME\BANCO ESTADO\2012 DEPTO ESCRITURAS fata\Dc Simples\RESPALDO comp notaria 27_12_12\NOTARIA 2012\SOC. DE HECHO\RUBINA ROBINSON Y OTRA.doc", "Abrir Documento")</f>
        <v>0</v>
      </c>
      <c r="D15386" t="s">
        <v>23500</v>
      </c>
      <c r="E15386" t="s">
        <v>37861</v>
      </c>
    </row>
    <row r="15387" spans="1:5">
      <c r="A15387" t="s">
        <v>6</v>
      </c>
      <c r="B15387" t="s">
        <v>15392</v>
      </c>
      <c r="C15387">
        <f>HYPERLINK("C:\Users\franc\OneDrive\Documentos\MALENTIN KARIME\BANCO ESTADO\2012 DEPTO ESCRITURAS fata\Dc Simples\RESPALDO comp notaria 27_12_12\NOTARIA 2012\SOC. DE HECHO\PRONTOLUZ.doc", "Abrir Documento")</f>
        <v>0</v>
      </c>
      <c r="D15387" t="s">
        <v>23500</v>
      </c>
      <c r="E15387" t="s">
        <v>37862</v>
      </c>
    </row>
    <row r="15388" spans="1:5">
      <c r="A15388" t="s">
        <v>6</v>
      </c>
      <c r="B15388" t="s">
        <v>15393</v>
      </c>
      <c r="C15388">
        <f>HYPERLINK("C:\Users\franc\OneDrive\Documentos\MALENTIN KARIME\BANCO ESTADO\2012 DEPTO ESCRITURAS fata\Dc Simples\RESPALDO comp notaria 27_12_12\NOTARIA 2012\SOC. DE HECHO\PATRICIA ARAYA Y OTROS.doc", "Abrir Documento")</f>
        <v>0</v>
      </c>
      <c r="D15388" t="s">
        <v>23500</v>
      </c>
      <c r="E15388" t="s">
        <v>37863</v>
      </c>
    </row>
    <row r="15389" spans="1:5">
      <c r="A15389" t="s">
        <v>6</v>
      </c>
      <c r="B15389" t="s">
        <v>15394</v>
      </c>
      <c r="C15389">
        <f>HYPERLINK("C:\Users\franc\OneDrive\Documentos\MALENTIN KARIME\BANCO ESTADO\2012 DEPTO ESCRITURAS fata\Dc Simples\RESPALDO comp notaria 27_12_12\NOTARIA 2012\SOC. DE HECHO\OLIVARES ARAYA SANDRO Y OTRO.doc", "Abrir Documento")</f>
        <v>0</v>
      </c>
      <c r="D15389" t="s">
        <v>23500</v>
      </c>
      <c r="E15389" t="s">
        <v>37864</v>
      </c>
    </row>
    <row r="15390" spans="1:5">
      <c r="A15390" t="s">
        <v>6</v>
      </c>
      <c r="B15390" t="s">
        <v>15395</v>
      </c>
      <c r="C15390">
        <f>HYPERLINK("C:\Users\franc\OneDrive\Documentos\MALENTIN KARIME\BANCO ESTADO\2012 DEPTO ESCRITURAS fata\Dc Simples\RESPALDO comp notaria 27_12_12\NOTARIA 2012\SOC. DE HECHO\MUÑOZ MARTA LIDIA Y OTRO.doc", "Abrir Documento")</f>
        <v>0</v>
      </c>
      <c r="D15390" t="s">
        <v>23500</v>
      </c>
      <c r="E15390" t="s">
        <v>37865</v>
      </c>
    </row>
    <row r="15391" spans="1:5">
      <c r="A15391" t="s">
        <v>6</v>
      </c>
      <c r="B15391" t="s">
        <v>15396</v>
      </c>
      <c r="C15391">
        <f>HYPERLINK("C:\Users\franc\OneDrive\Documentos\MALENTIN KARIME\BANCO ESTADO\2012 DEPTO ESCRITURAS fata\Dc Simples\RESPALDO comp notaria 27_12_12\NOTARIA 2012\SOC. DE HECHO\MOD. Y AMPLIACION PLAZO.doc", "Abrir Documento")</f>
        <v>0</v>
      </c>
      <c r="D15391" t="s">
        <v>23500</v>
      </c>
      <c r="E15391" t="s">
        <v>37866</v>
      </c>
    </row>
    <row r="15392" spans="1:5">
      <c r="A15392" t="s">
        <v>6</v>
      </c>
      <c r="B15392" t="s">
        <v>15397</v>
      </c>
      <c r="C15392">
        <f>HYPERLINK("C:\Users\franc\OneDrive\Documentos\MALENTIN KARIME\BANCO ESTADO\2012 DEPTO ESCRITURAS fata\Dc Simples\RESPALDO comp notaria 27_12_12\NOTARIA 2012\SOC. DE HECHO\MIRIAM ISABEL PLAZA COLLAO Y OTRA.doc", "Abrir Documento")</f>
        <v>0</v>
      </c>
      <c r="D15392" t="s">
        <v>23500</v>
      </c>
      <c r="E15392" t="s">
        <v>37867</v>
      </c>
    </row>
    <row r="15393" spans="1:5">
      <c r="A15393" t="s">
        <v>6</v>
      </c>
      <c r="B15393" t="s">
        <v>15398</v>
      </c>
      <c r="C15393">
        <f>HYPERLINK("C:\Users\franc\OneDrive\Documentos\MALENTIN KARIME\BANCO ESTADO\2012 DEPTO ESCRITURAS fata\Dc Simples\RESPALDO comp notaria 27_12_12\NOTARIA 2012\SOC. DE HECHO\MAYA SALVADOR Y OTRO.doc", "Abrir Documento")</f>
        <v>0</v>
      </c>
      <c r="D15393" t="s">
        <v>23500</v>
      </c>
      <c r="E15393" t="s">
        <v>37868</v>
      </c>
    </row>
    <row r="15394" spans="1:5">
      <c r="A15394" t="s">
        <v>6</v>
      </c>
      <c r="B15394" t="s">
        <v>15399</v>
      </c>
      <c r="C15394">
        <f>HYPERLINK("C:\Users\franc\OneDrive\Documentos\MALENTIN KARIME\BANCO ESTADO\2012 DEPTO ESCRITURAS fata\Dc Simples\RESPALDO comp notaria 27_12_12\NOTARIA 2012\SOC. DE HECHO\MARIA ANGELICA CORTES Y OTRA.doc", "Abrir Documento")</f>
        <v>0</v>
      </c>
      <c r="D15394" t="s">
        <v>23500</v>
      </c>
      <c r="E15394" t="s">
        <v>37869</v>
      </c>
    </row>
    <row r="15395" spans="1:5">
      <c r="A15395" t="s">
        <v>6</v>
      </c>
      <c r="B15395" t="s">
        <v>15400</v>
      </c>
      <c r="C15395">
        <f>HYPERLINK("C:\Users\franc\OneDrive\Documentos\MALENTIN KARIME\BANCO ESTADO\2012 DEPTO ESCRITURAS fata\Dc Simples\RESPALDO comp notaria 27_12_12\NOTARIA 2012\SOC. DE HECHO\MARCELO SEPULVEDA Y OTRO.doc", "Abrir Documento")</f>
        <v>0</v>
      </c>
      <c r="D15395" t="s">
        <v>23500</v>
      </c>
      <c r="E15395" t="s">
        <v>37870</v>
      </c>
    </row>
    <row r="15396" spans="1:5">
      <c r="A15396" t="s">
        <v>6</v>
      </c>
      <c r="B15396" t="s">
        <v>15401</v>
      </c>
      <c r="C15396">
        <f>HYPERLINK("C:\Users\franc\OneDrive\Documentos\MALENTIN KARIME\BANCO ESTADO\2012 DEPTO ESCRITURAS fata\Dc Simples\RESPALDO comp notaria 27_12_12\NOTARIA 2012\SOC. DE HECHO\LUIS CARRASCO Y OTRA.doc", "Abrir Documento")</f>
        <v>0</v>
      </c>
      <c r="D15396" t="s">
        <v>23500</v>
      </c>
      <c r="E15396" t="s">
        <v>37871</v>
      </c>
    </row>
    <row r="15397" spans="1:5">
      <c r="A15397" t="s">
        <v>6</v>
      </c>
      <c r="B15397" t="s">
        <v>15402</v>
      </c>
      <c r="C15397">
        <f>HYPERLINK("C:\Users\franc\OneDrive\Documentos\MALENTIN KARIME\BANCO ESTADO\2012 DEPTO ESCRITURAS fata\Dc Simples\RESPALDO comp notaria 27_12_12\NOTARIA 2012\SOC. DE HECHO\EUGENIA ROJAS Y OTRO.doc", "Abrir Documento")</f>
        <v>0</v>
      </c>
      <c r="D15397" t="s">
        <v>23500</v>
      </c>
      <c r="E15397" t="s">
        <v>37872</v>
      </c>
    </row>
    <row r="15398" spans="1:5">
      <c r="A15398" t="s">
        <v>6</v>
      </c>
      <c r="B15398" t="s">
        <v>15403</v>
      </c>
      <c r="C15398">
        <f>HYPERLINK("C:\Users\franc\OneDrive\Documentos\MALENTIN KARIME\BANCO ESTADO\2012 DEPTO ESCRITURAS fata\Dc Simples\RESPALDO comp notaria 27_12_12\NOTARIA 2012\SOC. DE HECHO\CAMPUSANO BERNARDO Y OTRO.doc", "Abrir Documento")</f>
        <v>0</v>
      </c>
      <c r="D15398" t="s">
        <v>23500</v>
      </c>
      <c r="E15398" t="s">
        <v>37873</v>
      </c>
    </row>
    <row r="15399" spans="1:5">
      <c r="A15399" t="s">
        <v>6</v>
      </c>
      <c r="B15399" t="s">
        <v>15404</v>
      </c>
      <c r="C15399">
        <f>HYPERLINK("C:\Users\franc\OneDrive\Documentos\MALENTIN KARIME\BANCO ESTADO\2012 DEPTO ESCRITURAS fata\Dc Simples\RESPALDO comp notaria 27_12_12\NOTARIA 2012\SOC. DE HECHO\AMPL. MIRIAM CASTRO Y OTRO.doc", "Abrir Documento")</f>
        <v>0</v>
      </c>
      <c r="D15399" t="s">
        <v>23500</v>
      </c>
      <c r="E15399" t="s">
        <v>37874</v>
      </c>
    </row>
    <row r="15400" spans="1:5">
      <c r="A15400" t="s">
        <v>6</v>
      </c>
      <c r="B15400" t="s">
        <v>15405</v>
      </c>
      <c r="C15400">
        <f>HYPERLINK("C:\Users\franc\OneDrive\Documentos\MALENTIN KARIME\BANCO ESTADO\2012 DEPTO ESCRITURAS fata\Dc Simples\RESPALDO comp notaria 27_12_12\NOTARIA 2012\PODERES\XENIT.doc", "Abrir Documento")</f>
        <v>0</v>
      </c>
      <c r="D15400" t="s">
        <v>23500</v>
      </c>
      <c r="E15400" t="s">
        <v>37875</v>
      </c>
    </row>
    <row r="15401" spans="1:5">
      <c r="A15401" t="s">
        <v>6</v>
      </c>
      <c r="B15401" t="s">
        <v>15406</v>
      </c>
      <c r="C15401">
        <f>HYPERLINK("C:\Users\franc\OneDrive\Documentos\MALENTIN KARIME\BANCO ESTADO\2012 DEPTO ESCRITURAS fata\Dc Simples\RESPALDO comp notaria 27_12_12\NOTARIA 2012\PODERES\VENTA VEHIC. SOCIEDAD.doc", "Abrir Documento")</f>
        <v>0</v>
      </c>
      <c r="D15401" t="s">
        <v>23500</v>
      </c>
      <c r="E15401" t="s">
        <v>37876</v>
      </c>
    </row>
    <row r="15402" spans="1:5">
      <c r="A15402" t="s">
        <v>6</v>
      </c>
      <c r="B15402" t="s">
        <v>15407</v>
      </c>
      <c r="C15402">
        <f>HYPERLINK("C:\Users\franc\OneDrive\Documentos\MALENTIN KARIME\BANCO ESTADO\2012 DEPTO ESCRITURAS fata\Dc Simples\RESPALDO comp notaria 27_12_12\NOTARIA 2012\PODERES\VENTA DE VEH. 2 pers..doc", "Abrir Documento")</f>
        <v>0</v>
      </c>
      <c r="D15402" t="s">
        <v>23500</v>
      </c>
      <c r="E15402" t="s">
        <v>37877</v>
      </c>
    </row>
    <row r="15403" spans="1:5">
      <c r="A15403" t="s">
        <v>6</v>
      </c>
      <c r="B15403" t="s">
        <v>15408</v>
      </c>
      <c r="C15403">
        <f>HYPERLINK("C:\Users\franc\OneDrive\Documentos\MALENTIN KARIME\BANCO ESTADO\2012 DEPTO ESCRITURAS fata\Dc Simples\RESPALDO comp notaria 27_12_12\NOTARIA 2012\PODERES\VENTA DE EMBARCACION.doc", "Abrir Documento")</f>
        <v>0</v>
      </c>
      <c r="D15403" t="s">
        <v>23500</v>
      </c>
      <c r="E15403" t="s">
        <v>37878</v>
      </c>
    </row>
    <row r="15404" spans="1:5">
      <c r="A15404" t="s">
        <v>6</v>
      </c>
      <c r="B15404" t="s">
        <v>15409</v>
      </c>
      <c r="C15404">
        <f>HYPERLINK("C:\Users\franc\OneDrive\Documentos\MALENTIN KARIME\BANCO ESTADO\2012 DEPTO ESCRITURAS fata\Dc Simples\RESPALDO comp notaria 27_12_12\NOTARIA 2012\PODERES\VENDER MOTO.doc", "Abrir Documento")</f>
        <v>0</v>
      </c>
      <c r="D15404" t="s">
        <v>23500</v>
      </c>
      <c r="E15404" t="s">
        <v>37879</v>
      </c>
    </row>
    <row r="15405" spans="1:5">
      <c r="A15405" t="s">
        <v>6</v>
      </c>
      <c r="B15405" t="s">
        <v>15410</v>
      </c>
      <c r="C15405">
        <f>HYPERLINK("C:\Users\franc\OneDrive\Documentos\MALENTIN KARIME\BANCO ESTADO\2012 DEPTO ESCRITURAS fata\Dc Simples\RESPALDO comp notaria 27_12_12\NOTARIA 2012\PODERES\VENDER ARMA.doc", "Abrir Documento")</f>
        <v>0</v>
      </c>
      <c r="D15405" t="s">
        <v>23500</v>
      </c>
      <c r="E15405" t="s">
        <v>37880</v>
      </c>
    </row>
    <row r="15406" spans="1:5">
      <c r="A15406" t="s">
        <v>6</v>
      </c>
      <c r="B15406" t="s">
        <v>15411</v>
      </c>
      <c r="C15406">
        <f>HYPERLINK("C:\Users\franc\OneDrive\Documentos\MALENTIN KARIME\BANCO ESTADO\2012 DEPTO ESCRITURAS fata\Dc Simples\RESPALDO comp notaria 27_12_12\NOTARIA 2012\PODERES\VEHICULOMANDATO Modelo.doc", "Abrir Documento")</f>
        <v>0</v>
      </c>
      <c r="D15406" t="s">
        <v>23500</v>
      </c>
      <c r="E15406" t="s">
        <v>37881</v>
      </c>
    </row>
    <row r="15407" spans="1:5">
      <c r="A15407" t="s">
        <v>6</v>
      </c>
      <c r="B15407" t="s">
        <v>15412</v>
      </c>
      <c r="C15407">
        <f>HYPERLINK("C:\Users\franc\OneDrive\Documentos\MALENTIN KARIME\BANCO ESTADO\2012 DEPTO ESCRITURAS fata\Dc Simples\RESPALDO comp notaria 27_12_12\NOTARIA 2012\PODERES\VEHICULO simple.doc", "Abrir Documento")</f>
        <v>0</v>
      </c>
      <c r="D15407" t="s">
        <v>23500</v>
      </c>
      <c r="E15407" t="s">
        <v>37882</v>
      </c>
    </row>
    <row r="15408" spans="1:5">
      <c r="A15408" t="s">
        <v>6</v>
      </c>
      <c r="B15408" t="s">
        <v>15413</v>
      </c>
      <c r="C15408">
        <f>HYPERLINK("C:\Users\franc\OneDrive\Documentos\MALENTIN KARIME\BANCO ESTADO\2012 DEPTO ESCRITURAS fata\Dc Simples\RESPALDO comp notaria 27_12_12\NOTARIA 2012\PODERES\VEHICULO simple CON ZONA FRANCA.doc", "Abrir Documento")</f>
        <v>0</v>
      </c>
      <c r="D15408" t="s">
        <v>23500</v>
      </c>
      <c r="E15408" t="s">
        <v>37883</v>
      </c>
    </row>
    <row r="15409" spans="1:5">
      <c r="A15409" t="s">
        <v>6</v>
      </c>
      <c r="B15409" t="s">
        <v>15414</v>
      </c>
      <c r="C15409">
        <f>HYPERLINK("C:\Users\franc\OneDrive\Documentos\MALENTIN KARIME\BANCO ESTADO\2012 DEPTO ESCRITURAS fata\Dc Simples\RESPALDO comp notaria 27_12_12\NOTARIA 2012\PODERES\VEHICULO REP..doc", "Abrir Documento")</f>
        <v>0</v>
      </c>
      <c r="D15409" t="s">
        <v>23500</v>
      </c>
      <c r="E15409" t="s">
        <v>37884</v>
      </c>
    </row>
    <row r="15410" spans="1:5">
      <c r="A15410" t="s">
        <v>6</v>
      </c>
      <c r="B15410" t="s">
        <v>15415</v>
      </c>
      <c r="C15410">
        <f>HYPERLINK("C:\Users\franc\OneDrive\Documentos\MALENTIN KARIME\BANCO ESTADO\2012 DEPTO ESCRITURAS fata\Dc Simples\RESPALDO comp notaria 27_12_12\NOTARIA 2012\PODERES\VEHICULO PATRICIO NICOLAS.doc", "Abrir Documento")</f>
        <v>0</v>
      </c>
      <c r="D15410" t="s">
        <v>23500</v>
      </c>
      <c r="E15410" t="s">
        <v>37885</v>
      </c>
    </row>
    <row r="15411" spans="1:5">
      <c r="A15411" t="s">
        <v>6</v>
      </c>
      <c r="B15411" t="s">
        <v>15416</v>
      </c>
      <c r="C15411">
        <f>HYPERLINK("C:\Users\franc\OneDrive\Documentos\MALENTIN KARIME\BANCO ESTADO\2012 DEPTO ESCRITURAS fata\Dc Simples\RESPALDO comp notaria 27_12_12\NOTARIA 2012\PODERES\VEHICULO PATRICIO NICOLAS tercero.doc", "Abrir Documento")</f>
        <v>0</v>
      </c>
      <c r="D15411" t="s">
        <v>23500</v>
      </c>
      <c r="E15411" t="s">
        <v>37886</v>
      </c>
    </row>
    <row r="15412" spans="1:5">
      <c r="A15412" t="s">
        <v>6</v>
      </c>
      <c r="B15412" t="s">
        <v>15417</v>
      </c>
      <c r="C15412">
        <f>HYPERLINK("C:\Users\franc\OneDrive\Documentos\MALENTIN KARIME\BANCO ESTADO\2012 DEPTO ESCRITURAS fata\Dc Simples\RESPALDO comp notaria 27_12_12\NOTARIA 2012\PODERES\VEHICULO amplio.doc", "Abrir Documento")</f>
        <v>0</v>
      </c>
      <c r="D15412" t="s">
        <v>23500</v>
      </c>
      <c r="E15412" t="s">
        <v>37887</v>
      </c>
    </row>
    <row r="15413" spans="1:5">
      <c r="A15413" t="s">
        <v>6</v>
      </c>
      <c r="B15413" t="s">
        <v>15418</v>
      </c>
      <c r="C15413">
        <f>HYPERLINK("C:\Users\franc\OneDrive\Documentos\MALENTIN KARIME\BANCO ESTADO\2012 DEPTO ESCRITURAS fata\Dc Simples\RESPALDO comp notaria 27_12_12\NOTARIA 2012\PODERES\VEHICULO amplio ok.doc", "Abrir Documento")</f>
        <v>0</v>
      </c>
      <c r="D15413" t="s">
        <v>23500</v>
      </c>
      <c r="E15413" t="s">
        <v>37888</v>
      </c>
    </row>
    <row r="15414" spans="1:5">
      <c r="A15414" t="s">
        <v>6</v>
      </c>
      <c r="B15414" t="s">
        <v>15419</v>
      </c>
      <c r="C15414">
        <f>HYPERLINK("C:\Users\franc\OneDrive\Documentos\MALENTIN KARIME\BANCO ESTADO\2012 DEPTO ESCRITURAS fata\Dc Simples\RESPALDO comp notaria 27_12_12\NOTARIA 2012\PODERES\VEHICULO  gerardo liendoamplio ok.doc", "Abrir Documento")</f>
        <v>0</v>
      </c>
      <c r="D15414" t="s">
        <v>23500</v>
      </c>
      <c r="E15414" t="s">
        <v>37889</v>
      </c>
    </row>
    <row r="15415" spans="1:5">
      <c r="A15415" t="s">
        <v>6</v>
      </c>
      <c r="B15415" t="s">
        <v>15420</v>
      </c>
      <c r="C15415">
        <f>HYPERLINK("C:\Users\franc\OneDrive\Documentos\MALENTIN KARIME\BANCO ESTADO\2012 DEPTO ESCRITURAS fata\Dc Simples\RESPALDO comp notaria 27_12_12\NOTARIA 2012\PODERES\USO CHEQUE EN BLANCO.doc", "Abrir Documento")</f>
        <v>0</v>
      </c>
      <c r="D15415" t="s">
        <v>23500</v>
      </c>
      <c r="E15415" t="s">
        <v>37890</v>
      </c>
    </row>
    <row r="15416" spans="1:5">
      <c r="A15416" t="s">
        <v>6</v>
      </c>
      <c r="B15416" t="s">
        <v>15421</v>
      </c>
      <c r="C15416">
        <f>HYPERLINK("C:\Users\franc\OneDrive\Documentos\MALENTIN KARIME\BANCO ESTADO\2012 DEPTO ESCRITURAS fata\Dc Simples\RESPALDO comp notaria 27_12_12\NOTARIA 2012\PODERES\universidad.doc", "Abrir Documento")</f>
        <v>0</v>
      </c>
      <c r="D15416" t="s">
        <v>23500</v>
      </c>
      <c r="E15416" t="s">
        <v>37891</v>
      </c>
    </row>
    <row r="15417" spans="1:5">
      <c r="A15417" t="s">
        <v>6</v>
      </c>
      <c r="B15417" t="s">
        <v>15422</v>
      </c>
      <c r="C15417">
        <f>HYPERLINK("C:\Users\franc\OneDrive\Documentos\MALENTIN KARIME\BANCO ESTADO\2012 DEPTO ESCRITURAS fata\Dc Simples\RESPALDO comp notaria 27_12_12\NOTARIA 2012\PODERES\universidad ASISTENCIA REUNION.doc", "Abrir Documento")</f>
        <v>0</v>
      </c>
      <c r="D15417" t="s">
        <v>23500</v>
      </c>
      <c r="E15417" t="s">
        <v>37892</v>
      </c>
    </row>
    <row r="15418" spans="1:5">
      <c r="A15418" t="s">
        <v>6</v>
      </c>
      <c r="B15418" t="s">
        <v>15423</v>
      </c>
      <c r="C15418">
        <f>HYPERLINK("C:\Users\franc\OneDrive\Documentos\MALENTIN KARIME\BANCO ESTADO\2012 DEPTO ESCRITURAS fata\Dc Simples\RESPALDO comp notaria 27_12_12\NOTARIA 2012\PODERES\UNION Y PATRIA.doc", "Abrir Documento")</f>
        <v>0</v>
      </c>
      <c r="D15418" t="s">
        <v>23500</v>
      </c>
      <c r="E15418" t="s">
        <v>37893</v>
      </c>
    </row>
    <row r="15419" spans="1:5">
      <c r="A15419" t="s">
        <v>6</v>
      </c>
      <c r="B15419" t="s">
        <v>15424</v>
      </c>
      <c r="C15419">
        <f>HYPERLINK("C:\Users\franc\OneDrive\Documentos\MALENTIN KARIME\BANCO ESTADO\2012 DEPTO ESCRITURAS fata\Dc Simples\RESPALDO comp notaria 27_12_12\NOTARIA 2012\PODERES\TRASPASO ACCIONES ELECOP.doc", "Abrir Documento")</f>
        <v>0</v>
      </c>
      <c r="D15419" t="s">
        <v>23500</v>
      </c>
      <c r="E15419" t="s">
        <v>37894</v>
      </c>
    </row>
    <row r="15420" spans="1:5">
      <c r="A15420" t="s">
        <v>6</v>
      </c>
      <c r="B15420" t="s">
        <v>15425</v>
      </c>
      <c r="C15420">
        <f>HYPERLINK("C:\Users\franc\OneDrive\Documentos\MALENTIN KARIME\BANCO ESTADO\2012 DEPTO ESCRITURAS fata\Dc Simples\RESPALDO comp notaria 27_12_12\NOTARIA 2012\PODERES\TRASPASO ACCIONES AGUA.doc", "Abrir Documento")</f>
        <v>0</v>
      </c>
      <c r="D15420" t="s">
        <v>23500</v>
      </c>
      <c r="E15420" t="s">
        <v>37895</v>
      </c>
    </row>
    <row r="15421" spans="1:5">
      <c r="A15421" t="s">
        <v>6</v>
      </c>
      <c r="B15421" t="s">
        <v>15426</v>
      </c>
      <c r="C15421">
        <f>HYPERLINK("C:\Users\franc\OneDrive\Documentos\MALENTIN KARIME\BANCO ESTADO\2012 DEPTO ESCRITURAS fata\Dc Simples\RESPALDO comp notaria 27_12_12\NOTARIA 2012\PODERES\TRASLADO REO.doc", "Abrir Documento")</f>
        <v>0</v>
      </c>
      <c r="D15421" t="s">
        <v>23500</v>
      </c>
      <c r="E15421" t="s">
        <v>37896</v>
      </c>
    </row>
    <row r="15422" spans="1:5">
      <c r="A15422" t="s">
        <v>6</v>
      </c>
      <c r="B15422" t="s">
        <v>15427</v>
      </c>
      <c r="C15422">
        <f>HYPERLINK("C:\Users\franc\OneDrive\Documentos\MALENTIN KARIME\BANCO ESTADO\2012 DEPTO ESCRITURAS fata\Dc Simples\RESPALDO comp notaria 27_12_12\NOTARIA 2012\PODERES\TRAMITES GENDARMERIA.doc", "Abrir Documento")</f>
        <v>0</v>
      </c>
      <c r="D15422" t="s">
        <v>23500</v>
      </c>
      <c r="E15422" t="s">
        <v>37897</v>
      </c>
    </row>
    <row r="15423" spans="1:5">
      <c r="A15423" t="s">
        <v>6</v>
      </c>
      <c r="B15423" t="s">
        <v>15428</v>
      </c>
      <c r="C15423">
        <f>HYPERLINK("C:\Users\franc\OneDrive\Documentos\MALENTIN KARIME\BANCO ESTADO\2012 DEPTO ESCRITURAS fata\Dc Simples\RESPALDO comp notaria 27_12_12\NOTARIA 2012\PODERES\TRAMITES EXONERADOS.doc", "Abrir Documento")</f>
        <v>0</v>
      </c>
      <c r="D15423" t="s">
        <v>23500</v>
      </c>
      <c r="E15423" t="s">
        <v>37898</v>
      </c>
    </row>
    <row r="15424" spans="1:5">
      <c r="A15424" t="s">
        <v>6</v>
      </c>
      <c r="B15424" t="s">
        <v>15429</v>
      </c>
      <c r="C15424">
        <f>HYPERLINK("C:\Users\franc\OneDrive\Documentos\MALENTIN KARIME\BANCO ESTADO\2012 DEPTO ESCRITURAS fata\Dc Simples\RESPALDO comp notaria 27_12_12\NOTARIA 2012\PODERES\TRAMITES CAMBIO LINEA.doc", "Abrir Documento")</f>
        <v>0</v>
      </c>
      <c r="D15424" t="s">
        <v>23500</v>
      </c>
      <c r="E15424" t="s">
        <v>37899</v>
      </c>
    </row>
    <row r="15425" spans="1:5">
      <c r="A15425" t="s">
        <v>6</v>
      </c>
      <c r="B15425" t="s">
        <v>15430</v>
      </c>
      <c r="C15425">
        <f>HYPERLINK("C:\Users\franc\OneDrive\Documentos\MALENTIN KARIME\BANCO ESTADO\2012 DEPTO ESCRITURAS fata\Dc Simples\RESPALDO comp notaria 27_12_12\NOTARIA 2012\PODERES\TRAMITAR POSESION.doc", "Abrir Documento")</f>
        <v>0</v>
      </c>
      <c r="D15425" t="s">
        <v>23500</v>
      </c>
      <c r="E15425" t="s">
        <v>37900</v>
      </c>
    </row>
    <row r="15426" spans="1:5">
      <c r="A15426" t="s">
        <v>6</v>
      </c>
      <c r="B15426" t="s">
        <v>15431</v>
      </c>
      <c r="C15426">
        <f>HYPERLINK("C:\Users\franc\OneDrive\Documentos\MALENTIN KARIME\BANCO ESTADO\2012 DEPTO ESCRITURAS fata\Dc Simples\RESPALDO comp notaria 27_12_12\NOTARIA 2012\PODERES\TRAMITAR POSESION SRA. MARIA.doc", "Abrir Documento")</f>
        <v>0</v>
      </c>
      <c r="D15426" t="s">
        <v>23500</v>
      </c>
      <c r="E15426" t="s">
        <v>37901</v>
      </c>
    </row>
    <row r="15427" spans="1:5">
      <c r="A15427" t="s">
        <v>6</v>
      </c>
      <c r="B15427" t="s">
        <v>15432</v>
      </c>
      <c r="C15427">
        <f>HYPERLINK("C:\Users\franc\OneDrive\Documentos\MALENTIN KARIME\BANCO ESTADO\2012 DEPTO ESCRITURAS fata\Dc Simples\RESPALDO comp notaria 27_12_12\NOTARIA 2012\PODERES\TERMINO GIRO POSESION.doc", "Abrir Documento")</f>
        <v>0</v>
      </c>
      <c r="D15427" t="s">
        <v>23500</v>
      </c>
      <c r="E15427" t="s">
        <v>37902</v>
      </c>
    </row>
    <row r="15428" spans="1:5">
      <c r="A15428" t="s">
        <v>6</v>
      </c>
      <c r="B15428" t="s">
        <v>15433</v>
      </c>
      <c r="C15428">
        <f>HYPERLINK("C:\Users\franc\OneDrive\Documentos\MALENTIN KARIME\BANCO ESTADO\2012 DEPTO ESCRITURAS fata\Dc Simples\RESPALDO comp notaria 27_12_12\NOTARIA 2012\PODERES\TERMINO DE GIRO.doc", "Abrir Documento")</f>
        <v>0</v>
      </c>
      <c r="D15428" t="s">
        <v>23500</v>
      </c>
      <c r="E15428" t="s">
        <v>37903</v>
      </c>
    </row>
    <row r="15429" spans="1:5">
      <c r="A15429" t="s">
        <v>6</v>
      </c>
      <c r="B15429" t="s">
        <v>15434</v>
      </c>
      <c r="C15429">
        <f>HYPERLINK("C:\Users\franc\OneDrive\Documentos\MALENTIN KARIME\BANCO ESTADO\2012 DEPTO ESCRITURAS fata\Dc Simples\RESPALDO comp notaria 27_12_12\NOTARIA 2012\PODERES\TELEVIA.doc", "Abrir Documento")</f>
        <v>0</v>
      </c>
      <c r="D15429" t="s">
        <v>23500</v>
      </c>
      <c r="E15429" t="s">
        <v>37904</v>
      </c>
    </row>
    <row r="15430" spans="1:5">
      <c r="A15430" t="s">
        <v>6</v>
      </c>
      <c r="B15430" t="s">
        <v>15435</v>
      </c>
      <c r="C15430">
        <f>HYPERLINK("C:\Users\franc\OneDrive\Documentos\MALENTIN KARIME\BANCO ESTADO\2012 DEPTO ESCRITURAS fata\Dc Simples\RESPALDO comp notaria 27_12_12\NOTARIA 2012\PODERES\TAG.doc", "Abrir Documento")</f>
        <v>0</v>
      </c>
      <c r="D15430" t="s">
        <v>23500</v>
      </c>
      <c r="E15430" t="s">
        <v>37905</v>
      </c>
    </row>
    <row r="15431" spans="1:5">
      <c r="A15431" t="s">
        <v>6</v>
      </c>
      <c r="B15431" t="s">
        <v>15436</v>
      </c>
      <c r="C15431">
        <f>HYPERLINK("C:\Users\franc\OneDrive\Documentos\MALENTIN KARIME\BANCO ESTADO\2012 DEPTO ESCRITURAS fata\Dc Simples\RESPALDO comp notaria 27_12_12\NOTARIA 2012\PODERES\TAG covalsa.doc", "Abrir Documento")</f>
        <v>0</v>
      </c>
      <c r="D15431" t="s">
        <v>23500</v>
      </c>
      <c r="E15431" t="s">
        <v>37906</v>
      </c>
    </row>
    <row r="15432" spans="1:5">
      <c r="A15432" t="s">
        <v>6</v>
      </c>
      <c r="B15432" t="s">
        <v>15437</v>
      </c>
      <c r="C15432">
        <f>HYPERLINK("C:\Users\franc\OneDrive\Documentos\MALENTIN KARIME\BANCO ESTADO\2012 DEPTO ESCRITURAS fata\Dc Simples\RESPALDO comp notaria 27_12_12\NOTARIA 2012\PODERES\SOLO ARR. PROPIEDADES dos.doc", "Abrir Documento")</f>
        <v>0</v>
      </c>
      <c r="D15432" t="s">
        <v>23500</v>
      </c>
      <c r="E15432" t="s">
        <v>37907</v>
      </c>
    </row>
    <row r="15433" spans="1:5">
      <c r="A15433" t="s">
        <v>6</v>
      </c>
      <c r="B15433" t="s">
        <v>15438</v>
      </c>
      <c r="C15433">
        <f>HYPERLINK("C:\Users\franc\OneDrive\Documentos\MALENTIN KARIME\BANCO ESTADO\2012 DEPTO ESCRITURAS fata\Dc Simples\RESPALDO comp notaria 27_12_12\NOTARIA 2012\PODERES\SOCIEDAD DE HECHO.doc", "Abrir Documento")</f>
        <v>0</v>
      </c>
      <c r="D15433" t="s">
        <v>23500</v>
      </c>
      <c r="E15433" t="s">
        <v>37908</v>
      </c>
    </row>
    <row r="15434" spans="1:5">
      <c r="A15434" t="s">
        <v>6</v>
      </c>
      <c r="B15434" t="s">
        <v>15439</v>
      </c>
      <c r="C15434">
        <f>HYPERLINK("C:\Users\franc\OneDrive\Documentos\MALENTIN KARIME\BANCO ESTADO\2012 DEPTO ESCRITURAS fata\Dc Simples\RESPALDO comp notaria 27_12_12\NOTARIA 2012\PODERES\SII.MODELO.doc", "Abrir Documento")</f>
        <v>0</v>
      </c>
      <c r="D15434" t="s">
        <v>23500</v>
      </c>
      <c r="E15434" t="s">
        <v>37909</v>
      </c>
    </row>
    <row r="15435" spans="1:5">
      <c r="A15435" t="s">
        <v>6</v>
      </c>
      <c r="B15435" t="s">
        <v>15440</v>
      </c>
      <c r="C15435">
        <f>HYPERLINK("C:\Users\franc\OneDrive\Documentos\MALENTIN KARIME\BANCO ESTADO\2012 DEPTO ESCRITURAS fata\Dc Simples\RESPALDO comp notaria 27_12_12\NOTARIA 2012\PODERES\SII.MARIA BAHAMONDESdoc.doc", "Abrir Documento")</f>
        <v>0</v>
      </c>
      <c r="D15435" t="s">
        <v>23500</v>
      </c>
      <c r="E15435" t="s">
        <v>37910</v>
      </c>
    </row>
    <row r="15436" spans="1:5">
      <c r="A15436" t="s">
        <v>6</v>
      </c>
      <c r="B15436" t="s">
        <v>15441</v>
      </c>
      <c r="C15436">
        <f>HYPERLINK("C:\Users\franc\OneDrive\Documentos\MALENTIN KARIME\BANCO ESTADO\2012 DEPTO ESCRITURAS fata\Dc Simples\RESPALDO comp notaria 27_12_12\NOTARIA 2012\PODERES\SII. PEDRO IRARRAZABAL.doc", "Abrir Documento")</f>
        <v>0</v>
      </c>
      <c r="D15436" t="s">
        <v>23500</v>
      </c>
      <c r="E15436" t="s">
        <v>37911</v>
      </c>
    </row>
    <row r="15437" spans="1:5">
      <c r="A15437" t="s">
        <v>6</v>
      </c>
      <c r="B15437" t="s">
        <v>15442</v>
      </c>
      <c r="C15437">
        <f>HYPERLINK("C:\Users\franc\OneDrive\Documentos\MALENTIN KARIME\BANCO ESTADO\2012 DEPTO ESCRITURAS fata\Dc Simples\RESPALDO comp notaria 27_12_12\NOTARIA 2012\PODERES\SII. NOVLIA PLAZAdoc.doc", "Abrir Documento")</f>
        <v>0</v>
      </c>
      <c r="D15437" t="s">
        <v>23500</v>
      </c>
      <c r="E15437" t="s">
        <v>37912</v>
      </c>
    </row>
    <row r="15438" spans="1:5">
      <c r="A15438" t="s">
        <v>6</v>
      </c>
      <c r="B15438" t="s">
        <v>15443</v>
      </c>
      <c r="C15438">
        <f>HYPERLINK("C:\Users\franc\OneDrive\Documentos\MALENTIN KARIME\BANCO ESTADO\2012 DEPTO ESCRITURAS fata\Dc Simples\RESPALDO comp notaria 27_12_12\NOTARIA 2012\PODERES\SII. MALVINA URRUTIA.doc", "Abrir Documento")</f>
        <v>0</v>
      </c>
      <c r="D15438" t="s">
        <v>23500</v>
      </c>
      <c r="E15438" t="s">
        <v>37913</v>
      </c>
    </row>
    <row r="15439" spans="1:5">
      <c r="A15439" t="s">
        <v>6</v>
      </c>
      <c r="B15439" t="s">
        <v>15444</v>
      </c>
      <c r="C15439">
        <f>HYPERLINK("C:\Users\franc\OneDrive\Documentos\MALENTIN KARIME\BANCO ESTADO\2012 DEPTO ESCRITURAS fata\Dc Simples\RESPALDO comp notaria 27_12_12\NOTARIA 2012\PODERES\SII. IRIS VEGAdoc.doc", "Abrir Documento")</f>
        <v>0</v>
      </c>
      <c r="D15439" t="s">
        <v>23500</v>
      </c>
      <c r="E15439" t="s">
        <v>37914</v>
      </c>
    </row>
    <row r="15440" spans="1:5">
      <c r="A15440" t="s">
        <v>6</v>
      </c>
      <c r="B15440" t="s">
        <v>15445</v>
      </c>
      <c r="C15440">
        <f>HYPERLINK("C:\Users\franc\OneDrive\Documentos\MALENTIN KARIME\BANCO ESTADO\2012 DEPTO ESCRITURAS fata\Dc Simples\RESPALDO comp notaria 27_12_12\NOTARIA 2012\PODERES\SII. FILOMENA CASTILLO.doc", "Abrir Documento")</f>
        <v>0</v>
      </c>
      <c r="D15440" t="s">
        <v>23500</v>
      </c>
      <c r="E15440" t="s">
        <v>37915</v>
      </c>
    </row>
    <row r="15441" spans="1:5">
      <c r="A15441" t="s">
        <v>6</v>
      </c>
      <c r="B15441" t="s">
        <v>15446</v>
      </c>
      <c r="C15441">
        <f>HYPERLINK("C:\Users\franc\OneDrive\Documentos\MALENTIN KARIME\BANCO ESTADO\2012 DEPTO ESCRITURAS fata\Dc Simples\RESPALDO comp notaria 27_12_12\NOTARIA 2012\PODERES\SII. FILOMENA CASTILLO II.doc", "Abrir Documento")</f>
        <v>0</v>
      </c>
      <c r="D15441" t="s">
        <v>23500</v>
      </c>
      <c r="E15441" t="s">
        <v>37916</v>
      </c>
    </row>
    <row r="15442" spans="1:5">
      <c r="A15442" t="s">
        <v>6</v>
      </c>
      <c r="B15442" t="s">
        <v>15447</v>
      </c>
      <c r="C15442">
        <f>HYPERLINK("C:\Users\franc\OneDrive\Documentos\MALENTIN KARIME\BANCO ESTADO\2012 DEPTO ESCRITURAS fata\Dc Simples\RESPALDO comp notaria 27_12_12\NOTARIA 2012\PODERES\SII. DEYSI ANTIQUERAdoc.doc", "Abrir Documento")</f>
        <v>0</v>
      </c>
      <c r="D15442" t="s">
        <v>23500</v>
      </c>
      <c r="E15442" t="s">
        <v>37917</v>
      </c>
    </row>
    <row r="15443" spans="1:5">
      <c r="A15443" t="s">
        <v>6</v>
      </c>
      <c r="B15443" t="s">
        <v>15448</v>
      </c>
      <c r="C15443">
        <f>HYPERLINK("C:\Users\franc\OneDrive\Documentos\MALENTIN KARIME\BANCO ESTADO\2012 DEPTO ESCRITURAS fata\Dc Simples\RESPALDO comp notaria 27_12_12\NOTARIA 2012\PODERES\SII. ARDILES TAPIA.doc", "Abrir Documento")</f>
        <v>0</v>
      </c>
      <c r="D15443" t="s">
        <v>23500</v>
      </c>
      <c r="E15443" t="s">
        <v>37918</v>
      </c>
    </row>
    <row r="15444" spans="1:5">
      <c r="A15444" t="s">
        <v>6</v>
      </c>
      <c r="B15444" t="s">
        <v>15449</v>
      </c>
      <c r="C15444">
        <f>HYPERLINK("C:\Users\franc\OneDrive\Documentos\MALENTIN KARIME\BANCO ESTADO\2012 DEPTO ESCRITURAS fata\Dc Simples\RESPALDO comp notaria 27_12_12\NOTARIA 2012\PODERES\SII. ARDILES TAPIA COM..doc", "Abrir Documento")</f>
        <v>0</v>
      </c>
      <c r="D15444" t="s">
        <v>23500</v>
      </c>
      <c r="E15444" t="s">
        <v>37919</v>
      </c>
    </row>
    <row r="15445" spans="1:5">
      <c r="A15445" t="s">
        <v>6</v>
      </c>
      <c r="B15445" t="s">
        <v>15450</v>
      </c>
      <c r="C15445">
        <f>HYPERLINK("C:\Users\franc\OneDrive\Documentos\MALENTIN KARIME\BANCO ESTADO\2012 DEPTO ESCRITURAS fata\Dc Simples\RESPALDO comp notaria 27_12_12\NOTARIA 2012\PODERES\SERVIU, SUBSIDIOS.doc", "Abrir Documento")</f>
        <v>0</v>
      </c>
      <c r="D15445" t="s">
        <v>23500</v>
      </c>
      <c r="E15445" t="s">
        <v>37920</v>
      </c>
    </row>
    <row r="15446" spans="1:5">
      <c r="A15446" t="s">
        <v>6</v>
      </c>
      <c r="B15446" t="s">
        <v>15451</v>
      </c>
      <c r="C15446">
        <f>HYPERLINK("C:\Users\franc\OneDrive\Documentos\MALENTIN KARIME\BANCO ESTADO\2012 DEPTO ESCRITURAS fata\Dc Simples\RESPALDO comp notaria 27_12_12\NOTARIA 2012\PODERES\SERVIPAG.doc", "Abrir Documento")</f>
        <v>0</v>
      </c>
      <c r="D15446" t="s">
        <v>23500</v>
      </c>
      <c r="E15446" t="s">
        <v>37921</v>
      </c>
    </row>
    <row r="15447" spans="1:5">
      <c r="A15447" t="s">
        <v>6</v>
      </c>
      <c r="B15447" t="s">
        <v>15452</v>
      </c>
      <c r="C15447">
        <f>HYPERLINK("C:\Users\franc\OneDrive\Documentos\MALENTIN KARIME\BANCO ESTADO\2012 DEPTO ESCRITURAS fata\Dc Simples\RESPALDO comp notaria 27_12_12\NOTARIA 2012\PODERES\SERVICIO MILITAR.doc", "Abrir Documento")</f>
        <v>0</v>
      </c>
      <c r="D15447" t="s">
        <v>23500</v>
      </c>
      <c r="E15447" t="s">
        <v>37922</v>
      </c>
    </row>
    <row r="15448" spans="1:5">
      <c r="A15448" t="s">
        <v>6</v>
      </c>
      <c r="B15448" t="s">
        <v>15453</v>
      </c>
      <c r="C15448">
        <f>HYPERLINK("C:\Users\franc\OneDrive\Documentos\MALENTIN KARIME\BANCO ESTADO\2012 DEPTO ESCRITURAS fata\Dc Simples\RESPALDO comp notaria 27_12_12\NOTARIA 2012\PODERES\SANEAR PROPIEDAD.doc", "Abrir Documento")</f>
        <v>0</v>
      </c>
      <c r="D15448" t="s">
        <v>23500</v>
      </c>
      <c r="E15448" t="s">
        <v>37923</v>
      </c>
    </row>
    <row r="15449" spans="1:5">
      <c r="A15449" t="s">
        <v>6</v>
      </c>
      <c r="B15449" t="s">
        <v>15454</v>
      </c>
      <c r="C15449">
        <f>HYPERLINK("C:\Users\franc\OneDrive\Documentos\MALENTIN KARIME\BANCO ESTADO\2012 DEPTO ESCRITURAS fata\Dc Simples\RESPALDO comp notaria 27_12_12\NOTARIA 2012\PODERES\SAMUEL ROJO.doc", "Abrir Documento")</f>
        <v>0</v>
      </c>
      <c r="D15449" t="s">
        <v>23500</v>
      </c>
      <c r="E15449" t="s">
        <v>37924</v>
      </c>
    </row>
    <row r="15450" spans="1:5">
      <c r="A15450" t="s">
        <v>6</v>
      </c>
      <c r="B15450" t="s">
        <v>15455</v>
      </c>
      <c r="C15450">
        <f>HYPERLINK("C:\Users\franc\OneDrive\Documentos\MALENTIN KARIME\BANCO ESTADO\2012 DEPTO ESCRITURAS fata\Dc Simples\RESPALDO comp notaria 27_12_12\NOTARIA 2012\PODERES\REVOCACION PODER.doc", "Abrir Documento")</f>
        <v>0</v>
      </c>
      <c r="D15450" t="s">
        <v>23500</v>
      </c>
      <c r="E15450" t="s">
        <v>37925</v>
      </c>
    </row>
    <row r="15451" spans="1:5">
      <c r="A15451" t="s">
        <v>6</v>
      </c>
      <c r="B15451" t="s">
        <v>15456</v>
      </c>
      <c r="C15451">
        <f>HYPERLINK("C:\Users\franc\OneDrive\Documentos\MALENTIN KARIME\BANCO ESTADO\2012 DEPTO ESCRITURAS fata\Dc Simples\RESPALDO comp notaria 27_12_12\NOTARIA 2012\PODERES\RETIRO vehiculo.doc", "Abrir Documento")</f>
        <v>0</v>
      </c>
      <c r="D15451" t="s">
        <v>23500</v>
      </c>
      <c r="E15451" t="s">
        <v>37926</v>
      </c>
    </row>
    <row r="15452" spans="1:5">
      <c r="A15452" t="s">
        <v>6</v>
      </c>
      <c r="B15452" t="s">
        <v>15457</v>
      </c>
      <c r="C15452">
        <f>HYPERLINK("C:\Users\franc\OneDrive\Documentos\MALENTIN KARIME\BANCO ESTADO\2012 DEPTO ESCRITURAS fata\Dc Simples\RESPALDO comp notaria 27_12_12\NOTARIA 2012\PODERES\RETIRO TITULO.doc", "Abrir Documento")</f>
        <v>0</v>
      </c>
      <c r="D15452" t="s">
        <v>23500</v>
      </c>
      <c r="E15452" t="s">
        <v>37927</v>
      </c>
    </row>
    <row r="15453" spans="1:5">
      <c r="A15453" t="s">
        <v>6</v>
      </c>
      <c r="B15453" t="s">
        <v>15458</v>
      </c>
      <c r="C15453">
        <f>HYPERLINK("C:\Users\franc\OneDrive\Documentos\MALENTIN KARIME\BANCO ESTADO\2012 DEPTO ESCRITURAS fata\Dc Simples\RESPALDO comp notaria 27_12_12\NOTARIA 2012\PODERES\RETIRO PLATA SUCESION.doc", "Abrir Documento")</f>
        <v>0</v>
      </c>
      <c r="D15453" t="s">
        <v>23500</v>
      </c>
      <c r="E15453" t="s">
        <v>37928</v>
      </c>
    </row>
    <row r="15454" spans="1:5">
      <c r="A15454" t="s">
        <v>6</v>
      </c>
      <c r="B15454" t="s">
        <v>15459</v>
      </c>
      <c r="C15454">
        <f>HYPERLINK("C:\Users\franc\OneDrive\Documentos\MALENTIN KARIME\BANCO ESTADO\2012 DEPTO ESCRITURAS fata\Dc Simples\RESPALDO comp notaria 27_12_12\NOTARIA 2012\PODERES\RETIRO PLATA pension.doc", "Abrir Documento")</f>
        <v>0</v>
      </c>
      <c r="D15454" t="s">
        <v>23500</v>
      </c>
      <c r="E15454" t="s">
        <v>37929</v>
      </c>
    </row>
    <row r="15455" spans="1:5">
      <c r="A15455" t="s">
        <v>6</v>
      </c>
      <c r="B15455" t="s">
        <v>15460</v>
      </c>
      <c r="C15455">
        <f>HYPERLINK("C:\Users\franc\OneDrive\Documentos\MALENTIN KARIME\BANCO ESTADO\2012 DEPTO ESCRITURAS fata\Dc Simples\RESPALDO comp notaria 27_12_12\NOTARIA 2012\PODERES\RETIRO PLANO.doc", "Abrir Documento")</f>
        <v>0</v>
      </c>
      <c r="D15455" t="s">
        <v>23500</v>
      </c>
      <c r="E15455" t="s">
        <v>37930</v>
      </c>
    </row>
    <row r="15456" spans="1:5">
      <c r="A15456" t="s">
        <v>6</v>
      </c>
      <c r="B15456" t="s">
        <v>15461</v>
      </c>
      <c r="C15456">
        <f>HYPERLINK("C:\Users\franc\OneDrive\Documentos\MALENTIN KARIME\BANCO ESTADO\2012 DEPTO ESCRITURAS fata\Dc Simples\RESPALDO comp notaria 27_12_12\NOTARIA 2012\PODERES\RETIRO PASAPORTE.doc", "Abrir Documento")</f>
        <v>0</v>
      </c>
      <c r="D15456" t="s">
        <v>23500</v>
      </c>
      <c r="E15456" t="s">
        <v>37931</v>
      </c>
    </row>
    <row r="15457" spans="1:5">
      <c r="A15457" t="s">
        <v>6</v>
      </c>
      <c r="B15457" t="s">
        <v>15462</v>
      </c>
      <c r="C15457">
        <f>HYPERLINK("C:\Users\franc\OneDrive\Documentos\MALENTIN KARIME\BANCO ESTADO\2012 DEPTO ESCRITURAS fata\Dc Simples\RESPALDO comp notaria 27_12_12\NOTARIA 2012\PODERES\RETIRO padron.doc", "Abrir Documento")</f>
        <v>0</v>
      </c>
      <c r="D15457" t="s">
        <v>23500</v>
      </c>
      <c r="E15457" t="s">
        <v>37932</v>
      </c>
    </row>
    <row r="15458" spans="1:5">
      <c r="A15458" t="s">
        <v>6</v>
      </c>
      <c r="B15458" t="s">
        <v>15463</v>
      </c>
      <c r="C15458">
        <f>HYPERLINK("C:\Users\franc\OneDrive\Documentos\MALENTIN KARIME\BANCO ESTADO\2012 DEPTO ESCRITURAS fata\Dc Simples\RESPALDO comp notaria 27_12_12\NOTARIA 2012\PODERES\RETIRO mercaderias en aduanas.doc", "Abrir Documento")</f>
        <v>0</v>
      </c>
      <c r="D15458" t="s">
        <v>23500</v>
      </c>
      <c r="E15458" t="s">
        <v>37933</v>
      </c>
    </row>
    <row r="15459" spans="1:5">
      <c r="A15459" t="s">
        <v>6</v>
      </c>
      <c r="B15459" t="s">
        <v>15464</v>
      </c>
      <c r="C15459">
        <f>HYPERLINK("C:\Users\franc\OneDrive\Documentos\MALENTIN KARIME\BANCO ESTADO\2012 DEPTO ESCRITURAS fata\Dc Simples\RESPALDO comp notaria 27_12_12\NOTARIA 2012\PODERES\RETIRO LICENCIA.doc", "Abrir Documento")</f>
        <v>0</v>
      </c>
      <c r="D15459" t="s">
        <v>23500</v>
      </c>
      <c r="E15459" t="s">
        <v>37934</v>
      </c>
    </row>
    <row r="15460" spans="1:5">
      <c r="A15460" t="s">
        <v>6</v>
      </c>
      <c r="B15460" t="s">
        <v>15465</v>
      </c>
      <c r="C15460">
        <f>HYPERLINK("C:\Users\franc\OneDrive\Documentos\MALENTIN KARIME\BANCO ESTADO\2012 DEPTO ESCRITURAS fata\Dc Simples\RESPALDO comp notaria 27_12_12\NOTARIA 2012\PODERES\RETIRO INSCRIPCION MINERA.doc", "Abrir Documento")</f>
        <v>0</v>
      </c>
      <c r="D15460" t="s">
        <v>23500</v>
      </c>
      <c r="E15460" t="s">
        <v>37935</v>
      </c>
    </row>
    <row r="15461" spans="1:5">
      <c r="A15461" t="s">
        <v>6</v>
      </c>
      <c r="B15461" t="s">
        <v>15466</v>
      </c>
      <c r="C15461">
        <f>HYPERLINK("C:\Users\franc\OneDrive\Documentos\MALENTIN KARIME\BANCO ESTADO\2012 DEPTO ESCRITURAS fata\Dc Simples\RESPALDO comp notaria 27_12_12\NOTARIA 2012\PODERES\RETIRO finiquito.doc", "Abrir Documento")</f>
        <v>0</v>
      </c>
      <c r="D15461" t="s">
        <v>23500</v>
      </c>
      <c r="E15461" t="s">
        <v>37936</v>
      </c>
    </row>
    <row r="15462" spans="1:5">
      <c r="A15462" t="s">
        <v>6</v>
      </c>
      <c r="B15462" t="s">
        <v>15467</v>
      </c>
      <c r="C15462">
        <f>HYPERLINK("C:\Users\franc\OneDrive\Documentos\MALENTIN KARIME\BANCO ESTADO\2012 DEPTO ESCRITURAS fata\Dc Simples\RESPALDO comp notaria 27_12_12\NOTARIA 2012\PODERES\RETIRO ficha medica.doc", "Abrir Documento")</f>
        <v>0</v>
      </c>
      <c r="D15462" t="s">
        <v>23500</v>
      </c>
      <c r="E15462" t="s">
        <v>37937</v>
      </c>
    </row>
    <row r="15463" spans="1:5">
      <c r="A15463" t="s">
        <v>6</v>
      </c>
      <c r="B15463" t="s">
        <v>15468</v>
      </c>
      <c r="C15463">
        <f>HYPERLINK("C:\Users\franc\OneDrive\Documentos\MALENTIN KARIME\BANCO ESTADO\2012 DEPTO ESCRITURAS fata\Dc Simples\RESPALDO comp notaria 27_12_12\NOTARIA 2012\PODERES\RETIRO documento.doc", "Abrir Documento")</f>
        <v>0</v>
      </c>
      <c r="D15463" t="s">
        <v>23500</v>
      </c>
      <c r="E15463" t="s">
        <v>37938</v>
      </c>
    </row>
    <row r="15464" spans="1:5">
      <c r="A15464" t="s">
        <v>6</v>
      </c>
      <c r="B15464" t="s">
        <v>15469</v>
      </c>
      <c r="C15464">
        <f>HYPERLINK("C:\Users\franc\OneDrive\Documentos\MALENTIN KARIME\BANCO ESTADO\2012 DEPTO ESCRITURAS fata\Dc Simples\RESPALDO comp notaria 27_12_12\NOTARIA 2012\PODERES\RETIRO DE PLACA PATENTE.doc", "Abrir Documento")</f>
        <v>0</v>
      </c>
      <c r="D15464" t="s">
        <v>23500</v>
      </c>
      <c r="E15464" t="s">
        <v>37939</v>
      </c>
    </row>
    <row r="15465" spans="1:5">
      <c r="A15465" t="s">
        <v>6</v>
      </c>
      <c r="B15465" t="s">
        <v>15470</v>
      </c>
      <c r="C15465">
        <f>HYPERLINK("C:\Users\franc\OneDrive\Documentos\MALENTIN KARIME\BANCO ESTADO\2012 DEPTO ESCRITURAS fata\Dc Simples\RESPALDO comp notaria 27_12_12\NOTARIA 2012\PODERES\RETIRO DE DOCUMENTOS padron.doc", "Abrir Documento")</f>
        <v>0</v>
      </c>
      <c r="D15465" t="s">
        <v>23500</v>
      </c>
      <c r="E15465" t="s">
        <v>37940</v>
      </c>
    </row>
    <row r="15466" spans="1:5">
      <c r="A15466" t="s">
        <v>6</v>
      </c>
      <c r="B15466" t="s">
        <v>15471</v>
      </c>
      <c r="C15466">
        <f>HYPERLINK("C:\Users\franc\OneDrive\Documentos\MALENTIN KARIME\BANCO ESTADO\2012 DEPTO ESCRITURAS fata\Dc Simples\RESPALDO comp notaria 27_12_12\NOTARIA 2012\PODERES\RETIRO COBRO INDEMNIZACION.doc", "Abrir Documento")</f>
        <v>0</v>
      </c>
      <c r="D15466" t="s">
        <v>23500</v>
      </c>
      <c r="E15466" t="s">
        <v>37941</v>
      </c>
    </row>
    <row r="15467" spans="1:5">
      <c r="A15467" t="s">
        <v>6</v>
      </c>
      <c r="B15467" t="s">
        <v>15472</v>
      </c>
      <c r="C15467">
        <f>HYPERLINK("C:\Users\franc\OneDrive\Documentos\MALENTIN KARIME\BANCO ESTADO\2012 DEPTO ESCRITURAS fata\Dc Simples\RESPALDO comp notaria 27_12_12\NOTARIA 2012\PODERES\RETIRO  CHEQUE INSTRUCCION.doc", "Abrir Documento")</f>
        <v>0</v>
      </c>
      <c r="D15467" t="s">
        <v>23500</v>
      </c>
      <c r="E15467" t="s">
        <v>37942</v>
      </c>
    </row>
    <row r="15468" spans="1:5">
      <c r="A15468" t="s">
        <v>6</v>
      </c>
      <c r="B15468" t="s">
        <v>15473</v>
      </c>
      <c r="C15468">
        <f>HYPERLINK("C:\Users\franc\OneDrive\Documentos\MALENTIN KARIME\BANCO ESTADO\2012 DEPTO ESCRITURAS fata\Dc Simples\RESPALDO comp notaria 27_12_12\NOTARIA 2012\PODERES\retirar documento.doc", "Abrir Documento")</f>
        <v>0</v>
      </c>
      <c r="D15468" t="s">
        <v>23500</v>
      </c>
      <c r="E15468" t="s">
        <v>37943</v>
      </c>
    </row>
    <row r="15469" spans="1:5">
      <c r="A15469" t="s">
        <v>6</v>
      </c>
      <c r="B15469" t="s">
        <v>15474</v>
      </c>
      <c r="C15469">
        <f>HYPERLINK("C:\Users\franc\OneDrive\Documentos\MALENTIN KARIME\BANCO ESTADO\2012 DEPTO ESCRITURAS fata\Dc Simples\RESPALDO comp notaria 27_12_12\NOTARIA 2012\PODERES\REPACTAR DEUDA.doc", "Abrir Documento")</f>
        <v>0</v>
      </c>
      <c r="D15469" t="s">
        <v>23500</v>
      </c>
      <c r="E15469" t="s">
        <v>37944</v>
      </c>
    </row>
    <row r="15470" spans="1:5">
      <c r="A15470" t="s">
        <v>6</v>
      </c>
      <c r="B15470" t="s">
        <v>15475</v>
      </c>
      <c r="C15470">
        <f>HYPERLINK("C:\Users\franc\OneDrive\Documentos\MALENTIN KARIME\BANCO ESTADO\2012 DEPTO ESCRITURAS fata\Dc Simples\RESPALDO comp notaria 27_12_12\NOTARIA 2012\PODERES\renovaacion de TAG.doc", "Abrir Documento")</f>
        <v>0</v>
      </c>
      <c r="D15470" t="s">
        <v>23500</v>
      </c>
      <c r="E15470" t="s">
        <v>37945</v>
      </c>
    </row>
    <row r="15471" spans="1:5">
      <c r="A15471" t="s">
        <v>6</v>
      </c>
      <c r="B15471" t="s">
        <v>15476</v>
      </c>
      <c r="C15471">
        <f>HYPERLINK("C:\Users\franc\OneDrive\Documentos\MALENTIN KARIME\BANCO ESTADO\2012 DEPTO ESCRITURAS fata\Dc Simples\RESPALDO comp notaria 27_12_12\NOTARIA 2012\PODERES\RADIO TULAHUEN.doc", "Abrir Documento")</f>
        <v>0</v>
      </c>
      <c r="D15471" t="s">
        <v>23500</v>
      </c>
      <c r="E15471" t="s">
        <v>37946</v>
      </c>
    </row>
    <row r="15472" spans="1:5">
      <c r="A15472" t="s">
        <v>6</v>
      </c>
      <c r="B15472" t="s">
        <v>15477</v>
      </c>
      <c r="C15472">
        <f>HYPERLINK("C:\Users\franc\OneDrive\Documentos\MALENTIN KARIME\BANCO ESTADO\2012 DEPTO ESCRITURAS fata\Dc Simples\RESPALDO comp notaria 27_12_12\NOTARIA 2012\PODERES\PODER VTR. CMC.doc", "Abrir Documento")</f>
        <v>0</v>
      </c>
      <c r="D15472" t="s">
        <v>23500</v>
      </c>
      <c r="E15472" t="s">
        <v>37947</v>
      </c>
    </row>
    <row r="15473" spans="1:5">
      <c r="A15473" t="s">
        <v>6</v>
      </c>
      <c r="B15473" t="s">
        <v>15478</v>
      </c>
      <c r="C15473">
        <f>HYPERLINK("C:\Users\franc\OneDrive\Documentos\MALENTIN KARIME\BANCO ESTADO\2012 DEPTO ESCRITURAS fata\Dc Simples\RESPALDO comp notaria 27_12_12\NOTARIA 2012\PODERES\PODER PARA SUBSIDIO.doc", "Abrir Documento")</f>
        <v>0</v>
      </c>
      <c r="D15473" t="s">
        <v>23500</v>
      </c>
      <c r="E15473" t="s">
        <v>37948</v>
      </c>
    </row>
    <row r="15474" spans="1:5">
      <c r="A15474" t="s">
        <v>6</v>
      </c>
      <c r="B15474" t="s">
        <v>15479</v>
      </c>
      <c r="C15474">
        <f>HYPERLINK("C:\Users\franc\OneDrive\Documentos\MALENTIN KARIME\BANCO ESTADO\2012 DEPTO ESCRITURAS fata\Dc Simples\RESPALDO comp notaria 27_12_12\NOTARIA 2012\PODERES\PODER movistar.doc", "Abrir Documento")</f>
        <v>0</v>
      </c>
      <c r="D15474" t="s">
        <v>23500</v>
      </c>
      <c r="E15474" t="s">
        <v>37949</v>
      </c>
    </row>
    <row r="15475" spans="1:5">
      <c r="A15475" t="s">
        <v>6</v>
      </c>
      <c r="B15475" t="s">
        <v>15480</v>
      </c>
      <c r="C15475">
        <f>HYPERLINK("C:\Users\franc\OneDrive\Documentos\MALENTIN KARIME\BANCO ESTADO\2012 DEPTO ESCRITURAS fata\Dc Simples\RESPALDO comp notaria 27_12_12\NOTARIA 2012\PODERES\poder minera el treval.doc", "Abrir Documento")</f>
        <v>0</v>
      </c>
      <c r="D15475" t="s">
        <v>23500</v>
      </c>
      <c r="E15475" t="s">
        <v>37950</v>
      </c>
    </row>
    <row r="15476" spans="1:5">
      <c r="A15476" t="s">
        <v>6</v>
      </c>
      <c r="B15476" t="s">
        <v>15481</v>
      </c>
      <c r="C15476">
        <f>HYPERLINK("C:\Users\franc\OneDrive\Documentos\MALENTIN KARIME\BANCO ESTADO\2012 DEPTO ESCRITURAS fata\Dc Simples\RESPALDO comp notaria 27_12_12\NOTARIA 2012\PODERES\PODER mercaderia.doc", "Abrir Documento")</f>
        <v>0</v>
      </c>
      <c r="D15476" t="s">
        <v>23500</v>
      </c>
      <c r="E15476" t="s">
        <v>37951</v>
      </c>
    </row>
    <row r="15477" spans="1:5">
      <c r="A15477" t="s">
        <v>6</v>
      </c>
      <c r="B15477" t="s">
        <v>15482</v>
      </c>
      <c r="C15477">
        <f>HYPERLINK("C:\Users\franc\OneDrive\Documentos\MALENTIN KARIME\BANCO ESTADO\2012 DEPTO ESCRITURAS fata\Dc Simples\RESPALDO comp notaria 27_12_12\NOTARIA 2012\PODERES\PODER indemniza.doc", "Abrir Documento")</f>
        <v>0</v>
      </c>
      <c r="D15477" t="s">
        <v>23500</v>
      </c>
      <c r="E15477" t="s">
        <v>37952</v>
      </c>
    </row>
    <row r="15478" spans="1:5">
      <c r="A15478" t="s">
        <v>6</v>
      </c>
      <c r="B15478" t="s">
        <v>15483</v>
      </c>
      <c r="C15478">
        <f>HYPERLINK("C:\Users\franc\OneDrive\Documentos\MALENTIN KARIME\BANCO ESTADO\2012 DEPTO ESCRITURAS fata\Dc Simples\RESPALDO comp notaria 27_12_12\NOTARIA 2012\PODERES\PODER ENTEL.doc", "Abrir Documento")</f>
        <v>0</v>
      </c>
      <c r="D15478" t="s">
        <v>23500</v>
      </c>
      <c r="E15478" t="s">
        <v>37953</v>
      </c>
    </row>
    <row r="15479" spans="1:5">
      <c r="A15479" t="s">
        <v>6</v>
      </c>
      <c r="B15479" t="s">
        <v>15484</v>
      </c>
      <c r="C15479">
        <f>HYPERLINK("C:\Users\franc\OneDrive\Documentos\MALENTIN KARIME\BANCO ESTADO\2012 DEPTO ESCRITURAS fata\Dc Simples\RESPALDO comp notaria 27_12_12\NOTARIA 2012\PODERES\PODER CUIDAR P.AGRICOLA.doc", "Abrir Documento")</f>
        <v>0</v>
      </c>
      <c r="D15479" t="s">
        <v>23500</v>
      </c>
      <c r="E15479" t="s">
        <v>37954</v>
      </c>
    </row>
    <row r="15480" spans="1:5">
      <c r="A15480" t="s">
        <v>6</v>
      </c>
      <c r="B15480" t="s">
        <v>15485</v>
      </c>
      <c r="C15480">
        <f>HYPERLINK("C:\Users\franc\OneDrive\Documentos\MALENTIN KARIME\BANCO ESTADO\2012 DEPTO ESCRITURAS fata\Dc Simples\RESPALDO comp notaria 27_12_12\NOTARIA 2012\PODERES\PODER CLARO.doc", "Abrir Documento")</f>
        <v>0</v>
      </c>
      <c r="D15480" t="s">
        <v>23500</v>
      </c>
      <c r="E15480" t="s">
        <v>37955</v>
      </c>
    </row>
    <row r="15481" spans="1:5">
      <c r="A15481" t="s">
        <v>6</v>
      </c>
      <c r="B15481" t="s">
        <v>15486</v>
      </c>
      <c r="C15481">
        <f>HYPERLINK("C:\Users\franc\OneDrive\Documentos\MALENTIN KARIME\BANCO ESTADO\2012 DEPTO ESCRITURAS fata\Dc Simples\RESPALDO comp notaria 27_12_12\NOTARIA 2012\PODERES\PODER CHEQUE ARAUCANA.doc", "Abrir Documento")</f>
        <v>0</v>
      </c>
      <c r="D15481" t="s">
        <v>23500</v>
      </c>
      <c r="E15481" t="s">
        <v>37956</v>
      </c>
    </row>
    <row r="15482" spans="1:5">
      <c r="A15482" t="s">
        <v>6</v>
      </c>
      <c r="B15482" t="s">
        <v>15487</v>
      </c>
      <c r="C15482">
        <f>HYPERLINK("C:\Users\franc\OneDrive\Documentos\MALENTIN KARIME\BANCO ESTADO\2012 DEPTO ESCRITURAS fata\Dc Simples\RESPALDO comp notaria 27_12_12\NOTARIA 2012\PODERES\PODER BANCO ESTADO.doc", "Abrir Documento")</f>
        <v>0</v>
      </c>
      <c r="D15482" t="s">
        <v>23500</v>
      </c>
      <c r="E15482" t="s">
        <v>37957</v>
      </c>
    </row>
    <row r="15483" spans="1:5">
      <c r="A15483" t="s">
        <v>6</v>
      </c>
      <c r="B15483" t="s">
        <v>15488</v>
      </c>
      <c r="C15483">
        <f>HYPERLINK("C:\Users\franc\OneDrive\Documentos\MALENTIN KARIME\BANCO ESTADO\2012 DEPTO ESCRITURAS fata\Dc Simples\RESPALDO comp notaria 27_12_12\NOTARIA 2012\PODERES\PODER BANCO ESTADO amplio.doc", "Abrir Documento")</f>
        <v>0</v>
      </c>
      <c r="D15483" t="s">
        <v>23500</v>
      </c>
      <c r="E15483" t="s">
        <v>37958</v>
      </c>
    </row>
    <row r="15484" spans="1:5">
      <c r="A15484" t="s">
        <v>6</v>
      </c>
      <c r="B15484" t="s">
        <v>15489</v>
      </c>
      <c r="C15484">
        <f>HYPERLINK("C:\Users\franc\OneDrive\Documentos\MALENTIN KARIME\BANCO ESTADO\2012 DEPTO ESCRITURAS fata\Dc Simples\RESPALDO comp notaria 27_12_12\NOTARIA 2012\PODERES\PODER AMPLIO.doc", "Abrir Documento")</f>
        <v>0</v>
      </c>
      <c r="D15484" t="s">
        <v>23500</v>
      </c>
      <c r="E15484" t="s">
        <v>37959</v>
      </c>
    </row>
    <row r="15485" spans="1:5">
      <c r="A15485" t="s">
        <v>6</v>
      </c>
      <c r="B15485" t="s">
        <v>15490</v>
      </c>
      <c r="C15485">
        <f>HYPERLINK("C:\Users\franc\OneDrive\Documentos\MALENTIN KARIME\BANCO ESTADO\2012 DEPTO ESCRITURAS fata\Dc Simples\RESPALDO comp notaria 27_12_12\NOTARIA 2012\PODERES\poder amplio x3.doc", "Abrir Documento")</f>
        <v>0</v>
      </c>
      <c r="D15485" t="s">
        <v>23500</v>
      </c>
      <c r="E15485" t="s">
        <v>37960</v>
      </c>
    </row>
    <row r="15486" spans="1:5">
      <c r="A15486" t="s">
        <v>6</v>
      </c>
      <c r="B15486" t="s">
        <v>15491</v>
      </c>
      <c r="C15486">
        <f>HYPERLINK("C:\Users\franc\OneDrive\Documentos\MALENTIN KARIME\BANCO ESTADO\2012 DEPTO ESCRITURAS fata\Dc Simples\RESPALDO comp notaria 27_12_12\NOTARIA 2012\PODERES\PODER AMPLIO TERMINO DE CONTRATO.doc", "Abrir Documento")</f>
        <v>0</v>
      </c>
      <c r="D15486" t="s">
        <v>23500</v>
      </c>
      <c r="E15486" t="s">
        <v>37961</v>
      </c>
    </row>
    <row r="15487" spans="1:5">
      <c r="A15487" t="s">
        <v>6</v>
      </c>
      <c r="B15487" t="s">
        <v>15492</v>
      </c>
      <c r="C15487">
        <f>HYPERLINK("C:\Users\franc\OneDrive\Documentos\MALENTIN KARIME\BANCO ESTADO\2012 DEPTO ESCRITURAS fata\Dc Simples\RESPALDO comp notaria 27_12_12\NOTARIA 2012\PODERES\PODER AMPLIO para...MENOR DE EDAD.doc", "Abrir Documento")</f>
        <v>0</v>
      </c>
      <c r="D15487" t="s">
        <v>23500</v>
      </c>
      <c r="E15487" t="s">
        <v>37962</v>
      </c>
    </row>
    <row r="15488" spans="1:5">
      <c r="A15488" t="s">
        <v>6</v>
      </c>
      <c r="B15488" t="s">
        <v>15493</v>
      </c>
      <c r="C15488">
        <f>HYPERLINK("C:\Users\franc\OneDrive\Documentos\MALENTIN KARIME\BANCO ESTADO\2012 DEPTO ESCRITURAS fata\Dc Simples\RESPALDO comp notaria 27_12_12\NOTARIA 2012\PODERES\PODER AMPLIO para....doc", "Abrir Documento")</f>
        <v>0</v>
      </c>
      <c r="D15488" t="s">
        <v>23500</v>
      </c>
      <c r="E15488" t="s">
        <v>37963</v>
      </c>
    </row>
    <row r="15489" spans="1:5">
      <c r="A15489" t="s">
        <v>6</v>
      </c>
      <c r="B15489" t="s">
        <v>15494</v>
      </c>
      <c r="C15489">
        <f>HYPERLINK("C:\Users\franc\OneDrive\Documentos\MALENTIN KARIME\BANCO ESTADO\2012 DEPTO ESCRITURAS fata\Dc Simples\RESPALDO comp notaria 27_12_12\NOTARIA 2012\PODERES\PODER AMPLIO para REPRESENTACION.doc", "Abrir Documento")</f>
        <v>0</v>
      </c>
      <c r="D15489" t="s">
        <v>23500</v>
      </c>
      <c r="E15489" t="s">
        <v>37964</v>
      </c>
    </row>
    <row r="15490" spans="1:5">
      <c r="A15490" t="s">
        <v>6</v>
      </c>
      <c r="B15490" t="s">
        <v>15495</v>
      </c>
      <c r="C15490">
        <f>HYPERLINK("C:\Users\franc\OneDrive\Documentos\MALENTIN KARIME\BANCO ESTADO\2012 DEPTO ESCRITURAS fata\Dc Simples\RESPALDO comp notaria 27_12_12\NOTARIA 2012\PODERES\PODER AMPLIO para expropiacion.doc", "Abrir Documento")</f>
        <v>0</v>
      </c>
      <c r="D15490" t="s">
        <v>23500</v>
      </c>
      <c r="E15490" t="s">
        <v>37965</v>
      </c>
    </row>
    <row r="15491" spans="1:5">
      <c r="A15491" t="s">
        <v>6</v>
      </c>
      <c r="B15491" t="s">
        <v>15496</v>
      </c>
      <c r="C15491">
        <f>HYPERLINK("C:\Users\franc\OneDrive\Documentos\MALENTIN KARIME\BANCO ESTADO\2012 DEPTO ESCRITURAS fata\Dc Simples\RESPALDO comp notaria 27_12_12\NOTARIA 2012\PODERES\PODER AMPLIO franklin gallardo.doc", "Abrir Documento")</f>
        <v>0</v>
      </c>
      <c r="D15491" t="s">
        <v>23500</v>
      </c>
      <c r="E15491" t="s">
        <v>37966</v>
      </c>
    </row>
    <row r="15492" spans="1:5">
      <c r="A15492" t="s">
        <v>6</v>
      </c>
      <c r="B15492" t="s">
        <v>15497</v>
      </c>
      <c r="C15492">
        <f>HYPERLINK("C:\Users\franc\OneDrive\Documentos\MALENTIN KARIME\BANCO ESTADO\2012 DEPTO ESCRITURAS fata\Dc Simples\RESPALDO comp notaria 27_12_12\NOTARIA 2012\PODERES\poder alvarez.doc", "Abrir Documento")</f>
        <v>0</v>
      </c>
      <c r="D15492" t="s">
        <v>23500</v>
      </c>
      <c r="E15492" t="s">
        <v>37967</v>
      </c>
    </row>
    <row r="15493" spans="1:5">
      <c r="A15493" t="s">
        <v>6</v>
      </c>
      <c r="B15493" t="s">
        <v>15498</v>
      </c>
      <c r="C15493">
        <f>HYPERLINK("C:\Users\franc\OneDrive\Documentos\MALENTIN KARIME\BANCO ESTADO\2012 DEPTO ESCRITURAS fata\Dc Simples\RESPALDO comp notaria 27_12_12\NOTARIA 2012\PODERES\PAULI.doc", "Abrir Documento")</f>
        <v>0</v>
      </c>
      <c r="D15493" t="s">
        <v>23500</v>
      </c>
      <c r="E15493" t="s">
        <v>37968</v>
      </c>
    </row>
    <row r="15494" spans="1:5">
      <c r="A15494" t="s">
        <v>6</v>
      </c>
      <c r="B15494" t="s">
        <v>15499</v>
      </c>
      <c r="C15494">
        <f>HYPERLINK("C:\Users\franc\OneDrive\Documentos\MALENTIN KARIME\BANCO ESTADO\2012 DEPTO ESCRITURAS fata\Dc Simples\RESPALDO comp notaria 27_12_12\NOTARIA 2012\PODERES\PARA DEPOSITAR EN CTA CTE.doc", "Abrir Documento")</f>
        <v>0</v>
      </c>
      <c r="D15494" t="s">
        <v>23500</v>
      </c>
      <c r="E15494" t="s">
        <v>37969</v>
      </c>
    </row>
    <row r="15495" spans="1:5">
      <c r="A15495" t="s">
        <v>6</v>
      </c>
      <c r="B15495" t="s">
        <v>15500</v>
      </c>
      <c r="C15495">
        <f>HYPERLINK("C:\Users\franc\OneDrive\Documentos\MALENTIN KARIME\BANCO ESTADO\2012 DEPTO ESCRITURAS fata\Dc Simples\RESPALDO comp notaria 27_12_12\NOTARIA 2012\PODERES\PANCHO.doc", "Abrir Documento")</f>
        <v>0</v>
      </c>
      <c r="D15495" t="s">
        <v>23500</v>
      </c>
      <c r="E15495" t="s">
        <v>37970</v>
      </c>
    </row>
    <row r="15496" spans="1:5">
      <c r="A15496" t="s">
        <v>6</v>
      </c>
      <c r="B15496" t="s">
        <v>15501</v>
      </c>
      <c r="C15496">
        <f>HYPERLINK("C:\Users\franc\OneDrive\Documentos\MALENTIN KARIME\BANCO ESTADO\2012 DEPTO ESCRITURAS fata\Dc Simples\RESPALDO comp notaria 27_12_12\NOTARIA 2012\PODERES\PAGO ASOC. CANALISTAS.doc", "Abrir Documento")</f>
        <v>0</v>
      </c>
      <c r="D15496" t="s">
        <v>23500</v>
      </c>
      <c r="E15496" t="s">
        <v>37971</v>
      </c>
    </row>
    <row r="15497" spans="1:5">
      <c r="A15497" t="s">
        <v>6</v>
      </c>
      <c r="B15497" t="s">
        <v>15502</v>
      </c>
      <c r="C15497">
        <f>HYPERLINK("C:\Users\franc\OneDrive\Documentos\MALENTIN KARIME\BANCO ESTADO\2012 DEPTO ESCRITURAS fata\Dc Simples\RESPALDO comp notaria 27_12_12\NOTARIA 2012\PODERES\PAGAR PARTE.doc", "Abrir Documento")</f>
        <v>0</v>
      </c>
      <c r="D15497" t="s">
        <v>23500</v>
      </c>
      <c r="E15497" t="s">
        <v>37972</v>
      </c>
    </row>
    <row r="15498" spans="1:5">
      <c r="A15498" t="s">
        <v>6</v>
      </c>
      <c r="B15498" t="s">
        <v>15503</v>
      </c>
      <c r="C15498">
        <f>HYPERLINK("C:\Users\franc\OneDrive\Documentos\MALENTIN KARIME\BANCO ESTADO\2012 DEPTO ESCRITURAS fata\Dc Simples\RESPALDO comp notaria 27_12_12\NOTARIA 2012\PODERES\PAGAR CON CHEQUE.doc", "Abrir Documento")</f>
        <v>0</v>
      </c>
      <c r="D15498" t="s">
        <v>23500</v>
      </c>
      <c r="E15498" t="s">
        <v>37973</v>
      </c>
    </row>
    <row r="15499" spans="1:5">
      <c r="A15499" t="s">
        <v>6</v>
      </c>
      <c r="B15499" t="s">
        <v>15504</v>
      </c>
      <c r="C15499">
        <f>HYPERLINK("C:\Users\franc\OneDrive\Documentos\MALENTIN KARIME\BANCO ESTADO\2012 DEPTO ESCRITURAS fata\Dc Simples\RESPALDO comp notaria 27_12_12\NOTARIA 2012\PODERES\OSSA Y ASOCIADOS.doc", "Abrir Documento")</f>
        <v>0</v>
      </c>
      <c r="D15499" t="s">
        <v>23500</v>
      </c>
      <c r="E15499" t="s">
        <v>37974</v>
      </c>
    </row>
    <row r="15500" spans="1:5">
      <c r="A15500" t="s">
        <v>6</v>
      </c>
      <c r="B15500" t="s">
        <v>15505</v>
      </c>
      <c r="C15500">
        <f>HYPERLINK("C:\Users\franc\OneDrive\Documentos\MALENTIN KARIME\BANCO ESTADO\2012 DEPTO ESCRITURAS fata\Dc Simples\RESPALDO comp notaria 27_12_12\NOTARIA 2012\PODERES\ORGANISMOS PUBLICOS.doc", "Abrir Documento")</f>
        <v>0</v>
      </c>
      <c r="D15500" t="s">
        <v>23500</v>
      </c>
      <c r="E15500" t="s">
        <v>37975</v>
      </c>
    </row>
    <row r="15501" spans="1:5">
      <c r="A15501" t="s">
        <v>6</v>
      </c>
      <c r="B15501" t="s">
        <v>15506</v>
      </c>
      <c r="C15501">
        <f>HYPERLINK("C:\Users\franc\OneDrive\Documentos\MALENTIN KARIME\BANCO ESTADO\2012 DEPTO ESCRITURAS fata\Dc Simples\RESPALDO comp notaria 27_12_12\NOTARIA 2012\PODERES\OFRECER PROPIEDAD.doc", "Abrir Documento")</f>
        <v>0</v>
      </c>
      <c r="D15501" t="s">
        <v>23500</v>
      </c>
      <c r="E15501" t="s">
        <v>37976</v>
      </c>
    </row>
    <row r="15502" spans="1:5">
      <c r="A15502" t="s">
        <v>6</v>
      </c>
      <c r="B15502" t="s">
        <v>15507</v>
      </c>
      <c r="C15502">
        <f>HYPERLINK("C:\Users\franc\OneDrive\Documentos\MALENTIN KARIME\BANCO ESTADO\2012 DEPTO ESCRITURAS fata\Dc Simples\RESPALDO comp notaria 27_12_12\NOTARIA 2012\PODERES\OFRECER PROPIEDAD VTA.doc", "Abrir Documento")</f>
        <v>0</v>
      </c>
      <c r="D15502" t="s">
        <v>23500</v>
      </c>
      <c r="E15502" t="s">
        <v>37977</v>
      </c>
    </row>
    <row r="15503" spans="1:5">
      <c r="A15503" t="s">
        <v>6</v>
      </c>
      <c r="B15503" t="s">
        <v>15508</v>
      </c>
      <c r="C15503">
        <f>HYPERLINK("C:\Users\franc\OneDrive\Documentos\MALENTIN KARIME\BANCO ESTADO\2012 DEPTO ESCRITURAS fata\Dc Simples\RESPALDO comp notaria 27_12_12\NOTARIA 2012\PODERES\OBTENCION TAG.doc", "Abrir Documento")</f>
        <v>0</v>
      </c>
      <c r="D15503" t="s">
        <v>23500</v>
      </c>
      <c r="E15503" t="s">
        <v>37978</v>
      </c>
    </row>
    <row r="15504" spans="1:5">
      <c r="A15504" t="s">
        <v>6</v>
      </c>
      <c r="B15504" t="s">
        <v>15509</v>
      </c>
      <c r="C15504">
        <f>HYPERLINK("C:\Users\franc\OneDrive\Documentos\MALENTIN KARIME\BANCO ESTADO\2012 DEPTO ESCRITURAS fata\Dc Simples\RESPALDO comp notaria 27_12_12\NOTARIA 2012\PODERES\MODIFA PROMESA.doc", "Abrir Documento")</f>
        <v>0</v>
      </c>
      <c r="D15504" t="s">
        <v>23500</v>
      </c>
      <c r="E15504" t="s">
        <v>37979</v>
      </c>
    </row>
    <row r="15505" spans="1:5">
      <c r="A15505" t="s">
        <v>6</v>
      </c>
      <c r="B15505" t="s">
        <v>15510</v>
      </c>
      <c r="C15505">
        <f>HYPERLINK("C:\Users\franc\OneDrive\Documentos\MALENTIN KARIME\BANCO ESTADO\2012 DEPTO ESCRITURAS fata\Dc Simples\RESPALDO comp notaria 27_12_12\NOTARIA 2012\PODERES\Ministerio.doc", "Abrir Documento")</f>
        <v>0</v>
      </c>
      <c r="D15505" t="s">
        <v>23500</v>
      </c>
      <c r="E15505" t="s">
        <v>37980</v>
      </c>
    </row>
    <row r="15506" spans="1:5">
      <c r="A15506" t="s">
        <v>6</v>
      </c>
      <c r="B15506" t="s">
        <v>15511</v>
      </c>
      <c r="C15506">
        <f>HYPERLINK("C:\Users\franc\OneDrive\Documentos\MALENTIN KARIME\BANCO ESTADO\2012 DEPTO ESCRITURAS fata\Dc Simples\RESPALDO comp notaria 27_12_12\NOTARIA 2012\PODERES\MANDATO MINERO.doc", "Abrir Documento")</f>
        <v>0</v>
      </c>
      <c r="D15506" t="s">
        <v>23500</v>
      </c>
      <c r="E15506" t="s">
        <v>37981</v>
      </c>
    </row>
    <row r="15507" spans="1:5">
      <c r="A15507" t="s">
        <v>6</v>
      </c>
      <c r="B15507" t="s">
        <v>15512</v>
      </c>
      <c r="C15507">
        <f>HYPERLINK("C:\Users\franc\OneDrive\Documentos\MALENTIN KARIME\BANCO ESTADO\2012 DEPTO ESCRITURAS fata\Dc Simples\RESPALDO comp notaria 27_12_12\NOTARIA 2012\PODERES\MANDATO MINERO Nelson Cornejo.doc", "Abrir Documento")</f>
        <v>0</v>
      </c>
      <c r="D15507" t="s">
        <v>23500</v>
      </c>
      <c r="E15507" t="s">
        <v>37982</v>
      </c>
    </row>
    <row r="15508" spans="1:5">
      <c r="A15508" t="s">
        <v>6</v>
      </c>
      <c r="B15508" t="s">
        <v>15513</v>
      </c>
      <c r="C15508">
        <f>HYPERLINK("C:\Users\franc\OneDrive\Documentos\MALENTIN KARIME\BANCO ESTADO\2012 DEPTO ESCRITURAS fata\Dc Simples\RESPALDO comp notaria 27_12_12\NOTARIA 2012\PODERES\MANDATO ESPECIAL.doc", "Abrir Documento")</f>
        <v>0</v>
      </c>
      <c r="D15508" t="s">
        <v>23500</v>
      </c>
      <c r="E15508" t="s">
        <v>37983</v>
      </c>
    </row>
    <row r="15509" spans="1:5">
      <c r="A15509" t="s">
        <v>6</v>
      </c>
      <c r="B15509" t="s">
        <v>15514</v>
      </c>
      <c r="C15509">
        <f>HYPERLINK("C:\Users\franc\OneDrive\Documentos\MALENTIN KARIME\BANCO ESTADO\2012 DEPTO ESCRITURAS fata\Dc Simples\RESPALDO comp notaria 27_12_12\NOTARIA 2012\PODERES\MANDATO ESPECIAL VARIOS DINERO.doc", "Abrir Documento")</f>
        <v>0</v>
      </c>
      <c r="D15509" t="s">
        <v>23500</v>
      </c>
      <c r="E15509" t="s">
        <v>37984</v>
      </c>
    </row>
    <row r="15510" spans="1:5">
      <c r="A15510" t="s">
        <v>6</v>
      </c>
      <c r="B15510" t="s">
        <v>15515</v>
      </c>
      <c r="C15510">
        <f>HYPERLINK("C:\Users\franc\OneDrive\Documentos\MALENTIN KARIME\BANCO ESTADO\2012 DEPTO ESCRITURAS fata\Dc Simples\RESPALDO comp notaria 27_12_12\NOTARIA 2012\PODERES\MANDATO ESPECIAL SRA, MARIA.doc", "Abrir Documento")</f>
        <v>0</v>
      </c>
      <c r="D15510" t="s">
        <v>23500</v>
      </c>
      <c r="E15510" t="s">
        <v>37985</v>
      </c>
    </row>
    <row r="15511" spans="1:5">
      <c r="A15511" t="s">
        <v>6</v>
      </c>
      <c r="B15511" t="s">
        <v>15516</v>
      </c>
      <c r="C15511">
        <f>HYPERLINK("C:\Users\franc\OneDrive\Documentos\MALENTIN KARIME\BANCO ESTADO\2012 DEPTO ESCRITURAS fata\Dc Simples\RESPALDO comp notaria 27_12_12\NOTARIA 2012\PODERES\MANDATO ESPECIAL RETIRO DE HERENCIA.doc", "Abrir Documento")</f>
        <v>0</v>
      </c>
      <c r="D15511" t="s">
        <v>23500</v>
      </c>
      <c r="E15511" t="s">
        <v>37986</v>
      </c>
    </row>
    <row r="15512" spans="1:5">
      <c r="A15512" t="s">
        <v>6</v>
      </c>
      <c r="B15512" t="s">
        <v>15517</v>
      </c>
      <c r="C15512">
        <f>HYPERLINK("C:\Users\franc\OneDrive\Documentos\MALENTIN KARIME\BANCO ESTADO\2012 DEPTO ESCRITURAS fata\Dc Simples\RESPALDO comp notaria 27_12_12\NOTARIA 2012\PODERES\MANDATO ESPECIAL RETIRO DE HERENCIA CONYUGE.doc", "Abrir Documento")</f>
        <v>0</v>
      </c>
      <c r="D15512" t="s">
        <v>23500</v>
      </c>
      <c r="E15512" t="s">
        <v>37987</v>
      </c>
    </row>
    <row r="15513" spans="1:5">
      <c r="A15513" t="s">
        <v>6</v>
      </c>
      <c r="B15513" t="s">
        <v>15518</v>
      </c>
      <c r="C15513">
        <f>HYPERLINK("C:\Users\franc\OneDrive\Documentos\MALENTIN KARIME\BANCO ESTADO\2012 DEPTO ESCRITURAS fata\Dc Simples\RESPALDO comp notaria 27_12_12\NOTARIA 2012\PODERES\MANDATO ESPECIAL RETIRAR SUELDO.doc", "Abrir Documento")</f>
        <v>0</v>
      </c>
      <c r="D15513" t="s">
        <v>23500</v>
      </c>
      <c r="E15513" t="s">
        <v>37988</v>
      </c>
    </row>
    <row r="15514" spans="1:5">
      <c r="A15514" t="s">
        <v>6</v>
      </c>
      <c r="B15514" t="s">
        <v>15519</v>
      </c>
      <c r="C15514">
        <f>HYPERLINK("C:\Users\franc\OneDrive\Documentos\MALENTIN KARIME\BANCO ESTADO\2012 DEPTO ESCRITURAS fata\Dc Simples\RESPALDO comp notaria 27_12_12\NOTARIA 2012\PODERES\MANDATO ESPECIAL PARA TRANSPORTE.doc", "Abrir Documento")</f>
        <v>0</v>
      </c>
      <c r="D15514" t="s">
        <v>23500</v>
      </c>
      <c r="E15514" t="s">
        <v>37989</v>
      </c>
    </row>
    <row r="15515" spans="1:5">
      <c r="A15515" t="s">
        <v>6</v>
      </c>
      <c r="B15515" t="s">
        <v>15520</v>
      </c>
      <c r="C15515">
        <f>HYPERLINK("C:\Users\franc\OneDrive\Documentos\MALENTIN KARIME\BANCO ESTADO\2012 DEPTO ESCRITURAS fata\Dc Simples\RESPALDO comp notaria 27_12_12\NOTARIA 2012\PODERES\MANDATO ESPECIAL INP.doc", "Abrir Documento")</f>
        <v>0</v>
      </c>
      <c r="D15515" t="s">
        <v>23500</v>
      </c>
      <c r="E15515" t="s">
        <v>37990</v>
      </c>
    </row>
    <row r="15516" spans="1:5">
      <c r="A15516" t="s">
        <v>6</v>
      </c>
      <c r="B15516" t="s">
        <v>15521</v>
      </c>
      <c r="C15516">
        <f>HYPERLINK("C:\Users\franc\OneDrive\Documentos\MALENTIN KARIME\BANCO ESTADO\2012 DEPTO ESCRITURAS fata\Dc Simples\RESPALDO comp notaria 27_12_12\NOTARIA 2012\PODERES\MANDATO CAPEL Y COMPRAR CON FACTURA.doc", "Abrir Documento")</f>
        <v>0</v>
      </c>
      <c r="D15516" t="s">
        <v>23500</v>
      </c>
      <c r="E15516" t="s">
        <v>37991</v>
      </c>
    </row>
    <row r="15517" spans="1:5">
      <c r="A15517" t="s">
        <v>6</v>
      </c>
      <c r="B15517" t="s">
        <v>15522</v>
      </c>
      <c r="C15517">
        <f>HYPERLINK("C:\Users\franc\OneDrive\Documentos\MALENTIN KARIME\BANCO ESTADO\2012 DEPTO ESCRITURAS fata\Dc Simples\RESPALDO comp notaria 27_12_12\NOTARIA 2012\PODERES\MANDATO AFP RETIRO DE FINIQUITO.docx", "Abrir Documento")</f>
        <v>0</v>
      </c>
      <c r="D15517" t="s">
        <v>23501</v>
      </c>
      <c r="E15517" t="s">
        <v>37992</v>
      </c>
    </row>
    <row r="15518" spans="1:5">
      <c r="A15518" t="s">
        <v>6</v>
      </c>
      <c r="B15518" t="s">
        <v>15523</v>
      </c>
      <c r="C15518">
        <f>HYPERLINK("C:\Users\franc\OneDrive\Documentos\MALENTIN KARIME\BANCO ESTADO\2012 DEPTO ESCRITURAS fata\Dc Simples\RESPALDO comp notaria 27_12_12\NOTARIA 2012\PODERES\MAMI TERESA.doc", "Abrir Documento")</f>
        <v>0</v>
      </c>
      <c r="D15518" t="s">
        <v>23500</v>
      </c>
      <c r="E15518" t="s">
        <v>37993</v>
      </c>
    </row>
    <row r="15519" spans="1:5">
      <c r="A15519" t="s">
        <v>6</v>
      </c>
      <c r="B15519" t="s">
        <v>15524</v>
      </c>
      <c r="C15519">
        <f>HYPERLINK("C:\Users\franc\OneDrive\Documentos\MALENTIN KARIME\BANCO ESTADO\2012 DEPTO ESCRITURAS fata\Dc Simples\RESPALDO comp notaria 27_12_12\NOTARIA 2012\PODERES\LEYES LABORALES.doc", "Abrir Documento")</f>
        <v>0</v>
      </c>
      <c r="D15519" t="s">
        <v>23500</v>
      </c>
      <c r="E15519" t="s">
        <v>37994</v>
      </c>
    </row>
    <row r="15520" spans="1:5">
      <c r="A15520" t="s">
        <v>6</v>
      </c>
      <c r="B15520" t="s">
        <v>15525</v>
      </c>
      <c r="C15520">
        <f>HYPERLINK("C:\Users\franc\OneDrive\Documentos\MALENTIN KARIME\BANCO ESTADO\2012 DEPTO ESCRITURAS fata\Dc Simples\RESPALDO comp notaria 27_12_12\NOTARIA 2012\PODERES\LAYANA CASTILLO.doc", "Abrir Documento")</f>
        <v>0</v>
      </c>
      <c r="D15520" t="s">
        <v>23500</v>
      </c>
      <c r="E15520" t="s">
        <v>37995</v>
      </c>
    </row>
    <row r="15521" spans="1:5">
      <c r="A15521" t="s">
        <v>6</v>
      </c>
      <c r="B15521" t="s">
        <v>15526</v>
      </c>
      <c r="C15521">
        <f>HYPERLINK("C:\Users\franc\OneDrive\Documentos\MALENTIN KARIME\BANCO ESTADO\2012 DEPTO ESCRITURAS fata\Dc Simples\RESPALDO comp notaria 27_12_12\NOTARIA 2012\PODERES\KARIME.doc", "Abrir Documento")</f>
        <v>0</v>
      </c>
      <c r="D15521" t="s">
        <v>23500</v>
      </c>
      <c r="E15521" t="s">
        <v>37996</v>
      </c>
    </row>
    <row r="15522" spans="1:5">
      <c r="A15522" t="s">
        <v>6</v>
      </c>
      <c r="B15522" t="s">
        <v>15527</v>
      </c>
      <c r="C15522">
        <f>HYPERLINK("C:\Users\franc\OneDrive\Documentos\MALENTIN KARIME\BANCO ESTADO\2012 DEPTO ESCRITURAS fata\Dc Simples\RESPALDO comp notaria 27_12_12\NOTARIA 2012\PODERES\JUZGADO.doc", "Abrir Documento")</f>
        <v>0</v>
      </c>
      <c r="D15522" t="s">
        <v>23500</v>
      </c>
      <c r="E15522" t="s">
        <v>37997</v>
      </c>
    </row>
    <row r="15523" spans="1:5">
      <c r="A15523" t="s">
        <v>6</v>
      </c>
      <c r="B15523" t="s">
        <v>15528</v>
      </c>
      <c r="C15523">
        <f>HYPERLINK("C:\Users\franc\OneDrive\Documentos\MALENTIN KARIME\BANCO ESTADO\2012 DEPTO ESCRITURAS fata\Dc Simples\RESPALDO comp notaria 27_12_12\NOTARIA 2012\PODERES\JUZGADO PEDIMENTOS.doc", "Abrir Documento")</f>
        <v>0</v>
      </c>
      <c r="D15523" t="s">
        <v>23500</v>
      </c>
      <c r="E15523" t="s">
        <v>37998</v>
      </c>
    </row>
    <row r="15524" spans="1:5">
      <c r="A15524" t="s">
        <v>6</v>
      </c>
      <c r="B15524" t="s">
        <v>15529</v>
      </c>
      <c r="C15524">
        <f>HYPERLINK("C:\Users\franc\OneDrive\Documentos\MALENTIN KARIME\BANCO ESTADO\2012 DEPTO ESCRITURAS fata\Dc Simples\RESPALDO comp notaria 27_12_12\NOTARIA 2012\PODERES\JORGE CARVAJAL.doc", "Abrir Documento")</f>
        <v>0</v>
      </c>
      <c r="D15524" t="s">
        <v>23500</v>
      </c>
      <c r="E15524" t="s">
        <v>37999</v>
      </c>
    </row>
    <row r="15525" spans="1:5">
      <c r="A15525" t="s">
        <v>6</v>
      </c>
      <c r="B15525" t="s">
        <v>15530</v>
      </c>
      <c r="C15525">
        <f>HYPERLINK("C:\Users\franc\OneDrive\Documentos\MALENTIN KARIME\BANCO ESTADO\2012 DEPTO ESCRITURAS fata\Dc Simples\RESPALDO comp notaria 27_12_12\NOTARIA 2012\PODERES\JAVIER CORRAL.doc", "Abrir Documento")</f>
        <v>0</v>
      </c>
      <c r="D15525" t="s">
        <v>23500</v>
      </c>
      <c r="E15525" t="s">
        <v>38000</v>
      </c>
    </row>
    <row r="15526" spans="1:5">
      <c r="A15526" t="s">
        <v>6</v>
      </c>
      <c r="B15526" t="s">
        <v>15531</v>
      </c>
      <c r="C15526">
        <f>HYPERLINK("C:\Users\franc\OneDrive\Documentos\MALENTIN KARIME\BANCO ESTADO\2012 DEPTO ESCRITURAS fata\Dc Simples\RESPALDO comp notaria 27_12_12\NOTARIA 2012\PODERES\ISKRA.doc", "Abrir Documento")</f>
        <v>0</v>
      </c>
      <c r="D15526" t="s">
        <v>23500</v>
      </c>
      <c r="E15526" t="s">
        <v>38001</v>
      </c>
    </row>
    <row r="15527" spans="1:5">
      <c r="A15527" t="s">
        <v>6</v>
      </c>
      <c r="B15527" t="s">
        <v>15532</v>
      </c>
      <c r="C15527">
        <f>HYPERLINK("C:\Users\franc\OneDrive\Documentos\MALENTIN KARIME\BANCO ESTADO\2012 DEPTO ESCRITURAS fata\Dc Simples\RESPALDO comp notaria 27_12_12\NOTARIA 2012\PODERES\INSTALAR NEGOCIO.doc", "Abrir Documento")</f>
        <v>0</v>
      </c>
      <c r="D15527" t="s">
        <v>23500</v>
      </c>
      <c r="E15527" t="s">
        <v>38002</v>
      </c>
    </row>
    <row r="15528" spans="1:5">
      <c r="A15528" t="s">
        <v>6</v>
      </c>
      <c r="B15528" t="s">
        <v>15533</v>
      </c>
      <c r="C15528">
        <f>HYPERLINK("C:\Users\franc\OneDrive\Documentos\MALENTIN KARIME\BANCO ESTADO\2012 DEPTO ESCRITURAS fata\Dc Simples\RESPALDO comp notaria 27_12_12\NOTARIA 2012\PODERES\INSPECCION DEL TRABAJO.doc", "Abrir Documento")</f>
        <v>0</v>
      </c>
      <c r="D15528" t="s">
        <v>23500</v>
      </c>
      <c r="E15528" t="s">
        <v>38003</v>
      </c>
    </row>
    <row r="15529" spans="1:5">
      <c r="A15529" t="s">
        <v>6</v>
      </c>
      <c r="B15529" t="s">
        <v>15534</v>
      </c>
      <c r="C15529">
        <f>HYPERLINK("C:\Users\franc\OneDrive\Documentos\MALENTIN KARIME\BANCO ESTADO\2012 DEPTO ESCRITURAS fata\Dc Simples\RESPALDO comp notaria 27_12_12\NOTARIA 2012\PODERES\ING MODELO.doc", "Abrir Documento")</f>
        <v>0</v>
      </c>
      <c r="D15529" t="s">
        <v>23500</v>
      </c>
      <c r="E15529" t="s">
        <v>38004</v>
      </c>
    </row>
    <row r="15530" spans="1:5">
      <c r="A15530" t="s">
        <v>6</v>
      </c>
      <c r="B15530" t="s">
        <v>15535</v>
      </c>
      <c r="C15530">
        <f>HYPERLINK("C:\Users\franc\OneDrive\Documentos\MALENTIN KARIME\BANCO ESTADO\2012 DEPTO ESCRITURAS fata\Dc Simples\RESPALDO comp notaria 27_12_12\NOTARIA 2012\PODERES\INACAP.doc", "Abrir Documento")</f>
        <v>0</v>
      </c>
      <c r="D15530" t="s">
        <v>23500</v>
      </c>
      <c r="E15530" t="s">
        <v>38005</v>
      </c>
    </row>
    <row r="15531" spans="1:5">
      <c r="A15531" t="s">
        <v>6</v>
      </c>
      <c r="B15531" t="s">
        <v>15536</v>
      </c>
      <c r="C15531">
        <f>HYPERLINK("C:\Users\franc\OneDrive\Documentos\MALENTIN KARIME\BANCO ESTADO\2012 DEPTO ESCRITURAS fata\Dc Simples\RESPALDO comp notaria 27_12_12\NOTARIA 2012\PODERES\IMPUESTOS INTERNOS SUC..doc", "Abrir Documento")</f>
        <v>0</v>
      </c>
      <c r="D15531" t="s">
        <v>23500</v>
      </c>
      <c r="E15531" t="s">
        <v>38006</v>
      </c>
    </row>
    <row r="15532" spans="1:5">
      <c r="A15532" t="s">
        <v>6</v>
      </c>
      <c r="B15532" t="s">
        <v>15537</v>
      </c>
      <c r="C15532">
        <f>HYPERLINK("C:\Users\franc\OneDrive\Documentos\MALENTIN KARIME\BANCO ESTADO\2012 DEPTO ESCRITURAS fata\Dc Simples\RESPALDO comp notaria 27_12_12\NOTARIA 2012\PODERES\IMPUESTOS INTERNOS RCA.doc", "Abrir Documento")</f>
        <v>0</v>
      </c>
      <c r="D15532" t="s">
        <v>23500</v>
      </c>
      <c r="E15532" t="s">
        <v>38007</v>
      </c>
    </row>
    <row r="15533" spans="1:5">
      <c r="A15533" t="s">
        <v>6</v>
      </c>
      <c r="B15533" t="s">
        <v>15538</v>
      </c>
      <c r="C15533">
        <f>HYPERLINK("C:\Users\franc\OneDrive\Documentos\MALENTIN KARIME\BANCO ESTADO\2012 DEPTO ESCRITURAS fata\Dc Simples\RESPALDO comp notaria 27_12_12\NOTARIA 2012\PODERES\IMPUESTOS INTERNOS 1 PERS.sra Laura velasquez.doc", "Abrir Documento")</f>
        <v>0</v>
      </c>
      <c r="D15533" t="s">
        <v>23500</v>
      </c>
      <c r="E15533" t="s">
        <v>38008</v>
      </c>
    </row>
    <row r="15534" spans="1:5">
      <c r="A15534" t="s">
        <v>6</v>
      </c>
      <c r="B15534" t="s">
        <v>15539</v>
      </c>
      <c r="C15534">
        <f>HYPERLINK("C:\Users\franc\OneDrive\Documentos\MALENTIN KARIME\BANCO ESTADO\2012 DEPTO ESCRITURAS fata\Dc Simples\RESPALDO comp notaria 27_12_12\NOTARIA 2012\PODERES\IMPUESTOS INTERNOS 1 PERS..doc", "Abrir Documento")</f>
        <v>0</v>
      </c>
      <c r="D15534" t="s">
        <v>23500</v>
      </c>
      <c r="E15534" t="s">
        <v>38009</v>
      </c>
    </row>
    <row r="15535" spans="1:5">
      <c r="A15535" t="s">
        <v>6</v>
      </c>
      <c r="B15535" t="s">
        <v>15540</v>
      </c>
      <c r="C15535">
        <f>HYPERLINK("C:\Users\franc\OneDrive\Documentos\MALENTIN KARIME\BANCO ESTADO\2012 DEPTO ESCRITURAS fata\Dc Simples\RESPALDO comp notaria 27_12_12\NOTARIA 2012\PODERES\IMPUESTOS INTERNOS 1 PERS. termino de giro.doc", "Abrir Documento")</f>
        <v>0</v>
      </c>
      <c r="D15535" t="s">
        <v>23500</v>
      </c>
      <c r="E15535" t="s">
        <v>38010</v>
      </c>
    </row>
    <row r="15536" spans="1:5">
      <c r="A15536" t="s">
        <v>6</v>
      </c>
      <c r="B15536" t="s">
        <v>15541</v>
      </c>
      <c r="C15536">
        <f>HYPERLINK("C:\Users\franc\OneDrive\Documentos\MALENTIN KARIME\BANCO ESTADO\2012 DEPTO ESCRITURAS fata\Dc Simples\RESPALDO comp notaria 27_12_12\NOTARIA 2012\PODERES\IMPUESTOS INTERNOS 1 PERS. termino de giro  DE VEHICULO.doc", "Abrir Documento")</f>
        <v>0</v>
      </c>
      <c r="D15536" t="s">
        <v>23500</v>
      </c>
      <c r="E15536" t="s">
        <v>38011</v>
      </c>
    </row>
    <row r="15537" spans="1:5">
      <c r="A15537" t="s">
        <v>6</v>
      </c>
      <c r="B15537" t="s">
        <v>15542</v>
      </c>
      <c r="C15537">
        <f>HYPERLINK("C:\Users\franc\OneDrive\Documentos\MALENTIN KARIME\BANCO ESTADO\2012 DEPTO ESCRITURAS fata\Dc Simples\RESPALDO comp notaria 27_12_12\NOTARIA 2012\PODERES\IMPUESTOS INTERNOS 1 PERS. GUSTAVO.doc", "Abrir Documento")</f>
        <v>0</v>
      </c>
      <c r="D15537" t="s">
        <v>23500</v>
      </c>
      <c r="E15537" t="s">
        <v>38012</v>
      </c>
    </row>
    <row r="15538" spans="1:5">
      <c r="A15538" t="s">
        <v>6</v>
      </c>
      <c r="B15538" t="s">
        <v>15543</v>
      </c>
      <c r="C15538">
        <f>HYPERLINK("C:\Users\franc\OneDrive\Documentos\MALENTIN KARIME\BANCO ESTADO\2012 DEPTO ESCRITURAS fata\Dc Simples\RESPALDO comp notaria 27_12_12\NOTARIA 2012\PODERES\IMPUESTOS INTERNOS 1 PERS. CON REP.doc", "Abrir Documento")</f>
        <v>0</v>
      </c>
      <c r="D15538" t="s">
        <v>23500</v>
      </c>
      <c r="E15538" t="s">
        <v>38013</v>
      </c>
    </row>
    <row r="15539" spans="1:5">
      <c r="A15539" t="s">
        <v>6</v>
      </c>
      <c r="B15539" t="s">
        <v>15544</v>
      </c>
      <c r="C15539">
        <f>HYPERLINK("C:\Users\franc\OneDrive\Documentos\MALENTIN KARIME\BANCO ESTADO\2012 DEPTO ESCRITURAS fata\Dc Simples\RESPALDO comp notaria 27_12_12\NOTARIA 2012\PODERES\IMPUESTOS INTERNOS 1 PERS. CON REP TRAUMAMED.doc", "Abrir Documento")</f>
        <v>0</v>
      </c>
      <c r="D15539" t="s">
        <v>23500</v>
      </c>
      <c r="E15539" t="s">
        <v>38014</v>
      </c>
    </row>
    <row r="15540" spans="1:5">
      <c r="A15540" t="s">
        <v>6</v>
      </c>
      <c r="B15540" t="s">
        <v>15545</v>
      </c>
      <c r="C15540">
        <f>HYPERLINK("C:\Users\franc\OneDrive\Documentos\MALENTIN KARIME\BANCO ESTADO\2012 DEPTO ESCRITURAS fata\Dc Simples\RESPALDO comp notaria 27_12_12\NOTARIA 2012\PODERES\IMPUESTOS INTERNOS 1 PERS. CON REP EIRL.doc", "Abrir Documento")</f>
        <v>0</v>
      </c>
      <c r="D15540" t="s">
        <v>23500</v>
      </c>
      <c r="E15540" t="s">
        <v>38015</v>
      </c>
    </row>
    <row r="15541" spans="1:5">
      <c r="A15541" t="s">
        <v>6</v>
      </c>
      <c r="B15541" t="s">
        <v>15546</v>
      </c>
      <c r="C15541">
        <f>HYPERLINK("C:\Users\franc\OneDrive\Documentos\MALENTIN KARIME\BANCO ESTADO\2012 DEPTO ESCRITURAS fata\Dc Simples\RESPALDO comp notaria 27_12_12\NOTARIA 2012\PODERES\IMPUESTOS INTERNOS 1 PERS JUAN JOEL CLAVERIA.doc", "Abrir Documento")</f>
        <v>0</v>
      </c>
      <c r="D15541" t="s">
        <v>23500</v>
      </c>
      <c r="E15541" t="s">
        <v>38016</v>
      </c>
    </row>
    <row r="15542" spans="1:5">
      <c r="A15542" t="s">
        <v>6</v>
      </c>
      <c r="B15542" t="s">
        <v>15547</v>
      </c>
      <c r="C15542">
        <f>HYPERLINK("C:\Users\franc\OneDrive\Documentos\MALENTIN KARIME\BANCO ESTADO\2012 DEPTO ESCRITURAS fata\Dc Simples\RESPALDO comp notaria 27_12_12\NOTARIA 2012\PODERES\I. INTERNOS simple.doc", "Abrir Documento")</f>
        <v>0</v>
      </c>
      <c r="D15542" t="s">
        <v>23500</v>
      </c>
      <c r="E15542" t="s">
        <v>38017</v>
      </c>
    </row>
    <row r="15543" spans="1:5">
      <c r="A15543" t="s">
        <v>6</v>
      </c>
      <c r="B15543" t="s">
        <v>15548</v>
      </c>
      <c r="C15543">
        <f>HYPERLINK("C:\Users\franc\OneDrive\Documentos\MALENTIN KARIME\BANCO ESTADO\2012 DEPTO ESCRITURAS fata\Dc Simples\RESPALDO comp notaria 27_12_12\NOTARIA 2012\PODERES\I. INTERNOS Pedro.doc", "Abrir Documento")</f>
        <v>0</v>
      </c>
      <c r="D15543" t="s">
        <v>23500</v>
      </c>
      <c r="E15543" t="s">
        <v>38018</v>
      </c>
    </row>
    <row r="15544" spans="1:5">
      <c r="A15544" t="s">
        <v>6</v>
      </c>
      <c r="B15544" t="s">
        <v>15549</v>
      </c>
      <c r="C15544">
        <f>HYPERLINK("C:\Users\franc\OneDrive\Documentos\MALENTIN KARIME\BANCO ESTADO\2012 DEPTO ESCRITURAS fata\Dc Simples\RESPALDO comp notaria 27_12_12\NOTARIA 2012\PODERES\I. INTERNOS 4 PERS.doc", "Abrir Documento")</f>
        <v>0</v>
      </c>
      <c r="D15544" t="s">
        <v>23500</v>
      </c>
      <c r="E15544" t="s">
        <v>38019</v>
      </c>
    </row>
    <row r="15545" spans="1:5">
      <c r="A15545" t="s">
        <v>6</v>
      </c>
      <c r="B15545" t="s">
        <v>15550</v>
      </c>
      <c r="C15545">
        <f>HYPERLINK("C:\Users\franc\OneDrive\Documentos\MALENTIN KARIME\BANCO ESTADO\2012 DEPTO ESCRITURAS fata\Dc Simples\RESPALDO comp notaria 27_12_12\NOTARIA 2012\PODERES\I. INTERNOS 2 PERS.sierralta.doc", "Abrir Documento")</f>
        <v>0</v>
      </c>
      <c r="D15545" t="s">
        <v>23500</v>
      </c>
      <c r="E15545" t="s">
        <v>38020</v>
      </c>
    </row>
    <row r="15546" spans="1:5">
      <c r="A15546" t="s">
        <v>6</v>
      </c>
      <c r="B15546" t="s">
        <v>15551</v>
      </c>
      <c r="C15546">
        <f>HYPERLINK("C:\Users\franc\OneDrive\Documentos\MALENTIN KARIME\BANCO ESTADO\2012 DEPTO ESCRITURAS fata\Dc Simples\RESPALDO comp notaria 27_12_12\NOTARIA 2012\PODERES\I. INTERNOS 2 PERS..doc", "Abrir Documento")</f>
        <v>0</v>
      </c>
      <c r="D15546" t="s">
        <v>23500</v>
      </c>
      <c r="E15546" t="s">
        <v>38021</v>
      </c>
    </row>
    <row r="15547" spans="1:5">
      <c r="A15547" t="s">
        <v>6</v>
      </c>
      <c r="B15547" t="s">
        <v>15552</v>
      </c>
      <c r="C15547">
        <f>HYPERLINK("C:\Users\franc\OneDrive\Documentos\MALENTIN KARIME\BANCO ESTADO\2012 DEPTO ESCRITURAS fata\Dc Simples\RESPALDO comp notaria 27_12_12\NOTARIA 2012\PODERES\I. INTERNOS 2 PERS. ZEPEDA Y PEDRO.doc", "Abrir Documento")</f>
        <v>0</v>
      </c>
      <c r="D15547" t="s">
        <v>23500</v>
      </c>
      <c r="E15547" t="s">
        <v>38022</v>
      </c>
    </row>
    <row r="15548" spans="1:5">
      <c r="A15548" t="s">
        <v>6</v>
      </c>
      <c r="B15548" t="s">
        <v>15553</v>
      </c>
      <c r="C15548">
        <f>HYPERLINK("C:\Users\franc\OneDrive\Documentos\MALENTIN KARIME\BANCO ESTADO\2012 DEPTO ESCRITURAS fata\Dc Simples\RESPALDO comp notaria 27_12_12\NOTARIA 2012\PODERES\I. INTERNOS 2 PERS. ZAPATA.doc", "Abrir Documento")</f>
        <v>0</v>
      </c>
      <c r="D15548" t="s">
        <v>23500</v>
      </c>
      <c r="E15548" t="s">
        <v>38023</v>
      </c>
    </row>
    <row r="15549" spans="1:5">
      <c r="A15549" t="s">
        <v>6</v>
      </c>
      <c r="B15549" t="s">
        <v>15554</v>
      </c>
      <c r="C15549">
        <f>HYPERLINK("C:\Users\franc\OneDrive\Documentos\MALENTIN KARIME\BANCO ESTADO\2012 DEPTO ESCRITURAS fata\Dc Simples\RESPALDO comp notaria 27_12_12\NOTARIA 2012\PODERES\I. INTERNOS 2 PERS. zamorano.doc", "Abrir Documento")</f>
        <v>0</v>
      </c>
      <c r="D15549" t="s">
        <v>23500</v>
      </c>
      <c r="E15549" t="s">
        <v>38024</v>
      </c>
    </row>
    <row r="15550" spans="1:5">
      <c r="A15550" t="s">
        <v>6</v>
      </c>
      <c r="B15550" t="s">
        <v>15555</v>
      </c>
      <c r="C15550">
        <f>HYPERLINK("C:\Users\franc\OneDrive\Documentos\MALENTIN KARIME\BANCO ESTADO\2012 DEPTO ESCRITURAS fata\Dc Simples\RESPALDO comp notaria 27_12_12\NOTARIA 2012\PODERES\I. INTERNOS 2 PERS. YASNA GUERRA.doc", "Abrir Documento")</f>
        <v>0</v>
      </c>
      <c r="D15550" t="s">
        <v>23500</v>
      </c>
      <c r="E15550" t="s">
        <v>38025</v>
      </c>
    </row>
    <row r="15551" spans="1:5">
      <c r="A15551" t="s">
        <v>6</v>
      </c>
      <c r="B15551" t="s">
        <v>15556</v>
      </c>
      <c r="C15551">
        <f>HYPERLINK("C:\Users\franc\OneDrive\Documentos\MALENTIN KARIME\BANCO ESTADO\2012 DEPTO ESCRITURAS fata\Dc Simples\RESPALDO comp notaria 27_12_12\NOTARIA 2012\PODERES\I. INTERNOS 2 PERS. Lagunas Palacios.doc", "Abrir Documento")</f>
        <v>0</v>
      </c>
      <c r="D15551" t="s">
        <v>23500</v>
      </c>
      <c r="E15551" t="s">
        <v>38026</v>
      </c>
    </row>
    <row r="15552" spans="1:5">
      <c r="A15552" t="s">
        <v>6</v>
      </c>
      <c r="B15552" t="s">
        <v>15557</v>
      </c>
      <c r="C15552">
        <f>HYPERLINK("C:\Users\franc\OneDrive\Documentos\MALENTIN KARIME\BANCO ESTADO\2012 DEPTO ESCRITURAS fata\Dc Simples\RESPALDO comp notaria 27_12_12\NOTARIA 2012\PODERES\I. INTERNOS 2 PERS. KARINA ARAYA.doc", "Abrir Documento")</f>
        <v>0</v>
      </c>
      <c r="D15552" t="s">
        <v>23500</v>
      </c>
      <c r="E15552" t="s">
        <v>38027</v>
      </c>
    </row>
    <row r="15553" spans="1:5">
      <c r="A15553" t="s">
        <v>6</v>
      </c>
      <c r="B15553" t="s">
        <v>15558</v>
      </c>
      <c r="C15553">
        <f>HYPERLINK("C:\Users\franc\OneDrive\Documentos\MALENTIN KARIME\BANCO ESTADO\2012 DEPTO ESCRITURAS fata\Dc Simples\RESPALDO comp notaria 27_12_12\NOTARIA 2012\PODERES\I. INTERNOS 2 PERS. CAROLA PLAZA.doc", "Abrir Documento")</f>
        <v>0</v>
      </c>
      <c r="D15553" t="s">
        <v>23500</v>
      </c>
      <c r="E15553" t="s">
        <v>38028</v>
      </c>
    </row>
    <row r="15554" spans="1:5">
      <c r="A15554" t="s">
        <v>6</v>
      </c>
      <c r="B15554" t="s">
        <v>15559</v>
      </c>
      <c r="C15554">
        <f>HYPERLINK("C:\Users\franc\OneDrive\Documentos\MALENTIN KARIME\BANCO ESTADO\2012 DEPTO ESCRITURAS fata\Dc Simples\RESPALDO comp notaria 27_12_12\NOTARIA 2012\PODERES\I. INTERNOS 2 PERS. bahamondes.doc", "Abrir Documento")</f>
        <v>0</v>
      </c>
      <c r="D15554" t="s">
        <v>23500</v>
      </c>
      <c r="E15554" t="s">
        <v>38029</v>
      </c>
    </row>
    <row r="15555" spans="1:5">
      <c r="A15555" t="s">
        <v>6</v>
      </c>
      <c r="B15555" t="s">
        <v>15560</v>
      </c>
      <c r="C15555">
        <f>HYPERLINK("C:\Users\franc\OneDrive\Documentos\MALENTIN KARIME\BANCO ESTADO\2012 DEPTO ESCRITURAS fata\Dc Simples\RESPALDO comp notaria 27_12_12\NOTARIA 2012\PODERES\I. INTERNOS 2 PERS.  JOHANNA MARAMBIO.doc", "Abrir Documento")</f>
        <v>0</v>
      </c>
      <c r="D15555" t="s">
        <v>23500</v>
      </c>
      <c r="E15555" t="s">
        <v>38030</v>
      </c>
    </row>
    <row r="15556" spans="1:5">
      <c r="A15556" t="s">
        <v>6</v>
      </c>
      <c r="B15556" t="s">
        <v>15561</v>
      </c>
      <c r="C15556">
        <f>HYPERLINK("C:\Users\franc\OneDrive\Documentos\MALENTIN KARIME\BANCO ESTADO\2012 DEPTO ESCRITURAS fata\Dc Simples\RESPALDO comp notaria 27_12_12\NOTARIA 2012\PODERES\I. INTERNOS 1 PERS. IRIS MENARES.doc", "Abrir Documento")</f>
        <v>0</v>
      </c>
      <c r="D15556" t="s">
        <v>23500</v>
      </c>
      <c r="E15556" t="s">
        <v>38031</v>
      </c>
    </row>
    <row r="15557" spans="1:5">
      <c r="A15557" t="s">
        <v>6</v>
      </c>
      <c r="B15557" t="s">
        <v>15562</v>
      </c>
      <c r="C15557">
        <f>HYPERLINK("C:\Users\franc\OneDrive\Documentos\MALENTIN KARIME\BANCO ESTADO\2012 DEPTO ESCRITURAS fata\Dc Simples\RESPALDO comp notaria 27_12_12\NOTARIA 2012\PODERES\I. INTERNOS 1 PERS. HANFENG CHEN.doc", "Abrir Documento")</f>
        <v>0</v>
      </c>
      <c r="D15557" t="s">
        <v>23500</v>
      </c>
      <c r="E15557" t="s">
        <v>38032</v>
      </c>
    </row>
    <row r="15558" spans="1:5">
      <c r="A15558" t="s">
        <v>6</v>
      </c>
      <c r="B15558" t="s">
        <v>15563</v>
      </c>
      <c r="C15558">
        <f>HYPERLINK("C:\Users\franc\OneDrive\Documentos\MALENTIN KARIME\BANCO ESTADO\2012 DEPTO ESCRITURAS fata\Dc Simples\RESPALDO comp notaria 27_12_12\NOTARIA 2012\PODERES\I. INTERNOS 1 PERS. GLORIA CORTES.doc", "Abrir Documento")</f>
        <v>0</v>
      </c>
      <c r="D15558" t="s">
        <v>23500</v>
      </c>
      <c r="E15558" t="s">
        <v>38033</v>
      </c>
    </row>
    <row r="15559" spans="1:5">
      <c r="A15559" t="s">
        <v>6</v>
      </c>
      <c r="B15559" t="s">
        <v>15564</v>
      </c>
      <c r="C15559">
        <f>HYPERLINK("C:\Users\franc\OneDrive\Documentos\MALENTIN KARIME\BANCO ESTADO\2012 DEPTO ESCRITURAS fata\Dc Simples\RESPALDO comp notaria 27_12_12\NOTARIA 2012\PODERES\I. INTERNOS 1 PERS. FRESIA ROJAS.doc", "Abrir Documento")</f>
        <v>0</v>
      </c>
      <c r="D15559" t="s">
        <v>23500</v>
      </c>
      <c r="E15559" t="s">
        <v>38034</v>
      </c>
    </row>
    <row r="15560" spans="1:5">
      <c r="A15560" t="s">
        <v>6</v>
      </c>
      <c r="B15560" t="s">
        <v>15565</v>
      </c>
      <c r="C15560">
        <f>HYPERLINK("C:\Users\franc\OneDrive\Documentos\MALENTIN KARIME\BANCO ESTADO\2012 DEPTO ESCRITURAS fata\Dc Simples\RESPALDO comp notaria 27_12_12\NOTARIA 2012\PODERES\I. INTERNOS 1 PERS. FILOMENA CASTILLO.doc", "Abrir Documento")</f>
        <v>0</v>
      </c>
      <c r="D15560" t="s">
        <v>23500</v>
      </c>
      <c r="E15560" t="s">
        <v>38035</v>
      </c>
    </row>
    <row r="15561" spans="1:5">
      <c r="A15561" t="s">
        <v>6</v>
      </c>
      <c r="B15561" t="s">
        <v>15566</v>
      </c>
      <c r="C15561">
        <f>HYPERLINK("C:\Users\franc\OneDrive\Documentos\MALENTIN KARIME\BANCO ESTADO\2012 DEPTO ESCRITURAS fata\Dc Simples\RESPALDO comp notaria 27_12_12\NOTARIA 2012\PODERES\I. INTERNOS 1 PERS.  DR. SLATER.doc", "Abrir Documento")</f>
        <v>0</v>
      </c>
      <c r="D15561" t="s">
        <v>23500</v>
      </c>
      <c r="E15561" t="s">
        <v>38036</v>
      </c>
    </row>
    <row r="15562" spans="1:5">
      <c r="A15562" t="s">
        <v>6</v>
      </c>
      <c r="B15562" t="s">
        <v>15567</v>
      </c>
      <c r="C15562">
        <f>HYPERLINK("C:\Users\franc\OneDrive\Documentos\MALENTIN KARIME\BANCO ESTADO\2012 DEPTO ESCRITURAS fata\Dc Simples\RESPALDO comp notaria 27_12_12\NOTARIA 2012\PODERES\I. INTERNOS 1 PERS.  DR. SLATER X SOC.doc", "Abrir Documento")</f>
        <v>0</v>
      </c>
      <c r="D15562" t="s">
        <v>23500</v>
      </c>
      <c r="E15562" t="s">
        <v>38037</v>
      </c>
    </row>
    <row r="15563" spans="1:5">
      <c r="A15563" t="s">
        <v>6</v>
      </c>
      <c r="B15563" t="s">
        <v>15568</v>
      </c>
      <c r="C15563">
        <f>HYPERLINK("C:\Users\franc\OneDrive\Documentos\MALENTIN KARIME\BANCO ESTADO\2012 DEPTO ESCRITURAS fata\Dc Simples\RESPALDO comp notaria 27_12_12\NOTARIA 2012\PODERES\HNOS. MILLAHUALA LTDA..doc", "Abrir Documento")</f>
        <v>0</v>
      </c>
      <c r="D15563" t="s">
        <v>23500</v>
      </c>
      <c r="E15563" t="s">
        <v>38038</v>
      </c>
    </row>
    <row r="15564" spans="1:5">
      <c r="A15564" t="s">
        <v>6</v>
      </c>
      <c r="B15564" t="s">
        <v>15569</v>
      </c>
      <c r="C15564">
        <f>HYPERLINK("C:\Users\franc\OneDrive\Documentos\MALENTIN KARIME\BANCO ESTADO\2012 DEPTO ESCRITURAS fata\Dc Simples\RESPALDO comp notaria 27_12_12\NOTARIA 2012\PODERES\HECHIZO.doc", "Abrir Documento")</f>
        <v>0</v>
      </c>
      <c r="D15564" t="s">
        <v>23500</v>
      </c>
      <c r="E15564" t="s">
        <v>38039</v>
      </c>
    </row>
    <row r="15565" spans="1:5">
      <c r="A15565" t="s">
        <v>6</v>
      </c>
      <c r="B15565" t="s">
        <v>15570</v>
      </c>
      <c r="C15565">
        <f>HYPERLINK("C:\Users\franc\OneDrive\Documentos\MALENTIN KARIME\BANCO ESTADO\2012 DEPTO ESCRITURAS fata\Dc Simples\RESPALDO comp notaria 27_12_12\NOTARIA 2012\PODERES\GISPERT LTDA..doc", "Abrir Documento")</f>
        <v>0</v>
      </c>
      <c r="D15565" t="s">
        <v>23500</v>
      </c>
      <c r="E15565" t="s">
        <v>38040</v>
      </c>
    </row>
    <row r="15566" spans="1:5">
      <c r="A15566" t="s">
        <v>6</v>
      </c>
      <c r="B15566" t="s">
        <v>15571</v>
      </c>
      <c r="C15566">
        <f>HYPERLINK("C:\Users\franc\OneDrive\Documentos\MALENTIN KARIME\BANCO ESTADO\2012 DEPTO ESCRITURAS fata\Dc Simples\RESPALDO comp notaria 27_12_12\NOTARIA 2012\PODERES\GIRO FALLECIDO.doc", "Abrir Documento")</f>
        <v>0</v>
      </c>
      <c r="D15566" t="s">
        <v>23500</v>
      </c>
      <c r="E15566" t="s">
        <v>38041</v>
      </c>
    </row>
    <row r="15567" spans="1:5">
      <c r="A15567" t="s">
        <v>6</v>
      </c>
      <c r="B15567" t="s">
        <v>15572</v>
      </c>
      <c r="C15567">
        <f>HYPERLINK("C:\Users\franc\OneDrive\Documentos\MALENTIN KARIME\BANCO ESTADO\2012 DEPTO ESCRITURAS fata\Dc Simples\RESPALDO comp notaria 27_12_12\NOTARIA 2012\PODERES\FORMATO.doc", "Abrir Documento")</f>
        <v>0</v>
      </c>
      <c r="D15567" t="s">
        <v>23500</v>
      </c>
      <c r="E15567" t="s">
        <v>38042</v>
      </c>
    </row>
    <row r="15568" spans="1:5">
      <c r="A15568" t="s">
        <v>6</v>
      </c>
      <c r="B15568" t="s">
        <v>15573</v>
      </c>
      <c r="C15568">
        <f>HYPERLINK("C:\Users\franc\OneDrive\Documentos\MALENTIN KARIME\BANCO ESTADO\2012 DEPTO ESCRITURAS fata\Dc Simples\RESPALDO comp notaria 27_12_12\NOTARIA 2012\PODERES\FINIQUITO COMPLETO CARTA PODER.doc", "Abrir Documento")</f>
        <v>0</v>
      </c>
      <c r="D15568" t="s">
        <v>23500</v>
      </c>
      <c r="E15568" t="s">
        <v>38043</v>
      </c>
    </row>
    <row r="15569" spans="1:5">
      <c r="A15569" t="s">
        <v>6</v>
      </c>
      <c r="B15569" t="s">
        <v>15574</v>
      </c>
      <c r="C15569">
        <f>HYPERLINK("C:\Users\franc\OneDrive\Documentos\MALENTIN KARIME\BANCO ESTADO\2012 DEPTO ESCRITURAS fata\Dc Simples\RESPALDO comp notaria 27_12_12\NOTARIA 2012\PODERES\FACTURACION.doc", "Abrir Documento")</f>
        <v>0</v>
      </c>
      <c r="D15569" t="s">
        <v>23500</v>
      </c>
      <c r="E15569" t="s">
        <v>38044</v>
      </c>
    </row>
    <row r="15570" spans="1:5">
      <c r="A15570" t="s">
        <v>6</v>
      </c>
      <c r="B15570" t="s">
        <v>15575</v>
      </c>
      <c r="C15570">
        <f>HYPERLINK("C:\Users\franc\OneDrive\Documentos\MALENTIN KARIME\BANCO ESTADO\2012 DEPTO ESCRITURAS fata\Dc Simples\RESPALDO comp notaria 27_12_12\NOTARIA 2012\PODERES\EXPROPIACION.doc", "Abrir Documento")</f>
        <v>0</v>
      </c>
      <c r="D15570" t="s">
        <v>23500</v>
      </c>
      <c r="E15570" t="s">
        <v>38045</v>
      </c>
    </row>
    <row r="15571" spans="1:5">
      <c r="A15571" t="s">
        <v>6</v>
      </c>
      <c r="B15571" t="s">
        <v>15576</v>
      </c>
      <c r="C15571">
        <f>HYPERLINK("C:\Users\franc\OneDrive\Documentos\MALENTIN KARIME\BANCO ESTADO\2012 DEPTO ESCRITURAS fata\Dc Simples\RESPALDO comp notaria 27_12_12\NOTARIA 2012\PODERES\EXPROPIACION VARIOS.doc", "Abrir Documento")</f>
        <v>0</v>
      </c>
      <c r="D15571" t="s">
        <v>23500</v>
      </c>
      <c r="E15571" t="s">
        <v>38046</v>
      </c>
    </row>
    <row r="15572" spans="1:5">
      <c r="A15572" t="s">
        <v>6</v>
      </c>
      <c r="B15572" t="s">
        <v>15577</v>
      </c>
      <c r="C15572">
        <f>HYPERLINK("C:\Users\franc\OneDrive\Documentos\MALENTIN KARIME\BANCO ESTADO\2012 DEPTO ESCRITURAS fata\Dc Simples\RESPALDO comp notaria 27_12_12\NOTARIA 2012\PODERES\ENTABLAR DEMANDA.doc", "Abrir Documento")</f>
        <v>0</v>
      </c>
      <c r="D15572" t="s">
        <v>23500</v>
      </c>
      <c r="E15572" t="s">
        <v>38047</v>
      </c>
    </row>
    <row r="15573" spans="1:5">
      <c r="A15573" t="s">
        <v>6</v>
      </c>
      <c r="B15573" t="s">
        <v>15578</v>
      </c>
      <c r="C15573">
        <f>HYPERLINK("C:\Users\franc\OneDrive\Documentos\MALENTIN KARIME\BANCO ESTADO\2012 DEPTO ESCRITURAS fata\Dc Simples\RESPALDO comp notaria 27_12_12\NOTARIA 2012\PODERES\ENELSA REUNIONES.doc", "Abrir Documento")</f>
        <v>0</v>
      </c>
      <c r="D15573" t="s">
        <v>23500</v>
      </c>
      <c r="E15573" t="s">
        <v>38048</v>
      </c>
    </row>
    <row r="15574" spans="1:5">
      <c r="A15574" t="s">
        <v>6</v>
      </c>
      <c r="B15574" t="s">
        <v>15579</v>
      </c>
      <c r="C15574">
        <f>HYPERLINK("C:\Users\franc\OneDrive\Documentos\MALENTIN KARIME\BANCO ESTADO\2012 DEPTO ESCRITURAS fata\Dc Simples\RESPALDO comp notaria 27_12_12\NOTARIA 2012\PODERES\ENELSA otros.doc", "Abrir Documento")</f>
        <v>0</v>
      </c>
      <c r="D15574" t="s">
        <v>23500</v>
      </c>
      <c r="E15574" t="s">
        <v>38049</v>
      </c>
    </row>
    <row r="15575" spans="1:5">
      <c r="A15575" t="s">
        <v>6</v>
      </c>
      <c r="B15575" t="s">
        <v>15580</v>
      </c>
      <c r="C15575">
        <f>HYPERLINK("C:\Users\franc\OneDrive\Documentos\MALENTIN KARIME\BANCO ESTADO\2012 DEPTO ESCRITURAS fata\Dc Simples\RESPALDO comp notaria 27_12_12\NOTARIA 2012\PODERES\ENAMI.doc", "Abrir Documento")</f>
        <v>0</v>
      </c>
      <c r="D15575" t="s">
        <v>23500</v>
      </c>
      <c r="E15575" t="s">
        <v>38050</v>
      </c>
    </row>
    <row r="15576" spans="1:5">
      <c r="A15576" t="s">
        <v>6</v>
      </c>
      <c r="B15576" t="s">
        <v>15581</v>
      </c>
      <c r="C15576">
        <f>HYPERLINK("C:\Users\franc\OneDrive\Documentos\MALENTIN KARIME\BANCO ESTADO\2012 DEPTO ESCRITURAS fata\Dc Simples\RESPALDO comp notaria 27_12_12\NOTARIA 2012\PODERES\ENAMI y otros.doc", "Abrir Documento")</f>
        <v>0</v>
      </c>
      <c r="D15576" t="s">
        <v>23500</v>
      </c>
      <c r="E15576" t="s">
        <v>38051</v>
      </c>
    </row>
    <row r="15577" spans="1:5">
      <c r="A15577" t="s">
        <v>6</v>
      </c>
      <c r="B15577" t="s">
        <v>15582</v>
      </c>
      <c r="C15577">
        <f>HYPERLINK("C:\Users\franc\OneDrive\Documentos\MALENTIN KARIME\BANCO ESTADO\2012 DEPTO ESCRITURAS fata\Dc Simples\RESPALDO comp notaria 27_12_12\NOTARIA 2012\PODERES\ENAMI muestreo.doc", "Abrir Documento")</f>
        <v>0</v>
      </c>
      <c r="D15577" t="s">
        <v>23500</v>
      </c>
      <c r="E15577" t="s">
        <v>38052</v>
      </c>
    </row>
    <row r="15578" spans="1:5">
      <c r="A15578" t="s">
        <v>6</v>
      </c>
      <c r="B15578" t="s">
        <v>15583</v>
      </c>
      <c r="C15578">
        <f>HYPERLINK("C:\Users\franc\OneDrive\Documentos\MALENTIN KARIME\BANCO ESTADO\2012 DEPTO ESCRITURAS fata\Dc Simples\RESPALDO comp notaria 27_12_12\NOTARIA 2012\PODERES\ENAMI informacion.doc", "Abrir Documento")</f>
        <v>0</v>
      </c>
      <c r="D15578" t="s">
        <v>23500</v>
      </c>
      <c r="E15578" t="s">
        <v>38053</v>
      </c>
    </row>
    <row r="15579" spans="1:5">
      <c r="A15579" t="s">
        <v>6</v>
      </c>
      <c r="B15579" t="s">
        <v>15584</v>
      </c>
      <c r="C15579">
        <f>HYPERLINK("C:\Users\franc\OneDrive\Documentos\MALENTIN KARIME\BANCO ESTADO\2012 DEPTO ESCRITURAS fata\Dc Simples\RESPALDO comp notaria 27_12_12\NOTARIA 2012\PODERES\DESALOJO PROPIEDAD USURPADA.doc", "Abrir Documento")</f>
        <v>0</v>
      </c>
      <c r="D15579" t="s">
        <v>23500</v>
      </c>
      <c r="E15579" t="s">
        <v>38054</v>
      </c>
    </row>
    <row r="15580" spans="1:5">
      <c r="A15580" t="s">
        <v>6</v>
      </c>
      <c r="B15580" t="s">
        <v>15585</v>
      </c>
      <c r="C15580">
        <f>HYPERLINK("C:\Users\franc\OneDrive\Documentos\MALENTIN KARIME\BANCO ESTADO\2012 DEPTO ESCRITURAS fata\Dc Simples\RESPALDO comp notaria 27_12_12\NOTARIA 2012\PODERES\DESALOJAR.doc", "Abrir Documento")</f>
        <v>0</v>
      </c>
      <c r="D15580" t="s">
        <v>23500</v>
      </c>
      <c r="E15580" t="s">
        <v>38055</v>
      </c>
    </row>
    <row r="15581" spans="1:5">
      <c r="A15581" t="s">
        <v>6</v>
      </c>
      <c r="B15581" t="s">
        <v>15586</v>
      </c>
      <c r="C15581">
        <f>HYPERLINK("C:\Users\franc\OneDrive\Documentos\MALENTIN KARIME\BANCO ESTADO\2012 DEPTO ESCRITURAS fata\Dc Simples\RESPALDO comp notaria 27_12_12\NOTARIA 2012\PODERES\DEPOSITOS A PLAZOS.doc", "Abrir Documento")</f>
        <v>0</v>
      </c>
      <c r="D15581" t="s">
        <v>23500</v>
      </c>
      <c r="E15581" t="s">
        <v>38056</v>
      </c>
    </row>
    <row r="15582" spans="1:5">
      <c r="A15582" t="s">
        <v>6</v>
      </c>
      <c r="B15582" t="s">
        <v>15587</v>
      </c>
      <c r="C15582">
        <f>HYPERLINK("C:\Users\franc\OneDrive\Documentos\MALENTIN KARIME\BANCO ESTADO\2012 DEPTO ESCRITURAS fata\Dc Simples\RESPALDO comp notaria 27_12_12\NOTARIA 2012\PODERES\DEPOSITOS A PLAZOS NOTARIA.doc", "Abrir Documento")</f>
        <v>0</v>
      </c>
      <c r="D15582" t="s">
        <v>23500</v>
      </c>
      <c r="E15582" t="s">
        <v>38057</v>
      </c>
    </row>
    <row r="15583" spans="1:5">
      <c r="A15583" t="s">
        <v>6</v>
      </c>
      <c r="B15583" t="s">
        <v>15588</v>
      </c>
      <c r="C15583">
        <f>HYPERLINK("C:\Users\franc\OneDrive\Documentos\MALENTIN KARIME\BANCO ESTADO\2012 DEPTO ESCRITURAS fata\Dc Simples\RESPALDO comp notaria 27_12_12\NOTARIA 2012\PODERES\CUERPO EMBALSE PALOMA.doc", "Abrir Documento")</f>
        <v>0</v>
      </c>
      <c r="D15583" t="s">
        <v>23500</v>
      </c>
      <c r="E15583" t="s">
        <v>38058</v>
      </c>
    </row>
    <row r="15584" spans="1:5">
      <c r="A15584" t="s">
        <v>6</v>
      </c>
      <c r="B15584" t="s">
        <v>15589</v>
      </c>
      <c r="C15584">
        <f>HYPERLINK("C:\Users\franc\OneDrive\Documentos\MALENTIN KARIME\BANCO ESTADO\2012 DEPTO ESCRITURAS fata\Dc Simples\RESPALDO comp notaria 27_12_12\NOTARIA 2012\PODERES\CREDICHILE.doc", "Abrir Documento")</f>
        <v>0</v>
      </c>
      <c r="D15584" t="s">
        <v>23500</v>
      </c>
      <c r="E15584" t="s">
        <v>38059</v>
      </c>
    </row>
    <row r="15585" spans="1:5">
      <c r="A15585" t="s">
        <v>6</v>
      </c>
      <c r="B15585" t="s">
        <v>15590</v>
      </c>
      <c r="C15585">
        <f>HYPERLINK("C:\Users\franc\OneDrive\Documentos\MALENTIN KARIME\BANCO ESTADO\2012 DEPTO ESCRITURAS fata\Dc Simples\RESPALDO comp notaria 27_12_12\NOTARIA 2012\PODERES\COVALSA.doc", "Abrir Documento")</f>
        <v>0</v>
      </c>
      <c r="D15585" t="s">
        <v>23500</v>
      </c>
      <c r="E15585" t="s">
        <v>38060</v>
      </c>
    </row>
    <row r="15586" spans="1:5">
      <c r="A15586" t="s">
        <v>6</v>
      </c>
      <c r="B15586" t="s">
        <v>15591</v>
      </c>
      <c r="C15586">
        <f>HYPERLINK("C:\Users\franc\OneDrive\Documentos\MALENTIN KARIME\BANCO ESTADO\2012 DEPTO ESCRITURAS fata\Dc Simples\RESPALDO comp notaria 27_12_12\NOTARIA 2012\PODERES\CONTROL PISQUERO.doc", "Abrir Documento")</f>
        <v>0</v>
      </c>
      <c r="D15586" t="s">
        <v>23500</v>
      </c>
      <c r="E15586" t="s">
        <v>38061</v>
      </c>
    </row>
    <row r="15587" spans="1:5">
      <c r="A15587" t="s">
        <v>6</v>
      </c>
      <c r="B15587" t="s">
        <v>15592</v>
      </c>
      <c r="C15587">
        <f>HYPERLINK("C:\Users\franc\OneDrive\Documentos\MALENTIN KARIME\BANCO ESTADO\2012 DEPTO ESCRITURAS fata\Dc Simples\RESPALDO comp notaria 27_12_12\NOTARIA 2012\PODERES\COMUNIDAD AGRICOLA LA VERDIONA.doc", "Abrir Documento")</f>
        <v>0</v>
      </c>
      <c r="D15587" t="s">
        <v>23500</v>
      </c>
      <c r="E15587" t="s">
        <v>38062</v>
      </c>
    </row>
    <row r="15588" spans="1:5">
      <c r="A15588" t="s">
        <v>6</v>
      </c>
      <c r="B15588" t="s">
        <v>15593</v>
      </c>
      <c r="C15588">
        <f>HYPERLINK("C:\Users\franc\OneDrive\Documentos\MALENTIN KARIME\BANCO ESTADO\2012 DEPTO ESCRITURAS fata\Dc Simples\RESPALDO comp notaria 27_12_12\NOTARIA 2012\PODERES\COMUNEROS.doc", "Abrir Documento")</f>
        <v>0</v>
      </c>
      <c r="D15588" t="s">
        <v>23500</v>
      </c>
      <c r="E15588" t="s">
        <v>38063</v>
      </c>
    </row>
    <row r="15589" spans="1:5">
      <c r="A15589" t="s">
        <v>6</v>
      </c>
      <c r="B15589" t="s">
        <v>15594</v>
      </c>
      <c r="C15589">
        <f>HYPERLINK("C:\Users\franc\OneDrive\Documentos\MALENTIN KARIME\BANCO ESTADO\2012 DEPTO ESCRITURAS fata\Dc Simples\RESPALDO comp notaria 27_12_12\NOTARIA 2012\PODERES\COMUNEROS varios.doc", "Abrir Documento")</f>
        <v>0</v>
      </c>
      <c r="D15589" t="s">
        <v>23500</v>
      </c>
      <c r="E15589" t="s">
        <v>38064</v>
      </c>
    </row>
    <row r="15590" spans="1:5">
      <c r="A15590" t="s">
        <v>6</v>
      </c>
      <c r="B15590" t="s">
        <v>15595</v>
      </c>
      <c r="C15590">
        <f>HYPERLINK("C:\Users\franc\OneDrive\Documentos\MALENTIN KARIME\BANCO ESTADO\2012 DEPTO ESCRITURAS fata\Dc Simples\RESPALDO comp notaria 27_12_12\NOTARIA 2012\PODERES\COMUNEROS con posesion efectiva.doc", "Abrir Documento")</f>
        <v>0</v>
      </c>
      <c r="D15590" t="s">
        <v>23500</v>
      </c>
      <c r="E15590" t="s">
        <v>38065</v>
      </c>
    </row>
    <row r="15591" spans="1:5">
      <c r="A15591" t="s">
        <v>6</v>
      </c>
      <c r="B15591" t="s">
        <v>15596</v>
      </c>
      <c r="C15591">
        <f>HYPERLINK("C:\Users\franc\OneDrive\Documentos\MALENTIN KARIME\BANCO ESTADO\2012 DEPTO ESCRITURAS fata\Dc Simples\RESPALDO comp notaria 27_12_12\NOTARIA 2012\PODERES\COMPRAR VEHÍCULO completo.doc", "Abrir Documento")</f>
        <v>0</v>
      </c>
      <c r="D15591" t="s">
        <v>23500</v>
      </c>
      <c r="E15591" t="s">
        <v>38066</v>
      </c>
    </row>
    <row r="15592" spans="1:5">
      <c r="A15592" t="s">
        <v>6</v>
      </c>
      <c r="B15592" t="s">
        <v>15597</v>
      </c>
      <c r="C15592">
        <f>HYPERLINK("C:\Users\franc\OneDrive\Documentos\MALENTIN KARIME\BANCO ESTADO\2012 DEPTO ESCRITURAS fata\Dc Simples\RESPALDO comp notaria 27_12_12\NOTARIA 2012\PODERES\COMPRAR TIROS.doc", "Abrir Documento")</f>
        <v>0</v>
      </c>
      <c r="D15592" t="s">
        <v>23500</v>
      </c>
      <c r="E15592" t="s">
        <v>38067</v>
      </c>
    </row>
    <row r="15593" spans="1:5">
      <c r="A15593" t="s">
        <v>6</v>
      </c>
      <c r="B15593" t="s">
        <v>15598</v>
      </c>
      <c r="C15593">
        <f>HYPERLINK("C:\Users\franc\OneDrive\Documentos\MALENTIN KARIME\BANCO ESTADO\2012 DEPTO ESCRITURAS fata\Dc Simples\RESPALDO comp notaria 27_12_12\NOTARIA 2012\PODERES\COMPRA VEHICULO.doc", "Abrir Documento")</f>
        <v>0</v>
      </c>
      <c r="D15593" t="s">
        <v>23500</v>
      </c>
      <c r="E15593" t="s">
        <v>38068</v>
      </c>
    </row>
    <row r="15594" spans="1:5">
      <c r="A15594" t="s">
        <v>6</v>
      </c>
      <c r="B15594" t="s">
        <v>15599</v>
      </c>
      <c r="C15594">
        <f>HYPERLINK("C:\Users\franc\OneDrive\Documentos\MALENTIN KARIME\BANCO ESTADO\2012 DEPTO ESCRITURAS fata\Dc Simples\RESPALDO comp notaria 27_12_12\NOTARIA 2012\PODERES\COMPIN.doc", "Abrir Documento")</f>
        <v>0</v>
      </c>
      <c r="D15594" t="s">
        <v>23500</v>
      </c>
      <c r="E15594" t="s">
        <v>38069</v>
      </c>
    </row>
    <row r="15595" spans="1:5">
      <c r="A15595" t="s">
        <v>6</v>
      </c>
      <c r="B15595" t="s">
        <v>15600</v>
      </c>
      <c r="C15595">
        <f>HYPERLINK("C:\Users\franc\OneDrive\Documentos\MALENTIN KARIME\BANCO ESTADO\2012 DEPTO ESCRITURAS fata\Dc Simples\RESPALDO comp notaria 27_12_12\NOTARIA 2012\PODERES\COMITE PROCASA.doc", "Abrir Documento")</f>
        <v>0</v>
      </c>
      <c r="D15595" t="s">
        <v>23500</v>
      </c>
      <c r="E15595" t="s">
        <v>38070</v>
      </c>
    </row>
    <row r="15596" spans="1:5">
      <c r="A15596" t="s">
        <v>6</v>
      </c>
      <c r="B15596" t="s">
        <v>15601</v>
      </c>
      <c r="C15596">
        <f>HYPERLINK("C:\Users\franc\OneDrive\Documentos\MALENTIN KARIME\BANCO ESTADO\2012 DEPTO ESCRITURAS fata\Dc Simples\RESPALDO comp notaria 27_12_12\NOTARIA 2012\PODERES\COMERCIO AMBULANTE.doc", "Abrir Documento")</f>
        <v>0</v>
      </c>
      <c r="D15596" t="s">
        <v>23500</v>
      </c>
      <c r="E15596" t="s">
        <v>38071</v>
      </c>
    </row>
    <row r="15597" spans="1:5">
      <c r="A15597" t="s">
        <v>6</v>
      </c>
      <c r="B15597" t="s">
        <v>15602</v>
      </c>
      <c r="C15597">
        <f>HYPERLINK("C:\Users\franc\OneDrive\Documentos\MALENTIN KARIME\BANCO ESTADO\2012 DEPTO ESCRITURAS fata\Dc Simples\RESPALDO comp notaria 27_12_12\NOTARIA 2012\PODERES\COBRO CUOTA MORTUORIA.doc", "Abrir Documento")</f>
        <v>0</v>
      </c>
      <c r="D15597" t="s">
        <v>23500</v>
      </c>
      <c r="E15597" t="s">
        <v>38072</v>
      </c>
    </row>
    <row r="15598" spans="1:5">
      <c r="A15598" t="s">
        <v>6</v>
      </c>
      <c r="B15598" t="s">
        <v>15603</v>
      </c>
      <c r="C15598">
        <f>HYPERLINK("C:\Users\franc\OneDrive\Documentos\MALENTIN KARIME\BANCO ESTADO\2012 DEPTO ESCRITURAS fata\Dc Simples\RESPALDO comp notaria 27_12_12\NOTARIA 2012\PODERES\COBRAR SEGURO.doc", "Abrir Documento")</f>
        <v>0</v>
      </c>
      <c r="D15598" t="s">
        <v>23500</v>
      </c>
      <c r="E15598" t="s">
        <v>38073</v>
      </c>
    </row>
    <row r="15599" spans="1:5">
      <c r="A15599" t="s">
        <v>6</v>
      </c>
      <c r="B15599" t="s">
        <v>15604</v>
      </c>
      <c r="C15599">
        <f>HYPERLINK("C:\Users\franc\OneDrive\Documentos\MALENTIN KARIME\BANCO ESTADO\2012 DEPTO ESCRITURAS fata\Dc Simples\RESPALDO comp notaria 27_12_12\NOTARIA 2012\PODERES\COBRAR SEGURO CESANTIA.doc", "Abrir Documento")</f>
        <v>0</v>
      </c>
      <c r="D15599" t="s">
        <v>23500</v>
      </c>
      <c r="E15599" t="s">
        <v>38074</v>
      </c>
    </row>
    <row r="15600" spans="1:5">
      <c r="A15600" t="s">
        <v>6</v>
      </c>
      <c r="B15600" t="s">
        <v>15605</v>
      </c>
      <c r="C15600">
        <f>HYPERLINK("C:\Users\franc\OneDrive\Documentos\MALENTIN KARIME\BANCO ESTADO\2012 DEPTO ESCRITURAS fata\Dc Simples\RESPALDO comp notaria 27_12_12\NOTARIA 2012\PODERES\COBRAR PAGO PENSION.doc", "Abrir Documento")</f>
        <v>0</v>
      </c>
      <c r="D15600" t="s">
        <v>23500</v>
      </c>
      <c r="E15600" t="s">
        <v>38075</v>
      </c>
    </row>
    <row r="15601" spans="1:5">
      <c r="A15601" t="s">
        <v>6</v>
      </c>
      <c r="B15601" t="s">
        <v>15606</v>
      </c>
      <c r="C15601">
        <f>HYPERLINK("C:\Users\franc\OneDrive\Documentos\MALENTIN KARIME\BANCO ESTADO\2012 DEPTO ESCRITURAS fata\Dc Simples\RESPALDO comp notaria 27_12_12\NOTARIA 2012\PODERES\COBRAR PAGO PENSION Herman Aguileradoc.doc", "Abrir Documento")</f>
        <v>0</v>
      </c>
      <c r="D15601" t="s">
        <v>23500</v>
      </c>
      <c r="E15601" t="s">
        <v>38076</v>
      </c>
    </row>
    <row r="15602" spans="1:5">
      <c r="A15602" t="s">
        <v>6</v>
      </c>
      <c r="B15602" t="s">
        <v>15607</v>
      </c>
      <c r="C15602">
        <f>HYPERLINK("C:\Users\franc\OneDrive\Documentos\MALENTIN KARIME\BANCO ESTADO\2012 DEPTO ESCRITURAS fata\Dc Simples\RESPALDO comp notaria 27_12_12\NOTARIA 2012\PODERES\cobrar jubilacion con huella.doc", "Abrir Documento")</f>
        <v>0</v>
      </c>
      <c r="D15602" t="s">
        <v>23500</v>
      </c>
      <c r="E15602" t="s">
        <v>38077</v>
      </c>
    </row>
    <row r="15603" spans="1:5">
      <c r="A15603" t="s">
        <v>6</v>
      </c>
      <c r="B15603" t="s">
        <v>15608</v>
      </c>
      <c r="C15603">
        <f>HYPERLINK("C:\Users\franc\OneDrive\Documentos\MALENTIN KARIME\BANCO ESTADO\2012 DEPTO ESCRITURAS fata\Dc Simples\RESPALDO comp notaria 27_12_12\NOTARIA 2012\PODERES\cobrar jubilacion con huella abuela sabina.doc", "Abrir Documento")</f>
        <v>0</v>
      </c>
      <c r="D15603" t="s">
        <v>23500</v>
      </c>
      <c r="E15603" t="s">
        <v>38078</v>
      </c>
    </row>
    <row r="15604" spans="1:5">
      <c r="A15604" t="s">
        <v>6</v>
      </c>
      <c r="B15604" t="s">
        <v>15609</v>
      </c>
      <c r="C15604">
        <f>HYPERLINK("C:\Users\franc\OneDrive\Documentos\MALENTIN KARIME\BANCO ESTADO\2012 DEPTO ESCRITURAS fata\Dc Simples\RESPALDO comp notaria 27_12_12\NOTARIA 2012\PODERES\COBRAR bono por hijo.doc", "Abrir Documento")</f>
        <v>0</v>
      </c>
      <c r="D15604" t="s">
        <v>23500</v>
      </c>
      <c r="E15604" t="s">
        <v>38079</v>
      </c>
    </row>
    <row r="15605" spans="1:5">
      <c r="A15605" t="s">
        <v>6</v>
      </c>
      <c r="B15605" t="s">
        <v>15610</v>
      </c>
      <c r="C15605">
        <f>HYPERLINK("C:\Users\franc\OneDrive\Documentos\MALENTIN KARIME\BANCO ESTADO\2012 DEPTO ESCRITURAS fata\Dc Simples\RESPALDO comp notaria 27_12_12\NOTARIA 2012\PODERES\CLINDIGO.doc", "Abrir Documento")</f>
        <v>0</v>
      </c>
      <c r="D15605" t="s">
        <v>23500</v>
      </c>
      <c r="E15605" t="s">
        <v>38080</v>
      </c>
    </row>
    <row r="15606" spans="1:5">
      <c r="A15606" t="s">
        <v>6</v>
      </c>
      <c r="B15606" t="s">
        <v>15611</v>
      </c>
      <c r="C15606">
        <f>HYPERLINK("C:\Users\franc\OneDrive\Documentos\MALENTIN KARIME\BANCO ESTADO\2012 DEPTO ESCRITURAS fata\Dc Simples\RESPALDO comp notaria 27_12_12\NOTARIA 2012\PODERES\CESION DE DERECHOS Elecoop.doc", "Abrir Documento")</f>
        <v>0</v>
      </c>
      <c r="D15606" t="s">
        <v>23500</v>
      </c>
      <c r="E15606" t="s">
        <v>38081</v>
      </c>
    </row>
    <row r="15607" spans="1:5">
      <c r="A15607" t="s">
        <v>6</v>
      </c>
      <c r="B15607" t="s">
        <v>15612</v>
      </c>
      <c r="C15607">
        <f>HYPERLINK("C:\Users\franc\OneDrive\Documentos\MALENTIN KARIME\BANCO ESTADO\2012 DEPTO ESCRITURAS fata\Dc Simples\RESPALDO comp notaria 27_12_12\NOTARIA 2012\PODERES\CARTA RETIRO CHEQUES.doc", "Abrir Documento")</f>
        <v>0</v>
      </c>
      <c r="D15607" t="s">
        <v>23500</v>
      </c>
      <c r="E15607" t="s">
        <v>38082</v>
      </c>
    </row>
    <row r="15608" spans="1:5">
      <c r="A15608" t="s">
        <v>6</v>
      </c>
      <c r="B15608" t="s">
        <v>15613</v>
      </c>
      <c r="C15608">
        <f>HYPERLINK("C:\Users\franc\OneDrive\Documentos\MALENTIN KARIME\BANCO ESTADO\2012 DEPTO ESCRITURAS fata\Dc Simples\RESPALDO comp notaria 27_12_12\NOTARIA 2012\PODERES\CARTA PODER.doc", "Abrir Documento")</f>
        <v>0</v>
      </c>
      <c r="D15608" t="s">
        <v>23500</v>
      </c>
      <c r="E15608" t="s">
        <v>38083</v>
      </c>
    </row>
    <row r="15609" spans="1:5">
      <c r="A15609" t="s">
        <v>6</v>
      </c>
      <c r="B15609" t="s">
        <v>15614</v>
      </c>
      <c r="C15609">
        <f>HYPERLINK("C:\Users\franc\OneDrive\Documentos\MALENTIN KARIME\BANCO ESTADO\2012 DEPTO ESCRITURAS fata\Dc Simples\RESPALDO comp notaria 27_12_12\NOTARIA 2012\PODERES\CARTA PODER. ADMINISTRA CASAdoc.doc", "Abrir Documento")</f>
        <v>0</v>
      </c>
      <c r="D15609" t="s">
        <v>23500</v>
      </c>
      <c r="E15609" t="s">
        <v>38084</v>
      </c>
    </row>
    <row r="15610" spans="1:5">
      <c r="A15610" t="s">
        <v>6</v>
      </c>
      <c r="B15610" t="s">
        <v>15615</v>
      </c>
      <c r="C15610">
        <f>HYPERLINK("C:\Users\franc\OneDrive\Documentos\MALENTIN KARIME\BANCO ESTADO\2012 DEPTO ESCRITURAS fata\Dc Simples\RESPALDO comp notaria 27_12_12\NOTARIA 2012\PODERES\CARTA PODER SEGURO.doc", "Abrir Documento")</f>
        <v>0</v>
      </c>
      <c r="D15610" t="s">
        <v>23500</v>
      </c>
      <c r="E15610" t="s">
        <v>38085</v>
      </c>
    </row>
    <row r="15611" spans="1:5">
      <c r="A15611" t="s">
        <v>6</v>
      </c>
      <c r="B15611" t="s">
        <v>15616</v>
      </c>
      <c r="C15611">
        <f>HYPERLINK("C:\Users\franc\OneDrive\Documentos\MALENTIN KARIME\BANCO ESTADO\2012 DEPTO ESCRITURAS fata\Dc Simples\RESPALDO comp notaria 27_12_12\NOTARIA 2012\PODERES\CARTA PODER MANEJAR.doc", "Abrir Documento")</f>
        <v>0</v>
      </c>
      <c r="D15611" t="s">
        <v>23500</v>
      </c>
      <c r="E15611" t="s">
        <v>38086</v>
      </c>
    </row>
    <row r="15612" spans="1:5">
      <c r="A15612" t="s">
        <v>6</v>
      </c>
      <c r="B15612" t="s">
        <v>15617</v>
      </c>
      <c r="C15612">
        <f>HYPERLINK("C:\Users\franc\OneDrive\Documentos\MALENTIN KARIME\BANCO ESTADO\2012 DEPTO ESCRITURAS fata\Dc Simples\RESPALDO comp notaria 27_12_12\NOTARIA 2012\PODERES\CARTA PODER LICENCIA.doc", "Abrir Documento")</f>
        <v>0</v>
      </c>
      <c r="D15612" t="s">
        <v>23500</v>
      </c>
      <c r="E15612" t="s">
        <v>38087</v>
      </c>
    </row>
    <row r="15613" spans="1:5">
      <c r="A15613" t="s">
        <v>6</v>
      </c>
      <c r="B15613" t="s">
        <v>15618</v>
      </c>
      <c r="C15613">
        <f>HYPERLINK("C:\Users\franc\OneDrive\Documentos\MALENTIN KARIME\BANCO ESTADO\2012 DEPTO ESCRITURAS fata\Dc Simples\RESPALDO comp notaria 27_12_12\NOTARIA 2012\PODERES\CARTA PODER LICENCIA 2.doc", "Abrir Documento")</f>
        <v>0</v>
      </c>
      <c r="D15613" t="s">
        <v>23500</v>
      </c>
      <c r="E15613" t="s">
        <v>38088</v>
      </c>
    </row>
    <row r="15614" spans="1:5">
      <c r="A15614" t="s">
        <v>6</v>
      </c>
      <c r="B15614" t="s">
        <v>15619</v>
      </c>
      <c r="C15614">
        <f>HYPERLINK("C:\Users\franc\OneDrive\Documentos\MALENTIN KARIME\BANCO ESTADO\2012 DEPTO ESCRITURAS fata\Dc Simples\RESPALDO comp notaria 27_12_12\NOTARIA 2012\PODERES\CARTA PODER EN REP..doc", "Abrir Documento")</f>
        <v>0</v>
      </c>
      <c r="D15614" t="s">
        <v>23500</v>
      </c>
      <c r="E15614" t="s">
        <v>38089</v>
      </c>
    </row>
    <row r="15615" spans="1:5">
      <c r="A15615" t="s">
        <v>6</v>
      </c>
      <c r="B15615" t="s">
        <v>15620</v>
      </c>
      <c r="C15615">
        <f>HYPERLINK("C:\Users\franc\OneDrive\Documentos\MALENTIN KARIME\BANCO ESTADO\2012 DEPTO ESCRITURAS fata\Dc Simples\RESPALDO comp notaria 27_12_12\NOTARIA 2012\PODERES\CARTA PODER COMPING.doc", "Abrir Documento")</f>
        <v>0</v>
      </c>
      <c r="D15615" t="s">
        <v>23500</v>
      </c>
      <c r="E15615" t="s">
        <v>38090</v>
      </c>
    </row>
    <row r="15616" spans="1:5">
      <c r="A15616" t="s">
        <v>6</v>
      </c>
      <c r="B15616" t="s">
        <v>15621</v>
      </c>
      <c r="C15616">
        <f>HYPERLINK("C:\Users\franc\OneDrive\Documentos\MALENTIN KARIME\BANCO ESTADO\2012 DEPTO ESCRITURAS fata\Dc Simples\RESPALDO comp notaria 27_12_12\NOTARIA 2012\PODERES\CARTA PODER CEMENTERIO.doc", "Abrir Documento")</f>
        <v>0</v>
      </c>
      <c r="D15616" t="s">
        <v>23500</v>
      </c>
      <c r="E15616" t="s">
        <v>38091</v>
      </c>
    </row>
    <row r="15617" spans="1:5">
      <c r="A15617" t="s">
        <v>6</v>
      </c>
      <c r="B15617" t="s">
        <v>15622</v>
      </c>
      <c r="C15617">
        <f>HYPERLINK("C:\Users\franc\OneDrive\Documentos\MALENTIN KARIME\BANCO ESTADO\2012 DEPTO ESCRITURAS fata\Dc Simples\RESPALDO comp notaria 27_12_12\NOTARIA 2012\PODERES\CARTA PODER CEMENTERIO MODELO 2.doc", "Abrir Documento")</f>
        <v>0</v>
      </c>
      <c r="D15617" t="s">
        <v>23500</v>
      </c>
      <c r="E15617" t="s">
        <v>38092</v>
      </c>
    </row>
    <row r="15618" spans="1:5">
      <c r="A15618" t="s">
        <v>6</v>
      </c>
      <c r="B15618" t="s">
        <v>15623</v>
      </c>
      <c r="C15618">
        <f>HYPERLINK("C:\Users\franc\OneDrive\Documentos\MALENTIN KARIME\BANCO ESTADO\2012 DEPTO ESCRITURAS fata\Dc Simples\RESPALDO comp notaria 27_12_12\NOTARIA 2012\PODERES\CAPEL.doc", "Abrir Documento")</f>
        <v>0</v>
      </c>
      <c r="D15618" t="s">
        <v>23500</v>
      </c>
      <c r="E15618" t="s">
        <v>38093</v>
      </c>
    </row>
    <row r="15619" spans="1:5">
      <c r="A15619" t="s">
        <v>6</v>
      </c>
      <c r="B15619" t="s">
        <v>15624</v>
      </c>
      <c r="C15619">
        <f>HYPERLINK("C:\Users\franc\OneDrive\Documentos\MALENTIN KARIME\BANCO ESTADO\2012 DEPTO ESCRITURAS fata\Dc Simples\RESPALDO comp notaria 27_12_12\NOTARIA 2012\PODERES\CAPEL SUC..doc", "Abrir Documento")</f>
        <v>0</v>
      </c>
      <c r="D15619" t="s">
        <v>23500</v>
      </c>
      <c r="E15619" t="s">
        <v>38094</v>
      </c>
    </row>
    <row r="15620" spans="1:5">
      <c r="A15620" t="s">
        <v>6</v>
      </c>
      <c r="B15620" t="s">
        <v>15625</v>
      </c>
      <c r="C15620">
        <f>HYPERLINK("C:\Users\franc\OneDrive\Documentos\MALENTIN KARIME\BANCO ESTADO\2012 DEPTO ESCRITURAS fata\Dc Simples\RESPALDO comp notaria 27_12_12\NOTARIA 2012\PODERES\CAMBIO NOMBRE.doc", "Abrir Documento")</f>
        <v>0</v>
      </c>
      <c r="D15620" t="s">
        <v>23500</v>
      </c>
      <c r="E15620" t="s">
        <v>38095</v>
      </c>
    </row>
    <row r="15621" spans="1:5">
      <c r="A15621" t="s">
        <v>6</v>
      </c>
      <c r="B15621" t="s">
        <v>15626</v>
      </c>
      <c r="C15621">
        <f>HYPERLINK("C:\Users\franc\OneDrive\Documentos\MALENTIN KARIME\BANCO ESTADO\2012 DEPTO ESCRITURAS fata\Dc Simples\RESPALDO comp notaria 27_12_12\NOTARIA 2012\PODERES\CAMBIO DE ROL.doc", "Abrir Documento")</f>
        <v>0</v>
      </c>
      <c r="D15621" t="s">
        <v>23500</v>
      </c>
      <c r="E15621" t="s">
        <v>38096</v>
      </c>
    </row>
    <row r="15622" spans="1:5">
      <c r="A15622" t="s">
        <v>6</v>
      </c>
      <c r="B15622" t="s">
        <v>15627</v>
      </c>
      <c r="C15622">
        <f>HYPERLINK("C:\Users\franc\OneDrive\Documentos\MALENTIN KARIME\BANCO ESTADO\2012 DEPTO ESCRITURAS fata\Dc Simples\RESPALDO comp notaria 27_12_12\NOTARIA 2012\PODERES\BANCO SCOTIABANK.doc", "Abrir Documento")</f>
        <v>0</v>
      </c>
      <c r="D15622" t="s">
        <v>23500</v>
      </c>
      <c r="E15622" t="s">
        <v>38097</v>
      </c>
    </row>
    <row r="15623" spans="1:5">
      <c r="A15623" t="s">
        <v>6</v>
      </c>
      <c r="B15623" t="s">
        <v>15628</v>
      </c>
      <c r="C15623">
        <f>HYPERLINK("C:\Users\franc\OneDrive\Documentos\MALENTIN KARIME\BANCO ESTADO\2012 DEPTO ESCRITURAS fata\Dc Simples\RESPALDO comp notaria 27_12_12\NOTARIA 2012\PODERES\BANCO SCOTIABANK rep.doc", "Abrir Documento")</f>
        <v>0</v>
      </c>
      <c r="D15623" t="s">
        <v>23500</v>
      </c>
      <c r="E15623" t="s">
        <v>38098</v>
      </c>
    </row>
    <row r="15624" spans="1:5">
      <c r="A15624" t="s">
        <v>6</v>
      </c>
      <c r="B15624" t="s">
        <v>15629</v>
      </c>
      <c r="C15624">
        <f>HYPERLINK("C:\Users\franc\OneDrive\Documentos\MALENTIN KARIME\BANCO ESTADO\2012 DEPTO ESCRITURAS fata\Dc Simples\RESPALDO comp notaria 27_12_12\NOTARIA 2012\PODERES\BANCO SANTANDER.doc", "Abrir Documento")</f>
        <v>0</v>
      </c>
      <c r="D15624" t="s">
        <v>23500</v>
      </c>
      <c r="E15624" t="s">
        <v>38099</v>
      </c>
    </row>
    <row r="15625" spans="1:5">
      <c r="A15625" t="s">
        <v>6</v>
      </c>
      <c r="B15625" t="s">
        <v>15630</v>
      </c>
      <c r="C15625">
        <f>HYPERLINK("C:\Users\franc\OneDrive\Documentos\MALENTIN KARIME\BANCO ESTADO\2012 DEPTO ESCRITURAS fata\Dc Simples\RESPALDO comp notaria 27_12_12\NOTARIA 2012\PODERES\BANCO SANTANDER soc..doc", "Abrir Documento")</f>
        <v>0</v>
      </c>
      <c r="D15625" t="s">
        <v>23500</v>
      </c>
      <c r="E15625" t="s">
        <v>38100</v>
      </c>
    </row>
    <row r="15626" spans="1:5">
      <c r="A15626" t="s">
        <v>6</v>
      </c>
      <c r="B15626" t="s">
        <v>15631</v>
      </c>
      <c r="C15626">
        <f>HYPERLINK("C:\Users\franc\OneDrive\Documentos\MALENTIN KARIME\BANCO ESTADO\2012 DEPTO ESCRITURAS fata\Dc Simples\RESPALDO comp notaria 27_12_12\NOTARIA 2012\PODERES\BANCO SANTANDER EIRL.doc", "Abrir Documento")</f>
        <v>0</v>
      </c>
      <c r="D15626" t="s">
        <v>23500</v>
      </c>
      <c r="E15626" t="s">
        <v>38101</v>
      </c>
    </row>
    <row r="15627" spans="1:5">
      <c r="A15627" t="s">
        <v>6</v>
      </c>
      <c r="B15627" t="s">
        <v>15632</v>
      </c>
      <c r="C15627">
        <f>HYPERLINK("C:\Users\franc\OneDrive\Documentos\MALENTIN KARIME\BANCO ESTADO\2012 DEPTO ESCRITURAS fata\Dc Simples\RESPALDO comp notaria 27_12_12\NOTARIA 2012\PODERES\BANCO SANTANDER Comite.doc", "Abrir Documento")</f>
        <v>0</v>
      </c>
      <c r="D15627" t="s">
        <v>23500</v>
      </c>
      <c r="E15627" t="s">
        <v>38102</v>
      </c>
    </row>
    <row r="15628" spans="1:5">
      <c r="A15628" t="s">
        <v>6</v>
      </c>
      <c r="B15628" t="s">
        <v>15633</v>
      </c>
      <c r="C15628">
        <f>HYPERLINK("C:\Users\franc\OneDrive\Documentos\MALENTIN KARIME\BANCO ESTADO\2012 DEPTO ESCRITURAS fata\Dc Simples\RESPALDO comp notaria 27_12_12\NOTARIA 2012\PODERES\BANCO SANTANDER COBRAR SUELDO.doc", "Abrir Documento")</f>
        <v>0</v>
      </c>
      <c r="D15628" t="s">
        <v>23500</v>
      </c>
      <c r="E15628" t="s">
        <v>38103</v>
      </c>
    </row>
    <row r="15629" spans="1:5">
      <c r="A15629" t="s">
        <v>6</v>
      </c>
      <c r="B15629" t="s">
        <v>15634</v>
      </c>
      <c r="C15629">
        <f>HYPERLINK("C:\Users\franc\OneDrive\Documentos\MALENTIN KARIME\BANCO ESTADO\2012 DEPTO ESCRITURAS fata\Dc Simples\RESPALDO comp notaria 27_12_12\NOTARIA 2012\PODERES\BANCO SANTANDER Alcones.doc", "Abrir Documento")</f>
        <v>0</v>
      </c>
      <c r="D15629" t="s">
        <v>23500</v>
      </c>
      <c r="E15629" t="s">
        <v>38104</v>
      </c>
    </row>
    <row r="15630" spans="1:5">
      <c r="A15630" t="s">
        <v>6</v>
      </c>
      <c r="B15630" t="s">
        <v>15635</v>
      </c>
      <c r="C15630">
        <f>HYPERLINK("C:\Users\franc\OneDrive\Documentos\MALENTIN KARIME\BANCO ESTADO\2012 DEPTO ESCRITURAS fata\Dc Simples\RESPALDO comp notaria 27_12_12\NOTARIA 2012\PODERES\BANCO ESTADO.doc", "Abrir Documento")</f>
        <v>0</v>
      </c>
      <c r="D15630" t="s">
        <v>23500</v>
      </c>
      <c r="E15630" t="s">
        <v>38105</v>
      </c>
    </row>
    <row r="15631" spans="1:5">
      <c r="A15631" t="s">
        <v>6</v>
      </c>
      <c r="B15631" t="s">
        <v>15636</v>
      </c>
      <c r="C15631">
        <f>HYPERLINK("C:\Users\franc\OneDrive\Documentos\MALENTIN KARIME\BANCO ESTADO\2012 DEPTO ESCRITURAS fata\Dc Simples\RESPALDO comp notaria 27_12_12\NOTARIA 2012\PODERES\BANCO ESTADO completo.doc", "Abrir Documento")</f>
        <v>0</v>
      </c>
      <c r="D15631" t="s">
        <v>23500</v>
      </c>
      <c r="E15631" t="s">
        <v>38106</v>
      </c>
    </row>
    <row r="15632" spans="1:5">
      <c r="A15632" t="s">
        <v>6</v>
      </c>
      <c r="B15632" t="s">
        <v>15637</v>
      </c>
      <c r="C15632">
        <f>HYPERLINK("C:\Users\franc\OneDrive\Documentos\MALENTIN KARIME\BANCO ESTADO\2012 DEPTO ESCRITURAS fata\Dc Simples\RESPALDO comp notaria 27_12_12\NOTARIA 2012\PODERES\BANCO ESTADO aut. soc conyugal.doc", "Abrir Documento")</f>
        <v>0</v>
      </c>
      <c r="D15632" t="s">
        <v>23500</v>
      </c>
      <c r="E15632" t="s">
        <v>38107</v>
      </c>
    </row>
    <row r="15633" spans="1:5">
      <c r="A15633" t="s">
        <v>6</v>
      </c>
      <c r="B15633" t="s">
        <v>15638</v>
      </c>
      <c r="C15633">
        <f>HYPERLINK("C:\Users\franc\OneDrive\Documentos\MALENTIN KARIME\BANCO ESTADO\2012 DEPTO ESCRITURAS fata\Dc Simples\RESPALDO comp notaria 27_12_12\NOTARIA 2012\PODERES\banco bbva, cobrar fondo pension.doc", "Abrir Documento")</f>
        <v>0</v>
      </c>
      <c r="D15633" t="s">
        <v>23500</v>
      </c>
      <c r="E15633" t="s">
        <v>38108</v>
      </c>
    </row>
    <row r="15634" spans="1:5">
      <c r="A15634" t="s">
        <v>6</v>
      </c>
      <c r="B15634" t="s">
        <v>15639</v>
      </c>
      <c r="C15634">
        <f>HYPERLINK("C:\Users\franc\OneDrive\Documentos\MALENTIN KARIME\BANCO ESTADO\2012 DEPTO ESCRITURAS fata\Dc Simples\RESPALDO comp notaria 27_12_12\NOTARIA 2012\PODERES\autoridad fiscalizadora patricio.doc", "Abrir Documento")</f>
        <v>0</v>
      </c>
      <c r="D15634" t="s">
        <v>23500</v>
      </c>
      <c r="E15634" t="s">
        <v>38109</v>
      </c>
    </row>
    <row r="15635" spans="1:5">
      <c r="A15635" t="s">
        <v>6</v>
      </c>
      <c r="B15635" t="s">
        <v>15640</v>
      </c>
      <c r="C15635">
        <f>HYPERLINK("C:\Users\franc\OneDrive\Documentos\MALENTIN KARIME\BANCO ESTADO\2012 DEPTO ESCRITURAS fata\Dc Simples\RESPALDO comp notaria 27_12_12\NOTARIA 2012\PODERES\ASISTIR  A REUNION.doc", "Abrir Documento")</f>
        <v>0</v>
      </c>
      <c r="D15635" t="s">
        <v>23500</v>
      </c>
      <c r="E15635" t="s">
        <v>38110</v>
      </c>
    </row>
    <row r="15636" spans="1:5">
      <c r="A15636" t="s">
        <v>6</v>
      </c>
      <c r="B15636" t="s">
        <v>15641</v>
      </c>
      <c r="C15636">
        <f>HYPERLINK("C:\Users\franc\OneDrive\Documentos\MALENTIN KARIME\BANCO ESTADO\2012 DEPTO ESCRITURAS fata\Dc Simples\RESPALDO comp notaria 27_12_12\NOTARIA 2012\PODERES\ASISTIR  A REUNION COLECTIVO.doc", "Abrir Documento")</f>
        <v>0</v>
      </c>
      <c r="D15636" t="s">
        <v>23500</v>
      </c>
      <c r="E15636" t="s">
        <v>38111</v>
      </c>
    </row>
    <row r="15637" spans="1:5">
      <c r="A15637" t="s">
        <v>6</v>
      </c>
      <c r="B15637" t="s">
        <v>15642</v>
      </c>
      <c r="C15637">
        <f>HYPERLINK("C:\Users\franc\OneDrive\Documentos\MALENTIN KARIME\BANCO ESTADO\2012 DEPTO ESCRITURAS fata\Dc Simples\RESPALDO comp notaria 27_12_12\NOTARIA 2012\PODERES\ARRENDAR Y POST. SUBSIDIOS.doc", "Abrir Documento")</f>
        <v>0</v>
      </c>
      <c r="D15637" t="s">
        <v>23500</v>
      </c>
      <c r="E15637" t="s">
        <v>38112</v>
      </c>
    </row>
    <row r="15638" spans="1:5">
      <c r="A15638" t="s">
        <v>6</v>
      </c>
      <c r="B15638" t="s">
        <v>15643</v>
      </c>
      <c r="C15638">
        <f>HYPERLINK("C:\Users\franc\OneDrive\Documentos\MALENTIN KARIME\BANCO ESTADO\2012 DEPTO ESCRITURAS fata\Dc Simples\RESPALDO comp notaria 27_12_12\NOTARIA 2012\PODERES\ARRENDAR VEHICULO.doc", "Abrir Documento")</f>
        <v>0</v>
      </c>
      <c r="D15638" t="s">
        <v>23500</v>
      </c>
      <c r="E15638" t="s">
        <v>38113</v>
      </c>
    </row>
    <row r="15639" spans="1:5">
      <c r="A15639" t="s">
        <v>6</v>
      </c>
      <c r="B15639" t="s">
        <v>15644</v>
      </c>
      <c r="C15639">
        <f>HYPERLINK("C:\Users\franc\OneDrive\Documentos\MALENTIN KARIME\BANCO ESTADO\2012 DEPTO ESCRITURAS fata\Dc Simples\RESPALDO comp notaria 27_12_12\NOTARIA 2012\PODERES\ARR. PROPIEDADES dos.doc", "Abrir Documento")</f>
        <v>0</v>
      </c>
      <c r="D15639" t="s">
        <v>23500</v>
      </c>
      <c r="E15639" t="s">
        <v>38114</v>
      </c>
    </row>
    <row r="15640" spans="1:5">
      <c r="A15640" t="s">
        <v>6</v>
      </c>
      <c r="B15640" t="s">
        <v>15645</v>
      </c>
      <c r="C15640">
        <f>HYPERLINK("C:\Users\franc\OneDrive\Documentos\MALENTIN KARIME\BANCO ESTADO\2012 DEPTO ESCRITURAS fata\Dc Simples\RESPALDO comp notaria 27_12_12\NOTARIA 2012\PODERES\ARR. PROPIEDADES COMPLETO.doc", "Abrir Documento")</f>
        <v>0</v>
      </c>
      <c r="D15640" t="s">
        <v>23500</v>
      </c>
      <c r="E15640" t="s">
        <v>38115</v>
      </c>
    </row>
    <row r="15641" spans="1:5">
      <c r="A15641" t="s">
        <v>6</v>
      </c>
      <c r="B15641" t="s">
        <v>15646</v>
      </c>
      <c r="C15641">
        <f>HYPERLINK("C:\Users\franc\OneDrive\Documentos\MALENTIN KARIME\BANCO ESTADO\2012 DEPTO ESCRITURAS fata\Dc Simples\RESPALDO comp notaria 27_12_12\NOTARIA 2012\PODERES\ARR. PROPIEDAD.doc", "Abrir Documento")</f>
        <v>0</v>
      </c>
      <c r="D15641" t="s">
        <v>23500</v>
      </c>
      <c r="E15641" t="s">
        <v>38116</v>
      </c>
    </row>
    <row r="15642" spans="1:5">
      <c r="A15642" t="s">
        <v>6</v>
      </c>
      <c r="B15642" t="s">
        <v>15647</v>
      </c>
      <c r="C15642">
        <f>HYPERLINK("C:\Users\franc\OneDrive\Documentos\MALENTIN KARIME\BANCO ESTADO\2012 DEPTO ESCRITURAS fata\Dc Simples\RESPALDO comp notaria 27_12_12\NOTARIA 2012\PODERES\ARR. PROP Y OTRAS FACULT..doc", "Abrir Documento")</f>
        <v>0</v>
      </c>
      <c r="D15642" t="s">
        <v>23500</v>
      </c>
      <c r="E15642" t="s">
        <v>38117</v>
      </c>
    </row>
    <row r="15643" spans="1:5">
      <c r="A15643" t="s">
        <v>6</v>
      </c>
      <c r="B15643" t="s">
        <v>15648</v>
      </c>
      <c r="C15643">
        <f>HYPERLINK("C:\Users\franc\OneDrive\Documentos\MALENTIN KARIME\BANCO ESTADO\2012 DEPTO ESCRITURAS fata\Dc Simples\RESPALDO comp notaria 27_12_12\NOTARIA 2012\PODERES\ARMANDO SALAMANCA.doc", "Abrir Documento")</f>
        <v>0</v>
      </c>
      <c r="D15643" t="s">
        <v>23500</v>
      </c>
      <c r="E15643" t="s">
        <v>38118</v>
      </c>
    </row>
    <row r="15644" spans="1:5">
      <c r="A15644" t="s">
        <v>6</v>
      </c>
      <c r="B15644" t="s">
        <v>15649</v>
      </c>
      <c r="C15644">
        <f>HYPERLINK("C:\Users\franc\OneDrive\Documentos\MALENTIN KARIME\BANCO ESTADO\2012 DEPTO ESCRITURAS fata\Dc Simples\RESPALDO comp notaria 27_12_12\NOTARIA 2012\PODERES\ARMANDO SALAMANCA MOTO.doc", "Abrir Documento")</f>
        <v>0</v>
      </c>
      <c r="D15644" t="s">
        <v>23500</v>
      </c>
      <c r="E15644" t="s">
        <v>38119</v>
      </c>
    </row>
    <row r="15645" spans="1:5">
      <c r="A15645" t="s">
        <v>6</v>
      </c>
      <c r="B15645" t="s">
        <v>15650</v>
      </c>
      <c r="C15645">
        <f>HYPERLINK("C:\Users\franc\OneDrive\Documentos\MALENTIN KARIME\BANCO ESTADO\2012 DEPTO ESCRITURAS fata\Dc Simples\RESPALDO comp notaria 27_12_12\NOTARIA 2012\PODERES\araya rojas.doc", "Abrir Documento")</f>
        <v>0</v>
      </c>
      <c r="D15645" t="s">
        <v>23500</v>
      </c>
      <c r="E15645" t="s">
        <v>38120</v>
      </c>
    </row>
    <row r="15646" spans="1:5">
      <c r="A15646" t="s">
        <v>6</v>
      </c>
      <c r="B15646" t="s">
        <v>15651</v>
      </c>
      <c r="C15646">
        <f>HYPERLINK("C:\Users\franc\OneDrive\Documentos\MALENTIN KARIME\BANCO ESTADO\2012 DEPTO ESCRITURAS fata\Dc Simples\RESPALDO comp notaria 27_12_12\NOTARIA 2012\PODERES\ADUANA.doc", "Abrir Documento")</f>
        <v>0</v>
      </c>
      <c r="D15646" t="s">
        <v>23500</v>
      </c>
      <c r="E15646" t="s">
        <v>38121</v>
      </c>
    </row>
    <row r="15647" spans="1:5">
      <c r="A15647" t="s">
        <v>6</v>
      </c>
      <c r="B15647" t="s">
        <v>15652</v>
      </c>
      <c r="C15647">
        <f>HYPERLINK("C:\Users\franc\OneDrive\Documentos\MALENTIN KARIME\BANCO ESTADO\2012 DEPTO ESCRITURAS fata\Dc Simples\RESPALDO comp notaria 27_12_12\NOTARIA 2012\PODERES\ADMINISTRACION VEHICULO.doc", "Abrir Documento")</f>
        <v>0</v>
      </c>
      <c r="D15647" t="s">
        <v>23500</v>
      </c>
      <c r="E15647" t="s">
        <v>38122</v>
      </c>
    </row>
    <row r="15648" spans="1:5">
      <c r="A15648" t="s">
        <v>6</v>
      </c>
      <c r="B15648" t="s">
        <v>15653</v>
      </c>
      <c r="C15648">
        <f>HYPERLINK("C:\Users\franc\OneDrive\Documentos\MALENTIN KARIME\BANCO ESTADO\2012 DEPTO ESCRITURAS fata\Dc Simples\RESPALDO comp notaria 27_12_12\NOTARIA 2012\PODERES\ADMINISTRACION VEHICULO ITALO.doc", "Abrir Documento")</f>
        <v>0</v>
      </c>
      <c r="D15648" t="s">
        <v>23500</v>
      </c>
      <c r="E15648" t="s">
        <v>38123</v>
      </c>
    </row>
    <row r="15649" spans="1:5">
      <c r="A15649" t="s">
        <v>6</v>
      </c>
      <c r="B15649" t="s">
        <v>15654</v>
      </c>
      <c r="C15649">
        <f>HYPERLINK("C:\Users\franc\OneDrive\Documentos\MALENTIN KARIME\BANCO ESTADO\2012 DEPTO ESCRITURAS fata\Dc Simples\RESPALDO comp notaria 27_12_12\NOTARIA 2012\PODERES\ADMINISTRACION BUSES.doc", "Abrir Documento")</f>
        <v>0</v>
      </c>
      <c r="D15649" t="s">
        <v>23500</v>
      </c>
      <c r="E15649" t="s">
        <v>38124</v>
      </c>
    </row>
    <row r="15650" spans="1:5">
      <c r="A15650" t="s">
        <v>6</v>
      </c>
      <c r="B15650" t="s">
        <v>15655</v>
      </c>
      <c r="C15650">
        <f>HYPERLINK("C:\Users\franc\OneDrive\Documentos\MALENTIN KARIME\BANCO ESTADO\2012 DEPTO ESCRITURAS fata\Dc Simples\RESPALDO comp notaria 27_12_12\NOTARIA 2012\PODERES\000.doc", "Abrir Documento")</f>
        <v>0</v>
      </c>
      <c r="D15650" t="s">
        <v>23500</v>
      </c>
      <c r="E15650" t="s">
        <v>38125</v>
      </c>
    </row>
    <row r="15651" spans="1:5">
      <c r="A15651" t="s">
        <v>6</v>
      </c>
      <c r="B15651" t="s">
        <v>15656</v>
      </c>
      <c r="C15651">
        <f>HYPERLINK("C:\Users\franc\OneDrive\Documentos\MALENTIN KARIME\BANCO ESTADO\2012 DEPTO ESCRITURAS fata\Dc Simples\RESPALDO comp notaria 27_12_12\NOTARIA 2012\PERSONERÍAS\YUM YUM LTDA..doc", "Abrir Documento")</f>
        <v>0</v>
      </c>
      <c r="D15651" t="s">
        <v>23500</v>
      </c>
      <c r="E15651" t="s">
        <v>38126</v>
      </c>
    </row>
    <row r="15652" spans="1:5">
      <c r="A15652" t="s">
        <v>6</v>
      </c>
      <c r="B15652" t="s">
        <v>15657</v>
      </c>
      <c r="C15652">
        <f>HYPERLINK("C:\Users\franc\OneDrive\Documentos\MALENTIN KARIME\BANCO ESTADO\2012 DEPTO ESCRITURAS fata\Dc Simples\RESPALDO comp notaria 27_12_12\NOTARIA 2012\PERSONERÍAS\XENIT.doc", "Abrir Documento")</f>
        <v>0</v>
      </c>
      <c r="D15652" t="s">
        <v>23500</v>
      </c>
      <c r="E15652" t="s">
        <v>38127</v>
      </c>
    </row>
    <row r="15653" spans="1:5">
      <c r="A15653" t="s">
        <v>6</v>
      </c>
      <c r="B15653" t="s">
        <v>15658</v>
      </c>
      <c r="C15653">
        <f>HYPERLINK("C:\Users\franc\OneDrive\Documentos\MALENTIN KARIME\BANCO ESTADO\2012 DEPTO ESCRITURAS fata\Dc Simples\RESPALDO comp notaria 27_12_12\NOTARIA 2012\PERSONERÍAS\VIÑA FRANCISCO DE AGUIRRE S.A..doc", "Abrir Documento")</f>
        <v>0</v>
      </c>
      <c r="D15653" t="s">
        <v>23500</v>
      </c>
      <c r="E15653" t="s">
        <v>38128</v>
      </c>
    </row>
    <row r="15654" spans="1:5">
      <c r="A15654" t="s">
        <v>6</v>
      </c>
      <c r="B15654" t="s">
        <v>15659</v>
      </c>
      <c r="C15654">
        <f>HYPERLINK("C:\Users\franc\OneDrive\Documentos\MALENTIN KARIME\BANCO ESTADO\2012 DEPTO ESCRITURAS fata\Dc Simples\RESPALDO comp notaria 27_12_12\NOTARIA 2012\PERSONERÍAS\VINKO E.I.R.L..doc", "Abrir Documento")</f>
        <v>0</v>
      </c>
      <c r="D15654" t="s">
        <v>23500</v>
      </c>
      <c r="E15654" t="s">
        <v>38129</v>
      </c>
    </row>
    <row r="15655" spans="1:5">
      <c r="A15655" t="s">
        <v>6</v>
      </c>
      <c r="B15655" t="s">
        <v>15660</v>
      </c>
      <c r="C15655">
        <f>HYPERLINK("C:\Users\franc\OneDrive\Documentos\MALENTIN KARIME\BANCO ESTADO\2012 DEPTO ESCRITURAS fata\Dc Simples\RESPALDO comp notaria 27_12_12\NOTARIA 2012\PERSONERÍAS\VIENTO NORTE LTDA..doc", "Abrir Documento")</f>
        <v>0</v>
      </c>
      <c r="D15655" t="s">
        <v>23500</v>
      </c>
      <c r="E15655" t="s">
        <v>38130</v>
      </c>
    </row>
    <row r="15656" spans="1:5">
      <c r="A15656" t="s">
        <v>6</v>
      </c>
      <c r="B15656" t="s">
        <v>15661</v>
      </c>
      <c r="C15656">
        <f>HYPERLINK("C:\Users\franc\OneDrive\Documentos\MALENTIN KARIME\BANCO ESTADO\2012 DEPTO ESCRITURAS fata\Dc Simples\RESPALDO comp notaria 27_12_12\NOTARIA 2012\PERSONERÍAS\VH MAQUINARIAS LTDA..doc", "Abrir Documento")</f>
        <v>0</v>
      </c>
      <c r="D15656" t="s">
        <v>23500</v>
      </c>
      <c r="E15656" t="s">
        <v>38131</v>
      </c>
    </row>
    <row r="15657" spans="1:5">
      <c r="A15657" t="s">
        <v>6</v>
      </c>
      <c r="B15657" t="s">
        <v>15662</v>
      </c>
      <c r="C15657">
        <f>HYPERLINK("C:\Users\franc\OneDrive\Documentos\MALENTIN KARIME\BANCO ESTADO\2012 DEPTO ESCRITURAS fata\Dc Simples\RESPALDO comp notaria 27_12_12\NOTARIA 2012\PERSONERÍAS\VELCA LTDA..doc", "Abrir Documento")</f>
        <v>0</v>
      </c>
      <c r="D15657" t="s">
        <v>23500</v>
      </c>
      <c r="E15657" t="s">
        <v>38132</v>
      </c>
    </row>
    <row r="15658" spans="1:5">
      <c r="A15658" t="s">
        <v>6</v>
      </c>
      <c r="B15658" t="s">
        <v>15663</v>
      </c>
      <c r="C15658">
        <f>HYPERLINK("C:\Users\franc\OneDrive\Documentos\MALENTIN KARIME\BANCO ESTADO\2012 DEPTO ESCRITURAS fata\Dc Simples\RESPALDO comp notaria 27_12_12\NOTARIA 2012\PERSONERÍAS\VALLE SALUD LTDA..doc", "Abrir Documento")</f>
        <v>0</v>
      </c>
      <c r="D15658" t="s">
        <v>23500</v>
      </c>
      <c r="E15658" t="s">
        <v>38133</v>
      </c>
    </row>
    <row r="15659" spans="1:5">
      <c r="A15659" t="s">
        <v>6</v>
      </c>
      <c r="B15659" t="s">
        <v>15664</v>
      </c>
      <c r="C15659">
        <f>HYPERLINK("C:\Users\franc\OneDrive\Documentos\MALENTIN KARIME\BANCO ESTADO\2012 DEPTO ESCRITURAS fata\Dc Simples\RESPALDO comp notaria 27_12_12\NOTARIA 2012\PERSONERÍAS\VALLE LIMARI S.A..doc", "Abrir Documento")</f>
        <v>0</v>
      </c>
      <c r="D15659" t="s">
        <v>23500</v>
      </c>
      <c r="E15659" t="s">
        <v>38134</v>
      </c>
    </row>
    <row r="15660" spans="1:5">
      <c r="A15660" t="s">
        <v>6</v>
      </c>
      <c r="B15660" t="s">
        <v>15665</v>
      </c>
      <c r="C15660">
        <f>HYPERLINK("C:\Users\franc\OneDrive\Documentos\MALENTIN KARIME\BANCO ESTADO\2012 DEPTO ESCRITURAS fata\Dc Simples\RESPALDO comp notaria 27_12_12\NOTARIA 2012\PERSONERÍAS\UGARTE Y SCOTT S.A..doc", "Abrir Documento")</f>
        <v>0</v>
      </c>
      <c r="D15660" t="s">
        <v>23500</v>
      </c>
      <c r="E15660" t="s">
        <v>38135</v>
      </c>
    </row>
    <row r="15661" spans="1:5">
      <c r="A15661" t="s">
        <v>6</v>
      </c>
      <c r="B15661" t="s">
        <v>15666</v>
      </c>
      <c r="C15661">
        <f>HYPERLINK("C:\Users\franc\OneDrive\Documentos\MALENTIN KARIME\BANCO ESTADO\2012 DEPTO ESCRITURAS fata\Dc Simples\RESPALDO comp notaria 27_12_12\NOTARIA 2012\PERSONERÍAS\TV CABLE COLOR S.A..doc", "Abrir Documento")</f>
        <v>0</v>
      </c>
      <c r="D15661" t="s">
        <v>23500</v>
      </c>
      <c r="E15661" t="s">
        <v>38136</v>
      </c>
    </row>
    <row r="15662" spans="1:5">
      <c r="A15662" t="s">
        <v>6</v>
      </c>
      <c r="B15662" t="s">
        <v>15667</v>
      </c>
      <c r="C15662">
        <f>HYPERLINK("C:\Users\franc\OneDrive\Documentos\MALENTIN KARIME\BANCO ESTADO\2012 DEPTO ESCRITURAS fata\Dc Simples\RESPALDO comp notaria 27_12_12\NOTARIA 2012\PERSONERÍAS\TRES HNAS. LTDA..doc", "Abrir Documento")</f>
        <v>0</v>
      </c>
      <c r="D15662" t="s">
        <v>23500</v>
      </c>
      <c r="E15662" t="s">
        <v>38137</v>
      </c>
    </row>
    <row r="15663" spans="1:5">
      <c r="A15663" t="s">
        <v>6</v>
      </c>
      <c r="B15663" t="s">
        <v>15668</v>
      </c>
      <c r="C15663">
        <f>HYPERLINK("C:\Users\franc\OneDrive\Documentos\MALENTIN KARIME\BANCO ESTADO\2012 DEPTO ESCRITURAS fata\Dc Simples\RESPALDO comp notaria 27_12_12\NOTARIA 2012\PERSONERÍAS\TRANSPORTES Y SERVICIOS SIBERIA LTDA..doc", "Abrir Documento")</f>
        <v>0</v>
      </c>
      <c r="D15663" t="s">
        <v>23500</v>
      </c>
      <c r="E15663" t="s">
        <v>38138</v>
      </c>
    </row>
    <row r="15664" spans="1:5">
      <c r="A15664" t="s">
        <v>6</v>
      </c>
      <c r="B15664" t="s">
        <v>15669</v>
      </c>
      <c r="C15664">
        <f>HYPERLINK("C:\Users\franc\OneDrive\Documentos\MALENTIN KARIME\BANCO ESTADO\2012 DEPTO ESCRITURAS fata\Dc Simples\RESPALDO comp notaria 27_12_12\NOTARIA 2012\PERSONERÍAS\TRANSPORTES SEM LTDA..doc", "Abrir Documento")</f>
        <v>0</v>
      </c>
      <c r="D15664" t="s">
        <v>23500</v>
      </c>
      <c r="E15664" t="s">
        <v>38139</v>
      </c>
    </row>
    <row r="15665" spans="1:5">
      <c r="A15665" t="s">
        <v>6</v>
      </c>
      <c r="B15665" t="s">
        <v>15670</v>
      </c>
      <c r="C15665">
        <f>HYPERLINK("C:\Users\franc\OneDrive\Documentos\MALENTIN KARIME\BANCO ESTADO\2012 DEPTO ESCRITURAS fata\Dc Simples\RESPALDO comp notaria 27_12_12\NOTARIA 2012\PERSONERÍAS\TRANSPORTES SAN JUAN LTDA..doc", "Abrir Documento")</f>
        <v>0</v>
      </c>
      <c r="D15665" t="s">
        <v>23500</v>
      </c>
      <c r="E15665" t="s">
        <v>38140</v>
      </c>
    </row>
    <row r="15666" spans="1:5">
      <c r="A15666" t="s">
        <v>6</v>
      </c>
      <c r="B15666" t="s">
        <v>15671</v>
      </c>
      <c r="C15666">
        <f>HYPERLINK("C:\Users\franc\OneDrive\Documentos\MALENTIN KARIME\BANCO ESTADO\2012 DEPTO ESCRITURAS fata\Dc Simples\RESPALDO comp notaria 27_12_12\NOTARIA 2012\PERSONERÍAS\TRANSPORTES POLANCO LTDA..doc", "Abrir Documento")</f>
        <v>0</v>
      </c>
      <c r="D15666" t="s">
        <v>23500</v>
      </c>
      <c r="E15666" t="s">
        <v>38141</v>
      </c>
    </row>
    <row r="15667" spans="1:5">
      <c r="A15667" t="s">
        <v>6</v>
      </c>
      <c r="B15667" t="s">
        <v>15672</v>
      </c>
      <c r="C15667">
        <f>HYPERLINK("C:\Users\franc\OneDrive\Documentos\MALENTIN KARIME\BANCO ESTADO\2012 DEPTO ESCRITURAS fata\Dc Simples\RESPALDO comp notaria 27_12_12\NOTARIA 2012\PERSONERÍAS\TRANSPORTES PATRICIO GUZMAN.doc", "Abrir Documento")</f>
        <v>0</v>
      </c>
      <c r="D15667" t="s">
        <v>23500</v>
      </c>
      <c r="E15667" t="s">
        <v>38142</v>
      </c>
    </row>
    <row r="15668" spans="1:5">
      <c r="A15668" t="s">
        <v>6</v>
      </c>
      <c r="B15668" t="s">
        <v>15673</v>
      </c>
      <c r="C15668">
        <f>HYPERLINK("C:\Users\franc\OneDrive\Documentos\MALENTIN KARIME\BANCO ESTADO\2012 DEPTO ESCRITURAS fata\Dc Simples\RESPALDO comp notaria 27_12_12\NOTARIA 2012\PERSONERÍAS\TRANSPORTES DABED LTDA.doc", "Abrir Documento")</f>
        <v>0</v>
      </c>
      <c r="D15668" t="s">
        <v>23500</v>
      </c>
      <c r="E15668" t="s">
        <v>38143</v>
      </c>
    </row>
    <row r="15669" spans="1:5">
      <c r="A15669" t="s">
        <v>6</v>
      </c>
      <c r="B15669" t="s">
        <v>15674</v>
      </c>
      <c r="C15669">
        <f>HYPERLINK("C:\Users\franc\OneDrive\Documentos\MALENTIN KARIME\BANCO ESTADO\2012 DEPTO ESCRITURAS fata\Dc Simples\RESPALDO comp notaria 27_12_12\NOTARIA 2012\PERSONERÍAS\TRANSER E.I.R.L..doc", "Abrir Documento")</f>
        <v>0</v>
      </c>
      <c r="D15669" t="s">
        <v>23500</v>
      </c>
      <c r="E15669" t="s">
        <v>38144</v>
      </c>
    </row>
    <row r="15670" spans="1:5">
      <c r="A15670" t="s">
        <v>6</v>
      </c>
      <c r="B15670" t="s">
        <v>15675</v>
      </c>
      <c r="C15670">
        <f>HYPERLINK("C:\Users\franc\OneDrive\Documentos\MALENTIN KARIME\BANCO ESTADO\2012 DEPTO ESCRITURAS fata\Dc Simples\RESPALDO comp notaria 27_12_12\NOTARIA 2012\PERSONERÍAS\TIRADO AGROTRANSPORTES.doc", "Abrir Documento")</f>
        <v>0</v>
      </c>
      <c r="D15670" t="s">
        <v>23500</v>
      </c>
      <c r="E15670" t="s">
        <v>38145</v>
      </c>
    </row>
    <row r="15671" spans="1:5">
      <c r="A15671" t="s">
        <v>6</v>
      </c>
      <c r="B15671" t="s">
        <v>15676</v>
      </c>
      <c r="C15671">
        <f>HYPERLINK("C:\Users\franc\OneDrive\Documentos\MALENTIN KARIME\BANCO ESTADO\2012 DEPTO ESCRITURAS fata\Dc Simples\RESPALDO comp notaria 27_12_12\NOTARIA 2012\PERSONERÍAS\TELLCOR LTDA..doc", "Abrir Documento")</f>
        <v>0</v>
      </c>
      <c r="D15671" t="s">
        <v>23500</v>
      </c>
      <c r="E15671" t="s">
        <v>38146</v>
      </c>
    </row>
    <row r="15672" spans="1:5">
      <c r="A15672" t="s">
        <v>6</v>
      </c>
      <c r="B15672" t="s">
        <v>15677</v>
      </c>
      <c r="C15672">
        <f>HYPERLINK("C:\Users\franc\OneDrive\Documentos\MALENTIN KARIME\BANCO ESTADO\2012 DEPTO ESCRITURAS fata\Dc Simples\RESPALDO comp notaria 27_12_12\NOTARIA 2012\PERSONERÍAS\SUCESION OSCAR ROBERTO TORO.doc", "Abrir Documento")</f>
        <v>0</v>
      </c>
      <c r="D15672" t="s">
        <v>23500</v>
      </c>
      <c r="E15672" t="s">
        <v>38147</v>
      </c>
    </row>
    <row r="15673" spans="1:5">
      <c r="A15673" t="s">
        <v>6</v>
      </c>
      <c r="B15673" t="s">
        <v>15678</v>
      </c>
      <c r="C15673">
        <f>HYPERLINK("C:\Users\franc\OneDrive\Documentos\MALENTIN KARIME\BANCO ESTADO\2012 DEPTO ESCRITURAS fata\Dc Simples\RESPALDO comp notaria 27_12_12\NOTARIA 2012\PERSONERÍAS\SUC. ROSENDO ARAYA.doc", "Abrir Documento")</f>
        <v>0</v>
      </c>
      <c r="D15673" t="s">
        <v>23500</v>
      </c>
      <c r="E15673" t="s">
        <v>38148</v>
      </c>
    </row>
    <row r="15674" spans="1:5">
      <c r="A15674" t="s">
        <v>6</v>
      </c>
      <c r="B15674" t="s">
        <v>15679</v>
      </c>
      <c r="C15674">
        <f>HYPERLINK("C:\Users\franc\OneDrive\Documentos\MALENTIN KARIME\BANCO ESTADO\2012 DEPTO ESCRITURAS fata\Dc Simples\RESPALDO comp notaria 27_12_12\NOTARIA 2012\PERSONERÍAS\SUC. RAUL MORA.doc", "Abrir Documento")</f>
        <v>0</v>
      </c>
      <c r="D15674" t="s">
        <v>23500</v>
      </c>
      <c r="E15674" t="s">
        <v>38149</v>
      </c>
    </row>
    <row r="15675" spans="1:5">
      <c r="A15675" t="s">
        <v>6</v>
      </c>
      <c r="B15675" t="s">
        <v>15680</v>
      </c>
      <c r="C15675">
        <f>HYPERLINK("C:\Users\franc\OneDrive\Documentos\MALENTIN KARIME\BANCO ESTADO\2012 DEPTO ESCRITURAS fata\Dc Simples\RESPALDO comp notaria 27_12_12\NOTARIA 2012\PERSONERÍAS\SUC. CARLOS VALDIVIA MARIN.doc", "Abrir Documento")</f>
        <v>0</v>
      </c>
      <c r="D15675" t="s">
        <v>23500</v>
      </c>
      <c r="E15675" t="s">
        <v>38150</v>
      </c>
    </row>
    <row r="15676" spans="1:5">
      <c r="A15676" t="s">
        <v>6</v>
      </c>
      <c r="B15676" t="s">
        <v>15681</v>
      </c>
      <c r="C15676">
        <f>HYPERLINK("C:\Users\franc\OneDrive\Documentos\MALENTIN KARIME\BANCO ESTADO\2012 DEPTO ESCRITURAS fata\Dc Simples\RESPALDO comp notaria 27_12_12\NOTARIA 2012\PERSONERÍAS\STA. TERESA.doc", "Abrir Documento")</f>
        <v>0</v>
      </c>
      <c r="D15676" t="s">
        <v>23500</v>
      </c>
      <c r="E15676" t="s">
        <v>38151</v>
      </c>
    </row>
    <row r="15677" spans="1:5">
      <c r="A15677" t="s">
        <v>6</v>
      </c>
      <c r="B15677" t="s">
        <v>15682</v>
      </c>
      <c r="C15677">
        <f>HYPERLINK("C:\Users\franc\OneDrive\Documentos\MALENTIN KARIME\BANCO ESTADO\2012 DEPTO ESCRITURAS fata\Dc Simples\RESPALDO comp notaria 27_12_12\NOTARIA 2012\PERSONERÍAS\SPA Aura.docx", "Abrir Documento")</f>
        <v>0</v>
      </c>
      <c r="D15677" t="s">
        <v>23501</v>
      </c>
      <c r="E15677" t="s">
        <v>38152</v>
      </c>
    </row>
    <row r="15678" spans="1:5">
      <c r="A15678" t="s">
        <v>6</v>
      </c>
      <c r="B15678" t="s">
        <v>15683</v>
      </c>
      <c r="C15678">
        <f>HYPERLINK("C:\Users\franc\OneDrive\Documentos\MALENTIN KARIME\BANCO ESTADO\2012 DEPTO ESCRITURAS fata\Dc Simples\RESPALDO comp notaria 27_12_12\NOTARIA 2012\PERSONERÍAS\SOTAQUI LTDA..doc", "Abrir Documento")</f>
        <v>0</v>
      </c>
      <c r="D15678" t="s">
        <v>23500</v>
      </c>
      <c r="E15678" t="s">
        <v>38153</v>
      </c>
    </row>
    <row r="15679" spans="1:5">
      <c r="A15679" t="s">
        <v>6</v>
      </c>
      <c r="B15679" t="s">
        <v>15684</v>
      </c>
      <c r="C15679">
        <f>HYPERLINK("C:\Users\franc\OneDrive\Documentos\MALENTIN KARIME\BANCO ESTADO\2012 DEPTO ESCRITURAS fata\Dc Simples\RESPALDO comp notaria 27_12_12\NOTARIA 2012\PERSONERÍAS\SOLUCION MAESTRO LTDA..doc", "Abrir Documento")</f>
        <v>0</v>
      </c>
      <c r="D15679" t="s">
        <v>23500</v>
      </c>
      <c r="E15679" t="s">
        <v>38154</v>
      </c>
    </row>
    <row r="15680" spans="1:5">
      <c r="A15680" t="s">
        <v>6</v>
      </c>
      <c r="B15680" t="s">
        <v>15685</v>
      </c>
      <c r="C15680">
        <f>HYPERLINK("C:\Users\franc\OneDrive\Documentos\MALENTIN KARIME\BANCO ESTADO\2012 DEPTO ESCRITURAS fata\Dc Simples\RESPALDO comp notaria 27_12_12\NOTARIA 2012\PERSONERÍAS\SOCOR LTDA..doc", "Abrir Documento")</f>
        <v>0</v>
      </c>
      <c r="D15680" t="s">
        <v>23500</v>
      </c>
      <c r="E15680" t="s">
        <v>38155</v>
      </c>
    </row>
    <row r="15681" spans="1:5">
      <c r="A15681" t="s">
        <v>6</v>
      </c>
      <c r="B15681" t="s">
        <v>15686</v>
      </c>
      <c r="C15681">
        <f>HYPERLINK("C:\Users\franc\OneDrive\Documentos\MALENTIN KARIME\BANCO ESTADO\2012 DEPTO ESCRITURAS fata\Dc Simples\RESPALDO comp notaria 27_12_12\NOTARIA 2012\PERSONERÍAS\SOCOMAR LTDA..doc", "Abrir Documento")</f>
        <v>0</v>
      </c>
      <c r="D15681" t="s">
        <v>23500</v>
      </c>
      <c r="E15681" t="s">
        <v>38156</v>
      </c>
    </row>
    <row r="15682" spans="1:5">
      <c r="A15682" t="s">
        <v>6</v>
      </c>
      <c r="B15682" t="s">
        <v>15687</v>
      </c>
      <c r="C15682">
        <f>HYPERLINK("C:\Users\franc\OneDrive\Documentos\MALENTIN KARIME\BANCO ESTADO\2012 DEPTO ESCRITURAS fata\Dc Simples\RESPALDO comp notaria 27_12_12\NOTARIA 2012\PERSONERÍAS\SOCIEDAD COMERCIAL EL RELOJ LTDA..doc", "Abrir Documento")</f>
        <v>0</v>
      </c>
      <c r="D15682" t="s">
        <v>23500</v>
      </c>
      <c r="E15682" t="s">
        <v>38157</v>
      </c>
    </row>
    <row r="15683" spans="1:5">
      <c r="A15683" t="s">
        <v>6</v>
      </c>
      <c r="B15683" t="s">
        <v>15688</v>
      </c>
      <c r="C15683">
        <f>HYPERLINK("C:\Users\franc\OneDrive\Documentos\MALENTIN KARIME\BANCO ESTADO\2012 DEPTO ESCRITURAS fata\Dc Simples\RESPALDO comp notaria 27_12_12\NOTARIA 2012\PERSONERÍAS\SOC. LUPE Y CARVAJAL Y CIA LTDA. ARMANDO SALAMANCA.doc", "Abrir Documento")</f>
        <v>0</v>
      </c>
      <c r="D15683" t="s">
        <v>23500</v>
      </c>
      <c r="E15683" t="s">
        <v>38158</v>
      </c>
    </row>
    <row r="15684" spans="1:5">
      <c r="A15684" t="s">
        <v>6</v>
      </c>
      <c r="B15684" t="s">
        <v>15689</v>
      </c>
      <c r="C15684">
        <f>HYPERLINK("C:\Users\franc\OneDrive\Documentos\MALENTIN KARIME\BANCO ESTADO\2012 DEPTO ESCRITURAS fata\Dc Simples\RESPALDO comp notaria 27_12_12\NOTARIA 2012\PERSONERÍAS\SOC. ESTRIBO.doc", "Abrir Documento")</f>
        <v>0</v>
      </c>
      <c r="D15684" t="s">
        <v>23500</v>
      </c>
      <c r="E15684" t="s">
        <v>38159</v>
      </c>
    </row>
    <row r="15685" spans="1:5">
      <c r="A15685" t="s">
        <v>6</v>
      </c>
      <c r="B15685" t="s">
        <v>15690</v>
      </c>
      <c r="C15685">
        <f>HYPERLINK("C:\Users\franc\OneDrive\Documentos\MALENTIN KARIME\BANCO ESTADO\2012 DEPTO ESCRITURAS fata\Dc Simples\RESPALDO comp notaria 27_12_12\NOTARIA 2012\PERSONERÍAS\SOC. AGRICOLA LOS PRIMOS LTDA..doc", "Abrir Documento")</f>
        <v>0</v>
      </c>
      <c r="D15685" t="s">
        <v>23500</v>
      </c>
      <c r="E15685" t="s">
        <v>38160</v>
      </c>
    </row>
    <row r="15686" spans="1:5">
      <c r="A15686" t="s">
        <v>6</v>
      </c>
      <c r="B15686" t="s">
        <v>15691</v>
      </c>
      <c r="C15686">
        <f>HYPERLINK("C:\Users\franc\OneDrive\Documentos\MALENTIN KARIME\BANCO ESTADO\2012 DEPTO ESCRITURAS fata\Dc Simples\RESPALDO comp notaria 27_12_12\NOTARIA 2012\PERSONERÍAS\SOC. AGRIC. LOS ALAMOS LTDA..doc", "Abrir Documento")</f>
        <v>0</v>
      </c>
      <c r="D15686" t="s">
        <v>23500</v>
      </c>
      <c r="E15686" t="s">
        <v>38161</v>
      </c>
    </row>
    <row r="15687" spans="1:5">
      <c r="A15687" t="s">
        <v>6</v>
      </c>
      <c r="B15687" t="s">
        <v>15692</v>
      </c>
      <c r="C15687">
        <f>HYPERLINK("C:\Users\franc\OneDrive\Documentos\MALENTIN KARIME\BANCO ESTADO\2012 DEPTO ESCRITURAS fata\Dc Simples\RESPALDO comp notaria 27_12_12\NOTARIA 2012\PERSONERÍAS\SOC. AGRIC. DOS HNOS. LTDA..doc", "Abrir Documento")</f>
        <v>0</v>
      </c>
      <c r="D15687" t="s">
        <v>23500</v>
      </c>
      <c r="E15687" t="s">
        <v>38162</v>
      </c>
    </row>
    <row r="15688" spans="1:5">
      <c r="A15688" t="s">
        <v>6</v>
      </c>
      <c r="B15688" t="s">
        <v>15693</v>
      </c>
      <c r="C15688">
        <f>HYPERLINK("C:\Users\franc\OneDrive\Documentos\MALENTIN KARIME\BANCO ESTADO\2012 DEPTO ESCRITURAS fata\Dc Simples\RESPALDO comp notaria 27_12_12\NOTARIA 2012\PERSONERÍAS\SOC. AGRIC. CHIRIPE LTDA.doc", "Abrir Documento")</f>
        <v>0</v>
      </c>
      <c r="D15688" t="s">
        <v>23500</v>
      </c>
      <c r="E15688" t="s">
        <v>38163</v>
      </c>
    </row>
    <row r="15689" spans="1:5">
      <c r="A15689" t="s">
        <v>6</v>
      </c>
      <c r="B15689" t="s">
        <v>15694</v>
      </c>
      <c r="C15689">
        <f>HYPERLINK("C:\Users\franc\OneDrive\Documentos\MALENTIN KARIME\BANCO ESTADO\2012 DEPTO ESCRITURAS fata\Dc Simples\RESPALDO comp notaria 27_12_12\NOTARIA 2012\PERSONERÍAS\SOC. AGRIC. AVENDAÑO Y ESPINOSA LTDA..doc", "Abrir Documento")</f>
        <v>0</v>
      </c>
      <c r="D15689" t="s">
        <v>23500</v>
      </c>
      <c r="E15689" t="s">
        <v>38164</v>
      </c>
    </row>
    <row r="15690" spans="1:5">
      <c r="A15690" t="s">
        <v>6</v>
      </c>
      <c r="B15690" t="s">
        <v>15695</v>
      </c>
      <c r="C15690">
        <f>HYPERLINK("C:\Users\franc\OneDrive\Documentos\MALENTIN KARIME\BANCO ESTADO\2012 DEPTO ESCRITURAS fata\Dc Simples\RESPALDO comp notaria 27_12_12\NOTARIA 2012\PERSONERÍAS\SOC. AGRIC, MINERA PAULA Y CONSUELO LTDA.doc", "Abrir Documento")</f>
        <v>0</v>
      </c>
      <c r="D15690" t="s">
        <v>23500</v>
      </c>
      <c r="E15690" t="s">
        <v>38165</v>
      </c>
    </row>
    <row r="15691" spans="1:5">
      <c r="A15691" t="s">
        <v>6</v>
      </c>
      <c r="B15691" t="s">
        <v>15696</v>
      </c>
      <c r="C15691">
        <f>HYPERLINK("C:\Users\franc\OneDrive\Documentos\MALENTIN KARIME\BANCO ESTADO\2012 DEPTO ESCRITURAS fata\Dc Simples\RESPALDO comp notaria 27_12_12\NOTARIA 2012\PERSONERÍAS\SOC. AGRIC, MINERA H.A.G.A.doc", "Abrir Documento")</f>
        <v>0</v>
      </c>
      <c r="D15691" t="s">
        <v>23500</v>
      </c>
      <c r="E15691" t="s">
        <v>38166</v>
      </c>
    </row>
    <row r="15692" spans="1:5">
      <c r="A15692" t="s">
        <v>6</v>
      </c>
      <c r="B15692" t="s">
        <v>15697</v>
      </c>
      <c r="C15692">
        <f>HYPERLINK("C:\Users\franc\OneDrive\Documentos\MALENTIN KARIME\BANCO ESTADO\2012 DEPTO ESCRITURAS fata\Dc Simples\RESPALDO comp notaria 27_12_12\NOTARIA 2012\PERSONERÍAS\SIND. MINEROS RIO HURTADO.doc", "Abrir Documento")</f>
        <v>0</v>
      </c>
      <c r="D15692" t="s">
        <v>23500</v>
      </c>
      <c r="E15692" t="s">
        <v>38167</v>
      </c>
    </row>
    <row r="15693" spans="1:5">
      <c r="A15693" t="s">
        <v>6</v>
      </c>
      <c r="B15693" t="s">
        <v>15698</v>
      </c>
      <c r="C15693">
        <f>HYPERLINK("C:\Users\franc\OneDrive\Documentos\MALENTIN KARIME\BANCO ESTADO\2012 DEPTO ESCRITURAS fata\Dc Simples\RESPALDO comp notaria 27_12_12\NOTARIA 2012\PERSONERÍAS\SERRAVALLE.doc", "Abrir Documento")</f>
        <v>0</v>
      </c>
      <c r="D15693" t="s">
        <v>23500</v>
      </c>
      <c r="E15693" t="s">
        <v>38168</v>
      </c>
    </row>
    <row r="15694" spans="1:5">
      <c r="A15694" t="s">
        <v>6</v>
      </c>
      <c r="B15694" t="s">
        <v>15699</v>
      </c>
      <c r="C15694">
        <f>HYPERLINK("C:\Users\franc\OneDrive\Documentos\MALENTIN KARIME\BANCO ESTADO\2012 DEPTO ESCRITURAS fata\Dc Simples\RESPALDO comp notaria 27_12_12\NOTARIA 2012\PERSONERÍAS\SELIM DABED, Roberto.doc", "Abrir Documento")</f>
        <v>0</v>
      </c>
      <c r="D15694" t="s">
        <v>23500</v>
      </c>
      <c r="E15694" t="s">
        <v>38169</v>
      </c>
    </row>
    <row r="15695" spans="1:5">
      <c r="A15695" t="s">
        <v>6</v>
      </c>
      <c r="B15695" t="s">
        <v>15700</v>
      </c>
      <c r="C15695">
        <f>HYPERLINK("C:\Users\franc\OneDrive\Documentos\MALENTIN KARIME\BANCO ESTADO\2012 DEPTO ESCRITURAS fata\Dc Simples\RESPALDO comp notaria 27_12_12\NOTARIA 2012\PERSONERÍAS\SELIM DABED, Roberto Dabed Martinac.doc", "Abrir Documento")</f>
        <v>0</v>
      </c>
      <c r="D15695" t="s">
        <v>23500</v>
      </c>
      <c r="E15695" t="s">
        <v>38170</v>
      </c>
    </row>
    <row r="15696" spans="1:5">
      <c r="A15696" t="s">
        <v>6</v>
      </c>
      <c r="B15696" t="s">
        <v>15701</v>
      </c>
      <c r="C15696">
        <f>HYPERLINK("C:\Users\franc\OneDrive\Documentos\MALENTIN KARIME\BANCO ESTADO\2012 DEPTO ESCRITURAS fata\Dc Simples\RESPALDO comp notaria 27_12_12\NOTARIA 2012\PERSONERÍAS\SELIM DABED, Arturo.doc", "Abrir Documento")</f>
        <v>0</v>
      </c>
      <c r="D15696" t="s">
        <v>23500</v>
      </c>
      <c r="E15696" t="s">
        <v>38171</v>
      </c>
    </row>
    <row r="15697" spans="1:5">
      <c r="A15697" t="s">
        <v>6</v>
      </c>
      <c r="B15697" t="s">
        <v>15702</v>
      </c>
      <c r="C15697">
        <f>HYPERLINK("C:\Users\franc\OneDrive\Documentos\MALENTIN KARIME\BANCO ESTADO\2012 DEPTO ESCRITURAS fata\Dc Simples\RESPALDO comp notaria 27_12_12\NOTARIA 2012\PERSONERÍAS\SELIM DABED Y TODAS POR DON ROBERTO.doc", "Abrir Documento")</f>
        <v>0</v>
      </c>
      <c r="D15697" t="s">
        <v>23500</v>
      </c>
      <c r="E15697" t="s">
        <v>38172</v>
      </c>
    </row>
    <row r="15698" spans="1:5">
      <c r="A15698" t="s">
        <v>6</v>
      </c>
      <c r="B15698" t="s">
        <v>15703</v>
      </c>
      <c r="C15698">
        <f>HYPERLINK("C:\Users\franc\OneDrive\Documentos\MALENTIN KARIME\BANCO ESTADO\2012 DEPTO ESCRITURAS fata\Dc Simples\RESPALDO comp notaria 27_12_12\NOTARIA 2012\PERSONERÍAS\SEGOVAL LIMITADA.doc", "Abrir Documento")</f>
        <v>0</v>
      </c>
      <c r="D15698" t="s">
        <v>23500</v>
      </c>
      <c r="E15698" t="s">
        <v>38173</v>
      </c>
    </row>
    <row r="15699" spans="1:5">
      <c r="A15699" t="s">
        <v>6</v>
      </c>
      <c r="B15699" t="s">
        <v>15704</v>
      </c>
      <c r="C15699">
        <f>HYPERLINK("C:\Users\franc\OneDrive\Documentos\MALENTIN KARIME\BANCO ESTADO\2012 DEPTO ESCRITURAS fata\Dc Simples\RESPALDO comp notaria 27_12_12\NOTARIA 2012\PERSONERÍAS\SANTA CARMEN LTDA..doc", "Abrir Documento")</f>
        <v>0</v>
      </c>
      <c r="D15699" t="s">
        <v>23500</v>
      </c>
      <c r="E15699" t="s">
        <v>38174</v>
      </c>
    </row>
    <row r="15700" spans="1:5">
      <c r="A15700" t="s">
        <v>6</v>
      </c>
      <c r="B15700" t="s">
        <v>15705</v>
      </c>
      <c r="C15700">
        <f>HYPERLINK("C:\Users\franc\OneDrive\Documentos\MALENTIN KARIME\BANCO ESTADO\2012 DEPTO ESCRITURAS fata\Dc Simples\RESPALDO comp notaria 27_12_12\NOTARIA 2012\PERSONERÍAS\SAN SEBASTIAN LIMITADA.doc", "Abrir Documento")</f>
        <v>0</v>
      </c>
      <c r="D15700" t="s">
        <v>23500</v>
      </c>
      <c r="E15700" t="s">
        <v>38175</v>
      </c>
    </row>
    <row r="15701" spans="1:5">
      <c r="A15701" t="s">
        <v>6</v>
      </c>
      <c r="B15701" t="s">
        <v>15706</v>
      </c>
      <c r="C15701">
        <f>HYPERLINK("C:\Users\franc\OneDrive\Documentos\MALENTIN KARIME\BANCO ESTADO\2012 DEPTO ESCRITURAS fata\Dc Simples\RESPALDO comp notaria 27_12_12\NOTARIA 2012\PERSONERÍAS\SAMUEL ROJO M Y CIA. LTDA..doc", "Abrir Documento")</f>
        <v>0</v>
      </c>
      <c r="D15701" t="s">
        <v>23500</v>
      </c>
      <c r="E15701" t="s">
        <v>38176</v>
      </c>
    </row>
    <row r="15702" spans="1:5">
      <c r="A15702" t="s">
        <v>6</v>
      </c>
      <c r="B15702" t="s">
        <v>15707</v>
      </c>
      <c r="C15702">
        <f>HYPERLINK("C:\Users\franc\OneDrive\Documentos\MALENTIN KARIME\BANCO ESTADO\2012 DEPTO ESCRITURAS fata\Dc Simples\RESPALDO comp notaria 27_12_12\NOTARIA 2012\PERSONERÍAS\S.A LOS ALAMOS LTDA..doc", "Abrir Documento")</f>
        <v>0</v>
      </c>
      <c r="D15702" t="s">
        <v>23500</v>
      </c>
      <c r="E15702" t="s">
        <v>38177</v>
      </c>
    </row>
    <row r="15703" spans="1:5">
      <c r="A15703" t="s">
        <v>6</v>
      </c>
      <c r="B15703" t="s">
        <v>15708</v>
      </c>
      <c r="C15703">
        <f>HYPERLINK("C:\Users\franc\OneDrive\Documentos\MALENTIN KARIME\BANCO ESTADO\2012 DEPTO ESCRITURAS fata\Dc Simples\RESPALDO comp notaria 27_12_12\NOTARIA 2012\PERSONERÍAS\RUKA LICAN LTDA..doc", "Abrir Documento")</f>
        <v>0</v>
      </c>
      <c r="D15703" t="s">
        <v>23500</v>
      </c>
      <c r="E15703" t="s">
        <v>38178</v>
      </c>
    </row>
    <row r="15704" spans="1:5">
      <c r="A15704" t="s">
        <v>6</v>
      </c>
      <c r="B15704" t="s">
        <v>15709</v>
      </c>
      <c r="C15704">
        <f>HYPERLINK("C:\Users\franc\OneDrive\Documentos\MALENTIN KARIME\BANCO ESTADO\2012 DEPTO ESCRITURAS fata\Dc Simples\RESPALDO comp notaria 27_12_12\NOTARIA 2012\PERSONERÍAS\ROMANO DALBOSCO.doc", "Abrir Documento")</f>
        <v>0</v>
      </c>
      <c r="D15704" t="s">
        <v>23500</v>
      </c>
      <c r="E15704" t="s">
        <v>38179</v>
      </c>
    </row>
    <row r="15705" spans="1:5">
      <c r="A15705" t="s">
        <v>6</v>
      </c>
      <c r="B15705" t="s">
        <v>15710</v>
      </c>
      <c r="C15705">
        <f>HYPERLINK("C:\Users\franc\OneDrive\Documentos\MALENTIN KARIME\BANCO ESTADO\2012 DEPTO ESCRITURAS fata\Dc Simples\RESPALDO comp notaria 27_12_12\NOTARIA 2012\PERSONERÍAS\ROCK DRILL.doc", "Abrir Documento")</f>
        <v>0</v>
      </c>
      <c r="D15705" t="s">
        <v>23500</v>
      </c>
      <c r="E15705" t="s">
        <v>38180</v>
      </c>
    </row>
    <row r="15706" spans="1:5">
      <c r="A15706" t="s">
        <v>6</v>
      </c>
      <c r="B15706" t="s">
        <v>15711</v>
      </c>
      <c r="C15706">
        <f>HYPERLINK("C:\Users\franc\OneDrive\Documentos\MALENTIN KARIME\BANCO ESTADO\2012 DEPTO ESCRITURAS fata\Dc Simples\RESPALDO comp notaria 27_12_12\NOTARIA 2012\PERSONERÍAS\rock drill mining chile spa.doc", "Abrir Documento")</f>
        <v>0</v>
      </c>
      <c r="D15706" t="s">
        <v>23500</v>
      </c>
      <c r="E15706" t="s">
        <v>38181</v>
      </c>
    </row>
    <row r="15707" spans="1:5">
      <c r="A15707" t="s">
        <v>6</v>
      </c>
      <c r="B15707" t="s">
        <v>15712</v>
      </c>
      <c r="C15707">
        <f>HYPERLINK("C:\Users\franc\OneDrive\Documentos\MALENTIN KARIME\BANCO ESTADO\2012 DEPTO ESCRITURAS fata\Dc Simples\RESPALDO comp notaria 27_12_12\NOTARIA 2012\PERSONERÍAS\ROBERTO DABED por todas.doc", "Abrir Documento")</f>
        <v>0</v>
      </c>
      <c r="D15707" t="s">
        <v>23500</v>
      </c>
      <c r="E15707" t="s">
        <v>38182</v>
      </c>
    </row>
    <row r="15708" spans="1:5">
      <c r="A15708" t="s">
        <v>6</v>
      </c>
      <c r="B15708" t="s">
        <v>15713</v>
      </c>
      <c r="C15708">
        <f>HYPERLINK("C:\Users\franc\OneDrive\Documentos\MALENTIN KARIME\BANCO ESTADO\2012 DEPTO ESCRITURAS fata\Dc Simples\RESPALDO comp notaria 27_12_12\NOTARIA 2012\PERSONERÍAS\RECIPAPEL.doc", "Abrir Documento")</f>
        <v>0</v>
      </c>
      <c r="D15708" t="s">
        <v>23500</v>
      </c>
      <c r="E15708" t="s">
        <v>38183</v>
      </c>
    </row>
    <row r="15709" spans="1:5">
      <c r="A15709" t="s">
        <v>6</v>
      </c>
      <c r="B15709" t="s">
        <v>15714</v>
      </c>
      <c r="C15709">
        <f>HYPERLINK("C:\Users\franc\OneDrive\Documentos\MALENTIN KARIME\BANCO ESTADO\2012 DEPTO ESCRITURAS fata\Dc Simples\RESPALDO comp notaria 27_12_12\NOTARIA 2012\PERSONERÍAS\RAFAEL PROHENS Y CIA. LTDA..doc", "Abrir Documento")</f>
        <v>0</v>
      </c>
      <c r="D15709" t="s">
        <v>23500</v>
      </c>
      <c r="E15709" t="s">
        <v>38184</v>
      </c>
    </row>
    <row r="15710" spans="1:5">
      <c r="A15710" t="s">
        <v>6</v>
      </c>
      <c r="B15710" t="s">
        <v>15715</v>
      </c>
      <c r="C15710">
        <f>HYPERLINK("C:\Users\franc\OneDrive\Documentos\MALENTIN KARIME\BANCO ESTADO\2012 DEPTO ESCRITURAS fata\Dc Simples\RESPALDO comp notaria 27_12_12\NOTARIA 2012\PERSONERÍAS\RAFAEL PROHENS Y CIA. LTDA. María Paula.doc", "Abrir Documento")</f>
        <v>0</v>
      </c>
      <c r="D15710" t="s">
        <v>23500</v>
      </c>
      <c r="E15710" t="s">
        <v>38185</v>
      </c>
    </row>
    <row r="15711" spans="1:5">
      <c r="A15711" t="s">
        <v>6</v>
      </c>
      <c r="B15711" t="s">
        <v>15716</v>
      </c>
      <c r="C15711">
        <f>HYPERLINK("C:\Users\franc\OneDrive\Documentos\MALENTIN KARIME\BANCO ESTADO\2012 DEPTO ESCRITURAS fata\Dc Simples\RESPALDO comp notaria 27_12_12\NOTARIA 2012\PERSONERÍAS\RADIOTAXI MONTAÑA.doc", "Abrir Documento")</f>
        <v>0</v>
      </c>
      <c r="D15711" t="s">
        <v>23500</v>
      </c>
      <c r="E15711" t="s">
        <v>38186</v>
      </c>
    </row>
    <row r="15712" spans="1:5">
      <c r="A15712" t="s">
        <v>6</v>
      </c>
      <c r="B15712" t="s">
        <v>15717</v>
      </c>
      <c r="C15712">
        <f>HYPERLINK("C:\Users\franc\OneDrive\Documentos\MALENTIN KARIME\BANCO ESTADO\2012 DEPTO ESCRITURAS fata\Dc Simples\RESPALDO comp notaria 27_12_12\NOTARIA 2012\PERSONERÍAS\PROSOM S.A..doc", "Abrir Documento")</f>
        <v>0</v>
      </c>
      <c r="D15712" t="s">
        <v>23500</v>
      </c>
      <c r="E15712" t="s">
        <v>38187</v>
      </c>
    </row>
    <row r="15713" spans="1:5">
      <c r="A15713" t="s">
        <v>6</v>
      </c>
      <c r="B15713" t="s">
        <v>15718</v>
      </c>
      <c r="C15713">
        <f>HYPERLINK("C:\Users\franc\OneDrive\Documentos\MALENTIN KARIME\BANCO ESTADO\2012 DEPTO ESCRITURAS fata\Dc Simples\RESPALDO comp notaria 27_12_12\NOTARIA 2012\PERSONERÍAS\PROPAM.doc", "Abrir Documento")</f>
        <v>0</v>
      </c>
      <c r="D15713" t="s">
        <v>23500</v>
      </c>
      <c r="E15713" t="s">
        <v>38188</v>
      </c>
    </row>
    <row r="15714" spans="1:5">
      <c r="A15714" t="s">
        <v>6</v>
      </c>
      <c r="B15714" t="s">
        <v>15719</v>
      </c>
      <c r="C15714">
        <f>HYPERLINK("C:\Users\franc\OneDrive\Documentos\MALENTIN KARIME\BANCO ESTADO\2012 DEPTO ESCRITURAS fata\Dc Simples\RESPALDO comp notaria 27_12_12\NOTARIA 2012\PERSONERÍAS\PROJECT S.A.doc", "Abrir Documento")</f>
        <v>0</v>
      </c>
      <c r="D15714" t="s">
        <v>23500</v>
      </c>
      <c r="E15714" t="s">
        <v>38189</v>
      </c>
    </row>
    <row r="15715" spans="1:5">
      <c r="A15715" t="s">
        <v>6</v>
      </c>
      <c r="B15715" t="s">
        <v>15720</v>
      </c>
      <c r="C15715">
        <f>HYPERLINK("C:\Users\franc\OneDrive\Documentos\MALENTIN KARIME\BANCO ESTADO\2012 DEPTO ESCRITURAS fata\Dc Simples\RESPALDO comp notaria 27_12_12\NOTARIA 2012\PERSONERÍAS\PEÑA SPOERER Y BOMBEROS.doc", "Abrir Documento")</f>
        <v>0</v>
      </c>
      <c r="D15715" t="s">
        <v>23500</v>
      </c>
      <c r="E15715" t="s">
        <v>38190</v>
      </c>
    </row>
    <row r="15716" spans="1:5">
      <c r="A15716" t="s">
        <v>6</v>
      </c>
      <c r="B15716" t="s">
        <v>15721</v>
      </c>
      <c r="C15716">
        <f>HYPERLINK("C:\Users\franc\OneDrive\Documentos\MALENTIN KARIME\BANCO ESTADO\2012 DEPTO ESCRITURAS fata\Dc Simples\RESPALDO comp notaria 27_12_12\NOTARIA 2012\PERSONERÍAS\PERSONERIA  OLGA MARIZA TORO PIZARRO.docx", "Abrir Documento")</f>
        <v>0</v>
      </c>
      <c r="D15716" t="s">
        <v>23501</v>
      </c>
      <c r="E15716" t="s">
        <v>38191</v>
      </c>
    </row>
    <row r="15717" spans="1:5">
      <c r="A15717" t="s">
        <v>6</v>
      </c>
      <c r="B15717" t="s">
        <v>15722</v>
      </c>
      <c r="C15717">
        <f>HYPERLINK("C:\Users\franc\OneDrive\Documentos\MALENTIN KARIME\BANCO ESTADO\2012 DEPTO ESCRITURAS fata\Dc Simples\RESPALDO comp notaria 27_12_12\NOTARIA 2012\PERSONERÍAS\PERSOL S.A..doc", "Abrir Documento")</f>
        <v>0</v>
      </c>
      <c r="D15717" t="s">
        <v>23500</v>
      </c>
      <c r="E15717" t="s">
        <v>38192</v>
      </c>
    </row>
    <row r="15718" spans="1:5">
      <c r="A15718" t="s">
        <v>6</v>
      </c>
      <c r="B15718" t="s">
        <v>15723</v>
      </c>
      <c r="C15718">
        <f>HYPERLINK("C:\Users\franc\OneDrive\Documentos\MALENTIN KARIME\BANCO ESTADO\2012 DEPTO ESCRITURAS fata\Dc Simples\RESPALDO comp notaria 27_12_12\NOTARIA 2012\PERSONERÍAS\PEDRO ALFONSO MUÑOZ EIRL.doc", "Abrir Documento")</f>
        <v>0</v>
      </c>
      <c r="D15718" t="s">
        <v>23500</v>
      </c>
      <c r="E15718" t="s">
        <v>38193</v>
      </c>
    </row>
    <row r="15719" spans="1:5">
      <c r="A15719" t="s">
        <v>6</v>
      </c>
      <c r="B15719" t="s">
        <v>15724</v>
      </c>
      <c r="C15719">
        <f>HYPERLINK("C:\Users\franc\OneDrive\Documentos\MALENTIN KARIME\BANCO ESTADO\2012 DEPTO ESCRITURAS fata\Dc Simples\RESPALDO comp notaria 27_12_12\NOTARIA 2012\PERSONERÍAS\PAULINA GALVEZ Y CIA. LTDA..doc", "Abrir Documento")</f>
        <v>0</v>
      </c>
      <c r="D15719" t="s">
        <v>23500</v>
      </c>
      <c r="E15719" t="s">
        <v>38194</v>
      </c>
    </row>
    <row r="15720" spans="1:5">
      <c r="A15720" t="s">
        <v>6</v>
      </c>
      <c r="B15720" t="s">
        <v>15725</v>
      </c>
      <c r="C15720">
        <f>HYPERLINK("C:\Users\franc\OneDrive\Documentos\MALENTIN KARIME\BANCO ESTADO\2012 DEPTO ESCRITURAS fata\Dc Simples\RESPALDO comp notaria 27_12_12\NOTARIA 2012\PERSONERÍAS\PASTEN Y BOU LTDA..doc", "Abrir Documento")</f>
        <v>0</v>
      </c>
      <c r="D15720" t="s">
        <v>23500</v>
      </c>
      <c r="E15720" t="s">
        <v>38195</v>
      </c>
    </row>
    <row r="15721" spans="1:5">
      <c r="A15721" t="s">
        <v>6</v>
      </c>
      <c r="B15721" t="s">
        <v>15726</v>
      </c>
      <c r="C15721">
        <f>HYPERLINK("C:\Users\franc\OneDrive\Documentos\MALENTIN KARIME\BANCO ESTADO\2012 DEPTO ESCRITURAS fata\Dc Simples\RESPALDO comp notaria 27_12_12\NOTARIA 2012\PERSONERÍAS\PAPELES ANDINOS.doc", "Abrir Documento")</f>
        <v>0</v>
      </c>
      <c r="D15721" t="s">
        <v>23500</v>
      </c>
      <c r="E15721" t="s">
        <v>38196</v>
      </c>
    </row>
    <row r="15722" spans="1:5">
      <c r="A15722" t="s">
        <v>6</v>
      </c>
      <c r="B15722" t="s">
        <v>15727</v>
      </c>
      <c r="C15722">
        <f>HYPERLINK("C:\Users\franc\OneDrive\Documentos\MALENTIN KARIME\BANCO ESTADO\2012 DEPTO ESCRITURAS fata\Dc Simples\RESPALDO comp notaria 27_12_12\NOTARIA 2012\PERSONERÍAS\PANULCILLO S.A..doc", "Abrir Documento")</f>
        <v>0</v>
      </c>
      <c r="D15722" t="s">
        <v>23500</v>
      </c>
      <c r="E15722" t="s">
        <v>38197</v>
      </c>
    </row>
    <row r="15723" spans="1:5">
      <c r="A15723" t="s">
        <v>6</v>
      </c>
      <c r="B15723" t="s">
        <v>15728</v>
      </c>
      <c r="C15723">
        <f>HYPERLINK("C:\Users\franc\OneDrive\Documentos\MALENTIN KARIME\BANCO ESTADO\2012 DEPTO ESCRITURAS fata\Dc Simples\RESPALDO comp notaria 27_12_12\NOTARIA 2012\PERSONERÍAS\PANULCILLO PERS..doc", "Abrir Documento")</f>
        <v>0</v>
      </c>
      <c r="D15723" t="s">
        <v>23500</v>
      </c>
      <c r="E15723" t="s">
        <v>38198</v>
      </c>
    </row>
    <row r="15724" spans="1:5">
      <c r="A15724" t="s">
        <v>6</v>
      </c>
      <c r="B15724" t="s">
        <v>15729</v>
      </c>
      <c r="C15724">
        <f>HYPERLINK("C:\Users\franc\OneDrive\Documentos\MALENTIN KARIME\BANCO ESTADO\2012 DEPTO ESCRITURAS fata\Dc Simples\RESPALDO comp notaria 27_12_12\NOTARIA 2012\PERSONERÍAS\PALQUI MAURAT.doc", "Abrir Documento")</f>
        <v>0</v>
      </c>
      <c r="D15724" t="s">
        <v>23500</v>
      </c>
      <c r="E15724" t="s">
        <v>38199</v>
      </c>
    </row>
    <row r="15725" spans="1:5">
      <c r="A15725" t="s">
        <v>6</v>
      </c>
      <c r="B15725" t="s">
        <v>15730</v>
      </c>
      <c r="C15725">
        <f>HYPERLINK("C:\Users\franc\OneDrive\Documentos\MALENTIN KARIME\BANCO ESTADO\2012 DEPTO ESCRITURAS fata\Dc Simples\RESPALDO comp notaria 27_12_12\NOTARIA 2012\PERSONERÍAS\OVALLE CASINO RESORT.doc", "Abrir Documento")</f>
        <v>0</v>
      </c>
      <c r="D15725" t="s">
        <v>23500</v>
      </c>
      <c r="E15725" t="s">
        <v>38200</v>
      </c>
    </row>
    <row r="15726" spans="1:5">
      <c r="A15726" t="s">
        <v>6</v>
      </c>
      <c r="B15726" t="s">
        <v>15731</v>
      </c>
      <c r="C15726">
        <f>HYPERLINK("C:\Users\franc\OneDrive\Documentos\MALENTIN KARIME\BANCO ESTADO\2012 DEPTO ESCRITURAS fata\Dc Simples\RESPALDO comp notaria 27_12_12\NOTARIA 2012\PERSONERÍAS\OLIVOS OLIMPO Y ARKON.doc", "Abrir Documento")</f>
        <v>0</v>
      </c>
      <c r="D15726" t="s">
        <v>23500</v>
      </c>
      <c r="E15726" t="s">
        <v>38201</v>
      </c>
    </row>
    <row r="15727" spans="1:5">
      <c r="A15727" t="s">
        <v>6</v>
      </c>
      <c r="B15727" t="s">
        <v>15732</v>
      </c>
      <c r="C15727">
        <f>HYPERLINK("C:\Users\franc\OneDrive\Documentos\MALENTIN KARIME\BANCO ESTADO\2012 DEPTO ESCRITURAS fata\Dc Simples\RESPALDO comp notaria 27_12_12\NOTARIA 2012\PERSONERÍAS\OLGA TORO E.I.R.L..doc", "Abrir Documento")</f>
        <v>0</v>
      </c>
      <c r="D15727" t="s">
        <v>23500</v>
      </c>
      <c r="E15727" t="s">
        <v>38202</v>
      </c>
    </row>
    <row r="15728" spans="1:5">
      <c r="A15728" t="s">
        <v>6</v>
      </c>
      <c r="B15728" t="s">
        <v>15733</v>
      </c>
      <c r="C15728">
        <f>HYPERLINK("C:\Users\franc\OneDrive\Documentos\MALENTIN KARIME\BANCO ESTADO\2012 DEPTO ESCRITURAS fata\Dc Simples\RESPALDO comp notaria 27_12_12\NOTARIA 2012\PERSONERÍAS\OCHOTIERRAS VIN rodrigo.doc", "Abrir Documento")</f>
        <v>0</v>
      </c>
      <c r="D15728" t="s">
        <v>23500</v>
      </c>
      <c r="E15728" t="s">
        <v>38203</v>
      </c>
    </row>
    <row r="15729" spans="1:5">
      <c r="A15729" t="s">
        <v>6</v>
      </c>
      <c r="B15729" t="s">
        <v>15734</v>
      </c>
      <c r="C15729">
        <f>HYPERLINK("C:\Users\franc\OneDrive\Documentos\MALENTIN KARIME\BANCO ESTADO\2012 DEPTO ESCRITURAS fata\Dc Simples\RESPALDO comp notaria 27_12_12\NOTARIA 2012\PERSONERÍAS\OCHOTIERRAS agric. Ronald.doc", "Abrir Documento")</f>
        <v>0</v>
      </c>
      <c r="D15729" t="s">
        <v>23500</v>
      </c>
      <c r="E15729" t="s">
        <v>38204</v>
      </c>
    </row>
    <row r="15730" spans="1:5">
      <c r="A15730" t="s">
        <v>6</v>
      </c>
      <c r="B15730" t="s">
        <v>15735</v>
      </c>
      <c r="C15730">
        <f>HYPERLINK("C:\Users\franc\OneDrive\Documentos\MALENTIN KARIME\BANCO ESTADO\2012 DEPTO ESCRITURAS fata\Dc Simples\RESPALDO comp notaria 27_12_12\NOTARIA 2012\PERSONERÍAS\OCHOTIERRA Vin Ronald.doc", "Abrir Documento")</f>
        <v>0</v>
      </c>
      <c r="D15730" t="s">
        <v>23500</v>
      </c>
      <c r="E15730" t="s">
        <v>38205</v>
      </c>
    </row>
    <row r="15731" spans="1:5">
      <c r="A15731" t="s">
        <v>6</v>
      </c>
      <c r="B15731" t="s">
        <v>15736</v>
      </c>
      <c r="C15731">
        <f>HYPERLINK("C:\Users\franc\OneDrive\Documentos\MALENTIN KARIME\BANCO ESTADO\2012 DEPTO ESCRITURAS fata\Dc Simples\RESPALDO comp notaria 27_12_12\NOTARIA 2012\PERSONERÍAS\OASIS LTDA..doc", "Abrir Documento")</f>
        <v>0</v>
      </c>
      <c r="D15731" t="s">
        <v>23500</v>
      </c>
      <c r="E15731" t="s">
        <v>38206</v>
      </c>
    </row>
    <row r="15732" spans="1:5">
      <c r="A15732" t="s">
        <v>6</v>
      </c>
      <c r="B15732" t="s">
        <v>15737</v>
      </c>
      <c r="C15732">
        <f>HYPERLINK("C:\Users\franc\OneDrive\Documentos\MALENTIN KARIME\BANCO ESTADO\2012 DEPTO ESCRITURAS fata\Dc Simples\RESPALDO comp notaria 27_12_12\NOTARIA 2012\PERSONERÍAS\NOGALES DEL NORTE SPA.doc", "Abrir Documento")</f>
        <v>0</v>
      </c>
      <c r="D15732" t="s">
        <v>23500</v>
      </c>
      <c r="E15732" t="s">
        <v>38207</v>
      </c>
    </row>
    <row r="15733" spans="1:5">
      <c r="A15733" t="s">
        <v>6</v>
      </c>
      <c r="B15733" t="s">
        <v>15738</v>
      </c>
      <c r="C15733">
        <f>HYPERLINK("C:\Users\franc\OneDrive\Documentos\MALENTIN KARIME\BANCO ESTADO\2012 DEPTO ESCRITURAS fata\Dc Simples\RESPALDO comp notaria 27_12_12\NOTARIA 2012\PERSONERÍAS\MIRADOR ORIENTE LTDA..doc", "Abrir Documento")</f>
        <v>0</v>
      </c>
      <c r="D15733" t="s">
        <v>23500</v>
      </c>
      <c r="E15733" t="s">
        <v>38208</v>
      </c>
    </row>
    <row r="15734" spans="1:5">
      <c r="A15734" t="s">
        <v>6</v>
      </c>
      <c r="B15734" t="s">
        <v>15739</v>
      </c>
      <c r="C15734">
        <f>HYPERLINK("C:\Users\franc\OneDrive\Documentos\MALENTIN KARIME\BANCO ESTADO\2012 DEPTO ESCRITURAS fata\Dc Simples\RESPALDO comp notaria 27_12_12\NOTARIA 2012\PERSONERÍAS\MINERA ZUPILOCOS LTDA..doc", "Abrir Documento")</f>
        <v>0</v>
      </c>
      <c r="D15734" t="s">
        <v>23500</v>
      </c>
      <c r="E15734" t="s">
        <v>38209</v>
      </c>
    </row>
    <row r="15735" spans="1:5">
      <c r="A15735" t="s">
        <v>6</v>
      </c>
      <c r="B15735" t="s">
        <v>15740</v>
      </c>
      <c r="C15735">
        <f>HYPERLINK("C:\Users\franc\OneDrive\Documentos\MALENTIN KARIME\BANCO ESTADO\2012 DEPTO ESCRITURAS fata\Dc Simples\RESPALDO comp notaria 27_12_12\NOTARIA 2012\PERSONERÍAS\MINERA TIERRA DEL FUEGO.doc", "Abrir Documento")</f>
        <v>0</v>
      </c>
      <c r="D15735" t="s">
        <v>23500</v>
      </c>
      <c r="E15735" t="s">
        <v>38210</v>
      </c>
    </row>
    <row r="15736" spans="1:5">
      <c r="A15736" t="s">
        <v>6</v>
      </c>
      <c r="B15736" t="s">
        <v>15741</v>
      </c>
      <c r="C15736">
        <f>HYPERLINK("C:\Users\franc\OneDrive\Documentos\MALENTIN KARIME\BANCO ESTADO\2012 DEPTO ESCRITURAS fata\Dc Simples\RESPALDO comp notaria 27_12_12\NOTARIA 2012\PERSONERÍAS\MINERA POTRERILLOS.doc", "Abrir Documento")</f>
        <v>0</v>
      </c>
      <c r="D15736" t="s">
        <v>23500</v>
      </c>
      <c r="E15736" t="s">
        <v>38211</v>
      </c>
    </row>
    <row r="15737" spans="1:5">
      <c r="A15737" t="s">
        <v>6</v>
      </c>
      <c r="B15737" t="s">
        <v>15742</v>
      </c>
      <c r="C15737">
        <f>HYPERLINK("C:\Users\franc\OneDrive\Documentos\MALENTIN KARIME\BANCO ESTADO\2012 DEPTO ESCRITURAS fata\Dc Simples\RESPALDO comp notaria 27_12_12\NOTARIA 2012\PERSONERÍAS\MINERA EL COBRE.doc", "Abrir Documento")</f>
        <v>0</v>
      </c>
      <c r="D15737" t="s">
        <v>23500</v>
      </c>
      <c r="E15737" t="s">
        <v>38212</v>
      </c>
    </row>
    <row r="15738" spans="1:5">
      <c r="A15738" t="s">
        <v>6</v>
      </c>
      <c r="B15738" t="s">
        <v>15743</v>
      </c>
      <c r="C15738">
        <f>HYPERLINK("C:\Users\franc\OneDrive\Documentos\MALENTIN KARIME\BANCO ESTADO\2012 DEPTO ESCRITURAS fata\Dc Simples\RESPALDO comp notaria 27_12_12\NOTARIA 2012\PERSONERÍAS\MINERA EL COBRE Cristian.doc", "Abrir Documento")</f>
        <v>0</v>
      </c>
      <c r="D15738" t="s">
        <v>23500</v>
      </c>
      <c r="E15738" t="s">
        <v>38213</v>
      </c>
    </row>
    <row r="15739" spans="1:5">
      <c r="A15739" t="s">
        <v>6</v>
      </c>
      <c r="B15739" t="s">
        <v>15744</v>
      </c>
      <c r="C15739">
        <f>HYPERLINK("C:\Users\franc\OneDrive\Documentos\MALENTIN KARIME\BANCO ESTADO\2012 DEPTO ESCRITURAS fata\Dc Simples\RESPALDO comp notaria 27_12_12\NOTARIA 2012\PERSONERÍAS\MINERA CRUZ LTDA.doc", "Abrir Documento")</f>
        <v>0</v>
      </c>
      <c r="D15739" t="s">
        <v>23500</v>
      </c>
      <c r="E15739" t="s">
        <v>38214</v>
      </c>
    </row>
    <row r="15740" spans="1:5">
      <c r="A15740" t="s">
        <v>6</v>
      </c>
      <c r="B15740" t="s">
        <v>15745</v>
      </c>
      <c r="C15740">
        <f>HYPERLINK("C:\Users\franc\OneDrive\Documentos\MALENTIN KARIME\BANCO ESTADO\2012 DEPTO ESCRITURAS fata\Dc Simples\RESPALDO comp notaria 27_12_12\NOTARIA 2012\PERSONERÍAS\MINERA CRUZ LTDA carolina.doc", "Abrir Documento")</f>
        <v>0</v>
      </c>
      <c r="D15740" t="s">
        <v>23500</v>
      </c>
      <c r="E15740" t="s">
        <v>38215</v>
      </c>
    </row>
    <row r="15741" spans="1:5">
      <c r="A15741" t="s">
        <v>6</v>
      </c>
      <c r="B15741" t="s">
        <v>15746</v>
      </c>
      <c r="C15741">
        <f>HYPERLINK("C:\Users\franc\OneDrive\Documentos\MALENTIN KARIME\BANCO ESTADO\2012 DEPTO ESCRITURAS fata\Dc Simples\RESPALDO comp notaria 27_12_12\NOTARIA 2012\PERSONERÍAS\MINERA ALTOS DE PUNITAQUI Dn Lautaro Callejas.docx", "Abrir Documento")</f>
        <v>0</v>
      </c>
      <c r="D15741" t="s">
        <v>23501</v>
      </c>
      <c r="E15741" t="s">
        <v>38216</v>
      </c>
    </row>
    <row r="15742" spans="1:5">
      <c r="A15742" t="s">
        <v>6</v>
      </c>
      <c r="B15742" t="s">
        <v>15747</v>
      </c>
      <c r="C15742">
        <f>HYPERLINK("C:\Users\franc\OneDrive\Documentos\MALENTIN KARIME\BANCO ESTADO\2012 DEPTO ESCRITURAS fata\Dc Simples\RESPALDO comp notaria 27_12_12\NOTARIA 2012\PERSONERÍAS\MINERA  PATRICIO GUZMAN.doc", "Abrir Documento")</f>
        <v>0</v>
      </c>
      <c r="D15742" t="s">
        <v>23500</v>
      </c>
      <c r="E15742" t="s">
        <v>38217</v>
      </c>
    </row>
    <row r="15743" spans="1:5">
      <c r="A15743" t="s">
        <v>6</v>
      </c>
      <c r="B15743" t="s">
        <v>15748</v>
      </c>
      <c r="C15743">
        <f>HYPERLINK("C:\Users\franc\OneDrive\Documentos\MALENTIN KARIME\BANCO ESTADO\2012 DEPTO ESCRITURAS fata\Dc Simples\RESPALDO comp notaria 27_12_12\NOTARIA 2012\PERSONERÍAS\MIGUEL BRAVO E.I.R.L..doc", "Abrir Documento")</f>
        <v>0</v>
      </c>
      <c r="D15743" t="s">
        <v>23500</v>
      </c>
      <c r="E15743" t="s">
        <v>38218</v>
      </c>
    </row>
    <row r="15744" spans="1:5">
      <c r="A15744" t="s">
        <v>6</v>
      </c>
      <c r="B15744" t="s">
        <v>15749</v>
      </c>
      <c r="C15744">
        <f>HYPERLINK("C:\Users\franc\OneDrive\Documentos\MALENTIN KARIME\BANCO ESTADO\2012 DEPTO ESCRITURAS fata\Dc Simples\RESPALDO comp notaria 27_12_12\NOTARIA 2012\PERSONERÍAS\MAURICIO ESTEBAN PEREZ ESCOBAR, transmaqui.doc", "Abrir Documento")</f>
        <v>0</v>
      </c>
      <c r="D15744" t="s">
        <v>23500</v>
      </c>
      <c r="E15744" t="s">
        <v>38219</v>
      </c>
    </row>
    <row r="15745" spans="1:5">
      <c r="A15745" t="s">
        <v>6</v>
      </c>
      <c r="B15745" t="s">
        <v>15750</v>
      </c>
      <c r="C15745">
        <f>HYPERLINK("C:\Users\franc\OneDrive\Documentos\MALENTIN KARIME\BANCO ESTADO\2012 DEPTO ESCRITURAS fata\Dc Simples\RESPALDO comp notaria 27_12_12\NOTARIA 2012\PERSONERÍAS\MAURICIO ESTEBAN PEREZ ESCOBAR, MINERA PUNTO TRES.doc", "Abrir Documento")</f>
        <v>0</v>
      </c>
      <c r="D15745" t="s">
        <v>23500</v>
      </c>
      <c r="E15745" t="s">
        <v>38220</v>
      </c>
    </row>
    <row r="15746" spans="1:5">
      <c r="A15746" t="s">
        <v>6</v>
      </c>
      <c r="B15746" t="s">
        <v>15751</v>
      </c>
      <c r="C15746">
        <f>HYPERLINK("C:\Users\franc\OneDrive\Documentos\MALENTIN KARIME\BANCO ESTADO\2012 DEPTO ESCRITURAS fata\Dc Simples\RESPALDO comp notaria 27_12_12\NOTARIA 2012\PERSONERÍAS\MAPUE LTDA..doc", "Abrir Documento")</f>
        <v>0</v>
      </c>
      <c r="D15746" t="s">
        <v>23500</v>
      </c>
      <c r="E15746" t="s">
        <v>38221</v>
      </c>
    </row>
    <row r="15747" spans="1:5">
      <c r="A15747" t="s">
        <v>6</v>
      </c>
      <c r="B15747" t="s">
        <v>15752</v>
      </c>
      <c r="C15747">
        <f>HYPERLINK("C:\Users\franc\OneDrive\Documentos\MALENTIN KARIME\BANCO ESTADO\2012 DEPTO ESCRITURAS fata\Dc Simples\RESPALDO comp notaria 27_12_12\NOTARIA 2012\PERSONERÍAS\LUZMIRA GOMILA E.I.R.L..doc", "Abrir Documento")</f>
        <v>0</v>
      </c>
      <c r="D15747" t="s">
        <v>23500</v>
      </c>
      <c r="E15747" t="s">
        <v>38222</v>
      </c>
    </row>
    <row r="15748" spans="1:5">
      <c r="A15748" t="s">
        <v>6</v>
      </c>
      <c r="B15748" t="s">
        <v>15753</v>
      </c>
      <c r="C15748">
        <f>HYPERLINK("C:\Users\franc\OneDrive\Documentos\MALENTIN KARIME\BANCO ESTADO\2012 DEPTO ESCRITURAS fata\Dc Simples\RESPALDO comp notaria 27_12_12\NOTARIA 2012\PERSONERÍAS\LUISA TERRONES E.I.R.L..doc", "Abrir Documento")</f>
        <v>0</v>
      </c>
      <c r="D15748" t="s">
        <v>23500</v>
      </c>
      <c r="E15748" t="s">
        <v>38223</v>
      </c>
    </row>
    <row r="15749" spans="1:5">
      <c r="A15749" t="s">
        <v>6</v>
      </c>
      <c r="B15749" t="s">
        <v>15754</v>
      </c>
      <c r="C15749">
        <f>HYPERLINK("C:\Users\franc\OneDrive\Documentos\MALENTIN KARIME\BANCO ESTADO\2012 DEPTO ESCRITURAS fata\Dc Simples\RESPALDO comp notaria 27_12_12\NOTARIA 2012\PERSONERÍAS\luis roman eirl.doc", "Abrir Documento")</f>
        <v>0</v>
      </c>
      <c r="D15749" t="s">
        <v>23500</v>
      </c>
      <c r="E15749" t="s">
        <v>38224</v>
      </c>
    </row>
    <row r="15750" spans="1:5">
      <c r="A15750" t="s">
        <v>6</v>
      </c>
      <c r="B15750" t="s">
        <v>15755</v>
      </c>
      <c r="C15750">
        <f>HYPERLINK("C:\Users\franc\OneDrive\Documentos\MALENTIN KARIME\BANCO ESTADO\2012 DEPTO ESCRITURAS fata\Dc Simples\RESPALDO comp notaria 27_12_12\NOTARIA 2012\PERSONERÍAS\LUIS AREYUNA E.I.R.L..doc", "Abrir Documento")</f>
        <v>0</v>
      </c>
      <c r="D15750" t="s">
        <v>23500</v>
      </c>
      <c r="E15750" t="s">
        <v>38225</v>
      </c>
    </row>
    <row r="15751" spans="1:5">
      <c r="A15751" t="s">
        <v>6</v>
      </c>
      <c r="B15751" t="s">
        <v>15756</v>
      </c>
      <c r="C15751">
        <f>HYPERLINK("C:\Users\franc\OneDrive\Documentos\MALENTIN KARIME\BANCO ESTADO\2012 DEPTO ESCRITURAS fata\Dc Simples\RESPALDO comp notaria 27_12_12\NOTARIA 2012\PERSONERÍAS\LOS CRISTALES.doc", "Abrir Documento")</f>
        <v>0</v>
      </c>
      <c r="D15751" t="s">
        <v>23500</v>
      </c>
      <c r="E15751" t="s">
        <v>38226</v>
      </c>
    </row>
    <row r="15752" spans="1:5">
      <c r="A15752" t="s">
        <v>6</v>
      </c>
      <c r="B15752" t="s">
        <v>15757</v>
      </c>
      <c r="C15752">
        <f>HYPERLINK("C:\Users\franc\OneDrive\Documentos\MALENTIN KARIME\BANCO ESTADO\2012 DEPTO ESCRITURAS fata\Dc Simples\RESPALDO comp notaria 27_12_12\NOTARIA 2012\PERSONERÍAS\LOS AROMOS S.A..doc", "Abrir Documento")</f>
        <v>0</v>
      </c>
      <c r="D15752" t="s">
        <v>23500</v>
      </c>
      <c r="E15752" t="s">
        <v>38227</v>
      </c>
    </row>
    <row r="15753" spans="1:5">
      <c r="A15753" t="s">
        <v>6</v>
      </c>
      <c r="B15753" t="s">
        <v>15758</v>
      </c>
      <c r="C15753">
        <f>HYPERLINK("C:\Users\franc\OneDrive\Documentos\MALENTIN KARIME\BANCO ESTADO\2012 DEPTO ESCRITURAS fata\Dc Simples\RESPALDO comp notaria 27_12_12\NOTARIA 2012\PERSONERÍAS\LOS ALAMOS y otro.doc", "Abrir Documento")</f>
        <v>0</v>
      </c>
      <c r="D15753" t="s">
        <v>23500</v>
      </c>
      <c r="E15753" t="s">
        <v>38228</v>
      </c>
    </row>
    <row r="15754" spans="1:5">
      <c r="A15754" t="s">
        <v>6</v>
      </c>
      <c r="B15754" t="s">
        <v>15759</v>
      </c>
      <c r="C15754">
        <f>HYPERLINK("C:\Users\franc\OneDrive\Documentos\MALENTIN KARIME\BANCO ESTADO\2012 DEPTO ESCRITURAS fata\Dc Simples\RESPALDO comp notaria 27_12_12\NOTARIA 2012\PERSONERÍAS\LOMA LARGA.doc", "Abrir Documento")</f>
        <v>0</v>
      </c>
      <c r="D15754" t="s">
        <v>23500</v>
      </c>
      <c r="E15754" t="s">
        <v>38229</v>
      </c>
    </row>
    <row r="15755" spans="1:5">
      <c r="A15755" t="s">
        <v>6</v>
      </c>
      <c r="B15755" t="s">
        <v>15760</v>
      </c>
      <c r="C15755">
        <f>HYPERLINK("C:\Users\franc\OneDrive\Documentos\MALENTIN KARIME\BANCO ESTADO\2012 DEPTO ESCRITURAS fata\Dc Simples\RESPALDO comp notaria 27_12_12\NOTARIA 2012\PERSONERÍAS\LOMA LARGA LTDA..doc", "Abrir Documento")</f>
        <v>0</v>
      </c>
      <c r="D15755" t="s">
        <v>23500</v>
      </c>
      <c r="E15755" t="s">
        <v>38230</v>
      </c>
    </row>
    <row r="15756" spans="1:5">
      <c r="A15756" t="s">
        <v>6</v>
      </c>
      <c r="B15756" t="s">
        <v>15761</v>
      </c>
      <c r="C15756">
        <f>HYPERLINK("C:\Users\franc\OneDrive\Documentos\MALENTIN KARIME\BANCO ESTADO\2012 DEPTO ESCRITURAS fata\Dc Simples\RESPALDO comp notaria 27_12_12\NOTARIA 2012\PERSONERÍAS\LLANO NEGRO LTDA..doc", "Abrir Documento")</f>
        <v>0</v>
      </c>
      <c r="D15756" t="s">
        <v>23500</v>
      </c>
      <c r="E15756" t="s">
        <v>38231</v>
      </c>
    </row>
    <row r="15757" spans="1:5">
      <c r="A15757" t="s">
        <v>6</v>
      </c>
      <c r="B15757" t="s">
        <v>15762</v>
      </c>
      <c r="C15757">
        <f>HYPERLINK("C:\Users\franc\OneDrive\Documentos\MALENTIN KARIME\BANCO ESTADO\2012 DEPTO ESCRITURAS fata\Dc Simples\RESPALDO comp notaria 27_12_12\NOTARIA 2012\PERSONERÍAS\LILIANA ALCAYAGA.doc", "Abrir Documento")</f>
        <v>0</v>
      </c>
      <c r="D15757" t="s">
        <v>23500</v>
      </c>
      <c r="E15757" t="s">
        <v>38232</v>
      </c>
    </row>
    <row r="15758" spans="1:5">
      <c r="A15758" t="s">
        <v>6</v>
      </c>
      <c r="B15758" t="s">
        <v>15763</v>
      </c>
      <c r="C15758">
        <f>HYPERLINK("C:\Users\franc\OneDrive\Documentos\MALENTIN KARIME\BANCO ESTADO\2012 DEPTO ESCRITURAS fata\Dc Simples\RESPALDO comp notaria 27_12_12\NOTARIA 2012\PERSONERÍAS\LAS PIRAMIDES LTDA..doc", "Abrir Documento")</f>
        <v>0</v>
      </c>
      <c r="D15758" t="s">
        <v>23500</v>
      </c>
      <c r="E15758" t="s">
        <v>38233</v>
      </c>
    </row>
    <row r="15759" spans="1:5">
      <c r="A15759" t="s">
        <v>6</v>
      </c>
      <c r="B15759" t="s">
        <v>15764</v>
      </c>
      <c r="C15759">
        <f>HYPERLINK("C:\Users\franc\OneDrive\Documentos\MALENTIN KARIME\BANCO ESTADO\2012 DEPTO ESCRITURAS fata\Dc Simples\RESPALDO comp notaria 27_12_12\NOTARIA 2012\PERSONERÍAS\LAS PERDICES LTDA..doc", "Abrir Documento")</f>
        <v>0</v>
      </c>
      <c r="D15759" t="s">
        <v>23500</v>
      </c>
      <c r="E15759" t="s">
        <v>38234</v>
      </c>
    </row>
    <row r="15760" spans="1:5">
      <c r="A15760" t="s">
        <v>6</v>
      </c>
      <c r="B15760" t="s">
        <v>15765</v>
      </c>
      <c r="C15760">
        <f>HYPERLINK("C:\Users\franc\OneDrive\Documentos\MALENTIN KARIME\BANCO ESTADO\2012 DEPTO ESCRITURAS fata\Dc Simples\RESPALDO comp notaria 27_12_12\NOTARIA 2012\PERSONERÍAS\LAS MERCEDES DE LIMARI.doc", "Abrir Documento")</f>
        <v>0</v>
      </c>
      <c r="D15760" t="s">
        <v>23500</v>
      </c>
      <c r="E15760" t="s">
        <v>38235</v>
      </c>
    </row>
    <row r="15761" spans="1:5">
      <c r="A15761" t="s">
        <v>6</v>
      </c>
      <c r="B15761" t="s">
        <v>15766</v>
      </c>
      <c r="C15761">
        <f>HYPERLINK("C:\Users\franc\OneDrive\Documentos\MALENTIN KARIME\BANCO ESTADO\2012 DEPTO ESCRITURAS fata\Dc Simples\RESPALDO comp notaria 27_12_12\NOTARIA 2012\PERSONERÍAS\LAS CAÑAS LTDA..doc", "Abrir Documento")</f>
        <v>0</v>
      </c>
      <c r="D15761" t="s">
        <v>23500</v>
      </c>
      <c r="E15761" t="s">
        <v>38236</v>
      </c>
    </row>
    <row r="15762" spans="1:5">
      <c r="A15762" t="s">
        <v>6</v>
      </c>
      <c r="B15762" t="s">
        <v>15767</v>
      </c>
      <c r="C15762">
        <f>HYPERLINK("C:\Users\franc\OneDrive\Documentos\MALENTIN KARIME\BANCO ESTADO\2012 DEPTO ESCRITURAS fata\Dc Simples\RESPALDO comp notaria 27_12_12\NOTARIA 2012\PERSONERÍAS\LAS CASAS LTDA..doc", "Abrir Documento")</f>
        <v>0</v>
      </c>
      <c r="D15762" t="s">
        <v>23500</v>
      </c>
      <c r="E15762" t="s">
        <v>38237</v>
      </c>
    </row>
    <row r="15763" spans="1:5">
      <c r="A15763" t="s">
        <v>6</v>
      </c>
      <c r="B15763" t="s">
        <v>15768</v>
      </c>
      <c r="C15763">
        <f>HYPERLINK("C:\Users\franc\OneDrive\Documentos\MALENTIN KARIME\BANCO ESTADO\2012 DEPTO ESCRITURAS fata\Dc Simples\RESPALDO comp notaria 27_12_12\NOTARIA 2012\PERSONERÍAS\LAPERS~4.DOC", "Abrir Documento")</f>
        <v>0</v>
      </c>
      <c r="D15763" t="s">
        <v>23500</v>
      </c>
      <c r="E15763" t="s">
        <v>38238</v>
      </c>
    </row>
    <row r="15764" spans="1:5">
      <c r="A15764" t="s">
        <v>6</v>
      </c>
      <c r="B15764" t="s">
        <v>15769</v>
      </c>
      <c r="C15764">
        <f>HYPERLINK("C:\Users\franc\OneDrive\Documentos\MALENTIN KARIME\BANCO ESTADO\2012 DEPTO ESCRITURAS fata\Dc Simples\RESPALDO comp notaria 27_12_12\NOTARIA 2012\PERSONERÍAS\LAPERS~3.DOC", "Abrir Documento")</f>
        <v>0</v>
      </c>
      <c r="D15764" t="s">
        <v>23500</v>
      </c>
      <c r="E15764" t="s">
        <v>38239</v>
      </c>
    </row>
    <row r="15765" spans="1:5">
      <c r="A15765" t="s">
        <v>6</v>
      </c>
      <c r="B15765" t="s">
        <v>15770</v>
      </c>
      <c r="C15765">
        <f>HYPERLINK("C:\Users\franc\OneDrive\Documentos\MALENTIN KARIME\BANCO ESTADO\2012 DEPTO ESCRITURAS fata\Dc Simples\RESPALDO comp notaria 27_12_12\NOTARIA 2012\PERSONERÍAS\Junta Vecinos Nº3.doc", "Abrir Documento")</f>
        <v>0</v>
      </c>
      <c r="D15765" t="s">
        <v>23500</v>
      </c>
      <c r="E15765" t="s">
        <v>38240</v>
      </c>
    </row>
    <row r="15766" spans="1:5">
      <c r="A15766" t="s">
        <v>6</v>
      </c>
      <c r="B15766" t="s">
        <v>15771</v>
      </c>
      <c r="C15766">
        <f>HYPERLINK("C:\Users\franc\OneDrive\Documentos\MALENTIN KARIME\BANCO ESTADO\2012 DEPTO ESCRITURAS fata\Dc Simples\RESPALDO comp notaria 27_12_12\NOTARIA 2012\PERSONERÍAS\JULIA CORTES EIRL.doc", "Abrir Documento")</f>
        <v>0</v>
      </c>
      <c r="D15766" t="s">
        <v>23500</v>
      </c>
      <c r="E15766" t="s">
        <v>38241</v>
      </c>
    </row>
    <row r="15767" spans="1:5">
      <c r="A15767" t="s">
        <v>6</v>
      </c>
      <c r="B15767" t="s">
        <v>15772</v>
      </c>
      <c r="C15767">
        <f>HYPERLINK("C:\Users\franc\OneDrive\Documentos\MALENTIN KARIME\BANCO ESTADO\2012 DEPTO ESCRITURAS fata\Dc Simples\RESPALDO comp notaria 27_12_12\NOTARIA 2012\PERSONERÍAS\JUAN PORTILLA E.I.R.L..doc", "Abrir Documento")</f>
        <v>0</v>
      </c>
      <c r="D15767" t="s">
        <v>23500</v>
      </c>
      <c r="E15767" t="s">
        <v>38242</v>
      </c>
    </row>
    <row r="15768" spans="1:5">
      <c r="A15768" t="s">
        <v>6</v>
      </c>
      <c r="B15768" t="s">
        <v>15773</v>
      </c>
      <c r="C15768">
        <f>HYPERLINK("C:\Users\franc\OneDrive\Documentos\MALENTIN KARIME\BANCO ESTADO\2012 DEPTO ESCRITURAS fata\Dc Simples\RESPALDO comp notaria 27_12_12\NOTARIA 2012\PERSONERÍAS\JORGE HERNANDEZ Y CIA. LTDA..doc", "Abrir Documento")</f>
        <v>0</v>
      </c>
      <c r="D15768" t="s">
        <v>23500</v>
      </c>
      <c r="E15768" t="s">
        <v>38243</v>
      </c>
    </row>
    <row r="15769" spans="1:5">
      <c r="A15769" t="s">
        <v>6</v>
      </c>
      <c r="B15769" t="s">
        <v>15774</v>
      </c>
      <c r="C15769">
        <f>HYPERLINK("C:\Users\franc\OneDrive\Documentos\MALENTIN KARIME\BANCO ESTADO\2012 DEPTO ESCRITURAS fata\Dc Simples\RESPALDO comp notaria 27_12_12\NOTARIA 2012\PERSONERÍAS\JEANETTE GIANZO EIRL.doc", "Abrir Documento")</f>
        <v>0</v>
      </c>
      <c r="D15769" t="s">
        <v>23500</v>
      </c>
      <c r="E15769" t="s">
        <v>38244</v>
      </c>
    </row>
    <row r="15770" spans="1:5">
      <c r="A15770" t="s">
        <v>6</v>
      </c>
      <c r="B15770" t="s">
        <v>15775</v>
      </c>
      <c r="C15770">
        <f>HYPERLINK("C:\Users\franc\OneDrive\Documentos\MALENTIN KARIME\BANCO ESTADO\2012 DEPTO ESCRITURAS fata\Dc Simples\RESPALDO comp notaria 27_12_12\NOTARIA 2012\PERSONERÍAS\JAVIER CONTADOR (TODOS).doc", "Abrir Documento")</f>
        <v>0</v>
      </c>
      <c r="D15770" t="s">
        <v>23500</v>
      </c>
      <c r="E15770" t="s">
        <v>38245</v>
      </c>
    </row>
    <row r="15771" spans="1:5">
      <c r="A15771" t="s">
        <v>6</v>
      </c>
      <c r="B15771" t="s">
        <v>15776</v>
      </c>
      <c r="C15771">
        <f>HYPERLINK("C:\Users\franc\OneDrive\Documentos\MALENTIN KARIME\BANCO ESTADO\2012 DEPTO ESCRITURAS fata\Dc Simples\RESPALDO comp notaria 27_12_12\NOTARIA 2012\PERSONERÍAS\JAIME PROHENS V. Y CIA. LTDA..doc", "Abrir Documento")</f>
        <v>0</v>
      </c>
      <c r="D15771" t="s">
        <v>23500</v>
      </c>
      <c r="E15771" t="s">
        <v>38246</v>
      </c>
    </row>
    <row r="15772" spans="1:5">
      <c r="A15772" t="s">
        <v>6</v>
      </c>
      <c r="B15772" t="s">
        <v>15777</v>
      </c>
      <c r="C15772">
        <f>HYPERLINK("C:\Users\franc\OneDrive\Documentos\MALENTIN KARIME\BANCO ESTADO\2012 DEPTO ESCRITURAS fata\Dc Simples\RESPALDO comp notaria 27_12_12\NOTARIA 2012\PERSONERÍAS\JAIME PROHENS Eduardo Erazo.doc", "Abrir Documento")</f>
        <v>0</v>
      </c>
      <c r="D15772" t="s">
        <v>23500</v>
      </c>
      <c r="E15772" t="s">
        <v>38247</v>
      </c>
    </row>
    <row r="15773" spans="1:5">
      <c r="A15773" t="s">
        <v>6</v>
      </c>
      <c r="B15773" t="s">
        <v>15778</v>
      </c>
      <c r="C15773">
        <f>HYPERLINK("C:\Users\franc\OneDrive\Documentos\MALENTIN KARIME\BANCO ESTADO\2012 DEPTO ESCRITURAS fata\Dc Simples\RESPALDO comp notaria 27_12_12\NOTARIA 2012\PERSONERÍAS\ISKRA CAPACITACION.doc", "Abrir Documento")</f>
        <v>0</v>
      </c>
      <c r="D15773" t="s">
        <v>23500</v>
      </c>
      <c r="E15773" t="s">
        <v>38248</v>
      </c>
    </row>
    <row r="15774" spans="1:5">
      <c r="A15774" t="s">
        <v>6</v>
      </c>
      <c r="B15774" t="s">
        <v>15779</v>
      </c>
      <c r="C15774">
        <f>HYPERLINK("C:\Users\franc\OneDrive\Documentos\MALENTIN KARIME\BANCO ESTADO\2012 DEPTO ESCRITURAS fata\Dc Simples\RESPALDO comp notaria 27_12_12\NOTARIA 2012\PERSONERÍAS\ISKRA CAPACITACION LTDA..doc", "Abrir Documento")</f>
        <v>0</v>
      </c>
      <c r="D15774" t="s">
        <v>23500</v>
      </c>
      <c r="E15774" t="s">
        <v>38249</v>
      </c>
    </row>
    <row r="15775" spans="1:5">
      <c r="A15775" t="s">
        <v>6</v>
      </c>
      <c r="B15775" t="s">
        <v>15780</v>
      </c>
      <c r="C15775">
        <f>HYPERLINK("C:\Users\franc\OneDrive\Documentos\MALENTIN KARIME\BANCO ESTADO\2012 DEPTO ESCRITURAS fata\Dc Simples\RESPALDO comp notaria 27_12_12\NOTARIA 2012\PERSONERÍAS\ISIDRO CHILE S.A..doc", "Abrir Documento")</f>
        <v>0</v>
      </c>
      <c r="D15775" t="s">
        <v>23500</v>
      </c>
      <c r="E15775" t="s">
        <v>38250</v>
      </c>
    </row>
    <row r="15776" spans="1:5">
      <c r="A15776" t="s">
        <v>6</v>
      </c>
      <c r="B15776" t="s">
        <v>15781</v>
      </c>
      <c r="C15776">
        <f>HYPERLINK("C:\Users\franc\OneDrive\Documentos\MALENTIN KARIME\BANCO ESTADO\2012 DEPTO ESCRITURAS fata\Dc Simples\RESPALDO comp notaria 27_12_12\NOTARIA 2012\PERSONERÍAS\INVERSIONES ZEPEDA HNOS..doc", "Abrir Documento")</f>
        <v>0</v>
      </c>
      <c r="D15776" t="s">
        <v>23500</v>
      </c>
      <c r="E15776" t="s">
        <v>38251</v>
      </c>
    </row>
    <row r="15777" spans="1:5">
      <c r="A15777" t="s">
        <v>6</v>
      </c>
      <c r="B15777" t="s">
        <v>15782</v>
      </c>
      <c r="C15777">
        <f>HYPERLINK("C:\Users\franc\OneDrive\Documentos\MALENTIN KARIME\BANCO ESTADO\2012 DEPTO ESCRITURAS fata\Dc Simples\RESPALDO comp notaria 27_12_12\NOTARIA 2012\PERSONERÍAS\INVERSIONES VERDE MAR LTDA..doc", "Abrir Documento")</f>
        <v>0</v>
      </c>
      <c r="D15777" t="s">
        <v>23500</v>
      </c>
      <c r="E15777" t="s">
        <v>38252</v>
      </c>
    </row>
    <row r="15778" spans="1:5">
      <c r="A15778" t="s">
        <v>6</v>
      </c>
      <c r="B15778" t="s">
        <v>15783</v>
      </c>
      <c r="C15778">
        <f>HYPERLINK("C:\Users\franc\OneDrive\Documentos\MALENTIN KARIME\BANCO ESTADO\2012 DEPTO ESCRITURAS fata\Dc Simples\RESPALDO comp notaria 27_12_12\NOTARIA 2012\PERSONERÍAS\INVERSIONES TRANSMAQUI.doc", "Abrir Documento")</f>
        <v>0</v>
      </c>
      <c r="D15778" t="s">
        <v>23500</v>
      </c>
      <c r="E15778" t="s">
        <v>38253</v>
      </c>
    </row>
    <row r="15779" spans="1:5">
      <c r="A15779" t="s">
        <v>6</v>
      </c>
      <c r="B15779" t="s">
        <v>15784</v>
      </c>
      <c r="C15779">
        <f>HYPERLINK("C:\Users\franc\OneDrive\Documentos\MALENTIN KARIME\BANCO ESTADO\2012 DEPTO ESCRITURAS fata\Dc Simples\RESPALDO comp notaria 27_12_12\NOTARIA 2012\PERSONERÍAS\INVERSIONES RECOLETA.doc", "Abrir Documento")</f>
        <v>0</v>
      </c>
      <c r="D15779" t="s">
        <v>23500</v>
      </c>
      <c r="E15779" t="s">
        <v>38254</v>
      </c>
    </row>
    <row r="15780" spans="1:5">
      <c r="A15780" t="s">
        <v>6</v>
      </c>
      <c r="B15780" t="s">
        <v>15785</v>
      </c>
      <c r="C15780">
        <f>HYPERLINK("C:\Users\franc\OneDrive\Documentos\MALENTIN KARIME\BANCO ESTADO\2012 DEPTO ESCRITURAS fata\Dc Simples\RESPALDO comp notaria 27_12_12\NOTARIA 2012\PERSONERÍAS\INVERSIONES ESCOBAR LTDA..doc", "Abrir Documento")</f>
        <v>0</v>
      </c>
      <c r="D15780" t="s">
        <v>23500</v>
      </c>
      <c r="E15780" t="s">
        <v>38255</v>
      </c>
    </row>
    <row r="15781" spans="1:5">
      <c r="A15781" t="s">
        <v>6</v>
      </c>
      <c r="B15781" t="s">
        <v>15786</v>
      </c>
      <c r="C15781">
        <f>HYPERLINK("C:\Users\franc\OneDrive\Documentos\MALENTIN KARIME\BANCO ESTADO\2012 DEPTO ESCRITURAS fata\Dc Simples\RESPALDO comp notaria 27_12_12\NOTARIA 2012\PERSONERÍAS\INVERSIONES EM DOS LTDA..doc", "Abrir Documento")</f>
        <v>0</v>
      </c>
      <c r="D15781" t="s">
        <v>23500</v>
      </c>
      <c r="E15781" t="s">
        <v>38256</v>
      </c>
    </row>
    <row r="15782" spans="1:5">
      <c r="A15782" t="s">
        <v>6</v>
      </c>
      <c r="B15782" t="s">
        <v>15787</v>
      </c>
      <c r="C15782">
        <f>HYPERLINK("C:\Users\franc\OneDrive\Documentos\MALENTIN KARIME\BANCO ESTADO\2012 DEPTO ESCRITURAS fata\Dc Simples\RESPALDO comp notaria 27_12_12\NOTARIA 2012\PERSONERÍAS\INVERCIONES ALEJANDRA PARRA SILVA.doc", "Abrir Documento")</f>
        <v>0</v>
      </c>
      <c r="D15782" t="s">
        <v>23500</v>
      </c>
      <c r="E15782" t="s">
        <v>38257</v>
      </c>
    </row>
    <row r="15783" spans="1:5">
      <c r="A15783" t="s">
        <v>6</v>
      </c>
      <c r="B15783" t="s">
        <v>15788</v>
      </c>
      <c r="C15783">
        <f>HYPERLINK("C:\Users\franc\OneDrive\Documentos\MALENTIN KARIME\BANCO ESTADO\2012 DEPTO ESCRITURAS fata\Dc Simples\RESPALDO comp notaria 27_12_12\NOTARIA 2012\PERSONERÍAS\INV. SAN FRANCISCO LTDA..doc", "Abrir Documento")</f>
        <v>0</v>
      </c>
      <c r="D15783" t="s">
        <v>23500</v>
      </c>
      <c r="E15783" t="s">
        <v>38258</v>
      </c>
    </row>
    <row r="15784" spans="1:5">
      <c r="A15784" t="s">
        <v>6</v>
      </c>
      <c r="B15784" t="s">
        <v>15789</v>
      </c>
      <c r="C15784">
        <f>HYPERLINK("C:\Users\franc\OneDrive\Documentos\MALENTIN KARIME\BANCO ESTADO\2012 DEPTO ESCRITURAS fata\Dc Simples\RESPALDO comp notaria 27_12_12\NOTARIA 2012\PERSONERÍAS\INV. PK LIMITADA.doc", "Abrir Documento")</f>
        <v>0</v>
      </c>
      <c r="D15784" t="s">
        <v>23500</v>
      </c>
      <c r="E15784" t="s">
        <v>38259</v>
      </c>
    </row>
    <row r="15785" spans="1:5">
      <c r="A15785" t="s">
        <v>6</v>
      </c>
      <c r="B15785" t="s">
        <v>15790</v>
      </c>
      <c r="C15785">
        <f>HYPERLINK("C:\Users\franc\OneDrive\Documentos\MALENTIN KARIME\BANCO ESTADO\2012 DEPTO ESCRITURAS fata\Dc Simples\RESPALDO comp notaria 27_12_12\NOTARIA 2012\PERSONERÍAS\INV. DOS RIOS  LTDA..doc", "Abrir Documento")</f>
        <v>0</v>
      </c>
      <c r="D15785" t="s">
        <v>23500</v>
      </c>
      <c r="E15785" t="s">
        <v>38260</v>
      </c>
    </row>
    <row r="15786" spans="1:5">
      <c r="A15786" t="s">
        <v>6</v>
      </c>
      <c r="B15786" t="s">
        <v>15791</v>
      </c>
      <c r="C15786">
        <f>HYPERLINK("C:\Users\franc\OneDrive\Documentos\MALENTIN KARIME\BANCO ESTADO\2012 DEPTO ESCRITURAS fata\Dc Simples\RESPALDO comp notaria 27_12_12\NOTARIA 2012\PERSONERÍAS\INSELELEC.doc", "Abrir Documento")</f>
        <v>0</v>
      </c>
      <c r="D15786" t="s">
        <v>23500</v>
      </c>
      <c r="E15786" t="s">
        <v>38261</v>
      </c>
    </row>
    <row r="15787" spans="1:5">
      <c r="A15787" t="s">
        <v>6</v>
      </c>
      <c r="B15787" t="s">
        <v>15792</v>
      </c>
      <c r="C15787">
        <f>HYPERLINK("C:\Users\franc\OneDrive\Documentos\MALENTIN KARIME\BANCO ESTADO\2012 DEPTO ESCRITURAS fata\Dc Simples\RESPALDO comp notaria 27_12_12\NOTARIA 2012\PERSONERÍAS\INSELEC LTDA..doc", "Abrir Documento")</f>
        <v>0</v>
      </c>
      <c r="D15787" t="s">
        <v>23500</v>
      </c>
      <c r="E15787" t="s">
        <v>38262</v>
      </c>
    </row>
    <row r="15788" spans="1:5">
      <c r="A15788" t="s">
        <v>6</v>
      </c>
      <c r="B15788" t="s">
        <v>15793</v>
      </c>
      <c r="C15788">
        <f>HYPERLINK("C:\Users\franc\OneDrive\Documentos\MALENTIN KARIME\BANCO ESTADO\2012 DEPTO ESCRITURAS fata\Dc Simples\RESPALDO comp notaria 27_12_12\NOTARIA 2012\PERSONERÍAS\INPROCOL Ricardo.doc", "Abrir Documento")</f>
        <v>0</v>
      </c>
      <c r="D15788" t="s">
        <v>23500</v>
      </c>
      <c r="E15788" t="s">
        <v>38263</v>
      </c>
    </row>
    <row r="15789" spans="1:5">
      <c r="A15789" t="s">
        <v>6</v>
      </c>
      <c r="B15789" t="s">
        <v>15794</v>
      </c>
      <c r="C15789">
        <f>HYPERLINK("C:\Users\franc\OneDrive\Documentos\MALENTIN KARIME\BANCO ESTADO\2012 DEPTO ESCRITURAS fata\Dc Simples\RESPALDO comp notaria 27_12_12\NOTARIA 2012\PERSONERÍAS\INPROCOL Galvarino.doc", "Abrir Documento")</f>
        <v>0</v>
      </c>
      <c r="D15789" t="s">
        <v>23500</v>
      </c>
      <c r="E15789" t="s">
        <v>38264</v>
      </c>
    </row>
    <row r="15790" spans="1:5">
      <c r="A15790" t="s">
        <v>6</v>
      </c>
      <c r="B15790" t="s">
        <v>15795</v>
      </c>
      <c r="C15790">
        <f>HYPERLINK("C:\Users\franc\OneDrive\Documentos\MALENTIN KARIME\BANCO ESTADO\2012 DEPTO ESCRITURAS fata\Dc Simples\RESPALDO comp notaria 27_12_12\NOTARIA 2012\PERSONERÍAS\INMOBILIARIA RIO LIMARI LTDA..doc", "Abrir Documento")</f>
        <v>0</v>
      </c>
      <c r="D15790" t="s">
        <v>23500</v>
      </c>
      <c r="E15790" t="s">
        <v>38265</v>
      </c>
    </row>
    <row r="15791" spans="1:5">
      <c r="A15791" t="s">
        <v>6</v>
      </c>
      <c r="B15791" t="s">
        <v>15796</v>
      </c>
      <c r="C15791">
        <f>HYPERLINK("C:\Users\franc\OneDrive\Documentos\MALENTIN KARIME\BANCO ESTADO\2012 DEPTO ESCRITURAS fata\Dc Simples\RESPALDO comp notaria 27_12_12\NOTARIA 2012\PERSONERÍAS\ING.y  CONST. CAMARICO.doc", "Abrir Documento")</f>
        <v>0</v>
      </c>
      <c r="D15791" t="s">
        <v>23500</v>
      </c>
      <c r="E15791" t="s">
        <v>38266</v>
      </c>
    </row>
    <row r="15792" spans="1:5">
      <c r="A15792" t="s">
        <v>6</v>
      </c>
      <c r="B15792" t="s">
        <v>15797</v>
      </c>
      <c r="C15792">
        <f>HYPERLINK("C:\Users\franc\OneDrive\Documentos\MALENTIN KARIME\BANCO ESTADO\2012 DEPTO ESCRITURAS fata\Dc Simples\RESPALDO comp notaria 27_12_12\NOTARIA 2012\PERSONERÍAS\INFORSOFT LTDA..doc", "Abrir Documento")</f>
        <v>0</v>
      </c>
      <c r="D15792" t="s">
        <v>23500</v>
      </c>
      <c r="E15792" t="s">
        <v>38267</v>
      </c>
    </row>
    <row r="15793" spans="1:5">
      <c r="A15793" t="s">
        <v>6</v>
      </c>
      <c r="B15793" t="s">
        <v>15798</v>
      </c>
      <c r="C15793">
        <f>HYPERLINK("C:\Users\franc\OneDrive\Documentos\MALENTIN KARIME\BANCO ESTADO\2012 DEPTO ESCRITURAS fata\Dc Simples\RESPALDO comp notaria 27_12_12\NOTARIA 2012\PERSONERÍAS\INDAP REFINANCIAMIENTO Personeria.doc", "Abrir Documento")</f>
        <v>0</v>
      </c>
      <c r="D15793" t="s">
        <v>23500</v>
      </c>
      <c r="E15793" t="s">
        <v>38268</v>
      </c>
    </row>
    <row r="15794" spans="1:5">
      <c r="A15794" t="s">
        <v>6</v>
      </c>
      <c r="B15794" t="s">
        <v>15799</v>
      </c>
      <c r="C15794">
        <f>HYPERLINK("C:\Users\franc\OneDrive\Documentos\MALENTIN KARIME\BANCO ESTADO\2012 DEPTO ESCRITURAS fata\Dc Simples\RESPALDO comp notaria 27_12_12\NOTARIA 2012\PERSONERÍAS\INCOVEG LTDA..doc", "Abrir Documento")</f>
        <v>0</v>
      </c>
      <c r="D15794" t="s">
        <v>23500</v>
      </c>
      <c r="E15794" t="s">
        <v>38269</v>
      </c>
    </row>
    <row r="15795" spans="1:5">
      <c r="A15795" t="s">
        <v>6</v>
      </c>
      <c r="B15795" t="s">
        <v>15800</v>
      </c>
      <c r="C15795">
        <f>HYPERLINK("C:\Users\franc\OneDrive\Documentos\MALENTIN KARIME\BANCO ESTADO\2012 DEPTO ESCRITURAS fata\Dc Simples\RESPALDO comp notaria 27_12_12\NOTARIA 2012\PERSONERÍAS\IMPORTADORA Y COM ALIM PREST SILVIA PEÑA.doc", "Abrir Documento")</f>
        <v>0</v>
      </c>
      <c r="D15795" t="s">
        <v>23500</v>
      </c>
      <c r="E15795" t="s">
        <v>38270</v>
      </c>
    </row>
    <row r="15796" spans="1:5">
      <c r="A15796" t="s">
        <v>6</v>
      </c>
      <c r="B15796" t="s">
        <v>15801</v>
      </c>
      <c r="C15796">
        <f>HYPERLINK("C:\Users\franc\OneDrive\Documentos\MALENTIN KARIME\BANCO ESTADO\2012 DEPTO ESCRITURAS fata\Dc Simples\RESPALDO comp notaria 27_12_12\NOTARIA 2012\PERSONERÍAS\HEROVAL.doc", "Abrir Documento")</f>
        <v>0</v>
      </c>
      <c r="D15796" t="s">
        <v>23500</v>
      </c>
      <c r="E15796" t="s">
        <v>38271</v>
      </c>
    </row>
    <row r="15797" spans="1:5">
      <c r="A15797" t="s">
        <v>6</v>
      </c>
      <c r="B15797" t="s">
        <v>15802</v>
      </c>
      <c r="C15797">
        <f>HYPERLINK("C:\Users\franc\OneDrive\Documentos\MALENTIN KARIME\BANCO ESTADO\2012 DEPTO ESCRITURAS fata\Dc Simples\RESPALDO comp notaria 27_12_12\NOTARIA 2012\PERSONERÍAS\HACIENDA MAL PASO Y CIA. LTDA..doc", "Abrir Documento")</f>
        <v>0</v>
      </c>
      <c r="D15797" t="s">
        <v>23500</v>
      </c>
      <c r="E15797" t="s">
        <v>38272</v>
      </c>
    </row>
    <row r="15798" spans="1:5">
      <c r="A15798" t="s">
        <v>6</v>
      </c>
      <c r="B15798" t="s">
        <v>15803</v>
      </c>
      <c r="C15798">
        <f>HYPERLINK("C:\Users\franc\OneDrive\Documentos\MALENTIN KARIME\BANCO ESTADO\2012 DEPTO ESCRITURAS fata\Dc Simples\RESPALDO comp notaria 27_12_12\NOTARIA 2012\PERSONERÍAS\GUTIERREZ HNOS LTDA..doc", "Abrir Documento")</f>
        <v>0</v>
      </c>
      <c r="D15798" t="s">
        <v>23500</v>
      </c>
      <c r="E15798" t="s">
        <v>38273</v>
      </c>
    </row>
    <row r="15799" spans="1:5">
      <c r="A15799" t="s">
        <v>6</v>
      </c>
      <c r="B15799" t="s">
        <v>15804</v>
      </c>
      <c r="C15799">
        <f>HYPERLINK("C:\Users\franc\OneDrive\Documentos\MALENTIN KARIME\BANCO ESTADO\2012 DEPTO ESCRITURAS fata\Dc Simples\RESPALDO comp notaria 27_12_12\NOTARIA 2012\PERSONERÍAS\GUILLAVE LTDA..doc", "Abrir Documento")</f>
        <v>0</v>
      </c>
      <c r="D15799" t="s">
        <v>23500</v>
      </c>
      <c r="E15799" t="s">
        <v>38274</v>
      </c>
    </row>
    <row r="15800" spans="1:5">
      <c r="A15800" t="s">
        <v>6</v>
      </c>
      <c r="B15800" t="s">
        <v>15805</v>
      </c>
      <c r="C15800">
        <f>HYPERLINK("C:\Users\franc\OneDrive\Documentos\MALENTIN KARIME\BANCO ESTADO\2012 DEPTO ESCRITURAS fata\Dc Simples\RESPALDO comp notaria 27_12_12\NOTARIA 2012\PERSONERÍAS\GRUPO NORTE LTDA..doc", "Abrir Documento")</f>
        <v>0</v>
      </c>
      <c r="D15800" t="s">
        <v>23500</v>
      </c>
      <c r="E15800" t="s">
        <v>38275</v>
      </c>
    </row>
    <row r="15801" spans="1:5">
      <c r="A15801" t="s">
        <v>6</v>
      </c>
      <c r="B15801" t="s">
        <v>15806</v>
      </c>
      <c r="C15801">
        <f>HYPERLINK("C:\Users\franc\OneDrive\Documentos\MALENTIN KARIME\BANCO ESTADO\2012 DEPTO ESCRITURAS fata\Dc Simples\RESPALDO comp notaria 27_12_12\NOTARIA 2012\PERSONERÍAS\GOTA LECHE.doc", "Abrir Documento")</f>
        <v>0</v>
      </c>
      <c r="D15801" t="s">
        <v>23500</v>
      </c>
      <c r="E15801" t="s">
        <v>38276</v>
      </c>
    </row>
    <row r="15802" spans="1:5">
      <c r="A15802" t="s">
        <v>6</v>
      </c>
      <c r="B15802" t="s">
        <v>15807</v>
      </c>
      <c r="C15802">
        <f>HYPERLINK("C:\Users\franc\OneDrive\Documentos\MALENTIN KARIME\BANCO ESTADO\2012 DEPTO ESCRITURAS fata\Dc Simples\RESPALDO comp notaria 27_12_12\NOTARIA 2012\PERSONERÍAS\GONZALEZ Y TORREALBA LTDA..doc", "Abrir Documento")</f>
        <v>0</v>
      </c>
      <c r="D15802" t="s">
        <v>23500</v>
      </c>
      <c r="E15802" t="s">
        <v>38277</v>
      </c>
    </row>
    <row r="15803" spans="1:5">
      <c r="A15803" t="s">
        <v>6</v>
      </c>
      <c r="B15803" t="s">
        <v>15808</v>
      </c>
      <c r="C15803">
        <f>HYPERLINK("C:\Users\franc\OneDrive\Documentos\MALENTIN KARIME\BANCO ESTADO\2012 DEPTO ESCRITURAS fata\Dc Simples\RESPALDO comp notaria 27_12_12\NOTARIA 2012\PERSONERÍAS\GONZALEZ Y PEREIRA LTDA..doc", "Abrir Documento")</f>
        <v>0</v>
      </c>
      <c r="D15803" t="s">
        <v>23500</v>
      </c>
      <c r="E15803" t="s">
        <v>38278</v>
      </c>
    </row>
    <row r="15804" spans="1:5">
      <c r="A15804" t="s">
        <v>6</v>
      </c>
      <c r="B15804" t="s">
        <v>15809</v>
      </c>
      <c r="C15804">
        <f>HYPERLINK("C:\Users\franc\OneDrive\Documentos\MALENTIN KARIME\BANCO ESTADO\2012 DEPTO ESCRITURAS fata\Dc Simples\RESPALDO comp notaria 27_12_12\NOTARIA 2012\PERSONERÍAS\GONART. María Boric.doc", "Abrir Documento")</f>
        <v>0</v>
      </c>
      <c r="D15804" t="s">
        <v>23500</v>
      </c>
      <c r="E15804" t="s">
        <v>38279</v>
      </c>
    </row>
    <row r="15805" spans="1:5">
      <c r="A15805" t="s">
        <v>6</v>
      </c>
      <c r="B15805" t="s">
        <v>15810</v>
      </c>
      <c r="C15805">
        <f>HYPERLINK("C:\Users\franc\OneDrive\Documentos\MALENTIN KARIME\BANCO ESTADO\2012 DEPTO ESCRITURAS fata\Dc Simples\RESPALDO comp notaria 27_12_12\NOTARIA 2012\PERSONERÍAS\GONART Glen.doc", "Abrir Documento")</f>
        <v>0</v>
      </c>
      <c r="D15805" t="s">
        <v>23500</v>
      </c>
      <c r="E15805" t="s">
        <v>38280</v>
      </c>
    </row>
    <row r="15806" spans="1:5">
      <c r="A15806" t="s">
        <v>6</v>
      </c>
      <c r="B15806" t="s">
        <v>15811</v>
      </c>
      <c r="C15806">
        <f>HYPERLINK("C:\Users\franc\OneDrive\Documentos\MALENTIN KARIME\BANCO ESTADO\2012 DEPTO ESCRITURAS fata\Dc Simples\RESPALDO comp notaria 27_12_12\NOTARIA 2012\PERSONERÍAS\GILBERTO CARMONA E HIJOS S.A..doc", "Abrir Documento")</f>
        <v>0</v>
      </c>
      <c r="D15806" t="s">
        <v>23500</v>
      </c>
      <c r="E15806" t="s">
        <v>38281</v>
      </c>
    </row>
    <row r="15807" spans="1:5">
      <c r="A15807" t="s">
        <v>6</v>
      </c>
      <c r="B15807" t="s">
        <v>15812</v>
      </c>
      <c r="C15807">
        <f>HYPERLINK("C:\Users\franc\OneDrive\Documentos\MALENTIN KARIME\BANCO ESTADO\2012 DEPTO ESCRITURAS fata\Dc Simples\RESPALDO comp notaria 27_12_12\NOTARIA 2012\PERSONERÍAS\GEMA LIMITADA.doc", "Abrir Documento")</f>
        <v>0</v>
      </c>
      <c r="D15807" t="s">
        <v>23500</v>
      </c>
      <c r="E15807" t="s">
        <v>38282</v>
      </c>
    </row>
    <row r="15808" spans="1:5">
      <c r="A15808" t="s">
        <v>6</v>
      </c>
      <c r="B15808" t="s">
        <v>15813</v>
      </c>
      <c r="C15808">
        <f>HYPERLINK("C:\Users\franc\OneDrive\Documentos\MALENTIN KARIME\BANCO ESTADO\2012 DEPTO ESCRITURAS fata\Dc Simples\RESPALDO comp notaria 27_12_12\NOTARIA 2012\PERSONERÍAS\FRIGORIFICO SOTAQUI.doc", "Abrir Documento")</f>
        <v>0</v>
      </c>
      <c r="D15808" t="s">
        <v>23500</v>
      </c>
      <c r="E15808" t="s">
        <v>38283</v>
      </c>
    </row>
    <row r="15809" spans="1:5">
      <c r="A15809" t="s">
        <v>6</v>
      </c>
      <c r="B15809" t="s">
        <v>15814</v>
      </c>
      <c r="C15809">
        <f>HYPERLINK("C:\Users\franc\OneDrive\Documentos\MALENTIN KARIME\BANCO ESTADO\2012 DEPTO ESCRITURAS fata\Dc Simples\RESPALDO comp notaria 27_12_12\NOTARIA 2012\PERSONERÍAS\FRIG. SANTA ADRIANA LTDA.doc", "Abrir Documento")</f>
        <v>0</v>
      </c>
      <c r="D15809" t="s">
        <v>23500</v>
      </c>
      <c r="E15809" t="s">
        <v>38284</v>
      </c>
    </row>
    <row r="15810" spans="1:5">
      <c r="A15810" t="s">
        <v>6</v>
      </c>
      <c r="B15810" t="s">
        <v>15815</v>
      </c>
      <c r="C15810">
        <f>HYPERLINK("C:\Users\franc\OneDrive\Documentos\MALENTIN KARIME\BANCO ESTADO\2012 DEPTO ESCRITURAS fata\Dc Simples\RESPALDO comp notaria 27_12_12\NOTARIA 2012\PERSONERÍAS\FRESSO Y CIA. LTDA..doc", "Abrir Documento")</f>
        <v>0</v>
      </c>
      <c r="D15810" t="s">
        <v>23500</v>
      </c>
      <c r="E15810" t="s">
        <v>38285</v>
      </c>
    </row>
    <row r="15811" spans="1:5">
      <c r="A15811" t="s">
        <v>6</v>
      </c>
      <c r="B15811" t="s">
        <v>15816</v>
      </c>
      <c r="C15811">
        <f>HYPERLINK("C:\Users\franc\OneDrive\Documentos\MALENTIN KARIME\BANCO ESTADO\2012 DEPTO ESCRITURAS fata\Dc Simples\RESPALDO comp notaria 27_12_12\NOTARIA 2012\PERSONERÍAS\FRESH &amp; DRY LTDA..doc", "Abrir Documento")</f>
        <v>0</v>
      </c>
      <c r="D15811" t="s">
        <v>23500</v>
      </c>
      <c r="E15811" t="s">
        <v>38286</v>
      </c>
    </row>
    <row r="15812" spans="1:5">
      <c r="A15812" t="s">
        <v>6</v>
      </c>
      <c r="B15812" t="s">
        <v>15817</v>
      </c>
      <c r="C15812">
        <f>HYPERLINK("C:\Users\franc\OneDrive\Documentos\MALENTIN KARIME\BANCO ESTADO\2012 DEPTO ESCRITURAS fata\Dc Simples\RESPALDO comp notaria 27_12_12\NOTARIA 2012\PERSONERÍAS\FORMA LIMITDA.doc", "Abrir Documento")</f>
        <v>0</v>
      </c>
      <c r="D15812" t="s">
        <v>23500</v>
      </c>
      <c r="E15812" t="s">
        <v>38287</v>
      </c>
    </row>
    <row r="15813" spans="1:5">
      <c r="A15813" t="s">
        <v>6</v>
      </c>
      <c r="B15813" t="s">
        <v>15818</v>
      </c>
      <c r="C15813">
        <f>HYPERLINK("C:\Users\franc\OneDrive\Documentos\MALENTIN KARIME\BANCO ESTADO\2012 DEPTO ESCRITURAS fata\Dc Simples\RESPALDO comp notaria 27_12_12\NOTARIA 2012\PERSONERÍAS\FORMA INVERSIONES.doc", "Abrir Documento")</f>
        <v>0</v>
      </c>
      <c r="D15813" t="s">
        <v>23500</v>
      </c>
      <c r="E15813" t="s">
        <v>38288</v>
      </c>
    </row>
    <row r="15814" spans="1:5">
      <c r="A15814" t="s">
        <v>6</v>
      </c>
      <c r="B15814" t="s">
        <v>15819</v>
      </c>
      <c r="C15814">
        <f>HYPERLINK("C:\Users\franc\OneDrive\Documentos\MALENTIN KARIME\BANCO ESTADO\2012 DEPTO ESCRITURAS fata\Dc Simples\RESPALDO comp notaria 27_12_12\NOTARIA 2012\PERSONERÍAS\FLECHA DEL NORTE LTDA..doc", "Abrir Documento")</f>
        <v>0</v>
      </c>
      <c r="D15814" t="s">
        <v>23500</v>
      </c>
      <c r="E15814" t="s">
        <v>38289</v>
      </c>
    </row>
    <row r="15815" spans="1:5">
      <c r="A15815" t="s">
        <v>6</v>
      </c>
      <c r="B15815" t="s">
        <v>15820</v>
      </c>
      <c r="C15815">
        <f>HYPERLINK("C:\Users\franc\OneDrive\Documentos\MALENTIN KARIME\BANCO ESTADO\2012 DEPTO ESCRITURAS fata\Dc Simples\RESPALDO comp notaria 27_12_12\NOTARIA 2012\PERSONERÍAS\FF MINERALS S.A.doc", "Abrir Documento")</f>
        <v>0</v>
      </c>
      <c r="D15815" t="s">
        <v>23500</v>
      </c>
      <c r="E15815" t="s">
        <v>38290</v>
      </c>
    </row>
    <row r="15816" spans="1:5">
      <c r="A15816" t="s">
        <v>6</v>
      </c>
      <c r="B15816" t="s">
        <v>15821</v>
      </c>
      <c r="C15816">
        <f>HYPERLINK("C:\Users\franc\OneDrive\Documentos\MALENTIN KARIME\BANCO ESTADO\2012 DEPTO ESCRITURAS fata\Dc Simples\RESPALDO comp notaria 27_12_12\NOTARIA 2012\PERSONERÍAS\FAPISA S.A..doc", "Abrir Documento")</f>
        <v>0</v>
      </c>
      <c r="D15816" t="s">
        <v>23500</v>
      </c>
      <c r="E15816" t="s">
        <v>38291</v>
      </c>
    </row>
    <row r="15817" spans="1:5">
      <c r="A15817" t="s">
        <v>6</v>
      </c>
      <c r="B15817" t="s">
        <v>15822</v>
      </c>
      <c r="C15817">
        <f>HYPERLINK("C:\Users\franc\OneDrive\Documentos\MALENTIN KARIME\BANCO ESTADO\2012 DEPTO ESCRITURAS fata\Dc Simples\RESPALDO comp notaria 27_12_12\NOTARIA 2012\PERSONERÍAS\Exportadora convalli s.a. felix espinosa.doc", "Abrir Documento")</f>
        <v>0</v>
      </c>
      <c r="D15817" t="s">
        <v>23500</v>
      </c>
      <c r="E15817" t="s">
        <v>38292</v>
      </c>
    </row>
    <row r="15818" spans="1:5">
      <c r="A15818" t="s">
        <v>6</v>
      </c>
      <c r="B15818" t="s">
        <v>15823</v>
      </c>
      <c r="C15818">
        <f>HYPERLINK("C:\Users\franc\OneDrive\Documentos\MALENTIN KARIME\BANCO ESTADO\2012 DEPTO ESCRITURAS fata\Dc Simples\RESPALDO comp notaria 27_12_12\NOTARIA 2012\PERSONERÍAS\ESTANCIA HULLILLINGA S.A.doc", "Abrir Documento")</f>
        <v>0</v>
      </c>
      <c r="D15818" t="s">
        <v>23500</v>
      </c>
      <c r="E15818" t="s">
        <v>38293</v>
      </c>
    </row>
    <row r="15819" spans="1:5">
      <c r="A15819" t="s">
        <v>6</v>
      </c>
      <c r="B15819" t="s">
        <v>15824</v>
      </c>
      <c r="C15819">
        <f>HYPERLINK("C:\Users\franc\OneDrive\Documentos\MALENTIN KARIME\BANCO ESTADO\2012 DEPTO ESCRITURAS fata\Dc Simples\RESPALDO comp notaria 27_12_12\NOTARIA 2012\PERSONERÍAS\ESPECIERA DEL SUR.doc", "Abrir Documento")</f>
        <v>0</v>
      </c>
      <c r="D15819" t="s">
        <v>23500</v>
      </c>
      <c r="E15819" t="s">
        <v>38294</v>
      </c>
    </row>
    <row r="15820" spans="1:5">
      <c r="A15820" t="s">
        <v>6</v>
      </c>
      <c r="B15820" t="s">
        <v>15825</v>
      </c>
      <c r="C15820">
        <f>HYPERLINK("C:\Users\franc\OneDrive\Documentos\MALENTIN KARIME\BANCO ESTADO\2012 DEPTO ESCRITURAS fata\Dc Simples\RESPALDO comp notaria 27_12_12\NOTARIA 2012\PERSONERÍAS\EMB. COGOTI.doc", "Abrir Documento")</f>
        <v>0</v>
      </c>
      <c r="D15820" t="s">
        <v>23500</v>
      </c>
      <c r="E15820" t="s">
        <v>38295</v>
      </c>
    </row>
    <row r="15821" spans="1:5">
      <c r="A15821" t="s">
        <v>6</v>
      </c>
      <c r="B15821" t="s">
        <v>15826</v>
      </c>
      <c r="C15821">
        <f>HYPERLINK("C:\Users\franc\OneDrive\Documentos\MALENTIN KARIME\BANCO ESTADO\2012 DEPTO ESCRITURAS fata\Dc Simples\RESPALDO comp notaria 27_12_12\NOTARIA 2012\PERSONERÍAS\EL RELOJ LTDA..doc", "Abrir Documento")</f>
        <v>0</v>
      </c>
      <c r="D15821" t="s">
        <v>23500</v>
      </c>
      <c r="E15821" t="s">
        <v>38296</v>
      </c>
    </row>
    <row r="15822" spans="1:5">
      <c r="A15822" t="s">
        <v>6</v>
      </c>
      <c r="B15822" t="s">
        <v>15827</v>
      </c>
      <c r="C15822">
        <f>HYPERLINK("C:\Users\franc\OneDrive\Documentos\MALENTIN KARIME\BANCO ESTADO\2012 DEPTO ESCRITURAS fata\Dc Simples\RESPALDO comp notaria 27_12_12\NOTARIA 2012\PERSONERÍAS\EL MAUCO LTDA..doc", "Abrir Documento")</f>
        <v>0</v>
      </c>
      <c r="D15822" t="s">
        <v>23500</v>
      </c>
      <c r="E15822" t="s">
        <v>38297</v>
      </c>
    </row>
    <row r="15823" spans="1:5">
      <c r="A15823" t="s">
        <v>6</v>
      </c>
      <c r="B15823" t="s">
        <v>15828</v>
      </c>
      <c r="C15823">
        <f>HYPERLINK("C:\Users\franc\OneDrive\Documentos\MALENTIN KARIME\BANCO ESTADO\2012 DEPTO ESCRITURAS fata\Dc Simples\RESPALDO comp notaria 27_12_12\NOTARIA 2012\PERSONERÍAS\DICAVE LTDA..doc", "Abrir Documento")</f>
        <v>0</v>
      </c>
      <c r="D15823" t="s">
        <v>23500</v>
      </c>
      <c r="E15823" t="s">
        <v>38298</v>
      </c>
    </row>
    <row r="15824" spans="1:5">
      <c r="A15824" t="s">
        <v>6</v>
      </c>
      <c r="B15824" t="s">
        <v>15829</v>
      </c>
      <c r="C15824">
        <f>HYPERLINK("C:\Users\franc\OneDrive\Documentos\MALENTIN KARIME\BANCO ESTADO\2012 DEPTO ESCRITURAS fata\Dc Simples\RESPALDO comp notaria 27_12_12\NOTARIA 2012\PERSONERÍAS\DENT SERVICIOS.doc", "Abrir Documento")</f>
        <v>0</v>
      </c>
      <c r="D15824" t="s">
        <v>23500</v>
      </c>
      <c r="E15824" t="s">
        <v>38299</v>
      </c>
    </row>
    <row r="15825" spans="1:5">
      <c r="A15825" t="s">
        <v>6</v>
      </c>
      <c r="B15825" t="s">
        <v>15830</v>
      </c>
      <c r="C15825">
        <f>HYPERLINK("C:\Users\franc\OneDrive\Documentos\MALENTIN KARIME\BANCO ESTADO\2012 DEPTO ESCRITURAS fata\Dc Simples\RESPALDO comp notaria 27_12_12\NOTARIA 2012\PERSONERÍAS\CONTADOR FRUTOS S.A..doc", "Abrir Documento")</f>
        <v>0</v>
      </c>
      <c r="D15825" t="s">
        <v>23500</v>
      </c>
      <c r="E15825" t="s">
        <v>38300</v>
      </c>
    </row>
    <row r="15826" spans="1:5">
      <c r="A15826" t="s">
        <v>6</v>
      </c>
      <c r="B15826" t="s">
        <v>15831</v>
      </c>
      <c r="C15826">
        <f>HYPERLINK("C:\Users\franc\OneDrive\Documentos\MALENTIN KARIME\BANCO ESTADO\2012 DEPTO ESCRITURAS fata\Dc Simples\RESPALDO comp notaria 27_12_12\NOTARIA 2012\PERSONERÍAS\CONSTRUCTORA QUILPOCO.doc", "Abrir Documento")</f>
        <v>0</v>
      </c>
      <c r="D15826" t="s">
        <v>23500</v>
      </c>
      <c r="E15826" t="s">
        <v>38301</v>
      </c>
    </row>
    <row r="15827" spans="1:5">
      <c r="A15827" t="s">
        <v>6</v>
      </c>
      <c r="B15827" t="s">
        <v>15832</v>
      </c>
      <c r="C15827">
        <f>HYPERLINK("C:\Users\franc\OneDrive\Documentos\MALENTIN KARIME\BANCO ESTADO\2012 DEPTO ESCRITURAS fata\Dc Simples\RESPALDO comp notaria 27_12_12\NOTARIA 2012\PERSONERÍAS\CONSTRUCTORA NUEVO NORTE LTDA..doc", "Abrir Documento")</f>
        <v>0</v>
      </c>
      <c r="D15827" t="s">
        <v>23500</v>
      </c>
      <c r="E15827" t="s">
        <v>38302</v>
      </c>
    </row>
    <row r="15828" spans="1:5">
      <c r="A15828" t="s">
        <v>6</v>
      </c>
      <c r="B15828" t="s">
        <v>15833</v>
      </c>
      <c r="C15828">
        <f>HYPERLINK("C:\Users\franc\OneDrive\Documentos\MALENTIN KARIME\BANCO ESTADO\2012 DEPTO ESCRITURAS fata\Dc Simples\RESPALDO comp notaria 27_12_12\NOTARIA 2012\PERSONERÍAS\CONSTRUCTORA N Y R LTDA..doc", "Abrir Documento")</f>
        <v>0</v>
      </c>
      <c r="D15828" t="s">
        <v>23500</v>
      </c>
      <c r="E15828" t="s">
        <v>38303</v>
      </c>
    </row>
    <row r="15829" spans="1:5">
      <c r="A15829" t="s">
        <v>6</v>
      </c>
      <c r="B15829" t="s">
        <v>15834</v>
      </c>
      <c r="C15829">
        <f>HYPERLINK("C:\Users\franc\OneDrive\Documentos\MALENTIN KARIME\BANCO ESTADO\2012 DEPTO ESCRITURAS fata\Dc Simples\RESPALDO comp notaria 27_12_12\NOTARIA 2012\PERSONERÍAS\COMUNIDAD AGRICOLA EL DURAZNO.docx", "Abrir Documento")</f>
        <v>0</v>
      </c>
      <c r="D15829" t="s">
        <v>23501</v>
      </c>
      <c r="E15829" t="s">
        <v>38304</v>
      </c>
    </row>
    <row r="15830" spans="1:5">
      <c r="A15830" t="s">
        <v>6</v>
      </c>
      <c r="B15830" t="s">
        <v>15835</v>
      </c>
      <c r="C15830">
        <f>HYPERLINK("C:\Users\franc\OneDrive\Documentos\MALENTIN KARIME\BANCO ESTADO\2012 DEPTO ESCRITURAS fata\Dc Simples\RESPALDO comp notaria 27_12_12\NOTARIA 2012\PERSONERÍAS\COMUNIDAD AGRIC. ORURO.doc", "Abrir Documento")</f>
        <v>0</v>
      </c>
      <c r="D15830" t="s">
        <v>23500</v>
      </c>
      <c r="E15830" t="s">
        <v>38305</v>
      </c>
    </row>
    <row r="15831" spans="1:5">
      <c r="A15831" t="s">
        <v>6</v>
      </c>
      <c r="B15831" t="s">
        <v>15836</v>
      </c>
      <c r="C15831">
        <f>HYPERLINK("C:\Users\franc\OneDrive\Documentos\MALENTIN KARIME\BANCO ESTADO\2012 DEPTO ESCRITURAS fata\Dc Simples\RESPALDO comp notaria 27_12_12\NOTARIA 2012\PERSONERÍAS\COMUNIDAD AGRIC. EL DURAZNO.doc", "Abrir Documento")</f>
        <v>0</v>
      </c>
      <c r="D15831" t="s">
        <v>23500</v>
      </c>
      <c r="E15831" t="s">
        <v>38306</v>
      </c>
    </row>
    <row r="15832" spans="1:5">
      <c r="A15832" t="s">
        <v>6</v>
      </c>
      <c r="B15832" t="s">
        <v>15837</v>
      </c>
      <c r="C15832">
        <f>HYPERLINK("C:\Users\franc\OneDrive\Documentos\MALENTIN KARIME\BANCO ESTADO\2012 DEPTO ESCRITURAS fata\Dc Simples\RESPALDO comp notaria 27_12_12\NOTARIA 2012\PERSONERÍAS\COMSAT LTDA..doc", "Abrir Documento")</f>
        <v>0</v>
      </c>
      <c r="D15832" t="s">
        <v>23500</v>
      </c>
      <c r="E15832" t="s">
        <v>38307</v>
      </c>
    </row>
    <row r="15833" spans="1:5">
      <c r="A15833" t="s">
        <v>6</v>
      </c>
      <c r="B15833" t="s">
        <v>15838</v>
      </c>
      <c r="C15833">
        <f>HYPERLINK("C:\Users\franc\OneDrive\Documentos\MALENTIN KARIME\BANCO ESTADO\2012 DEPTO ESCRITURAS fata\Dc Simples\RESPALDO comp notaria 27_12_12\NOTARIA 2012\PERSONERÍAS\compañia pisquera de chile s.a.doc", "Abrir Documento")</f>
        <v>0</v>
      </c>
      <c r="D15833" t="s">
        <v>23500</v>
      </c>
      <c r="E15833" t="s">
        <v>38308</v>
      </c>
    </row>
    <row r="15834" spans="1:5">
      <c r="A15834" t="s">
        <v>6</v>
      </c>
      <c r="B15834" t="s">
        <v>15839</v>
      </c>
      <c r="C15834">
        <f>HYPERLINK("C:\Users\franc\OneDrive\Documentos\MALENTIN KARIME\BANCO ESTADO\2012 DEPTO ESCRITURAS fata\Dc Simples\RESPALDO comp notaria 27_12_12\NOTARIA 2012\PERSONERÍAS\COMP. 6 CANAL MATRIZ PALOMA.doc", "Abrir Documento")</f>
        <v>0</v>
      </c>
      <c r="D15834" t="s">
        <v>23500</v>
      </c>
      <c r="E15834" t="s">
        <v>38309</v>
      </c>
    </row>
    <row r="15835" spans="1:5">
      <c r="A15835" t="s">
        <v>6</v>
      </c>
      <c r="B15835" t="s">
        <v>15840</v>
      </c>
      <c r="C15835">
        <f>HYPERLINK("C:\Users\franc\OneDrive\Documentos\MALENTIN KARIME\BANCO ESTADO\2012 DEPTO ESCRITURAS fata\Dc Simples\RESPALDO comp notaria 27_12_12\NOTARIA 2012\PERSONERÍAS\COMITE EL DESPERTAR.doc", "Abrir Documento")</f>
        <v>0</v>
      </c>
      <c r="D15835" t="s">
        <v>23500</v>
      </c>
      <c r="E15835" t="s">
        <v>38310</v>
      </c>
    </row>
    <row r="15836" spans="1:5">
      <c r="A15836" t="s">
        <v>6</v>
      </c>
      <c r="B15836" t="s">
        <v>15841</v>
      </c>
      <c r="C15836">
        <f>HYPERLINK("C:\Users\franc\OneDrive\Documentos\MALENTIN KARIME\BANCO ESTADO\2012 DEPTO ESCRITURAS fata\Dc Simples\RESPALDO comp notaria 27_12_12\NOTARIA 2012\PERSONERÍAS\comexport ltda. gonzalo varas.doc", "Abrir Documento")</f>
        <v>0</v>
      </c>
      <c r="D15836" t="s">
        <v>23500</v>
      </c>
      <c r="E15836" t="s">
        <v>38311</v>
      </c>
    </row>
    <row r="15837" spans="1:5">
      <c r="A15837" t="s">
        <v>6</v>
      </c>
      <c r="B15837" t="s">
        <v>15842</v>
      </c>
      <c r="C15837">
        <f>HYPERLINK("C:\Users\franc\OneDrive\Documentos\MALENTIN KARIME\BANCO ESTADO\2012 DEPTO ESCRITURAS fata\Dc Simples\RESPALDO comp notaria 27_12_12\NOTARIA 2012\PERSONERÍAS\COMERCIALIZADORA SAN FABIAN LTDA..doc", "Abrir Documento")</f>
        <v>0</v>
      </c>
      <c r="D15837" t="s">
        <v>23500</v>
      </c>
      <c r="E15837" t="s">
        <v>38312</v>
      </c>
    </row>
    <row r="15838" spans="1:5">
      <c r="A15838" t="s">
        <v>6</v>
      </c>
      <c r="B15838" t="s">
        <v>15843</v>
      </c>
      <c r="C15838">
        <f>HYPERLINK("C:\Users\franc\OneDrive\Documentos\MALENTIN KARIME\BANCO ESTADO\2012 DEPTO ESCRITURAS fata\Dc Simples\RESPALDO comp notaria 27_12_12\NOTARIA 2012\PERSONERÍAS\COMERCIAL Y SERVICIOS UNO.doc", "Abrir Documento")</f>
        <v>0</v>
      </c>
      <c r="D15838" t="s">
        <v>23500</v>
      </c>
      <c r="E15838" t="s">
        <v>38313</v>
      </c>
    </row>
    <row r="15839" spans="1:5">
      <c r="A15839" t="s">
        <v>6</v>
      </c>
      <c r="B15839" t="s">
        <v>15844</v>
      </c>
      <c r="C15839">
        <f>HYPERLINK("C:\Users\franc\OneDrive\Documentos\MALENTIN KARIME\BANCO ESTADO\2012 DEPTO ESCRITURAS fata\Dc Simples\RESPALDO comp notaria 27_12_12\NOTARIA 2012\PERSONERÍAS\COMERCIAL Y AGRICOLA S.A..doc", "Abrir Documento")</f>
        <v>0</v>
      </c>
      <c r="D15839" t="s">
        <v>23500</v>
      </c>
      <c r="E15839" t="s">
        <v>38314</v>
      </c>
    </row>
    <row r="15840" spans="1:5">
      <c r="A15840" t="s">
        <v>6</v>
      </c>
      <c r="B15840" t="s">
        <v>15845</v>
      </c>
      <c r="C15840">
        <f>HYPERLINK("C:\Users\franc\OneDrive\Documentos\MALENTIN KARIME\BANCO ESTADO\2012 DEPTO ESCRITURAS fata\Dc Simples\RESPALDO comp notaria 27_12_12\NOTARIA 2012\PERSONERÍAS\COMERCIAL SELECTA.doc", "Abrir Documento")</f>
        <v>0</v>
      </c>
      <c r="D15840" t="s">
        <v>23500</v>
      </c>
      <c r="E15840" t="s">
        <v>38315</v>
      </c>
    </row>
    <row r="15841" spans="1:5">
      <c r="A15841" t="s">
        <v>6</v>
      </c>
      <c r="B15841" t="s">
        <v>15846</v>
      </c>
      <c r="C15841">
        <f>HYPERLINK("C:\Users\franc\OneDrive\Documentos\MALENTIN KARIME\BANCO ESTADO\2012 DEPTO ESCRITURAS fata\Dc Simples\RESPALDO comp notaria 27_12_12\NOTARIA 2012\PERSONERÍAS\COMERCIAL SANTA FE.doc", "Abrir Documento")</f>
        <v>0</v>
      </c>
      <c r="D15841" t="s">
        <v>23500</v>
      </c>
      <c r="E15841" t="s">
        <v>38316</v>
      </c>
    </row>
    <row r="15842" spans="1:5">
      <c r="A15842" t="s">
        <v>6</v>
      </c>
      <c r="B15842" t="s">
        <v>15847</v>
      </c>
      <c r="C15842">
        <f>HYPERLINK("C:\Users\franc\OneDrive\Documentos\MALENTIN KARIME\BANCO ESTADO\2012 DEPTO ESCRITURAS fata\Dc Simples\RESPALDO comp notaria 27_12_12\NOTARIA 2012\PERSONERÍAS\COMERCIAL REQUENA.docx", "Abrir Documento")</f>
        <v>0</v>
      </c>
      <c r="D15842" t="s">
        <v>23501</v>
      </c>
      <c r="E15842" t="s">
        <v>38317</v>
      </c>
    </row>
    <row r="15843" spans="1:5">
      <c r="A15843" t="s">
        <v>6</v>
      </c>
      <c r="B15843" t="s">
        <v>15848</v>
      </c>
      <c r="C15843">
        <f>HYPERLINK("C:\Users\franc\OneDrive\Documentos\MALENTIN KARIME\BANCO ESTADO\2012 DEPTO ESCRITURAS fata\Dc Simples\RESPALDO comp notaria 27_12_12\NOTARIA 2012\PERSONERÍAS\COMERCIAL REQUENA Y OTROS LTDA..doc", "Abrir Documento")</f>
        <v>0</v>
      </c>
      <c r="D15843" t="s">
        <v>23500</v>
      </c>
      <c r="E15843" t="s">
        <v>38318</v>
      </c>
    </row>
    <row r="15844" spans="1:5">
      <c r="A15844" t="s">
        <v>6</v>
      </c>
      <c r="B15844" t="s">
        <v>15849</v>
      </c>
      <c r="C15844">
        <f>HYPERLINK("C:\Users\franc\OneDrive\Documentos\MALENTIN KARIME\BANCO ESTADO\2012 DEPTO ESCRITURAS fata\Dc Simples\RESPALDO comp notaria 27_12_12\NOTARIA 2012\PERSONERÍAS\COMERCIAL ESTEBAN ARIAS.doc", "Abrir Documento")</f>
        <v>0</v>
      </c>
      <c r="D15844" t="s">
        <v>23500</v>
      </c>
      <c r="E15844" t="s">
        <v>38319</v>
      </c>
    </row>
    <row r="15845" spans="1:5">
      <c r="A15845" t="s">
        <v>6</v>
      </c>
      <c r="B15845" t="s">
        <v>15850</v>
      </c>
      <c r="C15845">
        <f>HYPERLINK("C:\Users\franc\OneDrive\Documentos\MALENTIN KARIME\BANCO ESTADO\2012 DEPTO ESCRITURAS fata\Dc Simples\RESPALDO comp notaria 27_12_12\NOTARIA 2012\PERSONERÍAS\COMERCIAL BUENAVENTURA LTDA..doc", "Abrir Documento")</f>
        <v>0</v>
      </c>
      <c r="D15845" t="s">
        <v>23500</v>
      </c>
      <c r="E15845" t="s">
        <v>38320</v>
      </c>
    </row>
    <row r="15846" spans="1:5">
      <c r="A15846" t="s">
        <v>6</v>
      </c>
      <c r="B15846" t="s">
        <v>15851</v>
      </c>
      <c r="C15846">
        <f>HYPERLINK("C:\Users\franc\OneDrive\Documentos\MALENTIN KARIME\BANCO ESTADO\2012 DEPTO ESCRITURAS fata\Dc Simples\RESPALDO comp notaria 27_12_12\NOTARIA 2012\PERSONERÍAS\COM. VALDIVIA DE PUNILLA.doc", "Abrir Documento")</f>
        <v>0</v>
      </c>
      <c r="D15846" t="s">
        <v>23500</v>
      </c>
      <c r="E15846" t="s">
        <v>38321</v>
      </c>
    </row>
    <row r="15847" spans="1:5">
      <c r="A15847" t="s">
        <v>6</v>
      </c>
      <c r="B15847" t="s">
        <v>15852</v>
      </c>
      <c r="C15847">
        <f>HYPERLINK("C:\Users\franc\OneDrive\Documentos\MALENTIN KARIME\BANCO ESTADO\2012 DEPTO ESCRITURAS fata\Dc Simples\RESPALDO comp notaria 27_12_12\NOTARIA 2012\PERSONERÍAS\COM. SALALA.doc", "Abrir Documento")</f>
        <v>0</v>
      </c>
      <c r="D15847" t="s">
        <v>23500</v>
      </c>
      <c r="E15847" t="s">
        <v>38322</v>
      </c>
    </row>
    <row r="15848" spans="1:5">
      <c r="A15848" t="s">
        <v>6</v>
      </c>
      <c r="B15848" t="s">
        <v>15853</v>
      </c>
      <c r="C15848">
        <f>HYPERLINK("C:\Users\franc\OneDrive\Documentos\MALENTIN KARIME\BANCO ESTADO\2012 DEPTO ESCRITURAS fata\Dc Simples\RESPALDO comp notaria 27_12_12\NOTARIA 2012\PERSONERÍAS\COM. PEQ. PRODC. DE UVAS CAREN.doc", "Abrir Documento")</f>
        <v>0</v>
      </c>
      <c r="D15848" t="s">
        <v>23500</v>
      </c>
      <c r="E15848" t="s">
        <v>38323</v>
      </c>
    </row>
    <row r="15849" spans="1:5">
      <c r="A15849" t="s">
        <v>6</v>
      </c>
      <c r="B15849" t="s">
        <v>15854</v>
      </c>
      <c r="C15849">
        <f>HYPERLINK("C:\Users\franc\OneDrive\Documentos\MALENTIN KARIME\BANCO ESTADO\2012 DEPTO ESCRITURAS fata\Dc Simples\RESPALDO comp notaria 27_12_12\NOTARIA 2012\PERSONERÍAS\COM. CERRO BLANCO.doc", "Abrir Documento")</f>
        <v>0</v>
      </c>
      <c r="D15849" t="s">
        <v>23500</v>
      </c>
      <c r="E15849" t="s">
        <v>38324</v>
      </c>
    </row>
    <row r="15850" spans="1:5">
      <c r="A15850" t="s">
        <v>6</v>
      </c>
      <c r="B15850" t="s">
        <v>15855</v>
      </c>
      <c r="C15850">
        <f>HYPERLINK("C:\Users\franc\OneDrive\Documentos\MALENTIN KARIME\BANCO ESTADO\2012 DEPTO ESCRITURAS fata\Dc Simples\RESPALDO comp notaria 27_12_12\NOTARIA 2012\PERSONERÍAS\COM. AGUA LIMARI.doc", "Abrir Documento")</f>
        <v>0</v>
      </c>
      <c r="D15850" t="s">
        <v>23500</v>
      </c>
      <c r="E15850" t="s">
        <v>38325</v>
      </c>
    </row>
    <row r="15851" spans="1:5">
      <c r="A15851" t="s">
        <v>6</v>
      </c>
      <c r="B15851" t="s">
        <v>15856</v>
      </c>
      <c r="C15851">
        <f>HYPERLINK("C:\Users\franc\OneDrive\Documentos\MALENTIN KARIME\BANCO ESTADO\2012 DEPTO ESCRITURAS fata\Dc Simples\RESPALDO comp notaria 27_12_12\NOTARIA 2012\PERSONERÍAS\CISTERNAS HNOS. LTDA..doc", "Abrir Documento")</f>
        <v>0</v>
      </c>
      <c r="D15851" t="s">
        <v>23500</v>
      </c>
      <c r="E15851" t="s">
        <v>38326</v>
      </c>
    </row>
    <row r="15852" spans="1:5">
      <c r="A15852" t="s">
        <v>6</v>
      </c>
      <c r="B15852" t="s">
        <v>15857</v>
      </c>
      <c r="C15852">
        <f>HYPERLINK("C:\Users\franc\OneDrive\Documentos\MALENTIN KARIME\BANCO ESTADO\2012 DEPTO ESCRITURAS fata\Dc Simples\RESPALDO comp notaria 27_12_12\NOTARIA 2012\PERSONERÍAS\CISSO.doc", "Abrir Documento")</f>
        <v>0</v>
      </c>
      <c r="D15852" t="s">
        <v>23500</v>
      </c>
      <c r="E15852" t="s">
        <v>38327</v>
      </c>
    </row>
    <row r="15853" spans="1:5">
      <c r="A15853" t="s">
        <v>6</v>
      </c>
      <c r="B15853" t="s">
        <v>15858</v>
      </c>
      <c r="C15853">
        <f>HYPERLINK("C:\Users\franc\OneDrive\Documentos\MALENTIN KARIME\BANCO ESTADO\2012 DEPTO ESCRITURAS fata\Dc Simples\RESPALDO comp notaria 27_12_12\NOTARIA 2012\PERSONERÍAS\CIELO CLARO.doc", "Abrir Documento")</f>
        <v>0</v>
      </c>
      <c r="D15853" t="s">
        <v>23500</v>
      </c>
      <c r="E15853" t="s">
        <v>38328</v>
      </c>
    </row>
    <row r="15854" spans="1:5">
      <c r="A15854" t="s">
        <v>6</v>
      </c>
      <c r="B15854" t="s">
        <v>15859</v>
      </c>
      <c r="C15854">
        <f>HYPERLINK("C:\Users\franc\OneDrive\Documentos\MALENTIN KARIME\BANCO ESTADO\2012 DEPTO ESCRITURAS fata\Dc Simples\RESPALDO comp notaria 27_12_12\NOTARIA 2012\PERSONERÍAS\CIA. MINERA MUNIZAGA.doc", "Abrir Documento")</f>
        <v>0</v>
      </c>
      <c r="D15854" t="s">
        <v>23500</v>
      </c>
      <c r="E15854" t="s">
        <v>38329</v>
      </c>
    </row>
    <row r="15855" spans="1:5">
      <c r="A15855" t="s">
        <v>6</v>
      </c>
      <c r="B15855" t="s">
        <v>15860</v>
      </c>
      <c r="C15855">
        <f>HYPERLINK("C:\Users\franc\OneDrive\Documentos\MALENTIN KARIME\BANCO ESTADO\2012 DEPTO ESCRITURAS fata\Dc Simples\RESPALDO comp notaria 27_12_12\NOTARIA 2012\PERSONERÍAS\CESAR ALVAREZ.doc", "Abrir Documento")</f>
        <v>0</v>
      </c>
      <c r="D15855" t="s">
        <v>23500</v>
      </c>
      <c r="E15855" t="s">
        <v>38330</v>
      </c>
    </row>
    <row r="15856" spans="1:5">
      <c r="A15856" t="s">
        <v>6</v>
      </c>
      <c r="B15856" t="s">
        <v>15861</v>
      </c>
      <c r="C15856">
        <f>HYPERLINK("C:\Users\franc\OneDrive\Documentos\MALENTIN KARIME\BANCO ESTADO\2012 DEPTO ESCRITURAS fata\Dc Simples\RESPALDO comp notaria 27_12_12\NOTARIA 2012\PERSONERÍAS\CERRO CAMPANARIO.doc", "Abrir Documento")</f>
        <v>0</v>
      </c>
      <c r="D15856" t="s">
        <v>23500</v>
      </c>
      <c r="E15856" t="s">
        <v>38331</v>
      </c>
    </row>
    <row r="15857" spans="1:5">
      <c r="A15857" t="s">
        <v>6</v>
      </c>
      <c r="B15857" t="s">
        <v>15862</v>
      </c>
      <c r="C15857">
        <f>HYPERLINK("C:\Users\franc\OneDrive\Documentos\MALENTIN KARIME\BANCO ESTADO\2012 DEPTO ESCRITURAS fata\Dc Simples\RESPALDO comp notaria 27_12_12\NOTARIA 2012\PERSONERÍAS\CERRO CAMPANARIO JUAN.doc", "Abrir Documento")</f>
        <v>0</v>
      </c>
      <c r="D15857" t="s">
        <v>23500</v>
      </c>
      <c r="E15857" t="s">
        <v>38332</v>
      </c>
    </row>
    <row r="15858" spans="1:5">
      <c r="A15858" t="s">
        <v>6</v>
      </c>
      <c r="B15858" t="s">
        <v>15863</v>
      </c>
      <c r="C15858">
        <f>HYPERLINK("C:\Users\franc\OneDrive\Documentos\MALENTIN KARIME\BANCO ESTADO\2012 DEPTO ESCRITURAS fata\Dc Simples\RESPALDO comp notaria 27_12_12\NOTARIA 2012\PERSONERÍAS\CEGECAP.doc", "Abrir Documento")</f>
        <v>0</v>
      </c>
      <c r="D15858" t="s">
        <v>23500</v>
      </c>
      <c r="E15858" t="s">
        <v>38333</v>
      </c>
    </row>
    <row r="15859" spans="1:5">
      <c r="A15859" t="s">
        <v>6</v>
      </c>
      <c r="B15859" t="s">
        <v>15864</v>
      </c>
      <c r="C15859">
        <f>HYPERLINK("C:\Users\franc\OneDrive\Documentos\MALENTIN KARIME\BANCO ESTADO\2012 DEPTO ESCRITURAS fata\Dc Simples\RESPALDO comp notaria 27_12_12\NOTARIA 2012\PERSONERÍAS\CEGECAP REP.doc", "Abrir Documento")</f>
        <v>0</v>
      </c>
      <c r="D15859" t="s">
        <v>23500</v>
      </c>
      <c r="E15859" t="s">
        <v>38334</v>
      </c>
    </row>
    <row r="15860" spans="1:5">
      <c r="A15860" t="s">
        <v>6</v>
      </c>
      <c r="B15860" t="s">
        <v>15865</v>
      </c>
      <c r="C15860">
        <f>HYPERLINK("C:\Users\franc\OneDrive\Documentos\MALENTIN KARIME\BANCO ESTADO\2012 DEPTO ESCRITURAS fata\Dc Simples\RESPALDO comp notaria 27_12_12\NOTARIA 2012\PERSONERÍAS\CECILIA CORTES E.I.R.L..doc", "Abrir Documento")</f>
        <v>0</v>
      </c>
      <c r="D15860" t="s">
        <v>23500</v>
      </c>
      <c r="E15860" t="s">
        <v>38335</v>
      </c>
    </row>
    <row r="15861" spans="1:5">
      <c r="A15861" t="s">
        <v>6</v>
      </c>
      <c r="B15861" t="s">
        <v>15866</v>
      </c>
      <c r="C15861">
        <f>HYPERLINK("C:\Users\franc\OneDrive\Documentos\MALENTIN KARIME\BANCO ESTADO\2012 DEPTO ESCRITURAS fata\Dc Simples\RESPALDO comp notaria 27_12_12\NOTARIA 2012\PERSONERÍAS\CARVAJAL Y SALINAS LTDA..doc", "Abrir Documento")</f>
        <v>0</v>
      </c>
      <c r="D15861" t="s">
        <v>23500</v>
      </c>
      <c r="E15861" t="s">
        <v>38336</v>
      </c>
    </row>
    <row r="15862" spans="1:5">
      <c r="A15862" t="s">
        <v>6</v>
      </c>
      <c r="B15862" t="s">
        <v>15867</v>
      </c>
      <c r="C15862">
        <f>HYPERLINK("C:\Users\franc\OneDrive\Documentos\MALENTIN KARIME\BANCO ESTADO\2012 DEPTO ESCRITURAS fata\Dc Simples\RESPALDO comp notaria 27_12_12\NOTARIA 2012\PERSONERÍAS\CARGONORTE LTDA.Jaime Alamo.doc", "Abrir Documento")</f>
        <v>0</v>
      </c>
      <c r="D15862" t="s">
        <v>23500</v>
      </c>
      <c r="E15862" t="s">
        <v>38337</v>
      </c>
    </row>
    <row r="15863" spans="1:5">
      <c r="A15863" t="s">
        <v>6</v>
      </c>
      <c r="B15863" t="s">
        <v>15868</v>
      </c>
      <c r="C15863">
        <f>HYPERLINK("C:\Users\franc\OneDrive\Documentos\MALENTIN KARIME\BANCO ESTADO\2012 DEPTO ESCRITURAS fata\Dc Simples\RESPALDO comp notaria 27_12_12\NOTARIA 2012\PERSONERÍAS\CAPSICUM.doc", "Abrir Documento")</f>
        <v>0</v>
      </c>
      <c r="D15863" t="s">
        <v>23500</v>
      </c>
      <c r="E15863" t="s">
        <v>38338</v>
      </c>
    </row>
    <row r="15864" spans="1:5">
      <c r="A15864" t="s">
        <v>6</v>
      </c>
      <c r="B15864" t="s">
        <v>15869</v>
      </c>
      <c r="C15864">
        <f>HYPERLINK("C:\Users\franc\OneDrive\Documentos\MALENTIN KARIME\BANCO ESTADO\2012 DEPTO ESCRITURAS fata\Dc Simples\RESPALDO comp notaria 27_12_12\NOTARIA 2012\PERSONERÍAS\CAPRIGEN LTDA..doc", "Abrir Documento")</f>
        <v>0</v>
      </c>
      <c r="D15864" t="s">
        <v>23500</v>
      </c>
      <c r="E15864" t="s">
        <v>38339</v>
      </c>
    </row>
    <row r="15865" spans="1:5">
      <c r="A15865" t="s">
        <v>6</v>
      </c>
      <c r="B15865" t="s">
        <v>15870</v>
      </c>
      <c r="C15865">
        <f>HYPERLINK("C:\Users\franc\OneDrive\Documentos\MALENTIN KARIME\BANCO ESTADO\2012 DEPTO ESCRITURAS fata\Dc Simples\RESPALDO comp notaria 27_12_12\NOTARIA 2012\PERSONERÍAS\capel.doc", "Abrir Documento")</f>
        <v>0</v>
      </c>
      <c r="D15865" t="s">
        <v>23500</v>
      </c>
      <c r="E15865" t="s">
        <v>38340</v>
      </c>
    </row>
    <row r="15866" spans="1:5">
      <c r="A15866" t="s">
        <v>6</v>
      </c>
      <c r="B15866" t="s">
        <v>15871</v>
      </c>
      <c r="C15866">
        <f>HYPERLINK("C:\Users\franc\OneDrive\Documentos\MALENTIN KARIME\BANCO ESTADO\2012 DEPTO ESCRITURAS fata\Dc Simples\RESPALDO comp notaria 27_12_12\NOTARIA 2012\PERSONERÍAS\CANAL PALQUI MAURAT.doc", "Abrir Documento")</f>
        <v>0</v>
      </c>
      <c r="D15866" t="s">
        <v>23500</v>
      </c>
      <c r="E15866" t="s">
        <v>38341</v>
      </c>
    </row>
    <row r="15867" spans="1:5">
      <c r="A15867" t="s">
        <v>6</v>
      </c>
      <c r="B15867" t="s">
        <v>15872</v>
      </c>
      <c r="C15867">
        <f>HYPERLINK("C:\Users\franc\OneDrive\Documentos\MALENTIN KARIME\BANCO ESTADO\2012 DEPTO ESCRITURAS fata\Dc Simples\RESPALDO comp notaria 27_12_12\NOTARIA 2012\PERSONERÍAS\CANAL CAMARICO.doc", "Abrir Documento")</f>
        <v>0</v>
      </c>
      <c r="D15867" t="s">
        <v>23500</v>
      </c>
      <c r="E15867" t="s">
        <v>38342</v>
      </c>
    </row>
    <row r="15868" spans="1:5">
      <c r="A15868" t="s">
        <v>6</v>
      </c>
      <c r="B15868" t="s">
        <v>15873</v>
      </c>
      <c r="C15868">
        <f>HYPERLINK("C:\Users\franc\OneDrive\Documentos\MALENTIN KARIME\BANCO ESTADO\2012 DEPTO ESCRITURAS fata\Dc Simples\RESPALDO comp notaria 27_12_12\NOTARIA 2012\PERSONERÍAS\CAMINO ALTO LTDA..doc", "Abrir Documento")</f>
        <v>0</v>
      </c>
      <c r="D15868" t="s">
        <v>23500</v>
      </c>
      <c r="E15868" t="s">
        <v>38343</v>
      </c>
    </row>
    <row r="15869" spans="1:5">
      <c r="A15869" t="s">
        <v>6</v>
      </c>
      <c r="B15869" t="s">
        <v>15874</v>
      </c>
      <c r="C15869">
        <f>HYPERLINK("C:\Users\franc\OneDrive\Documentos\MALENTIN KARIME\BANCO ESTADO\2012 DEPTO ESCRITURAS fata\Dc Simples\RESPALDO comp notaria 27_12_12\NOTARIA 2012\PERSONERÍAS\BRÜNDL CONSTRUCCIONES S.A..doc", "Abrir Documento")</f>
        <v>0</v>
      </c>
      <c r="D15869" t="s">
        <v>23500</v>
      </c>
      <c r="E15869" t="s">
        <v>38344</v>
      </c>
    </row>
    <row r="15870" spans="1:5">
      <c r="A15870" t="s">
        <v>6</v>
      </c>
      <c r="B15870" t="s">
        <v>15875</v>
      </c>
      <c r="C15870">
        <f>HYPERLINK("C:\Users\franc\OneDrive\Documentos\MALENTIN KARIME\BANCO ESTADO\2012 DEPTO ESCRITURAS fata\Dc Simples\RESPALDO comp notaria 27_12_12\NOTARIA 2012\PERSONERÍAS\BOZO Y SANDOVAL LTDA..doc", "Abrir Documento")</f>
        <v>0</v>
      </c>
      <c r="D15870" t="s">
        <v>23500</v>
      </c>
      <c r="E15870" t="s">
        <v>38345</v>
      </c>
    </row>
    <row r="15871" spans="1:5">
      <c r="A15871" t="s">
        <v>6</v>
      </c>
      <c r="B15871" t="s">
        <v>15876</v>
      </c>
      <c r="C15871">
        <f>HYPERLINK("C:\Users\franc\OneDrive\Documentos\MALENTIN KARIME\BANCO ESTADO\2012 DEPTO ESCRITURAS fata\Dc Simples\RESPALDO comp notaria 27_12_12\NOTARIA 2012\PERSONERÍAS\BOYENS..doc", "Abrir Documento")</f>
        <v>0</v>
      </c>
      <c r="D15871" t="s">
        <v>23500</v>
      </c>
      <c r="E15871" t="s">
        <v>38346</v>
      </c>
    </row>
    <row r="15872" spans="1:5">
      <c r="A15872" t="s">
        <v>6</v>
      </c>
      <c r="B15872" t="s">
        <v>15877</v>
      </c>
      <c r="C15872">
        <f>HYPERLINK("C:\Users\franc\OneDrive\Documentos\MALENTIN KARIME\BANCO ESTADO\2012 DEPTO ESCRITURAS fata\Dc Simples\RESPALDO comp notaria 27_12_12\NOTARIA 2012\PERSONERÍAS\BOSMAN Y GIOIA LTDA..doc", "Abrir Documento")</f>
        <v>0</v>
      </c>
      <c r="D15872" t="s">
        <v>23500</v>
      </c>
      <c r="E15872" t="s">
        <v>38347</v>
      </c>
    </row>
    <row r="15873" spans="1:5">
      <c r="A15873" t="s">
        <v>6</v>
      </c>
      <c r="B15873" t="s">
        <v>15878</v>
      </c>
      <c r="C15873">
        <f>HYPERLINK("C:\Users\franc\OneDrive\Documentos\MALENTIN KARIME\BANCO ESTADO\2012 DEPTO ESCRITURAS fata\Dc Simples\RESPALDO comp notaria 27_12_12\NOTARIA 2012\PERSONERÍAS\BONANI Y RIVEROS LTDA..doc", "Abrir Documento")</f>
        <v>0</v>
      </c>
      <c r="D15873" t="s">
        <v>23500</v>
      </c>
      <c r="E15873" t="s">
        <v>38348</v>
      </c>
    </row>
    <row r="15874" spans="1:5">
      <c r="A15874" t="s">
        <v>6</v>
      </c>
      <c r="B15874" t="s">
        <v>15879</v>
      </c>
      <c r="C15874">
        <f>HYPERLINK("C:\Users\franc\OneDrive\Documentos\MALENTIN KARIME\BANCO ESTADO\2012 DEPTO ESCRITURAS fata\Dc Simples\RESPALDO comp notaria 27_12_12\NOTARIA 2012\PERSONERÍAS\BAUZA Gabriel Alvarez.doc", "Abrir Documento")</f>
        <v>0</v>
      </c>
      <c r="D15874" t="s">
        <v>23500</v>
      </c>
      <c r="E15874" t="s">
        <v>38349</v>
      </c>
    </row>
    <row r="15875" spans="1:5">
      <c r="A15875" t="s">
        <v>6</v>
      </c>
      <c r="B15875" t="s">
        <v>15880</v>
      </c>
      <c r="C15875">
        <f>HYPERLINK("C:\Users\franc\OneDrive\Documentos\MALENTIN KARIME\BANCO ESTADO\2012 DEPTO ESCRITURAS fata\Dc Simples\RESPALDO comp notaria 27_12_12\NOTARIA 2012\PERSONERÍAS\Autorizo la firma de don JAIME ALBERTO MIÑO GONZALEZ.docx", "Abrir Documento")</f>
        <v>0</v>
      </c>
      <c r="D15875" t="s">
        <v>23501</v>
      </c>
      <c r="E15875" t="s">
        <v>38350</v>
      </c>
    </row>
    <row r="15876" spans="1:5">
      <c r="A15876" t="s">
        <v>6</v>
      </c>
      <c r="B15876" t="s">
        <v>15881</v>
      </c>
      <c r="C15876">
        <f>HYPERLINK("C:\Users\franc\OneDrive\Documentos\MALENTIN KARIME\BANCO ESTADO\2012 DEPTO ESCRITURAS fata\Dc Simples\RESPALDO comp notaria 27_12_12\NOTARIA 2012\PERSONERÍAS\ATRIA ZEPEDA LTDA..doc", "Abrir Documento")</f>
        <v>0</v>
      </c>
      <c r="D15876" t="s">
        <v>23500</v>
      </c>
      <c r="E15876" t="s">
        <v>38351</v>
      </c>
    </row>
    <row r="15877" spans="1:5">
      <c r="A15877" t="s">
        <v>6</v>
      </c>
      <c r="B15877" t="s">
        <v>15882</v>
      </c>
      <c r="C15877">
        <f>HYPERLINK("C:\Users\franc\OneDrive\Documentos\MALENTIN KARIME\BANCO ESTADO\2012 DEPTO ESCRITURAS fata\Dc Simples\RESPALDO comp notaria 27_12_12\NOTARIA 2012\PERSONERÍAS\ASPI LTDA..doc", "Abrir Documento")</f>
        <v>0</v>
      </c>
      <c r="D15877" t="s">
        <v>23500</v>
      </c>
      <c r="E15877" t="s">
        <v>38352</v>
      </c>
    </row>
    <row r="15878" spans="1:5">
      <c r="A15878" t="s">
        <v>6</v>
      </c>
      <c r="B15878" t="s">
        <v>15883</v>
      </c>
      <c r="C15878">
        <f>HYPERLINK("C:\Users\franc\OneDrive\Documentos\MALENTIN KARIME\BANCO ESTADO\2012 DEPTO ESCRITURAS fata\Dc Simples\RESPALDO comp notaria 27_12_12\NOTARIA 2012\PERSONERÍAS\ASOC. GREMIAL MINERA.doc", "Abrir Documento")</f>
        <v>0</v>
      </c>
      <c r="D15878" t="s">
        <v>23500</v>
      </c>
      <c r="E15878" t="s">
        <v>38353</v>
      </c>
    </row>
    <row r="15879" spans="1:5">
      <c r="A15879" t="s">
        <v>6</v>
      </c>
      <c r="B15879" t="s">
        <v>15884</v>
      </c>
      <c r="C15879">
        <f>HYPERLINK("C:\Users\franc\OneDrive\Documentos\MALENTIN KARIME\BANCO ESTADO\2012 DEPTO ESCRITURAS fata\Dc Simples\RESPALDO comp notaria 27_12_12\NOTARIA 2012\PERSONERÍAS\ASOC. CANALISTA DEL CANAL DERIVADO  PUNITAQUI.doc", "Abrir Documento")</f>
        <v>0</v>
      </c>
      <c r="D15879" t="s">
        <v>23500</v>
      </c>
      <c r="E15879" t="s">
        <v>38354</v>
      </c>
    </row>
    <row r="15880" spans="1:5">
      <c r="A15880" t="s">
        <v>6</v>
      </c>
      <c r="B15880" t="s">
        <v>15885</v>
      </c>
      <c r="C15880">
        <f>HYPERLINK("C:\Users\franc\OneDrive\Documentos\MALENTIN KARIME\BANCO ESTADO\2012 DEPTO ESCRITURAS fata\Dc Simples\RESPALDO comp notaria 27_12_12\NOTARIA 2012\PERSONERÍAS\ARKON LTDA..doc", "Abrir Documento")</f>
        <v>0</v>
      </c>
      <c r="D15880" t="s">
        <v>23500</v>
      </c>
      <c r="E15880" t="s">
        <v>38355</v>
      </c>
    </row>
    <row r="15881" spans="1:5">
      <c r="A15881" t="s">
        <v>6</v>
      </c>
      <c r="B15881" t="s">
        <v>15886</v>
      </c>
      <c r="C15881">
        <f>HYPERLINK("C:\Users\franc\OneDrive\Documentos\MALENTIN KARIME\BANCO ESTADO\2012 DEPTO ESCRITURAS fata\Dc Simples\RESPALDO comp notaria 27_12_12\NOTARIA 2012\PERSONERÍAS\ANDALUCIA.doc", "Abrir Documento")</f>
        <v>0</v>
      </c>
      <c r="D15881" t="s">
        <v>23500</v>
      </c>
      <c r="E15881" t="s">
        <v>38356</v>
      </c>
    </row>
    <row r="15882" spans="1:5">
      <c r="A15882" t="s">
        <v>6</v>
      </c>
      <c r="B15882" t="s">
        <v>15887</v>
      </c>
      <c r="C15882">
        <f>HYPERLINK("C:\Users\franc\OneDrive\Documentos\MALENTIN KARIME\BANCO ESTADO\2012 DEPTO ESCRITURAS fata\Dc Simples\RESPALDO comp notaria 27_12_12\NOTARIA 2012\PERSONERÍAS\ANA MARIA BOU PIZARRO E.I.R.L..doc", "Abrir Documento")</f>
        <v>0</v>
      </c>
      <c r="D15882" t="s">
        <v>23500</v>
      </c>
      <c r="E15882" t="s">
        <v>38357</v>
      </c>
    </row>
    <row r="15883" spans="1:5">
      <c r="A15883" t="s">
        <v>6</v>
      </c>
      <c r="B15883" t="s">
        <v>15888</v>
      </c>
      <c r="C15883">
        <f>HYPERLINK("C:\Users\franc\OneDrive\Documentos\MALENTIN KARIME\BANCO ESTADO\2012 DEPTO ESCRITURAS fata\Dc Simples\RESPALDO comp notaria 27_12_12\NOTARIA 2012\PERSONERÍAS\ALTOVALSOL LTDA..doc", "Abrir Documento")</f>
        <v>0</v>
      </c>
      <c r="D15883" t="s">
        <v>23500</v>
      </c>
      <c r="E15883" t="s">
        <v>38358</v>
      </c>
    </row>
    <row r="15884" spans="1:5">
      <c r="A15884" t="s">
        <v>6</v>
      </c>
      <c r="B15884" t="s">
        <v>15889</v>
      </c>
      <c r="C15884">
        <f>HYPERLINK("C:\Users\franc\OneDrive\Documentos\MALENTIN KARIME\BANCO ESTADO\2012 DEPTO ESCRITURAS fata\Dc Simples\RESPALDO comp notaria 27_12_12\NOTARIA 2012\PERSONERÍAS\ALTAZOR LTDA..doc", "Abrir Documento")</f>
        <v>0</v>
      </c>
      <c r="D15884" t="s">
        <v>23500</v>
      </c>
      <c r="E15884" t="s">
        <v>38359</v>
      </c>
    </row>
    <row r="15885" spans="1:5">
      <c r="A15885" t="s">
        <v>6</v>
      </c>
      <c r="B15885" t="s">
        <v>15890</v>
      </c>
      <c r="C15885">
        <f>HYPERLINK("C:\Users\franc\OneDrive\Documentos\MALENTIN KARIME\BANCO ESTADO\2012 DEPTO ESCRITURAS fata\Dc Simples\RESPALDO comp notaria 27_12_12\NOTARIA 2012\PERSONERÍAS\ALTAMIRANO BUONO-CORE.docx", "Abrir Documento")</f>
        <v>0</v>
      </c>
      <c r="D15885" t="s">
        <v>23501</v>
      </c>
      <c r="E15885" t="s">
        <v>38360</v>
      </c>
    </row>
    <row r="15886" spans="1:5">
      <c r="A15886" t="s">
        <v>6</v>
      </c>
      <c r="B15886" t="s">
        <v>15891</v>
      </c>
      <c r="C15886">
        <f>HYPERLINK("C:\Users\franc\OneDrive\Documentos\MALENTIN KARIME\BANCO ESTADO\2012 DEPTO ESCRITURAS fata\Dc Simples\RESPALDO comp notaria 27_12_12\NOTARIA 2012\PERSONERÍAS\ALIANZA CONSULTORES.doc", "Abrir Documento")</f>
        <v>0</v>
      </c>
      <c r="D15886" t="s">
        <v>23500</v>
      </c>
      <c r="E15886" t="s">
        <v>38361</v>
      </c>
    </row>
    <row r="15887" spans="1:5">
      <c r="A15887" t="s">
        <v>6</v>
      </c>
      <c r="B15887" t="s">
        <v>15892</v>
      </c>
      <c r="C15887">
        <f>HYPERLINK("C:\Users\franc\OneDrive\Documentos\MALENTIN KARIME\BANCO ESTADO\2012 DEPTO ESCRITURAS fata\Dc Simples\RESPALDO comp notaria 27_12_12\NOTARIA 2012\PERSONERÍAS\ALFALFARES LTDA..doc", "Abrir Documento")</f>
        <v>0</v>
      </c>
      <c r="D15887" t="s">
        <v>23500</v>
      </c>
      <c r="E15887" t="s">
        <v>38362</v>
      </c>
    </row>
    <row r="15888" spans="1:5">
      <c r="A15888" t="s">
        <v>6</v>
      </c>
      <c r="B15888" t="s">
        <v>15893</v>
      </c>
      <c r="C15888">
        <f>HYPERLINK("C:\Users\franc\OneDrive\Documentos\MALENTIN KARIME\BANCO ESTADO\2012 DEPTO ESCRITURAS fata\Dc Simples\RESPALDO comp notaria 27_12_12\NOTARIA 2012\PERSONERÍAS\ALCIDES NIN.doc", "Abrir Documento")</f>
        <v>0</v>
      </c>
      <c r="D15888" t="s">
        <v>23500</v>
      </c>
      <c r="E15888" t="s">
        <v>38363</v>
      </c>
    </row>
    <row r="15889" spans="1:5">
      <c r="A15889" t="s">
        <v>6</v>
      </c>
      <c r="B15889" t="s">
        <v>15894</v>
      </c>
      <c r="C15889">
        <f>HYPERLINK("C:\Users\franc\OneDrive\Documentos\MALENTIN KARIME\BANCO ESTADO\2012 DEPTO ESCRITURAS fata\Dc Simples\RESPALDO comp notaria 27_12_12\NOTARIA 2012\PERSONERÍAS\ALAMO BLANCO LTDA..doc", "Abrir Documento")</f>
        <v>0</v>
      </c>
      <c r="D15889" t="s">
        <v>23500</v>
      </c>
      <c r="E15889" t="s">
        <v>38364</v>
      </c>
    </row>
    <row r="15890" spans="1:5">
      <c r="A15890" t="s">
        <v>6</v>
      </c>
      <c r="B15890" t="s">
        <v>15895</v>
      </c>
      <c r="C15890">
        <f>HYPERLINK("C:\Users\franc\OneDrive\Documentos\MALENTIN KARIME\BANCO ESTADO\2012 DEPTO ESCRITURAS fata\Dc Simples\RESPALDO comp notaria 27_12_12\NOTARIA 2012\PERSONERÍAS\AIRENORTE LTDA..doc", "Abrir Documento")</f>
        <v>0</v>
      </c>
      <c r="D15890" t="s">
        <v>23500</v>
      </c>
      <c r="E15890" t="s">
        <v>38365</v>
      </c>
    </row>
    <row r="15891" spans="1:5">
      <c r="A15891" t="s">
        <v>6</v>
      </c>
      <c r="B15891" t="s">
        <v>15896</v>
      </c>
      <c r="C15891">
        <f>HYPERLINK("C:\Users\franc\OneDrive\Documentos\MALENTIN KARIME\BANCO ESTADO\2012 DEPTO ESCRITURAS fata\Dc Simples\RESPALDO comp notaria 27_12_12\NOTARIA 2012\PERSONERÍAS\AGRUPACION DISCAPACITADOS GENESIS.doc", "Abrir Documento")</f>
        <v>0</v>
      </c>
      <c r="D15891" t="s">
        <v>23500</v>
      </c>
      <c r="E15891" t="s">
        <v>38366</v>
      </c>
    </row>
    <row r="15892" spans="1:5">
      <c r="A15892" t="s">
        <v>6</v>
      </c>
      <c r="B15892" t="s">
        <v>15897</v>
      </c>
      <c r="C15892">
        <f>HYPERLINK("C:\Users\franc\OneDrive\Documentos\MALENTIN KARIME\BANCO ESTADO\2012 DEPTO ESCRITURAS fata\Dc Simples\RESPALDO comp notaria 27_12_12\NOTARIA 2012\PERSONERÍAS\AGROSERVICIOS.doc", "Abrir Documento")</f>
        <v>0</v>
      </c>
      <c r="D15892" t="s">
        <v>23500</v>
      </c>
      <c r="E15892" t="s">
        <v>38367</v>
      </c>
    </row>
    <row r="15893" spans="1:5">
      <c r="A15893" t="s">
        <v>6</v>
      </c>
      <c r="B15893" t="s">
        <v>15898</v>
      </c>
      <c r="C15893">
        <f>HYPERLINK("C:\Users\franc\OneDrive\Documentos\MALENTIN KARIME\BANCO ESTADO\2012 DEPTO ESCRITURAS fata\Dc Simples\RESPALDO comp notaria 27_12_12\NOTARIA 2012\PERSONERÍAS\AGROMILENIO S.A..doc", "Abrir Documento")</f>
        <v>0</v>
      </c>
      <c r="D15893" t="s">
        <v>23500</v>
      </c>
      <c r="E15893" t="s">
        <v>38368</v>
      </c>
    </row>
    <row r="15894" spans="1:5">
      <c r="A15894" t="s">
        <v>6</v>
      </c>
      <c r="B15894" t="s">
        <v>15899</v>
      </c>
      <c r="C15894">
        <f>HYPERLINK("C:\Users\franc\OneDrive\Documentos\MALENTIN KARIME\BANCO ESTADO\2012 DEPTO ESCRITURAS fata\Dc Simples\RESPALDO comp notaria 27_12_12\NOTARIA 2012\PERSONERÍAS\AGROIND. ALBERTO AGUIRRE LTDA..doc", "Abrir Documento")</f>
        <v>0</v>
      </c>
      <c r="D15894" t="s">
        <v>23500</v>
      </c>
      <c r="E15894" t="s">
        <v>38369</v>
      </c>
    </row>
    <row r="15895" spans="1:5">
      <c r="A15895" t="s">
        <v>6</v>
      </c>
      <c r="B15895" t="s">
        <v>15900</v>
      </c>
      <c r="C15895">
        <f>HYPERLINK("C:\Users\franc\OneDrive\Documentos\MALENTIN KARIME\BANCO ESTADO\2012 DEPTO ESCRITURAS fata\Dc Simples\RESPALDO comp notaria 27_12_12\NOTARIA 2012\PERSONERÍAS\AGROC.SAN ANDRES.doc", "Abrir Documento")</f>
        <v>0</v>
      </c>
      <c r="D15895" t="s">
        <v>23500</v>
      </c>
      <c r="E15895" t="s">
        <v>38370</v>
      </c>
    </row>
    <row r="15896" spans="1:5">
      <c r="A15896" t="s">
        <v>6</v>
      </c>
      <c r="B15896" t="s">
        <v>15901</v>
      </c>
      <c r="C15896">
        <f>HYPERLINK("C:\Users\franc\OneDrive\Documentos\MALENTIN KARIME\BANCO ESTADO\2012 DEPTO ESCRITURAS fata\Dc Simples\RESPALDO comp notaria 27_12_12\NOTARIA 2012\PERSONERÍAS\AGRIVET LTDA..doc", "Abrir Documento")</f>
        <v>0</v>
      </c>
      <c r="D15896" t="s">
        <v>23500</v>
      </c>
      <c r="E15896" t="s">
        <v>38371</v>
      </c>
    </row>
    <row r="15897" spans="1:5">
      <c r="A15897" t="s">
        <v>6</v>
      </c>
      <c r="B15897" t="s">
        <v>15902</v>
      </c>
      <c r="C15897">
        <f>HYPERLINK("C:\Users\franc\OneDrive\Documentos\MALENTIN KARIME\BANCO ESTADO\2012 DEPTO ESCRITURAS fata\Dc Simples\RESPALDO comp notaria 27_12_12\NOTARIA 2012\PERSONERÍAS\AGRICOR S.A..doc", "Abrir Documento")</f>
        <v>0</v>
      </c>
      <c r="D15897" t="s">
        <v>23500</v>
      </c>
      <c r="E15897" t="s">
        <v>38372</v>
      </c>
    </row>
    <row r="15898" spans="1:5">
      <c r="A15898" t="s">
        <v>6</v>
      </c>
      <c r="B15898" t="s">
        <v>15903</v>
      </c>
      <c r="C15898">
        <f>HYPERLINK("C:\Users\franc\OneDrive\Documentos\MALENTIN KARIME\BANCO ESTADO\2012 DEPTO ESCRITURAS fata\Dc Simples\RESPALDO comp notaria 27_12_12\NOTARIA 2012\PERSONERÍAS\AGRICOLA VALLE DEL ALBA.doc", "Abrir Documento")</f>
        <v>0</v>
      </c>
      <c r="D15898" t="s">
        <v>23500</v>
      </c>
      <c r="E15898" t="s">
        <v>38373</v>
      </c>
    </row>
    <row r="15899" spans="1:5">
      <c r="A15899" t="s">
        <v>6</v>
      </c>
      <c r="B15899" t="s">
        <v>15904</v>
      </c>
      <c r="C15899">
        <f>HYPERLINK("C:\Users\franc\OneDrive\Documentos\MALENTIN KARIME\BANCO ESTADO\2012 DEPTO ESCRITURAS fata\Dc Simples\RESPALDO comp notaria 27_12_12\NOTARIA 2012\PERSONERÍAS\AGRICOLA VALDIVIA.doc", "Abrir Documento")</f>
        <v>0</v>
      </c>
      <c r="D15899" t="s">
        <v>23500</v>
      </c>
      <c r="E15899" t="s">
        <v>38374</v>
      </c>
    </row>
    <row r="15900" spans="1:5">
      <c r="A15900" t="s">
        <v>6</v>
      </c>
      <c r="B15900" t="s">
        <v>15905</v>
      </c>
      <c r="C15900">
        <f>HYPERLINK("C:\Users\franc\OneDrive\Documentos\MALENTIN KARIME\BANCO ESTADO\2012 DEPTO ESCRITURAS fata\Dc Simples\RESPALDO comp notaria 27_12_12\NOTARIA 2012\PERSONERÍAS\AGRICOLA SICOR.doc", "Abrir Documento")</f>
        <v>0</v>
      </c>
      <c r="D15900" t="s">
        <v>23500</v>
      </c>
      <c r="E15900" t="s">
        <v>38375</v>
      </c>
    </row>
    <row r="15901" spans="1:5">
      <c r="A15901" t="s">
        <v>6</v>
      </c>
      <c r="B15901" t="s">
        <v>15906</v>
      </c>
      <c r="C15901">
        <f>HYPERLINK("C:\Users\franc\OneDrive\Documentos\MALENTIN KARIME\BANCO ESTADO\2012 DEPTO ESCRITURAS fata\Dc Simples\RESPALDO comp notaria 27_12_12\NOTARIA 2012\PERSONERÍAS\AGRICOLA SANTA JOSEFINA LTDA..doc", "Abrir Documento")</f>
        <v>0</v>
      </c>
      <c r="D15901" t="s">
        <v>23500</v>
      </c>
      <c r="E15901" t="s">
        <v>38376</v>
      </c>
    </row>
    <row r="15902" spans="1:5">
      <c r="A15902" t="s">
        <v>6</v>
      </c>
      <c r="B15902" t="s">
        <v>15907</v>
      </c>
      <c r="C15902">
        <f>HYPERLINK("C:\Users\franc\OneDrive\Documentos\MALENTIN KARIME\BANCO ESTADO\2012 DEPTO ESCRITURAS fata\Dc Simples\RESPALDO comp notaria 27_12_12\NOTARIA 2012\PERSONERÍAS\AGRICOLA SANTA EMILIA LTDA..doc", "Abrir Documento")</f>
        <v>0</v>
      </c>
      <c r="D15902" t="s">
        <v>23500</v>
      </c>
      <c r="E15902" t="s">
        <v>38377</v>
      </c>
    </row>
    <row r="15903" spans="1:5">
      <c r="A15903" t="s">
        <v>6</v>
      </c>
      <c r="B15903" t="s">
        <v>15908</v>
      </c>
      <c r="C15903">
        <f>HYPERLINK("C:\Users\franc\OneDrive\Documentos\MALENTIN KARIME\BANCO ESTADO\2012 DEPTO ESCRITURAS fata\Dc Simples\RESPALDO comp notaria 27_12_12\NOTARIA 2012\PERSONERÍAS\AGRICOLA SAN MARCOS LTDA..doc", "Abrir Documento")</f>
        <v>0</v>
      </c>
      <c r="D15903" t="s">
        <v>23500</v>
      </c>
      <c r="E15903" t="s">
        <v>38378</v>
      </c>
    </row>
    <row r="15904" spans="1:5">
      <c r="A15904" t="s">
        <v>6</v>
      </c>
      <c r="B15904" t="s">
        <v>15909</v>
      </c>
      <c r="C15904">
        <f>HYPERLINK("C:\Users\franc\OneDrive\Documentos\MALENTIN KARIME\BANCO ESTADO\2012 DEPTO ESCRITURAS fata\Dc Simples\RESPALDO comp notaria 27_12_12\NOTARIA 2012\PERSONERÍAS\AGRICOLA SAN FELIPE ORIENTE LTDA..doc", "Abrir Documento")</f>
        <v>0</v>
      </c>
      <c r="D15904" t="s">
        <v>23500</v>
      </c>
      <c r="E15904" t="s">
        <v>38379</v>
      </c>
    </row>
    <row r="15905" spans="1:5">
      <c r="A15905" t="s">
        <v>6</v>
      </c>
      <c r="B15905" t="s">
        <v>15910</v>
      </c>
      <c r="C15905">
        <f>HYPERLINK("C:\Users\franc\OneDrive\Documentos\MALENTIN KARIME\BANCO ESTADO\2012 DEPTO ESCRITURAS fata\Dc Simples\RESPALDO comp notaria 27_12_12\NOTARIA 2012\PERSONERÍAS\AGRICOLA ROSA PALACIOS.doc", "Abrir Documento")</f>
        <v>0</v>
      </c>
      <c r="D15905" t="s">
        <v>23500</v>
      </c>
      <c r="E15905" t="s">
        <v>38380</v>
      </c>
    </row>
    <row r="15906" spans="1:5">
      <c r="A15906" t="s">
        <v>6</v>
      </c>
      <c r="B15906" t="s">
        <v>15911</v>
      </c>
      <c r="C15906">
        <f>HYPERLINK("C:\Users\franc\OneDrive\Documentos\MALENTIN KARIME\BANCO ESTADO\2012 DEPTO ESCRITURAS fata\Dc Simples\RESPALDO comp notaria 27_12_12\NOTARIA 2012\PERSONERÍAS\AGRICOLA RIO NEGRO LTDA..doc", "Abrir Documento")</f>
        <v>0</v>
      </c>
      <c r="D15906" t="s">
        <v>23500</v>
      </c>
      <c r="E15906" t="s">
        <v>38381</v>
      </c>
    </row>
    <row r="15907" spans="1:5">
      <c r="A15907" t="s">
        <v>6</v>
      </c>
      <c r="B15907" t="s">
        <v>15912</v>
      </c>
      <c r="C15907">
        <f>HYPERLINK("C:\Users\franc\OneDrive\Documentos\MALENTIN KARIME\BANCO ESTADO\2012 DEPTO ESCRITURAS fata\Dc Simples\RESPALDO comp notaria 27_12_12\NOTARIA 2012\PERSONERÍAS\AGRICOLA PROFI LTDA..doc", "Abrir Documento")</f>
        <v>0</v>
      </c>
      <c r="D15907" t="s">
        <v>23500</v>
      </c>
      <c r="E15907" t="s">
        <v>38382</v>
      </c>
    </row>
    <row r="15908" spans="1:5">
      <c r="A15908" t="s">
        <v>6</v>
      </c>
      <c r="B15908" t="s">
        <v>15913</v>
      </c>
      <c r="C15908">
        <f>HYPERLINK("C:\Users\franc\OneDrive\Documentos\MALENTIN KARIME\BANCO ESTADO\2012 DEPTO ESCRITURAS fata\Dc Simples\RESPALDO comp notaria 27_12_12\NOTARIA 2012\PERSONERÍAS\AGRICOLA PISCIS.doc", "Abrir Documento")</f>
        <v>0</v>
      </c>
      <c r="D15908" t="s">
        <v>23500</v>
      </c>
      <c r="E15908" t="s">
        <v>38383</v>
      </c>
    </row>
    <row r="15909" spans="1:5">
      <c r="A15909" t="s">
        <v>6</v>
      </c>
      <c r="B15909" t="s">
        <v>15914</v>
      </c>
      <c r="C15909">
        <f>HYPERLINK("C:\Users\franc\OneDrive\Documentos\MALENTIN KARIME\BANCO ESTADO\2012 DEPTO ESCRITURAS fata\Dc Simples\RESPALDO comp notaria 27_12_12\NOTARIA 2012\PERSONERÍAS\AGRICOLA PEDREGAL LTDA..doc", "Abrir Documento")</f>
        <v>0</v>
      </c>
      <c r="D15909" t="s">
        <v>23500</v>
      </c>
      <c r="E15909" t="s">
        <v>38384</v>
      </c>
    </row>
    <row r="15910" spans="1:5">
      <c r="A15910" t="s">
        <v>6</v>
      </c>
      <c r="B15910" t="s">
        <v>15915</v>
      </c>
      <c r="C15910">
        <f>HYPERLINK("C:\Users\franc\OneDrive\Documentos\MALENTIN KARIME\BANCO ESTADO\2012 DEPTO ESCRITURAS fata\Dc Simples\RESPALDO comp notaria 27_12_12\NOTARIA 2012\PERSONERÍAS\AGRICOLA OSVALDO LAGUNAS.doc", "Abrir Documento")</f>
        <v>0</v>
      </c>
      <c r="D15910" t="s">
        <v>23500</v>
      </c>
      <c r="E15910" t="s">
        <v>38385</v>
      </c>
    </row>
    <row r="15911" spans="1:5">
      <c r="A15911" t="s">
        <v>6</v>
      </c>
      <c r="B15911" t="s">
        <v>15916</v>
      </c>
      <c r="C15911">
        <f>HYPERLINK("C:\Users\franc\OneDrive\Documentos\MALENTIN KARIME\BANCO ESTADO\2012 DEPTO ESCRITURAS fata\Dc Simples\RESPALDO comp notaria 27_12_12\NOTARIA 2012\PERSONERÍAS\AGRICOLA MALLORCA S.A..doc", "Abrir Documento")</f>
        <v>0</v>
      </c>
      <c r="D15911" t="s">
        <v>23500</v>
      </c>
      <c r="E15911" t="s">
        <v>38386</v>
      </c>
    </row>
    <row r="15912" spans="1:5">
      <c r="A15912" t="s">
        <v>6</v>
      </c>
      <c r="B15912" t="s">
        <v>15917</v>
      </c>
      <c r="C15912">
        <f>HYPERLINK("C:\Users\franc\OneDrive\Documentos\MALENTIN KARIME\BANCO ESTADO\2012 DEPTO ESCRITURAS fata\Dc Simples\RESPALDO comp notaria 27_12_12\NOTARIA 2012\PERSONERÍAS\AGRICOLA MAL PASO DE LIMARI LTDA..doc", "Abrir Documento")</f>
        <v>0</v>
      </c>
      <c r="D15912" t="s">
        <v>23500</v>
      </c>
      <c r="E15912" t="s">
        <v>38387</v>
      </c>
    </row>
    <row r="15913" spans="1:5">
      <c r="A15913" t="s">
        <v>6</v>
      </c>
      <c r="B15913" t="s">
        <v>15918</v>
      </c>
      <c r="C15913">
        <f>HYPERLINK("C:\Users\franc\OneDrive\Documentos\MALENTIN KARIME\BANCO ESTADO\2012 DEPTO ESCRITURAS fata\Dc Simples\RESPALDO comp notaria 27_12_12\NOTARIA 2012\PERSONERÍAS\AGRICOLA LA VIÑA LTDA..doc", "Abrir Documento")</f>
        <v>0</v>
      </c>
      <c r="D15913" t="s">
        <v>23500</v>
      </c>
      <c r="E15913" t="s">
        <v>38388</v>
      </c>
    </row>
    <row r="15914" spans="1:5">
      <c r="A15914" t="s">
        <v>6</v>
      </c>
      <c r="B15914" t="s">
        <v>15919</v>
      </c>
      <c r="C15914">
        <f>HYPERLINK("C:\Users\franc\OneDrive\Documentos\MALENTIN KARIME\BANCO ESTADO\2012 DEPTO ESCRITURAS fata\Dc Simples\RESPALDO comp notaria 27_12_12\NOTARIA 2012\PERSONERÍAS\AGRICOLA LA GREDA Santiago B.doc", "Abrir Documento")</f>
        <v>0</v>
      </c>
      <c r="D15914" t="s">
        <v>23500</v>
      </c>
      <c r="E15914" t="s">
        <v>38389</v>
      </c>
    </row>
    <row r="15915" spans="1:5">
      <c r="A15915" t="s">
        <v>6</v>
      </c>
      <c r="B15915" t="s">
        <v>15920</v>
      </c>
      <c r="C15915">
        <f>HYPERLINK("C:\Users\franc\OneDrive\Documentos\MALENTIN KARIME\BANCO ESTADO\2012 DEPTO ESCRITURAS fata\Dc Simples\RESPALDO comp notaria 27_12_12\NOTARIA 2012\PERSONERÍAS\AGRICOLA HERZAN LTDA..doc", "Abrir Documento")</f>
        <v>0</v>
      </c>
      <c r="D15915" t="s">
        <v>23500</v>
      </c>
      <c r="E15915" t="s">
        <v>38390</v>
      </c>
    </row>
    <row r="15916" spans="1:5">
      <c r="A15916" t="s">
        <v>6</v>
      </c>
      <c r="B15916" t="s">
        <v>15921</v>
      </c>
      <c r="C15916">
        <f>HYPERLINK("C:\Users\franc\OneDrive\Documentos\MALENTIN KARIME\BANCO ESTADO\2012 DEPTO ESCRITURAS fata\Dc Simples\RESPALDO comp notaria 27_12_12\NOTARIA 2012\PERSONERÍAS\AGRICOLA GUERRERO E HIJO LTDA.doc", "Abrir Documento")</f>
        <v>0</v>
      </c>
      <c r="D15916" t="s">
        <v>23500</v>
      </c>
      <c r="E15916" t="s">
        <v>38391</v>
      </c>
    </row>
    <row r="15917" spans="1:5">
      <c r="A15917" t="s">
        <v>6</v>
      </c>
      <c r="B15917" t="s">
        <v>15922</v>
      </c>
      <c r="C15917">
        <f>HYPERLINK("C:\Users\franc\OneDrive\Documentos\MALENTIN KARIME\BANCO ESTADO\2012 DEPTO ESCRITURAS fata\Dc Simples\RESPALDO comp notaria 27_12_12\NOTARIA 2012\PERSONERÍAS\AGRICOLA EL PARRON.doc", "Abrir Documento")</f>
        <v>0</v>
      </c>
      <c r="D15917" t="s">
        <v>23500</v>
      </c>
      <c r="E15917" t="s">
        <v>38392</v>
      </c>
    </row>
    <row r="15918" spans="1:5">
      <c r="A15918" t="s">
        <v>6</v>
      </c>
      <c r="B15918" t="s">
        <v>15923</v>
      </c>
      <c r="C15918">
        <f>HYPERLINK("C:\Users\franc\OneDrive\Documentos\MALENTIN KARIME\BANCO ESTADO\2012 DEPTO ESCRITURAS fata\Dc Simples\RESPALDO comp notaria 27_12_12\NOTARIA 2012\PERSONERÍAS\AGRICOLA EL MIRADOR ORIENTE.doc", "Abrir Documento")</f>
        <v>0</v>
      </c>
      <c r="D15918" t="s">
        <v>23500</v>
      </c>
      <c r="E15918" t="s">
        <v>38393</v>
      </c>
    </row>
    <row r="15919" spans="1:5">
      <c r="A15919" t="s">
        <v>6</v>
      </c>
      <c r="B15919" t="s">
        <v>15924</v>
      </c>
      <c r="C15919">
        <f>HYPERLINK("C:\Users\franc\OneDrive\Documentos\MALENTIN KARIME\BANCO ESTADO\2012 DEPTO ESCRITURAS fata\Dc Simples\RESPALDO comp notaria 27_12_12\NOTARIA 2012\PERSONERÍAS\AGRICOLA EL LLANO LTDA..doc", "Abrir Documento")</f>
        <v>0</v>
      </c>
      <c r="D15919" t="s">
        <v>23500</v>
      </c>
      <c r="E15919" t="s">
        <v>38394</v>
      </c>
    </row>
    <row r="15920" spans="1:5">
      <c r="A15920" t="s">
        <v>6</v>
      </c>
      <c r="B15920" t="s">
        <v>15925</v>
      </c>
      <c r="C15920">
        <f>HYPERLINK("C:\Users\franc\OneDrive\Documentos\MALENTIN KARIME\BANCO ESTADO\2012 DEPTO ESCRITURAS fata\Dc Simples\RESPALDO comp notaria 27_12_12\NOTARIA 2012\PERSONERÍAS\AGRICOLA EL CHAÑAR DE RIO HURTADO.doc", "Abrir Documento")</f>
        <v>0</v>
      </c>
      <c r="D15920" t="s">
        <v>23500</v>
      </c>
      <c r="E15920" t="s">
        <v>38395</v>
      </c>
    </row>
    <row r="15921" spans="1:5">
      <c r="A15921" t="s">
        <v>6</v>
      </c>
      <c r="B15921" t="s">
        <v>15926</v>
      </c>
      <c r="C15921">
        <f>HYPERLINK("C:\Users\franc\OneDrive\Documentos\MALENTIN KARIME\BANCO ESTADO\2012 DEPTO ESCRITURAS fata\Dc Simples\RESPALDO comp notaria 27_12_12\NOTARIA 2012\PERSONERÍAS\AGRICOLA E INV. LAS NIETAS LTDA..doc", "Abrir Documento")</f>
        <v>0</v>
      </c>
      <c r="D15921" t="s">
        <v>23500</v>
      </c>
      <c r="E15921" t="s">
        <v>38396</v>
      </c>
    </row>
    <row r="15922" spans="1:5">
      <c r="A15922" t="s">
        <v>6</v>
      </c>
      <c r="B15922" t="s">
        <v>15927</v>
      </c>
      <c r="C15922">
        <f>HYPERLINK("C:\Users\franc\OneDrive\Documentos\MALENTIN KARIME\BANCO ESTADO\2012 DEPTO ESCRITURAS fata\Dc Simples\RESPALDO comp notaria 27_12_12\NOTARIA 2012\PERSONERÍAS\AGRICOLA CERRO NEGRO LTDA..doc", "Abrir Documento")</f>
        <v>0</v>
      </c>
      <c r="D15922" t="s">
        <v>23500</v>
      </c>
      <c r="E15922" t="s">
        <v>38397</v>
      </c>
    </row>
    <row r="15923" spans="1:5">
      <c r="A15923" t="s">
        <v>6</v>
      </c>
      <c r="B15923" t="s">
        <v>15928</v>
      </c>
      <c r="C15923">
        <f>HYPERLINK("C:\Users\franc\OneDrive\Documentos\MALENTIN KARIME\BANCO ESTADO\2012 DEPTO ESCRITURAS fata\Dc Simples\RESPALDO comp notaria 27_12_12\NOTARIA 2012\PERSONERÍAS\AGRICOLA BOU DE RAPEL LTDA..doc", "Abrir Documento")</f>
        <v>0</v>
      </c>
      <c r="D15923" t="s">
        <v>23500</v>
      </c>
      <c r="E15923" t="s">
        <v>38398</v>
      </c>
    </row>
    <row r="15924" spans="1:5">
      <c r="A15924" t="s">
        <v>6</v>
      </c>
      <c r="B15924" t="s">
        <v>15929</v>
      </c>
      <c r="C15924">
        <f>HYPERLINK("C:\Users\franc\OneDrive\Documentos\MALENTIN KARIME\BANCO ESTADO\2012 DEPTO ESCRITURAS fata\Dc Simples\RESPALDO comp notaria 27_12_12\NOTARIA 2012\PERSONERÍAS\AGRICOLA ALFONSO LTDA..doc", "Abrir Documento")</f>
        <v>0</v>
      </c>
      <c r="D15924" t="s">
        <v>23500</v>
      </c>
      <c r="E15924" t="s">
        <v>38399</v>
      </c>
    </row>
    <row r="15925" spans="1:5">
      <c r="A15925" t="s">
        <v>6</v>
      </c>
      <c r="B15925" t="s">
        <v>15930</v>
      </c>
      <c r="C15925">
        <f>HYPERLINK("C:\Users\franc\OneDrive\Documentos\MALENTIN KARIME\BANCO ESTADO\2012 DEPTO ESCRITURAS fata\Dc Simples\RESPALDO comp notaria 27_12_12\NOTARIA 2012\PERSONERÍAS\AGRICOLA AGUSTIN ARAYA.doc", "Abrir Documento")</f>
        <v>0</v>
      </c>
      <c r="D15925" t="s">
        <v>23500</v>
      </c>
      <c r="E15925" t="s">
        <v>38400</v>
      </c>
    </row>
    <row r="15926" spans="1:5">
      <c r="A15926" t="s">
        <v>6</v>
      </c>
      <c r="B15926" t="s">
        <v>15931</v>
      </c>
      <c r="C15926">
        <f>HYPERLINK("C:\Users\franc\OneDrive\Documentos\MALENTIN KARIME\BANCO ESTADO\2012 DEPTO ESCRITURAS fata\Dc Simples\RESPALDO comp notaria 27_12_12\NOTARIA 2012\PERSONERÍAS\AGRIC.JUANA GONZALEZ.doc", "Abrir Documento")</f>
        <v>0</v>
      </c>
      <c r="D15926" t="s">
        <v>23500</v>
      </c>
      <c r="E15926" t="s">
        <v>38401</v>
      </c>
    </row>
    <row r="15927" spans="1:5">
      <c r="A15927" t="s">
        <v>6</v>
      </c>
      <c r="B15927" t="s">
        <v>15932</v>
      </c>
      <c r="C15927">
        <f>HYPERLINK("C:\Users\franc\OneDrive\Documentos\MALENTIN KARIME\BANCO ESTADO\2012 DEPTO ESCRITURAS fata\Dc Simples\RESPALDO comp notaria 27_12_12\NOTARIA 2012\PERSONERÍAS\AGRIC. Y COM. BOU Y CIA.LTDA..doc", "Abrir Documento")</f>
        <v>0</v>
      </c>
      <c r="D15927" t="s">
        <v>23500</v>
      </c>
      <c r="E15927" t="s">
        <v>38402</v>
      </c>
    </row>
    <row r="15928" spans="1:5">
      <c r="A15928" t="s">
        <v>6</v>
      </c>
      <c r="B15928" t="s">
        <v>15933</v>
      </c>
      <c r="C15928">
        <f>HYPERLINK("C:\Users\franc\OneDrive\Documentos\MALENTIN KARIME\BANCO ESTADO\2012 DEPTO ESCRITURAS fata\Dc Simples\RESPALDO comp notaria 27_12_12\NOTARIA 2012\PERSONERÍAS\AGRIC. SEGUNDA CAREN LTDA..doc", "Abrir Documento")</f>
        <v>0</v>
      </c>
      <c r="D15928" t="s">
        <v>23500</v>
      </c>
      <c r="E15928" t="s">
        <v>38403</v>
      </c>
    </row>
    <row r="15929" spans="1:5">
      <c r="A15929" t="s">
        <v>6</v>
      </c>
      <c r="B15929" t="s">
        <v>15934</v>
      </c>
      <c r="C15929">
        <f>HYPERLINK("C:\Users\franc\OneDrive\Documentos\MALENTIN KARIME\BANCO ESTADO\2012 DEPTO ESCRITURAS fata\Dc Simples\RESPALDO comp notaria 27_12_12\NOTARIA 2012\PERSONERÍAS\AGRIC. RIO NOS LTDA..doc", "Abrir Documento")</f>
        <v>0</v>
      </c>
      <c r="D15929" t="s">
        <v>23500</v>
      </c>
      <c r="E15929" t="s">
        <v>38404</v>
      </c>
    </row>
    <row r="15930" spans="1:5">
      <c r="A15930" t="s">
        <v>6</v>
      </c>
      <c r="B15930" t="s">
        <v>15935</v>
      </c>
      <c r="C15930">
        <f>HYPERLINK("C:\Users\franc\OneDrive\Documentos\MALENTIN KARIME\BANCO ESTADO\2012 DEPTO ESCRITURAS fata\Dc Simples\RESPALDO comp notaria 27_12_12\NOTARIA 2012\PERSONERÍAS\AGRIC. MOSTAZAL ORIENTE LTDA..doc", "Abrir Documento")</f>
        <v>0</v>
      </c>
      <c r="D15930" t="s">
        <v>23500</v>
      </c>
      <c r="E15930" t="s">
        <v>38405</v>
      </c>
    </row>
    <row r="15931" spans="1:5">
      <c r="A15931" t="s">
        <v>6</v>
      </c>
      <c r="B15931" t="s">
        <v>15936</v>
      </c>
      <c r="C15931">
        <f>HYPERLINK("C:\Users\franc\OneDrive\Documentos\MALENTIN KARIME\BANCO ESTADO\2012 DEPTO ESCRITURAS fata\Dc Simples\RESPALDO comp notaria 27_12_12\NOTARIA 2012\PERSONERÍAS\AGRIC. INV. VARELA LTDA..doc", "Abrir Documento")</f>
        <v>0</v>
      </c>
      <c r="D15931" t="s">
        <v>23500</v>
      </c>
      <c r="E15931" t="s">
        <v>38406</v>
      </c>
    </row>
    <row r="15932" spans="1:5">
      <c r="A15932" t="s">
        <v>6</v>
      </c>
      <c r="B15932" t="s">
        <v>15937</v>
      </c>
      <c r="C15932">
        <f>HYPERLINK("C:\Users\franc\OneDrive\Documentos\MALENTIN KARIME\BANCO ESTADO\2012 DEPTO ESCRITURAS fata\Dc Simples\RESPALDO comp notaria 27_12_12\NOTARIA 2012\PERSONERÍAS\AGRIC. E INVERS.JUAN PABLO LTDA..doc", "Abrir Documento")</f>
        <v>0</v>
      </c>
      <c r="D15932" t="s">
        <v>23500</v>
      </c>
      <c r="E15932" t="s">
        <v>38407</v>
      </c>
    </row>
    <row r="15933" spans="1:5">
      <c r="A15933" t="s">
        <v>6</v>
      </c>
      <c r="B15933" t="s">
        <v>15938</v>
      </c>
      <c r="C15933">
        <f>HYPERLINK("C:\Users\franc\OneDrive\Documentos\MALENTIN KARIME\BANCO ESTADO\2012 DEPTO ESCRITURAS fata\Dc Simples\RESPALDO comp notaria 27_12_12\NOTARIA 2012\PERSONERÍAS\AGRIC. AMABLE BARRAZA.doc", "Abrir Documento")</f>
        <v>0</v>
      </c>
      <c r="D15933" t="s">
        <v>23500</v>
      </c>
      <c r="E15933" t="s">
        <v>38408</v>
      </c>
    </row>
    <row r="15934" spans="1:5">
      <c r="A15934" t="s">
        <v>6</v>
      </c>
      <c r="B15934" t="s">
        <v>15939</v>
      </c>
      <c r="C15934">
        <f>HYPERLINK("C:\Users\franc\OneDrive\Documentos\MALENTIN KARIME\BANCO ESTADO\2012 DEPTO ESCRITURAS fata\Dc Simples\RESPALDO comp notaria 27_12_12\NOTARIA 2012\PERSONERÍAS\ADMINISTRADORA DE CREDITOS LTDA..doc", "Abrir Documento")</f>
        <v>0</v>
      </c>
      <c r="D15934" t="s">
        <v>23500</v>
      </c>
      <c r="E15934" t="s">
        <v>38409</v>
      </c>
    </row>
    <row r="15935" spans="1:5">
      <c r="A15935" t="s">
        <v>6</v>
      </c>
      <c r="B15935" t="s">
        <v>15940</v>
      </c>
      <c r="C15935">
        <f>HYPERLINK("C:\Users\franc\OneDrive\Documentos\MALENTIN KARIME\BANCO ESTADO\2012 DEPTO ESCRITURAS fata\Dc Simples\RESPALDO comp notaria 27_12_12\NOTARIA 2012\PERSONERÍAS\ADM. CREDITOS LTDA.Arturo.doc", "Abrir Documento")</f>
        <v>0</v>
      </c>
      <c r="D15935" t="s">
        <v>23500</v>
      </c>
      <c r="E15935" t="s">
        <v>38410</v>
      </c>
    </row>
    <row r="15936" spans="1:5">
      <c r="A15936" t="s">
        <v>6</v>
      </c>
      <c r="B15936" t="s">
        <v>15941</v>
      </c>
      <c r="C15936">
        <f>HYPERLINK("C:\Users\franc\OneDrive\Documentos\MALENTIN KARIME\BANCO ESTADO\2012 DEPTO ESCRITURAS fata\Dc Simples\RESPALDO comp notaria 27_12_12\NOTARIA 2012\PERSONERÍAS\ACCION CONSULTORES LTDA..doc", "Abrir Documento")</f>
        <v>0</v>
      </c>
      <c r="D15936" t="s">
        <v>23500</v>
      </c>
      <c r="E15936" t="s">
        <v>38411</v>
      </c>
    </row>
    <row r="15937" spans="1:5">
      <c r="A15937" t="s">
        <v>6</v>
      </c>
      <c r="B15937" t="s">
        <v>15942</v>
      </c>
      <c r="C15937">
        <f>HYPERLINK("C:\Users\franc\OneDrive\Documentos\MALENTIN KARIME\BANCO ESTADO\2012 DEPTO ESCRITURAS fata\Dc Simples\RESPALDO comp notaria 27_12_12\NOTARIA 2012\MINAS\YUBI 1AL 10.doc", "Abrir Documento")</f>
        <v>0</v>
      </c>
      <c r="D15937" t="s">
        <v>23500</v>
      </c>
      <c r="E15937" t="s">
        <v>38412</v>
      </c>
    </row>
    <row r="15938" spans="1:5">
      <c r="A15938" t="s">
        <v>6</v>
      </c>
      <c r="B15938" t="s">
        <v>15943</v>
      </c>
      <c r="C15938">
        <f>HYPERLINK("C:\Users\franc\OneDrive\Documentos\MALENTIN KARIME\BANCO ESTADO\2012 DEPTO ESCRITURAS fata\Dc Simples\RESPALDO comp notaria 27_12_12\NOTARIA 2012\MINAS\YIYO.doc", "Abrir Documento")</f>
        <v>0</v>
      </c>
      <c r="D15938" t="s">
        <v>23500</v>
      </c>
      <c r="E15938" t="s">
        <v>38413</v>
      </c>
    </row>
    <row r="15939" spans="1:5">
      <c r="A15939" t="s">
        <v>6</v>
      </c>
      <c r="B15939" t="s">
        <v>15944</v>
      </c>
      <c r="C15939">
        <f>HYPERLINK("C:\Users\franc\OneDrive\Documentos\MALENTIN KARIME\BANCO ESTADO\2012 DEPTO ESCRITURAS fata\Dc Simples\RESPALDO comp notaria 27_12_12\NOTARIA 2012\MINAS\VICTORIA I-10.doc", "Abrir Documento")</f>
        <v>0</v>
      </c>
      <c r="D15939" t="s">
        <v>23500</v>
      </c>
      <c r="E15939" t="s">
        <v>38414</v>
      </c>
    </row>
    <row r="15940" spans="1:5">
      <c r="A15940" t="s">
        <v>6</v>
      </c>
      <c r="B15940" t="s">
        <v>15945</v>
      </c>
      <c r="C15940">
        <f>HYPERLINK("C:\Users\franc\OneDrive\Documentos\MALENTIN KARIME\BANCO ESTADO\2012 DEPTO ESCRITURAS fata\Dc Simples\RESPALDO comp notaria 27_12_12\NOTARIA 2012\MINAS\VICTORIA 1-8.doc", "Abrir Documento")</f>
        <v>0</v>
      </c>
      <c r="D15940" t="s">
        <v>23500</v>
      </c>
      <c r="E15940" t="s">
        <v>38415</v>
      </c>
    </row>
    <row r="15941" spans="1:5">
      <c r="A15941" t="s">
        <v>6</v>
      </c>
      <c r="B15941" t="s">
        <v>15946</v>
      </c>
      <c r="C15941">
        <f>HYPERLINK("C:\Users\franc\OneDrive\Documentos\MALENTIN KARIME\BANCO ESTADO\2012 DEPTO ESCRITURAS fata\Dc Simples\RESPALDO comp notaria 27_12_12\NOTARIA 2012\MINAS\VENTA ESCORIA.doc", "Abrir Documento")</f>
        <v>0</v>
      </c>
      <c r="D15941" t="s">
        <v>23500</v>
      </c>
      <c r="E15941" t="s">
        <v>38416</v>
      </c>
    </row>
    <row r="15942" spans="1:5">
      <c r="A15942" t="s">
        <v>6</v>
      </c>
      <c r="B15942" t="s">
        <v>15947</v>
      </c>
      <c r="C15942">
        <f>HYPERLINK("C:\Users\franc\OneDrive\Documentos\MALENTIN KARIME\BANCO ESTADO\2012 DEPTO ESCRITURAS fata\Dc Simples\RESPALDO comp notaria 27_12_12\NOTARIA 2012\MINAS\VENCEDORA UNO AL SIETE.doc", "Abrir Documento")</f>
        <v>0</v>
      </c>
      <c r="D15942" t="s">
        <v>23500</v>
      </c>
      <c r="E15942" t="s">
        <v>38417</v>
      </c>
    </row>
    <row r="15943" spans="1:5">
      <c r="A15943" t="s">
        <v>6</v>
      </c>
      <c r="B15943" t="s">
        <v>15948</v>
      </c>
      <c r="C15943">
        <f>HYPERLINK("C:\Users\franc\OneDrive\Documentos\MALENTIN KARIME\BANCO ESTADO\2012 DEPTO ESCRITURAS fata\Dc Simples\RESPALDO comp notaria 27_12_12\NOTARIA 2012\MINAS\VENCEDORA A PEDRO SEGOVIA.DOC", "Abrir Documento")</f>
        <v>0</v>
      </c>
      <c r="D15943" t="s">
        <v>23500</v>
      </c>
      <c r="E15943" t="s">
        <v>38418</v>
      </c>
    </row>
    <row r="15944" spans="1:5">
      <c r="A15944" t="s">
        <v>6</v>
      </c>
      <c r="B15944" t="s">
        <v>15949</v>
      </c>
      <c r="C15944">
        <f>HYPERLINK("C:\Users\franc\OneDrive\Documentos\MALENTIN KARIME\BANCO ESTADO\2012 DEPTO ESCRITURAS fata\Dc Simples\RESPALDO comp notaria 27_12_12\NOTARIA 2012\MINAS\VARIOLA RENACIENTE.doc", "Abrir Documento")</f>
        <v>0</v>
      </c>
      <c r="D15944" t="s">
        <v>23500</v>
      </c>
      <c r="E15944" t="s">
        <v>38419</v>
      </c>
    </row>
    <row r="15945" spans="1:5">
      <c r="A15945" t="s">
        <v>6</v>
      </c>
      <c r="B15945" t="s">
        <v>15950</v>
      </c>
      <c r="C15945">
        <f>HYPERLINK("C:\Users\franc\OneDrive\Documentos\MALENTIN KARIME\BANCO ESTADO\2012 DEPTO ESCRITURAS fata\Dc Simples\RESPALDO comp notaria 27_12_12\NOTARIA 2012\MINAS\VALLECITO I.doc", "Abrir Documento")</f>
        <v>0</v>
      </c>
      <c r="D15945" t="s">
        <v>23500</v>
      </c>
      <c r="E15945" t="s">
        <v>38420</v>
      </c>
    </row>
    <row r="15946" spans="1:5">
      <c r="A15946" t="s">
        <v>6</v>
      </c>
      <c r="B15946" t="s">
        <v>15951</v>
      </c>
      <c r="C15946">
        <f>HYPERLINK("C:\Users\franc\OneDrive\Documentos\MALENTIN KARIME\BANCO ESTADO\2012 DEPTO ESCRITURAS fata\Dc Simples\RESPALDO comp notaria 27_12_12\NOTARIA 2012\MINAS\TRES AMIGOS.doc", "Abrir Documento")</f>
        <v>0</v>
      </c>
      <c r="D15946" t="s">
        <v>23500</v>
      </c>
      <c r="E15946" t="s">
        <v>38421</v>
      </c>
    </row>
    <row r="15947" spans="1:5">
      <c r="A15947" t="s">
        <v>6</v>
      </c>
      <c r="B15947" t="s">
        <v>15952</v>
      </c>
      <c r="C15947">
        <f>HYPERLINK("C:\Users\franc\OneDrive\Documentos\MALENTIN KARIME\BANCO ESTADO\2012 DEPTO ESCRITURAS fata\Dc Simples\RESPALDO comp notaria 27_12_12\NOTARIA 2012\MINAS\TRES AMIGOS 1 AL 18.doc", "Abrir Documento")</f>
        <v>0</v>
      </c>
      <c r="D15947" t="s">
        <v>23500</v>
      </c>
      <c r="E15947" t="s">
        <v>38422</v>
      </c>
    </row>
    <row r="15948" spans="1:5">
      <c r="A15948" t="s">
        <v>6</v>
      </c>
      <c r="B15948" t="s">
        <v>15953</v>
      </c>
      <c r="C15948">
        <f>HYPERLINK("C:\Users\franc\OneDrive\Documentos\MALENTIN KARIME\BANCO ESTADO\2012 DEPTO ESCRITURAS fata\Dc Simples\RESPALDO comp notaria 27_12_12\NOTARIA 2012\MINAS\SUBARRENDAMIENTO.doc", "Abrir Documento")</f>
        <v>0</v>
      </c>
      <c r="D15948" t="s">
        <v>23500</v>
      </c>
      <c r="E15948" t="s">
        <v>38423</v>
      </c>
    </row>
    <row r="15949" spans="1:5">
      <c r="A15949" t="s">
        <v>6</v>
      </c>
      <c r="B15949" t="s">
        <v>15954</v>
      </c>
      <c r="C15949">
        <f>HYPERLINK("C:\Users\franc\OneDrive\Documentos\MALENTIN KARIME\BANCO ESTADO\2012 DEPTO ESCRITURAS fata\Dc Simples\RESPALDO comp notaria 27_12_12\NOTARIA 2012\MINAS\SUBARRENDAMIENTO MINERO.doc", "Abrir Documento")</f>
        <v>0</v>
      </c>
      <c r="D15949" t="s">
        <v>23500</v>
      </c>
      <c r="E15949" t="s">
        <v>38424</v>
      </c>
    </row>
    <row r="15950" spans="1:5">
      <c r="A15950" t="s">
        <v>6</v>
      </c>
      <c r="B15950" t="s">
        <v>15955</v>
      </c>
      <c r="C15950">
        <f>HYPERLINK("C:\Users\franc\OneDrive\Documentos\MALENTIN KARIME\BANCO ESTADO\2012 DEPTO ESCRITURAS fata\Dc Simples\RESPALDO comp notaria 27_12_12\NOTARIA 2012\MINAS\SUBARRENDAMIENTO MANUEL.doc", "Abrir Documento")</f>
        <v>0</v>
      </c>
      <c r="D15950" t="s">
        <v>23500</v>
      </c>
      <c r="E15950" t="s">
        <v>38425</v>
      </c>
    </row>
    <row r="15951" spans="1:5">
      <c r="A15951" t="s">
        <v>6</v>
      </c>
      <c r="B15951" t="s">
        <v>15956</v>
      </c>
      <c r="C15951">
        <f>HYPERLINK("C:\Users\franc\OneDrive\Documentos\MALENTIN KARIME\BANCO ESTADO\2012 DEPTO ESCRITURAS fata\Dc Simples\RESPALDO comp notaria 27_12_12\NOTARIA 2012\MINAS\SUBARRENDAMIENTO LINO.doc", "Abrir Documento")</f>
        <v>0</v>
      </c>
      <c r="D15951" t="s">
        <v>23500</v>
      </c>
      <c r="E15951" t="s">
        <v>38426</v>
      </c>
    </row>
    <row r="15952" spans="1:5">
      <c r="A15952" t="s">
        <v>6</v>
      </c>
      <c r="B15952" t="s">
        <v>15957</v>
      </c>
      <c r="C15952">
        <f>HYPERLINK("C:\Users\franc\OneDrive\Documentos\MALENTIN KARIME\BANCO ESTADO\2012 DEPTO ESCRITURAS fata\Dc Simples\RESPALDO comp notaria 27_12_12\NOTARIA 2012\MINAS\SUBARRENDAMIENTO CARLOS BUGUEÑO.doc", "Abrir Documento")</f>
        <v>0</v>
      </c>
      <c r="D15952" t="s">
        <v>23500</v>
      </c>
      <c r="E15952" t="s">
        <v>38427</v>
      </c>
    </row>
    <row r="15953" spans="1:5">
      <c r="A15953" t="s">
        <v>6</v>
      </c>
      <c r="B15953" t="s">
        <v>15958</v>
      </c>
      <c r="C15953">
        <f>HYPERLINK("C:\Users\franc\OneDrive\Documentos\MALENTIN KARIME\BANCO ESTADO\2012 DEPTO ESCRITURAS fata\Dc Simples\RESPALDO comp notaria 27_12_12\NOTARIA 2012\MINAS\SUBARR.EXPLOTADORA.doc", "Abrir Documento")</f>
        <v>0</v>
      </c>
      <c r="D15953" t="s">
        <v>23500</v>
      </c>
      <c r="E15953" t="s">
        <v>38428</v>
      </c>
    </row>
    <row r="15954" spans="1:5">
      <c r="A15954" t="s">
        <v>6</v>
      </c>
      <c r="B15954" t="s">
        <v>15959</v>
      </c>
      <c r="C15954">
        <f>HYPERLINK("C:\Users\franc\OneDrive\Documentos\MALENTIN KARIME\BANCO ESTADO\2012 DEPTO ESCRITURAS fata\Dc Simples\RESPALDO comp notaria 27_12_12\NOTARIA 2012\MINAS\SUBARR. LUIS CARRASCO.doc", "Abrir Documento")</f>
        <v>0</v>
      </c>
      <c r="D15954" t="s">
        <v>23500</v>
      </c>
      <c r="E15954" t="s">
        <v>38429</v>
      </c>
    </row>
    <row r="15955" spans="1:5">
      <c r="A15955" t="s">
        <v>6</v>
      </c>
      <c r="B15955" t="s">
        <v>15960</v>
      </c>
      <c r="C15955">
        <f>HYPERLINK("C:\Users\franc\OneDrive\Documentos\MALENTIN KARIME\BANCO ESTADO\2012 DEPTO ESCRITURAS fata\Dc Simples\RESPALDO comp notaria 27_12_12\NOTARIA 2012\MINAS\SUB. XAVIER.doc", "Abrir Documento")</f>
        <v>0</v>
      </c>
      <c r="D15955" t="s">
        <v>23500</v>
      </c>
      <c r="E15955" t="s">
        <v>38430</v>
      </c>
    </row>
    <row r="15956" spans="1:5">
      <c r="A15956" t="s">
        <v>6</v>
      </c>
      <c r="B15956" t="s">
        <v>15961</v>
      </c>
      <c r="C15956">
        <f>HYPERLINK("C:\Users\franc\OneDrive\Documentos\MALENTIN KARIME\BANCO ESTADO\2012 DEPTO ESCRITURAS fata\Dc Simples\RESPALDO comp notaria 27_12_12\NOTARIA 2012\MINAS\SUB. XAVIER a JIMMY.doc", "Abrir Documento")</f>
        <v>0</v>
      </c>
      <c r="D15956" t="s">
        <v>23500</v>
      </c>
      <c r="E15956" t="s">
        <v>38431</v>
      </c>
    </row>
    <row r="15957" spans="1:5">
      <c r="A15957" t="s">
        <v>6</v>
      </c>
      <c r="B15957" t="s">
        <v>15962</v>
      </c>
      <c r="C15957">
        <f>HYPERLINK("C:\Users\franc\OneDrive\Documentos\MALENTIN KARIME\BANCO ESTADO\2012 DEPTO ESCRITURAS fata\Dc Simples\RESPALDO comp notaria 27_12_12\NOTARIA 2012\MINAS\STOCK 1 AL 5.doc", "Abrir Documento")</f>
        <v>0</v>
      </c>
      <c r="D15957" t="s">
        <v>23500</v>
      </c>
      <c r="E15957" t="s">
        <v>38432</v>
      </c>
    </row>
    <row r="15958" spans="1:5">
      <c r="A15958" t="s">
        <v>6</v>
      </c>
      <c r="B15958" t="s">
        <v>15963</v>
      </c>
      <c r="C15958">
        <f>HYPERLINK("C:\Users\franc\OneDrive\Documentos\MALENTIN KARIME\BANCO ESTADO\2012 DEPTO ESCRITURAS fata\Dc Simples\RESPALDO comp notaria 27_12_12\NOTARIA 2012\MINAS\SOLEDAD 1 AL 10.doc", "Abrir Documento")</f>
        <v>0</v>
      </c>
      <c r="D15958" t="s">
        <v>23500</v>
      </c>
      <c r="E15958" t="s">
        <v>38433</v>
      </c>
    </row>
    <row r="15959" spans="1:5">
      <c r="A15959" t="s">
        <v>6</v>
      </c>
      <c r="B15959" t="s">
        <v>15964</v>
      </c>
      <c r="C15959">
        <f>HYPERLINK("C:\Users\franc\OneDrive\Documentos\MALENTIN KARIME\BANCO ESTADO\2012 DEPTO ESCRITURAS fata\Dc Simples\RESPALDO comp notaria 27_12_12\NOTARIA 2012\MINAS\SLM. LA RESAGADA.doc", "Abrir Documento")</f>
        <v>0</v>
      </c>
      <c r="D15959" t="s">
        <v>23500</v>
      </c>
      <c r="E15959" t="s">
        <v>38434</v>
      </c>
    </row>
    <row r="15960" spans="1:5">
      <c r="A15960" t="s">
        <v>6</v>
      </c>
      <c r="B15960" t="s">
        <v>15965</v>
      </c>
      <c r="C15960">
        <f>HYPERLINK("C:\Users\franc\OneDrive\Documentos\MALENTIN KARIME\BANCO ESTADO\2012 DEPTO ESCRITURAS fata\Dc Simples\RESPALDO comp notaria 27_12_12\NOTARIA 2012\MINAS\SLM PRODIGA A XAVIER.DOC", "Abrir Documento")</f>
        <v>0</v>
      </c>
      <c r="D15960" t="s">
        <v>23500</v>
      </c>
      <c r="E15960" t="s">
        <v>38435</v>
      </c>
    </row>
    <row r="15961" spans="1:5">
      <c r="A15961" t="s">
        <v>6</v>
      </c>
      <c r="B15961" t="s">
        <v>15966</v>
      </c>
      <c r="C15961">
        <f>HYPERLINK("C:\Users\franc\OneDrive\Documentos\MALENTIN KARIME\BANCO ESTADO\2012 DEPTO ESCRITURAS fata\Dc Simples\RESPALDO comp notaria 27_12_12\NOTARIA 2012\MINAS\SLM MINA ESTRELLA.doc", "Abrir Documento")</f>
        <v>0</v>
      </c>
      <c r="D15961" t="s">
        <v>23500</v>
      </c>
      <c r="E15961" t="s">
        <v>38436</v>
      </c>
    </row>
    <row r="15962" spans="1:5">
      <c r="A15962" t="s">
        <v>6</v>
      </c>
      <c r="B15962" t="s">
        <v>15967</v>
      </c>
      <c r="C15962">
        <f>HYPERLINK("C:\Users\franc\OneDrive\Documentos\MALENTIN KARIME\BANCO ESTADO\2012 DEPTO ESCRITURAS fata\Dc Simples\RESPALDO comp notaria 27_12_12\NOTARIA 2012\MINAS\SLM LA LEJANA.doc", "Abrir Documento")</f>
        <v>0</v>
      </c>
      <c r="D15962" t="s">
        <v>23500</v>
      </c>
      <c r="E15962" t="s">
        <v>38437</v>
      </c>
    </row>
    <row r="15963" spans="1:5">
      <c r="A15963" t="s">
        <v>6</v>
      </c>
      <c r="B15963" t="s">
        <v>15968</v>
      </c>
      <c r="C15963">
        <f>HYPERLINK("C:\Users\franc\OneDrive\Documentos\MALENTIN KARIME\BANCO ESTADO\2012 DEPTO ESCRITURAS fata\Dc Simples\RESPALDO comp notaria 27_12_12\NOTARIA 2012\MINAS\SLM EL LIMON.doc", "Abrir Documento")</f>
        <v>0</v>
      </c>
      <c r="D15963" t="s">
        <v>23500</v>
      </c>
      <c r="E15963" t="s">
        <v>38438</v>
      </c>
    </row>
    <row r="15964" spans="1:5">
      <c r="A15964" t="s">
        <v>6</v>
      </c>
      <c r="B15964" t="s">
        <v>15969</v>
      </c>
      <c r="C15964">
        <f>HYPERLINK("C:\Users\franc\OneDrive\Documentos\MALENTIN KARIME\BANCO ESTADO\2012 DEPTO ESCRITURAS fata\Dc Simples\RESPALDO comp notaria 27_12_12\NOTARIA 2012\MINAS\SANTA ROSA 1-5.doc", "Abrir Documento")</f>
        <v>0</v>
      </c>
      <c r="D15964" t="s">
        <v>23500</v>
      </c>
      <c r="E15964" t="s">
        <v>38439</v>
      </c>
    </row>
    <row r="15965" spans="1:5">
      <c r="A15965" t="s">
        <v>6</v>
      </c>
      <c r="B15965" t="s">
        <v>15970</v>
      </c>
      <c r="C15965">
        <f>HYPERLINK("C:\Users\franc\OneDrive\Documentos\MALENTIN KARIME\BANCO ESTADO\2012 DEPTO ESCRITURAS fata\Dc Simples\RESPALDO comp notaria 27_12_12\NOTARIA 2012\MINAS\SANTA RITA.doc", "Abrir Documento")</f>
        <v>0</v>
      </c>
      <c r="D15965" t="s">
        <v>23500</v>
      </c>
      <c r="E15965" t="s">
        <v>38440</v>
      </c>
    </row>
    <row r="15966" spans="1:5">
      <c r="A15966" t="s">
        <v>6</v>
      </c>
      <c r="B15966" t="s">
        <v>15971</v>
      </c>
      <c r="C15966">
        <f>HYPERLINK("C:\Users\franc\OneDrive\Documentos\MALENTIN KARIME\BANCO ESTADO\2012 DEPTO ESCRITURAS fata\Dc Simples\RESPALDO comp notaria 27_12_12\NOTARIA 2012\MINAS\SANTA RITA UNO AL DOCE.doc", "Abrir Documento")</f>
        <v>0</v>
      </c>
      <c r="D15966" t="s">
        <v>23500</v>
      </c>
      <c r="E15966" t="s">
        <v>38441</v>
      </c>
    </row>
    <row r="15967" spans="1:5">
      <c r="A15967" t="s">
        <v>6</v>
      </c>
      <c r="B15967" t="s">
        <v>15972</v>
      </c>
      <c r="C15967">
        <f>HYPERLINK("C:\Users\franc\OneDrive\Documentos\MALENTIN KARIME\BANCO ESTADO\2012 DEPTO ESCRITURAS fata\Dc Simples\RESPALDO comp notaria 27_12_12\NOTARIA 2012\MINAS\SANTA MARTA.doc", "Abrir Documento")</f>
        <v>0</v>
      </c>
      <c r="D15967" t="s">
        <v>23500</v>
      </c>
      <c r="E15967" t="s">
        <v>38442</v>
      </c>
    </row>
    <row r="15968" spans="1:5">
      <c r="A15968" t="s">
        <v>6</v>
      </c>
      <c r="B15968" t="s">
        <v>15973</v>
      </c>
      <c r="C15968">
        <f>HYPERLINK("C:\Users\franc\OneDrive\Documentos\MALENTIN KARIME\BANCO ESTADO\2012 DEPTO ESCRITURAS fata\Dc Simples\RESPALDO comp notaria 27_12_12\NOTARIA 2012\MINAS\SANTA LUCIA.doc", "Abrir Documento")</f>
        <v>0</v>
      </c>
      <c r="D15968" t="s">
        <v>23500</v>
      </c>
      <c r="E15968" t="s">
        <v>38443</v>
      </c>
    </row>
    <row r="15969" spans="1:5">
      <c r="A15969" t="s">
        <v>6</v>
      </c>
      <c r="B15969" t="s">
        <v>15974</v>
      </c>
      <c r="C15969">
        <f>HYPERLINK("C:\Users\franc\OneDrive\Documentos\MALENTIN KARIME\BANCO ESTADO\2012 DEPTO ESCRITURAS fata\Dc Simples\RESPALDO comp notaria 27_12_12\NOTARIA 2012\MINAS\SANTA ANGELA 1-20.doc", "Abrir Documento")</f>
        <v>0</v>
      </c>
      <c r="D15969" t="s">
        <v>23500</v>
      </c>
      <c r="E15969" t="s">
        <v>38444</v>
      </c>
    </row>
    <row r="15970" spans="1:5">
      <c r="A15970" t="s">
        <v>6</v>
      </c>
      <c r="B15970" t="s">
        <v>15975</v>
      </c>
      <c r="C15970">
        <f>HYPERLINK("C:\Users\franc\OneDrive\Documentos\MALENTIN KARIME\BANCO ESTADO\2012 DEPTO ESCRITURAS fata\Dc Simples\RESPALDO comp notaria 27_12_12\NOTARIA 2012\MINAS\SANTA ALICIA.doc", "Abrir Documento")</f>
        <v>0</v>
      </c>
      <c r="D15970" t="s">
        <v>23500</v>
      </c>
      <c r="E15970" t="s">
        <v>38445</v>
      </c>
    </row>
    <row r="15971" spans="1:5">
      <c r="A15971" t="s">
        <v>6</v>
      </c>
      <c r="B15971" t="s">
        <v>15976</v>
      </c>
      <c r="C15971">
        <f>HYPERLINK("C:\Users\franc\OneDrive\Documentos\MALENTIN KARIME\BANCO ESTADO\2012 DEPTO ESCRITURAS fata\Dc Simples\RESPALDO comp notaria 27_12_12\NOTARIA 2012\MINAS\SAN MIGUEL 1 AL 20.doc", "Abrir Documento")</f>
        <v>0</v>
      </c>
      <c r="D15971" t="s">
        <v>23500</v>
      </c>
      <c r="E15971" t="s">
        <v>38446</v>
      </c>
    </row>
    <row r="15972" spans="1:5">
      <c r="A15972" t="s">
        <v>6</v>
      </c>
      <c r="B15972" t="s">
        <v>15977</v>
      </c>
      <c r="C15972">
        <f>HYPERLINK("C:\Users\franc\OneDrive\Documentos\MALENTIN KARIME\BANCO ESTADO\2012 DEPTO ESCRITURAS fata\Dc Simples\RESPALDO comp notaria 27_12_12\NOTARIA 2012\MINAS\SAN MANUEL 1 AL 5.doc", "Abrir Documento")</f>
        <v>0</v>
      </c>
      <c r="D15972" t="s">
        <v>23500</v>
      </c>
      <c r="E15972" t="s">
        <v>38447</v>
      </c>
    </row>
    <row r="15973" spans="1:5">
      <c r="A15973" t="s">
        <v>6</v>
      </c>
      <c r="B15973" t="s">
        <v>15978</v>
      </c>
      <c r="C15973">
        <f>HYPERLINK("C:\Users\franc\OneDrive\Documentos\MALENTIN KARIME\BANCO ESTADO\2012 DEPTO ESCRITURAS fata\Dc Simples\RESPALDO comp notaria 27_12_12\NOTARIA 2012\MINAS\SAN LUIS I AL 100.doc", "Abrir Documento")</f>
        <v>0</v>
      </c>
      <c r="D15973" t="s">
        <v>23500</v>
      </c>
      <c r="E15973" t="s">
        <v>38448</v>
      </c>
    </row>
    <row r="15974" spans="1:5">
      <c r="A15974" t="s">
        <v>6</v>
      </c>
      <c r="B15974" t="s">
        <v>15979</v>
      </c>
      <c r="C15974">
        <f>HYPERLINK("C:\Users\franc\OneDrive\Documentos\MALENTIN KARIME\BANCO ESTADO\2012 DEPTO ESCRITURAS fata\Dc Simples\RESPALDO comp notaria 27_12_12\NOTARIA 2012\MINAS\SAN LUIS 1-100.doc", "Abrir Documento")</f>
        <v>0</v>
      </c>
      <c r="D15974" t="s">
        <v>23500</v>
      </c>
      <c r="E15974" t="s">
        <v>38449</v>
      </c>
    </row>
    <row r="15975" spans="1:5">
      <c r="A15975" t="s">
        <v>6</v>
      </c>
      <c r="B15975" t="s">
        <v>15980</v>
      </c>
      <c r="C15975">
        <f>HYPERLINK("C:\Users\franc\OneDrive\Documentos\MALENTIN KARIME\BANCO ESTADO\2012 DEPTO ESCRITURAS fata\Dc Simples\RESPALDO comp notaria 27_12_12\NOTARIA 2012\MINAS\SAN JOAQUIN LTDA..doc", "Abrir Documento")</f>
        <v>0</v>
      </c>
      <c r="D15975" t="s">
        <v>23500</v>
      </c>
      <c r="E15975" t="s">
        <v>38450</v>
      </c>
    </row>
    <row r="15976" spans="1:5">
      <c r="A15976" t="s">
        <v>6</v>
      </c>
      <c r="B15976" t="s">
        <v>15981</v>
      </c>
      <c r="C15976">
        <f>HYPERLINK("C:\Users\franc\OneDrive\Documentos\MALENTIN KARIME\BANCO ESTADO\2012 DEPTO ESCRITURAS fata\Dc Simples\RESPALDO comp notaria 27_12_12\NOTARIA 2012\MINAS\SAN FELIX.doc", "Abrir Documento")</f>
        <v>0</v>
      </c>
      <c r="D15976" t="s">
        <v>23500</v>
      </c>
      <c r="E15976" t="s">
        <v>38451</v>
      </c>
    </row>
    <row r="15977" spans="1:5">
      <c r="A15977" t="s">
        <v>6</v>
      </c>
      <c r="B15977" t="s">
        <v>15982</v>
      </c>
      <c r="C15977">
        <f>HYPERLINK("C:\Users\franc\OneDrive\Documentos\MALENTIN KARIME\BANCO ESTADO\2012 DEPTO ESCRITURAS fata\Dc Simples\RESPALDO comp notaria 27_12_12\NOTARIA 2012\MINAS\SAN FELIX III.doc", "Abrir Documento")</f>
        <v>0</v>
      </c>
      <c r="D15977" t="s">
        <v>23500</v>
      </c>
      <c r="E15977" t="s">
        <v>38452</v>
      </c>
    </row>
    <row r="15978" spans="1:5">
      <c r="A15978" t="s">
        <v>6</v>
      </c>
      <c r="B15978" t="s">
        <v>15983</v>
      </c>
      <c r="C15978">
        <f>HYPERLINK("C:\Users\franc\OneDrive\Documentos\MALENTIN KARIME\BANCO ESTADO\2012 DEPTO ESCRITURAS fata\Dc Simples\RESPALDO comp notaria 27_12_12\NOTARIA 2012\MINAS\SAN ANDRES 1-10.doc", "Abrir Documento")</f>
        <v>0</v>
      </c>
      <c r="D15978" t="s">
        <v>23500</v>
      </c>
      <c r="E15978" t="s">
        <v>38453</v>
      </c>
    </row>
    <row r="15979" spans="1:5">
      <c r="A15979" t="s">
        <v>6</v>
      </c>
      <c r="B15979" t="s">
        <v>15984</v>
      </c>
      <c r="C15979">
        <f>HYPERLINK("C:\Users\franc\OneDrive\Documentos\MALENTIN KARIME\BANCO ESTADO\2012 DEPTO ESCRITURAS fata\Dc Simples\RESPALDO comp notaria 27_12_12\NOTARIA 2012\MINAS\SALEM UNA AL SEIS.doc", "Abrir Documento")</f>
        <v>0</v>
      </c>
      <c r="D15979" t="s">
        <v>23500</v>
      </c>
      <c r="E15979" t="s">
        <v>38454</v>
      </c>
    </row>
    <row r="15980" spans="1:5">
      <c r="A15980" t="s">
        <v>6</v>
      </c>
      <c r="B15980" t="s">
        <v>15985</v>
      </c>
      <c r="C15980">
        <f>HYPERLINK("C:\Users\franc\OneDrive\Documentos\MALENTIN KARIME\BANCO ESTADO\2012 DEPTO ESCRITURAS fata\Dc Simples\RESPALDO comp notaria 27_12_12\NOTARIA 2012\MINAS\SALEM DOS.doc", "Abrir Documento")</f>
        <v>0</v>
      </c>
      <c r="D15980" t="s">
        <v>23500</v>
      </c>
      <c r="E15980" t="s">
        <v>38455</v>
      </c>
    </row>
    <row r="15981" spans="1:5">
      <c r="A15981" t="s">
        <v>6</v>
      </c>
      <c r="B15981" t="s">
        <v>15986</v>
      </c>
      <c r="C15981">
        <f>HYPERLINK("C:\Users\franc\OneDrive\Documentos\MALENTIN KARIME\BANCO ESTADO\2012 DEPTO ESCRITURAS fata\Dc Simples\RESPALDO comp notaria 27_12_12\NOTARIA 2012\MINAS\S.L.M.PORTEZUELO LINO BRAVO.doc", "Abrir Documento")</f>
        <v>0</v>
      </c>
      <c r="D15981" t="s">
        <v>23500</v>
      </c>
      <c r="E15981" t="s">
        <v>38456</v>
      </c>
    </row>
    <row r="15982" spans="1:5">
      <c r="A15982" t="s">
        <v>6</v>
      </c>
      <c r="B15982" t="s">
        <v>15987</v>
      </c>
      <c r="C15982">
        <f>HYPERLINK("C:\Users\franc\OneDrive\Documentos\MALENTIN KARIME\BANCO ESTADO\2012 DEPTO ESCRITURAS fata\Dc Simples\RESPALDO comp notaria 27_12_12\NOTARIA 2012\MINAS\S.L.M.PORTEZUELO 1-9.doc", "Abrir Documento")</f>
        <v>0</v>
      </c>
      <c r="D15982" t="s">
        <v>23500</v>
      </c>
      <c r="E15982" t="s">
        <v>38457</v>
      </c>
    </row>
    <row r="15983" spans="1:5">
      <c r="A15983" t="s">
        <v>6</v>
      </c>
      <c r="B15983" t="s">
        <v>15988</v>
      </c>
      <c r="C15983">
        <f>HYPERLINK("C:\Users\franc\OneDrive\Documentos\MALENTIN KARIME\BANCO ESTADO\2012 DEPTO ESCRITURAS fata\Dc Simples\RESPALDO comp notaria 27_12_12\NOTARIA 2012\MINAS\S.L.M.PORTEZUELO 1-9, tio.doc", "Abrir Documento")</f>
        <v>0</v>
      </c>
      <c r="D15983" t="s">
        <v>23500</v>
      </c>
      <c r="E15983" t="s">
        <v>38458</v>
      </c>
    </row>
    <row r="15984" spans="1:5">
      <c r="A15984" t="s">
        <v>6</v>
      </c>
      <c r="B15984" t="s">
        <v>15989</v>
      </c>
      <c r="C15984">
        <f>HYPERLINK("C:\Users\franc\OneDrive\Documentos\MALENTIN KARIME\BANCO ESTADO\2012 DEPTO ESCRITURAS fata\Dc Simples\RESPALDO comp notaria 27_12_12\NOTARIA 2012\MINAS\S.L.M.LOS CUMPAS UNO DE SAN PEDRO.doc", "Abrir Documento")</f>
        <v>0</v>
      </c>
      <c r="D15984" t="s">
        <v>23500</v>
      </c>
      <c r="E15984" t="s">
        <v>38459</v>
      </c>
    </row>
    <row r="15985" spans="1:5">
      <c r="A15985" t="s">
        <v>6</v>
      </c>
      <c r="B15985" t="s">
        <v>15990</v>
      </c>
      <c r="C15985">
        <f>HYPERLINK("C:\Users\franc\OneDrive\Documentos\MALENTIN KARIME\BANCO ESTADO\2012 DEPTO ESCRITURAS fata\Dc Simples\RESPALDO comp notaria 27_12_12\NOTARIA 2012\MINAS\S.L.M.CRISTAL.doc", "Abrir Documento")</f>
        <v>0</v>
      </c>
      <c r="D15985" t="s">
        <v>23500</v>
      </c>
      <c r="E15985" t="s">
        <v>38460</v>
      </c>
    </row>
    <row r="15986" spans="1:5">
      <c r="A15986" t="s">
        <v>6</v>
      </c>
      <c r="B15986" t="s">
        <v>15991</v>
      </c>
      <c r="C15986">
        <f>HYPERLINK("C:\Users\franc\OneDrive\Documentos\MALENTIN KARIME\BANCO ESTADO\2012 DEPTO ESCRITURAS fata\Dc Simples\RESPALDO comp notaria 27_12_12\NOTARIA 2012\MINAS\S.L.M.CERRO NEGRO.doc", "Abrir Documento")</f>
        <v>0</v>
      </c>
      <c r="D15986" t="s">
        <v>23500</v>
      </c>
      <c r="E15986" t="s">
        <v>38461</v>
      </c>
    </row>
    <row r="15987" spans="1:5">
      <c r="A15987" t="s">
        <v>6</v>
      </c>
      <c r="B15987" t="s">
        <v>15992</v>
      </c>
      <c r="C15987">
        <f>HYPERLINK("C:\Users\franc\OneDrive\Documentos\MALENTIN KARIME\BANCO ESTADO\2012 DEPTO ESCRITURAS fata\Dc Simples\RESPALDO comp notaria 27_12_12\NOTARIA 2012\MINAS\S.L.M.ATUTEMA.doc", "Abrir Documento")</f>
        <v>0</v>
      </c>
      <c r="D15987" t="s">
        <v>23500</v>
      </c>
      <c r="E15987" t="s">
        <v>38462</v>
      </c>
    </row>
    <row r="15988" spans="1:5">
      <c r="A15988" t="s">
        <v>6</v>
      </c>
      <c r="B15988" t="s">
        <v>15993</v>
      </c>
      <c r="C15988">
        <f>HYPERLINK("C:\Users\franc\OneDrive\Documentos\MALENTIN KARIME\BANCO ESTADO\2012 DEPTO ESCRITURAS fata\Dc Simples\RESPALDO comp notaria 27_12_12\NOTARIA 2012\MINAS\S.L.M.ANA KAMILA.doc", "Abrir Documento")</f>
        <v>0</v>
      </c>
      <c r="D15988" t="s">
        <v>23500</v>
      </c>
      <c r="E15988" t="s">
        <v>38463</v>
      </c>
    </row>
    <row r="15989" spans="1:5">
      <c r="A15989" t="s">
        <v>6</v>
      </c>
      <c r="B15989" t="s">
        <v>15994</v>
      </c>
      <c r="C15989">
        <f>HYPERLINK("C:\Users\franc\OneDrive\Documentos\MALENTIN KARIME\BANCO ESTADO\2012 DEPTO ESCRITURAS fata\Dc Simples\RESPALDO comp notaria 27_12_12\NOTARIA 2012\MINAS\S.L.M.ALBERTINA.doc", "Abrir Documento")</f>
        <v>0</v>
      </c>
      <c r="D15989" t="s">
        <v>23500</v>
      </c>
      <c r="E15989" t="s">
        <v>38464</v>
      </c>
    </row>
    <row r="15990" spans="1:5">
      <c r="A15990" t="s">
        <v>6</v>
      </c>
      <c r="B15990" t="s">
        <v>15995</v>
      </c>
      <c r="C15990">
        <f>HYPERLINK("C:\Users\franc\OneDrive\Documentos\MALENTIN KARIME\BANCO ESTADO\2012 DEPTO ESCRITURAS fata\Dc Simples\RESPALDO comp notaria 27_12_12\NOTARIA 2012\MINAS\S.L.M. VISTA AL MAR UNO DE OVALLE.doc", "Abrir Documento")</f>
        <v>0</v>
      </c>
      <c r="D15990" t="s">
        <v>23500</v>
      </c>
      <c r="E15990" t="s">
        <v>38465</v>
      </c>
    </row>
    <row r="15991" spans="1:5">
      <c r="A15991" t="s">
        <v>6</v>
      </c>
      <c r="B15991" t="s">
        <v>15996</v>
      </c>
      <c r="C15991">
        <f>HYPERLINK("C:\Users\franc\OneDrive\Documentos\MALENTIN KARIME\BANCO ESTADO\2012 DEPTO ESCRITURAS fata\Dc Simples\RESPALDO comp notaria 27_12_12\NOTARIA 2012\MINAS\S.L.M. SOL Y LLUVIA.doc", "Abrir Documento")</f>
        <v>0</v>
      </c>
      <c r="D15991" t="s">
        <v>23500</v>
      </c>
      <c r="E15991" t="s">
        <v>38466</v>
      </c>
    </row>
    <row r="15992" spans="1:5">
      <c r="A15992" t="s">
        <v>6</v>
      </c>
      <c r="B15992" t="s">
        <v>15997</v>
      </c>
      <c r="C15992">
        <f>HYPERLINK("C:\Users\franc\OneDrive\Documentos\MALENTIN KARIME\BANCO ESTADO\2012 DEPTO ESCRITURAS fata\Dc Simples\RESPALDO comp notaria 27_12_12\NOTARIA 2012\MINAS\S.L.M. SEGUNDA HERRADURA.doc", "Abrir Documento")</f>
        <v>0</v>
      </c>
      <c r="D15992" t="s">
        <v>23500</v>
      </c>
      <c r="E15992" t="s">
        <v>38467</v>
      </c>
    </row>
    <row r="15993" spans="1:5">
      <c r="A15993" t="s">
        <v>6</v>
      </c>
      <c r="B15993" t="s">
        <v>15998</v>
      </c>
      <c r="C15993">
        <f>HYPERLINK("C:\Users\franc\OneDrive\Documentos\MALENTIN KARIME\BANCO ESTADO\2012 DEPTO ESCRITURAS fata\Dc Simples\RESPALDO comp notaria 27_12_12\NOTARIA 2012\MINAS\S.L.M. SAN BASILIO.doc", "Abrir Documento")</f>
        <v>0</v>
      </c>
      <c r="D15993" t="s">
        <v>23500</v>
      </c>
      <c r="E15993" t="s">
        <v>38468</v>
      </c>
    </row>
    <row r="15994" spans="1:5">
      <c r="A15994" t="s">
        <v>6</v>
      </c>
      <c r="B15994" t="s">
        <v>15999</v>
      </c>
      <c r="C15994">
        <f>HYPERLINK("C:\Users\franc\OneDrive\Documentos\MALENTIN KARIME\BANCO ESTADO\2012 DEPTO ESCRITURAS fata\Dc Simples\RESPALDO comp notaria 27_12_12\NOTARIA 2012\MINAS\S.L.M. PRODIGA UNA DEL COBRE.doc", "Abrir Documento")</f>
        <v>0</v>
      </c>
      <c r="D15994" t="s">
        <v>23500</v>
      </c>
      <c r="E15994" t="s">
        <v>38469</v>
      </c>
    </row>
    <row r="15995" spans="1:5">
      <c r="A15995" t="s">
        <v>6</v>
      </c>
      <c r="B15995" t="s">
        <v>16000</v>
      </c>
      <c r="C15995">
        <f>HYPERLINK("C:\Users\franc\OneDrive\Documentos\MALENTIN KARIME\BANCO ESTADO\2012 DEPTO ESCRITURAS fata\Dc Simples\RESPALDO comp notaria 27_12_12\NOTARIA 2012\MINAS\S.L.M. PACUL UNO DE PUNITAQUI.doc", "Abrir Documento")</f>
        <v>0</v>
      </c>
      <c r="D15995" t="s">
        <v>23500</v>
      </c>
      <c r="E15995" t="s">
        <v>38470</v>
      </c>
    </row>
    <row r="15996" spans="1:5">
      <c r="A15996" t="s">
        <v>6</v>
      </c>
      <c r="B15996" t="s">
        <v>16001</v>
      </c>
      <c r="C15996">
        <f>HYPERLINK("C:\Users\franc\OneDrive\Documentos\MALENTIN KARIME\BANCO ESTADO\2012 DEPTO ESCRITURAS fata\Dc Simples\RESPALDO comp notaria 27_12_12\NOTARIA 2012\MINAS\S.L.M. NUEVA ESPERANZA.doc", "Abrir Documento")</f>
        <v>0</v>
      </c>
      <c r="D15996" t="s">
        <v>23500</v>
      </c>
      <c r="E15996" t="s">
        <v>38471</v>
      </c>
    </row>
    <row r="15997" spans="1:5">
      <c r="A15997" t="s">
        <v>6</v>
      </c>
      <c r="B15997" t="s">
        <v>16002</v>
      </c>
      <c r="C15997">
        <f>HYPERLINK("C:\Users\franc\OneDrive\Documentos\MALENTIN KARIME\BANCO ESTADO\2012 DEPTO ESCRITURAS fata\Dc Simples\RESPALDO comp notaria 27_12_12\NOTARIA 2012\MINAS\S.L.M. MINA LOS MANTOS PRIMERA.doc", "Abrir Documento")</f>
        <v>0</v>
      </c>
      <c r="D15997" t="s">
        <v>23500</v>
      </c>
      <c r="E15997" t="s">
        <v>38472</v>
      </c>
    </row>
    <row r="15998" spans="1:5">
      <c r="A15998" t="s">
        <v>6</v>
      </c>
      <c r="B15998" t="s">
        <v>16003</v>
      </c>
      <c r="C15998">
        <f>HYPERLINK("C:\Users\franc\OneDrive\Documentos\MALENTIN KARIME\BANCO ESTADO\2012 DEPTO ESCRITURAS fata\Dc Simples\RESPALDO comp notaria 27_12_12\NOTARIA 2012\MINAS\S.L.M. MINA LA DUDA A LUIS ARAYA.doc", "Abrir Documento")</f>
        <v>0</v>
      </c>
      <c r="D15998" t="s">
        <v>23500</v>
      </c>
      <c r="E15998" t="s">
        <v>38473</v>
      </c>
    </row>
    <row r="15999" spans="1:5">
      <c r="A15999" t="s">
        <v>6</v>
      </c>
      <c r="B15999" t="s">
        <v>16004</v>
      </c>
      <c r="C15999">
        <f>HYPERLINK("C:\Users\franc\OneDrive\Documentos\MALENTIN KARIME\BANCO ESTADO\2012 DEPTO ESCRITURAS fata\Dc Simples\RESPALDO comp notaria 27_12_12\NOTARIA 2012\MINAS\S.L.M. MINA LA DUDA A FCO.MALUENDA.doc", "Abrir Documento")</f>
        <v>0</v>
      </c>
      <c r="D15999" t="s">
        <v>23500</v>
      </c>
      <c r="E15999" t="s">
        <v>38474</v>
      </c>
    </row>
    <row r="16000" spans="1:5">
      <c r="A16000" t="s">
        <v>6</v>
      </c>
      <c r="B16000" t="s">
        <v>16005</v>
      </c>
      <c r="C16000">
        <f>HYPERLINK("C:\Users\franc\OneDrive\Documentos\MALENTIN KARIME\BANCO ESTADO\2012 DEPTO ESCRITURAS fata\Dc Simples\RESPALDO comp notaria 27_12_12\NOTARIA 2012\MINAS\S.L.M. MINA ELENA.doc", "Abrir Documento")</f>
        <v>0</v>
      </c>
      <c r="D16000" t="s">
        <v>23500</v>
      </c>
      <c r="E16000" t="s">
        <v>38475</v>
      </c>
    </row>
    <row r="16001" spans="1:5">
      <c r="A16001" t="s">
        <v>6</v>
      </c>
      <c r="B16001" t="s">
        <v>16006</v>
      </c>
      <c r="C16001">
        <f>HYPERLINK("C:\Users\franc\OneDrive\Documentos\MALENTIN KARIME\BANCO ESTADO\2012 DEPTO ESCRITURAS fata\Dc Simples\RESPALDO comp notaria 27_12_12\NOTARIA 2012\MINAS\S.L.M. MINA CUPRITA DOS.doc", "Abrir Documento")</f>
        <v>0</v>
      </c>
      <c r="D16001" t="s">
        <v>23500</v>
      </c>
      <c r="E16001" t="s">
        <v>38476</v>
      </c>
    </row>
    <row r="16002" spans="1:5">
      <c r="A16002" t="s">
        <v>6</v>
      </c>
      <c r="B16002" t="s">
        <v>16007</v>
      </c>
      <c r="C16002">
        <f>HYPERLINK("C:\Users\franc\OneDrive\Documentos\MALENTIN KARIME\BANCO ESTADO\2012 DEPTO ESCRITURAS fata\Dc Simples\RESPALDO comp notaria 27_12_12\NOTARIA 2012\MINAS\S.L.M. MINA CAMANELI.doc", "Abrir Documento")</f>
        <v>0</v>
      </c>
      <c r="D16002" t="s">
        <v>23500</v>
      </c>
      <c r="E16002" t="s">
        <v>38477</v>
      </c>
    </row>
    <row r="16003" spans="1:5">
      <c r="A16003" t="s">
        <v>6</v>
      </c>
      <c r="B16003" t="s">
        <v>16008</v>
      </c>
      <c r="C16003">
        <f>HYPERLINK("C:\Users\franc\OneDrive\Documentos\MALENTIN KARIME\BANCO ESTADO\2012 DEPTO ESCRITURAS fata\Dc Simples\RESPALDO comp notaria 27_12_12\NOTARIA 2012\MINAS\S.L.M. MINA CAMANELI a javier.doc", "Abrir Documento")</f>
        <v>0</v>
      </c>
      <c r="D16003" t="s">
        <v>23500</v>
      </c>
      <c r="E16003" t="s">
        <v>38478</v>
      </c>
    </row>
    <row r="16004" spans="1:5">
      <c r="A16004" t="s">
        <v>6</v>
      </c>
      <c r="B16004" t="s">
        <v>16009</v>
      </c>
      <c r="C16004">
        <f>HYPERLINK("C:\Users\franc\OneDrive\Documentos\MALENTIN KARIME\BANCO ESTADO\2012 DEPTO ESCRITURAS fata\Dc Simples\RESPALDO comp notaria 27_12_12\NOTARIA 2012\MINAS\S.L.M. MANUELITA.doc", "Abrir Documento")</f>
        <v>0</v>
      </c>
      <c r="D16004" t="s">
        <v>23500</v>
      </c>
      <c r="E16004" t="s">
        <v>38479</v>
      </c>
    </row>
    <row r="16005" spans="1:5">
      <c r="A16005" t="s">
        <v>6</v>
      </c>
      <c r="B16005" t="s">
        <v>16010</v>
      </c>
      <c r="C16005">
        <f>HYPERLINK("C:\Users\franc\OneDrive\Documentos\MALENTIN KARIME\BANCO ESTADO\2012 DEPTO ESCRITURAS fata\Dc Simples\RESPALDO comp notaria 27_12_12\NOTARIA 2012\MINAS\S.L.M. LOS TRES AMIGOS.doc", "Abrir Documento")</f>
        <v>0</v>
      </c>
      <c r="D16005" t="s">
        <v>23500</v>
      </c>
      <c r="E16005" t="s">
        <v>38480</v>
      </c>
    </row>
    <row r="16006" spans="1:5">
      <c r="A16006" t="s">
        <v>6</v>
      </c>
      <c r="B16006" t="s">
        <v>16011</v>
      </c>
      <c r="C16006">
        <f>HYPERLINK("C:\Users\franc\OneDrive\Documentos\MALENTIN KARIME\BANCO ESTADO\2012 DEPTO ESCRITURAS fata\Dc Simples\RESPALDO comp notaria 27_12_12\NOTARIA 2012\MINAS\S.L.M. LOS DOS AMIGOS.doc", "Abrir Documento")</f>
        <v>0</v>
      </c>
      <c r="D16006" t="s">
        <v>23500</v>
      </c>
      <c r="E16006" t="s">
        <v>38481</v>
      </c>
    </row>
    <row r="16007" spans="1:5">
      <c r="A16007" t="s">
        <v>6</v>
      </c>
      <c r="B16007" t="s">
        <v>16012</v>
      </c>
      <c r="C16007">
        <f>HYPERLINK("C:\Users\franc\OneDrive\Documentos\MALENTIN KARIME\BANCO ESTADO\2012 DEPTO ESCRITURAS fata\Dc Simples\RESPALDO comp notaria 27_12_12\NOTARIA 2012\MINAS\S.L.M. LLANO GRANDE.doc", "Abrir Documento")</f>
        <v>0</v>
      </c>
      <c r="D16007" t="s">
        <v>23500</v>
      </c>
      <c r="E16007" t="s">
        <v>38482</v>
      </c>
    </row>
    <row r="16008" spans="1:5">
      <c r="A16008" t="s">
        <v>6</v>
      </c>
      <c r="B16008" t="s">
        <v>16013</v>
      </c>
      <c r="C16008">
        <f>HYPERLINK("C:\Users\franc\OneDrive\Documentos\MALENTIN KARIME\BANCO ESTADO\2012 DEPTO ESCRITURAS fata\Dc Simples\RESPALDO comp notaria 27_12_12\NOTARIA 2012\MINAS\S.L.M. LAY MU.doc", "Abrir Documento")</f>
        <v>0</v>
      </c>
      <c r="D16008" t="s">
        <v>23500</v>
      </c>
      <c r="E16008" t="s">
        <v>38483</v>
      </c>
    </row>
    <row r="16009" spans="1:5">
      <c r="A16009" t="s">
        <v>6</v>
      </c>
      <c r="B16009" t="s">
        <v>16014</v>
      </c>
      <c r="C16009">
        <f>HYPERLINK("C:\Users\franc\OneDrive\Documentos\MALENTIN KARIME\BANCO ESTADO\2012 DEPTO ESCRITURAS fata\Dc Simples\RESPALDO comp notaria 27_12_12\NOTARIA 2012\MINAS\S.L.M. LAS LECHUZAS.doc", "Abrir Documento")</f>
        <v>0</v>
      </c>
      <c r="D16009" t="s">
        <v>23500</v>
      </c>
      <c r="E16009" t="s">
        <v>38484</v>
      </c>
    </row>
    <row r="16010" spans="1:5">
      <c r="A16010" t="s">
        <v>6</v>
      </c>
      <c r="B16010" t="s">
        <v>16015</v>
      </c>
      <c r="C16010">
        <f>HYPERLINK("C:\Users\franc\OneDrive\Documentos\MALENTIN KARIME\BANCO ESTADO\2012 DEPTO ESCRITURAS fata\Dc Simples\RESPALDO comp notaria 27_12_12\NOTARIA 2012\MINAS\S.L.M. LA VEGA.doc", "Abrir Documento")</f>
        <v>0</v>
      </c>
      <c r="D16010" t="s">
        <v>23500</v>
      </c>
      <c r="E16010" t="s">
        <v>38485</v>
      </c>
    </row>
    <row r="16011" spans="1:5">
      <c r="A16011" t="s">
        <v>6</v>
      </c>
      <c r="B16011" t="s">
        <v>16016</v>
      </c>
      <c r="C16011">
        <f>HYPERLINK("C:\Users\franc\OneDrive\Documentos\MALENTIN KARIME\BANCO ESTADO\2012 DEPTO ESCRITURAS fata\Dc Simples\RESPALDO comp notaria 27_12_12\NOTARIA 2012\MINAS\S.L.M. LA VALERIA PRIMERA DE MANQUEHUA.doc", "Abrir Documento")</f>
        <v>0</v>
      </c>
      <c r="D16011" t="s">
        <v>23500</v>
      </c>
      <c r="E16011" t="s">
        <v>38486</v>
      </c>
    </row>
    <row r="16012" spans="1:5">
      <c r="A16012" t="s">
        <v>6</v>
      </c>
      <c r="B16012" t="s">
        <v>16017</v>
      </c>
      <c r="C16012">
        <f>HYPERLINK("C:\Users\franc\OneDrive\Documentos\MALENTIN KARIME\BANCO ESTADO\2012 DEPTO ESCRITURAS fata\Dc Simples\RESPALDO comp notaria 27_12_12\NOTARIA 2012\MINAS\S.L.M. LA ULTIMA ESPERANZA 1-20.doc", "Abrir Documento")</f>
        <v>0</v>
      </c>
      <c r="D16012" t="s">
        <v>23500</v>
      </c>
      <c r="E16012" t="s">
        <v>38487</v>
      </c>
    </row>
    <row r="16013" spans="1:5">
      <c r="A16013" t="s">
        <v>6</v>
      </c>
      <c r="B16013" t="s">
        <v>16018</v>
      </c>
      <c r="C16013">
        <f>HYPERLINK("C:\Users\franc\OneDrive\Documentos\MALENTIN KARIME\BANCO ESTADO\2012 DEPTO ESCRITURAS fata\Dc Simples\RESPALDO comp notaria 27_12_12\NOTARIA 2012\MINAS\S.L.M. LA TERNURA.doc", "Abrir Documento")</f>
        <v>0</v>
      </c>
      <c r="D16013" t="s">
        <v>23500</v>
      </c>
      <c r="E16013" t="s">
        <v>38488</v>
      </c>
    </row>
    <row r="16014" spans="1:5">
      <c r="A16014" t="s">
        <v>6</v>
      </c>
      <c r="B16014" t="s">
        <v>16019</v>
      </c>
      <c r="C16014">
        <f>HYPERLINK("C:\Users\franc\OneDrive\Documentos\MALENTIN KARIME\BANCO ESTADO\2012 DEPTO ESCRITURAS fata\Dc Simples\RESPALDO comp notaria 27_12_12\NOTARIA 2012\MINAS\S.L.M. LA SUERTE.doc", "Abrir Documento")</f>
        <v>0</v>
      </c>
      <c r="D16014" t="s">
        <v>23500</v>
      </c>
      <c r="E16014" t="s">
        <v>38489</v>
      </c>
    </row>
    <row r="16015" spans="1:5">
      <c r="A16015" t="s">
        <v>6</v>
      </c>
      <c r="B16015" t="s">
        <v>16020</v>
      </c>
      <c r="C16015">
        <f>HYPERLINK("C:\Users\franc\OneDrive\Documentos\MALENTIN KARIME\BANCO ESTADO\2012 DEPTO ESCRITURAS fata\Dc Simples\RESPALDO comp notaria 27_12_12\NOTARIA 2012\MINAS\S.L.M. LA REPETIDA.doc", "Abrir Documento")</f>
        <v>0</v>
      </c>
      <c r="D16015" t="s">
        <v>23500</v>
      </c>
      <c r="E16015" t="s">
        <v>38490</v>
      </c>
    </row>
    <row r="16016" spans="1:5">
      <c r="A16016" t="s">
        <v>6</v>
      </c>
      <c r="B16016" t="s">
        <v>16021</v>
      </c>
      <c r="C16016">
        <f>HYPERLINK("C:\Users\franc\OneDrive\Documentos\MALENTIN KARIME\BANCO ESTADO\2012 DEPTO ESCRITURAS fata\Dc Simples\RESPALDO comp notaria 27_12_12\NOTARIA 2012\MINAS\S.L.M. LA PUNTA DE HUANA.doc", "Abrir Documento")</f>
        <v>0</v>
      </c>
      <c r="D16016" t="s">
        <v>23500</v>
      </c>
      <c r="E16016" t="s">
        <v>38491</v>
      </c>
    </row>
    <row r="16017" spans="1:5">
      <c r="A16017" t="s">
        <v>6</v>
      </c>
      <c r="B16017" t="s">
        <v>16022</v>
      </c>
      <c r="C16017">
        <f>HYPERLINK("C:\Users\franc\OneDrive\Documentos\MALENTIN KARIME\BANCO ESTADO\2012 DEPTO ESCRITURAS fata\Dc Simples\RESPALDO comp notaria 27_12_12\NOTARIA 2012\MINAS\S.L.M. LA LUNA UNO DE QUEBRADA AMARILLA.doc", "Abrir Documento")</f>
        <v>0</v>
      </c>
      <c r="D16017" t="s">
        <v>23500</v>
      </c>
      <c r="E16017" t="s">
        <v>38492</v>
      </c>
    </row>
    <row r="16018" spans="1:5">
      <c r="A16018" t="s">
        <v>6</v>
      </c>
      <c r="B16018" t="s">
        <v>16023</v>
      </c>
      <c r="C16018">
        <f>HYPERLINK("C:\Users\franc\OneDrive\Documentos\MALENTIN KARIME\BANCO ESTADO\2012 DEPTO ESCRITURAS fata\Dc Simples\RESPALDO comp notaria 27_12_12\NOTARIA 2012\MINAS\S.L.M. LA FORTUNA UNO.doc", "Abrir Documento")</f>
        <v>0</v>
      </c>
      <c r="D16018" t="s">
        <v>23500</v>
      </c>
      <c r="E16018" t="s">
        <v>38493</v>
      </c>
    </row>
    <row r="16019" spans="1:5">
      <c r="A16019" t="s">
        <v>6</v>
      </c>
      <c r="B16019" t="s">
        <v>16024</v>
      </c>
      <c r="C16019">
        <f>HYPERLINK("C:\Users\franc\OneDrive\Documentos\MALENTIN KARIME\BANCO ESTADO\2012 DEPTO ESCRITURAS fata\Dc Simples\RESPALDO comp notaria 27_12_12\NOTARIA 2012\MINAS\S.L.M. LA FORTUNA PRIMERA.doc", "Abrir Documento")</f>
        <v>0</v>
      </c>
      <c r="D16019" t="s">
        <v>23500</v>
      </c>
      <c r="E16019" t="s">
        <v>38494</v>
      </c>
    </row>
    <row r="16020" spans="1:5">
      <c r="A16020" t="s">
        <v>6</v>
      </c>
      <c r="B16020" t="s">
        <v>16025</v>
      </c>
      <c r="C16020">
        <f>HYPERLINK("C:\Users\franc\OneDrive\Documentos\MALENTIN KARIME\BANCO ESTADO\2012 DEPTO ESCRITURAS fata\Dc Simples\RESPALDO comp notaria 27_12_12\NOTARIA 2012\MINAS\S.L.M. LA ESPERAZA 1.doc", "Abrir Documento")</f>
        <v>0</v>
      </c>
      <c r="D16020" t="s">
        <v>23500</v>
      </c>
      <c r="E16020" t="s">
        <v>38495</v>
      </c>
    </row>
    <row r="16021" spans="1:5">
      <c r="A16021" t="s">
        <v>6</v>
      </c>
      <c r="B16021" t="s">
        <v>16026</v>
      </c>
      <c r="C16021">
        <f>HYPERLINK("C:\Users\franc\OneDrive\Documentos\MALENTIN KARIME\BANCO ESTADO\2012 DEPTO ESCRITURAS fata\Dc Simples\RESPALDO comp notaria 27_12_12\NOTARIA 2012\MINAS\S.L.M. LA ESPERANZA.doc", "Abrir Documento")</f>
        <v>0</v>
      </c>
      <c r="D16021" t="s">
        <v>23500</v>
      </c>
      <c r="E16021" t="s">
        <v>38496</v>
      </c>
    </row>
    <row r="16022" spans="1:5">
      <c r="A16022" t="s">
        <v>6</v>
      </c>
      <c r="B16022" t="s">
        <v>16027</v>
      </c>
      <c r="C16022">
        <f>HYPERLINK("C:\Users\franc\OneDrive\Documentos\MALENTIN KARIME\BANCO ESTADO\2012 DEPTO ESCRITURAS fata\Dc Simples\RESPALDO comp notaria 27_12_12\NOTARIA 2012\MINAS\S.L.M. LA ESPERANZA III.doc", "Abrir Documento")</f>
        <v>0</v>
      </c>
      <c r="D16022" t="s">
        <v>23500</v>
      </c>
      <c r="E16022" t="s">
        <v>38497</v>
      </c>
    </row>
    <row r="16023" spans="1:5">
      <c r="A16023" t="s">
        <v>6</v>
      </c>
      <c r="B16023" t="s">
        <v>16028</v>
      </c>
      <c r="C16023">
        <f>HYPERLINK("C:\Users\franc\OneDrive\Documentos\MALENTIN KARIME\BANCO ESTADO\2012 DEPTO ESCRITURAS fata\Dc Simples\RESPALDO comp notaria 27_12_12\NOTARIA 2012\MINAS\S.L.M. LA CUPRITA.doc", "Abrir Documento")</f>
        <v>0</v>
      </c>
      <c r="D16023" t="s">
        <v>23500</v>
      </c>
      <c r="E16023" t="s">
        <v>38498</v>
      </c>
    </row>
    <row r="16024" spans="1:5">
      <c r="A16024" t="s">
        <v>6</v>
      </c>
      <c r="B16024" t="s">
        <v>16029</v>
      </c>
      <c r="C16024">
        <f>HYPERLINK("C:\Users\franc\OneDrive\Documentos\MALENTIN KARIME\BANCO ESTADO\2012 DEPTO ESCRITURAS fata\Dc Simples\RESPALDO comp notaria 27_12_12\NOTARIA 2012\MINAS\S.L.M. LA CORTINA 1-10.doc", "Abrir Documento")</f>
        <v>0</v>
      </c>
      <c r="D16024" t="s">
        <v>23500</v>
      </c>
      <c r="E16024" t="s">
        <v>38499</v>
      </c>
    </row>
    <row r="16025" spans="1:5">
      <c r="A16025" t="s">
        <v>6</v>
      </c>
      <c r="B16025" t="s">
        <v>16030</v>
      </c>
      <c r="C16025">
        <f>HYPERLINK("C:\Users\franc\OneDrive\Documentos\MALENTIN KARIME\BANCO ESTADO\2012 DEPTO ESCRITURAS fata\Dc Simples\RESPALDO comp notaria 27_12_12\NOTARIA 2012\MINAS\S.L.M. LA COPETE UNO DE OVALLE.doc", "Abrir Documento")</f>
        <v>0</v>
      </c>
      <c r="D16025" t="s">
        <v>23500</v>
      </c>
      <c r="E16025" t="s">
        <v>38500</v>
      </c>
    </row>
    <row r="16026" spans="1:5">
      <c r="A16026" t="s">
        <v>6</v>
      </c>
      <c r="B16026" t="s">
        <v>16031</v>
      </c>
      <c r="C16026">
        <f>HYPERLINK("C:\Users\franc\OneDrive\Documentos\MALENTIN KARIME\BANCO ESTADO\2012 DEPTO ESCRITURAS fata\Dc Simples\RESPALDO comp notaria 27_12_12\NOTARIA 2012\MINAS\S.L.M. LA COIPA.doc", "Abrir Documento")</f>
        <v>0</v>
      </c>
      <c r="D16026" t="s">
        <v>23500</v>
      </c>
      <c r="E16026" t="s">
        <v>38501</v>
      </c>
    </row>
    <row r="16027" spans="1:5">
      <c r="A16027" t="s">
        <v>6</v>
      </c>
      <c r="B16027" t="s">
        <v>16032</v>
      </c>
      <c r="C16027">
        <f>HYPERLINK("C:\Users\franc\OneDrive\Documentos\MALENTIN KARIME\BANCO ESTADO\2012 DEPTO ESCRITURAS fata\Dc Simples\RESPALDO comp notaria 27_12_12\NOTARIA 2012\MINAS\S.L.M. LA CARMELITA.doc", "Abrir Documento")</f>
        <v>0</v>
      </c>
      <c r="D16027" t="s">
        <v>23500</v>
      </c>
      <c r="E16027" t="s">
        <v>38502</v>
      </c>
    </row>
    <row r="16028" spans="1:5">
      <c r="A16028" t="s">
        <v>6</v>
      </c>
      <c r="B16028" t="s">
        <v>16033</v>
      </c>
      <c r="C16028">
        <f>HYPERLINK("C:\Users\franc\OneDrive\Documentos\MALENTIN KARIME\BANCO ESTADO\2012 DEPTO ESCRITURAS fata\Dc Simples\RESPALDO comp notaria 27_12_12\NOTARIA 2012\MINAS\S.L.M. LA CARLITA.doc", "Abrir Documento")</f>
        <v>0</v>
      </c>
      <c r="D16028" t="s">
        <v>23500</v>
      </c>
      <c r="E16028" t="s">
        <v>38503</v>
      </c>
    </row>
    <row r="16029" spans="1:5">
      <c r="A16029" t="s">
        <v>6</v>
      </c>
      <c r="B16029" t="s">
        <v>16034</v>
      </c>
      <c r="C16029">
        <f>HYPERLINK("C:\Users\franc\OneDrive\Documentos\MALENTIN KARIME\BANCO ESTADO\2012 DEPTO ESCRITURAS fata\Dc Simples\RESPALDO comp notaria 27_12_12\NOTARIA 2012\MINAS\S.L.M. LA CANDIDATA.doc", "Abrir Documento")</f>
        <v>0</v>
      </c>
      <c r="D16029" t="s">
        <v>23500</v>
      </c>
      <c r="E16029" t="s">
        <v>38504</v>
      </c>
    </row>
    <row r="16030" spans="1:5">
      <c r="A16030" t="s">
        <v>6</v>
      </c>
      <c r="B16030" t="s">
        <v>16035</v>
      </c>
      <c r="C16030">
        <f>HYPERLINK("C:\Users\franc\OneDrive\Documentos\MALENTIN KARIME\BANCO ESTADO\2012 DEPTO ESCRITURAS fata\Dc Simples\RESPALDO comp notaria 27_12_12\NOTARIA 2012\MINAS\S.L.M. LA CAHUINERA.doc", "Abrir Documento")</f>
        <v>0</v>
      </c>
      <c r="D16030" t="s">
        <v>23500</v>
      </c>
      <c r="E16030" t="s">
        <v>38505</v>
      </c>
    </row>
    <row r="16031" spans="1:5">
      <c r="A16031" t="s">
        <v>6</v>
      </c>
      <c r="B16031" t="s">
        <v>16036</v>
      </c>
      <c r="C16031">
        <f>HYPERLINK("C:\Users\franc\OneDrive\Documentos\MALENTIN KARIME\BANCO ESTADO\2012 DEPTO ESCRITURAS fata\Dc Simples\RESPALDO comp notaria 27_12_12\NOTARIA 2012\MINAS\S.L.M. LA BELEN.doc", "Abrir Documento")</f>
        <v>0</v>
      </c>
      <c r="D16031" t="s">
        <v>23500</v>
      </c>
      <c r="E16031" t="s">
        <v>38506</v>
      </c>
    </row>
    <row r="16032" spans="1:5">
      <c r="A16032" t="s">
        <v>6</v>
      </c>
      <c r="B16032" t="s">
        <v>16037</v>
      </c>
      <c r="C16032">
        <f>HYPERLINK("C:\Users\franc\OneDrive\Documentos\MALENTIN KARIME\BANCO ESTADO\2012 DEPTO ESCRITURAS fata\Dc Simples\RESPALDO comp notaria 27_12_12\NOTARIA 2012\MINAS\S.L.M. LA BELEN UNO DE OVALLE.doc", "Abrir Documento")</f>
        <v>0</v>
      </c>
      <c r="D16032" t="s">
        <v>23500</v>
      </c>
      <c r="E16032" t="s">
        <v>38507</v>
      </c>
    </row>
    <row r="16033" spans="1:5">
      <c r="A16033" t="s">
        <v>6</v>
      </c>
      <c r="B16033" t="s">
        <v>16038</v>
      </c>
      <c r="C16033">
        <f>HYPERLINK("C:\Users\franc\OneDrive\Documentos\MALENTIN KARIME\BANCO ESTADO\2012 DEPTO ESCRITURAS fata\Dc Simples\RESPALDO comp notaria 27_12_12\NOTARIA 2012\MINAS\S.L.M. LA AURORITA.doc", "Abrir Documento")</f>
        <v>0</v>
      </c>
      <c r="D16033" t="s">
        <v>23500</v>
      </c>
      <c r="E16033" t="s">
        <v>38508</v>
      </c>
    </row>
    <row r="16034" spans="1:5">
      <c r="A16034" t="s">
        <v>6</v>
      </c>
      <c r="B16034" t="s">
        <v>16039</v>
      </c>
      <c r="C16034">
        <f>HYPERLINK("C:\Users\franc\OneDrive\Documentos\MALENTIN KARIME\BANCO ESTADO\2012 DEPTO ESCRITURAS fata\Dc Simples\RESPALDO comp notaria 27_12_12\NOTARIA 2012\MINAS\S.L.M. LA AMOLANA.doc", "Abrir Documento")</f>
        <v>0</v>
      </c>
      <c r="D16034" t="s">
        <v>23500</v>
      </c>
      <c r="E16034" t="s">
        <v>38509</v>
      </c>
    </row>
    <row r="16035" spans="1:5">
      <c r="A16035" t="s">
        <v>6</v>
      </c>
      <c r="B16035" t="s">
        <v>16040</v>
      </c>
      <c r="C16035">
        <f>HYPERLINK("C:\Users\franc\OneDrive\Documentos\MALENTIN KARIME\BANCO ESTADO\2012 DEPTO ESCRITURAS fata\Dc Simples\RESPALDO comp notaria 27_12_12\NOTARIA 2012\MINAS\S.L.M. LA AMARILLA 1-20.doc", "Abrir Documento")</f>
        <v>0</v>
      </c>
      <c r="D16035" t="s">
        <v>23500</v>
      </c>
      <c r="E16035" t="s">
        <v>38510</v>
      </c>
    </row>
    <row r="16036" spans="1:5">
      <c r="A16036" t="s">
        <v>6</v>
      </c>
      <c r="B16036" t="s">
        <v>16041</v>
      </c>
      <c r="C16036">
        <f>HYPERLINK("C:\Users\franc\OneDrive\Documentos\MALENTIN KARIME\BANCO ESTADO\2012 DEPTO ESCRITURAS fata\Dc Simples\RESPALDO comp notaria 27_12_12\NOTARIA 2012\MINAS\S.L.M. JUANA A.doc", "Abrir Documento")</f>
        <v>0</v>
      </c>
      <c r="D16036" t="s">
        <v>23500</v>
      </c>
      <c r="E16036" t="s">
        <v>38511</v>
      </c>
    </row>
    <row r="16037" spans="1:5">
      <c r="A16037" t="s">
        <v>6</v>
      </c>
      <c r="B16037" t="s">
        <v>16042</v>
      </c>
      <c r="C16037">
        <f>HYPERLINK("C:\Users\franc\OneDrive\Documentos\MALENTIN KARIME\BANCO ESTADO\2012 DEPTO ESCRITURAS fata\Dc Simples\RESPALDO comp notaria 27_12_12\NOTARIA 2012\MINAS\S.L.M. FLOR DEL BOSQUE.doc", "Abrir Documento")</f>
        <v>0</v>
      </c>
      <c r="D16037" t="s">
        <v>23500</v>
      </c>
      <c r="E16037" t="s">
        <v>38512</v>
      </c>
    </row>
    <row r="16038" spans="1:5">
      <c r="A16038" t="s">
        <v>6</v>
      </c>
      <c r="B16038" t="s">
        <v>16043</v>
      </c>
      <c r="C16038">
        <f>HYPERLINK("C:\Users\franc\OneDrive\Documentos\MALENTIN KARIME\BANCO ESTADO\2012 DEPTO ESCRITURAS fata\Dc Simples\RESPALDO comp notaria 27_12_12\NOTARIA 2012\MINAS\S.L.M. EL ROSARIO UNO DE PUNITAQUI.doc", "Abrir Documento")</f>
        <v>0</v>
      </c>
      <c r="D16038" t="s">
        <v>23500</v>
      </c>
      <c r="E16038" t="s">
        <v>38513</v>
      </c>
    </row>
    <row r="16039" spans="1:5">
      <c r="A16039" t="s">
        <v>6</v>
      </c>
      <c r="B16039" t="s">
        <v>16044</v>
      </c>
      <c r="C16039">
        <f>HYPERLINK("C:\Users\franc\OneDrive\Documentos\MALENTIN KARIME\BANCO ESTADO\2012 DEPTO ESCRITURAS fata\Dc Simples\RESPALDO comp notaria 27_12_12\NOTARIA 2012\MINAS\S.L.M. EL REVENTON.doc", "Abrir Documento")</f>
        <v>0</v>
      </c>
      <c r="D16039" t="s">
        <v>23500</v>
      </c>
      <c r="E16039" t="s">
        <v>38514</v>
      </c>
    </row>
    <row r="16040" spans="1:5">
      <c r="A16040" t="s">
        <v>6</v>
      </c>
      <c r="B16040" t="s">
        <v>16045</v>
      </c>
      <c r="C16040">
        <f>HYPERLINK("C:\Users\franc\OneDrive\Documentos\MALENTIN KARIME\BANCO ESTADO\2012 DEPTO ESCRITURAS fata\Dc Simples\RESPALDO comp notaria 27_12_12\NOTARIA 2012\MINAS\S.L.M. EL MANTO UNO DE LIMARI.doc", "Abrir Documento")</f>
        <v>0</v>
      </c>
      <c r="D16040" t="s">
        <v>23500</v>
      </c>
      <c r="E16040" t="s">
        <v>38515</v>
      </c>
    </row>
    <row r="16041" spans="1:5">
      <c r="A16041" t="s">
        <v>6</v>
      </c>
      <c r="B16041" t="s">
        <v>16046</v>
      </c>
      <c r="C16041">
        <f>HYPERLINK("C:\Users\franc\OneDrive\Documentos\MALENTIN KARIME\BANCO ESTADO\2012 DEPTO ESCRITURAS fata\Dc Simples\RESPALDO comp notaria 27_12_12\NOTARIA 2012\MINAS\S.L.M. DOS AMIGOS UNO DE RIO HURTADO.doc", "Abrir Documento")</f>
        <v>0</v>
      </c>
      <c r="D16041" t="s">
        <v>23500</v>
      </c>
      <c r="E16041" t="s">
        <v>38516</v>
      </c>
    </row>
    <row r="16042" spans="1:5">
      <c r="A16042" t="s">
        <v>6</v>
      </c>
      <c r="B16042" t="s">
        <v>16047</v>
      </c>
      <c r="C16042">
        <f>HYPERLINK("C:\Users\franc\OneDrive\Documentos\MALENTIN KARIME\BANCO ESTADO\2012 DEPTO ESCRITURAS fata\Dc Simples\RESPALDO comp notaria 27_12_12\NOTARIA 2012\MINAS\S.L.M. DOS AMIGOS a Juan Cortes.doc", "Abrir Documento")</f>
        <v>0</v>
      </c>
      <c r="D16042" t="s">
        <v>23500</v>
      </c>
      <c r="E16042" t="s">
        <v>38517</v>
      </c>
    </row>
    <row r="16043" spans="1:5">
      <c r="A16043" t="s">
        <v>6</v>
      </c>
      <c r="B16043" t="s">
        <v>16048</v>
      </c>
      <c r="C16043">
        <f>HYPERLINK("C:\Users\franc\OneDrive\Documentos\MALENTIN KARIME\BANCO ESTADO\2012 DEPTO ESCRITURAS fata\Dc Simples\RESPALDO comp notaria 27_12_12\NOTARIA 2012\MINAS\S.L.M. DON MATIAS.doc", "Abrir Documento")</f>
        <v>0</v>
      </c>
      <c r="D16043" t="s">
        <v>23500</v>
      </c>
      <c r="E16043" t="s">
        <v>38518</v>
      </c>
    </row>
    <row r="16044" spans="1:5">
      <c r="A16044" t="s">
        <v>6</v>
      </c>
      <c r="B16044" t="s">
        <v>16049</v>
      </c>
      <c r="C16044">
        <f>HYPERLINK("C:\Users\franc\OneDrive\Documentos\MALENTIN KARIME\BANCO ESTADO\2012 DEPTO ESCRITURAS fata\Dc Simples\RESPALDO comp notaria 27_12_12\NOTARIA 2012\MINAS\S.L.M. DIVISADERO.doc", "Abrir Documento")</f>
        <v>0</v>
      </c>
      <c r="D16044" t="s">
        <v>23500</v>
      </c>
      <c r="E16044" t="s">
        <v>38519</v>
      </c>
    </row>
    <row r="16045" spans="1:5">
      <c r="A16045" t="s">
        <v>6</v>
      </c>
      <c r="B16045" t="s">
        <v>16050</v>
      </c>
      <c r="C16045">
        <f>HYPERLINK("C:\Users\franc\OneDrive\Documentos\MALENTIN KARIME\BANCO ESTADO\2012 DEPTO ESCRITURAS fata\Dc Simples\RESPALDO comp notaria 27_12_12\NOTARIA 2012\MINAS\S.L.M. DIVISADERO DOS a victor.doc", "Abrir Documento")</f>
        <v>0</v>
      </c>
      <c r="D16045" t="s">
        <v>23500</v>
      </c>
      <c r="E16045" t="s">
        <v>38520</v>
      </c>
    </row>
    <row r="16046" spans="1:5">
      <c r="A16046" t="s">
        <v>6</v>
      </c>
      <c r="B16046" t="s">
        <v>16051</v>
      </c>
      <c r="C16046">
        <f>HYPERLINK("C:\Users\franc\OneDrive\Documentos\MALENTIN KARIME\BANCO ESTADO\2012 DEPTO ESCRITURAS fata\Dc Simples\RESPALDO comp notaria 27_12_12\NOTARIA 2012\MINAS\S.L.M. DIVISADERO DOS a herman.doc", "Abrir Documento")</f>
        <v>0</v>
      </c>
      <c r="D16046" t="s">
        <v>23500</v>
      </c>
      <c r="E16046" t="s">
        <v>38521</v>
      </c>
    </row>
    <row r="16047" spans="1:5">
      <c r="A16047" t="s">
        <v>6</v>
      </c>
      <c r="B16047" t="s">
        <v>16052</v>
      </c>
      <c r="C16047">
        <f>HYPERLINK("C:\Users\franc\OneDrive\Documentos\MALENTIN KARIME\BANCO ESTADO\2012 DEPTO ESCRITURAS fata\Dc Simples\RESPALDO comp notaria 27_12_12\NOTARIA 2012\MINAS\S.L.M. CHILE UNO DE PUNITAQUI.doc", "Abrir Documento")</f>
        <v>0</v>
      </c>
      <c r="D16047" t="s">
        <v>23500</v>
      </c>
      <c r="E16047" t="s">
        <v>38522</v>
      </c>
    </row>
    <row r="16048" spans="1:5">
      <c r="A16048" t="s">
        <v>6</v>
      </c>
      <c r="B16048" t="s">
        <v>16053</v>
      </c>
      <c r="C16048">
        <f>HYPERLINK("C:\Users\franc\OneDrive\Documentos\MALENTIN KARIME\BANCO ESTADO\2012 DEPTO ESCRITURAS fata\Dc Simples\RESPALDO comp notaria 27_12_12\NOTARIA 2012\MINAS\S.L.M. CHANY.doc", "Abrir Documento")</f>
        <v>0</v>
      </c>
      <c r="D16048" t="s">
        <v>23500</v>
      </c>
      <c r="E16048" t="s">
        <v>38523</v>
      </c>
    </row>
    <row r="16049" spans="1:5">
      <c r="A16049" t="s">
        <v>6</v>
      </c>
      <c r="B16049" t="s">
        <v>16054</v>
      </c>
      <c r="C16049">
        <f>HYPERLINK("C:\Users\franc\OneDrive\Documentos\MALENTIN KARIME\BANCO ESTADO\2012 DEPTO ESCRITURAS fata\Dc Simples\RESPALDO comp notaria 27_12_12\NOTARIA 2012\MINAS\S.L.M. CAROLINA.doc", "Abrir Documento")</f>
        <v>0</v>
      </c>
      <c r="D16049" t="s">
        <v>23500</v>
      </c>
      <c r="E16049" t="s">
        <v>38524</v>
      </c>
    </row>
    <row r="16050" spans="1:5">
      <c r="A16050" t="s">
        <v>6</v>
      </c>
      <c r="B16050" t="s">
        <v>16055</v>
      </c>
      <c r="C16050">
        <f>HYPERLINK("C:\Users\franc\OneDrive\Documentos\MALENTIN KARIME\BANCO ESTADO\2012 DEPTO ESCRITURAS fata\Dc Simples\RESPALDO comp notaria 27_12_12\NOTARIA 2012\MINAS\S.L.M. AREA 51.doc", "Abrir Documento")</f>
        <v>0</v>
      </c>
      <c r="D16050" t="s">
        <v>23500</v>
      </c>
      <c r="E16050" t="s">
        <v>38525</v>
      </c>
    </row>
    <row r="16051" spans="1:5">
      <c r="A16051" t="s">
        <v>6</v>
      </c>
      <c r="B16051" t="s">
        <v>16056</v>
      </c>
      <c r="C16051">
        <f>HYPERLINK("C:\Users\franc\OneDrive\Documentos\MALENTIN KARIME\BANCO ESTADO\2012 DEPTO ESCRITURAS fata\Dc Simples\RESPALDO comp notaria 27_12_12\NOTARIA 2012\MINAS\S.L.M. ARAUCANA.doc", "Abrir Documento")</f>
        <v>0</v>
      </c>
      <c r="D16051" t="s">
        <v>23500</v>
      </c>
      <c r="E16051" t="s">
        <v>38526</v>
      </c>
    </row>
    <row r="16052" spans="1:5">
      <c r="A16052" t="s">
        <v>6</v>
      </c>
      <c r="B16052" t="s">
        <v>16057</v>
      </c>
      <c r="C16052">
        <f>HYPERLINK("C:\Users\franc\OneDrive\Documentos\MALENTIN KARIME\BANCO ESTADO\2012 DEPTO ESCRITURAS fata\Dc Simples\RESPALDO comp notaria 27_12_12\NOTARIA 2012\MINAS\S.L.M. AGUA LOS PAJARITOS.doc", "Abrir Documento")</f>
        <v>0</v>
      </c>
      <c r="D16052" t="s">
        <v>23500</v>
      </c>
      <c r="E16052" t="s">
        <v>38527</v>
      </c>
    </row>
    <row r="16053" spans="1:5">
      <c r="A16053" t="s">
        <v>6</v>
      </c>
      <c r="B16053" t="s">
        <v>16058</v>
      </c>
      <c r="C16053">
        <f>HYPERLINK("C:\Users\franc\OneDrive\Documentos\MALENTIN KARIME\BANCO ESTADO\2012 DEPTO ESCRITURAS fata\Dc Simples\RESPALDO comp notaria 27_12_12\NOTARIA 2012\MINAS\S.L.M NUEVA VIGORENA.doc", "Abrir Documento")</f>
        <v>0</v>
      </c>
      <c r="D16053" t="s">
        <v>23500</v>
      </c>
      <c r="E16053" t="s">
        <v>38528</v>
      </c>
    </row>
    <row r="16054" spans="1:5">
      <c r="A16054" t="s">
        <v>6</v>
      </c>
      <c r="B16054" t="s">
        <v>16059</v>
      </c>
      <c r="C16054">
        <f>HYPERLINK("C:\Users\franc\OneDrive\Documentos\MALENTIN KARIME\BANCO ESTADO\2012 DEPTO ESCRITURAS fata\Dc Simples\RESPALDO comp notaria 27_12_12\NOTARIA 2012\MINAS\S.L.M MINA ESCORPION.doc", "Abrir Documento")</f>
        <v>0</v>
      </c>
      <c r="D16054" t="s">
        <v>23500</v>
      </c>
      <c r="E16054" t="s">
        <v>38529</v>
      </c>
    </row>
    <row r="16055" spans="1:5">
      <c r="A16055" t="s">
        <v>6</v>
      </c>
      <c r="B16055" t="s">
        <v>16060</v>
      </c>
      <c r="C16055">
        <f>HYPERLINK("C:\Users\franc\OneDrive\Documentos\MALENTIN KARIME\BANCO ESTADO\2012 DEPTO ESCRITURAS fata\Dc Simples\RESPALDO comp notaria 27_12_12\NOTARIA 2012\MINAS\S.L.M LOS IBACACHES.doc", "Abrir Documento")</f>
        <v>0</v>
      </c>
      <c r="D16055" t="s">
        <v>23500</v>
      </c>
      <c r="E16055" t="s">
        <v>38530</v>
      </c>
    </row>
    <row r="16056" spans="1:5">
      <c r="A16056" t="s">
        <v>6</v>
      </c>
      <c r="B16056" t="s">
        <v>16061</v>
      </c>
      <c r="C16056">
        <f>HYPERLINK("C:\Users\franc\OneDrive\Documentos\MALENTIN KARIME\BANCO ESTADO\2012 DEPTO ESCRITURAS fata\Dc Simples\RESPALDO comp notaria 27_12_12\NOTARIA 2012\MINAS\S.L.M LA SOCIEDAD MTE. P..doc", "Abrir Documento")</f>
        <v>0</v>
      </c>
      <c r="D16056" t="s">
        <v>23500</v>
      </c>
      <c r="E16056" t="s">
        <v>38531</v>
      </c>
    </row>
    <row r="16057" spans="1:5">
      <c r="A16057" t="s">
        <v>6</v>
      </c>
      <c r="B16057" t="s">
        <v>16062</v>
      </c>
      <c r="C16057">
        <f>HYPERLINK("C:\Users\franc\OneDrive\Documentos\MALENTIN KARIME\BANCO ESTADO\2012 DEPTO ESCRITURAS fata\Dc Simples\RESPALDO comp notaria 27_12_12\NOTARIA 2012\MINAS\S.L.M LA ESPERANZA.doc", "Abrir Documento")</f>
        <v>0</v>
      </c>
      <c r="D16057" t="s">
        <v>23500</v>
      </c>
      <c r="E16057" t="s">
        <v>38532</v>
      </c>
    </row>
    <row r="16058" spans="1:5">
      <c r="A16058" t="s">
        <v>6</v>
      </c>
      <c r="B16058" t="s">
        <v>16063</v>
      </c>
      <c r="C16058">
        <f>HYPERLINK("C:\Users\franc\OneDrive\Documentos\MALENTIN KARIME\BANCO ESTADO\2012 DEPTO ESCRITURAS fata\Dc Simples\RESPALDO comp notaria 27_12_12\NOTARIA 2012\MINAS\S.L.M LA DESPRECIADA.doc", "Abrir Documento")</f>
        <v>0</v>
      </c>
      <c r="D16058" t="s">
        <v>23500</v>
      </c>
      <c r="E16058" t="s">
        <v>38533</v>
      </c>
    </row>
    <row r="16059" spans="1:5">
      <c r="A16059" t="s">
        <v>6</v>
      </c>
      <c r="B16059" t="s">
        <v>16064</v>
      </c>
      <c r="C16059">
        <f>HYPERLINK("C:\Users\franc\OneDrive\Documentos\MALENTIN KARIME\BANCO ESTADO\2012 DEPTO ESCRITURAS fata\Dc Simples\RESPALDO comp notaria 27_12_12\NOTARIA 2012\MINAS\S.L.M ESPERANZA UNO HERMAN.doc", "Abrir Documento")</f>
        <v>0</v>
      </c>
      <c r="D16059" t="s">
        <v>23500</v>
      </c>
      <c r="E16059" t="s">
        <v>38534</v>
      </c>
    </row>
    <row r="16060" spans="1:5">
      <c r="A16060" t="s">
        <v>6</v>
      </c>
      <c r="B16060" t="s">
        <v>16065</v>
      </c>
      <c r="C16060">
        <f>HYPERLINK("C:\Users\franc\OneDrive\Documentos\MALENTIN KARIME\BANCO ESTADO\2012 DEPTO ESCRITURAS fata\Dc Simples\RESPALDO comp notaria 27_12_12\NOTARIA 2012\MINAS\S.L.M ESPERANZA UNO DE SAN PEDRO DE QUILES.doc", "Abrir Documento")</f>
        <v>0</v>
      </c>
      <c r="D16060" t="s">
        <v>23500</v>
      </c>
      <c r="E16060" t="s">
        <v>38535</v>
      </c>
    </row>
    <row r="16061" spans="1:5">
      <c r="A16061" t="s">
        <v>6</v>
      </c>
      <c r="B16061" t="s">
        <v>16066</v>
      </c>
      <c r="C16061">
        <f>HYPERLINK("C:\Users\franc\OneDrive\Documentos\MALENTIN KARIME\BANCO ESTADO\2012 DEPTO ESCRITURAS fata\Dc Simples\RESPALDO comp notaria 27_12_12\NOTARIA 2012\MINAS\S.L.M BUENA VISTA UNO.doc", "Abrir Documento")</f>
        <v>0</v>
      </c>
      <c r="D16061" t="s">
        <v>23500</v>
      </c>
      <c r="E16061" t="s">
        <v>38536</v>
      </c>
    </row>
    <row r="16062" spans="1:5">
      <c r="A16062" t="s">
        <v>6</v>
      </c>
      <c r="B16062" t="s">
        <v>16067</v>
      </c>
      <c r="C16062">
        <f>HYPERLINK("C:\Users\franc\OneDrive\Documentos\MALENTIN KARIME\BANCO ESTADO\2012 DEPTO ESCRITURAS fata\Dc Simples\RESPALDO comp notaria 27_12_12\NOTARIA 2012\MINAS\S.L.M BUENA VISTA DOS.doc", "Abrir Documento")</f>
        <v>0</v>
      </c>
      <c r="D16062" t="s">
        <v>23500</v>
      </c>
      <c r="E16062" t="s">
        <v>38537</v>
      </c>
    </row>
    <row r="16063" spans="1:5">
      <c r="A16063" t="s">
        <v>6</v>
      </c>
      <c r="B16063" t="s">
        <v>16068</v>
      </c>
      <c r="C16063">
        <f>HYPERLINK("C:\Users\franc\OneDrive\Documentos\MALENTIN KARIME\BANCO ESTADO\2012 DEPTO ESCRITURAS fata\Dc Simples\RESPALDO comp notaria 27_12_12\NOTARIA 2012\MINAS\ROCIO RAMIREZ.doc", "Abrir Documento")</f>
        <v>0</v>
      </c>
      <c r="D16063" t="s">
        <v>23500</v>
      </c>
      <c r="E16063" t="s">
        <v>38538</v>
      </c>
    </row>
    <row r="16064" spans="1:5">
      <c r="A16064" t="s">
        <v>6</v>
      </c>
      <c r="B16064" t="s">
        <v>16069</v>
      </c>
      <c r="C16064">
        <f>HYPERLINK("C:\Users\franc\OneDrive\Documentos\MALENTIN KARIME\BANCO ESTADO\2012 DEPTO ESCRITURAS fata\Dc Simples\RESPALDO comp notaria 27_12_12\NOTARIA 2012\MINAS\RESCILIACIONooo.doc", "Abrir Documento")</f>
        <v>0</v>
      </c>
      <c r="D16064" t="s">
        <v>23500</v>
      </c>
      <c r="E16064" t="s">
        <v>38539</v>
      </c>
    </row>
    <row r="16065" spans="1:5">
      <c r="A16065" t="s">
        <v>6</v>
      </c>
      <c r="B16065" t="s">
        <v>16070</v>
      </c>
      <c r="C16065">
        <f>HYPERLINK("C:\Users\franc\OneDrive\Documentos\MALENTIN KARIME\BANCO ESTADO\2012 DEPTO ESCRITURAS fata\Dc Simples\RESPALDO comp notaria 27_12_12\NOTARIA 2012\MINAS\RESCILIACION.doc", "Abrir Documento")</f>
        <v>0</v>
      </c>
      <c r="D16065" t="s">
        <v>23500</v>
      </c>
      <c r="E16065" t="s">
        <v>38540</v>
      </c>
    </row>
    <row r="16066" spans="1:5">
      <c r="A16066" t="s">
        <v>6</v>
      </c>
      <c r="B16066" t="s">
        <v>16071</v>
      </c>
      <c r="C16066">
        <f>HYPERLINK("C:\Users\franc\OneDrive\Documentos\MALENTIN KARIME\BANCO ESTADO\2012 DEPTO ESCRITURAS fata\Dc Simples\RESPALDO comp notaria 27_12_12\NOTARIA 2012\MINAS\RESCILIACION XAVIER.doc", "Abrir Documento")</f>
        <v>0</v>
      </c>
      <c r="D16066" t="s">
        <v>23500</v>
      </c>
      <c r="E16066" t="s">
        <v>38541</v>
      </c>
    </row>
    <row r="16067" spans="1:5">
      <c r="A16067" t="s">
        <v>6</v>
      </c>
      <c r="B16067" t="s">
        <v>16072</v>
      </c>
      <c r="C16067">
        <f>HYPERLINK("C:\Users\franc\OneDrive\Documentos\MALENTIN KARIME\BANCO ESTADO\2012 DEPTO ESCRITURAS fata\Dc Simples\RESPALDO comp notaria 27_12_12\NOTARIA 2012\MINAS\RESCILIACION SOC..doc", "Abrir Documento")</f>
        <v>0</v>
      </c>
      <c r="D16067" t="s">
        <v>23500</v>
      </c>
      <c r="E16067" t="s">
        <v>38542</v>
      </c>
    </row>
    <row r="16068" spans="1:5">
      <c r="A16068" t="s">
        <v>6</v>
      </c>
      <c r="B16068" t="s">
        <v>16073</v>
      </c>
      <c r="C16068">
        <f>HYPERLINK("C:\Users\franc\OneDrive\Documentos\MALENTIN KARIME\BANCO ESTADO\2012 DEPTO ESCRITURAS fata\Dc Simples\RESPALDO comp notaria 27_12_12\NOTARIA 2012\MINAS\RESCILIACION MOLLE.doc", "Abrir Documento")</f>
        <v>0</v>
      </c>
      <c r="D16068" t="s">
        <v>23500</v>
      </c>
      <c r="E16068" t="s">
        <v>38543</v>
      </c>
    </row>
    <row r="16069" spans="1:5">
      <c r="A16069" t="s">
        <v>6</v>
      </c>
      <c r="B16069" t="s">
        <v>16074</v>
      </c>
      <c r="C16069">
        <f>HYPERLINK("C:\Users\franc\OneDrive\Documentos\MALENTIN KARIME\BANCO ESTADO\2012 DEPTO ESCRITURAS fata\Dc Simples\RESPALDO comp notaria 27_12_12\NOTARIA 2012\MINAS\RESCILIACION LOLO.doc", "Abrir Documento")</f>
        <v>0</v>
      </c>
      <c r="D16069" t="s">
        <v>23500</v>
      </c>
      <c r="E16069" t="s">
        <v>38544</v>
      </c>
    </row>
    <row r="16070" spans="1:5">
      <c r="A16070" t="s">
        <v>6</v>
      </c>
      <c r="B16070" t="s">
        <v>16075</v>
      </c>
      <c r="C16070">
        <f>HYPERLINK("C:\Users\franc\OneDrive\Documentos\MALENTIN KARIME\BANCO ESTADO\2012 DEPTO ESCRITURAS fata\Dc Simples\RESPALDO comp notaria 27_12_12\NOTARIA 2012\MINAS\RESCILIACION LINO.doc", "Abrir Documento")</f>
        <v>0</v>
      </c>
      <c r="D16070" t="s">
        <v>23500</v>
      </c>
      <c r="E16070" t="s">
        <v>38545</v>
      </c>
    </row>
    <row r="16071" spans="1:5">
      <c r="A16071" t="s">
        <v>6</v>
      </c>
      <c r="B16071" t="s">
        <v>16076</v>
      </c>
      <c r="C16071">
        <f>HYPERLINK("C:\Users\franc\OneDrive\Documentos\MALENTIN KARIME\BANCO ESTADO\2012 DEPTO ESCRITURAS fata\Dc Simples\RESPALDO comp notaria 27_12_12\NOTARIA 2012\MINAS\RESCILIACION CONTRATO MINERO.doc", "Abrir Documento")</f>
        <v>0</v>
      </c>
      <c r="D16071" t="s">
        <v>23500</v>
      </c>
      <c r="E16071" t="s">
        <v>38546</v>
      </c>
    </row>
    <row r="16072" spans="1:5">
      <c r="A16072" t="s">
        <v>6</v>
      </c>
      <c r="B16072" t="s">
        <v>16077</v>
      </c>
      <c r="C16072">
        <f>HYPERLINK("C:\Users\franc\OneDrive\Documentos\MALENTIN KARIME\BANCO ESTADO\2012 DEPTO ESCRITURAS fata\Dc Simples\RESPALDO comp notaria 27_12_12\NOTARIA 2012\MINAS\RESC. WLADIMIRO TAPIA.doc", "Abrir Documento")</f>
        <v>0</v>
      </c>
      <c r="D16072" t="s">
        <v>23500</v>
      </c>
      <c r="E16072" t="s">
        <v>38547</v>
      </c>
    </row>
    <row r="16073" spans="1:5">
      <c r="A16073" t="s">
        <v>6</v>
      </c>
      <c r="B16073" t="s">
        <v>16078</v>
      </c>
      <c r="C16073">
        <f>HYPERLINK("C:\Users\franc\OneDrive\Documentos\MALENTIN KARIME\BANCO ESTADO\2012 DEPTO ESCRITURAS fata\Dc Simples\RESPALDO comp notaria 27_12_12\NOTARIA 2012\MINAS\RESC. SAN FELIX.doc", "Abrir Documento")</f>
        <v>0</v>
      </c>
      <c r="D16073" t="s">
        <v>23500</v>
      </c>
      <c r="E16073" t="s">
        <v>38548</v>
      </c>
    </row>
    <row r="16074" spans="1:5">
      <c r="A16074" t="s">
        <v>6</v>
      </c>
      <c r="B16074" t="s">
        <v>16079</v>
      </c>
      <c r="C16074">
        <f>HYPERLINK("C:\Users\franc\OneDrive\Documentos\MALENTIN KARIME\BANCO ESTADO\2012 DEPTO ESCRITURAS fata\Dc Simples\RESPALDO comp notaria 27_12_12\NOTARIA 2012\MINAS\RESC. CARMEN 1-20.doc", "Abrir Documento")</f>
        <v>0</v>
      </c>
      <c r="D16074" t="s">
        <v>23500</v>
      </c>
      <c r="E16074" t="s">
        <v>38549</v>
      </c>
    </row>
    <row r="16075" spans="1:5">
      <c r="A16075" t="s">
        <v>6</v>
      </c>
      <c r="B16075" t="s">
        <v>16080</v>
      </c>
      <c r="C16075">
        <f>HYPERLINK("C:\Users\franc\OneDrive\Documentos\MALENTIN KARIME\BANCO ESTADO\2012 DEPTO ESCRITURAS fata\Dc Simples\RESPALDO comp notaria 27_12_12\NOTARIA 2012\MINAS\RESC. BLANCO Y NEGRO.doc", "Abrir Documento")</f>
        <v>0</v>
      </c>
      <c r="D16075" t="s">
        <v>23500</v>
      </c>
      <c r="E16075" t="s">
        <v>38550</v>
      </c>
    </row>
    <row r="16076" spans="1:5">
      <c r="A16076" t="s">
        <v>6</v>
      </c>
      <c r="B16076" t="s">
        <v>16081</v>
      </c>
      <c r="C16076">
        <f>HYPERLINK("C:\Users\franc\OneDrive\Documentos\MALENTIN KARIME\BANCO ESTADO\2012 DEPTO ESCRITURAS fata\Dc Simples\RESPALDO comp notaria 27_12_12\NOTARIA 2012\MINAS\RES.  EL  FRONTON.doc", "Abrir Documento")</f>
        <v>0</v>
      </c>
      <c r="D16076" t="s">
        <v>23500</v>
      </c>
      <c r="E16076" t="s">
        <v>38551</v>
      </c>
    </row>
    <row r="16077" spans="1:5">
      <c r="A16077" t="s">
        <v>6</v>
      </c>
      <c r="B16077" t="s">
        <v>16082</v>
      </c>
      <c r="C16077">
        <f>HYPERLINK("C:\Users\franc\OneDrive\Documentos\MALENTIN KARIME\BANCO ESTADO\2012 DEPTO ESCRITURAS fata\Dc Simples\RESPALDO comp notaria 27_12_12\NOTARIA 2012\MINAS\REGRESO A LA GRANJA.doc", "Abrir Documento")</f>
        <v>0</v>
      </c>
      <c r="D16077" t="s">
        <v>23500</v>
      </c>
      <c r="E16077" t="s">
        <v>38552</v>
      </c>
    </row>
    <row r="16078" spans="1:5">
      <c r="A16078" t="s">
        <v>6</v>
      </c>
      <c r="B16078" t="s">
        <v>16083</v>
      </c>
      <c r="C16078">
        <f>HYPERLINK("C:\Users\franc\OneDrive\Documentos\MALENTIN KARIME\BANCO ESTADO\2012 DEPTO ESCRITURAS fata\Dc Simples\RESPALDO comp notaria 27_12_12\NOTARIA 2012\MINAS\PUNTA DIAMANTE.doc", "Abrir Documento")</f>
        <v>0</v>
      </c>
      <c r="D16078" t="s">
        <v>23500</v>
      </c>
      <c r="E16078" t="s">
        <v>38553</v>
      </c>
    </row>
    <row r="16079" spans="1:5">
      <c r="A16079" t="s">
        <v>6</v>
      </c>
      <c r="B16079" t="s">
        <v>16084</v>
      </c>
      <c r="C16079">
        <f>HYPERLINK("C:\Users\franc\OneDrive\Documentos\MALENTIN KARIME\BANCO ESTADO\2012 DEPTO ESCRITURAS fata\Dc Simples\RESPALDO comp notaria 27_12_12\NOTARIA 2012\MINAS\PORTEZUELO A SERMIN.doc", "Abrir Documento")</f>
        <v>0</v>
      </c>
      <c r="D16079" t="s">
        <v>23500</v>
      </c>
      <c r="E16079" t="s">
        <v>38554</v>
      </c>
    </row>
    <row r="16080" spans="1:5">
      <c r="A16080" t="s">
        <v>6</v>
      </c>
      <c r="B16080" t="s">
        <v>16085</v>
      </c>
      <c r="C16080">
        <f>HYPERLINK("C:\Users\franc\OneDrive\Documentos\MALENTIN KARIME\BANCO ESTADO\2012 DEPTO ESCRITURAS fata\Dc Simples\RESPALDO comp notaria 27_12_12\NOTARIA 2012\MINAS\POR CASUALIDAD.doc", "Abrir Documento")</f>
        <v>0</v>
      </c>
      <c r="D16080" t="s">
        <v>23500</v>
      </c>
      <c r="E16080" t="s">
        <v>38555</v>
      </c>
    </row>
    <row r="16081" spans="1:5">
      <c r="A16081" t="s">
        <v>6</v>
      </c>
      <c r="B16081" t="s">
        <v>16086</v>
      </c>
      <c r="C16081">
        <f>HYPERLINK("C:\Users\franc\OneDrive\Documentos\MALENTIN KARIME\BANCO ESTADO\2012 DEPTO ESCRITURAS fata\Dc Simples\RESPALDO comp notaria 27_12_12\NOTARIA 2012\MINAS\PEÑABLANCA 1 AL 14.doc", "Abrir Documento")</f>
        <v>0</v>
      </c>
      <c r="D16081" t="s">
        <v>23500</v>
      </c>
      <c r="E16081" t="s">
        <v>38556</v>
      </c>
    </row>
    <row r="16082" spans="1:5">
      <c r="A16082" t="s">
        <v>6</v>
      </c>
      <c r="B16082" t="s">
        <v>16087</v>
      </c>
      <c r="C16082">
        <f>HYPERLINK("C:\Users\franc\OneDrive\Documentos\MALENTIN KARIME\BANCO ESTADO\2012 DEPTO ESCRITURAS fata\Dc Simples\RESPALDO comp notaria 27_12_12\NOTARIA 2012\MINAS\PERFECTO OLIVARES.doc", "Abrir Documento")</f>
        <v>0</v>
      </c>
      <c r="D16082" t="s">
        <v>23500</v>
      </c>
      <c r="E16082" t="s">
        <v>38557</v>
      </c>
    </row>
    <row r="16083" spans="1:5">
      <c r="A16083" t="s">
        <v>6</v>
      </c>
      <c r="B16083" t="s">
        <v>16088</v>
      </c>
      <c r="C16083">
        <f>HYPERLINK("C:\Users\franc\OneDrive\Documentos\MALENTIN KARIME\BANCO ESTADO\2012 DEPTO ESCRITURAS fata\Dc Simples\RESPALDO comp notaria 27_12_12\NOTARIA 2012\MINAS\PELICANO.doc", "Abrir Documento")</f>
        <v>0</v>
      </c>
      <c r="D16083" t="s">
        <v>23500</v>
      </c>
      <c r="E16083" t="s">
        <v>38558</v>
      </c>
    </row>
    <row r="16084" spans="1:5">
      <c r="A16084" t="s">
        <v>6</v>
      </c>
      <c r="B16084" t="s">
        <v>16089</v>
      </c>
      <c r="C16084">
        <f>HYPERLINK("C:\Users\franc\OneDrive\Documentos\MALENTIN KARIME\BANCO ESTADO\2012 DEPTO ESCRITURAS fata\Dc Simples\RESPALDO comp notaria 27_12_12\NOTARIA 2012\MINAS\PATRIA Y LIBERTAD.doc", "Abrir Documento")</f>
        <v>0</v>
      </c>
      <c r="D16084" t="s">
        <v>23500</v>
      </c>
      <c r="E16084" t="s">
        <v>38559</v>
      </c>
    </row>
    <row r="16085" spans="1:5">
      <c r="A16085" t="s">
        <v>6</v>
      </c>
      <c r="B16085" t="s">
        <v>16090</v>
      </c>
      <c r="C16085">
        <f>HYPERLINK("C:\Users\franc\OneDrive\Documentos\MALENTIN KARIME\BANCO ESTADO\2012 DEPTO ESCRITURAS fata\Dc Simples\RESPALDO comp notaria 27_12_12\NOTARIA 2012\MINAS\ORQUIDEA 1-10.doc", "Abrir Documento")</f>
        <v>0</v>
      </c>
      <c r="D16085" t="s">
        <v>23500</v>
      </c>
      <c r="E16085" t="s">
        <v>38560</v>
      </c>
    </row>
    <row r="16086" spans="1:5">
      <c r="A16086" t="s">
        <v>6</v>
      </c>
      <c r="B16086" t="s">
        <v>16091</v>
      </c>
      <c r="C16086">
        <f>HYPERLINK("C:\Users\franc\OneDrive\Documentos\MALENTIN KARIME\BANCO ESTADO\2012 DEPTO ESCRITURAS fata\Dc Simples\RESPALDO comp notaria 27_12_12\NOTARIA 2012\MINAS\OLIBILLO.doc", "Abrir Documento")</f>
        <v>0</v>
      </c>
      <c r="D16086" t="s">
        <v>23500</v>
      </c>
      <c r="E16086" t="s">
        <v>38561</v>
      </c>
    </row>
    <row r="16087" spans="1:5">
      <c r="A16087" t="s">
        <v>6</v>
      </c>
      <c r="B16087" t="s">
        <v>16092</v>
      </c>
      <c r="C16087">
        <f>HYPERLINK("C:\Users\franc\OneDrive\Documentos\MALENTIN KARIME\BANCO ESTADO\2012 DEPTO ESCRITURAS fata\Dc Simples\RESPALDO comp notaria 27_12_12\NOTARIA 2012\MINAS\NOEMI.doc", "Abrir Documento")</f>
        <v>0</v>
      </c>
      <c r="D16087" t="s">
        <v>23500</v>
      </c>
      <c r="E16087" t="s">
        <v>38562</v>
      </c>
    </row>
    <row r="16088" spans="1:5">
      <c r="A16088" t="s">
        <v>6</v>
      </c>
      <c r="B16088" t="s">
        <v>16093</v>
      </c>
      <c r="C16088">
        <f>HYPERLINK("C:\Users\franc\OneDrive\Documentos\MALENTIN KARIME\BANCO ESTADO\2012 DEPTO ESCRITURAS fata\Dc Simples\RESPALDO comp notaria 27_12_12\NOTARIA 2012\MINAS\NOEMI A SERGIO MUÑOZ.doc", "Abrir Documento")</f>
        <v>0</v>
      </c>
      <c r="D16088" t="s">
        <v>23500</v>
      </c>
      <c r="E16088" t="s">
        <v>38563</v>
      </c>
    </row>
    <row r="16089" spans="1:5">
      <c r="A16089" t="s">
        <v>6</v>
      </c>
      <c r="B16089" t="s">
        <v>16094</v>
      </c>
      <c r="C16089">
        <f>HYPERLINK("C:\Users\franc\OneDrive\Documentos\MALENTIN KARIME\BANCO ESTADO\2012 DEPTO ESCRITURAS fata\Dc Simples\RESPALDO comp notaria 27_12_12\NOTARIA 2012\MINAS\NOEMI A LEONARDO MUÑOZ.doc", "Abrir Documento")</f>
        <v>0</v>
      </c>
      <c r="D16089" t="s">
        <v>23500</v>
      </c>
      <c r="E16089" t="s">
        <v>38564</v>
      </c>
    </row>
    <row r="16090" spans="1:5">
      <c r="A16090" t="s">
        <v>6</v>
      </c>
      <c r="B16090" t="s">
        <v>16095</v>
      </c>
      <c r="C16090">
        <f>HYPERLINK("C:\Users\franc\OneDrive\Documentos\MALENTIN KARIME\BANCO ESTADO\2012 DEPTO ESCRITURAS fata\Dc Simples\RESPALDO comp notaria 27_12_12\NOTARIA 2012\MINAS\NOEMI 1-16.doc", "Abrir Documento")</f>
        <v>0</v>
      </c>
      <c r="D16090" t="s">
        <v>23500</v>
      </c>
      <c r="E16090" t="s">
        <v>38565</v>
      </c>
    </row>
    <row r="16091" spans="1:5">
      <c r="A16091" t="s">
        <v>6</v>
      </c>
      <c r="B16091" t="s">
        <v>16096</v>
      </c>
      <c r="C16091">
        <f>HYPERLINK("C:\Users\franc\OneDrive\Documentos\MALENTIN KARIME\BANCO ESTADO\2012 DEPTO ESCRITURAS fata\Dc Simples\RESPALDO comp notaria 27_12_12\NOTARIA 2012\MINAS\NISI UNA AL SIETE.doc", "Abrir Documento")</f>
        <v>0</v>
      </c>
      <c r="D16091" t="s">
        <v>23500</v>
      </c>
      <c r="E16091" t="s">
        <v>38566</v>
      </c>
    </row>
    <row r="16092" spans="1:5">
      <c r="A16092" t="s">
        <v>6</v>
      </c>
      <c r="B16092" t="s">
        <v>16097</v>
      </c>
      <c r="C16092">
        <f>HYPERLINK("C:\Users\franc\OneDrive\Documentos\MALENTIN KARIME\BANCO ESTADO\2012 DEPTO ESCRITURAS fata\Dc Simples\RESPALDO comp notaria 27_12_12\NOTARIA 2012\MINAS\NICO 1 AL 3.doc", "Abrir Documento")</f>
        <v>0</v>
      </c>
      <c r="D16092" t="s">
        <v>23500</v>
      </c>
      <c r="E16092" t="s">
        <v>38567</v>
      </c>
    </row>
    <row r="16093" spans="1:5">
      <c r="A16093" t="s">
        <v>6</v>
      </c>
      <c r="B16093" t="s">
        <v>16098</v>
      </c>
      <c r="C16093">
        <f>HYPERLINK("C:\Users\franc\OneDrive\Documentos\MALENTIN KARIME\BANCO ESTADO\2012 DEPTO ESCRITURAS fata\Dc Simples\RESPALDO comp notaria 27_12_12\NOTARIA 2012\MINAS\MUSTANG 1-20.doc", "Abrir Documento")</f>
        <v>0</v>
      </c>
      <c r="D16093" t="s">
        <v>23500</v>
      </c>
      <c r="E16093" t="s">
        <v>38568</v>
      </c>
    </row>
    <row r="16094" spans="1:5">
      <c r="A16094" t="s">
        <v>6</v>
      </c>
      <c r="B16094" t="s">
        <v>16099</v>
      </c>
      <c r="C16094">
        <f>HYPERLINK("C:\Users\franc\OneDrive\Documentos\MALENTIN KARIME\BANCO ESTADO\2012 DEPTO ESCRITURAS fata\Dc Simples\RESPALDO comp notaria 27_12_12\NOTARIA 2012\MINAS\MONSERRAT.doc", "Abrir Documento")</f>
        <v>0</v>
      </c>
      <c r="D16094" t="s">
        <v>23500</v>
      </c>
      <c r="E16094" t="s">
        <v>38569</v>
      </c>
    </row>
    <row r="16095" spans="1:5">
      <c r="A16095" t="s">
        <v>6</v>
      </c>
      <c r="B16095" t="s">
        <v>16100</v>
      </c>
      <c r="C16095">
        <f>HYPERLINK("C:\Users\franc\OneDrive\Documentos\MALENTIN KARIME\BANCO ESTADO\2012 DEPTO ESCRITURAS fata\Dc Simples\RESPALDO comp notaria 27_12_12\NOTARIA 2012\MINAS\MONO BLANCO 1-10.doc", "Abrir Documento")</f>
        <v>0</v>
      </c>
      <c r="D16095" t="s">
        <v>23500</v>
      </c>
      <c r="E16095" t="s">
        <v>38570</v>
      </c>
    </row>
    <row r="16096" spans="1:5">
      <c r="A16096" t="s">
        <v>6</v>
      </c>
      <c r="B16096" t="s">
        <v>16101</v>
      </c>
      <c r="C16096">
        <f>HYPERLINK("C:\Users\franc\OneDrive\Documentos\MALENTIN KARIME\BANCO ESTADO\2012 DEPTO ESCRITURAS fata\Dc Simples\RESPALDO comp notaria 27_12_12\NOTARIA 2012\MINAS\MODELO.doc", "Abrir Documento")</f>
        <v>0</v>
      </c>
      <c r="D16096" t="s">
        <v>23500</v>
      </c>
      <c r="E16096" t="s">
        <v>38571</v>
      </c>
    </row>
    <row r="16097" spans="1:5">
      <c r="A16097" t="s">
        <v>6</v>
      </c>
      <c r="B16097" t="s">
        <v>16102</v>
      </c>
      <c r="C16097">
        <f>HYPERLINK("C:\Users\franc\OneDrive\Documentos\MALENTIN KARIME\BANCO ESTADO\2012 DEPTO ESCRITURAS fata\Dc Simples\RESPALDO comp notaria 27_12_12\NOTARIA 2012\MINAS\MINA TRICAHUE DOS.doc", "Abrir Documento")</f>
        <v>0</v>
      </c>
      <c r="D16097" t="s">
        <v>23500</v>
      </c>
      <c r="E16097" t="s">
        <v>38572</v>
      </c>
    </row>
    <row r="16098" spans="1:5">
      <c r="A16098" t="s">
        <v>6</v>
      </c>
      <c r="B16098" t="s">
        <v>16103</v>
      </c>
      <c r="C16098">
        <f>HYPERLINK("C:\Users\franc\OneDrive\Documentos\MALENTIN KARIME\BANCO ESTADO\2012 DEPTO ESCRITURAS fata\Dc Simples\RESPALDO comp notaria 27_12_12\NOTARIA 2012\MINAS\MINA SANTA HILDA 1 AL 20.doc", "Abrir Documento")</f>
        <v>0</v>
      </c>
      <c r="D16098" t="s">
        <v>23500</v>
      </c>
      <c r="E16098" t="s">
        <v>38573</v>
      </c>
    </row>
    <row r="16099" spans="1:5">
      <c r="A16099" t="s">
        <v>6</v>
      </c>
      <c r="B16099" t="s">
        <v>16104</v>
      </c>
      <c r="C16099">
        <f>HYPERLINK("C:\Users\franc\OneDrive\Documentos\MALENTIN KARIME\BANCO ESTADO\2012 DEPTO ESCRITURAS fata\Dc Simples\RESPALDO comp notaria 27_12_12\NOTARIA 2012\MINAS\MINA LA ESTRELLA.doc", "Abrir Documento")</f>
        <v>0</v>
      </c>
      <c r="D16099" t="s">
        <v>23500</v>
      </c>
      <c r="E16099" t="s">
        <v>38574</v>
      </c>
    </row>
    <row r="16100" spans="1:5">
      <c r="A16100" t="s">
        <v>6</v>
      </c>
      <c r="B16100" t="s">
        <v>16105</v>
      </c>
      <c r="C16100">
        <f>HYPERLINK("C:\Users\franc\OneDrive\Documentos\MALENTIN KARIME\BANCO ESTADO\2012 DEPTO ESCRITURAS fata\Dc Simples\RESPALDO comp notaria 27_12_12\NOTARIA 2012\MINAS\MINA LA ESTRELLA- GENARA.doc", "Abrir Documento")</f>
        <v>0</v>
      </c>
      <c r="D16100" t="s">
        <v>23500</v>
      </c>
      <c r="E16100" t="s">
        <v>38575</v>
      </c>
    </row>
    <row r="16101" spans="1:5">
      <c r="A16101" t="s">
        <v>6</v>
      </c>
      <c r="B16101" t="s">
        <v>16106</v>
      </c>
      <c r="C16101">
        <f>HYPERLINK("C:\Users\franc\OneDrive\Documentos\MALENTIN KARIME\BANCO ESTADO\2012 DEPTO ESCRITURAS fata\Dc Simples\RESPALDO comp notaria 27_12_12\NOTARIA 2012\MINAS\MINA LA ESTRELLA a Juan Ramírez.doc", "Abrir Documento")</f>
        <v>0</v>
      </c>
      <c r="D16101" t="s">
        <v>23500</v>
      </c>
      <c r="E16101" t="s">
        <v>38576</v>
      </c>
    </row>
    <row r="16102" spans="1:5">
      <c r="A16102" t="s">
        <v>6</v>
      </c>
      <c r="B16102" t="s">
        <v>16107</v>
      </c>
      <c r="C16102">
        <f>HYPERLINK("C:\Users\franc\OneDrive\Documentos\MALENTIN KARIME\BANCO ESTADO\2012 DEPTO ESCRITURAS fata\Dc Simples\RESPALDO comp notaria 27_12_12\NOTARIA 2012\MINAS\MINA ALGARROBO UNO.doc", "Abrir Documento")</f>
        <v>0</v>
      </c>
      <c r="D16102" t="s">
        <v>23500</v>
      </c>
      <c r="E16102" t="s">
        <v>38577</v>
      </c>
    </row>
    <row r="16103" spans="1:5">
      <c r="A16103" t="s">
        <v>6</v>
      </c>
      <c r="B16103" t="s">
        <v>16108</v>
      </c>
      <c r="C16103">
        <f>HYPERLINK("C:\Users\franc\OneDrive\Documentos\MALENTIN KARIME\BANCO ESTADO\2012 DEPTO ESCRITURAS fata\Dc Simples\RESPALDO comp notaria 27_12_12\NOTARIA 2012\MINAS\MIGUEL TAPIA LAGUNAS.doc", "Abrir Documento")</f>
        <v>0</v>
      </c>
      <c r="D16103" t="s">
        <v>23500</v>
      </c>
      <c r="E16103" t="s">
        <v>38578</v>
      </c>
    </row>
    <row r="16104" spans="1:5">
      <c r="A16104" t="s">
        <v>6</v>
      </c>
      <c r="B16104" t="s">
        <v>16109</v>
      </c>
      <c r="C16104">
        <f>HYPERLINK("C:\Users\franc\OneDrive\Documentos\MALENTIN KARIME\BANCO ESTADO\2012 DEPTO ESCRITURAS fata\Dc Simples\RESPALDO comp notaria 27_12_12\NOTARIA 2012\MINAS\MICAL 1-4.doc", "Abrir Documento")</f>
        <v>0</v>
      </c>
      <c r="D16104" t="s">
        <v>23500</v>
      </c>
      <c r="E16104" t="s">
        <v>38579</v>
      </c>
    </row>
    <row r="16105" spans="1:5">
      <c r="A16105" t="s">
        <v>6</v>
      </c>
      <c r="B16105" t="s">
        <v>16110</v>
      </c>
      <c r="C16105">
        <f>HYPERLINK("C:\Users\franc\OneDrive\Documentos\MALENTIN KARIME\BANCO ESTADO\2012 DEPTO ESCRITURAS fata\Dc Simples\RESPALDO comp notaria 27_12_12\NOTARIA 2012\MINAS\MATEO 1 AL 25.doc", "Abrir Documento")</f>
        <v>0</v>
      </c>
      <c r="D16105" t="s">
        <v>23500</v>
      </c>
      <c r="E16105" t="s">
        <v>38580</v>
      </c>
    </row>
    <row r="16106" spans="1:5">
      <c r="A16106" t="s">
        <v>6</v>
      </c>
      <c r="B16106" t="s">
        <v>16111</v>
      </c>
      <c r="C16106">
        <f>HYPERLINK("C:\Users\franc\OneDrive\Documentos\MALENTIN KARIME\BANCO ESTADO\2012 DEPTO ESCRITURAS fata\Dc Simples\RESPALDO comp notaria 27_12_12\NOTARIA 2012\MINAS\MARTINA UNA PUNITAQUI.doc", "Abrir Documento")</f>
        <v>0</v>
      </c>
      <c r="D16106" t="s">
        <v>23500</v>
      </c>
      <c r="E16106" t="s">
        <v>38581</v>
      </c>
    </row>
    <row r="16107" spans="1:5">
      <c r="A16107" t="s">
        <v>6</v>
      </c>
      <c r="B16107" t="s">
        <v>16112</v>
      </c>
      <c r="C16107">
        <f>HYPERLINK("C:\Users\franc\OneDrive\Documentos\MALENTIN KARIME\BANCO ESTADO\2012 DEPTO ESCRITURAS fata\Dc Simples\RESPALDO comp notaria 27_12_12\NOTARIA 2012\MINAS\MANTO NEGRO.doc", "Abrir Documento")</f>
        <v>0</v>
      </c>
      <c r="D16107" t="s">
        <v>23500</v>
      </c>
      <c r="E16107" t="s">
        <v>38582</v>
      </c>
    </row>
    <row r="16108" spans="1:5">
      <c r="A16108" t="s">
        <v>6</v>
      </c>
      <c r="B16108" t="s">
        <v>16113</v>
      </c>
      <c r="C16108">
        <f>HYPERLINK("C:\Users\franc\OneDrive\Documentos\MALENTIN KARIME\BANCO ESTADO\2012 DEPTO ESCRITURAS fata\Dc Simples\RESPALDO comp notaria 27_12_12\NOTARIA 2012\MINAS\MANIF. VULCANO 1-20.doc", "Abrir Documento")</f>
        <v>0</v>
      </c>
      <c r="D16108" t="s">
        <v>23500</v>
      </c>
      <c r="E16108" t="s">
        <v>38583</v>
      </c>
    </row>
    <row r="16109" spans="1:5">
      <c r="A16109" t="s">
        <v>6</v>
      </c>
      <c r="B16109" t="s">
        <v>16114</v>
      </c>
      <c r="C16109">
        <f>HYPERLINK("C:\Users\franc\OneDrive\Documentos\MALENTIN KARIME\BANCO ESTADO\2012 DEPTO ESCRITURAS fata\Dc Simples\RESPALDO comp notaria 27_12_12\NOTARIA 2012\MINAS\MADRE DE DIOS.doc", "Abrir Documento")</f>
        <v>0</v>
      </c>
      <c r="D16109" t="s">
        <v>23500</v>
      </c>
      <c r="E16109" t="s">
        <v>38584</v>
      </c>
    </row>
    <row r="16110" spans="1:5">
      <c r="A16110" t="s">
        <v>6</v>
      </c>
      <c r="B16110" t="s">
        <v>16115</v>
      </c>
      <c r="C16110">
        <f>HYPERLINK("C:\Users\franc\OneDrive\Documentos\MALENTIN KARIME\BANCO ESTADO\2012 DEPTO ESCRITURAS fata\Dc Simples\RESPALDO comp notaria 27_12_12\NOTARIA 2012\MINAS\LUIS YUTRONIC.doc", "Abrir Documento")</f>
        <v>0</v>
      </c>
      <c r="D16110" t="s">
        <v>23500</v>
      </c>
      <c r="E16110" t="s">
        <v>38585</v>
      </c>
    </row>
    <row r="16111" spans="1:5">
      <c r="A16111" t="s">
        <v>6</v>
      </c>
      <c r="B16111" t="s">
        <v>16116</v>
      </c>
      <c r="C16111">
        <f>HYPERLINK("C:\Users\franc\OneDrive\Documentos\MALENTIN KARIME\BANCO ESTADO\2012 DEPTO ESCRITURAS fata\Dc Simples\RESPALDO comp notaria 27_12_12\NOTARIA 2012\MINAS\LOS TRES AMIGOS.doc", "Abrir Documento")</f>
        <v>0</v>
      </c>
      <c r="D16111" t="s">
        <v>23500</v>
      </c>
      <c r="E16111" t="s">
        <v>38586</v>
      </c>
    </row>
    <row r="16112" spans="1:5">
      <c r="A16112" t="s">
        <v>6</v>
      </c>
      <c r="B16112" t="s">
        <v>16117</v>
      </c>
      <c r="C16112">
        <f>HYPERLINK("C:\Users\franc\OneDrive\Documentos\MALENTIN KARIME\BANCO ESTADO\2012 DEPTO ESCRITURAS fata\Dc Simples\RESPALDO comp notaria 27_12_12\NOTARIA 2012\MINAS\LOS RANCHOS.doc", "Abrir Documento")</f>
        <v>0</v>
      </c>
      <c r="D16112" t="s">
        <v>23500</v>
      </c>
      <c r="E16112" t="s">
        <v>38587</v>
      </c>
    </row>
    <row r="16113" spans="1:5">
      <c r="A16113" t="s">
        <v>6</v>
      </c>
      <c r="B16113" t="s">
        <v>16118</v>
      </c>
      <c r="C16113">
        <f>HYPERLINK("C:\Users\franc\OneDrive\Documentos\MALENTIN KARIME\BANCO ESTADO\2012 DEPTO ESCRITURAS fata\Dc Simples\RESPALDO comp notaria 27_12_12\NOTARIA 2012\MINAS\LOS RANCHOS Y LOLO.doc", "Abrir Documento")</f>
        <v>0</v>
      </c>
      <c r="D16113" t="s">
        <v>23500</v>
      </c>
      <c r="E16113" t="s">
        <v>38588</v>
      </c>
    </row>
    <row r="16114" spans="1:5">
      <c r="A16114" t="s">
        <v>6</v>
      </c>
      <c r="B16114" t="s">
        <v>16119</v>
      </c>
      <c r="C16114">
        <f>HYPERLINK("C:\Users\franc\OneDrive\Documentos\MALENTIN KARIME\BANCO ESTADO\2012 DEPTO ESCRITURAS fata\Dc Simples\RESPALDO comp notaria 27_12_12\NOTARIA 2012\MINAS\LOS RANCHOS A SOC. LOLO.DOC", "Abrir Documento")</f>
        <v>0</v>
      </c>
      <c r="D16114" t="s">
        <v>23500</v>
      </c>
      <c r="E16114" t="s">
        <v>38589</v>
      </c>
    </row>
    <row r="16115" spans="1:5">
      <c r="A16115" t="s">
        <v>6</v>
      </c>
      <c r="B16115" t="s">
        <v>16120</v>
      </c>
      <c r="C16115">
        <f>HYPERLINK("C:\Users\franc\OneDrive\Documentos\MALENTIN KARIME\BANCO ESTADO\2012 DEPTO ESCRITURAS fata\Dc Simples\RESPALDO comp notaria 27_12_12\NOTARIA 2012\MINAS\LOS RANCHOS A RAMON BORQUEZ.doc", "Abrir Documento")</f>
        <v>0</v>
      </c>
      <c r="D16115" t="s">
        <v>23500</v>
      </c>
      <c r="E16115" t="s">
        <v>38590</v>
      </c>
    </row>
    <row r="16116" spans="1:5">
      <c r="A16116" t="s">
        <v>6</v>
      </c>
      <c r="B16116" t="s">
        <v>16121</v>
      </c>
      <c r="C16116">
        <f>HYPERLINK("C:\Users\franc\OneDrive\Documentos\MALENTIN KARIME\BANCO ESTADO\2012 DEPTO ESCRITURAS fata\Dc Simples\RESPALDO comp notaria 27_12_12\NOTARIA 2012\MINAS\LOS MANTOS 1 AL 10.doc", "Abrir Documento")</f>
        <v>0</v>
      </c>
      <c r="D16116" t="s">
        <v>23500</v>
      </c>
      <c r="E16116" t="s">
        <v>38591</v>
      </c>
    </row>
    <row r="16117" spans="1:5">
      <c r="A16117" t="s">
        <v>6</v>
      </c>
      <c r="B16117" t="s">
        <v>16122</v>
      </c>
      <c r="C16117">
        <f>HYPERLINK("C:\Users\franc\OneDrive\Documentos\MALENTIN KARIME\BANCO ESTADO\2012 DEPTO ESCRITURAS fata\Dc Simples\RESPALDO comp notaria 27_12_12\NOTARIA 2012\MINAS\LOS DOS AMIGOS UNO DE CERRILLOS DE RAPEL.doc", "Abrir Documento")</f>
        <v>0</v>
      </c>
      <c r="D16117" t="s">
        <v>23500</v>
      </c>
      <c r="E16117" t="s">
        <v>38592</v>
      </c>
    </row>
    <row r="16118" spans="1:5">
      <c r="A16118" t="s">
        <v>6</v>
      </c>
      <c r="B16118" t="s">
        <v>16123</v>
      </c>
      <c r="C16118">
        <f>HYPERLINK("C:\Users\franc\OneDrive\Documentos\MALENTIN KARIME\BANCO ESTADO\2012 DEPTO ESCRITURAS fata\Dc Simples\RESPALDO comp notaria 27_12_12\NOTARIA 2012\MINAS\LAS MOLLACAS.doc", "Abrir Documento")</f>
        <v>0</v>
      </c>
      <c r="D16118" t="s">
        <v>23500</v>
      </c>
      <c r="E16118" t="s">
        <v>38593</v>
      </c>
    </row>
    <row r="16119" spans="1:5">
      <c r="A16119" t="s">
        <v>6</v>
      </c>
      <c r="B16119" t="s">
        <v>16124</v>
      </c>
      <c r="C16119">
        <f>HYPERLINK("C:\Users\franc\OneDrive\Documentos\MALENTIN KARIME\BANCO ESTADO\2012 DEPTO ESCRITURAS fata\Dc Simples\RESPALDO comp notaria 27_12_12\NOTARIA 2012\MINAS\LAS ARENILLAS 1 AL 5.doc", "Abrir Documento")</f>
        <v>0</v>
      </c>
      <c r="D16119" t="s">
        <v>23500</v>
      </c>
      <c r="E16119" t="s">
        <v>38594</v>
      </c>
    </row>
    <row r="16120" spans="1:5">
      <c r="A16120" t="s">
        <v>6</v>
      </c>
      <c r="B16120" t="s">
        <v>16125</v>
      </c>
      <c r="C16120">
        <f>HYPERLINK("C:\Users\franc\OneDrive\Documentos\MALENTIN KARIME\BANCO ESTADO\2012 DEPTO ESCRITURAS fata\Dc Simples\RESPALDO comp notaria 27_12_12\NOTARIA 2012\MINAS\LAS ABEJAS.doc", "Abrir Documento")</f>
        <v>0</v>
      </c>
      <c r="D16120" t="s">
        <v>23500</v>
      </c>
      <c r="E16120" t="s">
        <v>38595</v>
      </c>
    </row>
    <row r="16121" spans="1:5">
      <c r="A16121" t="s">
        <v>6</v>
      </c>
      <c r="B16121" t="s">
        <v>16126</v>
      </c>
      <c r="C16121">
        <f>HYPERLINK("C:\Users\franc\OneDrive\Documentos\MALENTIN KARIME\BANCO ESTADO\2012 DEPTO ESCRITURAS fata\Dc Simples\RESPALDO comp notaria 27_12_12\NOTARIA 2012\MINAS\LA VENCEDORA MODELO.DOC", "Abrir Documento")</f>
        <v>0</v>
      </c>
      <c r="D16121" t="s">
        <v>23500</v>
      </c>
      <c r="E16121" t="s">
        <v>38596</v>
      </c>
    </row>
    <row r="16122" spans="1:5">
      <c r="A16122" t="s">
        <v>6</v>
      </c>
      <c r="B16122" t="s">
        <v>16127</v>
      </c>
      <c r="C16122">
        <f>HYPERLINK("C:\Users\franc\OneDrive\Documentos\MALENTIN KARIME\BANCO ESTADO\2012 DEPTO ESCRITURAS fata\Dc Simples\RESPALDO comp notaria 27_12_12\NOTARIA 2012\MINAS\LA VENCEDORA ADOLFO VELIZ.DOC", "Abrir Documento")</f>
        <v>0</v>
      </c>
      <c r="D16122" t="s">
        <v>23500</v>
      </c>
      <c r="E16122" t="s">
        <v>38597</v>
      </c>
    </row>
    <row r="16123" spans="1:5">
      <c r="A16123" t="s">
        <v>6</v>
      </c>
      <c r="B16123" t="s">
        <v>16128</v>
      </c>
      <c r="C16123">
        <f>HYPERLINK("C:\Users\franc\OneDrive\Documentos\MALENTIN KARIME\BANCO ESTADO\2012 DEPTO ESCRITURAS fata\Dc Simples\RESPALDO comp notaria 27_12_12\NOTARIA 2012\MINAS\LA ULTIMA ESPERANZA.doc", "Abrir Documento")</f>
        <v>0</v>
      </c>
      <c r="D16123" t="s">
        <v>23500</v>
      </c>
      <c r="E16123" t="s">
        <v>38598</v>
      </c>
    </row>
    <row r="16124" spans="1:5">
      <c r="A16124" t="s">
        <v>6</v>
      </c>
      <c r="B16124" t="s">
        <v>16129</v>
      </c>
      <c r="C16124">
        <f>HYPERLINK("C:\Users\franc\OneDrive\Documentos\MALENTIN KARIME\BANCO ESTADO\2012 DEPTO ESCRITURAS fata\Dc Simples\RESPALDO comp notaria 27_12_12\NOTARIA 2012\MINAS\LA TAMY 1-20.doc", "Abrir Documento")</f>
        <v>0</v>
      </c>
      <c r="D16124" t="s">
        <v>23500</v>
      </c>
      <c r="E16124" t="s">
        <v>38599</v>
      </c>
    </row>
    <row r="16125" spans="1:5">
      <c r="A16125" t="s">
        <v>6</v>
      </c>
      <c r="B16125" t="s">
        <v>16130</v>
      </c>
      <c r="C16125">
        <f>HYPERLINK("C:\Users\franc\OneDrive\Documentos\MALENTIN KARIME\BANCO ESTADO\2012 DEPTO ESCRITURAS fata\Dc Simples\RESPALDO comp notaria 27_12_12\NOTARIA 2012\MINAS\LA SOLITARIA.doc", "Abrir Documento")</f>
        <v>0</v>
      </c>
      <c r="D16125" t="s">
        <v>23500</v>
      </c>
      <c r="E16125" t="s">
        <v>38600</v>
      </c>
    </row>
    <row r="16126" spans="1:5">
      <c r="A16126" t="s">
        <v>6</v>
      </c>
      <c r="B16126" t="s">
        <v>16131</v>
      </c>
      <c r="C16126">
        <f>HYPERLINK("C:\Users\franc\OneDrive\Documentos\MALENTIN KARIME\BANCO ESTADO\2012 DEPTO ESCRITURAS fata\Dc Simples\RESPALDO comp notaria 27_12_12\NOTARIA 2012\MINAS\LA SOLITARIA 1 EL POTRERO.doc", "Abrir Documento")</f>
        <v>0</v>
      </c>
      <c r="D16126" t="s">
        <v>23500</v>
      </c>
      <c r="E16126" t="s">
        <v>38601</v>
      </c>
    </row>
    <row r="16127" spans="1:5">
      <c r="A16127" t="s">
        <v>6</v>
      </c>
      <c r="B16127" t="s">
        <v>16132</v>
      </c>
      <c r="C16127">
        <f>HYPERLINK("C:\Users\franc\OneDrive\Documentos\MALENTIN KARIME\BANCO ESTADO\2012 DEPTO ESCRITURAS fata\Dc Simples\RESPALDO comp notaria 27_12_12\NOTARIA 2012\MINAS\LA RUBIA UNO.doc", "Abrir Documento")</f>
        <v>0</v>
      </c>
      <c r="D16127" t="s">
        <v>23500</v>
      </c>
      <c r="E16127" t="s">
        <v>38602</v>
      </c>
    </row>
    <row r="16128" spans="1:5">
      <c r="A16128" t="s">
        <v>6</v>
      </c>
      <c r="B16128" t="s">
        <v>16133</v>
      </c>
      <c r="C16128">
        <f>HYPERLINK("C:\Users\franc\OneDrive\Documentos\MALENTIN KARIME\BANCO ESTADO\2012 DEPTO ESCRITURAS fata\Dc Simples\RESPALDO comp notaria 27_12_12\NOTARIA 2012\MINAS\LA RUBIA 1 AL 20.doc", "Abrir Documento")</f>
        <v>0</v>
      </c>
      <c r="D16128" t="s">
        <v>23500</v>
      </c>
      <c r="E16128" t="s">
        <v>38603</v>
      </c>
    </row>
    <row r="16129" spans="1:5">
      <c r="A16129" t="s">
        <v>6</v>
      </c>
      <c r="B16129" t="s">
        <v>16134</v>
      </c>
      <c r="C16129">
        <f>HYPERLINK("C:\Users\franc\OneDrive\Documentos\MALENTIN KARIME\BANCO ESTADO\2012 DEPTO ESCRITURAS fata\Dc Simples\RESPALDO comp notaria 27_12_12\NOTARIA 2012\MINAS\LA REINA 1 AL 6.doc", "Abrir Documento")</f>
        <v>0</v>
      </c>
      <c r="D16129" t="s">
        <v>23500</v>
      </c>
      <c r="E16129" t="s">
        <v>38604</v>
      </c>
    </row>
    <row r="16130" spans="1:5">
      <c r="A16130" t="s">
        <v>6</v>
      </c>
      <c r="B16130" t="s">
        <v>16135</v>
      </c>
      <c r="C16130">
        <f>HYPERLINK("C:\Users\franc\OneDrive\Documentos\MALENTIN KARIME\BANCO ESTADO\2012 DEPTO ESCRITURAS fata\Dc Simples\RESPALDO comp notaria 27_12_12\NOTARIA 2012\MINAS\LA RECOMPENSA III.doc", "Abrir Documento")</f>
        <v>0</v>
      </c>
      <c r="D16130" t="s">
        <v>23500</v>
      </c>
      <c r="E16130" t="s">
        <v>38605</v>
      </c>
    </row>
    <row r="16131" spans="1:5">
      <c r="A16131" t="s">
        <v>6</v>
      </c>
      <c r="B16131" t="s">
        <v>16136</v>
      </c>
      <c r="C16131">
        <f>HYPERLINK("C:\Users\franc\OneDrive\Documentos\MALENTIN KARIME\BANCO ESTADO\2012 DEPTO ESCRITURAS fata\Dc Simples\RESPALDO comp notaria 27_12_12\NOTARIA 2012\MINAS\LA POR SI ACASO 1 AL 10.doc", "Abrir Documento")</f>
        <v>0</v>
      </c>
      <c r="D16131" t="s">
        <v>23500</v>
      </c>
      <c r="E16131" t="s">
        <v>38606</v>
      </c>
    </row>
    <row r="16132" spans="1:5">
      <c r="A16132" t="s">
        <v>6</v>
      </c>
      <c r="B16132" t="s">
        <v>16137</v>
      </c>
      <c r="C16132">
        <f>HYPERLINK("C:\Users\franc\OneDrive\Documentos\MALENTIN KARIME\BANCO ESTADO\2012 DEPTO ESCRITURAS fata\Dc Simples\RESPALDO comp notaria 27_12_12\NOTARIA 2012\MINAS\LA PONDEROSA.doc", "Abrir Documento")</f>
        <v>0</v>
      </c>
      <c r="D16132" t="s">
        <v>23500</v>
      </c>
      <c r="E16132" t="s">
        <v>38607</v>
      </c>
    </row>
    <row r="16133" spans="1:5">
      <c r="A16133" t="s">
        <v>6</v>
      </c>
      <c r="B16133" t="s">
        <v>16138</v>
      </c>
      <c r="C16133">
        <f>HYPERLINK("C:\Users\franc\OneDrive\Documentos\MALENTIN KARIME\BANCO ESTADO\2012 DEPTO ESCRITURAS fata\Dc Simples\RESPALDO comp notaria 27_12_12\NOTARIA 2012\MINAS\LA PODEROSA.doc", "Abrir Documento")</f>
        <v>0</v>
      </c>
      <c r="D16133" t="s">
        <v>23500</v>
      </c>
      <c r="E16133" t="s">
        <v>38608</v>
      </c>
    </row>
    <row r="16134" spans="1:5">
      <c r="A16134" t="s">
        <v>6</v>
      </c>
      <c r="B16134" t="s">
        <v>16139</v>
      </c>
      <c r="C16134">
        <f>HYPERLINK("C:\Users\franc\OneDrive\Documentos\MALENTIN KARIME\BANCO ESTADO\2012 DEPTO ESCRITURAS fata\Dc Simples\RESPALDO comp notaria 27_12_12\NOTARIA 2012\MINAS\LA PIMIENTA DOS.doc", "Abrir Documento")</f>
        <v>0</v>
      </c>
      <c r="D16134" t="s">
        <v>23500</v>
      </c>
      <c r="E16134" t="s">
        <v>38609</v>
      </c>
    </row>
    <row r="16135" spans="1:5">
      <c r="A16135" t="s">
        <v>6</v>
      </c>
      <c r="B16135" t="s">
        <v>16140</v>
      </c>
      <c r="C16135">
        <f>HYPERLINK("C:\Users\franc\OneDrive\Documentos\MALENTIN KARIME\BANCO ESTADO\2012 DEPTO ESCRITURAS fata\Dc Simples\RESPALDO comp notaria 27_12_12\NOTARIA 2012\MINAS\LA PIMIENTA 1 AL 3.doc", "Abrir Documento")</f>
        <v>0</v>
      </c>
      <c r="D16135" t="s">
        <v>23500</v>
      </c>
      <c r="E16135" t="s">
        <v>38610</v>
      </c>
    </row>
    <row r="16136" spans="1:5">
      <c r="A16136" t="s">
        <v>6</v>
      </c>
      <c r="B16136" t="s">
        <v>16141</v>
      </c>
      <c r="C16136">
        <f>HYPERLINK("C:\Users\franc\OneDrive\Documentos\MALENTIN KARIME\BANCO ESTADO\2012 DEPTO ESCRITURAS fata\Dc Simples\RESPALDO comp notaria 27_12_12\NOTARIA 2012\MINAS\LA PASCUALA.doc", "Abrir Documento")</f>
        <v>0</v>
      </c>
      <c r="D16136" t="s">
        <v>23500</v>
      </c>
      <c r="E16136" t="s">
        <v>38611</v>
      </c>
    </row>
    <row r="16137" spans="1:5">
      <c r="A16137" t="s">
        <v>6</v>
      </c>
      <c r="B16137" t="s">
        <v>16142</v>
      </c>
      <c r="C16137">
        <f>HYPERLINK("C:\Users\franc\OneDrive\Documentos\MALENTIN KARIME\BANCO ESTADO\2012 DEPTO ESCRITURAS fata\Dc Simples\RESPALDO comp notaria 27_12_12\NOTARIA 2012\MINAS\LA OVALLINA.doc", "Abrir Documento")</f>
        <v>0</v>
      </c>
      <c r="D16137" t="s">
        <v>23500</v>
      </c>
      <c r="E16137" t="s">
        <v>38612</v>
      </c>
    </row>
    <row r="16138" spans="1:5">
      <c r="A16138" t="s">
        <v>6</v>
      </c>
      <c r="B16138" t="s">
        <v>16143</v>
      </c>
      <c r="C16138">
        <f>HYPERLINK("C:\Users\franc\OneDrive\Documentos\MALENTIN KARIME\BANCO ESTADO\2012 DEPTO ESCRITURAS fata\Dc Simples\RESPALDO comp notaria 27_12_12\NOTARIA 2012\MINAS\LA NEGRA 1 AL 6.doc", "Abrir Documento")</f>
        <v>0</v>
      </c>
      <c r="D16138" t="s">
        <v>23500</v>
      </c>
      <c r="E16138" t="s">
        <v>38613</v>
      </c>
    </row>
    <row r="16139" spans="1:5">
      <c r="A16139" t="s">
        <v>6</v>
      </c>
      <c r="B16139" t="s">
        <v>16144</v>
      </c>
      <c r="C16139">
        <f>HYPERLINK("C:\Users\franc\OneDrive\Documentos\MALENTIN KARIME\BANCO ESTADO\2012 DEPTO ESCRITURAS fata\Dc Simples\RESPALDO comp notaria 27_12_12\NOTARIA 2012\MINAS\LA NARANJA.doc", "Abrir Documento")</f>
        <v>0</v>
      </c>
      <c r="D16139" t="s">
        <v>23500</v>
      </c>
      <c r="E16139" t="s">
        <v>38614</v>
      </c>
    </row>
    <row r="16140" spans="1:5">
      <c r="A16140" t="s">
        <v>6</v>
      </c>
      <c r="B16140" t="s">
        <v>16145</v>
      </c>
      <c r="C16140">
        <f>HYPERLINK("C:\Users\franc\OneDrive\Documentos\MALENTIN KARIME\BANCO ESTADO\2012 DEPTO ESCRITURAS fata\Dc Simples\RESPALDO comp notaria 27_12_12\NOTARIA 2012\MINAS\LA MOLLAQUITA 1-20.doc", "Abrir Documento")</f>
        <v>0</v>
      </c>
      <c r="D16140" t="s">
        <v>23500</v>
      </c>
      <c r="E16140" t="s">
        <v>38615</v>
      </c>
    </row>
    <row r="16141" spans="1:5">
      <c r="A16141" t="s">
        <v>6</v>
      </c>
      <c r="B16141" t="s">
        <v>16146</v>
      </c>
      <c r="C16141">
        <f>HYPERLINK("C:\Users\franc\OneDrive\Documentos\MALENTIN KARIME\BANCO ESTADO\2012 DEPTO ESCRITURAS fata\Dc Simples\RESPALDO comp notaria 27_12_12\NOTARIA 2012\MINAS\LA MANQUEHUINA.doc", "Abrir Documento")</f>
        <v>0</v>
      </c>
      <c r="D16141" t="s">
        <v>23500</v>
      </c>
      <c r="E16141" t="s">
        <v>38616</v>
      </c>
    </row>
    <row r="16142" spans="1:5">
      <c r="A16142" t="s">
        <v>6</v>
      </c>
      <c r="B16142" t="s">
        <v>16147</v>
      </c>
      <c r="C16142">
        <f>HYPERLINK("C:\Users\franc\OneDrive\Documentos\MALENTIN KARIME\BANCO ESTADO\2012 DEPTO ESCRITURAS fata\Dc Simples\RESPALDO comp notaria 27_12_12\NOTARIA 2012\MINAS\LA MANABA 1 AL 15.doc", "Abrir Documento")</f>
        <v>0</v>
      </c>
      <c r="D16142" t="s">
        <v>23500</v>
      </c>
      <c r="E16142" t="s">
        <v>38617</v>
      </c>
    </row>
    <row r="16143" spans="1:5">
      <c r="A16143" t="s">
        <v>6</v>
      </c>
      <c r="B16143" t="s">
        <v>16148</v>
      </c>
      <c r="C16143">
        <f>HYPERLINK("C:\Users\franc\OneDrive\Documentos\MALENTIN KARIME\BANCO ESTADO\2012 DEPTO ESCRITURAS fata\Dc Simples\RESPALDO comp notaria 27_12_12\NOTARIA 2012\MINAS\LA LOICA UNO DEL RELOJ.doc", "Abrir Documento")</f>
        <v>0</v>
      </c>
      <c r="D16143" t="s">
        <v>23500</v>
      </c>
      <c r="E16143" t="s">
        <v>38618</v>
      </c>
    </row>
    <row r="16144" spans="1:5">
      <c r="A16144" t="s">
        <v>6</v>
      </c>
      <c r="B16144" t="s">
        <v>16149</v>
      </c>
      <c r="C16144">
        <f>HYPERLINK("C:\Users\franc\OneDrive\Documentos\MALENTIN KARIME\BANCO ESTADO\2012 DEPTO ESCRITURAS fata\Dc Simples\RESPALDO comp notaria 27_12_12\NOTARIA 2012\MINAS\LA LOCA NENA.doc", "Abrir Documento")</f>
        <v>0</v>
      </c>
      <c r="D16144" t="s">
        <v>23500</v>
      </c>
      <c r="E16144" t="s">
        <v>38619</v>
      </c>
    </row>
    <row r="16145" spans="1:5">
      <c r="A16145" t="s">
        <v>6</v>
      </c>
      <c r="B16145" t="s">
        <v>16150</v>
      </c>
      <c r="C16145">
        <f>HYPERLINK("C:\Users\franc\OneDrive\Documentos\MALENTIN KARIME\BANCO ESTADO\2012 DEPTO ESCRITURAS fata\Dc Simples\RESPALDO comp notaria 27_12_12\NOTARIA 2012\MINAS\LA HUANACA.doc", "Abrir Documento")</f>
        <v>0</v>
      </c>
      <c r="D16145" t="s">
        <v>23500</v>
      </c>
      <c r="E16145" t="s">
        <v>38620</v>
      </c>
    </row>
    <row r="16146" spans="1:5">
      <c r="A16146" t="s">
        <v>6</v>
      </c>
      <c r="B16146" t="s">
        <v>16151</v>
      </c>
      <c r="C16146">
        <f>HYPERLINK("C:\Users\franc\OneDrive\Documentos\MALENTIN KARIME\BANCO ESTADO\2012 DEPTO ESCRITURAS fata\Dc Simples\RESPALDO comp notaria 27_12_12\NOTARIA 2012\MINAS\LA HUANACA 1 AL 10.doc", "Abrir Documento")</f>
        <v>0</v>
      </c>
      <c r="D16146" t="s">
        <v>23500</v>
      </c>
      <c r="E16146" t="s">
        <v>38621</v>
      </c>
    </row>
    <row r="16147" spans="1:5">
      <c r="A16147" t="s">
        <v>6</v>
      </c>
      <c r="B16147" t="s">
        <v>16152</v>
      </c>
      <c r="C16147">
        <f>HYPERLINK("C:\Users\franc\OneDrive\Documentos\MALENTIN KARIME\BANCO ESTADO\2012 DEPTO ESCRITURAS fata\Dc Simples\RESPALDO comp notaria 27_12_12\NOTARIA 2012\MINAS\LA GITANA.doc", "Abrir Documento")</f>
        <v>0</v>
      </c>
      <c r="D16147" t="s">
        <v>23500</v>
      </c>
      <c r="E16147" t="s">
        <v>38622</v>
      </c>
    </row>
    <row r="16148" spans="1:5">
      <c r="A16148" t="s">
        <v>6</v>
      </c>
      <c r="B16148" t="s">
        <v>16153</v>
      </c>
      <c r="C16148">
        <f>HYPERLINK("C:\Users\franc\OneDrive\Documentos\MALENTIN KARIME\BANCO ESTADO\2012 DEPTO ESCRITURAS fata\Dc Simples\RESPALDO comp notaria 27_12_12\NOTARIA 2012\MINAS\LA GITANA UNO AL CUATRO.doc", "Abrir Documento")</f>
        <v>0</v>
      </c>
      <c r="D16148" t="s">
        <v>23500</v>
      </c>
      <c r="E16148" t="s">
        <v>38623</v>
      </c>
    </row>
    <row r="16149" spans="1:5">
      <c r="A16149" t="s">
        <v>6</v>
      </c>
      <c r="B16149" t="s">
        <v>16154</v>
      </c>
      <c r="C16149">
        <f>HYPERLINK("C:\Users\franc\OneDrive\Documentos\MALENTIN KARIME\BANCO ESTADO\2012 DEPTO ESCRITURAS fata\Dc Simples\RESPALDO comp notaria 27_12_12\NOTARIA 2012\MINAS\LA FORTUNA UNO DE oVALLE.doc", "Abrir Documento")</f>
        <v>0</v>
      </c>
      <c r="D16149" t="s">
        <v>23500</v>
      </c>
      <c r="E16149" t="s">
        <v>38624</v>
      </c>
    </row>
    <row r="16150" spans="1:5">
      <c r="A16150" t="s">
        <v>6</v>
      </c>
      <c r="B16150" t="s">
        <v>16155</v>
      </c>
      <c r="C16150">
        <f>HYPERLINK("C:\Users\franc\OneDrive\Documentos\MALENTIN KARIME\BANCO ESTADO\2012 DEPTO ESCRITURAS fata\Dc Simples\RESPALDO comp notaria 27_12_12\NOTARIA 2012\MINAS\LA FORTUNA 1-6.doc", "Abrir Documento")</f>
        <v>0</v>
      </c>
      <c r="D16150" t="s">
        <v>23500</v>
      </c>
      <c r="E16150" t="s">
        <v>38625</v>
      </c>
    </row>
    <row r="16151" spans="1:5">
      <c r="A16151" t="s">
        <v>6</v>
      </c>
      <c r="B16151" t="s">
        <v>16156</v>
      </c>
      <c r="C16151">
        <f>HYPERLINK("C:\Users\franc\OneDrive\Documentos\MALENTIN KARIME\BANCO ESTADO\2012 DEPTO ESCRITURAS fata\Dc Simples\RESPALDO comp notaria 27_12_12\NOTARIA 2012\MINAS\LA FORTUNA 1-5.doc", "Abrir Documento")</f>
        <v>0</v>
      </c>
      <c r="D16151" t="s">
        <v>23500</v>
      </c>
      <c r="E16151" t="s">
        <v>38626</v>
      </c>
    </row>
    <row r="16152" spans="1:5">
      <c r="A16152" t="s">
        <v>6</v>
      </c>
      <c r="B16152" t="s">
        <v>16157</v>
      </c>
      <c r="C16152">
        <f>HYPERLINK("C:\Users\franc\OneDrive\Documentos\MALENTIN KARIME\BANCO ESTADO\2012 DEPTO ESCRITURAS fata\Dc Simples\RESPALDO comp notaria 27_12_12\NOTARIA 2012\MINAS\LA FORTUNA 1-20.doc", "Abrir Documento")</f>
        <v>0</v>
      </c>
      <c r="D16152" t="s">
        <v>23500</v>
      </c>
      <c r="E16152" t="s">
        <v>38627</v>
      </c>
    </row>
    <row r="16153" spans="1:5">
      <c r="A16153" t="s">
        <v>6</v>
      </c>
      <c r="B16153" t="s">
        <v>16158</v>
      </c>
      <c r="C16153">
        <f>HYPERLINK("C:\Users\franc\OneDrive\Documentos\MALENTIN KARIME\BANCO ESTADO\2012 DEPTO ESCRITURAS fata\Dc Simples\RESPALDO comp notaria 27_12_12\NOTARIA 2012\MINAS\LA ESPERANZA 1-20.doc", "Abrir Documento")</f>
        <v>0</v>
      </c>
      <c r="D16153" t="s">
        <v>23500</v>
      </c>
      <c r="E16153" t="s">
        <v>38628</v>
      </c>
    </row>
    <row r="16154" spans="1:5">
      <c r="A16154" t="s">
        <v>6</v>
      </c>
      <c r="B16154" t="s">
        <v>16159</v>
      </c>
      <c r="C16154">
        <f>HYPERLINK("C:\Users\franc\OneDrive\Documentos\MALENTIN KARIME\BANCO ESTADO\2012 DEPTO ESCRITURAS fata\Dc Simples\RESPALDO comp notaria 27_12_12\NOTARIA 2012\MINAS\LA ESPERANZA 1 AL 50.doc", "Abrir Documento")</f>
        <v>0</v>
      </c>
      <c r="D16154" t="s">
        <v>23500</v>
      </c>
      <c r="E16154" t="s">
        <v>38629</v>
      </c>
    </row>
    <row r="16155" spans="1:5">
      <c r="A16155" t="s">
        <v>6</v>
      </c>
      <c r="B16155" t="s">
        <v>16160</v>
      </c>
      <c r="C16155">
        <f>HYPERLINK("C:\Users\franc\OneDrive\Documentos\MALENTIN KARIME\BANCO ESTADO\2012 DEPTO ESCRITURAS fata\Dc Simples\RESPALDO comp notaria 27_12_12\NOTARIA 2012\MINAS\LA ESFUERZO.doc", "Abrir Documento")</f>
        <v>0</v>
      </c>
      <c r="D16155" t="s">
        <v>23500</v>
      </c>
      <c r="E16155" t="s">
        <v>38630</v>
      </c>
    </row>
    <row r="16156" spans="1:5">
      <c r="A16156" t="s">
        <v>6</v>
      </c>
      <c r="B16156" t="s">
        <v>16161</v>
      </c>
      <c r="C16156">
        <f>HYPERLINK("C:\Users\franc\OneDrive\Documentos\MALENTIN KARIME\BANCO ESTADO\2012 DEPTO ESCRITURAS fata\Dc Simples\RESPALDO comp notaria 27_12_12\NOTARIA 2012\MINAS\LA ESCONDIDA 1-10.doc", "Abrir Documento")</f>
        <v>0</v>
      </c>
      <c r="D16156" t="s">
        <v>23500</v>
      </c>
      <c r="E16156" t="s">
        <v>38631</v>
      </c>
    </row>
    <row r="16157" spans="1:5">
      <c r="A16157" t="s">
        <v>6</v>
      </c>
      <c r="B16157" t="s">
        <v>16162</v>
      </c>
      <c r="C16157">
        <f>HYPERLINK("C:\Users\franc\OneDrive\Documentos\MALENTIN KARIME\BANCO ESTADO\2012 DEPTO ESCRITURAS fata\Dc Simples\RESPALDO comp notaria 27_12_12\NOTARIA 2012\MINAS\LA ESCONDIDA 1 AL 5.doc", "Abrir Documento")</f>
        <v>0</v>
      </c>
      <c r="D16157" t="s">
        <v>23500</v>
      </c>
      <c r="E16157" t="s">
        <v>38632</v>
      </c>
    </row>
    <row r="16158" spans="1:5">
      <c r="A16158" t="s">
        <v>6</v>
      </c>
      <c r="B16158" t="s">
        <v>16163</v>
      </c>
      <c r="C16158">
        <f>HYPERLINK("C:\Users\franc\OneDrive\Documentos\MALENTIN KARIME\BANCO ESTADO\2012 DEPTO ESCRITURAS fata\Dc Simples\RESPALDO comp notaria 27_12_12\NOTARIA 2012\MINAS\LA DUDA LOS CORRALES.doc", "Abrir Documento")</f>
        <v>0</v>
      </c>
      <c r="D16158" t="s">
        <v>23500</v>
      </c>
      <c r="E16158" t="s">
        <v>38633</v>
      </c>
    </row>
    <row r="16159" spans="1:5">
      <c r="A16159" t="s">
        <v>6</v>
      </c>
      <c r="B16159" t="s">
        <v>16164</v>
      </c>
      <c r="C16159">
        <f>HYPERLINK("C:\Users\franc\OneDrive\Documentos\MALENTIN KARIME\BANCO ESTADO\2012 DEPTO ESCRITURAS fata\Dc Simples\RESPALDO comp notaria 27_12_12\NOTARIA 2012\MINAS\LA DAMIANA.doc", "Abrir Documento")</f>
        <v>0</v>
      </c>
      <c r="D16159" t="s">
        <v>23500</v>
      </c>
      <c r="E16159" t="s">
        <v>38634</v>
      </c>
    </row>
    <row r="16160" spans="1:5">
      <c r="A16160" t="s">
        <v>6</v>
      </c>
      <c r="B16160" t="s">
        <v>16165</v>
      </c>
      <c r="C16160">
        <f>HYPERLINK("C:\Users\franc\OneDrive\Documentos\MALENTIN KARIME\BANCO ESTADO\2012 DEPTO ESCRITURAS fata\Dc Simples\RESPALDO comp notaria 27_12_12\NOTARIA 2012\MINAS\LA CORVINA.doc", "Abrir Documento")</f>
        <v>0</v>
      </c>
      <c r="D16160" t="s">
        <v>23500</v>
      </c>
      <c r="E16160" t="s">
        <v>38635</v>
      </c>
    </row>
    <row r="16161" spans="1:5">
      <c r="A16161" t="s">
        <v>6</v>
      </c>
      <c r="B16161" t="s">
        <v>16166</v>
      </c>
      <c r="C16161">
        <f>HYPERLINK("C:\Users\franc\OneDrive\Documentos\MALENTIN KARIME\BANCO ESTADO\2012 DEPTO ESCRITURAS fata\Dc Simples\RESPALDO comp notaria 27_12_12\NOTARIA 2012\MINAS\LA CORTADERA.doc", "Abrir Documento")</f>
        <v>0</v>
      </c>
      <c r="D16161" t="s">
        <v>23500</v>
      </c>
      <c r="E16161" t="s">
        <v>38636</v>
      </c>
    </row>
    <row r="16162" spans="1:5">
      <c r="A16162" t="s">
        <v>6</v>
      </c>
      <c r="B16162" t="s">
        <v>16167</v>
      </c>
      <c r="C16162">
        <f>HYPERLINK("C:\Users\franc\OneDrive\Documentos\MALENTIN KARIME\BANCO ESTADO\2012 DEPTO ESCRITURAS fata\Dc Simples\RESPALDO comp notaria 27_12_12\NOTARIA 2012\MINAS\LA CHINITA.doc", "Abrir Documento")</f>
        <v>0</v>
      </c>
      <c r="D16162" t="s">
        <v>23500</v>
      </c>
      <c r="E16162" t="s">
        <v>38637</v>
      </c>
    </row>
    <row r="16163" spans="1:5">
      <c r="A16163" t="s">
        <v>6</v>
      </c>
      <c r="B16163" t="s">
        <v>16168</v>
      </c>
      <c r="C16163">
        <f>HYPERLINK("C:\Users\franc\OneDrive\Documentos\MALENTIN KARIME\BANCO ESTADO\2012 DEPTO ESCRITURAS fata\Dc Simples\RESPALDO comp notaria 27_12_12\NOTARIA 2012\MINAS\LA CAÑA EXPL..doc", "Abrir Documento")</f>
        <v>0</v>
      </c>
      <c r="D16163" t="s">
        <v>23500</v>
      </c>
      <c r="E16163" t="s">
        <v>38638</v>
      </c>
    </row>
    <row r="16164" spans="1:5">
      <c r="A16164" t="s">
        <v>6</v>
      </c>
      <c r="B16164" t="s">
        <v>16169</v>
      </c>
      <c r="C16164">
        <f>HYPERLINK("C:\Users\franc\OneDrive\Documentos\MALENTIN KARIME\BANCO ESTADO\2012 DEPTO ESCRITURAS fata\Dc Simples\RESPALDO comp notaria 27_12_12\NOTARIA 2012\MINAS\LA CAÑA 1-20.doc", "Abrir Documento")</f>
        <v>0</v>
      </c>
      <c r="D16164" t="s">
        <v>23500</v>
      </c>
      <c r="E16164" t="s">
        <v>38639</v>
      </c>
    </row>
    <row r="16165" spans="1:5">
      <c r="A16165" t="s">
        <v>6</v>
      </c>
      <c r="B16165" t="s">
        <v>16170</v>
      </c>
      <c r="C16165">
        <f>HYPERLINK("C:\Users\franc\OneDrive\Documentos\MALENTIN KARIME\BANCO ESTADO\2012 DEPTO ESCRITURAS fata\Dc Simples\RESPALDO comp notaria 27_12_12\NOTARIA 2012\MINAS\LA CAÑA 1 AL 10.doc", "Abrir Documento")</f>
        <v>0</v>
      </c>
      <c r="D16165" t="s">
        <v>23500</v>
      </c>
      <c r="E16165" t="s">
        <v>38640</v>
      </c>
    </row>
    <row r="16166" spans="1:5">
      <c r="A16166" t="s">
        <v>6</v>
      </c>
      <c r="B16166" t="s">
        <v>16171</v>
      </c>
      <c r="C16166">
        <f>HYPERLINK("C:\Users\franc\OneDrive\Documentos\MALENTIN KARIME\BANCO ESTADO\2012 DEPTO ESCRITURAS fata\Dc Simples\RESPALDO comp notaria 27_12_12\NOTARIA 2012\MINAS\LA CARMELITA.doc", "Abrir Documento")</f>
        <v>0</v>
      </c>
      <c r="D16166" t="s">
        <v>23500</v>
      </c>
      <c r="E16166" t="s">
        <v>38641</v>
      </c>
    </row>
    <row r="16167" spans="1:5">
      <c r="A16167" t="s">
        <v>6</v>
      </c>
      <c r="B16167" t="s">
        <v>16172</v>
      </c>
      <c r="C16167">
        <f>HYPERLINK("C:\Users\franc\OneDrive\Documentos\MALENTIN KARIME\BANCO ESTADO\2012 DEPTO ESCRITURAS fata\Dc Simples\RESPALDO comp notaria 27_12_12\NOTARIA 2012\MINAS\LA CANTA GALLO.doc", "Abrir Documento")</f>
        <v>0</v>
      </c>
      <c r="D16167" t="s">
        <v>23500</v>
      </c>
      <c r="E16167" t="s">
        <v>38642</v>
      </c>
    </row>
    <row r="16168" spans="1:5">
      <c r="A16168" t="s">
        <v>6</v>
      </c>
      <c r="B16168" t="s">
        <v>16173</v>
      </c>
      <c r="C16168">
        <f>HYPERLINK("C:\Users\franc\OneDrive\Documentos\MALENTIN KARIME\BANCO ESTADO\2012 DEPTO ESCRITURAS fata\Dc Simples\RESPALDO comp notaria 27_12_12\NOTARIA 2012\MINAS\LA BRILLANTE.doc", "Abrir Documento")</f>
        <v>0</v>
      </c>
      <c r="D16168" t="s">
        <v>23500</v>
      </c>
      <c r="E16168" t="s">
        <v>38643</v>
      </c>
    </row>
    <row r="16169" spans="1:5">
      <c r="A16169" t="s">
        <v>6</v>
      </c>
      <c r="B16169" t="s">
        <v>16174</v>
      </c>
      <c r="C16169">
        <f>HYPERLINK("C:\Users\franc\OneDrive\Documentos\MALENTIN KARIME\BANCO ESTADO\2012 DEPTO ESCRITURAS fata\Dc Simples\RESPALDO comp notaria 27_12_12\NOTARIA 2012\MINAS\LA ARQUEADA.doc", "Abrir Documento")</f>
        <v>0</v>
      </c>
      <c r="D16169" t="s">
        <v>23500</v>
      </c>
      <c r="E16169" t="s">
        <v>38644</v>
      </c>
    </row>
    <row r="16170" spans="1:5">
      <c r="A16170" t="s">
        <v>6</v>
      </c>
      <c r="B16170" t="s">
        <v>16175</v>
      </c>
      <c r="C16170">
        <f>HYPERLINK("C:\Users\franc\OneDrive\Documentos\MALENTIN KARIME\BANCO ESTADO\2012 DEPTO ESCRITURAS fata\Dc Simples\RESPALDO comp notaria 27_12_12\NOTARIA 2012\MINAS\LA AMARILLA ARR. MANIFEST..doc", "Abrir Documento")</f>
        <v>0</v>
      </c>
      <c r="D16170" t="s">
        <v>23500</v>
      </c>
      <c r="E16170" t="s">
        <v>38645</v>
      </c>
    </row>
    <row r="16171" spans="1:5">
      <c r="A16171" t="s">
        <v>6</v>
      </c>
      <c r="B16171" t="s">
        <v>16176</v>
      </c>
      <c r="C16171">
        <f>HYPERLINK("C:\Users\franc\OneDrive\Documentos\MALENTIN KARIME\BANCO ESTADO\2012 DEPTO ESCRITURAS fata\Dc Simples\RESPALDO comp notaria 27_12_12\NOTARIA 2012\MINAS\LA ALMENDRA 1-20.doc", "Abrir Documento")</f>
        <v>0</v>
      </c>
      <c r="D16171" t="s">
        <v>23500</v>
      </c>
      <c r="E16171" t="s">
        <v>38646</v>
      </c>
    </row>
    <row r="16172" spans="1:5">
      <c r="A16172" t="s">
        <v>6</v>
      </c>
      <c r="B16172" t="s">
        <v>16177</v>
      </c>
      <c r="C16172">
        <f>HYPERLINK("C:\Users\franc\OneDrive\Documentos\MALENTIN KARIME\BANCO ESTADO\2012 DEPTO ESCRITURAS fata\Dc Simples\RESPALDO comp notaria 27_12_12\NOTARIA 2012\MINAS\JULIAN.doc", "Abrir Documento")</f>
        <v>0</v>
      </c>
      <c r="D16172" t="s">
        <v>23500</v>
      </c>
      <c r="E16172" t="s">
        <v>38647</v>
      </c>
    </row>
    <row r="16173" spans="1:5">
      <c r="A16173" t="s">
        <v>6</v>
      </c>
      <c r="B16173" t="s">
        <v>16178</v>
      </c>
      <c r="C16173">
        <f>HYPERLINK("C:\Users\franc\OneDrive\Documentos\MALENTIN KARIME\BANCO ESTADO\2012 DEPTO ESCRITURAS fata\Dc Simples\RESPALDO comp notaria 27_12_12\NOTARIA 2012\MINAS\JULIA ANDREA 1-20.doc", "Abrir Documento")</f>
        <v>0</v>
      </c>
      <c r="D16173" t="s">
        <v>23500</v>
      </c>
      <c r="E16173" t="s">
        <v>38648</v>
      </c>
    </row>
    <row r="16174" spans="1:5">
      <c r="A16174" t="s">
        <v>6</v>
      </c>
      <c r="B16174" t="s">
        <v>16179</v>
      </c>
      <c r="C16174">
        <f>HYPERLINK("C:\Users\franc\OneDrive\Documentos\MALENTIN KARIME\BANCO ESTADO\2012 DEPTO ESCRITURAS fata\Dc Simples\RESPALDO comp notaria 27_12_12\NOTARIA 2012\MINAS\JUAN RAMIREZ C.doc", "Abrir Documento")</f>
        <v>0</v>
      </c>
      <c r="D16174" t="s">
        <v>23500</v>
      </c>
      <c r="E16174" t="s">
        <v>38649</v>
      </c>
    </row>
    <row r="16175" spans="1:5">
      <c r="A16175" t="s">
        <v>6</v>
      </c>
      <c r="B16175" t="s">
        <v>16180</v>
      </c>
      <c r="C16175">
        <f>HYPERLINK("C:\Users\franc\OneDrive\Documentos\MALENTIN KARIME\BANCO ESTADO\2012 DEPTO ESCRITURAS fata\Dc Simples\RESPALDO comp notaria 27_12_12\NOTARIA 2012\MINAS\JAVY 1 AL 10.doc", "Abrir Documento")</f>
        <v>0</v>
      </c>
      <c r="D16175" t="s">
        <v>23500</v>
      </c>
      <c r="E16175" t="s">
        <v>38650</v>
      </c>
    </row>
    <row r="16176" spans="1:5">
      <c r="A16176" t="s">
        <v>6</v>
      </c>
      <c r="B16176" t="s">
        <v>16181</v>
      </c>
      <c r="C16176">
        <f>HYPERLINK("C:\Users\franc\OneDrive\Documentos\MALENTIN KARIME\BANCO ESTADO\2012 DEPTO ESCRITURAS fata\Dc Simples\RESPALDO comp notaria 27_12_12\NOTARIA 2012\MINAS\HECTOR X.doc", "Abrir Documento")</f>
        <v>0</v>
      </c>
      <c r="D16176" t="s">
        <v>23500</v>
      </c>
      <c r="E16176" t="s">
        <v>38651</v>
      </c>
    </row>
    <row r="16177" spans="1:5">
      <c r="A16177" t="s">
        <v>6</v>
      </c>
      <c r="B16177" t="s">
        <v>16182</v>
      </c>
      <c r="C16177">
        <f>HYPERLINK("C:\Users\franc\OneDrive\Documentos\MALENTIN KARIME\BANCO ESTADO\2012 DEPTO ESCRITURAS fata\Dc Simples\RESPALDO comp notaria 27_12_12\NOTARIA 2012\MINAS\HALCON 1 AL 10.doc", "Abrir Documento")</f>
        <v>0</v>
      </c>
      <c r="D16177" t="s">
        <v>23500</v>
      </c>
      <c r="E16177" t="s">
        <v>38652</v>
      </c>
    </row>
    <row r="16178" spans="1:5">
      <c r="A16178" t="s">
        <v>6</v>
      </c>
      <c r="B16178" t="s">
        <v>16183</v>
      </c>
      <c r="C16178">
        <f>HYPERLINK("C:\Users\franc\OneDrive\Documentos\MALENTIN KARIME\BANCO ESTADO\2012 DEPTO ESCRITURAS fata\Dc Simples\RESPALDO comp notaria 27_12_12\NOTARIA 2012\MINAS\FRONTON 3.doc", "Abrir Documento")</f>
        <v>0</v>
      </c>
      <c r="D16178" t="s">
        <v>23500</v>
      </c>
      <c r="E16178" t="s">
        <v>38653</v>
      </c>
    </row>
    <row r="16179" spans="1:5">
      <c r="A16179" t="s">
        <v>6</v>
      </c>
      <c r="B16179" t="s">
        <v>16184</v>
      </c>
      <c r="C16179">
        <f>HYPERLINK("C:\Users\franc\OneDrive\Documentos\MALENTIN KARIME\BANCO ESTADO\2012 DEPTO ESCRITURAS fata\Dc Simples\RESPALDO comp notaria 27_12_12\NOTARIA 2012\MINAS\FRAILE DOS.doc", "Abrir Documento")</f>
        <v>0</v>
      </c>
      <c r="D16179" t="s">
        <v>23500</v>
      </c>
      <c r="E16179" t="s">
        <v>38654</v>
      </c>
    </row>
    <row r="16180" spans="1:5">
      <c r="A16180" t="s">
        <v>6</v>
      </c>
      <c r="B16180" t="s">
        <v>16185</v>
      </c>
      <c r="C16180">
        <f>HYPERLINK("C:\Users\franc\OneDrive\Documentos\MALENTIN KARIME\BANCO ESTADO\2012 DEPTO ESCRITURAS fata\Dc Simples\RESPALDO comp notaria 27_12_12\NOTARIA 2012\MINAS\FLOR DE ESPINO.doc", "Abrir Documento")</f>
        <v>0</v>
      </c>
      <c r="D16180" t="s">
        <v>23500</v>
      </c>
      <c r="E16180" t="s">
        <v>38655</v>
      </c>
    </row>
    <row r="16181" spans="1:5">
      <c r="A16181" t="s">
        <v>6</v>
      </c>
      <c r="B16181" t="s">
        <v>16186</v>
      </c>
      <c r="C16181">
        <f>HYPERLINK("C:\Users\franc\OneDrive\Documentos\MALENTIN KARIME\BANCO ESTADO\2012 DEPTO ESCRITURAS fata\Dc Simples\RESPALDO comp notaria 27_12_12\NOTARIA 2012\MINAS\EXPLOTACION MINERA LA ESPERANZA.doc", "Abrir Documento")</f>
        <v>0</v>
      </c>
      <c r="D16181" t="s">
        <v>23500</v>
      </c>
      <c r="E16181" t="s">
        <v>38656</v>
      </c>
    </row>
    <row r="16182" spans="1:5">
      <c r="A16182" t="s">
        <v>6</v>
      </c>
      <c r="B16182" t="s">
        <v>16187</v>
      </c>
      <c r="C16182">
        <f>HYPERLINK("C:\Users\franc\OneDrive\Documentos\MALENTIN KARIME\BANCO ESTADO\2012 DEPTO ESCRITURAS fata\Dc Simples\RESPALDO comp notaria 27_12_12\NOTARIA 2012\MINAS\EXPLOTACION LEONIDES.doc", "Abrir Documento")</f>
        <v>0</v>
      </c>
      <c r="D16182" t="s">
        <v>23500</v>
      </c>
      <c r="E16182" t="s">
        <v>38657</v>
      </c>
    </row>
    <row r="16183" spans="1:5">
      <c r="A16183" t="s">
        <v>6</v>
      </c>
      <c r="B16183" t="s">
        <v>16188</v>
      </c>
      <c r="C16183">
        <f>HYPERLINK("C:\Users\franc\OneDrive\Documentos\MALENTIN KARIME\BANCO ESTADO\2012 DEPTO ESCRITURAS fata\Dc Simples\RESPALDO comp notaria 27_12_12\NOTARIA 2012\MINAS\EXPLOTACION LA CORTADERA.doc", "Abrir Documento")</f>
        <v>0</v>
      </c>
      <c r="D16183" t="s">
        <v>23500</v>
      </c>
      <c r="E16183" t="s">
        <v>38658</v>
      </c>
    </row>
    <row r="16184" spans="1:5">
      <c r="A16184" t="s">
        <v>6</v>
      </c>
      <c r="B16184" t="s">
        <v>16189</v>
      </c>
      <c r="C16184">
        <f>HYPERLINK("C:\Users\franc\OneDrive\Documentos\MALENTIN KARIME\BANCO ESTADO\2012 DEPTO ESCRITURAS fata\Dc Simples\RESPALDO comp notaria 27_12_12\NOTARIA 2012\MINAS\EXPLOT 4 PERS..doc", "Abrir Documento")</f>
        <v>0</v>
      </c>
      <c r="D16184" t="s">
        <v>23500</v>
      </c>
      <c r="E16184" t="s">
        <v>38659</v>
      </c>
    </row>
    <row r="16185" spans="1:5">
      <c r="A16185" t="s">
        <v>6</v>
      </c>
      <c r="B16185" t="s">
        <v>16190</v>
      </c>
      <c r="C16185">
        <f>HYPERLINK("C:\Users\franc\OneDrive\Documentos\MALENTIN KARIME\BANCO ESTADO\2012 DEPTO ESCRITURAS fata\Dc Simples\RESPALDO comp notaria 27_12_12\NOTARIA 2012\MINAS\EXPL.YAYITA.doc", "Abrir Documento")</f>
        <v>0</v>
      </c>
      <c r="D16185" t="s">
        <v>23500</v>
      </c>
      <c r="E16185" t="s">
        <v>38660</v>
      </c>
    </row>
    <row r="16186" spans="1:5">
      <c r="A16186" t="s">
        <v>6</v>
      </c>
      <c r="B16186" t="s">
        <v>16191</v>
      </c>
      <c r="C16186">
        <f>HYPERLINK("C:\Users\franc\OneDrive\Documentos\MALENTIN KARIME\BANCO ESTADO\2012 DEPTO ESCRITURAS fata\Dc Simples\RESPALDO comp notaria 27_12_12\NOTARIA 2012\MINAS\EXPL.OSVALDO GUERRERO.doc", "Abrir Documento")</f>
        <v>0</v>
      </c>
      <c r="D16186" t="s">
        <v>23500</v>
      </c>
      <c r="E16186" t="s">
        <v>38661</v>
      </c>
    </row>
    <row r="16187" spans="1:5">
      <c r="A16187" t="s">
        <v>6</v>
      </c>
      <c r="B16187" t="s">
        <v>16192</v>
      </c>
      <c r="C16187">
        <f>HYPERLINK("C:\Users\franc\OneDrive\Documentos\MALENTIN KARIME\BANCO ESTADO\2012 DEPTO ESCRITURAS fata\Dc Simples\RESPALDO comp notaria 27_12_12\NOTARIA 2012\MINAS\EXPL. PETUNIA.doc", "Abrir Documento")</f>
        <v>0</v>
      </c>
      <c r="D16187" t="s">
        <v>23500</v>
      </c>
      <c r="E16187" t="s">
        <v>38662</v>
      </c>
    </row>
    <row r="16188" spans="1:5">
      <c r="A16188" t="s">
        <v>6</v>
      </c>
      <c r="B16188" t="s">
        <v>16193</v>
      </c>
      <c r="C16188">
        <f>HYPERLINK("C:\Users\franc\OneDrive\Documentos\MALENTIN KARIME\BANCO ESTADO\2012 DEPTO ESCRITURAS fata\Dc Simples\RESPALDO comp notaria 27_12_12\NOTARIA 2012\MINAS\EXPL. MESIAS ROBLES.doc", "Abrir Documento")</f>
        <v>0</v>
      </c>
      <c r="D16188" t="s">
        <v>23500</v>
      </c>
      <c r="E16188" t="s">
        <v>38663</v>
      </c>
    </row>
    <row r="16189" spans="1:5">
      <c r="A16189" t="s">
        <v>6</v>
      </c>
      <c r="B16189" t="s">
        <v>16194</v>
      </c>
      <c r="C16189">
        <f>HYPERLINK("C:\Users\franc\OneDrive\Documentos\MALENTIN KARIME\BANCO ESTADO\2012 DEPTO ESCRITURAS fata\Dc Simples\RESPALDO comp notaria 27_12_12\NOTARIA 2012\MINAS\EXPL. LOS VILOS.doc", "Abrir Documento")</f>
        <v>0</v>
      </c>
      <c r="D16189" t="s">
        <v>23500</v>
      </c>
      <c r="E16189" t="s">
        <v>38664</v>
      </c>
    </row>
    <row r="16190" spans="1:5">
      <c r="A16190" t="s">
        <v>6</v>
      </c>
      <c r="B16190" t="s">
        <v>16195</v>
      </c>
      <c r="C16190">
        <f>HYPERLINK("C:\Users\franc\OneDrive\Documentos\MALENTIN KARIME\BANCO ESTADO\2012 DEPTO ESCRITURAS fata\Dc Simples\RESPALDO comp notaria 27_12_12\NOTARIA 2012\MINAS\Expl. LA AGUADA II.doc", "Abrir Documento")</f>
        <v>0</v>
      </c>
      <c r="D16190" t="s">
        <v>23500</v>
      </c>
      <c r="E16190" t="s">
        <v>38665</v>
      </c>
    </row>
    <row r="16191" spans="1:5">
      <c r="A16191" t="s">
        <v>6</v>
      </c>
      <c r="B16191" t="s">
        <v>16196</v>
      </c>
      <c r="C16191">
        <f>HYPERLINK("C:\Users\franc\OneDrive\Documentos\MALENTIN KARIME\BANCO ESTADO\2012 DEPTO ESCRITURAS fata\Dc Simples\RESPALDO comp notaria 27_12_12\NOTARIA 2012\MINAS\Exp.AURORA.doc", "Abrir Documento")</f>
        <v>0</v>
      </c>
      <c r="D16191" t="s">
        <v>23500</v>
      </c>
      <c r="E16191" t="s">
        <v>38666</v>
      </c>
    </row>
    <row r="16192" spans="1:5">
      <c r="A16192" t="s">
        <v>6</v>
      </c>
      <c r="B16192" t="s">
        <v>16197</v>
      </c>
      <c r="C16192">
        <f>HYPERLINK("C:\Users\franc\OneDrive\Documentos\MALENTIN KARIME\BANCO ESTADO\2012 DEPTO ESCRITURAS fata\Dc Simples\RESPALDO comp notaria 27_12_12\NOTARIA 2012\MINAS\EXP. ENTROPIA.doc", "Abrir Documento")</f>
        <v>0</v>
      </c>
      <c r="D16192" t="s">
        <v>23500</v>
      </c>
      <c r="E16192" t="s">
        <v>38667</v>
      </c>
    </row>
    <row r="16193" spans="1:5">
      <c r="A16193" t="s">
        <v>6</v>
      </c>
      <c r="B16193" t="s">
        <v>16198</v>
      </c>
      <c r="C16193">
        <f>HYPERLINK("C:\Users\franc\OneDrive\Documentos\MALENTIN KARIME\BANCO ESTADO\2012 DEPTO ESCRITURAS fata\Dc Simples\RESPALDO comp notaria 27_12_12\NOTARIA 2012\MINAS\Exp. BUENA VISTA.doc", "Abrir Documento")</f>
        <v>0</v>
      </c>
      <c r="D16193" t="s">
        <v>23500</v>
      </c>
      <c r="E16193" t="s">
        <v>38668</v>
      </c>
    </row>
    <row r="16194" spans="1:5">
      <c r="A16194" t="s">
        <v>6</v>
      </c>
      <c r="B16194" t="s">
        <v>16199</v>
      </c>
      <c r="C16194">
        <f>HYPERLINK("C:\Users\franc\OneDrive\Documentos\MALENTIN KARIME\BANCO ESTADO\2012 DEPTO ESCRITURAS fata\Dc Simples\RESPALDO comp notaria 27_12_12\NOTARIA 2012\MINAS\EXP. AMOLANA.doc", "Abrir Documento")</f>
        <v>0</v>
      </c>
      <c r="D16194" t="s">
        <v>23500</v>
      </c>
      <c r="E16194" t="s">
        <v>38669</v>
      </c>
    </row>
    <row r="16195" spans="1:5">
      <c r="A16195" t="s">
        <v>6</v>
      </c>
      <c r="B16195" t="s">
        <v>16200</v>
      </c>
      <c r="C16195">
        <f>HYPERLINK("C:\Users\franc\OneDrive\Documentos\MALENTIN KARIME\BANCO ESTADO\2012 DEPTO ESCRITURAS fata\Dc Simples\RESPALDO comp notaria 27_12_12\NOTARIA 2012\MINAS\ERMITA A LINO BRAVO.doc", "Abrir Documento")</f>
        <v>0</v>
      </c>
      <c r="D16195" t="s">
        <v>23500</v>
      </c>
      <c r="E16195" t="s">
        <v>38670</v>
      </c>
    </row>
    <row r="16196" spans="1:5">
      <c r="A16196" t="s">
        <v>6</v>
      </c>
      <c r="B16196" t="s">
        <v>16201</v>
      </c>
      <c r="C16196">
        <f>HYPERLINK("C:\Users\franc\OneDrive\Documentos\MALENTIN KARIME\BANCO ESTADO\2012 DEPTO ESCRITURAS fata\Dc Simples\RESPALDO comp notaria 27_12_12\NOTARIA 2012\MINAS\ERMITA A JUAN VEGA DURAN.DOC", "Abrir Documento")</f>
        <v>0</v>
      </c>
      <c r="D16196" t="s">
        <v>23500</v>
      </c>
      <c r="E16196" t="s">
        <v>38671</v>
      </c>
    </row>
    <row r="16197" spans="1:5">
      <c r="A16197" t="s">
        <v>6</v>
      </c>
      <c r="B16197" t="s">
        <v>16202</v>
      </c>
      <c r="C16197">
        <f>HYPERLINK("C:\Users\franc\OneDrive\Documentos\MALENTIN KARIME\BANCO ESTADO\2012 DEPTO ESCRITURAS fata\Dc Simples\RESPALDO comp notaria 27_12_12\NOTARIA 2012\MINAS\ERMITA 16-46.doc", "Abrir Documento")</f>
        <v>0</v>
      </c>
      <c r="D16197" t="s">
        <v>23500</v>
      </c>
      <c r="E16197" t="s">
        <v>38672</v>
      </c>
    </row>
    <row r="16198" spans="1:5">
      <c r="A16198" t="s">
        <v>6</v>
      </c>
      <c r="B16198" t="s">
        <v>16203</v>
      </c>
      <c r="C16198">
        <f>HYPERLINK("C:\Users\franc\OneDrive\Documentos\MALENTIN KARIME\BANCO ESTADO\2012 DEPTO ESCRITURAS fata\Dc Simples\RESPALDO comp notaria 27_12_12\NOTARIA 2012\MINAS\ENTROPIA 1-10.doc", "Abrir Documento")</f>
        <v>0</v>
      </c>
      <c r="D16198" t="s">
        <v>23500</v>
      </c>
      <c r="E16198" t="s">
        <v>38673</v>
      </c>
    </row>
    <row r="16199" spans="1:5">
      <c r="A16199" t="s">
        <v>6</v>
      </c>
      <c r="B16199" t="s">
        <v>16204</v>
      </c>
      <c r="C16199">
        <f>HYPERLINK("C:\Users\franc\OneDrive\Documentos\MALENTIN KARIME\BANCO ESTADO\2012 DEPTO ESCRITURAS fata\Dc Simples\RESPALDO comp notaria 27_12_12\NOTARIA 2012\MINAS\EL PEÑON UNO.doc", "Abrir Documento")</f>
        <v>0</v>
      </c>
      <c r="D16199" t="s">
        <v>23500</v>
      </c>
      <c r="E16199" t="s">
        <v>38674</v>
      </c>
    </row>
    <row r="16200" spans="1:5">
      <c r="A16200" t="s">
        <v>6</v>
      </c>
      <c r="B16200" t="s">
        <v>16205</v>
      </c>
      <c r="C16200">
        <f>HYPERLINK("C:\Users\franc\OneDrive\Documentos\MALENTIN KARIME\BANCO ESTADO\2012 DEPTO ESCRITURAS fata\Dc Simples\RESPALDO comp notaria 27_12_12\NOTARIA 2012\MINAS\EL FRONTON.doc", "Abrir Documento")</f>
        <v>0</v>
      </c>
      <c r="D16200" t="s">
        <v>23500</v>
      </c>
      <c r="E16200" t="s">
        <v>38675</v>
      </c>
    </row>
    <row r="16201" spans="1:5">
      <c r="A16201" t="s">
        <v>6</v>
      </c>
      <c r="B16201" t="s">
        <v>16206</v>
      </c>
      <c r="C16201">
        <f>HYPERLINK("C:\Users\franc\OneDrive\Documentos\MALENTIN KARIME\BANCO ESTADO\2012 DEPTO ESCRITURAS fata\Dc Simples\RESPALDO comp notaria 27_12_12\NOTARIA 2012\MINAS\EL FRONTON II 07-08-2007.doc", "Abrir Documento")</f>
        <v>0</v>
      </c>
      <c r="D16201" t="s">
        <v>23500</v>
      </c>
      <c r="E16201" t="s">
        <v>38676</v>
      </c>
    </row>
    <row r="16202" spans="1:5">
      <c r="A16202" t="s">
        <v>6</v>
      </c>
      <c r="B16202" t="s">
        <v>16207</v>
      </c>
      <c r="C16202">
        <f>HYPERLINK("C:\Users\franc\OneDrive\Documentos\MALENTIN KARIME\BANCO ESTADO\2012 DEPTO ESCRITURAS fata\Dc Simples\RESPALDO comp notaria 27_12_12\NOTARIA 2012\MINAS\EL CHORRIAO UNO.doc", "Abrir Documento")</f>
        <v>0</v>
      </c>
      <c r="D16202" t="s">
        <v>23500</v>
      </c>
      <c r="E16202" t="s">
        <v>38677</v>
      </c>
    </row>
    <row r="16203" spans="1:5">
      <c r="A16203" t="s">
        <v>6</v>
      </c>
      <c r="B16203" t="s">
        <v>16208</v>
      </c>
      <c r="C16203">
        <f>HYPERLINK("C:\Users\franc\OneDrive\Documentos\MALENTIN KARIME\BANCO ESTADO\2012 DEPTO ESCRITURAS fata\Dc Simples\RESPALDO comp notaria 27_12_12\NOTARIA 2012\MINAS\EL CASTILLO.doc", "Abrir Documento")</f>
        <v>0</v>
      </c>
      <c r="D16203" t="s">
        <v>23500</v>
      </c>
      <c r="E16203" t="s">
        <v>38678</v>
      </c>
    </row>
    <row r="16204" spans="1:5">
      <c r="A16204" t="s">
        <v>6</v>
      </c>
      <c r="B16204" t="s">
        <v>16209</v>
      </c>
      <c r="C16204">
        <f>HYPERLINK("C:\Users\franc\OneDrive\Documentos\MALENTIN KARIME\BANCO ESTADO\2012 DEPTO ESCRITURAS fata\Dc Simples\RESPALDO comp notaria 27_12_12\NOTARIA 2012\MINAS\DOÑA ANDREA.doc", "Abrir Documento")</f>
        <v>0</v>
      </c>
      <c r="D16204" t="s">
        <v>23500</v>
      </c>
      <c r="E16204" t="s">
        <v>38679</v>
      </c>
    </row>
    <row r="16205" spans="1:5">
      <c r="A16205" t="s">
        <v>6</v>
      </c>
      <c r="B16205" t="s">
        <v>16210</v>
      </c>
      <c r="C16205">
        <f>HYPERLINK("C:\Users\franc\OneDrive\Documentos\MALENTIN KARIME\BANCO ESTADO\2012 DEPTO ESCRITURAS fata\Dc Simples\RESPALDO comp notaria 27_12_12\NOTARIA 2012\MINAS\DOS AMIGOS.doc", "Abrir Documento")</f>
        <v>0</v>
      </c>
      <c r="D16205" t="s">
        <v>23500</v>
      </c>
      <c r="E16205" t="s">
        <v>38680</v>
      </c>
    </row>
    <row r="16206" spans="1:5">
      <c r="A16206" t="s">
        <v>6</v>
      </c>
      <c r="B16206" t="s">
        <v>16211</v>
      </c>
      <c r="C16206">
        <f>HYPERLINK("C:\Users\franc\OneDrive\Documentos\MALENTIN KARIME\BANCO ESTADO\2012 DEPTO ESCRITURAS fata\Dc Simples\RESPALDO comp notaria 27_12_12\NOTARIA 2012\MINAS\DON MANUEL-angelo.doc", "Abrir Documento")</f>
        <v>0</v>
      </c>
      <c r="D16206" t="s">
        <v>23500</v>
      </c>
      <c r="E16206" t="s">
        <v>38681</v>
      </c>
    </row>
    <row r="16207" spans="1:5">
      <c r="A16207" t="s">
        <v>6</v>
      </c>
      <c r="B16207" t="s">
        <v>16212</v>
      </c>
      <c r="C16207">
        <f>HYPERLINK("C:\Users\franc\OneDrive\Documentos\MALENTIN KARIME\BANCO ESTADO\2012 DEPTO ESCRITURAS fata\Dc Simples\RESPALDO comp notaria 27_12_12\NOTARIA 2012\MINAS\DOM MANUEL 1-9.doc", "Abrir Documento")</f>
        <v>0</v>
      </c>
      <c r="D16207" t="s">
        <v>23500</v>
      </c>
      <c r="E16207" t="s">
        <v>38682</v>
      </c>
    </row>
    <row r="16208" spans="1:5">
      <c r="A16208" t="s">
        <v>6</v>
      </c>
      <c r="B16208" t="s">
        <v>16213</v>
      </c>
      <c r="C16208">
        <f>HYPERLINK("C:\Users\franc\OneDrive\Documentos\MALENTIN KARIME\BANCO ESTADO\2012 DEPTO ESCRITURAS fata\Dc Simples\RESPALDO comp notaria 27_12_12\NOTARIA 2012\MINAS\DET NYA SVERIGE.doc", "Abrir Documento")</f>
        <v>0</v>
      </c>
      <c r="D16208" t="s">
        <v>23500</v>
      </c>
      <c r="E16208" t="s">
        <v>38683</v>
      </c>
    </row>
    <row r="16209" spans="1:5">
      <c r="A16209" t="s">
        <v>6</v>
      </c>
      <c r="B16209" t="s">
        <v>16214</v>
      </c>
      <c r="C16209">
        <f>HYPERLINK("C:\Users\franc\OneDrive\Documentos\MALENTIN KARIME\BANCO ESTADO\2012 DEPTO ESCRITURAS fata\Dc Simples\RESPALDO comp notaria 27_12_12\NOTARIA 2012\MINAS\DET NYA SVERIGE II.doc", "Abrir Documento")</f>
        <v>0</v>
      </c>
      <c r="D16209" t="s">
        <v>23500</v>
      </c>
      <c r="E16209" t="s">
        <v>38684</v>
      </c>
    </row>
    <row r="16210" spans="1:5">
      <c r="A16210" t="s">
        <v>6</v>
      </c>
      <c r="B16210" t="s">
        <v>16215</v>
      </c>
      <c r="C16210">
        <f>HYPERLINK("C:\Users\franc\OneDrive\Documentos\MALENTIN KARIME\BANCO ESTADO\2012 DEPTO ESCRITURAS fata\Dc Simples\RESPALDO comp notaria 27_12_12\NOTARIA 2012\MINAS\COPPELIA 1 A 2.doc", "Abrir Documento")</f>
        <v>0</v>
      </c>
      <c r="D16210" t="s">
        <v>23500</v>
      </c>
      <c r="E16210" t="s">
        <v>38685</v>
      </c>
    </row>
    <row r="16211" spans="1:5">
      <c r="A16211" t="s">
        <v>6</v>
      </c>
      <c r="B16211" t="s">
        <v>16216</v>
      </c>
      <c r="C16211">
        <f>HYPERLINK("C:\Users\franc\OneDrive\Documentos\MALENTIN KARIME\BANCO ESTADO\2012 DEPTO ESCRITURAS fata\Dc Simples\RESPALDO comp notaria 27_12_12\NOTARIA 2012\MINAS\CONVENIO VENTA MINERAL.doc", "Abrir Documento")</f>
        <v>0</v>
      </c>
      <c r="D16211" t="s">
        <v>23500</v>
      </c>
      <c r="E16211" t="s">
        <v>38686</v>
      </c>
    </row>
    <row r="16212" spans="1:5">
      <c r="A16212" t="s">
        <v>6</v>
      </c>
      <c r="B16212" t="s">
        <v>16217</v>
      </c>
      <c r="C16212">
        <f>HYPERLINK("C:\Users\franc\OneDrive\Documentos\MALENTIN KARIME\BANCO ESTADO\2012 DEPTO ESCRITURAS fata\Dc Simples\RESPALDO comp notaria 27_12_12\NOTARIA 2012\MINAS\CONTRATO EXPLOTACION MINERA.doc", "Abrir Documento")</f>
        <v>0</v>
      </c>
      <c r="D16212" t="s">
        <v>23500</v>
      </c>
      <c r="E16212" t="s">
        <v>38687</v>
      </c>
    </row>
    <row r="16213" spans="1:5">
      <c r="A16213" t="s">
        <v>6</v>
      </c>
      <c r="B16213" t="s">
        <v>16218</v>
      </c>
      <c r="C16213">
        <f>HYPERLINK("C:\Users\franc\OneDrive\Documentos\MALENTIN KARIME\BANCO ESTADO\2012 DEPTO ESCRITURAS fata\Dc Simples\RESPALDO comp notaria 27_12_12\NOTARIA 2012\MINAS\CONT. MOLLE I-6 Y COMINCID.doc", "Abrir Documento")</f>
        <v>0</v>
      </c>
      <c r="D16213" t="s">
        <v>23500</v>
      </c>
      <c r="E16213" t="s">
        <v>38688</v>
      </c>
    </row>
    <row r="16214" spans="1:5">
      <c r="A16214" t="s">
        <v>6</v>
      </c>
      <c r="B16214" t="s">
        <v>16219</v>
      </c>
      <c r="C16214">
        <f>HYPERLINK("C:\Users\franc\OneDrive\Documentos\MALENTIN KARIME\BANCO ESTADO\2012 DEPTO ESCRITURAS fata\Dc Simples\RESPALDO comp notaria 27_12_12\NOTARIA 2012\MINAS\CONT. LA NONITA UNO AL NUEVE.doc", "Abrir Documento")</f>
        <v>0</v>
      </c>
      <c r="D16214" t="s">
        <v>23500</v>
      </c>
      <c r="E16214" t="s">
        <v>38689</v>
      </c>
    </row>
    <row r="16215" spans="1:5">
      <c r="A16215" t="s">
        <v>6</v>
      </c>
      <c r="B16215" t="s">
        <v>16220</v>
      </c>
      <c r="C16215">
        <f>HYPERLINK("C:\Users\franc\OneDrive\Documentos\MALENTIN KARIME\BANCO ESTADO\2012 DEPTO ESCRITURAS fata\Dc Simples\RESPALDO comp notaria 27_12_12\NOTARIA 2012\MINAS\COMPRAVENTA DE MINERAL.doc", "Abrir Documento")</f>
        <v>0</v>
      </c>
      <c r="D16215" t="s">
        <v>23500</v>
      </c>
      <c r="E16215" t="s">
        <v>38690</v>
      </c>
    </row>
    <row r="16216" spans="1:5">
      <c r="A16216" t="s">
        <v>6</v>
      </c>
      <c r="B16216" t="s">
        <v>16221</v>
      </c>
      <c r="C16216">
        <f>HYPERLINK("C:\Users\franc\OneDrive\Documentos\MALENTIN KARIME\BANCO ESTADO\2012 DEPTO ESCRITURAS fata\Dc Simples\RESPALDO comp notaria 27_12_12\NOTARIA 2012\MINAS\CHANTY.doc", "Abrir Documento")</f>
        <v>0</v>
      </c>
      <c r="D16216" t="s">
        <v>23500</v>
      </c>
      <c r="E16216" t="s">
        <v>38691</v>
      </c>
    </row>
    <row r="16217" spans="1:5">
      <c r="A16217" t="s">
        <v>6</v>
      </c>
      <c r="B16217" t="s">
        <v>16222</v>
      </c>
      <c r="C16217">
        <f>HYPERLINK("C:\Users\franc\OneDrive\Documentos\MALENTIN KARIME\BANCO ESTADO\2012 DEPTO ESCRITURAS fata\Dc Simples\RESPALDO comp notaria 27_12_12\NOTARIA 2012\MINAS\CAROL DOS UNO DE QUEBRADA LA HIGUERA.doc", "Abrir Documento")</f>
        <v>0</v>
      </c>
      <c r="D16217" t="s">
        <v>23500</v>
      </c>
      <c r="E16217" t="s">
        <v>38692</v>
      </c>
    </row>
    <row r="16218" spans="1:5">
      <c r="A16218" t="s">
        <v>6</v>
      </c>
      <c r="B16218" t="s">
        <v>16223</v>
      </c>
      <c r="C16218">
        <f>HYPERLINK("C:\Users\franc\OneDrive\Documentos\MALENTIN KARIME\BANCO ESTADO\2012 DEPTO ESCRITURAS fata\Dc Simples\RESPALDO comp notaria 27_12_12\NOTARIA 2012\MINAS\CARMENCITA.doc", "Abrir Documento")</f>
        <v>0</v>
      </c>
      <c r="D16218" t="s">
        <v>23500</v>
      </c>
      <c r="E16218" t="s">
        <v>38693</v>
      </c>
    </row>
    <row r="16219" spans="1:5">
      <c r="A16219" t="s">
        <v>6</v>
      </c>
      <c r="B16219" t="s">
        <v>16224</v>
      </c>
      <c r="C16219">
        <f>HYPERLINK("C:\Users\franc\OneDrive\Documentos\MALENTIN KARIME\BANCO ESTADO\2012 DEPTO ESCRITURAS fata\Dc Simples\RESPALDO comp notaria 27_12_12\NOTARIA 2012\MINAS\CARMENCITA COMBARBALA.doc", "Abrir Documento")</f>
        <v>0</v>
      </c>
      <c r="D16219" t="s">
        <v>23500</v>
      </c>
      <c r="E16219" t="s">
        <v>38694</v>
      </c>
    </row>
    <row r="16220" spans="1:5">
      <c r="A16220" t="s">
        <v>6</v>
      </c>
      <c r="B16220" t="s">
        <v>16225</v>
      </c>
      <c r="C16220">
        <f>HYPERLINK("C:\Users\franc\OneDrive\Documentos\MALENTIN KARIME\BANCO ESTADO\2012 DEPTO ESCRITURAS fata\Dc Simples\RESPALDO comp notaria 27_12_12\NOTARIA 2012\MINAS\CARMEN UNO AL VEINTE.doc", "Abrir Documento")</f>
        <v>0</v>
      </c>
      <c r="D16220" t="s">
        <v>23500</v>
      </c>
      <c r="E16220" t="s">
        <v>38695</v>
      </c>
    </row>
    <row r="16221" spans="1:5">
      <c r="A16221" t="s">
        <v>6</v>
      </c>
      <c r="B16221" t="s">
        <v>16226</v>
      </c>
      <c r="C16221">
        <f>HYPERLINK("C:\Users\franc\OneDrive\Documentos\MALENTIN KARIME\BANCO ESTADO\2012 DEPTO ESCRITURAS fata\Dc Simples\RESPALDO comp notaria 27_12_12\NOTARIA 2012\MINAS\CARMEN 1 AL 20.doc", "Abrir Documento")</f>
        <v>0</v>
      </c>
      <c r="D16221" t="s">
        <v>23500</v>
      </c>
      <c r="E16221" t="s">
        <v>38696</v>
      </c>
    </row>
    <row r="16222" spans="1:5">
      <c r="A16222" t="s">
        <v>6</v>
      </c>
      <c r="B16222" t="s">
        <v>16227</v>
      </c>
      <c r="C16222">
        <f>HYPERLINK("C:\Users\franc\OneDrive\Documentos\MALENTIN KARIME\BANCO ESTADO\2012 DEPTO ESCRITURAS fata\Dc Simples\RESPALDO comp notaria 27_12_12\NOTARIA 2012\MINAS\CARMEN 1 AL 20  II ctto.doc", "Abrir Documento")</f>
        <v>0</v>
      </c>
      <c r="D16222" t="s">
        <v>23500</v>
      </c>
      <c r="E16222" t="s">
        <v>38697</v>
      </c>
    </row>
    <row r="16223" spans="1:5">
      <c r="A16223" t="s">
        <v>6</v>
      </c>
      <c r="B16223" t="s">
        <v>16228</v>
      </c>
      <c r="C16223">
        <f>HYPERLINK("C:\Users\franc\OneDrive\Documentos\MALENTIN KARIME\BANCO ESTADO\2012 DEPTO ESCRITURAS fata\Dc Simples\RESPALDO comp notaria 27_12_12\NOTARIA 2012\MINAS\CARDA PRIMERA DE COQUIMBO.doc", "Abrir Documento")</f>
        <v>0</v>
      </c>
      <c r="D16223" t="s">
        <v>23500</v>
      </c>
      <c r="E16223" t="s">
        <v>38698</v>
      </c>
    </row>
    <row r="16224" spans="1:5">
      <c r="A16224" t="s">
        <v>6</v>
      </c>
      <c r="B16224" t="s">
        <v>16229</v>
      </c>
      <c r="C16224">
        <f>HYPERLINK("C:\Users\franc\OneDrive\Documentos\MALENTIN KARIME\BANCO ESTADO\2012 DEPTO ESCRITURAS fata\Dc Simples\RESPALDO comp notaria 27_12_12\NOTARIA 2012\MINAS\CALCITA 1 AL 10.doc", "Abrir Documento")</f>
        <v>0</v>
      </c>
      <c r="D16224" t="s">
        <v>23500</v>
      </c>
      <c r="E16224" t="s">
        <v>38699</v>
      </c>
    </row>
    <row r="16225" spans="1:5">
      <c r="A16225" t="s">
        <v>6</v>
      </c>
      <c r="B16225" t="s">
        <v>16230</v>
      </c>
      <c r="C16225">
        <f>HYPERLINK("C:\Users\franc\OneDrive\Documentos\MALENTIN KARIME\BANCO ESTADO\2012 DEPTO ESCRITURAS fata\Dc Simples\RESPALDO comp notaria 27_12_12\NOTARIA 2012\MINAS\CACHO.doc", "Abrir Documento")</f>
        <v>0</v>
      </c>
      <c r="D16225" t="s">
        <v>23500</v>
      </c>
      <c r="E16225" t="s">
        <v>38700</v>
      </c>
    </row>
    <row r="16226" spans="1:5">
      <c r="A16226" t="s">
        <v>6</v>
      </c>
      <c r="B16226" t="s">
        <v>16231</v>
      </c>
      <c r="C16226">
        <f>HYPERLINK("C:\Users\franc\OneDrive\Documentos\MALENTIN KARIME\BANCO ESTADO\2012 DEPTO ESCRITURAS fata\Dc Simples\RESPALDO comp notaria 27_12_12\NOTARIA 2012\MINAS\BRANCO A AL CINCO.doc", "Abrir Documento")</f>
        <v>0</v>
      </c>
      <c r="D16226" t="s">
        <v>23500</v>
      </c>
      <c r="E16226" t="s">
        <v>38701</v>
      </c>
    </row>
    <row r="16227" spans="1:5">
      <c r="A16227" t="s">
        <v>6</v>
      </c>
      <c r="B16227" t="s">
        <v>16232</v>
      </c>
      <c r="C16227">
        <f>HYPERLINK("C:\Users\franc\OneDrive\Documentos\MALENTIN KARIME\BANCO ESTADO\2012 DEPTO ESCRITURAS fata\Dc Simples\RESPALDO comp notaria 27_12_12\NOTARIA 2012\MINAS\BLANCO Y NEGRO 1-20.doc", "Abrir Documento")</f>
        <v>0</v>
      </c>
      <c r="D16227" t="s">
        <v>23500</v>
      </c>
      <c r="E16227" t="s">
        <v>38702</v>
      </c>
    </row>
    <row r="16228" spans="1:5">
      <c r="A16228" t="s">
        <v>6</v>
      </c>
      <c r="B16228" t="s">
        <v>16233</v>
      </c>
      <c r="C16228">
        <f>HYPERLINK("C:\Users\franc\OneDrive\Documentos\MALENTIN KARIME\BANCO ESTADO\2012 DEPTO ESCRITURAS fata\Dc Simples\RESPALDO comp notaria 27_12_12\NOTARIA 2012\MINAS\BLANCO Y  NEGRO 1 AL 10.doc", "Abrir Documento")</f>
        <v>0</v>
      </c>
      <c r="D16228" t="s">
        <v>23500</v>
      </c>
      <c r="E16228" t="s">
        <v>38703</v>
      </c>
    </row>
    <row r="16229" spans="1:5">
      <c r="A16229" t="s">
        <v>6</v>
      </c>
      <c r="B16229" t="s">
        <v>16234</v>
      </c>
      <c r="C16229">
        <f>HYPERLINK("C:\Users\franc\OneDrive\Documentos\MALENTIN KARIME\BANCO ESTADO\2012 DEPTO ESCRITURAS fata\Dc Simples\RESPALDO comp notaria 27_12_12\NOTARIA 2012\MINAS\BELLA ESPERANZA.doc", "Abrir Documento")</f>
        <v>0</v>
      </c>
      <c r="D16229" t="s">
        <v>23500</v>
      </c>
      <c r="E16229" t="s">
        <v>38704</v>
      </c>
    </row>
    <row r="16230" spans="1:5">
      <c r="A16230" t="s">
        <v>6</v>
      </c>
      <c r="B16230" t="s">
        <v>16235</v>
      </c>
      <c r="C16230">
        <f>HYPERLINK("C:\Users\franc\OneDrive\Documentos\MALENTIN KARIME\BANCO ESTADO\2012 DEPTO ESCRITURAS fata\Dc Simples\RESPALDO comp notaria 27_12_12\NOTARIA 2012\MINAS\BELEN 1 AL 2.doc", "Abrir Documento")</f>
        <v>0</v>
      </c>
      <c r="D16230" t="s">
        <v>23500</v>
      </c>
      <c r="E16230" t="s">
        <v>38705</v>
      </c>
    </row>
    <row r="16231" spans="1:5">
      <c r="A16231" t="s">
        <v>6</v>
      </c>
      <c r="B16231" t="s">
        <v>16236</v>
      </c>
      <c r="C16231">
        <f>HYPERLINK("C:\Users\franc\OneDrive\Documentos\MALENTIN KARIME\BANCO ESTADO\2012 DEPTO ESCRITURAS fata\Dc Simples\RESPALDO comp notaria 27_12_12\NOTARIA 2012\MINAS\BACHITO 1 AL 10.doc", "Abrir Documento")</f>
        <v>0</v>
      </c>
      <c r="D16231" t="s">
        <v>23500</v>
      </c>
      <c r="E16231" t="s">
        <v>38706</v>
      </c>
    </row>
    <row r="16232" spans="1:5">
      <c r="A16232" t="s">
        <v>6</v>
      </c>
      <c r="B16232" t="s">
        <v>16237</v>
      </c>
      <c r="C16232">
        <f>HYPERLINK("C:\Users\franc\OneDrive\Documentos\MALENTIN KARIME\BANCO ESTADO\2012 DEPTO ESCRITURAS fata\Dc Simples\RESPALDO comp notaria 27_12_12\NOTARIA 2012\MINAS\AZOR.doc", "Abrir Documento")</f>
        <v>0</v>
      </c>
      <c r="D16232" t="s">
        <v>23500</v>
      </c>
      <c r="E16232" t="s">
        <v>38707</v>
      </c>
    </row>
    <row r="16233" spans="1:5">
      <c r="A16233" t="s">
        <v>6</v>
      </c>
      <c r="B16233" t="s">
        <v>16238</v>
      </c>
      <c r="C16233">
        <f>HYPERLINK("C:\Users\franc\OneDrive\Documentos\MALENTIN KARIME\BANCO ESTADO\2012 DEPTO ESCRITURAS fata\Dc Simples\RESPALDO comp notaria 27_12_12\NOTARIA 2012\MINAS\ASOC. CUENTAS EN PARTICIPACION.doc", "Abrir Documento")</f>
        <v>0</v>
      </c>
      <c r="D16233" t="s">
        <v>23500</v>
      </c>
      <c r="E16233" t="s">
        <v>38708</v>
      </c>
    </row>
    <row r="16234" spans="1:5">
      <c r="A16234" t="s">
        <v>6</v>
      </c>
      <c r="B16234" t="s">
        <v>16239</v>
      </c>
      <c r="C16234">
        <f>HYPERLINK("C:\Users\franc\OneDrive\Documentos\MALENTIN KARIME\BANCO ESTADO\2012 DEPTO ESCRITURAS fata\Dc Simples\RESPALDO comp notaria 27_12_12\NOTARIA 2012\MINAS\ARRIENDO MINERO.doc", "Abrir Documento")</f>
        <v>0</v>
      </c>
      <c r="D16234" t="s">
        <v>23500</v>
      </c>
      <c r="E16234" t="s">
        <v>38709</v>
      </c>
    </row>
    <row r="16235" spans="1:5">
      <c r="A16235" t="s">
        <v>6</v>
      </c>
      <c r="B16235" t="s">
        <v>16240</v>
      </c>
      <c r="C16235">
        <f>HYPERLINK("C:\Users\franc\OneDrive\Documentos\MALENTIN KARIME\BANCO ESTADO\2012 DEPTO ESCRITURAS fata\Dc Simples\RESPALDO comp notaria 27_12_12\NOTARIA 2012\MINAS\ARR.COMPLETO.doc", "Abrir Documento")</f>
        <v>0</v>
      </c>
      <c r="D16235" t="s">
        <v>23500</v>
      </c>
      <c r="E16235" t="s">
        <v>38710</v>
      </c>
    </row>
    <row r="16236" spans="1:5">
      <c r="A16236" t="s">
        <v>6</v>
      </c>
      <c r="B16236" t="s">
        <v>16241</v>
      </c>
      <c r="C16236">
        <f>HYPERLINK("C:\Users\franc\OneDrive\Documentos\MALENTIN KARIME\BANCO ESTADO\2012 DEPTO ESCRITURAS fata\Dc Simples\RESPALDO comp notaria 27_12_12\NOTARIA 2012\MINAS\ANTONELLA 1.doc", "Abrir Documento")</f>
        <v>0</v>
      </c>
      <c r="D16236" t="s">
        <v>23500</v>
      </c>
      <c r="E16236" t="s">
        <v>38711</v>
      </c>
    </row>
    <row r="16237" spans="1:5">
      <c r="A16237" t="s">
        <v>6</v>
      </c>
      <c r="B16237" t="s">
        <v>16242</v>
      </c>
      <c r="C16237">
        <f>HYPERLINK("C:\Users\franc\OneDrive\Documentos\MALENTIN KARIME\BANCO ESTADO\2012 DEPTO ESCRITURAS fata\Dc Simples\RESPALDO comp notaria 27_12_12\NOTARIA 2012\MINAS\ANEXO MINERO.doc", "Abrir Documento")</f>
        <v>0</v>
      </c>
      <c r="D16237" t="s">
        <v>23500</v>
      </c>
      <c r="E16237" t="s">
        <v>38712</v>
      </c>
    </row>
    <row r="16238" spans="1:5">
      <c r="A16238" t="s">
        <v>6</v>
      </c>
      <c r="B16238" t="s">
        <v>16243</v>
      </c>
      <c r="C16238">
        <f>HYPERLINK("C:\Users\franc\OneDrive\Documentos\MALENTIN KARIME\BANCO ESTADO\2012 DEPTO ESCRITURAS fata\Dc Simples\RESPALDO comp notaria 27_12_12\NOTARIA 2012\MINAS\ANEXO MINERO yiyo.doc", "Abrir Documento")</f>
        <v>0</v>
      </c>
      <c r="D16238" t="s">
        <v>23500</v>
      </c>
      <c r="E16238" t="s">
        <v>38713</v>
      </c>
    </row>
    <row r="16239" spans="1:5">
      <c r="A16239" t="s">
        <v>6</v>
      </c>
      <c r="B16239" t="s">
        <v>16244</v>
      </c>
      <c r="C16239">
        <f>HYPERLINK("C:\Users\franc\OneDrive\Documentos\MALENTIN KARIME\BANCO ESTADO\2012 DEPTO ESCRITURAS fata\Dc Simples\RESPALDO comp notaria 27_12_12\NOTARIA 2012\MINAS\ANEXO MINERO SOC..doc", "Abrir Documento")</f>
        <v>0</v>
      </c>
      <c r="D16239" t="s">
        <v>23500</v>
      </c>
      <c r="E16239" t="s">
        <v>38714</v>
      </c>
    </row>
    <row r="16240" spans="1:5">
      <c r="A16240" t="s">
        <v>6</v>
      </c>
      <c r="B16240" t="s">
        <v>16245</v>
      </c>
      <c r="C16240">
        <f>HYPERLINK("C:\Users\franc\OneDrive\Documentos\MALENTIN KARIME\BANCO ESTADO\2012 DEPTO ESCRITURAS fata\Dc Simples\RESPALDO comp notaria 27_12_12\NOTARIA 2012\MINAS\ANEXO MINERO SOC. II.doc", "Abrir Documento")</f>
        <v>0</v>
      </c>
      <c r="D16240" t="s">
        <v>23500</v>
      </c>
      <c r="E16240" t="s">
        <v>38715</v>
      </c>
    </row>
    <row r="16241" spans="1:5">
      <c r="A16241" t="s">
        <v>6</v>
      </c>
      <c r="B16241" t="s">
        <v>16246</v>
      </c>
      <c r="C16241">
        <f>HYPERLINK("C:\Users\franc\OneDrive\Documentos\MALENTIN KARIME\BANCO ESTADO\2012 DEPTO ESCRITURAS fata\Dc Simples\RESPALDO comp notaria 27_12_12\NOTARIA 2012\MINAS\ANEXO MINERO lolo.doc", "Abrir Documento")</f>
        <v>0</v>
      </c>
      <c r="D16241" t="s">
        <v>23500</v>
      </c>
      <c r="E16241" t="s">
        <v>38716</v>
      </c>
    </row>
    <row r="16242" spans="1:5">
      <c r="A16242" t="s">
        <v>6</v>
      </c>
      <c r="B16242" t="s">
        <v>16247</v>
      </c>
      <c r="C16242">
        <f>HYPERLINK("C:\Users\franc\OneDrive\Documentos\MALENTIN KARIME\BANCO ESTADO\2012 DEPTO ESCRITURAS fata\Dc Simples\RESPALDO comp notaria 27_12_12\NOTARIA 2012\MINAS\ANEXO MINERO Edgardo.doc", "Abrir Documento")</f>
        <v>0</v>
      </c>
      <c r="D16242" t="s">
        <v>23500</v>
      </c>
      <c r="E16242" t="s">
        <v>38717</v>
      </c>
    </row>
    <row r="16243" spans="1:5">
      <c r="A16243" t="s">
        <v>6</v>
      </c>
      <c r="B16243" t="s">
        <v>16248</v>
      </c>
      <c r="C16243">
        <f>HYPERLINK("C:\Users\franc\OneDrive\Documentos\MALENTIN KARIME\BANCO ESTADO\2012 DEPTO ESCRITURAS fata\Dc Simples\RESPALDO comp notaria 27_12_12\NOTARIA 2012\LABORAL\VIATICO.doc", "Abrir Documento")</f>
        <v>0</v>
      </c>
      <c r="D16243" t="s">
        <v>23500</v>
      </c>
      <c r="E16243" t="s">
        <v>38718</v>
      </c>
    </row>
    <row r="16244" spans="1:5">
      <c r="A16244" t="s">
        <v>6</v>
      </c>
      <c r="B16244" t="s">
        <v>16249</v>
      </c>
      <c r="C16244">
        <f>HYPERLINK("C:\Users\franc\OneDrive\Documentos\MALENTIN KARIME\BANCO ESTADO\2012 DEPTO ESCRITURAS fata\Dc Simples\RESPALDO comp notaria 27_12_12\NOTARIA 2012\LABORAL\VERONICA VILLEGAS.doc", "Abrir Documento")</f>
        <v>0</v>
      </c>
      <c r="D16244" t="s">
        <v>23500</v>
      </c>
      <c r="E16244" t="s">
        <v>38719</v>
      </c>
    </row>
    <row r="16245" spans="1:5">
      <c r="A16245" t="s">
        <v>6</v>
      </c>
      <c r="B16245" t="s">
        <v>16250</v>
      </c>
      <c r="C16245">
        <f>HYPERLINK("C:\Users\franc\OneDrive\Documentos\MALENTIN KARIME\BANCO ESTADO\2012 DEPTO ESCRITURAS fata\Dc Simples\RESPALDO comp notaria 27_12_12\NOTARIA 2012\LABORAL\VENTA DE PUESTO FERIA.doc", "Abrir Documento")</f>
        <v>0</v>
      </c>
      <c r="D16245" t="s">
        <v>23500</v>
      </c>
      <c r="E16245" t="s">
        <v>38720</v>
      </c>
    </row>
    <row r="16246" spans="1:5">
      <c r="A16246" t="s">
        <v>6</v>
      </c>
      <c r="B16246" t="s">
        <v>16251</v>
      </c>
      <c r="C16246">
        <f>HYPERLINK("C:\Users\franc\OneDrive\Documentos\MALENTIN KARIME\BANCO ESTADO\2012 DEPTO ESCRITURAS fata\Dc Simples\RESPALDO comp notaria 27_12_12\NOTARIA 2012\LABORAL\VALLE SALUD.doc", "Abrir Documento")</f>
        <v>0</v>
      </c>
      <c r="D16246" t="s">
        <v>23500</v>
      </c>
      <c r="E16246" t="s">
        <v>38721</v>
      </c>
    </row>
    <row r="16247" spans="1:5">
      <c r="A16247" t="s">
        <v>6</v>
      </c>
      <c r="B16247" t="s">
        <v>16252</v>
      </c>
      <c r="C16247">
        <f>HYPERLINK("C:\Users\franc\OneDrive\Documentos\MALENTIN KARIME\BANCO ESTADO\2012 DEPTO ESCRITURAS fata\Dc Simples\RESPALDO comp notaria 27_12_12\NOTARIA 2012\LABORAL\TRASP. P. FERIA.doc", "Abrir Documento")</f>
        <v>0</v>
      </c>
      <c r="D16247" t="s">
        <v>23500</v>
      </c>
      <c r="E16247" t="s">
        <v>38722</v>
      </c>
    </row>
    <row r="16248" spans="1:5">
      <c r="A16248" t="s">
        <v>6</v>
      </c>
      <c r="B16248" t="s">
        <v>16253</v>
      </c>
      <c r="C16248">
        <f>HYPERLINK("C:\Users\franc\OneDrive\Documentos\MALENTIN KARIME\BANCO ESTADO\2012 DEPTO ESCRITURAS fata\Dc Simples\RESPALDO comp notaria 27_12_12\NOTARIA 2012\LABORAL\TRASLADO DE DOCUMENTACION.doc", "Abrir Documento")</f>
        <v>0</v>
      </c>
      <c r="D16248" t="s">
        <v>23500</v>
      </c>
      <c r="E16248" t="s">
        <v>38723</v>
      </c>
    </row>
    <row r="16249" spans="1:5">
      <c r="A16249" t="s">
        <v>6</v>
      </c>
      <c r="B16249" t="s">
        <v>16254</v>
      </c>
      <c r="C16249">
        <f>HYPERLINK("C:\Users\franc\OneDrive\Documentos\MALENTIN KARIME\BANCO ESTADO\2012 DEPTO ESCRITURAS fata\Dc Simples\RESPALDO comp notaria 27_12_12\NOTARIA 2012\LABORAL\TRABAJO AGRICULTOR.doc", "Abrir Documento")</f>
        <v>0</v>
      </c>
      <c r="D16249" t="s">
        <v>23500</v>
      </c>
      <c r="E16249" t="s">
        <v>38724</v>
      </c>
    </row>
    <row r="16250" spans="1:5">
      <c r="A16250" t="s">
        <v>6</v>
      </c>
      <c r="B16250" t="s">
        <v>16255</v>
      </c>
      <c r="C16250">
        <f>HYPERLINK("C:\Users\franc\OneDrive\Documentos\MALENTIN KARIME\BANCO ESTADO\2012 DEPTO ESCRITURAS fata\Dc Simples\RESPALDO comp notaria 27_12_12\NOTARIA 2012\LABORAL\TIO LUCHO.doc", "Abrir Documento")</f>
        <v>0</v>
      </c>
      <c r="D16250" t="s">
        <v>23500</v>
      </c>
      <c r="E16250" t="s">
        <v>38725</v>
      </c>
    </row>
    <row r="16251" spans="1:5">
      <c r="A16251" t="s">
        <v>6</v>
      </c>
      <c r="B16251" t="s">
        <v>16256</v>
      </c>
      <c r="C16251">
        <f>HYPERLINK("C:\Users\franc\OneDrive\Documentos\MALENTIN KARIME\BANCO ESTADO\2012 DEPTO ESCRITURAS fata\Dc Simples\RESPALDO comp notaria 27_12_12\NOTARIA 2012\LABORAL\TERMINO CONTRATO ARRIENDO.doc", "Abrir Documento")</f>
        <v>0</v>
      </c>
      <c r="D16251" t="s">
        <v>23500</v>
      </c>
      <c r="E16251" t="s">
        <v>38726</v>
      </c>
    </row>
    <row r="16252" spans="1:5">
      <c r="A16252" t="s">
        <v>6</v>
      </c>
      <c r="B16252" t="s">
        <v>16257</v>
      </c>
      <c r="C16252">
        <f>HYPERLINK("C:\Users\franc\OneDrive\Documentos\MALENTIN KARIME\BANCO ESTADO\2012 DEPTO ESCRITURAS fata\Dc Simples\RESPALDO comp notaria 27_12_12\NOTARIA 2012\LABORAL\TERM.ARR.SITIO.doc", "Abrir Documento")</f>
        <v>0</v>
      </c>
      <c r="D16252" t="s">
        <v>23500</v>
      </c>
      <c r="E16252" t="s">
        <v>38727</v>
      </c>
    </row>
    <row r="16253" spans="1:5">
      <c r="A16253" t="s">
        <v>6</v>
      </c>
      <c r="B16253" t="s">
        <v>16258</v>
      </c>
      <c r="C16253">
        <f>HYPERLINK("C:\Users\franc\OneDrive\Documentos\MALENTIN KARIME\BANCO ESTADO\2012 DEPTO ESCRITURAS fata\Dc Simples\RESPALDO comp notaria 27_12_12\NOTARIA 2012\LABORAL\TERM. LAS ABEJAS I.doc", "Abrir Documento")</f>
        <v>0</v>
      </c>
      <c r="D16253" t="s">
        <v>23500</v>
      </c>
      <c r="E16253" t="s">
        <v>38728</v>
      </c>
    </row>
    <row r="16254" spans="1:5">
      <c r="A16254" t="s">
        <v>6</v>
      </c>
      <c r="B16254" t="s">
        <v>16259</v>
      </c>
      <c r="C16254">
        <f>HYPERLINK("C:\Users\franc\OneDrive\Documentos\MALENTIN KARIME\BANCO ESTADO\2012 DEPTO ESCRITURAS fata\Dc Simples\RESPALDO comp notaria 27_12_12\NOTARIA 2012\LABORAL\TERM. LA ESTRELLA.doc", "Abrir Documento")</f>
        <v>0</v>
      </c>
      <c r="D16254" t="s">
        <v>23500</v>
      </c>
      <c r="E16254" t="s">
        <v>38729</v>
      </c>
    </row>
    <row r="16255" spans="1:5">
      <c r="A16255" t="s">
        <v>6</v>
      </c>
      <c r="B16255" t="s">
        <v>16260</v>
      </c>
      <c r="C16255">
        <f>HYPERLINK("C:\Users\franc\OneDrive\Documentos\MALENTIN KARIME\BANCO ESTADO\2012 DEPTO ESCRITURAS fata\Dc Simples\RESPALDO comp notaria 27_12_12\NOTARIA 2012\LABORAL\TERM. LA CHINITA.doc", "Abrir Documento")</f>
        <v>0</v>
      </c>
      <c r="D16255" t="s">
        <v>23500</v>
      </c>
      <c r="E16255" t="s">
        <v>38730</v>
      </c>
    </row>
    <row r="16256" spans="1:5">
      <c r="A16256" t="s">
        <v>6</v>
      </c>
      <c r="B16256" t="s">
        <v>16261</v>
      </c>
      <c r="C16256">
        <f>HYPERLINK("C:\Users\franc\OneDrive\Documentos\MALENTIN KARIME\BANCO ESTADO\2012 DEPTO ESCRITURAS fata\Dc Simples\RESPALDO comp notaria 27_12_12\NOTARIA 2012\LABORAL\TERM CTTO. ricardo risi.doc", "Abrir Documento")</f>
        <v>0</v>
      </c>
      <c r="D16256" t="s">
        <v>23500</v>
      </c>
      <c r="E16256" t="s">
        <v>38731</v>
      </c>
    </row>
    <row r="16257" spans="1:5">
      <c r="A16257" t="s">
        <v>6</v>
      </c>
      <c r="B16257" t="s">
        <v>16262</v>
      </c>
      <c r="C16257">
        <f>HYPERLINK("C:\Users\franc\OneDrive\Documentos\MALENTIN KARIME\BANCO ESTADO\2012 DEPTO ESCRITURAS fata\Dc Simples\RESPALDO comp notaria 27_12_12\NOTARIA 2012\LABORAL\TERM CTTO. ARR. CASA4.doc", "Abrir Documento")</f>
        <v>0</v>
      </c>
      <c r="D16257" t="s">
        <v>23500</v>
      </c>
      <c r="E16257" t="s">
        <v>38732</v>
      </c>
    </row>
    <row r="16258" spans="1:5">
      <c r="A16258" t="s">
        <v>6</v>
      </c>
      <c r="B16258" t="s">
        <v>16263</v>
      </c>
      <c r="C16258">
        <f>HYPERLINK("C:\Users\franc\OneDrive\Documentos\MALENTIN KARIME\BANCO ESTADO\2012 DEPTO ESCRITURAS fata\Dc Simples\RESPALDO comp notaria 27_12_12\NOTARIA 2012\LABORAL\TERM CTTO. ARR. CASA.doc", "Abrir Documento")</f>
        <v>0</v>
      </c>
      <c r="D16258" t="s">
        <v>23500</v>
      </c>
      <c r="E16258" t="s">
        <v>38733</v>
      </c>
    </row>
    <row r="16259" spans="1:5">
      <c r="A16259" t="s">
        <v>6</v>
      </c>
      <c r="B16259" t="s">
        <v>16264</v>
      </c>
      <c r="C16259">
        <f>HYPERLINK("C:\Users\franc\OneDrive\Documentos\MALENTIN KARIME\BANCO ESTADO\2012 DEPTO ESCRITURAS fata\Dc Simples\RESPALDO comp notaria 27_12_12\NOTARIA 2012\LABORAL\TERM CTTO. ARR. CASA ROB.doc", "Abrir Documento")</f>
        <v>0</v>
      </c>
      <c r="D16259" t="s">
        <v>23500</v>
      </c>
      <c r="E16259" t="s">
        <v>38734</v>
      </c>
    </row>
    <row r="16260" spans="1:5">
      <c r="A16260" t="s">
        <v>6</v>
      </c>
      <c r="B16260" t="s">
        <v>16265</v>
      </c>
      <c r="C16260">
        <f>HYPERLINK("C:\Users\franc\OneDrive\Documentos\MALENTIN KARIME\BANCO ESTADO\2012 DEPTO ESCRITURAS fata\Dc Simples\RESPALDO comp notaria 27_12_12\NOTARIA 2012\LABORAL\TERM CTTO. ARR. CASA 2.doc", "Abrir Documento")</f>
        <v>0</v>
      </c>
      <c r="D16260" t="s">
        <v>23500</v>
      </c>
      <c r="E16260" t="s">
        <v>38735</v>
      </c>
    </row>
    <row r="16261" spans="1:5">
      <c r="A16261" t="s">
        <v>6</v>
      </c>
      <c r="B16261" t="s">
        <v>16266</v>
      </c>
      <c r="C16261">
        <f>HYPERLINK("C:\Users\franc\OneDrive\Documentos\MALENTIN KARIME\BANCO ESTADO\2012 DEPTO ESCRITURAS fata\Dc Simples\RESPALDO comp notaria 27_12_12\NOTARIA 2012\LABORAL\SOLICITUD.doc", "Abrir Documento")</f>
        <v>0</v>
      </c>
      <c r="D16261" t="s">
        <v>23500</v>
      </c>
      <c r="E16261" t="s">
        <v>38736</v>
      </c>
    </row>
    <row r="16262" spans="1:5">
      <c r="A16262" t="s">
        <v>6</v>
      </c>
      <c r="B16262" t="s">
        <v>16267</v>
      </c>
      <c r="C16262">
        <f>HYPERLINK("C:\Users\franc\OneDrive\Documentos\MALENTIN KARIME\BANCO ESTADO\2012 DEPTO ESCRITURAS fata\Dc Simples\RESPALDO comp notaria 27_12_12\NOTARIA 2012\LABORAL\SOLIC. ALZ..doc", "Abrir Documento")</f>
        <v>0</v>
      </c>
      <c r="D16262" t="s">
        <v>23500</v>
      </c>
      <c r="E16262" t="s">
        <v>38737</v>
      </c>
    </row>
    <row r="16263" spans="1:5">
      <c r="A16263" t="s">
        <v>6</v>
      </c>
      <c r="B16263" t="s">
        <v>16268</v>
      </c>
      <c r="C16263">
        <f>HYPERLINK("C:\Users\franc\OneDrive\Documentos\MALENTIN KARIME\BANCO ESTADO\2012 DEPTO ESCRITURAS fata\Dc Simples\RESPALDO comp notaria 27_12_12\NOTARIA 2012\LABORAL\SERVIU CAMB. CHEQUE.doc", "Abrir Documento")</f>
        <v>0</v>
      </c>
      <c r="D16263" t="s">
        <v>23500</v>
      </c>
      <c r="E16263" t="s">
        <v>38738</v>
      </c>
    </row>
    <row r="16264" spans="1:5">
      <c r="A16264" t="s">
        <v>6</v>
      </c>
      <c r="B16264" t="s">
        <v>16269</v>
      </c>
      <c r="C16264">
        <f>HYPERLINK("C:\Users\franc\OneDrive\Documentos\MALENTIN KARIME\BANCO ESTADO\2012 DEPTO ESCRITURAS fata\Dc Simples\RESPALDO comp notaria 27_12_12\NOTARIA 2012\LABORAL\SERVICIOS A HONORARIOS.doc", "Abrir Documento")</f>
        <v>0</v>
      </c>
      <c r="D16264" t="s">
        <v>23500</v>
      </c>
      <c r="E16264" t="s">
        <v>38739</v>
      </c>
    </row>
    <row r="16265" spans="1:5">
      <c r="A16265" t="s">
        <v>6</v>
      </c>
      <c r="B16265" t="s">
        <v>16270</v>
      </c>
      <c r="C16265">
        <f>HYPERLINK("C:\Users\franc\OneDrive\Documentos\MALENTIN KARIME\BANCO ESTADO\2012 DEPTO ESCRITURAS fata\Dc Simples\RESPALDO comp notaria 27_12_12\NOTARIA 2012\LABORAL\SANTA TERESA.doc", "Abrir Documento")</f>
        <v>0</v>
      </c>
      <c r="D16265" t="s">
        <v>23500</v>
      </c>
      <c r="E16265" t="s">
        <v>38740</v>
      </c>
    </row>
    <row r="16266" spans="1:5">
      <c r="A16266" t="s">
        <v>6</v>
      </c>
      <c r="B16266" t="s">
        <v>16271</v>
      </c>
      <c r="C16266">
        <f>HYPERLINK("C:\Users\franc\OneDrive\Documentos\MALENTIN KARIME\BANCO ESTADO\2012 DEPTO ESCRITURAS fata\Dc Simples\RESPALDO comp notaria 27_12_12\NOTARIA 2012\LABORAL\SAN ANDRES 1-16.doc", "Abrir Documento")</f>
        <v>0</v>
      </c>
      <c r="D16266" t="s">
        <v>23500</v>
      </c>
      <c r="E16266" t="s">
        <v>38741</v>
      </c>
    </row>
    <row r="16267" spans="1:5">
      <c r="A16267" t="s">
        <v>6</v>
      </c>
      <c r="B16267" t="s">
        <v>16272</v>
      </c>
      <c r="C16267">
        <f>HYPERLINK("C:\Users\franc\OneDrive\Documentos\MALENTIN KARIME\BANCO ESTADO\2012 DEPTO ESCRITURAS fata\Dc Simples\RESPALDO comp notaria 27_12_12\NOTARIA 2012\LABORAL\RETOMA SALA CUNA.doc", "Abrir Documento")</f>
        <v>0</v>
      </c>
      <c r="D16267" t="s">
        <v>23500</v>
      </c>
      <c r="E16267" t="s">
        <v>38742</v>
      </c>
    </row>
    <row r="16268" spans="1:5">
      <c r="A16268" t="s">
        <v>6</v>
      </c>
      <c r="B16268" t="s">
        <v>16273</v>
      </c>
      <c r="C16268">
        <f>HYPERLINK("C:\Users\franc\OneDrive\Documentos\MALENTIN KARIME\BANCO ESTADO\2012 DEPTO ESCRITURAS fata\Dc Simples\RESPALDO comp notaria 27_12_12\NOTARIA 2012\LABORAL\RENUNCIA SEGURO.doc", "Abrir Documento")</f>
        <v>0</v>
      </c>
      <c r="D16268" t="s">
        <v>23500</v>
      </c>
      <c r="E16268" t="s">
        <v>38743</v>
      </c>
    </row>
    <row r="16269" spans="1:5">
      <c r="A16269" t="s">
        <v>6</v>
      </c>
      <c r="B16269" t="s">
        <v>16274</v>
      </c>
      <c r="C16269">
        <f>HYPERLINK("C:\Users\franc\OneDrive\Documentos\MALENTIN KARIME\BANCO ESTADO\2012 DEPTO ESCRITURAS fata\Dc Simples\RESPALDO comp notaria 27_12_12\NOTARIA 2012\LABORAL\RENUNCIA COMITE.doc", "Abrir Documento")</f>
        <v>0</v>
      </c>
      <c r="D16269" t="s">
        <v>23500</v>
      </c>
      <c r="E16269" t="s">
        <v>38744</v>
      </c>
    </row>
    <row r="16270" spans="1:5">
      <c r="A16270" t="s">
        <v>6</v>
      </c>
      <c r="B16270" t="s">
        <v>16275</v>
      </c>
      <c r="C16270">
        <f>HYPERLINK("C:\Users\franc\OneDrive\Documentos\MALENTIN KARIME\BANCO ESTADO\2012 DEPTO ESCRITURAS fata\Dc Simples\RESPALDO comp notaria 27_12_12\NOTARIA 2012\LABORAL\REN. TRABAJO.doc", "Abrir Documento")</f>
        <v>0</v>
      </c>
      <c r="D16270" t="s">
        <v>23500</v>
      </c>
      <c r="E16270" t="s">
        <v>38745</v>
      </c>
    </row>
    <row r="16271" spans="1:5">
      <c r="A16271" t="s">
        <v>6</v>
      </c>
      <c r="B16271" t="s">
        <v>16276</v>
      </c>
      <c r="C16271">
        <f>HYPERLINK("C:\Users\franc\OneDrive\Documentos\MALENTIN KARIME\BANCO ESTADO\2012 DEPTO ESCRITURAS fata\Dc Simples\RESPALDO comp notaria 27_12_12\NOTARIA 2012\LABORAL\REN. SALA CUNA.doc", "Abrir Documento")</f>
        <v>0</v>
      </c>
      <c r="D16271" t="s">
        <v>23500</v>
      </c>
      <c r="E16271" t="s">
        <v>38746</v>
      </c>
    </row>
    <row r="16272" spans="1:5">
      <c r="A16272" t="s">
        <v>6</v>
      </c>
      <c r="B16272" t="s">
        <v>16277</v>
      </c>
      <c r="C16272">
        <f>HYPERLINK("C:\Users\franc\OneDrive\Documentos\MALENTIN KARIME\BANCO ESTADO\2012 DEPTO ESCRITURAS fata\Dc Simples\RESPALDO comp notaria 27_12_12\NOTARIA 2012\LABORAL\PRORROGA.doc", "Abrir Documento")</f>
        <v>0</v>
      </c>
      <c r="D16272" t="s">
        <v>23500</v>
      </c>
      <c r="E16272" t="s">
        <v>38747</v>
      </c>
    </row>
    <row r="16273" spans="1:5">
      <c r="A16273" t="s">
        <v>6</v>
      </c>
      <c r="B16273" t="s">
        <v>16278</v>
      </c>
      <c r="C16273">
        <f>HYPERLINK("C:\Users\franc\OneDrive\Documentos\MALENTIN KARIME\BANCO ESTADO\2012 DEPTO ESCRITURAS fata\Dc Simples\RESPALDO comp notaria 27_12_12\NOTARIA 2012\LABORAL\PRESTACION DE SERVICIOS.doc", "Abrir Documento")</f>
        <v>0</v>
      </c>
      <c r="D16273" t="s">
        <v>23500</v>
      </c>
      <c r="E16273" t="s">
        <v>38748</v>
      </c>
    </row>
    <row r="16274" spans="1:5">
      <c r="A16274" t="s">
        <v>6</v>
      </c>
      <c r="B16274" t="s">
        <v>16279</v>
      </c>
      <c r="C16274">
        <f>HYPERLINK("C:\Users\franc\OneDrive\Documentos\MALENTIN KARIME\BANCO ESTADO\2012 DEPTO ESCRITURAS fata\Dc Simples\RESPALDO comp notaria 27_12_12\NOTARIA 2012\LABORAL\PREST. SERVICIOS.doc", "Abrir Documento")</f>
        <v>0</v>
      </c>
      <c r="D16274" t="s">
        <v>23500</v>
      </c>
      <c r="E16274" t="s">
        <v>38749</v>
      </c>
    </row>
    <row r="16275" spans="1:5">
      <c r="A16275" t="s">
        <v>6</v>
      </c>
      <c r="B16275" t="s">
        <v>16280</v>
      </c>
      <c r="C16275">
        <f>HYPERLINK("C:\Users\franc\OneDrive\Documentos\MALENTIN KARIME\BANCO ESTADO\2012 DEPTO ESCRITURAS fata\Dc Simples\RESPALDO comp notaria 27_12_12\NOTARIA 2012\LABORAL\PREST. SERVICIOS p..doc", "Abrir Documento")</f>
        <v>0</v>
      </c>
      <c r="D16275" t="s">
        <v>23500</v>
      </c>
      <c r="E16275" t="s">
        <v>38750</v>
      </c>
    </row>
    <row r="16276" spans="1:5">
      <c r="A16276" t="s">
        <v>6</v>
      </c>
      <c r="B16276" t="s">
        <v>16281</v>
      </c>
      <c r="C16276">
        <f>HYPERLINK("C:\Users\franc\OneDrive\Documentos\MALENTIN KARIME\BANCO ESTADO\2012 DEPTO ESCRITURAS fata\Dc Simples\RESPALDO comp notaria 27_12_12\NOTARIA 2012\LABORAL\PREST. SERVICIOS Feria.doc", "Abrir Documento")</f>
        <v>0</v>
      </c>
      <c r="D16276" t="s">
        <v>23500</v>
      </c>
      <c r="E16276" t="s">
        <v>38751</v>
      </c>
    </row>
    <row r="16277" spans="1:5">
      <c r="A16277" t="s">
        <v>6</v>
      </c>
      <c r="B16277" t="s">
        <v>16282</v>
      </c>
      <c r="C16277">
        <f>HYPERLINK("C:\Users\franc\OneDrive\Documentos\MALENTIN KARIME\BANCO ESTADO\2012 DEPTO ESCRITURAS fata\Dc Simples\RESPALDO comp notaria 27_12_12\NOTARIA 2012\LABORAL\PREST. SERVICIOS DUBERLY.doc", "Abrir Documento")</f>
        <v>0</v>
      </c>
      <c r="D16277" t="s">
        <v>23500</v>
      </c>
      <c r="E16277" t="s">
        <v>38752</v>
      </c>
    </row>
    <row r="16278" spans="1:5">
      <c r="A16278" t="s">
        <v>6</v>
      </c>
      <c r="B16278" t="s">
        <v>16283</v>
      </c>
      <c r="C16278">
        <f>HYPERLINK("C:\Users\franc\OneDrive\Documentos\MALENTIN KARIME\BANCO ESTADO\2012 DEPTO ESCRITURAS fata\Dc Simples\RESPALDO comp notaria 27_12_12\NOTARIA 2012\LABORAL\PREST. SERV. Túnel.doc", "Abrir Documento")</f>
        <v>0</v>
      </c>
      <c r="D16278" t="s">
        <v>23500</v>
      </c>
      <c r="E16278" t="s">
        <v>38753</v>
      </c>
    </row>
    <row r="16279" spans="1:5">
      <c r="A16279" t="s">
        <v>6</v>
      </c>
      <c r="B16279" t="s">
        <v>16284</v>
      </c>
      <c r="C16279">
        <f>HYPERLINK("C:\Users\franc\OneDrive\Documentos\MALENTIN KARIME\BANCO ESTADO\2012 DEPTO ESCRITURAS fata\Dc Simples\RESPALDO comp notaria 27_12_12\NOTARIA 2012\LABORAL\PREST. SERV. Sol del Pacífico.doc", "Abrir Documento")</f>
        <v>0</v>
      </c>
      <c r="D16279" t="s">
        <v>23500</v>
      </c>
      <c r="E16279" t="s">
        <v>38754</v>
      </c>
    </row>
    <row r="16280" spans="1:5">
      <c r="A16280" t="s">
        <v>6</v>
      </c>
      <c r="B16280" t="s">
        <v>16285</v>
      </c>
      <c r="C16280">
        <f>HYPERLINK("C:\Users\franc\OneDrive\Documentos\MALENTIN KARIME\BANCO ESTADO\2012 DEPTO ESCRITURAS fata\Dc Simples\RESPALDO comp notaria 27_12_12\NOTARIA 2012\LABORAL\PREST. SERV. Gota de leche.doc", "Abrir Documento")</f>
        <v>0</v>
      </c>
      <c r="D16280" t="s">
        <v>23500</v>
      </c>
      <c r="E16280" t="s">
        <v>38755</v>
      </c>
    </row>
    <row r="16281" spans="1:5">
      <c r="A16281" t="s">
        <v>6</v>
      </c>
      <c r="B16281" t="s">
        <v>16286</v>
      </c>
      <c r="C16281">
        <f>HYPERLINK("C:\Users\franc\OneDrive\Documentos\MALENTIN KARIME\BANCO ESTADO\2012 DEPTO ESCRITURAS fata\Dc Simples\RESPALDO comp notaria 27_12_12\NOTARIA 2012\LABORAL\PREST. SERV. bus.doc", "Abrir Documento")</f>
        <v>0</v>
      </c>
      <c r="D16281" t="s">
        <v>23500</v>
      </c>
      <c r="E16281" t="s">
        <v>38756</v>
      </c>
    </row>
    <row r="16282" spans="1:5">
      <c r="A16282" t="s">
        <v>6</v>
      </c>
      <c r="B16282" t="s">
        <v>16287</v>
      </c>
      <c r="C16282">
        <f>HYPERLINK("C:\Users\franc\OneDrive\Documentos\MALENTIN KARIME\BANCO ESTADO\2012 DEPTO ESCRITURAS fata\Dc Simples\RESPALDO comp notaria 27_12_12\NOTARIA 2012\LABORAL\PETRONILA.doc", "Abrir Documento")</f>
        <v>0</v>
      </c>
      <c r="D16282" t="s">
        <v>23500</v>
      </c>
      <c r="E16282" t="s">
        <v>38757</v>
      </c>
    </row>
    <row r="16283" spans="1:5">
      <c r="A16283" t="s">
        <v>6</v>
      </c>
      <c r="B16283" t="s">
        <v>16288</v>
      </c>
      <c r="C16283">
        <f>HYPERLINK("C:\Users\franc\OneDrive\Documentos\MALENTIN KARIME\BANCO ESTADO\2012 DEPTO ESCRITURAS fata\Dc Simples\RESPALDO comp notaria 27_12_12\NOTARIA 2012\LABORAL\PARTE ERRONEO.doc", "Abrir Documento")</f>
        <v>0</v>
      </c>
      <c r="D16283" t="s">
        <v>23500</v>
      </c>
      <c r="E16283" t="s">
        <v>38758</v>
      </c>
    </row>
    <row r="16284" spans="1:5">
      <c r="A16284" t="s">
        <v>6</v>
      </c>
      <c r="B16284" t="s">
        <v>16289</v>
      </c>
      <c r="C16284">
        <f>HYPERLINK("C:\Users\franc\OneDrive\Documentos\MALENTIN KARIME\BANCO ESTADO\2012 DEPTO ESCRITURAS fata\Dc Simples\RESPALDO comp notaria 27_12_12\NOTARIA 2012\LABORAL\PAMA.doc", "Abrir Documento")</f>
        <v>0</v>
      </c>
      <c r="D16284" t="s">
        <v>23500</v>
      </c>
      <c r="E16284" t="s">
        <v>38759</v>
      </c>
    </row>
    <row r="16285" spans="1:5">
      <c r="A16285" t="s">
        <v>6</v>
      </c>
      <c r="B16285" t="s">
        <v>16290</v>
      </c>
      <c r="C16285">
        <f>HYPERLINK("C:\Users\franc\OneDrive\Documentos\MALENTIN KARIME\BANCO ESTADO\2012 DEPTO ESCRITURAS fata\Dc Simples\RESPALDO comp notaria 27_12_12\NOTARIA 2012\LABORAL\PAGO ARRIENDO.doc", "Abrir Documento")</f>
        <v>0</v>
      </c>
      <c r="D16285" t="s">
        <v>23500</v>
      </c>
      <c r="E16285" t="s">
        <v>38760</v>
      </c>
    </row>
    <row r="16286" spans="1:5">
      <c r="A16286" t="s">
        <v>6</v>
      </c>
      <c r="B16286" t="s">
        <v>16291</v>
      </c>
      <c r="C16286">
        <f>HYPERLINK("C:\Users\franc\OneDrive\Documentos\MALENTIN KARIME\BANCO ESTADO\2012 DEPTO ESCRITURAS fata\Dc Simples\RESPALDO comp notaria 27_12_12\NOTARIA 2012\LABORAL\MESIAS.doc", "Abrir Documento")</f>
        <v>0</v>
      </c>
      <c r="D16286" t="s">
        <v>23500</v>
      </c>
      <c r="E16286" t="s">
        <v>38761</v>
      </c>
    </row>
    <row r="16287" spans="1:5">
      <c r="A16287" t="s">
        <v>6</v>
      </c>
      <c r="B16287" t="s">
        <v>16292</v>
      </c>
      <c r="C16287">
        <f>HYPERLINK("C:\Users\franc\OneDrive\Documentos\MALENTIN KARIME\BANCO ESTADO\2012 DEPTO ESCRITURAS fata\Dc Simples\RESPALDO comp notaria 27_12_12\NOTARIA 2012\LABORAL\MABEL ABU-GOSH.doc", "Abrir Documento")</f>
        <v>0</v>
      </c>
      <c r="D16287" t="s">
        <v>23500</v>
      </c>
      <c r="E16287" t="s">
        <v>38762</v>
      </c>
    </row>
    <row r="16288" spans="1:5">
      <c r="A16288" t="s">
        <v>6</v>
      </c>
      <c r="B16288" t="s">
        <v>16293</v>
      </c>
      <c r="C16288">
        <f>HYPERLINK("C:\Users\franc\OneDrive\Documentos\MALENTIN KARIME\BANCO ESTADO\2012 DEPTO ESCRITURAS fata\Dc Simples\RESPALDO comp notaria 27_12_12\NOTARIA 2012\LABORAL\LABORAL SIN GOCE.doc", "Abrir Documento")</f>
        <v>0</v>
      </c>
      <c r="D16288" t="s">
        <v>23500</v>
      </c>
      <c r="E16288" t="s">
        <v>38763</v>
      </c>
    </row>
    <row r="16289" spans="1:5">
      <c r="A16289" t="s">
        <v>6</v>
      </c>
      <c r="B16289" t="s">
        <v>16294</v>
      </c>
      <c r="C16289">
        <f>HYPERLINK("C:\Users\franc\OneDrive\Documentos\MALENTIN KARIME\BANCO ESTADO\2012 DEPTO ESCRITURAS fata\Dc Simples\RESPALDO comp notaria 27_12_12\NOTARIA 2012\LABORAL\INP Jorge Rojo.doc", "Abrir Documento")</f>
        <v>0</v>
      </c>
      <c r="D16289" t="s">
        <v>23500</v>
      </c>
      <c r="E16289" t="s">
        <v>38764</v>
      </c>
    </row>
    <row r="16290" spans="1:5">
      <c r="A16290" t="s">
        <v>6</v>
      </c>
      <c r="B16290" t="s">
        <v>16295</v>
      </c>
      <c r="C16290">
        <f>HYPERLINK("C:\Users\franc\OneDrive\Documentos\MALENTIN KARIME\BANCO ESTADO\2012 DEPTO ESCRITURAS fata\Dc Simples\RESPALDO comp notaria 27_12_12\NOTARIA 2012\LABORAL\FORMATO CURR..doc", "Abrir Documento")</f>
        <v>0</v>
      </c>
      <c r="D16290" t="s">
        <v>23500</v>
      </c>
      <c r="E16290" t="s">
        <v>38765</v>
      </c>
    </row>
    <row r="16291" spans="1:5">
      <c r="A16291" t="s">
        <v>6</v>
      </c>
      <c r="B16291" t="s">
        <v>16296</v>
      </c>
      <c r="C16291">
        <f>HYPERLINK("C:\Users\franc\OneDrive\Documentos\MALENTIN KARIME\BANCO ESTADO\2012 DEPTO ESCRITURAS fata\Dc Simples\RESPALDO comp notaria 27_12_12\NOTARIA 2012\LABORAL\FISCALIA.doc", "Abrir Documento")</f>
        <v>0</v>
      </c>
      <c r="D16291" t="s">
        <v>23500</v>
      </c>
      <c r="E16291" t="s">
        <v>38766</v>
      </c>
    </row>
    <row r="16292" spans="1:5">
      <c r="A16292" t="s">
        <v>6</v>
      </c>
      <c r="B16292" t="s">
        <v>16297</v>
      </c>
      <c r="C16292">
        <f>HYPERLINK("C:\Users\franc\OneDrive\Documentos\MALENTIN KARIME\BANCO ESTADO\2012 DEPTO ESCRITURAS fata\Dc Simples\RESPALDO comp notaria 27_12_12\NOTARIA 2012\LABORAL\FISCALIA 2 LICENCIAS.doc", "Abrir Documento")</f>
        <v>0</v>
      </c>
      <c r="D16292" t="s">
        <v>23500</v>
      </c>
      <c r="E16292" t="s">
        <v>38767</v>
      </c>
    </row>
    <row r="16293" spans="1:5">
      <c r="A16293" t="s">
        <v>6</v>
      </c>
      <c r="B16293" t="s">
        <v>16298</v>
      </c>
      <c r="C16293">
        <f>HYPERLINK("C:\Users\franc\OneDrive\Documentos\MALENTIN KARIME\BANCO ESTADO\2012 DEPTO ESCRITURAS fata\Dc Simples\RESPALDO comp notaria 27_12_12\NOTARIA 2012\LABORAL\FINIQUITO.doc", "Abrir Documento")</f>
        <v>0</v>
      </c>
      <c r="D16293" t="s">
        <v>23500</v>
      </c>
      <c r="E16293" t="s">
        <v>38768</v>
      </c>
    </row>
    <row r="16294" spans="1:5">
      <c r="A16294" t="s">
        <v>6</v>
      </c>
      <c r="B16294" t="s">
        <v>16299</v>
      </c>
      <c r="C16294">
        <f>HYPERLINK("C:\Users\franc\OneDrive\Documentos\MALENTIN KARIME\BANCO ESTADO\2012 DEPTO ESCRITURAS fata\Dc Simples\RESPALDO comp notaria 27_12_12\NOTARIA 2012\LABORAL\Finiquito de trabajador.doc", "Abrir Documento")</f>
        <v>0</v>
      </c>
      <c r="D16294" t="s">
        <v>23500</v>
      </c>
      <c r="E16294" t="s">
        <v>38769</v>
      </c>
    </row>
    <row r="16295" spans="1:5">
      <c r="A16295" t="s">
        <v>6</v>
      </c>
      <c r="B16295" t="s">
        <v>16300</v>
      </c>
      <c r="C16295">
        <f>HYPERLINK("C:\Users\franc\OneDrive\Documentos\MALENTIN KARIME\BANCO ESTADO\2012 DEPTO ESCRITURAS fata\Dc Simples\RESPALDO comp notaria 27_12_12\NOTARIA 2012\LABORAL\FIN CONTRATO AGRIC..doc", "Abrir Documento")</f>
        <v>0</v>
      </c>
      <c r="D16295" t="s">
        <v>23500</v>
      </c>
      <c r="E16295" t="s">
        <v>38770</v>
      </c>
    </row>
    <row r="16296" spans="1:5">
      <c r="A16296" t="s">
        <v>6</v>
      </c>
      <c r="B16296" t="s">
        <v>16301</v>
      </c>
      <c r="C16296">
        <f>HYPERLINK("C:\Users\franc\OneDrive\Documentos\MALENTIN KARIME\BANCO ESTADO\2012 DEPTO ESCRITURAS fata\Dc Simples\RESPALDO comp notaria 27_12_12\NOTARIA 2012\LABORAL\EXTRAVIO LIBRETA BANCO.doc", "Abrir Documento")</f>
        <v>0</v>
      </c>
      <c r="D16296" t="s">
        <v>23500</v>
      </c>
      <c r="E16296" t="s">
        <v>38771</v>
      </c>
    </row>
    <row r="16297" spans="1:5">
      <c r="A16297" t="s">
        <v>6</v>
      </c>
      <c r="B16297" t="s">
        <v>16302</v>
      </c>
      <c r="C16297">
        <f>HYPERLINK("C:\Users\franc\OneDrive\Documentos\MALENTIN KARIME\BANCO ESTADO\2012 DEPTO ESCRITURAS fata\Dc Simples\RESPALDO comp notaria 27_12_12\NOTARIA 2012\LABORAL\CONT. TRABAJO.doc", "Abrir Documento")</f>
        <v>0</v>
      </c>
      <c r="D16297" t="s">
        <v>23500</v>
      </c>
      <c r="E16297" t="s">
        <v>38772</v>
      </c>
    </row>
    <row r="16298" spans="1:5">
      <c r="A16298" t="s">
        <v>6</v>
      </c>
      <c r="B16298" t="s">
        <v>16303</v>
      </c>
      <c r="C16298">
        <f>HYPERLINK("C:\Users\franc\OneDrive\Documentos\MALENTIN KARIME\BANCO ESTADO\2012 DEPTO ESCRITURAS fata\Dc Simples\RESPALDO comp notaria 27_12_12\NOTARIA 2012\LABORAL\CONST. CASA GUANAQUEROS.doc", "Abrir Documento")</f>
        <v>0</v>
      </c>
      <c r="D16298" t="s">
        <v>23500</v>
      </c>
      <c r="E16298" t="s">
        <v>38773</v>
      </c>
    </row>
    <row r="16299" spans="1:5">
      <c r="A16299" t="s">
        <v>6</v>
      </c>
      <c r="B16299" t="s">
        <v>16304</v>
      </c>
      <c r="C16299">
        <f>HYPERLINK("C:\Users\franc\OneDrive\Documentos\MALENTIN KARIME\BANCO ESTADO\2012 DEPTO ESCRITURAS fata\Dc Simples\RESPALDO comp notaria 27_12_12\NOTARIA 2012\LABORAL\CARTA REN. CYNTIA.doc", "Abrir Documento")</f>
        <v>0</v>
      </c>
      <c r="D16299" t="s">
        <v>23500</v>
      </c>
      <c r="E16299" t="s">
        <v>38774</v>
      </c>
    </row>
    <row r="16300" spans="1:5">
      <c r="A16300" t="s">
        <v>6</v>
      </c>
      <c r="B16300" t="s">
        <v>16305</v>
      </c>
      <c r="C16300">
        <f>HYPERLINK("C:\Users\franc\OneDrive\Documentos\MALENTIN KARIME\BANCO ESTADO\2012 DEPTO ESCRITURAS fata\Dc Simples\RESPALDO comp notaria 27_12_12\NOTARIA 2012\LABORAL\CARTA EXTRANJERÍA.doc", "Abrir Documento")</f>
        <v>0</v>
      </c>
      <c r="D16300" t="s">
        <v>23500</v>
      </c>
      <c r="E16300" t="s">
        <v>38775</v>
      </c>
    </row>
    <row r="16301" spans="1:5">
      <c r="A16301" t="s">
        <v>6</v>
      </c>
      <c r="B16301" t="s">
        <v>16306</v>
      </c>
      <c r="C16301">
        <f>HYPERLINK("C:\Users\franc\OneDrive\Documentos\MALENTIN KARIME\BANCO ESTADO\2012 DEPTO ESCRITURAS fata\Dc Simples\RESPALDO comp notaria 27_12_12\NOTARIA 2012\LABORAL\carta de termino de contrato de juan delmo.doc", "Abrir Documento")</f>
        <v>0</v>
      </c>
      <c r="D16301" t="s">
        <v>23500</v>
      </c>
      <c r="E16301" t="s">
        <v>38776</v>
      </c>
    </row>
    <row r="16302" spans="1:5">
      <c r="A16302" t="s">
        <v>6</v>
      </c>
      <c r="B16302" t="s">
        <v>16307</v>
      </c>
      <c r="C16302">
        <f>HYPERLINK("C:\Users\franc\OneDrive\Documentos\MALENTIN KARIME\BANCO ESTADO\2012 DEPTO ESCRITURAS fata\Dc Simples\RESPALDO comp notaria 27_12_12\NOTARIA 2012\LABORAL\CARTA CONSERVADOR.doc", "Abrir Documento")</f>
        <v>0</v>
      </c>
      <c r="D16302" t="s">
        <v>23500</v>
      </c>
      <c r="E16302" t="s">
        <v>38777</v>
      </c>
    </row>
    <row r="16303" spans="1:5">
      <c r="A16303" t="s">
        <v>6</v>
      </c>
      <c r="B16303" t="s">
        <v>16308</v>
      </c>
      <c r="C16303">
        <f>HYPERLINK("C:\Users\franc\OneDrive\Documentos\MALENTIN KARIME\BANCO ESTADO\2012 DEPTO ESCRITURAS fata\Dc Simples\RESPALDO comp notaria 27_12_12\NOTARIA 2012\LABORAL\CARTA AVISO TERMINO.doc", "Abrir Documento")</f>
        <v>0</v>
      </c>
      <c r="D16303" t="s">
        <v>23500</v>
      </c>
      <c r="E16303" t="s">
        <v>38778</v>
      </c>
    </row>
    <row r="16304" spans="1:5">
      <c r="A16304" t="s">
        <v>6</v>
      </c>
      <c r="B16304" t="s">
        <v>16309</v>
      </c>
      <c r="C16304">
        <f>HYPERLINK("C:\Users\franc\OneDrive\Documentos\MALENTIN KARIME\BANCO ESTADO\2012 DEPTO ESCRITURAS fata\Dc Simples\RESPALDO comp notaria 27_12_12\NOTARIA 2012\LABORAL\CARTA AVISO TERMINO 1.doc", "Abrir Documento")</f>
        <v>0</v>
      </c>
      <c r="D16304" t="s">
        <v>23500</v>
      </c>
      <c r="E16304" t="s">
        <v>38779</v>
      </c>
    </row>
    <row r="16305" spans="1:5">
      <c r="A16305" t="s">
        <v>6</v>
      </c>
      <c r="B16305" t="s">
        <v>16310</v>
      </c>
      <c r="C16305">
        <f>HYPERLINK("C:\Users\franc\OneDrive\Documentos\MALENTIN KARIME\BANCO ESTADO\2012 DEPTO ESCRITURAS fata\Dc Simples\RESPALDO comp notaria 27_12_12\NOTARIA 2012\LABORAL\CANOPY.doc", "Abrir Documento")</f>
        <v>0</v>
      </c>
      <c r="D16305" t="s">
        <v>23500</v>
      </c>
      <c r="E16305" t="s">
        <v>38780</v>
      </c>
    </row>
    <row r="16306" spans="1:5">
      <c r="A16306" t="s">
        <v>6</v>
      </c>
      <c r="B16306" t="s">
        <v>16311</v>
      </c>
      <c r="C16306">
        <f>HYPERLINK("C:\Users\franc\OneDrive\Documentos\MALENTIN KARIME\BANCO ESTADO\2012 DEPTO ESCRITURAS fata\Dc Simples\RESPALDO comp notaria 27_12_12\NOTARIA 2012\LABORAL\CAMBIO HORARIO.doc", "Abrir Documento")</f>
        <v>0</v>
      </c>
      <c r="D16306" t="s">
        <v>23500</v>
      </c>
      <c r="E16306" t="s">
        <v>38781</v>
      </c>
    </row>
    <row r="16307" spans="1:5">
      <c r="A16307" t="s">
        <v>6</v>
      </c>
      <c r="B16307" t="s">
        <v>16312</v>
      </c>
      <c r="C16307">
        <f>HYPERLINK("C:\Users\franc\OneDrive\Documentos\MALENTIN KARIME\BANCO ESTADO\2012 DEPTO ESCRITURAS fata\Dc Simples\RESPALDO comp notaria 27_12_12\NOTARIA 2012\LABORAL\BBVA COLOMBIA.doc", "Abrir Documento")</f>
        <v>0</v>
      </c>
      <c r="D16307" t="s">
        <v>23500</v>
      </c>
      <c r="E16307" t="s">
        <v>38782</v>
      </c>
    </row>
    <row r="16308" spans="1:5">
      <c r="A16308" t="s">
        <v>6</v>
      </c>
      <c r="B16308" t="s">
        <v>16313</v>
      </c>
      <c r="C16308">
        <f>HYPERLINK("C:\Users\franc\OneDrive\Documentos\MALENTIN KARIME\BANCO ESTADO\2012 DEPTO ESCRITURAS fata\Dc Simples\RESPALDO comp notaria 27_12_12\NOTARIA 2012\LABORAL\BANCO ESTADO.doc", "Abrir Documento")</f>
        <v>0</v>
      </c>
      <c r="D16308" t="s">
        <v>23500</v>
      </c>
      <c r="E16308" t="s">
        <v>38783</v>
      </c>
    </row>
    <row r="16309" spans="1:5">
      <c r="A16309" t="s">
        <v>6</v>
      </c>
      <c r="B16309" t="s">
        <v>16314</v>
      </c>
      <c r="C16309">
        <f>HYPERLINK("C:\Users\franc\OneDrive\Documentos\MALENTIN KARIME\BANCO ESTADO\2012 DEPTO ESCRITURAS fata\Dc Simples\RESPALDO comp notaria 27_12_12\NOTARIA 2012\LABORAL\AVISO DESALOJO.doc", "Abrir Documento")</f>
        <v>0</v>
      </c>
      <c r="D16309" t="s">
        <v>23500</v>
      </c>
      <c r="E16309" t="s">
        <v>38784</v>
      </c>
    </row>
    <row r="16310" spans="1:5">
      <c r="A16310" t="s">
        <v>6</v>
      </c>
      <c r="B16310" t="s">
        <v>16315</v>
      </c>
      <c r="C16310">
        <f>HYPERLINK("C:\Users\franc\OneDrive\Documentos\MALENTIN KARIME\BANCO ESTADO\2012 DEPTO ESCRITURAS fata\Dc Simples\RESPALDO comp notaria 27_12_12\NOTARIA 2012\LABORAL\AUMENTO GOCE SINGULAR.doc", "Abrir Documento")</f>
        <v>0</v>
      </c>
      <c r="D16310" t="s">
        <v>23500</v>
      </c>
      <c r="E16310" t="s">
        <v>38785</v>
      </c>
    </row>
    <row r="16311" spans="1:5">
      <c r="A16311" t="s">
        <v>6</v>
      </c>
      <c r="B16311" t="s">
        <v>16316</v>
      </c>
      <c r="C16311">
        <f>HYPERLINK("C:\Users\franc\OneDrive\Documentos\MALENTIN KARIME\BANCO ESTADO\2012 DEPTO ESCRITURAS fata\Dc Simples\RESPALDO comp notaria 27_12_12\NOTARIA 2012\LABORAL\ANEXO.doc", "Abrir Documento")</f>
        <v>0</v>
      </c>
      <c r="D16311" t="s">
        <v>23500</v>
      </c>
      <c r="E16311" t="s">
        <v>38786</v>
      </c>
    </row>
    <row r="16312" spans="1:5">
      <c r="A16312" t="s">
        <v>6</v>
      </c>
      <c r="B16312" t="s">
        <v>16317</v>
      </c>
      <c r="C16312">
        <f>HYPERLINK("C:\Users\franc\OneDrive\Documentos\MALENTIN KARIME\BANCO ESTADO\2012 DEPTO ESCRITURAS fata\Dc Simples\RESPALDO comp notaria 27_12_12\NOTARIA 2012\LABORAL\ANDI.doc", "Abrir Documento")</f>
        <v>0</v>
      </c>
      <c r="D16312" t="s">
        <v>23500</v>
      </c>
      <c r="E16312" t="s">
        <v>38787</v>
      </c>
    </row>
    <row r="16313" spans="1:5">
      <c r="A16313" t="s">
        <v>6</v>
      </c>
      <c r="B16313" t="s">
        <v>16318</v>
      </c>
      <c r="C16313">
        <f>HYPERLINK("C:\Users\franc\OneDrive\Documentos\MALENTIN KARIME\BANCO ESTADO\2012 DEPTO ESCRITURAS fata\Dc Simples\RESPALDO comp notaria 27_12_12\NOTARIA 2012\LABORAL\ALVARO GUERRERO.doc", "Abrir Documento")</f>
        <v>0</v>
      </c>
      <c r="D16313" t="s">
        <v>23500</v>
      </c>
      <c r="E16313" t="s">
        <v>38788</v>
      </c>
    </row>
    <row r="16314" spans="1:5">
      <c r="A16314" t="s">
        <v>6</v>
      </c>
      <c r="B16314" t="s">
        <v>16319</v>
      </c>
      <c r="C16314">
        <f>HYPERLINK("C:\Users\franc\OneDrive\Documentos\MALENTIN KARIME\BANCO ESTADO\2012 DEPTO ESCRITURAS fata\Dc Simples\RESPALDO comp notaria 27_12_12\NOTARIA 2012\LABORAL\ACTA AVENIMIENTO.doc", "Abrir Documento")</f>
        <v>0</v>
      </c>
      <c r="D16314" t="s">
        <v>23500</v>
      </c>
      <c r="E16314" t="s">
        <v>38789</v>
      </c>
    </row>
    <row r="16315" spans="1:5">
      <c r="A16315" t="s">
        <v>6</v>
      </c>
      <c r="B16315" t="s">
        <v>16320</v>
      </c>
      <c r="C16315">
        <f>HYPERLINK("C:\Users\franc\OneDrive\Documentos\MALENTIN KARIME\BANCO ESTADO\2012 DEPTO ESCRITURAS fata\Dc Simples\RESPALDO comp notaria 27_12_12\NOTARIA 2012\DECLARACION JURADA\ZONA DE FUMADORES.doc", "Abrir Documento")</f>
        <v>0</v>
      </c>
      <c r="D16315" t="s">
        <v>23500</v>
      </c>
      <c r="E16315" t="s">
        <v>38790</v>
      </c>
    </row>
    <row r="16316" spans="1:5">
      <c r="A16316" t="s">
        <v>6</v>
      </c>
      <c r="B16316" t="s">
        <v>16321</v>
      </c>
      <c r="C16316">
        <f>HYPERLINK("C:\Users\franc\OneDrive\Documentos\MALENTIN KARIME\BANCO ESTADO\2012 DEPTO ESCRITURAS fata\Dc Simples\RESPALDO comp notaria 27_12_12\NOTARIA 2012\DECLARACION JURADA\VIVIENDA UNICA.doc", "Abrir Documento")</f>
        <v>0</v>
      </c>
      <c r="D16316" t="s">
        <v>23500</v>
      </c>
      <c r="E16316" t="s">
        <v>38791</v>
      </c>
    </row>
    <row r="16317" spans="1:5">
      <c r="A16317" t="s">
        <v>6</v>
      </c>
      <c r="B16317" t="s">
        <v>16322</v>
      </c>
      <c r="C16317">
        <f>HYPERLINK("C:\Users\franc\OneDrive\Documentos\MALENTIN KARIME\BANCO ESTADO\2012 DEPTO ESCRITURAS fata\Dc Simples\RESPALDO comp notaria 27_12_12\NOTARIA 2012\DECLARACION JURADA\VIGENCIA CONTRATO.doc", "Abrir Documento")</f>
        <v>0</v>
      </c>
      <c r="D16317" t="s">
        <v>23500</v>
      </c>
      <c r="E16317" t="s">
        <v>38792</v>
      </c>
    </row>
    <row r="16318" spans="1:5">
      <c r="A16318" t="s">
        <v>6</v>
      </c>
      <c r="B16318" t="s">
        <v>16323</v>
      </c>
      <c r="C16318">
        <f>HYPERLINK("C:\Users\franc\OneDrive\Documentos\MALENTIN KARIME\BANCO ESTADO\2012 DEPTO ESCRITURAS fata\Dc Simples\RESPALDO comp notaria 27_12_12\NOTARIA 2012\DECLARACION JURADA\VENTA CYNTIA.doc", "Abrir Documento")</f>
        <v>0</v>
      </c>
      <c r="D16318" t="s">
        <v>23500</v>
      </c>
      <c r="E16318" t="s">
        <v>38793</v>
      </c>
    </row>
    <row r="16319" spans="1:5">
      <c r="A16319" t="s">
        <v>6</v>
      </c>
      <c r="B16319" t="s">
        <v>16324</v>
      </c>
      <c r="C16319">
        <f>HYPERLINK("C:\Users\franc\OneDrive\Documentos\MALENTIN KARIME\BANCO ESTADO\2012 DEPTO ESCRITURAS fata\Dc Simples\RESPALDO comp notaria 27_12_12\NOTARIA 2012\DECLARACION JURADA\VENTA AGUA.doc", "Abrir Documento")</f>
        <v>0</v>
      </c>
      <c r="D16319" t="s">
        <v>23500</v>
      </c>
      <c r="E16319" t="s">
        <v>38794</v>
      </c>
    </row>
    <row r="16320" spans="1:5">
      <c r="A16320" t="s">
        <v>6</v>
      </c>
      <c r="B16320" t="s">
        <v>16325</v>
      </c>
      <c r="C16320">
        <f>HYPERLINK("C:\Users\franc\OneDrive\Documentos\MALENTIN KARIME\BANCO ESTADO\2012 DEPTO ESCRITURAS fata\Dc Simples\RESPALDO comp notaria 27_12_12\NOTARIA 2012\DECLARACION JURADA\VENTA AGUA Los Primos.doc", "Abrir Documento")</f>
        <v>0</v>
      </c>
      <c r="D16320" t="s">
        <v>23500</v>
      </c>
      <c r="E16320" t="s">
        <v>38795</v>
      </c>
    </row>
    <row r="16321" spans="1:5">
      <c r="A16321" t="s">
        <v>6</v>
      </c>
      <c r="B16321" t="s">
        <v>16326</v>
      </c>
      <c r="C16321">
        <f>HYPERLINK("C:\Users\franc\OneDrive\Documentos\MALENTIN KARIME\BANCO ESTADO\2012 DEPTO ESCRITURAS fata\Dc Simples\RESPALDO comp notaria 27_12_12\NOTARIA 2012\DECLARACION JURADA\vehículo.doc", "Abrir Documento")</f>
        <v>0</v>
      </c>
      <c r="D16321" t="s">
        <v>23500</v>
      </c>
      <c r="E16321" t="s">
        <v>38796</v>
      </c>
    </row>
    <row r="16322" spans="1:5">
      <c r="A16322" t="s">
        <v>6</v>
      </c>
      <c r="B16322" t="s">
        <v>16327</v>
      </c>
      <c r="C16322">
        <f>HYPERLINK("C:\Users\franc\OneDrive\Documentos\MALENTIN KARIME\BANCO ESTADO\2012 DEPTO ESCRITURAS fata\Dc Simples\RESPALDO comp notaria 27_12_12\NOTARIA 2012\DECLARACION JURADA\vehículo a particular.doc", "Abrir Documento")</f>
        <v>0</v>
      </c>
      <c r="D16322" t="s">
        <v>23500</v>
      </c>
      <c r="E16322" t="s">
        <v>38797</v>
      </c>
    </row>
    <row r="16323" spans="1:5">
      <c r="A16323" t="s">
        <v>6</v>
      </c>
      <c r="B16323" t="s">
        <v>16328</v>
      </c>
      <c r="C16323">
        <f>HYPERLINK("C:\Users\franc\OneDrive\Documentos\MALENTIN KARIME\BANCO ESTADO\2012 DEPTO ESCRITURAS fata\Dc Simples\RESPALDO comp notaria 27_12_12\NOTARIA 2012\DECLARACION JURADA\vacio AFP.doc", "Abrir Documento")</f>
        <v>0</v>
      </c>
      <c r="D16323" t="s">
        <v>23500</v>
      </c>
      <c r="E16323" t="s">
        <v>38798</v>
      </c>
    </row>
    <row r="16324" spans="1:5">
      <c r="A16324" t="s">
        <v>6</v>
      </c>
      <c r="B16324" t="s">
        <v>16329</v>
      </c>
      <c r="C16324">
        <f>HYPERLINK("C:\Users\franc\OneDrive\Documentos\MALENTIN KARIME\BANCO ESTADO\2012 DEPTO ESCRITURAS fata\Dc Simples\RESPALDO comp notaria 27_12_12\NOTARIA 2012\DECLARACION JURADA\TV HUACHALALUME.doc", "Abrir Documento")</f>
        <v>0</v>
      </c>
      <c r="D16324" t="s">
        <v>23500</v>
      </c>
      <c r="E16324" t="s">
        <v>38799</v>
      </c>
    </row>
    <row r="16325" spans="1:5">
      <c r="A16325" t="s">
        <v>6</v>
      </c>
      <c r="B16325" t="s">
        <v>16330</v>
      </c>
      <c r="C16325">
        <f>HYPERLINK("C:\Users\franc\OneDrive\Documentos\MALENTIN KARIME\BANCO ESTADO\2012 DEPTO ESCRITURAS fata\Dc Simples\RESPALDO comp notaria 27_12_12\NOTARIA 2012\DECLARACION JURADA\TRASLADO DE HOGAR ANCIANO.doc", "Abrir Documento")</f>
        <v>0</v>
      </c>
      <c r="D16325" t="s">
        <v>23500</v>
      </c>
      <c r="E16325" t="s">
        <v>38800</v>
      </c>
    </row>
    <row r="16326" spans="1:5">
      <c r="A16326" t="s">
        <v>6</v>
      </c>
      <c r="B16326" t="s">
        <v>16331</v>
      </c>
      <c r="C16326">
        <f>HYPERLINK("C:\Users\franc\OneDrive\Documentos\MALENTIN KARIME\BANCO ESTADO\2012 DEPTO ESCRITURAS fata\Dc Simples\RESPALDO comp notaria 27_12_12\NOTARIA 2012\DECLARACION JURADA\TRABAJA.doc", "Abrir Documento")</f>
        <v>0</v>
      </c>
      <c r="D16326" t="s">
        <v>23500</v>
      </c>
      <c r="E16326" t="s">
        <v>38801</v>
      </c>
    </row>
    <row r="16327" spans="1:5">
      <c r="A16327" t="s">
        <v>6</v>
      </c>
      <c r="B16327" t="s">
        <v>16332</v>
      </c>
      <c r="C16327">
        <f>HYPERLINK("C:\Users\franc\OneDrive\Documentos\MALENTIN KARIME\BANCO ESTADO\2012 DEPTO ESCRITURAS fata\Dc Simples\RESPALDO comp notaria 27_12_12\NOTARIA 2012\DECLARACION JURADA\TATIANA GASTOS.doc", "Abrir Documento")</f>
        <v>0</v>
      </c>
      <c r="D16327" t="s">
        <v>23500</v>
      </c>
      <c r="E16327" t="s">
        <v>38802</v>
      </c>
    </row>
    <row r="16328" spans="1:5">
      <c r="A16328" t="s">
        <v>6</v>
      </c>
      <c r="B16328" t="s">
        <v>16333</v>
      </c>
      <c r="C16328">
        <f>HYPERLINK("C:\Users\franc\OneDrive\Documentos\MALENTIN KARIME\BANCO ESTADO\2012 DEPTO ESCRITURAS fata\Dc Simples\RESPALDO comp notaria 27_12_12\NOTARIA 2012\DECLARACION JURADA\SUPERVIVENCIA.doc", "Abrir Documento")</f>
        <v>0</v>
      </c>
      <c r="D16328" t="s">
        <v>23500</v>
      </c>
      <c r="E16328" t="s">
        <v>38803</v>
      </c>
    </row>
    <row r="16329" spans="1:5">
      <c r="A16329" t="s">
        <v>6</v>
      </c>
      <c r="B16329" t="s">
        <v>16334</v>
      </c>
      <c r="C16329">
        <f>HYPERLINK("C:\Users\franc\OneDrive\Documentos\MALENTIN KARIME\BANCO ESTADO\2012 DEPTO ESCRITURAS fata\Dc Simples\RESPALDO comp notaria 27_12_12\NOTARIA 2012\DECLARACION JURADA\SOLTERO VARIOS.doc", "Abrir Documento")</f>
        <v>0</v>
      </c>
      <c r="D16329" t="s">
        <v>23500</v>
      </c>
      <c r="E16329" t="s">
        <v>38804</v>
      </c>
    </row>
    <row r="16330" spans="1:5">
      <c r="A16330" t="s">
        <v>6</v>
      </c>
      <c r="B16330" t="s">
        <v>16335</v>
      </c>
      <c r="C16330">
        <f>HYPERLINK("C:\Users\franc\OneDrive\Documentos\MALENTIN KARIME\BANCO ESTADO\2012 DEPTO ESCRITURAS fata\Dc Simples\RESPALDO comp notaria 27_12_12\NOTARIA 2012\DECLARACION JURADA\SOLTERO CON 3 HIJOS.doc", "Abrir Documento")</f>
        <v>0</v>
      </c>
      <c r="D16330" t="s">
        <v>23500</v>
      </c>
      <c r="E16330" t="s">
        <v>38805</v>
      </c>
    </row>
    <row r="16331" spans="1:5">
      <c r="A16331" t="s">
        <v>6</v>
      </c>
      <c r="B16331" t="s">
        <v>16336</v>
      </c>
      <c r="C16331">
        <f>HYPERLINK("C:\Users\franc\OneDrive\Documentos\MALENTIN KARIME\BANCO ESTADO\2012 DEPTO ESCRITURAS fata\Dc Simples\RESPALDO comp notaria 27_12_12\NOTARIA 2012\DECLARACION JURADA\SOLTERIA.doc", "Abrir Documento")</f>
        <v>0</v>
      </c>
      <c r="D16331" t="s">
        <v>23500</v>
      </c>
      <c r="E16331" t="s">
        <v>38806</v>
      </c>
    </row>
    <row r="16332" spans="1:5">
      <c r="A16332" t="s">
        <v>6</v>
      </c>
      <c r="B16332" t="s">
        <v>16337</v>
      </c>
      <c r="C16332">
        <f>HYPERLINK("C:\Users\franc\OneDrive\Documentos\MALENTIN KARIME\BANCO ESTADO\2012 DEPTO ESCRITURAS fata\Dc Simples\RESPALDO comp notaria 27_12_12\NOTARIA 2012\DECLARACION JURADA\SOLICITUD DE REGRESO TRAB.doc", "Abrir Documento")</f>
        <v>0</v>
      </c>
      <c r="D16332" t="s">
        <v>23500</v>
      </c>
      <c r="E16332" t="s">
        <v>38807</v>
      </c>
    </row>
    <row r="16333" spans="1:5">
      <c r="A16333" t="s">
        <v>6</v>
      </c>
      <c r="B16333" t="s">
        <v>16338</v>
      </c>
      <c r="C16333">
        <f>HYPERLINK("C:\Users\franc\OneDrive\Documentos\MALENTIN KARIME\BANCO ESTADO\2012 DEPTO ESCRITURAS fata\Dc Simples\RESPALDO comp notaria 27_12_12\NOTARIA 2012\DECLARACION JURADA\SOLICITA GOCE SINGULAR.doc", "Abrir Documento")</f>
        <v>0</v>
      </c>
      <c r="D16333" t="s">
        <v>23500</v>
      </c>
      <c r="E16333" t="s">
        <v>38808</v>
      </c>
    </row>
    <row r="16334" spans="1:5">
      <c r="A16334" t="s">
        <v>6</v>
      </c>
      <c r="B16334" t="s">
        <v>16339</v>
      </c>
      <c r="C16334">
        <f>HYPERLINK("C:\Users\franc\OneDrive\Documentos\MALENTIN KARIME\BANCO ESTADO\2012 DEPTO ESCRITURAS fata\Dc Simples\RESPALDO comp notaria 27_12_12\NOTARIA 2012\DECLARACION JURADA\SOC.DE HECHO.doc", "Abrir Documento")</f>
        <v>0</v>
      </c>
      <c r="D16334" t="s">
        <v>23500</v>
      </c>
      <c r="E16334" t="s">
        <v>38809</v>
      </c>
    </row>
    <row r="16335" spans="1:5">
      <c r="A16335" t="s">
        <v>6</v>
      </c>
      <c r="B16335" t="s">
        <v>16340</v>
      </c>
      <c r="C16335">
        <f>HYPERLINK("C:\Users\franc\OneDrive\Documentos\MALENTIN KARIME\BANCO ESTADO\2012 DEPTO ESCRITURAS fata\Dc Simples\RESPALDO comp notaria 27_12_12\NOTARIA 2012\DECLARACION JURADA\SIN VINCULO LABORAL.doc", "Abrir Documento")</f>
        <v>0</v>
      </c>
      <c r="D16335" t="s">
        <v>23500</v>
      </c>
      <c r="E16335" t="s">
        <v>38810</v>
      </c>
    </row>
    <row r="16336" spans="1:5">
      <c r="A16336" t="s">
        <v>6</v>
      </c>
      <c r="B16336" t="s">
        <v>16341</v>
      </c>
      <c r="C16336">
        <f>HYPERLINK("C:\Users\franc\OneDrive\Documentos\MALENTIN KARIME\BANCO ESTADO\2012 DEPTO ESCRITURAS fata\Dc Simples\RESPALDO comp notaria 27_12_12\NOTARIA 2012\DECLARACION JURADA\SIN TAG.doc", "Abrir Documento")</f>
        <v>0</v>
      </c>
      <c r="D16336" t="s">
        <v>23500</v>
      </c>
      <c r="E16336" t="s">
        <v>38811</v>
      </c>
    </row>
    <row r="16337" spans="1:5">
      <c r="A16337" t="s">
        <v>6</v>
      </c>
      <c r="B16337" t="s">
        <v>16342</v>
      </c>
      <c r="C16337">
        <f>HYPERLINK("C:\Users\franc\OneDrive\Documentos\MALENTIN KARIME\BANCO ESTADO\2012 DEPTO ESCRITURAS fata\Dc Simples\RESPALDO comp notaria 27_12_12\NOTARIA 2012\DECLARACION JURADA\SIN PRODUCCION.doc", "Abrir Documento")</f>
        <v>0</v>
      </c>
      <c r="D16337" t="s">
        <v>23500</v>
      </c>
      <c r="E16337" t="s">
        <v>38812</v>
      </c>
    </row>
    <row r="16338" spans="1:5">
      <c r="A16338" t="s">
        <v>6</v>
      </c>
      <c r="B16338" t="s">
        <v>16343</v>
      </c>
      <c r="C16338">
        <f>HYPERLINK("C:\Users\franc\OneDrive\Documentos\MALENTIN KARIME\BANCO ESTADO\2012 DEPTO ESCRITURAS fata\Dc Simples\RESPALDO comp notaria 27_12_12\NOTARIA 2012\DECLARACION JURADA\SIN PATENTE.doc", "Abrir Documento")</f>
        <v>0</v>
      </c>
      <c r="D16338" t="s">
        <v>23500</v>
      </c>
      <c r="E16338" t="s">
        <v>38813</v>
      </c>
    </row>
    <row r="16339" spans="1:5">
      <c r="A16339" t="s">
        <v>6</v>
      </c>
      <c r="B16339" t="s">
        <v>16344</v>
      </c>
      <c r="C16339">
        <f>HYPERLINK("C:\Users\franc\OneDrive\Documentos\MALENTIN KARIME\BANCO ESTADO\2012 DEPTO ESCRITURAS fata\Dc Simples\RESPALDO comp notaria 27_12_12\NOTARIA 2012\DECLARACION JURADA\SIN PARTIDO POLITICO.doc", "Abrir Documento")</f>
        <v>0</v>
      </c>
      <c r="D16339" t="s">
        <v>23500</v>
      </c>
      <c r="E16339" t="s">
        <v>38814</v>
      </c>
    </row>
    <row r="16340" spans="1:5">
      <c r="A16340" t="s">
        <v>6</v>
      </c>
      <c r="B16340" t="s">
        <v>16345</v>
      </c>
      <c r="C16340">
        <f>HYPERLINK("C:\Users\franc\OneDrive\Documentos\MALENTIN KARIME\BANCO ESTADO\2012 DEPTO ESCRITURAS fata\Dc Simples\RESPALDO comp notaria 27_12_12\NOTARIA 2012\DECLARACION JURADA\SIN PARTIDO POLITICO  cargo carabineros.doc", "Abrir Documento")</f>
        <v>0</v>
      </c>
      <c r="D16340" t="s">
        <v>23500</v>
      </c>
      <c r="E16340" t="s">
        <v>38815</v>
      </c>
    </row>
    <row r="16341" spans="1:5">
      <c r="A16341" t="s">
        <v>6</v>
      </c>
      <c r="B16341" t="s">
        <v>16346</v>
      </c>
      <c r="C16341">
        <f>HYPERLINK("C:\Users\franc\OneDrive\Documentos\MALENTIN KARIME\BANCO ESTADO\2012 DEPTO ESCRITURAS fata\Dc Simples\RESPALDO comp notaria 27_12_12\NOTARIA 2012\DECLARACION JURADA\sin deuda a trabajadores.doc", "Abrir Documento")</f>
        <v>0</v>
      </c>
      <c r="D16341" t="s">
        <v>23500</v>
      </c>
      <c r="E16341" t="s">
        <v>38816</v>
      </c>
    </row>
    <row r="16342" spans="1:5">
      <c r="A16342" t="s">
        <v>6</v>
      </c>
      <c r="B16342" t="s">
        <v>16347</v>
      </c>
      <c r="C16342">
        <f>HYPERLINK("C:\Users\franc\OneDrive\Documentos\MALENTIN KARIME\BANCO ESTADO\2012 DEPTO ESCRITURAS fata\Dc Simples\RESPALDO comp notaria 27_12_12\NOTARIA 2012\DECLARACION JURADA\SIN COTIZACIONES.doc", "Abrir Documento")</f>
        <v>0</v>
      </c>
      <c r="D16342" t="s">
        <v>23500</v>
      </c>
      <c r="E16342" t="s">
        <v>38817</v>
      </c>
    </row>
    <row r="16343" spans="1:5">
      <c r="A16343" t="s">
        <v>6</v>
      </c>
      <c r="B16343" t="s">
        <v>16348</v>
      </c>
      <c r="C16343">
        <f>HYPERLINK("C:\Users\franc\OneDrive\Documentos\MALENTIN KARIME\BANCO ESTADO\2012 DEPTO ESCRITURAS fata\Dc Simples\RESPALDO comp notaria 27_12_12\NOTARIA 2012\DECLARACION JURADA\SIN COTIZACIONES SANTANDER.doc", "Abrir Documento")</f>
        <v>0</v>
      </c>
      <c r="D16343" t="s">
        <v>23500</v>
      </c>
      <c r="E16343" t="s">
        <v>38818</v>
      </c>
    </row>
    <row r="16344" spans="1:5">
      <c r="A16344" t="s">
        <v>6</v>
      </c>
      <c r="B16344" t="s">
        <v>16349</v>
      </c>
      <c r="C16344">
        <f>HYPERLINK("C:\Users\franc\OneDrive\Documentos\MALENTIN KARIME\BANCO ESTADO\2012 DEPTO ESCRITURAS fata\Dc Simples\RESPALDO comp notaria 27_12_12\NOTARIA 2012\DECLARACION JURADA\SIN COTIZACIONES DENTRO DE LA EMPRESA.doc", "Abrir Documento")</f>
        <v>0</v>
      </c>
      <c r="D16344" t="s">
        <v>23500</v>
      </c>
      <c r="E16344" t="s">
        <v>38819</v>
      </c>
    </row>
    <row r="16345" spans="1:5">
      <c r="A16345" t="s">
        <v>6</v>
      </c>
      <c r="B16345" t="s">
        <v>16350</v>
      </c>
      <c r="C16345">
        <f>HYPERLINK("C:\Users\franc\OneDrive\Documentos\MALENTIN KARIME\BANCO ESTADO\2012 DEPTO ESCRITURAS fata\Dc Simples\RESPALDO comp notaria 27_12_12\NOTARIA 2012\DECLARACION JURADA\SERVIU.doc", "Abrir Documento")</f>
        <v>0</v>
      </c>
      <c r="D16345" t="s">
        <v>23500</v>
      </c>
      <c r="E16345" t="s">
        <v>38820</v>
      </c>
    </row>
    <row r="16346" spans="1:5">
      <c r="A16346" t="s">
        <v>6</v>
      </c>
      <c r="B16346" t="s">
        <v>16351</v>
      </c>
      <c r="C16346">
        <f>HYPERLINK("C:\Users\franc\OneDrive\Documentos\MALENTIN KARIME\BANCO ESTADO\2012 DEPTO ESCRITURAS fata\Dc Simples\RESPALDO comp notaria 27_12_12\NOTARIA 2012\DECLARACION JURADA\SEPARO DE HECHO 1 PERSONA.doc", "Abrir Documento")</f>
        <v>0</v>
      </c>
      <c r="D16346" t="s">
        <v>23500</v>
      </c>
      <c r="E16346" t="s">
        <v>38821</v>
      </c>
    </row>
    <row r="16347" spans="1:5">
      <c r="A16347" t="s">
        <v>6</v>
      </c>
      <c r="B16347" t="s">
        <v>16352</v>
      </c>
      <c r="C16347">
        <f>HYPERLINK("C:\Users\franc\OneDrive\Documentos\MALENTIN KARIME\BANCO ESTADO\2012 DEPTO ESCRITURAS fata\Dc Simples\RESPALDO comp notaria 27_12_12\NOTARIA 2012\DECLARACION JURADA\SEPARACION DE HECHO.doc", "Abrir Documento")</f>
        <v>0</v>
      </c>
      <c r="D16347" t="s">
        <v>23500</v>
      </c>
      <c r="E16347" t="s">
        <v>38822</v>
      </c>
    </row>
    <row r="16348" spans="1:5">
      <c r="A16348" t="s">
        <v>6</v>
      </c>
      <c r="B16348" t="s">
        <v>16353</v>
      </c>
      <c r="C16348">
        <f>HYPERLINK("C:\Users\franc\OneDrive\Documentos\MALENTIN KARIME\BANCO ESTADO\2012 DEPTO ESCRITURAS fata\Dc Simples\RESPALDO comp notaria 27_12_12\NOTARIA 2012\DECLARACION JURADA\SALVOCONDUCTO.doc", "Abrir Documento")</f>
        <v>0</v>
      </c>
      <c r="D16348" t="s">
        <v>23500</v>
      </c>
      <c r="E16348" t="s">
        <v>38823</v>
      </c>
    </row>
    <row r="16349" spans="1:5">
      <c r="A16349" t="s">
        <v>6</v>
      </c>
      <c r="B16349" t="s">
        <v>16354</v>
      </c>
      <c r="C16349">
        <f>HYPERLINK("C:\Users\franc\OneDrive\Documentos\MALENTIN KARIME\BANCO ESTADO\2012 DEPTO ESCRITURAS fata\Dc Simples\RESPALDO comp notaria 27_12_12\NOTARIA 2012\DECLARACION JURADA\SALVOCONDUCTO xxx.doc", "Abrir Documento")</f>
        <v>0</v>
      </c>
      <c r="D16349" t="s">
        <v>23500</v>
      </c>
      <c r="E16349" t="s">
        <v>38824</v>
      </c>
    </row>
    <row r="16350" spans="1:5">
      <c r="A16350" t="s">
        <v>6</v>
      </c>
      <c r="B16350" t="s">
        <v>16355</v>
      </c>
      <c r="C16350">
        <f>HYPERLINK("C:\Users\franc\OneDrive\Documentos\MALENTIN KARIME\BANCO ESTADO\2012 DEPTO ESCRITURAS fata\Dc Simples\RESPALDO comp notaria 27_12_12\NOTARIA 2012\DECLARACION JURADA\REVOCACION DEC. JURADA.doc", "Abrir Documento")</f>
        <v>0</v>
      </c>
      <c r="D16350" t="s">
        <v>23500</v>
      </c>
      <c r="E16350" t="s">
        <v>38825</v>
      </c>
    </row>
    <row r="16351" spans="1:5">
      <c r="A16351" t="s">
        <v>6</v>
      </c>
      <c r="B16351" t="s">
        <v>16356</v>
      </c>
      <c r="C16351">
        <f>HYPERLINK("C:\Users\franc\OneDrive\Documentos\MALENTIN KARIME\BANCO ESTADO\2012 DEPTO ESCRITURAS fata\Dc Simples\RESPALDO comp notaria 27_12_12\NOTARIA 2012\DECLARACION JURADA\RENUNCIA SEGURO AUTO.doc", "Abrir Documento")</f>
        <v>0</v>
      </c>
      <c r="D16351" t="s">
        <v>23500</v>
      </c>
      <c r="E16351" t="s">
        <v>38826</v>
      </c>
    </row>
    <row r="16352" spans="1:5">
      <c r="A16352" t="s">
        <v>6</v>
      </c>
      <c r="B16352" t="s">
        <v>16357</v>
      </c>
      <c r="C16352">
        <f>HYPERLINK("C:\Users\franc\OneDrive\Documentos\MALENTIN KARIME\BANCO ESTADO\2012 DEPTO ESCRITURAS fata\Dc Simples\RESPALDO comp notaria 27_12_12\NOTARIA 2012\DECLARACION JURADA\RENUNCIA FONDOS DE CTA AHORRO.doc", "Abrir Documento")</f>
        <v>0</v>
      </c>
      <c r="D16352" t="s">
        <v>23500</v>
      </c>
      <c r="E16352" t="s">
        <v>38827</v>
      </c>
    </row>
    <row r="16353" spans="1:5">
      <c r="A16353" t="s">
        <v>6</v>
      </c>
      <c r="B16353" t="s">
        <v>16358</v>
      </c>
      <c r="C16353">
        <f>HYPERLINK("C:\Users\franc\OneDrive\Documentos\MALENTIN KARIME\BANCO ESTADO\2012 DEPTO ESCRITURAS fata\Dc Simples\RESPALDO comp notaria 27_12_12\NOTARIA 2012\DECLARACION JURADA\RENUNCIA FONDOS DE CTA AHORRO TRABAJADOR.doc", "Abrir Documento")</f>
        <v>0</v>
      </c>
      <c r="D16353" t="s">
        <v>23500</v>
      </c>
      <c r="E16353" t="s">
        <v>38828</v>
      </c>
    </row>
    <row r="16354" spans="1:5">
      <c r="A16354" t="s">
        <v>6</v>
      </c>
      <c r="B16354" t="s">
        <v>16359</v>
      </c>
      <c r="C16354">
        <f>HYPERLINK("C:\Users\franc\OneDrive\Documentos\MALENTIN KARIME\BANCO ESTADO\2012 DEPTO ESCRITURAS fata\Dc Simples\RESPALDO comp notaria 27_12_12\NOTARIA 2012\DECLARACION JURADA\RENUNCIA CARGA FAMILIAR.doc", "Abrir Documento")</f>
        <v>0</v>
      </c>
      <c r="D16354" t="s">
        <v>23500</v>
      </c>
      <c r="E16354" t="s">
        <v>38829</v>
      </c>
    </row>
    <row r="16355" spans="1:5">
      <c r="A16355" t="s">
        <v>6</v>
      </c>
      <c r="B16355" t="s">
        <v>16360</v>
      </c>
      <c r="C16355">
        <f>HYPERLINK("C:\Users\franc\OneDrive\Documentos\MALENTIN KARIME\BANCO ESTADO\2012 DEPTO ESCRITURAS fata\Dc Simples\RESPALDO comp notaria 27_12_12\NOTARIA 2012\DECLARACION JURADA\RENUNCIA CARGA FAMILIAR CON ACEPTANTE.doc", "Abrir Documento")</f>
        <v>0</v>
      </c>
      <c r="D16355" t="s">
        <v>23500</v>
      </c>
      <c r="E16355" t="s">
        <v>38830</v>
      </c>
    </row>
    <row r="16356" spans="1:5">
      <c r="A16356" t="s">
        <v>6</v>
      </c>
      <c r="B16356" t="s">
        <v>16361</v>
      </c>
      <c r="C16356">
        <f>HYPERLINK("C:\Users\franc\OneDrive\Documentos\MALENTIN KARIME\BANCO ESTADO\2012 DEPTO ESCRITURAS fata\Dc Simples\RESPALDO comp notaria 27_12_12\NOTARIA 2012\DECLARACION JURADA\RENTA PARA Tercero.doc", "Abrir Documento")</f>
        <v>0</v>
      </c>
      <c r="D16356" t="s">
        <v>23500</v>
      </c>
      <c r="E16356" t="s">
        <v>38831</v>
      </c>
    </row>
    <row r="16357" spans="1:5">
      <c r="A16357" t="s">
        <v>6</v>
      </c>
      <c r="B16357" t="s">
        <v>16362</v>
      </c>
      <c r="C16357">
        <f>HYPERLINK("C:\Users\franc\OneDrive\Documentos\MALENTIN KARIME\BANCO ESTADO\2012 DEPTO ESCRITURAS fata\Dc Simples\RESPALDO comp notaria 27_12_12\NOTARIA 2012\DECLARACION JURADA\RENTA para bco chile.doc", "Abrir Documento")</f>
        <v>0</v>
      </c>
      <c r="D16357" t="s">
        <v>23500</v>
      </c>
      <c r="E16357" t="s">
        <v>38832</v>
      </c>
    </row>
    <row r="16358" spans="1:5">
      <c r="A16358" t="s">
        <v>6</v>
      </c>
      <c r="B16358" t="s">
        <v>16363</v>
      </c>
      <c r="C16358">
        <f>HYPERLINK("C:\Users\franc\OneDrive\Documentos\MALENTIN KARIME\BANCO ESTADO\2012 DEPTO ESCRITURAS fata\Dc Simples\RESPALDO comp notaria 27_12_12\NOTARIA 2012\DECLARACION JURADA\RENTA DETALLADA.doc", "Abrir Documento")</f>
        <v>0</v>
      </c>
      <c r="D16358" t="s">
        <v>23500</v>
      </c>
      <c r="E16358" t="s">
        <v>38833</v>
      </c>
    </row>
    <row r="16359" spans="1:5">
      <c r="A16359" t="s">
        <v>6</v>
      </c>
      <c r="B16359" t="s">
        <v>16364</v>
      </c>
      <c r="C16359">
        <f>HYPERLINK("C:\Users\franc\OneDrive\Documentos\MALENTIN KARIME\BANCO ESTADO\2012 DEPTO ESCRITURAS fata\Dc Simples\RESPALDO comp notaria 27_12_12\NOTARIA 2012\DECLARACION JURADA\RENTA DE APORTE.doc", "Abrir Documento")</f>
        <v>0</v>
      </c>
      <c r="D16359" t="s">
        <v>23500</v>
      </c>
      <c r="E16359" t="s">
        <v>38834</v>
      </c>
    </row>
    <row r="16360" spans="1:5">
      <c r="A16360" t="s">
        <v>6</v>
      </c>
      <c r="B16360" t="s">
        <v>16365</v>
      </c>
      <c r="C16360">
        <f>HYPERLINK("C:\Users\franc\OneDrive\Documentos\MALENTIN KARIME\BANCO ESTADO\2012 DEPTO ESCRITURAS fata\Dc Simples\RESPALDO comp notaria 27_12_12\NOTARIA 2012\DECLARACION JURADA\RENTA Cyntia.doc", "Abrir Documento")</f>
        <v>0</v>
      </c>
      <c r="D16360" t="s">
        <v>23500</v>
      </c>
      <c r="E16360" t="s">
        <v>38835</v>
      </c>
    </row>
    <row r="16361" spans="1:5">
      <c r="A16361" t="s">
        <v>6</v>
      </c>
      <c r="B16361" t="s">
        <v>16366</v>
      </c>
      <c r="C16361">
        <f>HYPERLINK("C:\Users\franc\OneDrive\Documentos\MALENTIN KARIME\BANCO ESTADO\2012 DEPTO ESCRITURAS fata\Dc Simples\RESPALDO comp notaria 27_12_12\NOTARIA 2012\DECLARACION JURADA\REBAJA TARIFA.doc", "Abrir Documento")</f>
        <v>0</v>
      </c>
      <c r="D16361" t="s">
        <v>23500</v>
      </c>
      <c r="E16361" t="s">
        <v>38836</v>
      </c>
    </row>
    <row r="16362" spans="1:5">
      <c r="A16362" t="s">
        <v>6</v>
      </c>
      <c r="B16362" t="s">
        <v>16367</v>
      </c>
      <c r="C16362">
        <f>HYPERLINK("C:\Users\franc\OneDrive\Documentos\MALENTIN KARIME\BANCO ESTADO\2012 DEPTO ESCRITURAS fata\Dc Simples\RESPALDO comp notaria 27_12_12\NOTARIA 2012\DECLARACION JURADA\PROYECTO SIN LUCRO EL TRAPICHE.doc", "Abrir Documento")</f>
        <v>0</v>
      </c>
      <c r="D16362" t="s">
        <v>23500</v>
      </c>
      <c r="E16362" t="s">
        <v>38837</v>
      </c>
    </row>
    <row r="16363" spans="1:5">
      <c r="A16363" t="s">
        <v>6</v>
      </c>
      <c r="B16363" t="s">
        <v>16368</v>
      </c>
      <c r="C16363">
        <f>HYPERLINK("C:\Users\franc\OneDrive\Documentos\MALENTIN KARIME\BANCO ESTADO\2012 DEPTO ESCRITURAS fata\Dc Simples\RESPALDO comp notaria 27_12_12\NOTARIA 2012\DECLARACION JURADA\PROYECTO SERNAGEOMIN.doc", "Abrir Documento")</f>
        <v>0</v>
      </c>
      <c r="D16363" t="s">
        <v>23500</v>
      </c>
      <c r="E16363" t="s">
        <v>38838</v>
      </c>
    </row>
    <row r="16364" spans="1:5">
      <c r="A16364" t="s">
        <v>6</v>
      </c>
      <c r="B16364" t="s">
        <v>16369</v>
      </c>
      <c r="C16364">
        <f>HYPERLINK("C:\Users\franc\OneDrive\Documentos\MALENTIN KARIME\BANCO ESTADO\2012 DEPTO ESCRITURAS fata\Dc Simples\RESPALDO comp notaria 27_12_12\NOTARIA 2012\DECLARACION JURADA\PROPIETARIO DE.doc", "Abrir Documento")</f>
        <v>0</v>
      </c>
      <c r="D16364" t="s">
        <v>23500</v>
      </c>
      <c r="E16364" t="s">
        <v>38839</v>
      </c>
    </row>
    <row r="16365" spans="1:5">
      <c r="A16365" t="s">
        <v>6</v>
      </c>
      <c r="B16365" t="s">
        <v>16370</v>
      </c>
      <c r="C16365">
        <f>HYPERLINK("C:\Users\franc\OneDrive\Documentos\MALENTIN KARIME\BANCO ESTADO\2012 DEPTO ESCRITURAS fata\Dc Simples\RESPALDO comp notaria 27_12_12\NOTARIA 2012\DECLARACION JURADA\prestamo dinero.doc", "Abrir Documento")</f>
        <v>0</v>
      </c>
      <c r="D16365" t="s">
        <v>23500</v>
      </c>
      <c r="E16365" t="s">
        <v>38840</v>
      </c>
    </row>
    <row r="16366" spans="1:5">
      <c r="A16366" t="s">
        <v>6</v>
      </c>
      <c r="B16366" t="s">
        <v>16371</v>
      </c>
      <c r="C16366">
        <f>HYPERLINK("C:\Users\franc\OneDrive\Documentos\MALENTIN KARIME\BANCO ESTADO\2012 DEPTO ESCRITURAS fata\Dc Simples\RESPALDO comp notaria 27_12_12\NOTARIA 2012\DECLARACION JURADA\PRESTAMO DE AGUA.doc", "Abrir Documento")</f>
        <v>0</v>
      </c>
      <c r="D16366" t="s">
        <v>23500</v>
      </c>
      <c r="E16366" t="s">
        <v>38841</v>
      </c>
    </row>
    <row r="16367" spans="1:5">
      <c r="A16367" t="s">
        <v>6</v>
      </c>
      <c r="B16367" t="s">
        <v>16372</v>
      </c>
      <c r="C16367">
        <f>HYPERLINK("C:\Users\franc\OneDrive\Documentos\MALENTIN KARIME\BANCO ESTADO\2012 DEPTO ESCRITURAS fata\Dc Simples\RESPALDO comp notaria 27_12_12\NOTARIA 2012\DECLARACION JURADA\PRESTACION DE SERVICIOS.doc", "Abrir Documento")</f>
        <v>0</v>
      </c>
      <c r="D16367" t="s">
        <v>23500</v>
      </c>
      <c r="E16367" t="s">
        <v>38842</v>
      </c>
    </row>
    <row r="16368" spans="1:5">
      <c r="A16368" t="s">
        <v>6</v>
      </c>
      <c r="B16368" t="s">
        <v>16373</v>
      </c>
      <c r="C16368">
        <f>HYPERLINK("C:\Users\franc\OneDrive\Documentos\MALENTIN KARIME\BANCO ESTADO\2012 DEPTO ESCRITURAS fata\Dc Simples\RESPALDO comp notaria 27_12_12\NOTARIA 2012\DECLARACION JURADA\PRESIDIR CEREMONIA.doc", "Abrir Documento")</f>
        <v>0</v>
      </c>
      <c r="D16368" t="s">
        <v>23500</v>
      </c>
      <c r="E16368" t="s">
        <v>38843</v>
      </c>
    </row>
    <row r="16369" spans="1:5">
      <c r="A16369" t="s">
        <v>6</v>
      </c>
      <c r="B16369" t="s">
        <v>16374</v>
      </c>
      <c r="C16369">
        <f>HYPERLINK("C:\Users\franc\OneDrive\Documentos\MALENTIN KARIME\BANCO ESTADO\2012 DEPTO ESCRITURAS fata\Dc Simples\RESPALDO comp notaria 27_12_12\NOTARIA 2012\DECLARACION JURADA\POSTACION VARIOS.doc", "Abrir Documento")</f>
        <v>0</v>
      </c>
      <c r="D16369" t="s">
        <v>23500</v>
      </c>
      <c r="E16369" t="s">
        <v>38844</v>
      </c>
    </row>
    <row r="16370" spans="1:5">
      <c r="A16370" t="s">
        <v>6</v>
      </c>
      <c r="B16370" t="s">
        <v>16375</v>
      </c>
      <c r="C16370">
        <f>HYPERLINK("C:\Users\franc\OneDrive\Documentos\MALENTIN KARIME\BANCO ESTADO\2012 DEPTO ESCRITURAS fata\Dc Simples\RESPALDO comp notaria 27_12_12\NOTARIA 2012\DECLARACION JURADA\PERDIDA CHEQUE.doc", "Abrir Documento")</f>
        <v>0</v>
      </c>
      <c r="D16370" t="s">
        <v>23500</v>
      </c>
      <c r="E16370" t="s">
        <v>38845</v>
      </c>
    </row>
    <row r="16371" spans="1:5">
      <c r="A16371" t="s">
        <v>6</v>
      </c>
      <c r="B16371" t="s">
        <v>16376</v>
      </c>
      <c r="C16371">
        <f>HYPERLINK("C:\Users\franc\OneDrive\Documentos\MALENTIN KARIME\BANCO ESTADO\2012 DEPTO ESCRITURAS fata\Dc Simples\RESPALDO comp notaria 27_12_12\NOTARIA 2012\DECLARACION JURADA\PARENTESCO.doc", "Abrir Documento")</f>
        <v>0</v>
      </c>
      <c r="D16371" t="s">
        <v>23500</v>
      </c>
      <c r="E16371" t="s">
        <v>38846</v>
      </c>
    </row>
    <row r="16372" spans="1:5">
      <c r="A16372" t="s">
        <v>6</v>
      </c>
      <c r="B16372" t="s">
        <v>16377</v>
      </c>
      <c r="C16372">
        <f>HYPERLINK("C:\Users\franc\OneDrive\Documentos\MALENTIN KARIME\BANCO ESTADO\2012 DEPTO ESCRITURAS fata\Dc Simples\RESPALDO comp notaria 27_12_12\NOTARIA 2012\DECLARACION JURADA\PARENTESCO serviu.doc", "Abrir Documento")</f>
        <v>0</v>
      </c>
      <c r="D16372" t="s">
        <v>23500</v>
      </c>
      <c r="E16372" t="s">
        <v>38847</v>
      </c>
    </row>
    <row r="16373" spans="1:5">
      <c r="A16373" t="s">
        <v>6</v>
      </c>
      <c r="B16373" t="s">
        <v>16378</v>
      </c>
      <c r="C16373">
        <f>HYPERLINK("C:\Users\franc\OneDrive\Documentos\MALENTIN KARIME\BANCO ESTADO\2012 DEPTO ESCRITURAS fata\Dc Simples\RESPALDO comp notaria 27_12_12\NOTARIA 2012\DECLARACION JURADA\NO TIENE REV. TECNICA.doc", "Abrir Documento")</f>
        <v>0</v>
      </c>
      <c r="D16373" t="s">
        <v>23500</v>
      </c>
      <c r="E16373" t="s">
        <v>38848</v>
      </c>
    </row>
    <row r="16374" spans="1:5">
      <c r="A16374" t="s">
        <v>6</v>
      </c>
      <c r="B16374" t="s">
        <v>16379</v>
      </c>
      <c r="C16374">
        <f>HYPERLINK("C:\Users\franc\OneDrive\Documentos\MALENTIN KARIME\BANCO ESTADO\2012 DEPTO ESCRITURAS fata\Dc Simples\RESPALDO comp notaria 27_12_12\NOTARIA 2012\DECLARACION JURADA\NO REQUIERE COTIZACIONESÇ.doc", "Abrir Documento")</f>
        <v>0</v>
      </c>
      <c r="D16374" t="s">
        <v>23500</v>
      </c>
      <c r="E16374" t="s">
        <v>38849</v>
      </c>
    </row>
    <row r="16375" spans="1:5">
      <c r="A16375" t="s">
        <v>6</v>
      </c>
      <c r="B16375" t="s">
        <v>16380</v>
      </c>
      <c r="C16375">
        <f>HYPERLINK("C:\Users\franc\OneDrive\Documentos\MALENTIN KARIME\BANCO ESTADO\2012 DEPTO ESCRITURAS fata\Dc Simples\RESPALDO comp notaria 27_12_12\NOTARIA 2012\DECLARACION JURADA\NO REQUIERE  CUOTA MORTUORIA.doc", "Abrir Documento")</f>
        <v>0</v>
      </c>
      <c r="D16375" t="s">
        <v>23500</v>
      </c>
      <c r="E16375" t="s">
        <v>38850</v>
      </c>
    </row>
    <row r="16376" spans="1:5">
      <c r="A16376" t="s">
        <v>6</v>
      </c>
      <c r="B16376" t="s">
        <v>16381</v>
      </c>
      <c r="C16376">
        <f>HYPERLINK("C:\Users\franc\OneDrive\Documentos\MALENTIN KARIME\BANCO ESTADO\2012 DEPTO ESCRITURAS fata\Dc Simples\RESPALDO comp notaria 27_12_12\NOTARIA 2012\DECLARACION JURADA\NO PARENTESCO ART 60.doc", "Abrir Documento")</f>
        <v>0</v>
      </c>
      <c r="D16376" t="s">
        <v>23500</v>
      </c>
      <c r="E16376" t="s">
        <v>38851</v>
      </c>
    </row>
    <row r="16377" spans="1:5">
      <c r="A16377" t="s">
        <v>6</v>
      </c>
      <c r="B16377" t="s">
        <v>16382</v>
      </c>
      <c r="C16377">
        <f>HYPERLINK("C:\Users\franc\OneDrive\Documentos\MALENTIN KARIME\BANCO ESTADO\2012 DEPTO ESCRITURAS fata\Dc Simples\RESPALDO comp notaria 27_12_12\NOTARIA 2012\DECLARACION JURADA\NO OCUPACION SEGURO.doc", "Abrir Documento")</f>
        <v>0</v>
      </c>
      <c r="D16377" t="s">
        <v>23500</v>
      </c>
      <c r="E16377" t="s">
        <v>38852</v>
      </c>
    </row>
    <row r="16378" spans="1:5">
      <c r="A16378" t="s">
        <v>6</v>
      </c>
      <c r="B16378" t="s">
        <v>16383</v>
      </c>
      <c r="C16378">
        <f>HYPERLINK("C:\Users\franc\OneDrive\Documentos\MALENTIN KARIME\BANCO ESTADO\2012 DEPTO ESCRITURAS fata\Dc Simples\RESPALDO comp notaria 27_12_12\NOTARIA 2012\DECLARACION JURADA\NO INSUMOS RADIOACTIVOS.doc", "Abrir Documento")</f>
        <v>0</v>
      </c>
      <c r="D16378" t="s">
        <v>23500</v>
      </c>
      <c r="E16378" t="s">
        <v>38853</v>
      </c>
    </row>
    <row r="16379" spans="1:5">
      <c r="A16379" t="s">
        <v>6</v>
      </c>
      <c r="B16379" t="s">
        <v>16384</v>
      </c>
      <c r="C16379">
        <f>HYPERLINK("C:\Users\franc\OneDrive\Documentos\MALENTIN KARIME\BANCO ESTADO\2012 DEPTO ESCRITURAS fata\Dc Simples\RESPALDO comp notaria 27_12_12\NOTARIA 2012\DECLARACION JURADA\NO CONSUME DROGAS.doc", "Abrir Documento")</f>
        <v>0</v>
      </c>
      <c r="D16379" t="s">
        <v>23500</v>
      </c>
      <c r="E16379" t="s">
        <v>38854</v>
      </c>
    </row>
    <row r="16380" spans="1:5">
      <c r="A16380" t="s">
        <v>6</v>
      </c>
      <c r="B16380" t="s">
        <v>16385</v>
      </c>
      <c r="C16380">
        <f>HYPERLINK("C:\Users\franc\OneDrive\Documentos\MALENTIN KARIME\BANCO ESTADO\2012 DEPTO ESCRITURAS fata\Dc Simples\RESPALDO comp notaria 27_12_12\NOTARIA 2012\DECLARACION JURADA\NO ALERGICO.doc", "Abrir Documento")</f>
        <v>0</v>
      </c>
      <c r="D16380" t="s">
        <v>23500</v>
      </c>
      <c r="E16380" t="s">
        <v>38855</v>
      </c>
    </row>
    <row r="16381" spans="1:5">
      <c r="A16381" t="s">
        <v>6</v>
      </c>
      <c r="B16381" t="s">
        <v>16386</v>
      </c>
      <c r="C16381">
        <f>HYPERLINK("C:\Users\franc\OneDrive\Documentos\MALENTIN KARIME\BANCO ESTADO\2012 DEPTO ESCRITURAS fata\Dc Simples\RESPALDO comp notaria 27_12_12\NOTARIA 2012\DECLARACION JURADA\MEDIDA DISCIPLINARIA.doc", "Abrir Documento")</f>
        <v>0</v>
      </c>
      <c r="D16381" t="s">
        <v>23500</v>
      </c>
      <c r="E16381" t="s">
        <v>38856</v>
      </c>
    </row>
    <row r="16382" spans="1:5">
      <c r="A16382" t="s">
        <v>6</v>
      </c>
      <c r="B16382" t="s">
        <v>16387</v>
      </c>
      <c r="C16382">
        <f>HYPERLINK("C:\Users\franc\OneDrive\Documentos\MALENTIN KARIME\BANCO ESTADO\2012 DEPTO ESCRITURAS fata\Dc Simples\RESPALDO comp notaria 27_12_12\NOTARIA 2012\DECLARACION JURADA\MANIPULADOR MAQUINARIA.doc", "Abrir Documento")</f>
        <v>0</v>
      </c>
      <c r="D16382" t="s">
        <v>23500</v>
      </c>
      <c r="E16382" t="s">
        <v>38857</v>
      </c>
    </row>
    <row r="16383" spans="1:5">
      <c r="A16383" t="s">
        <v>6</v>
      </c>
      <c r="B16383" t="s">
        <v>16388</v>
      </c>
      <c r="C16383">
        <f>HYPERLINK("C:\Users\franc\OneDrive\Documentos\MALENTIN KARIME\BANCO ESTADO\2012 DEPTO ESCRITURAS fata\Dc Simples\RESPALDO comp notaria 27_12_12\NOTARIA 2012\DECLARACION JURADA\MANIPULADOR EXPLOSIVOS.doc", "Abrir Documento")</f>
        <v>0</v>
      </c>
      <c r="D16383" t="s">
        <v>23500</v>
      </c>
      <c r="E16383" t="s">
        <v>38858</v>
      </c>
    </row>
    <row r="16384" spans="1:5">
      <c r="A16384" t="s">
        <v>6</v>
      </c>
      <c r="B16384" t="s">
        <v>16389</v>
      </c>
      <c r="C16384">
        <f>HYPERLINK("C:\Users\franc\OneDrive\Documentos\MALENTIN KARIME\BANCO ESTADO\2012 DEPTO ESCRITURAS fata\Dc Simples\RESPALDO comp notaria 27_12_12\NOTARIA 2012\DECLARACION JURADA\MAMI ELI.doc", "Abrir Documento")</f>
        <v>0</v>
      </c>
      <c r="D16384" t="s">
        <v>23500</v>
      </c>
      <c r="E16384" t="s">
        <v>38859</v>
      </c>
    </row>
    <row r="16385" spans="1:5">
      <c r="A16385" t="s">
        <v>6</v>
      </c>
      <c r="B16385" t="s">
        <v>16390</v>
      </c>
      <c r="C16385">
        <f>HYPERLINK("C:\Users\franc\OneDrive\Documentos\MALENTIN KARIME\BANCO ESTADO\2012 DEPTO ESCRITURAS fata\Dc Simples\RESPALDO comp notaria 27_12_12\NOTARIA 2012\DECLARACION JURADA\LICENCIA EN CASA.doc", "Abrir Documento")</f>
        <v>0</v>
      </c>
      <c r="D16385" t="s">
        <v>23500</v>
      </c>
      <c r="E16385" t="s">
        <v>38860</v>
      </c>
    </row>
    <row r="16386" spans="1:5">
      <c r="A16386" t="s">
        <v>6</v>
      </c>
      <c r="B16386" t="s">
        <v>16391</v>
      </c>
      <c r="C16386">
        <f>HYPERLINK("C:\Users\franc\OneDrive\Documentos\MALENTIN KARIME\BANCO ESTADO\2012 DEPTO ESCRITURAS fata\Dc Simples\RESPALDO comp notaria 27_12_12\NOTARIA 2012\DECLARACION JURADA\licencia casa.doc", "Abrir Documento")</f>
        <v>0</v>
      </c>
      <c r="D16386" t="s">
        <v>23500</v>
      </c>
      <c r="E16386" t="s">
        <v>38861</v>
      </c>
    </row>
    <row r="16387" spans="1:5">
      <c r="A16387" t="s">
        <v>6</v>
      </c>
      <c r="B16387" t="s">
        <v>16392</v>
      </c>
      <c r="C16387">
        <f>HYPERLINK("C:\Users\franc\OneDrive\Documentos\MALENTIN KARIME\BANCO ESTADO\2012 DEPTO ESCRITURAS fata\Dc Simples\RESPALDO comp notaria 27_12_12\NOTARIA 2012\DECLARACION JURADA\LEY Nº19.728.doc", "Abrir Documento")</f>
        <v>0</v>
      </c>
      <c r="D16387" t="s">
        <v>23500</v>
      </c>
      <c r="E16387" t="s">
        <v>38862</v>
      </c>
    </row>
    <row r="16388" spans="1:5">
      <c r="A16388" t="s">
        <v>6</v>
      </c>
      <c r="B16388" t="s">
        <v>16393</v>
      </c>
      <c r="C16388">
        <f>HYPERLINK("C:\Users\franc\OneDrive\Documentos\MALENTIN KARIME\BANCO ESTADO\2012 DEPTO ESCRITURAS fata\Dc Simples\RESPALDO comp notaria 27_12_12\NOTARIA 2012\DECLARACION JURADA\LEY 20.378.doc", "Abrir Documento")</f>
        <v>0</v>
      </c>
      <c r="D16388" t="s">
        <v>23500</v>
      </c>
      <c r="E16388" t="s">
        <v>38863</v>
      </c>
    </row>
    <row r="16389" spans="1:5">
      <c r="A16389" t="s">
        <v>6</v>
      </c>
      <c r="B16389" t="s">
        <v>16394</v>
      </c>
      <c r="C16389">
        <f>HYPERLINK("C:\Users\franc\OneDrive\Documentos\MALENTIN KARIME\BANCO ESTADO\2012 DEPTO ESCRITURAS fata\Dc Simples\RESPALDO comp notaria 27_12_12\NOTARIA 2012\DECLARACION JURADA\Ley 19366 (Profes).doc", "Abrir Documento")</f>
        <v>0</v>
      </c>
      <c r="D16389" t="s">
        <v>23500</v>
      </c>
      <c r="E16389" t="s">
        <v>38864</v>
      </c>
    </row>
    <row r="16390" spans="1:5">
      <c r="A16390" t="s">
        <v>6</v>
      </c>
      <c r="B16390" t="s">
        <v>16395</v>
      </c>
      <c r="C16390">
        <f>HYPERLINK("C:\Users\franc\OneDrive\Documentos\MALENTIN KARIME\BANCO ESTADO\2012 DEPTO ESCRITURAS fata\Dc Simples\RESPALDO comp notaria 27_12_12\NOTARIA 2012\DECLARACION JURADA\LEY 19.925 ALCOHOLES.doc", "Abrir Documento")</f>
        <v>0</v>
      </c>
      <c r="D16390" t="s">
        <v>23500</v>
      </c>
      <c r="E16390" t="s">
        <v>38865</v>
      </c>
    </row>
    <row r="16391" spans="1:5">
      <c r="A16391" t="s">
        <v>6</v>
      </c>
      <c r="B16391" t="s">
        <v>16396</v>
      </c>
      <c r="C16391">
        <f>HYPERLINK("C:\Users\franc\OneDrive\Documentos\MALENTIN KARIME\BANCO ESTADO\2012 DEPTO ESCRITURAS fata\Dc Simples\RESPALDO comp notaria 27_12_12\NOTARIA 2012\DECLARACION JURADA\LEY 19.925 ALCOHOLES Sucesion.doc", "Abrir Documento")</f>
        <v>0</v>
      </c>
      <c r="D16391" t="s">
        <v>23500</v>
      </c>
      <c r="E16391" t="s">
        <v>38866</v>
      </c>
    </row>
    <row r="16392" spans="1:5">
      <c r="A16392" t="s">
        <v>6</v>
      </c>
      <c r="B16392" t="s">
        <v>16397</v>
      </c>
      <c r="C16392">
        <f>HYPERLINK("C:\Users\franc\OneDrive\Documentos\MALENTIN KARIME\BANCO ESTADO\2012 DEPTO ESCRITURAS fata\Dc Simples\RESPALDO comp notaria 27_12_12\NOTARIA 2012\DECLARACION JURADA\LEY 19.653.doc", "Abrir Documento")</f>
        <v>0</v>
      </c>
      <c r="D16392" t="s">
        <v>23500</v>
      </c>
      <c r="E16392" t="s">
        <v>38867</v>
      </c>
    </row>
    <row r="16393" spans="1:5">
      <c r="A16393" t="s">
        <v>6</v>
      </c>
      <c r="B16393" t="s">
        <v>16398</v>
      </c>
      <c r="C16393">
        <f>HYPERLINK("C:\Users\franc\OneDrive\Documentos\MALENTIN KARIME\BANCO ESTADO\2012 DEPTO ESCRITURAS fata\Dc Simples\RESPALDO comp notaria 27_12_12\NOTARIA 2012\DECLARACION JURADA\LEY 18.834.docCARGO PUBLICO.doc", "Abrir Documento")</f>
        <v>0</v>
      </c>
      <c r="D16393" t="s">
        <v>23500</v>
      </c>
      <c r="E16393" t="s">
        <v>38868</v>
      </c>
    </row>
    <row r="16394" spans="1:5">
      <c r="A16394" t="s">
        <v>6</v>
      </c>
      <c r="B16394" t="s">
        <v>16399</v>
      </c>
      <c r="C16394">
        <f>HYPERLINK("C:\Users\franc\OneDrive\Documentos\MALENTIN KARIME\BANCO ESTADO\2012 DEPTO ESCRITURAS fata\Dc Simples\RESPALDO comp notaria 27_12_12\NOTARIA 2012\DECLARACION JURADA\LEY 18.834.doc", "Abrir Documento")</f>
        <v>0</v>
      </c>
      <c r="D16394" t="s">
        <v>23500</v>
      </c>
      <c r="E16394" t="s">
        <v>38869</v>
      </c>
    </row>
    <row r="16395" spans="1:5">
      <c r="A16395" t="s">
        <v>6</v>
      </c>
      <c r="B16395" t="s">
        <v>16400</v>
      </c>
      <c r="C16395">
        <f>HYPERLINK("C:\Users\franc\OneDrive\Documentos\MALENTIN KARIME\BANCO ESTADO\2012 DEPTO ESCRITURAS fata\Dc Simples\RESPALDO comp notaria 27_12_12\NOTARIA 2012\DECLARACION JURADA\LEY 18.695 MUNICIPALIDADES.doc", "Abrir Documento")</f>
        <v>0</v>
      </c>
      <c r="D16395" t="s">
        <v>23500</v>
      </c>
      <c r="E16395" t="s">
        <v>38870</v>
      </c>
    </row>
    <row r="16396" spans="1:5">
      <c r="A16396" t="s">
        <v>6</v>
      </c>
      <c r="B16396" t="s">
        <v>16401</v>
      </c>
      <c r="C16396">
        <f>HYPERLINK("C:\Users\franc\OneDrive\Documentos\MALENTIN KARIME\BANCO ESTADO\2012 DEPTO ESCRITURAS fata\Dc Simples\RESPALDO comp notaria 27_12_12\NOTARIA 2012\DECLARACION JURADA\LEY 18.575, ART 54 Y 56.doc", "Abrir Documento")</f>
        <v>0</v>
      </c>
      <c r="D16396" t="s">
        <v>23500</v>
      </c>
      <c r="E16396" t="s">
        <v>38871</v>
      </c>
    </row>
    <row r="16397" spans="1:5">
      <c r="A16397" t="s">
        <v>6</v>
      </c>
      <c r="B16397" t="s">
        <v>16402</v>
      </c>
      <c r="C16397">
        <f>HYPERLINK("C:\Users\franc\OneDrive\Documentos\MALENTIN KARIME\BANCO ESTADO\2012 DEPTO ESCRITURAS fata\Dc Simples\RESPALDO comp notaria 27_12_12\NOTARIA 2012\DECLARACION JURADA\LEY 18.575, ART 54 Y 56 nueva.doc", "Abrir Documento")</f>
        <v>0</v>
      </c>
      <c r="D16397" t="s">
        <v>23500</v>
      </c>
      <c r="E16397" t="s">
        <v>38872</v>
      </c>
    </row>
    <row r="16398" spans="1:5">
      <c r="A16398" t="s">
        <v>6</v>
      </c>
      <c r="B16398" t="s">
        <v>16403</v>
      </c>
      <c r="C16398">
        <f>HYPERLINK("C:\Users\franc\OneDrive\Documentos\MALENTIN KARIME\BANCO ESTADO\2012 DEPTO ESCRITURAS fata\Dc Simples\RESPALDO comp notaria 27_12_12\NOTARIA 2012\DECLARACION JURADA\LEY 18.575, ART 54 Y 19.866 ART 4.doc", "Abrir Documento")</f>
        <v>0</v>
      </c>
      <c r="D16398" t="s">
        <v>23500</v>
      </c>
      <c r="E16398" t="s">
        <v>38873</v>
      </c>
    </row>
    <row r="16399" spans="1:5">
      <c r="A16399" t="s">
        <v>6</v>
      </c>
      <c r="B16399" t="s">
        <v>16404</v>
      </c>
      <c r="C16399">
        <f>HYPERLINK("C:\Users\franc\OneDrive\Documentos\MALENTIN KARIME\BANCO ESTADO\2012 DEPTO ESCRITURAS fata\Dc Simples\RESPALDO comp notaria 27_12_12\NOTARIA 2012\DECLARACION JURADA\LELO.doc", "Abrir Documento")</f>
        <v>0</v>
      </c>
      <c r="D16399" t="s">
        <v>23500</v>
      </c>
      <c r="E16399" t="s">
        <v>38874</v>
      </c>
    </row>
    <row r="16400" spans="1:5">
      <c r="A16400" t="s">
        <v>6</v>
      </c>
      <c r="B16400" t="s">
        <v>16405</v>
      </c>
      <c r="C16400">
        <f>HYPERLINK("C:\Users\franc\OneDrive\Documentos\MALENTIN KARIME\BANCO ESTADO\2012 DEPTO ESCRITURAS fata\Dc Simples\RESPALDO comp notaria 27_12_12\NOTARIA 2012\DECLARACION JURADA\Juez Interino Sr. Bustos.doc", "Abrir Documento")</f>
        <v>0</v>
      </c>
      <c r="D16400" t="s">
        <v>23500</v>
      </c>
      <c r="E16400" t="s">
        <v>38875</v>
      </c>
    </row>
    <row r="16401" spans="1:5">
      <c r="A16401" t="s">
        <v>6</v>
      </c>
      <c r="B16401" t="s">
        <v>16406</v>
      </c>
      <c r="C16401">
        <f>HYPERLINK("C:\Users\franc\OneDrive\Documentos\MALENTIN KARIME\BANCO ESTADO\2012 DEPTO ESCRITURAS fata\Dc Simples\RESPALDO comp notaria 27_12_12\NOTARIA 2012\DECLARACION JURADA\INVITACION ESPAÑA.doc", "Abrir Documento")</f>
        <v>0</v>
      </c>
      <c r="D16401" t="s">
        <v>23500</v>
      </c>
      <c r="E16401" t="s">
        <v>38876</v>
      </c>
    </row>
    <row r="16402" spans="1:5">
      <c r="A16402" t="s">
        <v>6</v>
      </c>
      <c r="B16402" t="s">
        <v>16407</v>
      </c>
      <c r="C16402">
        <f>HYPERLINK("C:\Users\franc\OneDrive\Documentos\MALENTIN KARIME\BANCO ESTADO\2012 DEPTO ESCRITURAS fata\Dc Simples\RESPALDO comp notaria 27_12_12\NOTARIA 2012\DECLARACION JURADA\INVITACION ESPAÑA Y EXPENSASdoc.doc", "Abrir Documento")</f>
        <v>0</v>
      </c>
      <c r="D16402" t="s">
        <v>23500</v>
      </c>
      <c r="E16402" t="s">
        <v>38877</v>
      </c>
    </row>
    <row r="16403" spans="1:5">
      <c r="A16403" t="s">
        <v>6</v>
      </c>
      <c r="B16403" t="s">
        <v>16408</v>
      </c>
      <c r="C16403">
        <f>HYPERLINK("C:\Users\franc\OneDrive\Documentos\MALENTIN KARIME\BANCO ESTADO\2012 DEPTO ESCRITURAS fata\Dc Simples\RESPALDO comp notaria 27_12_12\NOTARIA 2012\DECLARACION JURADA\INGRESO ARTEFACTO A LA CARCEL.doc", "Abrir Documento")</f>
        <v>0</v>
      </c>
      <c r="D16403" t="s">
        <v>23500</v>
      </c>
      <c r="E16403" t="s">
        <v>38878</v>
      </c>
    </row>
    <row r="16404" spans="1:5">
      <c r="A16404" t="s">
        <v>6</v>
      </c>
      <c r="B16404" t="s">
        <v>16409</v>
      </c>
      <c r="C16404">
        <f>HYPERLINK("C:\Users\franc\OneDrive\Documentos\MALENTIN KARIME\BANCO ESTADO\2012 DEPTO ESCRITURAS fata\Dc Simples\RESPALDO comp notaria 27_12_12\NOTARIA 2012\DECLARACION JURADA\INGRESO  A LA CARCEL SOC. CONYUGAL.doc", "Abrir Documento")</f>
        <v>0</v>
      </c>
      <c r="D16404" t="s">
        <v>23500</v>
      </c>
      <c r="E16404" t="s">
        <v>38879</v>
      </c>
    </row>
    <row r="16405" spans="1:5">
      <c r="A16405" t="s">
        <v>6</v>
      </c>
      <c r="B16405" t="s">
        <v>16410</v>
      </c>
      <c r="C16405">
        <f>HYPERLINK("C:\Users\franc\OneDrive\Documentos\MALENTIN KARIME\BANCO ESTADO\2012 DEPTO ESCRITURAS fata\Dc Simples\RESPALDO comp notaria 27_12_12\NOTARIA 2012\DECLARACION JURADA\HIJOS A CARGO.doc", "Abrir Documento")</f>
        <v>0</v>
      </c>
      <c r="D16405" t="s">
        <v>23500</v>
      </c>
      <c r="E16405" t="s">
        <v>38880</v>
      </c>
    </row>
    <row r="16406" spans="1:5">
      <c r="A16406" t="s">
        <v>6</v>
      </c>
      <c r="B16406" t="s">
        <v>16411</v>
      </c>
      <c r="C16406">
        <f>HYPERLINK("C:\Users\franc\OneDrive\Documentos\MALENTIN KARIME\BANCO ESTADO\2012 DEPTO ESCRITURAS fata\Dc Simples\RESPALDO comp notaria 27_12_12\NOTARIA 2012\DECLARACION JURADA\Formato_Declaracion_Jurada.doc", "Abrir Documento")</f>
        <v>0</v>
      </c>
      <c r="D16406" t="s">
        <v>23500</v>
      </c>
      <c r="E16406" t="s">
        <v>38881</v>
      </c>
    </row>
    <row r="16407" spans="1:5">
      <c r="A16407" t="s">
        <v>6</v>
      </c>
      <c r="B16407" t="s">
        <v>16412</v>
      </c>
      <c r="C16407">
        <f>HYPERLINK("C:\Users\franc\OneDrive\Documentos\MALENTIN KARIME\BANCO ESTADO\2012 DEPTO ESCRITURAS fata\Dc Simples\RESPALDO comp notaria 27_12_12\NOTARIA 2012\DECLARACION JURADA\FORMATO.doc", "Abrir Documento")</f>
        <v>0</v>
      </c>
      <c r="D16407" t="s">
        <v>23500</v>
      </c>
      <c r="E16407" t="s">
        <v>38882</v>
      </c>
    </row>
    <row r="16408" spans="1:5">
      <c r="A16408" t="s">
        <v>6</v>
      </c>
      <c r="B16408" t="s">
        <v>16413</v>
      </c>
      <c r="C16408">
        <f>HYPERLINK("C:\Users\franc\OneDrive\Documentos\MALENTIN KARIME\BANCO ESTADO\2012 DEPTO ESCRITURAS fata\Dc Simples\RESPALDO comp notaria 27_12_12\NOTARIA 2012\DECLARACION JURADA\finiquito en tramite.doc", "Abrir Documento")</f>
        <v>0</v>
      </c>
      <c r="D16408" t="s">
        <v>23500</v>
      </c>
      <c r="E16408" t="s">
        <v>38883</v>
      </c>
    </row>
    <row r="16409" spans="1:5">
      <c r="A16409" t="s">
        <v>6</v>
      </c>
      <c r="B16409" t="s">
        <v>16414</v>
      </c>
      <c r="C16409">
        <f>HYPERLINK("C:\Users\franc\OneDrive\Documentos\MALENTIN KARIME\BANCO ESTADO\2012 DEPTO ESCRITURAS fata\Dc Simples\RESPALDO comp notaria 27_12_12\NOTARIA 2012\DECLARACION JURADA\finiquito en tramite damian.doc", "Abrir Documento")</f>
        <v>0</v>
      </c>
      <c r="D16409" t="s">
        <v>23500</v>
      </c>
      <c r="E16409" t="s">
        <v>38884</v>
      </c>
    </row>
    <row r="16410" spans="1:5">
      <c r="A16410" t="s">
        <v>6</v>
      </c>
      <c r="B16410" t="s">
        <v>16415</v>
      </c>
      <c r="C16410">
        <f>HYPERLINK("C:\Users\franc\OneDrive\Documentos\MALENTIN KARIME\BANCO ESTADO\2012 DEPTO ESCRITURAS fata\Dc Simples\RESPALDO comp notaria 27_12_12\NOTARIA 2012\DECLARACION JURADA\finiquito en EXTRAVIADO.doc", "Abrir Documento")</f>
        <v>0</v>
      </c>
      <c r="D16410" t="s">
        <v>23500</v>
      </c>
      <c r="E16410" t="s">
        <v>38885</v>
      </c>
    </row>
    <row r="16411" spans="1:5">
      <c r="A16411" t="s">
        <v>6</v>
      </c>
      <c r="B16411" t="s">
        <v>16416</v>
      </c>
      <c r="C16411">
        <f>HYPERLINK("C:\Users\franc\OneDrive\Documentos\MALENTIN KARIME\BANCO ESTADO\2012 DEPTO ESCRITURAS fata\Dc Simples\RESPALDO comp notaria 27_12_12\NOTARIA 2012\DECLARACION JURADA\EXTRAVIO SOLICITUD DE PLACA.doc", "Abrir Documento")</f>
        <v>0</v>
      </c>
      <c r="D16411" t="s">
        <v>23500</v>
      </c>
      <c r="E16411" t="s">
        <v>38886</v>
      </c>
    </row>
    <row r="16412" spans="1:5">
      <c r="A16412" t="s">
        <v>6</v>
      </c>
      <c r="B16412" t="s">
        <v>16417</v>
      </c>
      <c r="C16412">
        <f>HYPERLINK("C:\Users\franc\OneDrive\Documentos\MALENTIN KARIME\BANCO ESTADO\2012 DEPTO ESCRITURAS fata\Dc Simples\RESPALDO comp notaria 27_12_12\NOTARIA 2012\DECLARACION JURADA\EXTRAVIO SEGURO OBLIGATORIO.doc", "Abrir Documento")</f>
        <v>0</v>
      </c>
      <c r="D16412" t="s">
        <v>23500</v>
      </c>
      <c r="E16412" t="s">
        <v>38887</v>
      </c>
    </row>
    <row r="16413" spans="1:5">
      <c r="A16413" t="s">
        <v>6</v>
      </c>
      <c r="B16413" t="s">
        <v>16418</v>
      </c>
      <c r="C16413">
        <f>HYPERLINK("C:\Users\franc\OneDrive\Documentos\MALENTIN KARIME\BANCO ESTADO\2012 DEPTO ESCRITURAS fata\Dc Simples\RESPALDO comp notaria 27_12_12\NOTARIA 2012\DECLARACION JURADA\EXTRAVIO PASAPORTE.doc", "Abrir Documento")</f>
        <v>0</v>
      </c>
      <c r="D16413" t="s">
        <v>23500</v>
      </c>
      <c r="E16413" t="s">
        <v>38888</v>
      </c>
    </row>
    <row r="16414" spans="1:5">
      <c r="A16414" t="s">
        <v>6</v>
      </c>
      <c r="B16414" t="s">
        <v>16419</v>
      </c>
      <c r="C16414">
        <f>HYPERLINK("C:\Users\franc\OneDrive\Documentos\MALENTIN KARIME\BANCO ESTADO\2012 DEPTO ESCRITURAS fata\Dc Simples\RESPALDO comp notaria 27_12_12\NOTARIA 2012\DECLARACION JURADA\EXTRAVIO PARTE.doc", "Abrir Documento")</f>
        <v>0</v>
      </c>
      <c r="D16414" t="s">
        <v>23500</v>
      </c>
      <c r="E16414" t="s">
        <v>38889</v>
      </c>
    </row>
    <row r="16415" spans="1:5">
      <c r="A16415" t="s">
        <v>6</v>
      </c>
      <c r="B16415" t="s">
        <v>16420</v>
      </c>
      <c r="C16415">
        <f>HYPERLINK("C:\Users\franc\OneDrive\Documentos\MALENTIN KARIME\BANCO ESTADO\2012 DEPTO ESCRITURAS fata\Dc Simples\RESPALDO comp notaria 27_12_12\NOTARIA 2012\DECLARACION JURADA\EXTRAVIO LICENCIA EN CASA.doc", "Abrir Documento")</f>
        <v>0</v>
      </c>
      <c r="D16415" t="s">
        <v>23500</v>
      </c>
      <c r="E16415" t="s">
        <v>38890</v>
      </c>
    </row>
    <row r="16416" spans="1:5">
      <c r="A16416" t="s">
        <v>6</v>
      </c>
      <c r="B16416" t="s">
        <v>16421</v>
      </c>
      <c r="C16416">
        <f>HYPERLINK("C:\Users\franc\OneDrive\Documentos\MALENTIN KARIME\BANCO ESTADO\2012 DEPTO ESCRITURAS fata\Dc Simples\RESPALDO comp notaria 27_12_12\NOTARIA 2012\DECLARACION JURADA\EXTRAVIO DOCU. VEHICULO.doc", "Abrir Documento")</f>
        <v>0</v>
      </c>
      <c r="D16416" t="s">
        <v>23500</v>
      </c>
      <c r="E16416" t="s">
        <v>38891</v>
      </c>
    </row>
    <row r="16417" spans="1:5">
      <c r="A16417" t="s">
        <v>6</v>
      </c>
      <c r="B16417" t="s">
        <v>16422</v>
      </c>
      <c r="C16417">
        <f>HYPERLINK("C:\Users\franc\OneDrive\Documentos\MALENTIN KARIME\BANCO ESTADO\2012 DEPTO ESCRITURAS fata\Dc Simples\RESPALDO comp notaria 27_12_12\NOTARIA 2012\DECLARACION JURADA\EXTRAVIO DOCU. VEHICULO DCTS.doc", "Abrir Documento")</f>
        <v>0</v>
      </c>
      <c r="D16417" t="s">
        <v>23500</v>
      </c>
      <c r="E16417" t="s">
        <v>38892</v>
      </c>
    </row>
    <row r="16418" spans="1:5">
      <c r="A16418" t="s">
        <v>6</v>
      </c>
      <c r="B16418" t="s">
        <v>16423</v>
      </c>
      <c r="C16418">
        <f>HYPERLINK("C:\Users\franc\OneDrive\Documentos\MALENTIN KARIME\BANCO ESTADO\2012 DEPTO ESCRITURAS fata\Dc Simples\RESPALDO comp notaria 27_12_12\NOTARIA 2012\DECLARACION JURADA\EXTRAVIO DOCU. VEHICULO ANA ROSA.doc", "Abrir Documento")</f>
        <v>0</v>
      </c>
      <c r="D16418" t="s">
        <v>23500</v>
      </c>
      <c r="E16418" t="s">
        <v>38893</v>
      </c>
    </row>
    <row r="16419" spans="1:5">
      <c r="A16419" t="s">
        <v>6</v>
      </c>
      <c r="B16419" t="s">
        <v>16424</v>
      </c>
      <c r="C16419">
        <f>HYPERLINK("C:\Users\franc\OneDrive\Documentos\MALENTIN KARIME\BANCO ESTADO\2012 DEPTO ESCRITURAS fata\Dc Simples\RESPALDO comp notaria 27_12_12\NOTARIA 2012\DECLARACION JURADA\EXTRAVIO DOCU. CREDENCIAL TAXI.doc", "Abrir Documento")</f>
        <v>0</v>
      </c>
      <c r="D16419" t="s">
        <v>23500</v>
      </c>
      <c r="E16419" t="s">
        <v>38894</v>
      </c>
    </row>
    <row r="16420" spans="1:5">
      <c r="A16420" t="s">
        <v>6</v>
      </c>
      <c r="B16420" t="s">
        <v>16425</v>
      </c>
      <c r="C16420">
        <f>HYPERLINK("C:\Users\franc\OneDrive\Documentos\MALENTIN KARIME\BANCO ESTADO\2012 DEPTO ESCRITURAS fata\Dc Simples\RESPALDO comp notaria 27_12_12\NOTARIA 2012\DECLARACION JURADA\EXTRAVIO DETERIORO DE PLACA.doc", "Abrir Documento")</f>
        <v>0</v>
      </c>
      <c r="D16420" t="s">
        <v>23500</v>
      </c>
      <c r="E16420" t="s">
        <v>38895</v>
      </c>
    </row>
    <row r="16421" spans="1:5">
      <c r="A16421" t="s">
        <v>6</v>
      </c>
      <c r="B16421" t="s">
        <v>16426</v>
      </c>
      <c r="C16421">
        <f>HYPERLINK("C:\Users\franc\OneDrive\Documentos\MALENTIN KARIME\BANCO ESTADO\2012 DEPTO ESCRITURAS fata\Dc Simples\RESPALDO comp notaria 27_12_12\NOTARIA 2012\DECLARACION JURADA\EXTRAVIO deposito.doc", "Abrir Documento")</f>
        <v>0</v>
      </c>
      <c r="D16421" t="s">
        <v>23500</v>
      </c>
      <c r="E16421" t="s">
        <v>38896</v>
      </c>
    </row>
    <row r="16422" spans="1:5">
      <c r="A16422" t="s">
        <v>6</v>
      </c>
      <c r="B16422" t="s">
        <v>16427</v>
      </c>
      <c r="C16422">
        <f>HYPERLINK("C:\Users\franc\OneDrive\Documentos\MALENTIN KARIME\BANCO ESTADO\2012 DEPTO ESCRITURAS fata\Dc Simples\RESPALDO comp notaria 27_12_12\NOTARIA 2012\DECLARACION JURADA\EXT.LIBRETA BCO.ESTADO.doc", "Abrir Documento")</f>
        <v>0</v>
      </c>
      <c r="D16422" t="s">
        <v>23500</v>
      </c>
      <c r="E16422" t="s">
        <v>38897</v>
      </c>
    </row>
    <row r="16423" spans="1:5">
      <c r="A16423" t="s">
        <v>6</v>
      </c>
      <c r="B16423" t="s">
        <v>16428</v>
      </c>
      <c r="C16423">
        <f>HYPERLINK("C:\Users\franc\OneDrive\Documentos\MALENTIN KARIME\BANCO ESTADO\2012 DEPTO ESCRITURAS fata\Dc Simples\RESPALDO comp notaria 27_12_12\NOTARIA 2012\DECLARACION JURADA\EXT.DE CHEQUE.doc", "Abrir Documento")</f>
        <v>0</v>
      </c>
      <c r="D16423" t="s">
        <v>23500</v>
      </c>
      <c r="E16423" t="s">
        <v>38898</v>
      </c>
    </row>
    <row r="16424" spans="1:5">
      <c r="A16424" t="s">
        <v>6</v>
      </c>
      <c r="B16424" t="s">
        <v>16429</v>
      </c>
      <c r="C16424">
        <f>HYPERLINK("C:\Users\franc\OneDrive\Documentos\MALENTIN KARIME\BANCO ESTADO\2012 DEPTO ESCRITURAS fata\Dc Simples\RESPALDO comp notaria 27_12_12\NOTARIA 2012\DECLARACION JURADA\EXPERIENCIA EN MINERIA.doc", "Abrir Documento")</f>
        <v>0</v>
      </c>
      <c r="D16424" t="s">
        <v>23500</v>
      </c>
      <c r="E16424" t="s">
        <v>38899</v>
      </c>
    </row>
    <row r="16425" spans="1:5">
      <c r="A16425" t="s">
        <v>6</v>
      </c>
      <c r="B16425" t="s">
        <v>16430</v>
      </c>
      <c r="C16425">
        <f>HYPERLINK("C:\Users\franc\OneDrive\Documentos\MALENTIN KARIME\BANCO ESTADO\2012 DEPTO ESCRITURAS fata\Dc Simples\RESPALDO comp notaria 27_12_12\NOTARIA 2012\DECLARACION JURADA\EXPENSAS.doc", "Abrir Documento")</f>
        <v>0</v>
      </c>
      <c r="D16425" t="s">
        <v>23500</v>
      </c>
      <c r="E16425" t="s">
        <v>38900</v>
      </c>
    </row>
    <row r="16426" spans="1:5">
      <c r="A16426" t="s">
        <v>6</v>
      </c>
      <c r="B16426" t="s">
        <v>16431</v>
      </c>
      <c r="C16426">
        <f>HYPERLINK("C:\Users\franc\OneDrive\Documentos\MALENTIN KARIME\BANCO ESTADO\2012 DEPTO ESCRITURAS fata\Dc Simples\RESPALDO comp notaria 27_12_12\NOTARIA 2012\DECLARACION JURADA\EXPENSAS PERUANO.doc", "Abrir Documento")</f>
        <v>0</v>
      </c>
      <c r="D16426" t="s">
        <v>23500</v>
      </c>
      <c r="E16426" t="s">
        <v>38901</v>
      </c>
    </row>
    <row r="16427" spans="1:5">
      <c r="A16427" t="s">
        <v>6</v>
      </c>
      <c r="B16427" t="s">
        <v>16432</v>
      </c>
      <c r="C16427">
        <f>HYPERLINK("C:\Users\franc\OneDrive\Documentos\MALENTIN KARIME\BANCO ESTADO\2012 DEPTO ESCRITURAS fata\Dc Simples\RESPALDO comp notaria 27_12_12\NOTARIA 2012\DECLARACION JURADA\EXPENSAS HIJOS.doc", "Abrir Documento")</f>
        <v>0</v>
      </c>
      <c r="D16427" t="s">
        <v>23500</v>
      </c>
      <c r="E16427" t="s">
        <v>38902</v>
      </c>
    </row>
    <row r="16428" spans="1:5">
      <c r="A16428" t="s">
        <v>6</v>
      </c>
      <c r="B16428" t="s">
        <v>16433</v>
      </c>
      <c r="C16428">
        <f>HYPERLINK("C:\Users\franc\OneDrive\Documentos\MALENTIN KARIME\BANCO ESTADO\2012 DEPTO ESCRITURAS fata\Dc Simples\RESPALDO comp notaria 27_12_12\NOTARIA 2012\DECLARACION JURADA\EXPENSAS DOMICILIO.doc", "Abrir Documento")</f>
        <v>0</v>
      </c>
      <c r="D16428" t="s">
        <v>23500</v>
      </c>
      <c r="E16428" t="s">
        <v>38903</v>
      </c>
    </row>
    <row r="16429" spans="1:5">
      <c r="A16429" t="s">
        <v>6</v>
      </c>
      <c r="B16429" t="s">
        <v>16434</v>
      </c>
      <c r="C16429">
        <f>HYPERLINK("C:\Users\franc\OneDrive\Documentos\MALENTIN KARIME\BANCO ESTADO\2012 DEPTO ESCRITURAS fata\Dc Simples\RESPALDO comp notaria 27_12_12\NOTARIA 2012\DECLARACION JURADA\ENAMI.doc", "Abrir Documento")</f>
        <v>0</v>
      </c>
      <c r="D16429" t="s">
        <v>23500</v>
      </c>
      <c r="E16429" t="s">
        <v>38904</v>
      </c>
    </row>
    <row r="16430" spans="1:5">
      <c r="A16430" t="s">
        <v>6</v>
      </c>
      <c r="B16430" t="s">
        <v>16435</v>
      </c>
      <c r="C16430">
        <f>HYPERLINK("C:\Users\franc\OneDrive\Documentos\MALENTIN KARIME\BANCO ESTADO\2012 DEPTO ESCRITURAS fata\Dc Simples\RESPALDO comp notaria 27_12_12\NOTARIA 2012\DECLARACION JURADA\EMPLEADORES.doc", "Abrir Documento")</f>
        <v>0</v>
      </c>
      <c r="D16430" t="s">
        <v>23500</v>
      </c>
      <c r="E16430" t="s">
        <v>38905</v>
      </c>
    </row>
    <row r="16431" spans="1:5">
      <c r="A16431" t="s">
        <v>6</v>
      </c>
      <c r="B16431" t="s">
        <v>16436</v>
      </c>
      <c r="C16431">
        <f>HYPERLINK("C:\Users\franc\OneDrive\Documentos\MALENTIN KARIME\BANCO ESTADO\2012 DEPTO ESCRITURAS fata\Dc Simples\RESPALDO comp notaria 27_12_12\NOTARIA 2012\DECLARACION JURADA\DUEÑOS DE POSTACION.doc", "Abrir Documento")</f>
        <v>0</v>
      </c>
      <c r="D16431" t="s">
        <v>23500</v>
      </c>
      <c r="E16431" t="s">
        <v>38906</v>
      </c>
    </row>
    <row r="16432" spans="1:5">
      <c r="A16432" t="s">
        <v>6</v>
      </c>
      <c r="B16432" t="s">
        <v>16437</v>
      </c>
      <c r="C16432">
        <f>HYPERLINK("C:\Users\franc\OneDrive\Documentos\MALENTIN KARIME\BANCO ESTADO\2012 DEPTO ESCRITURAS fata\Dc Simples\RESPALDO comp notaria 27_12_12\NOTARIA 2012\DECLARACION JURADA\DUEÑO DE...nicho cementerio.doc", "Abrir Documento")</f>
        <v>0</v>
      </c>
      <c r="D16432" t="s">
        <v>23500</v>
      </c>
      <c r="E16432" t="s">
        <v>38907</v>
      </c>
    </row>
    <row r="16433" spans="1:5">
      <c r="A16433" t="s">
        <v>6</v>
      </c>
      <c r="B16433" t="s">
        <v>16438</v>
      </c>
      <c r="C16433">
        <f>HYPERLINK("C:\Users\franc\OneDrive\Documentos\MALENTIN KARIME\BANCO ESTADO\2012 DEPTO ESCRITURAS fata\Dc Simples\RESPALDO comp notaria 27_12_12\NOTARIA 2012\DECLARACION JURADA\DUEÑO DE...con inventario.doc", "Abrir Documento")</f>
        <v>0</v>
      </c>
      <c r="D16433" t="s">
        <v>23500</v>
      </c>
      <c r="E16433" t="s">
        <v>38908</v>
      </c>
    </row>
    <row r="16434" spans="1:5">
      <c r="A16434" t="s">
        <v>6</v>
      </c>
      <c r="B16434" t="s">
        <v>16439</v>
      </c>
      <c r="C16434">
        <f>HYPERLINK("C:\Users\franc\OneDrive\Documentos\MALENTIN KARIME\BANCO ESTADO\2012 DEPTO ESCRITURAS fata\Dc Simples\RESPALDO comp notaria 27_12_12\NOTARIA 2012\DECLARACION JURADA\DUEÑO DE....doc", "Abrir Documento")</f>
        <v>0</v>
      </c>
      <c r="D16434" t="s">
        <v>23500</v>
      </c>
      <c r="E16434" t="s">
        <v>38909</v>
      </c>
    </row>
    <row r="16435" spans="1:5">
      <c r="A16435" t="s">
        <v>6</v>
      </c>
      <c r="B16435" t="s">
        <v>16440</v>
      </c>
      <c r="C16435">
        <f>HYPERLINK("C:\Users\franc\OneDrive\Documentos\MALENTIN KARIME\BANCO ESTADO\2012 DEPTO ESCRITURAS fata\Dc Simples\RESPALDO comp notaria 27_12_12\NOTARIA 2012\DECLARACION JURADA\DOMICILIO VARIOS.doc", "Abrir Documento")</f>
        <v>0</v>
      </c>
      <c r="D16435" t="s">
        <v>23500</v>
      </c>
      <c r="E16435" t="s">
        <v>38910</v>
      </c>
    </row>
    <row r="16436" spans="1:5">
      <c r="A16436" t="s">
        <v>6</v>
      </c>
      <c r="B16436" t="s">
        <v>16441</v>
      </c>
      <c r="C16436">
        <f>HYPERLINK("C:\Users\franc\OneDrive\Documentos\MALENTIN KARIME\BANCO ESTADO\2012 DEPTO ESCRITURAS fata\Dc Simples\RESPALDO comp notaria 27_12_12\NOTARIA 2012\DECLARACION JURADA\DOMICILIO OK.1.doc", "Abrir Documento")</f>
        <v>0</v>
      </c>
      <c r="D16436" t="s">
        <v>23500</v>
      </c>
      <c r="E16436" t="s">
        <v>38911</v>
      </c>
    </row>
    <row r="16437" spans="1:5">
      <c r="A16437" t="s">
        <v>6</v>
      </c>
      <c r="B16437" t="s">
        <v>16442</v>
      </c>
      <c r="C16437">
        <f>HYPERLINK("C:\Users\franc\OneDrive\Documentos\MALENTIN KARIME\BANCO ESTADO\2012 DEPTO ESCRITURAS fata\Dc Simples\RESPALDO comp notaria 27_12_12\NOTARIA 2012\DECLARACION JURADA\DOMICILIO MENOR DE EDAD.doc", "Abrir Documento")</f>
        <v>0</v>
      </c>
      <c r="D16437" t="s">
        <v>23500</v>
      </c>
      <c r="E16437" t="s">
        <v>38912</v>
      </c>
    </row>
    <row r="16438" spans="1:5">
      <c r="A16438" t="s">
        <v>6</v>
      </c>
      <c r="B16438" t="s">
        <v>16443</v>
      </c>
      <c r="C16438">
        <f>HYPERLINK("C:\Users\franc\OneDrive\Documentos\MALENTIN KARIME\BANCO ESTADO\2012 DEPTO ESCRITURAS fata\Dc Simples\RESPALDO comp notaria 27_12_12\NOTARIA 2012\DECLARACION JURADA\DOMICILIO IVETTE EUGENIA.docx", "Abrir Documento")</f>
        <v>0</v>
      </c>
      <c r="D16438" t="s">
        <v>23501</v>
      </c>
      <c r="E16438" t="s">
        <v>38913</v>
      </c>
    </row>
    <row r="16439" spans="1:5">
      <c r="A16439" t="s">
        <v>6</v>
      </c>
      <c r="B16439" t="s">
        <v>16444</v>
      </c>
      <c r="C16439">
        <f>HYPERLINK("C:\Users\franc\OneDrive\Documentos\MALENTIN KARIME\BANCO ESTADO\2012 DEPTO ESCRITURAS fata\Dc Simples\RESPALDO comp notaria 27_12_12\NOTARIA 2012\DECLARACION JURADA\DOMICILIO de TERCERO1.docx", "Abrir Documento")</f>
        <v>0</v>
      </c>
      <c r="D16439" t="s">
        <v>23501</v>
      </c>
      <c r="E16439" t="s">
        <v>38914</v>
      </c>
    </row>
    <row r="16440" spans="1:5">
      <c r="A16440" t="s">
        <v>6</v>
      </c>
      <c r="B16440" t="s">
        <v>16445</v>
      </c>
      <c r="C16440">
        <f>HYPERLINK("C:\Users\franc\OneDrive\Documentos\MALENTIN KARIME\BANCO ESTADO\2012 DEPTO ESCRITURAS fata\Dc Simples\RESPALDO comp notaria 27_12_12\NOTARIA 2012\DECLARACION JURADA\DOMICILIO 2 TESTIGOS.doc", "Abrir Documento")</f>
        <v>0</v>
      </c>
      <c r="D16440" t="s">
        <v>23500</v>
      </c>
      <c r="E16440" t="s">
        <v>38915</v>
      </c>
    </row>
    <row r="16441" spans="1:5">
      <c r="A16441" t="s">
        <v>6</v>
      </c>
      <c r="B16441" t="s">
        <v>16446</v>
      </c>
      <c r="C16441">
        <f>HYPERLINK("C:\Users\franc\OneDrive\Documentos\MALENTIN KARIME\BANCO ESTADO\2012 DEPTO ESCRITURAS fata\Dc Simples\RESPALDO comp notaria 27_12_12\NOTARIA 2012\DECLARACION JURADA\DISCAPACIDAD.doc", "Abrir Documento")</f>
        <v>0</v>
      </c>
      <c r="D16441" t="s">
        <v>23500</v>
      </c>
      <c r="E16441" t="s">
        <v>38916</v>
      </c>
    </row>
    <row r="16442" spans="1:5">
      <c r="A16442" t="s">
        <v>6</v>
      </c>
      <c r="B16442" t="s">
        <v>16447</v>
      </c>
      <c r="C16442">
        <f>HYPERLINK("C:\Users\franc\OneDrive\Documentos\MALENTIN KARIME\BANCO ESTADO\2012 DEPTO ESCRITURAS fata\Dc Simples\RESPALDO comp notaria 27_12_12\NOTARIA 2012\DECLARACION JURADA\DISCAPACIDAD VIAJAR.doc", "Abrir Documento")</f>
        <v>0</v>
      </c>
      <c r="D16442" t="s">
        <v>23500</v>
      </c>
      <c r="E16442" t="s">
        <v>38917</v>
      </c>
    </row>
    <row r="16443" spans="1:5">
      <c r="A16443" t="s">
        <v>6</v>
      </c>
      <c r="B16443" t="s">
        <v>16448</v>
      </c>
      <c r="C16443">
        <f>HYPERLINK("C:\Users\franc\OneDrive\Documentos\MALENTIN KARIME\BANCO ESTADO\2012 DEPTO ESCRITURAS fata\Dc Simples\RESPALDO comp notaria 27_12_12\NOTARIA 2012\DECLARACION JURADA\DFL Nº1 AÑO 2005.doc", "Abrir Documento")</f>
        <v>0</v>
      </c>
      <c r="D16443" t="s">
        <v>23500</v>
      </c>
      <c r="E16443" t="s">
        <v>38918</v>
      </c>
    </row>
    <row r="16444" spans="1:5">
      <c r="A16444" t="s">
        <v>6</v>
      </c>
      <c r="B16444" t="s">
        <v>16449</v>
      </c>
      <c r="C16444">
        <f>HYPERLINK("C:\Users\franc\OneDrive\Documentos\MALENTIN KARIME\BANCO ESTADO\2012 DEPTO ESCRITURAS fata\Dc Simples\RESPALDO comp notaria 27_12_12\NOTARIA 2012\DECLARACION JURADA\DFL 1 Art.26 (FGHI).doc", "Abrir Documento")</f>
        <v>0</v>
      </c>
      <c r="D16444" t="s">
        <v>23500</v>
      </c>
      <c r="E16444" t="s">
        <v>38919</v>
      </c>
    </row>
    <row r="16445" spans="1:5">
      <c r="A16445" t="s">
        <v>6</v>
      </c>
      <c r="B16445" t="s">
        <v>16450</v>
      </c>
      <c r="C16445">
        <f>HYPERLINK("C:\Users\franc\OneDrive\Documentos\MALENTIN KARIME\BANCO ESTADO\2012 DEPTO ESCRITURAS fata\Dc Simples\RESPALDO comp notaria 27_12_12\NOTARIA 2012\DECLARACION JURADA\DESALOJO.doc", "Abrir Documento")</f>
        <v>0</v>
      </c>
      <c r="D16445" t="s">
        <v>23500</v>
      </c>
      <c r="E16445" t="s">
        <v>38920</v>
      </c>
    </row>
    <row r="16446" spans="1:5">
      <c r="A16446" t="s">
        <v>6</v>
      </c>
      <c r="B16446" t="s">
        <v>16451</v>
      </c>
      <c r="C16446">
        <f>HYPERLINK("C:\Users\franc\OneDrive\Documentos\MALENTIN KARIME\BANCO ESTADO\2012 DEPTO ESCRITURAS fata\Dc Simples\RESPALDO comp notaria 27_12_12\NOTARIA 2012\DECLARACION JURADA\DERECHO REAL DE USO.doc", "Abrir Documento")</f>
        <v>0</v>
      </c>
      <c r="D16446" t="s">
        <v>23500</v>
      </c>
      <c r="E16446" t="s">
        <v>38921</v>
      </c>
    </row>
    <row r="16447" spans="1:5">
      <c r="A16447" t="s">
        <v>6</v>
      </c>
      <c r="B16447" t="s">
        <v>16452</v>
      </c>
      <c r="C16447">
        <f>HYPERLINK("C:\Users\franc\OneDrive\Documentos\MALENTIN KARIME\BANCO ESTADO\2012 DEPTO ESCRITURAS fata\Dc Simples\RESPALDO comp notaria 27_12_12\NOTARIA 2012\DECLARACION JURADA\DECLARACION.doc", "Abrir Documento")</f>
        <v>0</v>
      </c>
      <c r="D16447" t="s">
        <v>23500</v>
      </c>
      <c r="E16447" t="s">
        <v>38922</v>
      </c>
    </row>
    <row r="16448" spans="1:5">
      <c r="A16448" t="s">
        <v>6</v>
      </c>
      <c r="B16448" t="s">
        <v>16453</v>
      </c>
      <c r="C16448">
        <f>HYPERLINK("C:\Users\franc\OneDrive\Documentos\MALENTIN KARIME\BANCO ESTADO\2012 DEPTO ESCRITURAS fata\Dc Simples\RESPALDO comp notaria 27_12_12\NOTARIA 2012\DECLARACION JURADA\DECLARACION VOTACION.doc", "Abrir Documento")</f>
        <v>0</v>
      </c>
      <c r="D16448" t="s">
        <v>23500</v>
      </c>
      <c r="E16448" t="s">
        <v>38923</v>
      </c>
    </row>
    <row r="16449" spans="1:5">
      <c r="A16449" t="s">
        <v>6</v>
      </c>
      <c r="B16449" t="s">
        <v>16454</v>
      </c>
      <c r="C16449">
        <f>HYPERLINK("C:\Users\franc\OneDrive\Documentos\MALENTIN KARIME\BANCO ESTADO\2012 DEPTO ESCRITURAS fata\Dc Simples\RESPALDO comp notaria 27_12_12\NOTARIA 2012\DECLARACION JURADA\DECLARACION vehiculo arreglo.doc", "Abrir Documento")</f>
        <v>0</v>
      </c>
      <c r="D16449" t="s">
        <v>23500</v>
      </c>
      <c r="E16449" t="s">
        <v>38924</v>
      </c>
    </row>
    <row r="16450" spans="1:5">
      <c r="A16450" t="s">
        <v>6</v>
      </c>
      <c r="B16450" t="s">
        <v>16455</v>
      </c>
      <c r="C16450">
        <f>HYPERLINK("C:\Users\franc\OneDrive\Documentos\MALENTIN KARIME\BANCO ESTADO\2012 DEPTO ESCRITURAS fata\Dc Simples\RESPALDO comp notaria 27_12_12\NOTARIA 2012\DECLARACION JURADA\DECLARACION Responsable.doc", "Abrir Documento")</f>
        <v>0</v>
      </c>
      <c r="D16450" t="s">
        <v>23500</v>
      </c>
      <c r="E16450" t="s">
        <v>38925</v>
      </c>
    </row>
    <row r="16451" spans="1:5">
      <c r="A16451" t="s">
        <v>6</v>
      </c>
      <c r="B16451" t="s">
        <v>16456</v>
      </c>
      <c r="C16451">
        <f>HYPERLINK("C:\Users\franc\OneDrive\Documentos\MALENTIN KARIME\BANCO ESTADO\2012 DEPTO ESCRITURAS fata\Dc Simples\RESPALDO comp notaria 27_12_12\NOTARIA 2012\DECLARACION JURADA\DECLARACION no psu.doc", "Abrir Documento")</f>
        <v>0</v>
      </c>
      <c r="D16451" t="s">
        <v>23500</v>
      </c>
      <c r="E16451" t="s">
        <v>38926</v>
      </c>
    </row>
    <row r="16452" spans="1:5">
      <c r="A16452" t="s">
        <v>6</v>
      </c>
      <c r="B16452" t="s">
        <v>16457</v>
      </c>
      <c r="C16452">
        <f>HYPERLINK("C:\Users\franc\OneDrive\Documentos\MALENTIN KARIME\BANCO ESTADO\2012 DEPTO ESCRITURAS fata\Dc Simples\RESPALDO comp notaria 27_12_12\NOTARIA 2012\DECLARACION JURADA\DECLARACION NICOLLE.doc", "Abrir Documento")</f>
        <v>0</v>
      </c>
      <c r="D16452" t="s">
        <v>23500</v>
      </c>
      <c r="E16452" t="s">
        <v>38927</v>
      </c>
    </row>
    <row r="16453" spans="1:5">
      <c r="A16453" t="s">
        <v>6</v>
      </c>
      <c r="B16453" t="s">
        <v>16458</v>
      </c>
      <c r="C16453">
        <f>HYPERLINK("C:\Users\franc\OneDrive\Documentos\MALENTIN KARIME\BANCO ESTADO\2012 DEPTO ESCRITURAS fata\Dc Simples\RESPALDO comp notaria 27_12_12\NOTARIA 2012\DECLARACION JURADA\DECLARACION JURADA ADUANA.docx", "Abrir Documento")</f>
        <v>0</v>
      </c>
      <c r="D16453" t="s">
        <v>23501</v>
      </c>
      <c r="E16453" t="s">
        <v>38928</v>
      </c>
    </row>
    <row r="16454" spans="1:5">
      <c r="A16454" t="s">
        <v>6</v>
      </c>
      <c r="B16454" t="s">
        <v>16459</v>
      </c>
      <c r="C16454">
        <f>HYPERLINK("C:\Users\franc\OneDrive\Documentos\MALENTIN KARIME\BANCO ESTADO\2012 DEPTO ESCRITURAS fata\Dc Simples\RESPALDO comp notaria 27_12_12\NOTARIA 2012\DECLARACION JURADA\DECLARACION IDONEIDAD FISICA NEO 53 2006.doc", "Abrir Documento")</f>
        <v>0</v>
      </c>
      <c r="D16454" t="s">
        <v>23500</v>
      </c>
      <c r="E16454" t="s">
        <v>38929</v>
      </c>
    </row>
    <row r="16455" spans="1:5">
      <c r="A16455" t="s">
        <v>6</v>
      </c>
      <c r="B16455" t="s">
        <v>16460</v>
      </c>
      <c r="C16455">
        <f>HYPERLINK("C:\Users\franc\OneDrive\Documentos\MALENTIN KARIME\BANCO ESTADO\2012 DEPTO ESCRITURAS fata\Dc Simples\RESPALDO comp notaria 27_12_12\NOTARIA 2012\DECLARACION JURADA\DECLARACION de goce.doc", "Abrir Documento")</f>
        <v>0</v>
      </c>
      <c r="D16455" t="s">
        <v>23500</v>
      </c>
      <c r="E16455" t="s">
        <v>38930</v>
      </c>
    </row>
    <row r="16456" spans="1:5">
      <c r="A16456" t="s">
        <v>6</v>
      </c>
      <c r="B16456" t="s">
        <v>16461</v>
      </c>
      <c r="C16456">
        <f>HYPERLINK("C:\Users\franc\OneDrive\Documentos\MALENTIN KARIME\BANCO ESTADO\2012 DEPTO ESCRITURAS fata\Dc Simples\RESPALDO comp notaria 27_12_12\NOTARIA 2012\DECLARACION JURADA\DECLARACION DE FINIQUITO ART.doc", "Abrir Documento")</f>
        <v>0</v>
      </c>
      <c r="D16456" t="s">
        <v>23500</v>
      </c>
      <c r="E16456" t="s">
        <v>38931</v>
      </c>
    </row>
    <row r="16457" spans="1:5">
      <c r="A16457" t="s">
        <v>6</v>
      </c>
      <c r="B16457" t="s">
        <v>16462</v>
      </c>
      <c r="C16457">
        <f>HYPERLINK("C:\Users\franc\OneDrive\Documentos\MALENTIN KARIME\BANCO ESTADO\2012 DEPTO ESCRITURAS fata\Dc Simples\RESPALDO comp notaria 27_12_12\NOTARIA 2012\DECLARACION JURADA\DECLARACION armas.doc", "Abrir Documento")</f>
        <v>0</v>
      </c>
      <c r="D16457" t="s">
        <v>23500</v>
      </c>
      <c r="E16457" t="s">
        <v>38932</v>
      </c>
    </row>
    <row r="16458" spans="1:5">
      <c r="A16458" t="s">
        <v>6</v>
      </c>
      <c r="B16458" t="s">
        <v>16463</v>
      </c>
      <c r="C16458">
        <f>HYPERLINK("C:\Users\franc\OneDrive\Documentos\MALENTIN KARIME\BANCO ESTADO\2012 DEPTO ESCRITURAS fata\Dc Simples\RESPALDO comp notaria 27_12_12\NOTARIA 2012\DECLARACION JURADA\DECLARACION AFP.doc", "Abrir Documento")</f>
        <v>0</v>
      </c>
      <c r="D16458" t="s">
        <v>23500</v>
      </c>
      <c r="E16458" t="s">
        <v>38933</v>
      </c>
    </row>
    <row r="16459" spans="1:5">
      <c r="A16459" t="s">
        <v>6</v>
      </c>
      <c r="B16459" t="s">
        <v>16464</v>
      </c>
      <c r="C16459">
        <f>HYPERLINK("C:\Users\franc\OneDrive\Documentos\MALENTIN KARIME\BANCO ESTADO\2012 DEPTO ESCRITURAS fata\Dc Simples\RESPALDO comp notaria 27_12_12\NOTARIA 2012\DECLARACION JURADA\DECLARACION AFP VACIO COTIZACION.docx", "Abrir Documento")</f>
        <v>0</v>
      </c>
      <c r="D16459" t="s">
        <v>23501</v>
      </c>
      <c r="E16459" t="s">
        <v>38934</v>
      </c>
    </row>
    <row r="16460" spans="1:5">
      <c r="A16460" t="s">
        <v>6</v>
      </c>
      <c r="B16460" t="s">
        <v>16465</v>
      </c>
      <c r="C16460">
        <f>HYPERLINK("C:\Users\franc\OneDrive\Documentos\MALENTIN KARIME\BANCO ESTADO\2012 DEPTO ESCRITURAS fata\Dc Simples\RESPALDO comp notaria 27_12_12\NOTARIA 2012\DECLARACION JURADA\DECLARACION AFP VACIO COTIZACION Raquel Oliva.docx", "Abrir Documento")</f>
        <v>0</v>
      </c>
      <c r="D16460" t="s">
        <v>23501</v>
      </c>
      <c r="E16460" t="s">
        <v>38935</v>
      </c>
    </row>
    <row r="16461" spans="1:5">
      <c r="A16461" t="s">
        <v>6</v>
      </c>
      <c r="B16461" t="s">
        <v>16466</v>
      </c>
      <c r="C16461">
        <f>HYPERLINK("C:\Users\franc\OneDrive\Documentos\MALENTIN KARIME\BANCO ESTADO\2012 DEPTO ESCRITURAS fata\Dc Simples\RESPALDO comp notaria 27_12_12\NOTARIA 2012\DECLARACION JURADA\DECLARACION AFP VACIO COTIZACION Para Univer.docx", "Abrir Documento")</f>
        <v>0</v>
      </c>
      <c r="D16461" t="s">
        <v>23501</v>
      </c>
      <c r="E16461" t="s">
        <v>38936</v>
      </c>
    </row>
    <row r="16462" spans="1:5">
      <c r="A16462" t="s">
        <v>6</v>
      </c>
      <c r="B16462" t="s">
        <v>16467</v>
      </c>
      <c r="C16462">
        <f>HYPERLINK("C:\Users\franc\OneDrive\Documentos\MALENTIN KARIME\BANCO ESTADO\2012 DEPTO ESCRITURAS fata\Dc Simples\RESPALDO comp notaria 27_12_12\NOTARIA 2012\DECLARACION JURADA\DECLARACION AFP COTIZACION.docx", "Abrir Documento")</f>
        <v>0</v>
      </c>
      <c r="D16462" t="s">
        <v>23501</v>
      </c>
      <c r="E16462" t="s">
        <v>38937</v>
      </c>
    </row>
    <row r="16463" spans="1:5">
      <c r="A16463" t="s">
        <v>6</v>
      </c>
      <c r="B16463" t="s">
        <v>16468</v>
      </c>
      <c r="C16463">
        <f>HYPERLINK("C:\Users\franc\OneDrive\Documentos\MALENTIN KARIME\BANCO ESTADO\2012 DEPTO ESCRITURAS fata\Dc Simples\RESPALDO comp notaria 27_12_12\NOTARIA 2012\DECLARACION JURADA\DECLARA TERMINO DE GIRO.doc", "Abrir Documento")</f>
        <v>0</v>
      </c>
      <c r="D16463" t="s">
        <v>23500</v>
      </c>
      <c r="E16463" t="s">
        <v>38938</v>
      </c>
    </row>
    <row r="16464" spans="1:5">
      <c r="A16464" t="s">
        <v>6</v>
      </c>
      <c r="B16464" t="s">
        <v>16469</v>
      </c>
      <c r="C16464">
        <f>HYPERLINK("C:\Users\franc\OneDrive\Documentos\MALENTIN KARIME\BANCO ESTADO\2012 DEPTO ESCRITURAS fata\Dc Simples\RESPALDO comp notaria 27_12_12\NOTARIA 2012\DECLARACION JURADA\DAR DE BAJA VEHICULO.doc", "Abrir Documento")</f>
        <v>0</v>
      </c>
      <c r="D16464" t="s">
        <v>23500</v>
      </c>
      <c r="E16464" t="s">
        <v>38939</v>
      </c>
    </row>
    <row r="16465" spans="1:5">
      <c r="A16465" t="s">
        <v>6</v>
      </c>
      <c r="B16465" t="s">
        <v>16470</v>
      </c>
      <c r="C16465">
        <f>HYPERLINK("C:\Users\franc\OneDrive\Documentos\MALENTIN KARIME\BANCO ESTADO\2012 DEPTO ESCRITURAS fata\Dc Simples\RESPALDO comp notaria 27_12_12\NOTARIA 2012\DECLARACION JURADA\D.L 2757 DE 1979.doc", "Abrir Documento")</f>
        <v>0</v>
      </c>
      <c r="D16465" t="s">
        <v>23500</v>
      </c>
      <c r="E16465" t="s">
        <v>38940</v>
      </c>
    </row>
    <row r="16466" spans="1:5">
      <c r="A16466" t="s">
        <v>6</v>
      </c>
      <c r="B16466" t="s">
        <v>16471</v>
      </c>
      <c r="C16466">
        <f>HYPERLINK("C:\Users\franc\OneDrive\Documentos\MALENTIN KARIME\BANCO ESTADO\2012 DEPTO ESCRITURAS fata\Dc Simples\RESPALDO comp notaria 27_12_12\NOTARIA 2012\DECLARACION JURADA\CONVIVENCIA.doc", "Abrir Documento")</f>
        <v>0</v>
      </c>
      <c r="D16466" t="s">
        <v>23500</v>
      </c>
      <c r="E16466" t="s">
        <v>38941</v>
      </c>
    </row>
    <row r="16467" spans="1:5">
      <c r="A16467" t="s">
        <v>6</v>
      </c>
      <c r="B16467" t="s">
        <v>16472</v>
      </c>
      <c r="C16467">
        <f>HYPERLINK("C:\Users\franc\OneDrive\Documentos\MALENTIN KARIME\BANCO ESTADO\2012 DEPTO ESCRITURAS fata\Dc Simples\RESPALDO comp notaria 27_12_12\NOTARIA 2012\DECLARACION JURADA\CONAFE POR PRESTAMO.doc", "Abrir Documento")</f>
        <v>0</v>
      </c>
      <c r="D16467" t="s">
        <v>23500</v>
      </c>
      <c r="E16467" t="s">
        <v>38942</v>
      </c>
    </row>
    <row r="16468" spans="1:5">
      <c r="A16468" t="s">
        <v>6</v>
      </c>
      <c r="B16468" t="s">
        <v>16473</v>
      </c>
      <c r="C16468">
        <f>HYPERLINK("C:\Users\franc\OneDrive\Documentos\MALENTIN KARIME\BANCO ESTADO\2012 DEPTO ESCRITURAS fata\Dc Simples\RESPALDO comp notaria 27_12_12\NOTARIA 2012\DECLARACION JURADA\COMPRA DE MOTO.doc", "Abrir Documento")</f>
        <v>0</v>
      </c>
      <c r="D16468" t="s">
        <v>23500</v>
      </c>
      <c r="E16468" t="s">
        <v>38943</v>
      </c>
    </row>
    <row r="16469" spans="1:5">
      <c r="A16469" t="s">
        <v>6</v>
      </c>
      <c r="B16469" t="s">
        <v>16474</v>
      </c>
      <c r="C16469">
        <f>HYPERLINK("C:\Users\franc\OneDrive\Documentos\MALENTIN KARIME\BANCO ESTADO\2012 DEPTO ESCRITURAS fata\Dc Simples\RESPALDO comp notaria 27_12_12\NOTARIA 2012\DECLARACION JURADA\COMPARTEN GASTOS.doc", "Abrir Documento")</f>
        <v>0</v>
      </c>
      <c r="D16469" t="s">
        <v>23500</v>
      </c>
      <c r="E16469" t="s">
        <v>38944</v>
      </c>
    </row>
    <row r="16470" spans="1:5">
      <c r="A16470" t="s">
        <v>6</v>
      </c>
      <c r="B16470" t="s">
        <v>16475</v>
      </c>
      <c r="C16470">
        <f>HYPERLINK("C:\Users\franc\OneDrive\Documentos\MALENTIN KARIME\BANCO ESTADO\2012 DEPTO ESCRITURAS fata\Dc Simples\RESPALDO comp notaria 27_12_12\NOTARIA 2012\DECLARACION JURADA\CESION ELECOP.doc", "Abrir Documento")</f>
        <v>0</v>
      </c>
      <c r="D16470" t="s">
        <v>23500</v>
      </c>
      <c r="E16470" t="s">
        <v>38945</v>
      </c>
    </row>
    <row r="16471" spans="1:5">
      <c r="A16471" t="s">
        <v>6</v>
      </c>
      <c r="B16471" t="s">
        <v>16476</v>
      </c>
      <c r="C16471">
        <f>HYPERLINK("C:\Users\franc\OneDrive\Documentos\MALENTIN KARIME\BANCO ESTADO\2012 DEPTO ESCRITURAS fata\Dc Simples\RESPALDO comp notaria 27_12_12\NOTARIA 2012\DECLARACION JURADA\CESION CEMENTERIO.doc", "Abrir Documento")</f>
        <v>0</v>
      </c>
      <c r="D16471" t="s">
        <v>23500</v>
      </c>
      <c r="E16471" t="s">
        <v>38946</v>
      </c>
    </row>
    <row r="16472" spans="1:5">
      <c r="A16472" t="s">
        <v>6</v>
      </c>
      <c r="B16472" t="s">
        <v>16477</v>
      </c>
      <c r="C16472">
        <f>HYPERLINK("C:\Users\franc\OneDrive\Documentos\MALENTIN KARIME\BANCO ESTADO\2012 DEPTO ESCRITURAS fata\Dc Simples\RESPALDO comp notaria 27_12_12\NOTARIA 2012\DECLARACION JURADA\CESAR CARGO PUBLICO.doc", "Abrir Documento")</f>
        <v>0</v>
      </c>
      <c r="D16472" t="s">
        <v>23500</v>
      </c>
      <c r="E16472" t="s">
        <v>38947</v>
      </c>
    </row>
    <row r="16473" spans="1:5">
      <c r="A16473" t="s">
        <v>6</v>
      </c>
      <c r="B16473" t="s">
        <v>16478</v>
      </c>
      <c r="C16473">
        <f>HYPERLINK("C:\Users\franc\OneDrive\Documentos\MALENTIN KARIME\BANCO ESTADO\2012 DEPTO ESCRITURAS fata\Dc Simples\RESPALDO comp notaria 27_12_12\NOTARIA 2012\DECLARACION JURADA\cesantia.doc", "Abrir Documento")</f>
        <v>0</v>
      </c>
      <c r="D16473" t="s">
        <v>23500</v>
      </c>
      <c r="E16473" t="s">
        <v>38948</v>
      </c>
    </row>
    <row r="16474" spans="1:5">
      <c r="A16474" t="s">
        <v>6</v>
      </c>
      <c r="B16474" t="s">
        <v>16479</v>
      </c>
      <c r="C16474">
        <f>HYPERLINK("C:\Users\franc\OneDrive\Documentos\MALENTIN KARIME\BANCO ESTADO\2012 DEPTO ESCRITURAS fata\Dc Simples\RESPALDO comp notaria 27_12_12\NOTARIA 2012\DECLARACION JURADA\CEDER CAMION.doc", "Abrir Documento")</f>
        <v>0</v>
      </c>
      <c r="D16474" t="s">
        <v>23500</v>
      </c>
      <c r="E16474" t="s">
        <v>38949</v>
      </c>
    </row>
    <row r="16475" spans="1:5">
      <c r="A16475" t="s">
        <v>6</v>
      </c>
      <c r="B16475" t="s">
        <v>16480</v>
      </c>
      <c r="C16475">
        <f>HYPERLINK("C:\Users\franc\OneDrive\Documentos\MALENTIN KARIME\BANCO ESTADO\2012 DEPTO ESCRITURAS fata\Dc Simples\RESPALDO comp notaria 27_12_12\NOTARIA 2012\DECLARACION JURADA\CARTA INVITACION NOTARIAL.doc", "Abrir Documento")</f>
        <v>0</v>
      </c>
      <c r="D16475" t="s">
        <v>23500</v>
      </c>
      <c r="E16475" t="s">
        <v>38950</v>
      </c>
    </row>
    <row r="16476" spans="1:5">
      <c r="A16476" t="s">
        <v>6</v>
      </c>
      <c r="B16476" t="s">
        <v>16481</v>
      </c>
      <c r="C16476">
        <f>HYPERLINK("C:\Users\franc\OneDrive\Documentos\MALENTIN KARIME\BANCO ESTADO\2012 DEPTO ESCRITURAS fata\Dc Simples\RESPALDO comp notaria 27_12_12\NOTARIA 2012\DECLARACION JURADA\CARRO HECHIZO.doc", "Abrir Documento")</f>
        <v>0</v>
      </c>
      <c r="D16476" t="s">
        <v>23500</v>
      </c>
      <c r="E16476" t="s">
        <v>38951</v>
      </c>
    </row>
    <row r="16477" spans="1:5">
      <c r="A16477" t="s">
        <v>6</v>
      </c>
      <c r="B16477" t="s">
        <v>16482</v>
      </c>
      <c r="C16477">
        <f>HYPERLINK("C:\Users\franc\OneDrive\Documentos\MALENTIN KARIME\BANCO ESTADO\2012 DEPTO ESCRITURAS fata\Dc Simples\RESPALDO comp notaria 27_12_12\NOTARIA 2012\DECLARACION JURADA\CARRO COMIDA RAPIDO.doc", "Abrir Documento")</f>
        <v>0</v>
      </c>
      <c r="D16477" t="s">
        <v>23500</v>
      </c>
      <c r="E16477" t="s">
        <v>38952</v>
      </c>
    </row>
    <row r="16478" spans="1:5">
      <c r="A16478" t="s">
        <v>6</v>
      </c>
      <c r="B16478" t="s">
        <v>16483</v>
      </c>
      <c r="C16478">
        <f>HYPERLINK("C:\Users\franc\OneDrive\Documentos\MALENTIN KARIME\BANCO ESTADO\2012 DEPTO ESCRITURAS fata\Dc Simples\RESPALDO comp notaria 27_12_12\NOTARIA 2012\DECLARACION JURADA\CARGAS FAMILIARES.doc", "Abrir Documento")</f>
        <v>0</v>
      </c>
      <c r="D16478" t="s">
        <v>23500</v>
      </c>
      <c r="E16478" t="s">
        <v>38953</v>
      </c>
    </row>
    <row r="16479" spans="1:5">
      <c r="A16479" t="s">
        <v>6</v>
      </c>
      <c r="B16479" t="s">
        <v>16484</v>
      </c>
      <c r="C16479">
        <f>HYPERLINK("C:\Users\franc\OneDrive\Documentos\MALENTIN KARIME\BANCO ESTADO\2012 DEPTO ESCRITURAS fata\Dc Simples\RESPALDO comp notaria 27_12_12\NOTARIA 2012\DECLARACION JURADA\cancelacion cta..doc", "Abrir Documento")</f>
        <v>0</v>
      </c>
      <c r="D16479" t="s">
        <v>23500</v>
      </c>
      <c r="E16479" t="s">
        <v>38954</v>
      </c>
    </row>
    <row r="16480" spans="1:5">
      <c r="A16480" t="s">
        <v>6</v>
      </c>
      <c r="B16480" t="s">
        <v>16485</v>
      </c>
      <c r="C16480">
        <f>HYPERLINK("C:\Users\franc\OneDrive\Documentos\MALENTIN KARIME\BANCO ESTADO\2012 DEPTO ESCRITURAS fata\Dc Simples\RESPALDO comp notaria 27_12_12\NOTARIA 2012\DECLARACION JURADA\C.R.S Y TRABAJA.doc", "Abrir Documento")</f>
        <v>0</v>
      </c>
      <c r="D16480" t="s">
        <v>23500</v>
      </c>
      <c r="E16480" t="s">
        <v>38955</v>
      </c>
    </row>
    <row r="16481" spans="1:5">
      <c r="A16481" t="s">
        <v>6</v>
      </c>
      <c r="B16481" t="s">
        <v>16486</v>
      </c>
      <c r="C16481">
        <f>HYPERLINK("C:\Users\franc\OneDrive\Documentos\MALENTIN KARIME\BANCO ESTADO\2012 DEPTO ESCRITURAS fata\Dc Simples\RESPALDO comp notaria 27_12_12\NOTARIA 2012\DECLARACION JURADA\C.O.T. ART.295.doc", "Abrir Documento")</f>
        <v>0</v>
      </c>
      <c r="D16481" t="s">
        <v>23500</v>
      </c>
      <c r="E16481" t="s">
        <v>38956</v>
      </c>
    </row>
    <row r="16482" spans="1:5">
      <c r="A16482" t="s">
        <v>6</v>
      </c>
      <c r="B16482" t="s">
        <v>16487</v>
      </c>
      <c r="C16482">
        <f>HYPERLINK("C:\Users\franc\OneDrive\Documentos\MALENTIN KARIME\BANCO ESTADO\2012 DEPTO ESCRITURAS fata\Dc Simples\RESPALDO comp notaria 27_12_12\NOTARIA 2012\DECLARACION JURADA\BIENES NACIONALES.doc", "Abrir Documento")</f>
        <v>0</v>
      </c>
      <c r="D16482" t="s">
        <v>23500</v>
      </c>
      <c r="E16482" t="s">
        <v>38957</v>
      </c>
    </row>
    <row r="16483" spans="1:5">
      <c r="A16483" t="s">
        <v>6</v>
      </c>
      <c r="B16483" t="s">
        <v>16488</v>
      </c>
      <c r="C16483">
        <f>HYPERLINK("C:\Users\franc\OneDrive\Documentos\MALENTIN KARIME\BANCO ESTADO\2012 DEPTO ESCRITURAS fata\Dc Simples\RESPALDO comp notaria 27_12_12\NOTARIA 2012\DECLARACION JURADA\BIENES NACIONALES II .doc", "Abrir Documento")</f>
        <v>0</v>
      </c>
      <c r="D16483" t="s">
        <v>23500</v>
      </c>
      <c r="E16483" t="s">
        <v>38958</v>
      </c>
    </row>
    <row r="16484" spans="1:5">
      <c r="A16484" t="s">
        <v>6</v>
      </c>
      <c r="B16484" t="s">
        <v>16489</v>
      </c>
      <c r="C16484">
        <f>HYPERLINK("C:\Users\franc\OneDrive\Documentos\MALENTIN KARIME\BANCO ESTADO\2012 DEPTO ESCRITURAS fata\Dc Simples\RESPALDO comp notaria 27_12_12\NOTARIA 2012\DECLARACION JURADA\BIEN FAMILIAR.doc", "Abrir Documento")</f>
        <v>0</v>
      </c>
      <c r="D16484" t="s">
        <v>23500</v>
      </c>
      <c r="E16484" t="s">
        <v>38959</v>
      </c>
    </row>
    <row r="16485" spans="1:5">
      <c r="A16485" t="s">
        <v>6</v>
      </c>
      <c r="B16485" t="s">
        <v>16490</v>
      </c>
      <c r="C16485">
        <f>HYPERLINK("C:\Users\franc\OneDrive\Documentos\MALENTIN KARIME\BANCO ESTADO\2012 DEPTO ESCRITURAS fata\Dc Simples\RESPALDO comp notaria 27_12_12\NOTARIA 2012\DECLARACION JURADA\BENEFICIOS DE SERV. MILITAR.doc", "Abrir Documento")</f>
        <v>0</v>
      </c>
      <c r="D16485" t="s">
        <v>23500</v>
      </c>
      <c r="E16485" t="s">
        <v>38960</v>
      </c>
    </row>
    <row r="16486" spans="1:5">
      <c r="A16486" t="s">
        <v>6</v>
      </c>
      <c r="B16486" t="s">
        <v>16491</v>
      </c>
      <c r="C16486">
        <f>HYPERLINK("C:\Users\franc\OneDrive\Documentos\MALENTIN KARIME\BANCO ESTADO\2012 DEPTO ESCRITURAS fata\Dc Simples\RESPALDO comp notaria 27_12_12\NOTARIA 2012\DECLARACION JURADA\BENEFICIARIA.doc", "Abrir Documento")</f>
        <v>0</v>
      </c>
      <c r="D16486" t="s">
        <v>23500</v>
      </c>
      <c r="E16486" t="s">
        <v>38961</v>
      </c>
    </row>
    <row r="16487" spans="1:5">
      <c r="A16487" t="s">
        <v>6</v>
      </c>
      <c r="B16487" t="s">
        <v>16492</v>
      </c>
      <c r="C16487">
        <f>HYPERLINK("C:\Users\franc\OneDrive\Documentos\MALENTIN KARIME\BANCO ESTADO\2012 DEPTO ESCRITURAS fata\Dc Simples\RESPALDO comp notaria 27_12_12\NOTARIA 2012\DECLARACION JURADA\AUSENT. TRABAJO.doc", "Abrir Documento")</f>
        <v>0</v>
      </c>
      <c r="D16487" t="s">
        <v>23500</v>
      </c>
      <c r="E16487" t="s">
        <v>38962</v>
      </c>
    </row>
    <row r="16488" spans="1:5">
      <c r="A16488" t="s">
        <v>6</v>
      </c>
      <c r="B16488" t="s">
        <v>16493</v>
      </c>
      <c r="C16488">
        <f>HYPERLINK("C:\Users\franc\OneDrive\Documentos\MALENTIN KARIME\BANCO ESTADO\2012 DEPTO ESCRITURAS fata\Dc Simples\RESPALDO comp notaria 27_12_12\NOTARIA 2012\DECLARACION JURADA\ART. 50.doc", "Abrir Documento")</f>
        <v>0</v>
      </c>
      <c r="D16488" t="s">
        <v>23500</v>
      </c>
      <c r="E16488" t="s">
        <v>38963</v>
      </c>
    </row>
    <row r="16489" spans="1:5">
      <c r="A16489" t="s">
        <v>6</v>
      </c>
      <c r="B16489" t="s">
        <v>16494</v>
      </c>
      <c r="C16489">
        <f>HYPERLINK("C:\Users\franc\OneDrive\Documentos\MALENTIN KARIME\BANCO ESTADO\2012 DEPTO ESCRITURAS fata\Dc Simples\RESPALDO comp notaria 27_12_12\NOTARIA 2012\DECLARACION JURADA\ARMA.doc", "Abrir Documento")</f>
        <v>0</v>
      </c>
      <c r="D16489" t="s">
        <v>23500</v>
      </c>
      <c r="E16489" t="s">
        <v>38964</v>
      </c>
    </row>
    <row r="16490" spans="1:5">
      <c r="A16490" t="s">
        <v>6</v>
      </c>
      <c r="B16490" t="s">
        <v>16495</v>
      </c>
      <c r="C16490">
        <f>HYPERLINK("C:\Users\franc\OneDrive\Documentos\MALENTIN KARIME\BANCO ESTADO\2012 DEPTO ESCRITURAS fata\Dc Simples\RESPALDO comp notaria 27_12_12\NOTARIA 2012\DECLARACION JURADA\APORTE PROYECTO JTA VCNS.doc", "Abrir Documento")</f>
        <v>0</v>
      </c>
      <c r="D16490" t="s">
        <v>23500</v>
      </c>
      <c r="E16490" t="s">
        <v>38965</v>
      </c>
    </row>
    <row r="16491" spans="1:5">
      <c r="A16491" t="s">
        <v>6</v>
      </c>
      <c r="B16491" t="s">
        <v>16496</v>
      </c>
      <c r="C16491">
        <f>HYPERLINK("C:\Users\franc\OneDrive\Documentos\MALENTIN KARIME\BANCO ESTADO\2012 DEPTO ESCRITURAS fata\Dc Simples\RESPALDO comp notaria 27_12_12\NOTARIA 2012\DECLARACION JURADA\APORTE MENSUAL.doc", "Abrir Documento")</f>
        <v>0</v>
      </c>
      <c r="D16491" t="s">
        <v>23500</v>
      </c>
      <c r="E16491" t="s">
        <v>38966</v>
      </c>
    </row>
    <row r="16492" spans="1:5">
      <c r="A16492" t="s">
        <v>6</v>
      </c>
      <c r="B16492" t="s">
        <v>16497</v>
      </c>
      <c r="C16492">
        <f>HYPERLINK("C:\Users\franc\OneDrive\Documentos\MALENTIN KARIME\BANCO ESTADO\2012 DEPTO ESCRITURAS fata\Dc Simples\RESPALDO comp notaria 27_12_12\NOTARIA 2012\DECLARACION JURADA\APORTE A HIJA.doc", "Abrir Documento")</f>
        <v>0</v>
      </c>
      <c r="D16492" t="s">
        <v>23500</v>
      </c>
      <c r="E16492" t="s">
        <v>38967</v>
      </c>
    </row>
    <row r="16493" spans="1:5">
      <c r="A16493" t="s">
        <v>6</v>
      </c>
      <c r="B16493" t="s">
        <v>16498</v>
      </c>
      <c r="C16493">
        <f>HYPERLINK("C:\Users\franc\OneDrive\Documentos\MALENTIN KARIME\BANCO ESTADO\2012 DEPTO ESCRITURAS fata\Dc Simples\RESPALDO comp notaria 27_12_12\NOTARIA 2012\DECLARACION JURADA\ALTERA CARACTERISTICAS.doc", "Abrir Documento")</f>
        <v>0</v>
      </c>
      <c r="D16493" t="s">
        <v>23500</v>
      </c>
      <c r="E16493" t="s">
        <v>38968</v>
      </c>
    </row>
    <row r="16494" spans="1:5">
      <c r="A16494" t="s">
        <v>6</v>
      </c>
      <c r="B16494" t="s">
        <v>16499</v>
      </c>
      <c r="C16494">
        <f>HYPERLINK("C:\Users\franc\OneDrive\Documentos\MALENTIN KARIME\BANCO ESTADO\2012 DEPTO ESCRITURAS fata\Dc Simples\RESPALDO comp notaria 27_12_12\NOTARIA 2012\DECLARACION JURADA\ALTERA CARACTERISTICAS VEHICULO.doc", "Abrir Documento")</f>
        <v>0</v>
      </c>
      <c r="D16494" t="s">
        <v>23500</v>
      </c>
      <c r="E16494" t="s">
        <v>38969</v>
      </c>
    </row>
    <row r="16495" spans="1:5">
      <c r="A16495" t="s">
        <v>6</v>
      </c>
      <c r="B16495" t="s">
        <v>16500</v>
      </c>
      <c r="C16495">
        <f>HYPERLINK("C:\Users\franc\OneDrive\Documentos\MALENTIN KARIME\BANCO ESTADO\2012 DEPTO ESCRITURAS fata\Dc Simples\RESPALDO comp notaria 27_12_12\NOTARIA 2012\DECLARACION JURADA\ALTERA CARACTERISTICAS QUIROZ.doc", "Abrir Documento")</f>
        <v>0</v>
      </c>
      <c r="D16495" t="s">
        <v>23500</v>
      </c>
      <c r="E16495" t="s">
        <v>38970</v>
      </c>
    </row>
    <row r="16496" spans="1:5">
      <c r="A16496" t="s">
        <v>6</v>
      </c>
      <c r="B16496" t="s">
        <v>16501</v>
      </c>
      <c r="C16496">
        <f>HYPERLINK("C:\Users\franc\OneDrive\Documentos\MALENTIN KARIME\BANCO ESTADO\2012 DEPTO ESCRITURAS fata\Dc Simples\RESPALDO comp notaria 27_12_12\NOTARIA 2012\DECLARACION JURADA\ALTERA CARACTERISTICAS MOTO.doc", "Abrir Documento")</f>
        <v>0</v>
      </c>
      <c r="D16496" t="s">
        <v>23500</v>
      </c>
      <c r="E16496" t="s">
        <v>38971</v>
      </c>
    </row>
    <row r="16497" spans="1:5">
      <c r="A16497" t="s">
        <v>6</v>
      </c>
      <c r="B16497" t="s">
        <v>16502</v>
      </c>
      <c r="C16497">
        <f>HYPERLINK("C:\Users\franc\OneDrive\Documentos\MALENTIN KARIME\BANCO ESTADO\2012 DEPTO ESCRITURAS fata\Dc Simples\RESPALDO comp notaria 27_12_12\NOTARIA 2012\DECLARACION JURADA\ALTERA CARACTERISTICAS CAMION.doc", "Abrir Documento")</f>
        <v>0</v>
      </c>
      <c r="D16497" t="s">
        <v>23500</v>
      </c>
      <c r="E16497" t="s">
        <v>38972</v>
      </c>
    </row>
    <row r="16498" spans="1:5">
      <c r="A16498" t="s">
        <v>6</v>
      </c>
      <c r="B16498" t="s">
        <v>16503</v>
      </c>
      <c r="C16498">
        <f>HYPERLINK("C:\Users\franc\OneDrive\Documentos\MALENTIN KARIME\BANCO ESTADO\2012 DEPTO ESCRITURAS fata\Dc Simples\RESPALDO comp notaria 27_12_12\NOTARIA 2012\DECLARACION JURADA\ALT. CARACT. leasing.doc", "Abrir Documento")</f>
        <v>0</v>
      </c>
      <c r="D16498" t="s">
        <v>23500</v>
      </c>
      <c r="E16498" t="s">
        <v>38973</v>
      </c>
    </row>
    <row r="16499" spans="1:5">
      <c r="A16499" t="s">
        <v>6</v>
      </c>
      <c r="B16499" t="s">
        <v>16504</v>
      </c>
      <c r="C16499">
        <f>HYPERLINK("C:\Users\franc\OneDrive\Documentos\MALENTIN KARIME\BANCO ESTADO\2012 DEPTO ESCRITURAS fata\Dc Simples\RESPALDO comp notaria 27_12_12\NOTARIA 2012\DECLARACION JURADA\ALT. CARACT. CON PODER.doc", "Abrir Documento")</f>
        <v>0</v>
      </c>
      <c r="D16499" t="s">
        <v>23500</v>
      </c>
      <c r="E16499" t="s">
        <v>38974</v>
      </c>
    </row>
    <row r="16500" spans="1:5">
      <c r="A16500" t="s">
        <v>6</v>
      </c>
      <c r="B16500" t="s">
        <v>16505</v>
      </c>
      <c r="C16500">
        <f>HYPERLINK("C:\Users\franc\OneDrive\Documentos\MALENTIN KARIME\BANCO ESTADO\2012 DEPTO ESCRITURAS fata\Dc Simples\RESPALDO comp notaria 27_12_12\NOTARIA 2012\DECLARACION JURADA\ALLEGADA.doc", "Abrir Documento")</f>
        <v>0</v>
      </c>
      <c r="D16500" t="s">
        <v>23500</v>
      </c>
      <c r="E16500" t="s">
        <v>38975</v>
      </c>
    </row>
    <row r="16501" spans="1:5">
      <c r="A16501" t="s">
        <v>6</v>
      </c>
      <c r="B16501" t="s">
        <v>16506</v>
      </c>
      <c r="C16501">
        <f>HYPERLINK("C:\Users\franc\OneDrive\Documentos\MALENTIN KARIME\BANCO ESTADO\2012 DEPTO ESCRITURAS fata\Dc Simples\RESPALDO comp notaria 27_12_12\NOTARIA 2012\DECLARACION JURADA\AGUA POTABLE TABALI.doc", "Abrir Documento")</f>
        <v>0</v>
      </c>
      <c r="D16501" t="s">
        <v>23500</v>
      </c>
      <c r="E16501" t="s">
        <v>38976</v>
      </c>
    </row>
    <row r="16502" spans="1:5">
      <c r="A16502" t="s">
        <v>6</v>
      </c>
      <c r="B16502" t="s">
        <v>16507</v>
      </c>
      <c r="C16502">
        <f>HYPERLINK("C:\Users\franc\OneDrive\Documentos\MALENTIN KARIME\BANCO ESTADO\2012 DEPTO ESCRITURAS fata\Dc Simples\RESPALDO comp notaria 27_12_12\NOTARIA 2012\DECLARACION JURADA\AGREGAR CARGA FAMILIAR.doc", "Abrir Documento")</f>
        <v>0</v>
      </c>
      <c r="D16502" t="s">
        <v>23500</v>
      </c>
      <c r="E16502" t="s">
        <v>38977</v>
      </c>
    </row>
    <row r="16503" spans="1:5">
      <c r="A16503" t="s">
        <v>6</v>
      </c>
      <c r="B16503" t="s">
        <v>16508</v>
      </c>
      <c r="C16503">
        <f>HYPERLINK("C:\Users\franc\OneDrive\Documentos\MALENTIN KARIME\BANCO ESTADO\2012 DEPTO ESCRITURAS fata\Dc Simples\RESPALDO comp notaria 27_12_12\NOTARIA 2012\DECLARACION JURADA\ADJUDICACION TERRENO DERECHOS.doc", "Abrir Documento")</f>
        <v>0</v>
      </c>
      <c r="D16503" t="s">
        <v>23500</v>
      </c>
      <c r="E16503" t="s">
        <v>38978</v>
      </c>
    </row>
    <row r="16504" spans="1:5">
      <c r="A16504" t="s">
        <v>6</v>
      </c>
      <c r="B16504" t="s">
        <v>16509</v>
      </c>
      <c r="C16504">
        <f>HYPERLINK("C:\Users\franc\OneDrive\Documentos\MALENTIN KARIME\BANCO ESTADO\2012 DEPTO ESCRITURAS fata\Dc Simples\RESPALDO comp notaria 27_12_12\NOTARIA 2012\DECLARACION JURADA\ADJUDICACION COMUNEROS.doc", "Abrir Documento")</f>
        <v>0</v>
      </c>
      <c r="D16504" t="s">
        <v>23500</v>
      </c>
      <c r="E16504" t="s">
        <v>38979</v>
      </c>
    </row>
    <row r="16505" spans="1:5">
      <c r="A16505" t="s">
        <v>6</v>
      </c>
      <c r="B16505" t="s">
        <v>16510</v>
      </c>
      <c r="C16505">
        <f>HYPERLINK("C:\Users\franc\OneDrive\Documentos\MALENTIN KARIME\BANCO ESTADO\2012 DEPTO ESCRITURAS fata\Dc Simples\RESPALDO comp notaria 27_12_12\NOTARIA 2012\DECLARACION JURADA\ACUERDO LABORAL.doc", "Abrir Documento")</f>
        <v>0</v>
      </c>
      <c r="D16505" t="s">
        <v>23500</v>
      </c>
      <c r="E16505" t="s">
        <v>38980</v>
      </c>
    </row>
    <row r="16506" spans="1:5">
      <c r="A16506" t="s">
        <v>6</v>
      </c>
      <c r="B16506" t="s">
        <v>16511</v>
      </c>
      <c r="C16506">
        <f>HYPERLINK("C:\Users\franc\OneDrive\Documentos\MALENTIN KARIME\BANCO ESTADO\2012 DEPTO ESCRITURAS fata\Dc Simples\RESPALDO comp notaria 27_12_12\NOTARIA 2012\DECLARACION JURADA\ACLARACION CHEQUE.doc", "Abrir Documento")</f>
        <v>0</v>
      </c>
      <c r="D16506" t="s">
        <v>23500</v>
      </c>
      <c r="E16506" t="s">
        <v>38981</v>
      </c>
    </row>
    <row r="16507" spans="1:5">
      <c r="A16507" t="s">
        <v>6</v>
      </c>
      <c r="B16507" t="s">
        <v>16512</v>
      </c>
      <c r="C16507">
        <f>HYPERLINK("C:\Users\franc\OneDrive\Documentos\MALENTIN KARIME\BANCO ESTADO\2012 DEPTO ESCRITURAS fata\Dc Simples\RESPALDO comp notaria 27_12_12\NOTARIA 2012\DECLARACION JURADA\ACLARACION CHEQUE BCOS..doc", "Abrir Documento")</f>
        <v>0</v>
      </c>
      <c r="D16507" t="s">
        <v>23500</v>
      </c>
      <c r="E16507" t="s">
        <v>38982</v>
      </c>
    </row>
    <row r="16508" spans="1:5">
      <c r="A16508" t="s">
        <v>6</v>
      </c>
      <c r="B16508" t="s">
        <v>16513</v>
      </c>
      <c r="C16508">
        <f>HYPERLINK("C:\Users\franc\OneDrive\Documentos\MALENTIN KARIME\BANCO ESTADO\2012 DEPTO ESCRITURAS fata\Dc Simples\RESPALDO comp notaria 27_12_12\NOTARIA 2012\DECLARACION JURADA\ACEPTA CHEQUES.doc", "Abrir Documento")</f>
        <v>0</v>
      </c>
      <c r="D16508" t="s">
        <v>23500</v>
      </c>
      <c r="E16508" t="s">
        <v>38983</v>
      </c>
    </row>
    <row r="16509" spans="1:5">
      <c r="A16509" t="s">
        <v>6</v>
      </c>
      <c r="B16509" t="s">
        <v>16514</v>
      </c>
      <c r="C16509">
        <f>HYPERLINK("C:\Users\franc\OneDrive\Documentos\MALENTIN KARIME\BANCO ESTADO\2012 DEPTO ESCRITURAS fata\Dc Simples\RESPALDO comp notaria 27_12_12\NOTARIA 2012\DECLARACION JURADA\A CARGO DE HIJO FUERA DEL PAIS.doc", "Abrir Documento")</f>
        <v>0</v>
      </c>
      <c r="D16509" t="s">
        <v>23500</v>
      </c>
      <c r="E16509" t="s">
        <v>38984</v>
      </c>
    </row>
    <row r="16510" spans="1:5">
      <c r="A16510" t="s">
        <v>6</v>
      </c>
      <c r="B16510" t="s">
        <v>16515</v>
      </c>
      <c r="C16510">
        <f>HYPERLINK("C:\Users\franc\OneDrive\Documentos\MALENTIN KARIME\BANCO ESTADO\2012 DEPTO ESCRITURAS fata\Dc Simples\RESPALDO comp notaria 27_12_12\NOTARIA 2012\DECLARACION JURADA\700 UF.doc", "Abrir Documento")</f>
        <v>0</v>
      </c>
      <c r="D16510" t="s">
        <v>23500</v>
      </c>
      <c r="E16510" t="s">
        <v>38985</v>
      </c>
    </row>
    <row r="16511" spans="1:5">
      <c r="A16511" t="s">
        <v>6</v>
      </c>
      <c r="B16511" t="s">
        <v>16516</v>
      </c>
      <c r="C16511">
        <f>HYPERLINK("C:\Users\franc\OneDrive\Documentos\MALENTIN KARIME\BANCO ESTADO\2012 DEPTO ESCRITURAS fata\Dc Simples\RESPALDO comp notaria 27_12_12\NOTARIA 2012\DECLARACION JURADA\2.doc", "Abrir Documento")</f>
        <v>0</v>
      </c>
      <c r="D16511" t="s">
        <v>23500</v>
      </c>
      <c r="E16511" t="s">
        <v>38986</v>
      </c>
    </row>
    <row r="16512" spans="1:5">
      <c r="A16512" t="s">
        <v>6</v>
      </c>
      <c r="B16512" t="s">
        <v>16517</v>
      </c>
      <c r="C16512">
        <f>HYPERLINK("C:\Users\franc\OneDrive\Documentos\MALENTIN KARIME\BANCO ESTADO\2012 DEPTO ESCRITURAS fata\Dc Simples\RESPALDO comp notaria 27_12_12\NOTARIA 2012\COVALSA Y OTROS\ZEPEDA.doc", "Abrir Documento")</f>
        <v>0</v>
      </c>
      <c r="D16512" t="s">
        <v>23500</v>
      </c>
      <c r="E16512" t="s">
        <v>38987</v>
      </c>
    </row>
    <row r="16513" spans="1:5">
      <c r="A16513" t="s">
        <v>6</v>
      </c>
      <c r="B16513" t="s">
        <v>16518</v>
      </c>
      <c r="C16513">
        <f>HYPERLINK("C:\Users\franc\OneDrive\Documentos\MALENTIN KARIME\BANCO ESTADO\2012 DEPTO ESCRITURAS fata\Dc Simples\RESPALDO comp notaria 27_12_12\NOTARIA 2012\COVALSA Y OTROS\Vehículo simple.doc", "Abrir Documento")</f>
        <v>0</v>
      </c>
      <c r="D16513" t="s">
        <v>23500</v>
      </c>
      <c r="E16513" t="s">
        <v>38988</v>
      </c>
    </row>
    <row r="16514" spans="1:5">
      <c r="A16514" t="s">
        <v>6</v>
      </c>
      <c r="B16514" t="s">
        <v>16519</v>
      </c>
      <c r="C16514">
        <f>HYPERLINK("C:\Users\franc\OneDrive\Documentos\MALENTIN KARIME\BANCO ESTADO\2012 DEPTO ESCRITURAS fata\Dc Simples\RESPALDO comp notaria 27_12_12\NOTARIA 2012\COVALSA Y OTROS\VARIOS.doc", "Abrir Documento")</f>
        <v>0</v>
      </c>
      <c r="D16514" t="s">
        <v>23500</v>
      </c>
      <c r="E16514" t="s">
        <v>38989</v>
      </c>
    </row>
    <row r="16515" spans="1:5">
      <c r="A16515" t="s">
        <v>6</v>
      </c>
      <c r="B16515" t="s">
        <v>16520</v>
      </c>
      <c r="C16515">
        <f>HYPERLINK("C:\Users\franc\OneDrive\Documentos\MALENTIN KARIME\BANCO ESTADO\2012 DEPTO ESCRITURAS fata\Dc Simples\RESPALDO comp notaria 27_12_12\NOTARIA 2012\COVALSA Y OTROS\Soc de Inv. Artigues Pablo Concha.doc", "Abrir Documento")</f>
        <v>0</v>
      </c>
      <c r="D16515" t="s">
        <v>23500</v>
      </c>
      <c r="E16515" t="s">
        <v>38990</v>
      </c>
    </row>
    <row r="16516" spans="1:5">
      <c r="A16516" t="s">
        <v>6</v>
      </c>
      <c r="B16516" t="s">
        <v>16521</v>
      </c>
      <c r="C16516">
        <f>HYPERLINK("C:\Users\franc\OneDrive\Documentos\MALENTIN KARIME\BANCO ESTADO\2012 DEPTO ESCRITURAS fata\Dc Simples\RESPALDO comp notaria 27_12_12\NOTARIA 2012\COVALSA Y OTROS\Serprocar S.A. Pablo Concha.doc", "Abrir Documento")</f>
        <v>0</v>
      </c>
      <c r="D16516" t="s">
        <v>23500</v>
      </c>
      <c r="E16516" t="s">
        <v>38991</v>
      </c>
    </row>
    <row r="16517" spans="1:5">
      <c r="A16517" t="s">
        <v>6</v>
      </c>
      <c r="B16517" t="s">
        <v>16522</v>
      </c>
      <c r="C16517">
        <f>HYPERLINK("C:\Users\franc\OneDrive\Documentos\MALENTIN KARIME\BANCO ESTADO\2012 DEPTO ESCRITURAS fata\Dc Simples\RESPALDO comp notaria 27_12_12\NOTARIA 2012\COVALSA Y OTROS\Musalen vende contado.doc", "Abrir Documento")</f>
        <v>0</v>
      </c>
      <c r="D16517" t="s">
        <v>23500</v>
      </c>
      <c r="E16517" t="s">
        <v>38992</v>
      </c>
    </row>
    <row r="16518" spans="1:5">
      <c r="A16518" t="s">
        <v>6</v>
      </c>
      <c r="B16518" t="s">
        <v>16523</v>
      </c>
      <c r="C16518">
        <f>HYPERLINK("C:\Users\franc\OneDrive\Documentos\MALENTIN KARIME\BANCO ESTADO\2012 DEPTO ESCRITURAS fata\Dc Simples\RESPALDO comp notaria 27_12_12\NOTARIA 2012\COVALSA Y OTROS\Musalem y Frio Loa Ltda..doc", "Abrir Documento")</f>
        <v>0</v>
      </c>
      <c r="D16518" t="s">
        <v>23500</v>
      </c>
      <c r="E16518" t="s">
        <v>38993</v>
      </c>
    </row>
    <row r="16519" spans="1:5">
      <c r="A16519" t="s">
        <v>6</v>
      </c>
      <c r="B16519" t="s">
        <v>16524</v>
      </c>
      <c r="C16519">
        <f>HYPERLINK("C:\Users\franc\OneDrive\Documentos\MALENTIN KARIME\BANCO ESTADO\2012 DEPTO ESCRITURAS fata\Dc Simples\RESPALDO comp notaria 27_12_12\NOTARIA 2012\COVALSA Y OTROS\Musalem vende credito.doc", "Abrir Documento")</f>
        <v>0</v>
      </c>
      <c r="D16519" t="s">
        <v>23500</v>
      </c>
      <c r="E16519" t="s">
        <v>38994</v>
      </c>
    </row>
    <row r="16520" spans="1:5">
      <c r="A16520" t="s">
        <v>6</v>
      </c>
      <c r="B16520" t="s">
        <v>16525</v>
      </c>
      <c r="C16520">
        <f>HYPERLINK("C:\Users\franc\OneDrive\Documentos\MALENTIN KARIME\BANCO ESTADO\2012 DEPTO ESCRITURAS fata\Dc Simples\RESPALDO comp notaria 27_12_12\NOTARIA 2012\COVALSA Y OTROS\Musalem compra.doc", "Abrir Documento")</f>
        <v>0</v>
      </c>
      <c r="D16520" t="s">
        <v>23500</v>
      </c>
      <c r="E16520" t="s">
        <v>38995</v>
      </c>
    </row>
    <row r="16521" spans="1:5">
      <c r="A16521" t="s">
        <v>6</v>
      </c>
      <c r="B16521" t="s">
        <v>16526</v>
      </c>
      <c r="C16521">
        <f>HYPERLINK("C:\Users\franc\OneDrive\Documentos\MALENTIN KARIME\BANCO ESTADO\2012 DEPTO ESCRITURAS fata\Dc Simples\RESPALDO comp notaria 27_12_12\NOTARIA 2012\COVALSA Y OTROS\Musalem compra a 3 pers..doc", "Abrir Documento")</f>
        <v>0</v>
      </c>
      <c r="D16521" t="s">
        <v>23500</v>
      </c>
      <c r="E16521" t="s">
        <v>38996</v>
      </c>
    </row>
    <row r="16522" spans="1:5">
      <c r="A16522" t="s">
        <v>6</v>
      </c>
      <c r="B16522" t="s">
        <v>16527</v>
      </c>
      <c r="C16522">
        <f>HYPERLINK("C:\Users\franc\OneDrive\Documentos\MALENTIN KARIME\BANCO ESTADO\2012 DEPTO ESCRITURAS fata\Dc Simples\RESPALDO comp notaria 27_12_12\NOTARIA 2012\COVALSA Y OTROS\José Troncoso.doc", "Abrir Documento")</f>
        <v>0</v>
      </c>
      <c r="D16522" t="s">
        <v>23500</v>
      </c>
      <c r="E16522" t="s">
        <v>38997</v>
      </c>
    </row>
    <row r="16523" spans="1:5">
      <c r="A16523" t="s">
        <v>6</v>
      </c>
      <c r="B16523" t="s">
        <v>16528</v>
      </c>
      <c r="C16523">
        <f>HYPERLINK("C:\Users\franc\OneDrive\Documentos\MALENTIN KARIME\BANCO ESTADO\2012 DEPTO ESCRITURAS fata\Dc Simples\RESPALDO comp notaria 27_12_12\NOTARIA 2012\COVALSA Y OTROS\Inversiones Automotrices.doc", "Abrir Documento")</f>
        <v>0</v>
      </c>
      <c r="D16523" t="s">
        <v>23500</v>
      </c>
      <c r="E16523" t="s">
        <v>38998</v>
      </c>
    </row>
    <row r="16524" spans="1:5">
      <c r="A16524" t="s">
        <v>6</v>
      </c>
      <c r="B16524" t="s">
        <v>16529</v>
      </c>
      <c r="C16524">
        <f>HYPERLINK("C:\Users\franc\OneDrive\Documentos\MALENTIN KARIME\BANCO ESTADO\2012 DEPTO ESCRITURAS fata\Dc Simples\RESPALDO comp notaria 27_12_12\NOTARIA 2012\COVALSA Y OTROS\Gonart ltda..doc", "Abrir Documento")</f>
        <v>0</v>
      </c>
      <c r="D16524" t="s">
        <v>23500</v>
      </c>
      <c r="E16524" t="s">
        <v>38999</v>
      </c>
    </row>
    <row r="16525" spans="1:5">
      <c r="A16525" t="s">
        <v>6</v>
      </c>
      <c r="B16525" t="s">
        <v>16530</v>
      </c>
      <c r="C16525">
        <f>HYPERLINK("C:\Users\franc\OneDrive\Documentos\MALENTIN KARIME\BANCO ESTADO\2012 DEPTO ESCRITURAS fata\Dc Simples\RESPALDO comp notaria 27_12_12\NOTARIA 2012\COVALSA Y OTROS\G Y T y Nelly Andrades y Cía..doc", "Abrir Documento")</f>
        <v>0</v>
      </c>
      <c r="D16525" t="s">
        <v>23500</v>
      </c>
      <c r="E16525" t="s">
        <v>39000</v>
      </c>
    </row>
    <row r="16526" spans="1:5">
      <c r="A16526" t="s">
        <v>6</v>
      </c>
      <c r="B16526" t="s">
        <v>16531</v>
      </c>
      <c r="C16526">
        <f>HYPERLINK("C:\Users\franc\OneDrive\Documentos\MALENTIN KARIME\BANCO ESTADO\2012 DEPTO ESCRITURAS fata\Dc Simples\RESPALDO comp notaria 27_12_12\NOTARIA 2012\COVALSA Y OTROS\G Y T compra.doc", "Abrir Documento")</f>
        <v>0</v>
      </c>
      <c r="D16526" t="s">
        <v>23500</v>
      </c>
      <c r="E16526" t="s">
        <v>39001</v>
      </c>
    </row>
    <row r="16527" spans="1:5">
      <c r="A16527" t="s">
        <v>6</v>
      </c>
      <c r="B16527" t="s">
        <v>16532</v>
      </c>
      <c r="C16527">
        <f>HYPERLINK("C:\Users\franc\OneDrive\Documentos\MALENTIN KARIME\BANCO ESTADO\2012 DEPTO ESCRITURAS fata\Dc Simples\RESPALDO comp notaria 27_12_12\NOTARIA 2012\COVALSA Y OTROS\Factura Vertical.doc", "Abrir Documento")</f>
        <v>0</v>
      </c>
      <c r="D16527" t="s">
        <v>23500</v>
      </c>
      <c r="E16527" t="s">
        <v>39002</v>
      </c>
    </row>
    <row r="16528" spans="1:5">
      <c r="A16528" t="s">
        <v>6</v>
      </c>
      <c r="B16528" t="s">
        <v>16533</v>
      </c>
      <c r="C16528">
        <f>HYPERLINK("C:\Users\franc\OneDrive\Documentos\MALENTIN KARIME\BANCO ESTADO\2012 DEPTO ESCRITURAS fata\Dc Simples\RESPALDO comp notaria 27_12_12\NOTARIA 2012\COVALSA Y OTROS\Factura Horizontal.doc", "Abrir Documento")</f>
        <v>0</v>
      </c>
      <c r="D16528" t="s">
        <v>23500</v>
      </c>
      <c r="E16528" t="s">
        <v>39003</v>
      </c>
    </row>
    <row r="16529" spans="1:5">
      <c r="A16529" t="s">
        <v>6</v>
      </c>
      <c r="B16529" t="s">
        <v>16534</v>
      </c>
      <c r="C16529">
        <f>HYPERLINK("C:\Users\franc\OneDrive\Documentos\MALENTIN KARIME\BANCO ESTADO\2012 DEPTO ESCRITURAS fata\Dc Simples\RESPALDO comp notaria 27_12_12\NOTARIA 2012\COVALSA Y OTROS\Dany vende a plazo.doc", "Abrir Documento")</f>
        <v>0</v>
      </c>
      <c r="D16529" t="s">
        <v>23500</v>
      </c>
      <c r="E16529" t="s">
        <v>39004</v>
      </c>
    </row>
    <row r="16530" spans="1:5">
      <c r="A16530" t="s">
        <v>6</v>
      </c>
      <c r="B16530" t="s">
        <v>16535</v>
      </c>
      <c r="C16530">
        <f>HYPERLINK("C:\Users\franc\OneDrive\Documentos\MALENTIN KARIME\BANCO ESTADO\2012 DEPTO ESCRITURAS fata\Dc Simples\RESPALDO comp notaria 27_12_12\NOTARIA 2012\COVALSA Y OTROS\Dany Troncoso  G y T.doc", "Abrir Documento")</f>
        <v>0</v>
      </c>
      <c r="D16530" t="s">
        <v>23500</v>
      </c>
      <c r="E16530" t="s">
        <v>39005</v>
      </c>
    </row>
    <row r="16531" spans="1:5">
      <c r="A16531" t="s">
        <v>6</v>
      </c>
      <c r="B16531" t="s">
        <v>16536</v>
      </c>
      <c r="C16531">
        <f>HYPERLINK("C:\Users\franc\OneDrive\Documentos\MALENTIN KARIME\BANCO ESTADO\2012 DEPTO ESCRITURAS fata\Dc Simples\RESPALDO comp notaria 27_12_12\NOTARIA 2012\COVALSA Y OTROS\Dany simple.doc", "Abrir Documento")</f>
        <v>0</v>
      </c>
      <c r="D16531" t="s">
        <v>23500</v>
      </c>
      <c r="E16531" t="s">
        <v>39006</v>
      </c>
    </row>
    <row r="16532" spans="1:5">
      <c r="A16532" t="s">
        <v>6</v>
      </c>
      <c r="B16532" t="s">
        <v>16537</v>
      </c>
      <c r="C16532">
        <f>HYPERLINK("C:\Users\franc\OneDrive\Documentos\MALENTIN KARIME\BANCO ESTADO\2012 DEPTO ESCRITURAS fata\Dc Simples\RESPALDO comp notaria 27_12_12\NOTARIA 2012\COVALSA Y OTROS\Dany dos personerias.doc", "Abrir Documento")</f>
        <v>0</v>
      </c>
      <c r="D16532" t="s">
        <v>23500</v>
      </c>
      <c r="E16532" t="s">
        <v>39007</v>
      </c>
    </row>
    <row r="16533" spans="1:5">
      <c r="A16533" t="s">
        <v>6</v>
      </c>
      <c r="B16533" t="s">
        <v>16538</v>
      </c>
      <c r="C16533">
        <f>HYPERLINK("C:\Users\franc\OneDrive\Documentos\MALENTIN KARIME\BANCO ESTADO\2012 DEPTO ESCRITURAS fata\Dc Simples\RESPALDO comp notaria 27_12_12\NOTARIA 2012\COVALSA Y OTROS\Dany Buenaventura ltda..doc", "Abrir Documento")</f>
        <v>0</v>
      </c>
      <c r="D16533" t="s">
        <v>23500</v>
      </c>
      <c r="E16533" t="s">
        <v>39008</v>
      </c>
    </row>
    <row r="16534" spans="1:5">
      <c r="A16534" t="s">
        <v>6</v>
      </c>
      <c r="B16534" t="s">
        <v>16539</v>
      </c>
      <c r="C16534">
        <f>HYPERLINK("C:\Users\franc\OneDrive\Documentos\MALENTIN KARIME\BANCO ESTADO\2012 DEPTO ESCRITURAS fata\Dc Simples\RESPALDO comp notaria 27_12_12\NOTARIA 2012\COVALSA Y OTROS\CP LIMITADA.doc", "Abrir Documento")</f>
        <v>0</v>
      </c>
      <c r="D16534" t="s">
        <v>23500</v>
      </c>
      <c r="E16534" t="s">
        <v>39009</v>
      </c>
    </row>
    <row r="16535" spans="1:5">
      <c r="A16535" t="s">
        <v>6</v>
      </c>
      <c r="B16535" t="s">
        <v>16540</v>
      </c>
      <c r="C16535">
        <f>HYPERLINK("C:\Users\franc\OneDrive\Documentos\MALENTIN KARIME\BANCO ESTADO\2012 DEPTO ESCRITURAS fata\Dc Simples\RESPALDO comp notaria 27_12_12\NOTARIA 2012\COVALSA Y OTROS\Covalsa y Sercol ltda..doc", "Abrir Documento")</f>
        <v>0</v>
      </c>
      <c r="D16535" t="s">
        <v>23500</v>
      </c>
      <c r="E16535" t="s">
        <v>39010</v>
      </c>
    </row>
    <row r="16536" spans="1:5">
      <c r="A16536" t="s">
        <v>6</v>
      </c>
      <c r="B16536" t="s">
        <v>16541</v>
      </c>
      <c r="C16536">
        <f>HYPERLINK("C:\Users\franc\OneDrive\Documentos\MALENTIN KARIME\BANCO ESTADO\2012 DEPTO ESCRITURAS fata\Dc Simples\RESPALDO comp notaria 27_12_12\NOTARIA 2012\COVALSA Y OTROS\Covalsa y Mov. Tierra Tamaya y Cía..doc", "Abrir Documento")</f>
        <v>0</v>
      </c>
      <c r="D16536" t="s">
        <v>23500</v>
      </c>
      <c r="E16536" t="s">
        <v>39011</v>
      </c>
    </row>
    <row r="16537" spans="1:5">
      <c r="A16537" t="s">
        <v>6</v>
      </c>
      <c r="B16537" t="s">
        <v>16542</v>
      </c>
      <c r="C16537">
        <f>HYPERLINK("C:\Users\franc\OneDrive\Documentos\MALENTIN KARIME\BANCO ESTADO\2012 DEPTO ESCRITURAS fata\Dc Simples\RESPALDO comp notaria 27_12_12\NOTARIA 2012\COVALSA Y OTROS\Covalsa y Minera Cruz Ltda..doc", "Abrir Documento")</f>
        <v>0</v>
      </c>
      <c r="D16537" t="s">
        <v>23500</v>
      </c>
      <c r="E16537" t="s">
        <v>39012</v>
      </c>
    </row>
    <row r="16538" spans="1:5">
      <c r="A16538" t="s">
        <v>6</v>
      </c>
      <c r="B16538" t="s">
        <v>16543</v>
      </c>
      <c r="C16538">
        <f>HYPERLINK("C:\Users\franc\OneDrive\Documentos\MALENTIN KARIME\BANCO ESTADO\2012 DEPTO ESCRITURAS fata\Dc Simples\RESPALDO comp notaria 27_12_12\NOTARIA 2012\COVALSA Y OTROS\Covalsa y Bauza s.a..doc", "Abrir Documento")</f>
        <v>0</v>
      </c>
      <c r="D16538" t="s">
        <v>23500</v>
      </c>
      <c r="E16538" t="s">
        <v>39013</v>
      </c>
    </row>
    <row r="16539" spans="1:5">
      <c r="A16539" t="s">
        <v>6</v>
      </c>
      <c r="B16539" t="s">
        <v>16544</v>
      </c>
      <c r="C16539">
        <f>HYPERLINK("C:\Users\franc\OneDrive\Documentos\MALENTIN KARIME\BANCO ESTADO\2012 DEPTO ESCRITURAS fata\Dc Simples\RESPALDO comp notaria 27_12_12\NOTARIA 2012\COVALSA Y OTROS\Covalsa y Agropalqui.doc", "Abrir Documento")</f>
        <v>0</v>
      </c>
      <c r="D16539" t="s">
        <v>23500</v>
      </c>
      <c r="E16539" t="s">
        <v>39014</v>
      </c>
    </row>
    <row r="16540" spans="1:5">
      <c r="A16540" t="s">
        <v>6</v>
      </c>
      <c r="B16540" t="s">
        <v>16545</v>
      </c>
      <c r="C16540">
        <f>HYPERLINK("C:\Users\franc\OneDrive\Documentos\MALENTIN KARIME\BANCO ESTADO\2012 DEPTO ESCRITURAS fata\Dc Simples\RESPALDO comp notaria 27_12_12\NOTARIA 2012\COVALSA Y OTROS\Covalsa y Agrocevial.doc", "Abrir Documento")</f>
        <v>0</v>
      </c>
      <c r="D16540" t="s">
        <v>23500</v>
      </c>
      <c r="E16540" t="s">
        <v>39015</v>
      </c>
    </row>
    <row r="16541" spans="1:5">
      <c r="A16541" t="s">
        <v>6</v>
      </c>
      <c r="B16541" t="s">
        <v>16546</v>
      </c>
      <c r="C16541">
        <f>HYPERLINK("C:\Users\franc\OneDrive\Documentos\MALENTIN KARIME\BANCO ESTADO\2012 DEPTO ESCRITURAS fata\Dc Simples\RESPALDO comp notaria 27_12_12\NOTARIA 2012\COVALSA Y OTROS\Covalsa y agric. El Puente.doc", "Abrir Documento")</f>
        <v>0</v>
      </c>
      <c r="D16541" t="s">
        <v>23500</v>
      </c>
      <c r="E16541" t="s">
        <v>39016</v>
      </c>
    </row>
    <row r="16542" spans="1:5">
      <c r="A16542" t="s">
        <v>6</v>
      </c>
      <c r="B16542" t="s">
        <v>16547</v>
      </c>
      <c r="C16542">
        <f>HYPERLINK("C:\Users\franc\OneDrive\Documentos\MALENTIN KARIME\BANCO ESTADO\2012 DEPTO ESCRITURAS fata\Dc Simples\RESPALDO comp notaria 27_12_12\NOTARIA 2012\COVALSA Y OTROS\Covalsa y Agirc. Oro Blanco Ltda..doc", "Abrir Documento")</f>
        <v>0</v>
      </c>
      <c r="D16542" t="s">
        <v>23500</v>
      </c>
      <c r="E16542" t="s">
        <v>39017</v>
      </c>
    </row>
    <row r="16543" spans="1:5">
      <c r="A16543" t="s">
        <v>6</v>
      </c>
      <c r="B16543" t="s">
        <v>16548</v>
      </c>
      <c r="C16543">
        <f>HYPERLINK("C:\Users\franc\OneDrive\Documentos\MALENTIN KARIME\BANCO ESTADO\2012 DEPTO ESCRITURAS fata\Dc Simples\RESPALDO comp notaria 27_12_12\NOTARIA 2012\COVALSA Y OTROS\Covalsa y Agirc. El Ciénago Ltda..doc", "Abrir Documento")</f>
        <v>0</v>
      </c>
      <c r="D16543" t="s">
        <v>23500</v>
      </c>
      <c r="E16543" t="s">
        <v>39018</v>
      </c>
    </row>
    <row r="16544" spans="1:5">
      <c r="A16544" t="s">
        <v>6</v>
      </c>
      <c r="B16544" t="s">
        <v>16549</v>
      </c>
      <c r="C16544">
        <f>HYPERLINK("C:\Users\franc\OneDrive\Documentos\MALENTIN KARIME\BANCO ESTADO\2012 DEPTO ESCRITURAS fata\Dc Simples\RESPALDO comp notaria 27_12_12\NOTARIA 2012\COVALSA Y OTROS\Covalsa vende Rodolfo Araneda.doc", "Abrir Documento")</f>
        <v>0</v>
      </c>
      <c r="D16544" t="s">
        <v>23500</v>
      </c>
      <c r="E16544" t="s">
        <v>39019</v>
      </c>
    </row>
    <row r="16545" spans="1:5">
      <c r="A16545" t="s">
        <v>6</v>
      </c>
      <c r="B16545" t="s">
        <v>16550</v>
      </c>
      <c r="C16545">
        <f>HYPERLINK("C:\Users\franc\OneDrive\Documentos\MALENTIN KARIME\BANCO ESTADO\2012 DEPTO ESCRITURAS fata\Dc Simples\RESPALDO comp notaria 27_12_12\NOTARIA 2012\COVALSA Y OTROS\Covalsa Vende Pedro Barrios.doc", "Abrir Documento")</f>
        <v>0</v>
      </c>
      <c r="D16545" t="s">
        <v>23500</v>
      </c>
      <c r="E16545" t="s">
        <v>39020</v>
      </c>
    </row>
    <row r="16546" spans="1:5">
      <c r="A16546" t="s">
        <v>6</v>
      </c>
      <c r="B16546" t="s">
        <v>16551</v>
      </c>
      <c r="C16546">
        <f>HYPERLINK("C:\Users\franc\OneDrive\Documentos\MALENTIN KARIME\BANCO ESTADO\2012 DEPTO ESCRITURAS fata\Dc Simples\RESPALDO comp notaria 27_12_12\NOTARIA 2012\COVALSA Y OTROS\Covalsa vende Pablo Concha.doc", "Abrir Documento")</f>
        <v>0</v>
      </c>
      <c r="D16546" t="s">
        <v>23500</v>
      </c>
      <c r="E16546" t="s">
        <v>39021</v>
      </c>
    </row>
    <row r="16547" spans="1:5">
      <c r="A16547" t="s">
        <v>6</v>
      </c>
      <c r="B16547" t="s">
        <v>16552</v>
      </c>
      <c r="C16547">
        <f>HYPERLINK("C:\Users\franc\OneDrive\Documentos\MALENTIN KARIME\BANCO ESTADO\2012 DEPTO ESCRITURAS fata\Dc Simples\RESPALDO comp notaria 27_12_12\NOTARIA 2012\COVALSA Y OTROS\Covalsa vende cred. Pedro Barrios.doc", "Abrir Documento")</f>
        <v>0</v>
      </c>
      <c r="D16547" t="s">
        <v>23500</v>
      </c>
      <c r="E16547" t="s">
        <v>39022</v>
      </c>
    </row>
    <row r="16548" spans="1:5">
      <c r="A16548" t="s">
        <v>6</v>
      </c>
      <c r="B16548" t="s">
        <v>16553</v>
      </c>
      <c r="C16548">
        <f>HYPERLINK("C:\Users\franc\OneDrive\Documentos\MALENTIN KARIME\BANCO ESTADO\2012 DEPTO ESCRITURAS fata\Dc Simples\RESPALDO comp notaria 27_12_12\NOTARIA 2012\COVALSA Y OTROS\Covalsa vende cred. Pablo Concha.doc", "Abrir Documento")</f>
        <v>0</v>
      </c>
      <c r="D16548" t="s">
        <v>23500</v>
      </c>
      <c r="E16548" t="s">
        <v>39023</v>
      </c>
    </row>
    <row r="16549" spans="1:5">
      <c r="A16549" t="s">
        <v>6</v>
      </c>
      <c r="B16549" t="s">
        <v>16554</v>
      </c>
      <c r="C16549">
        <f>HYPERLINK("C:\Users\franc\OneDrive\Documentos\MALENTIN KARIME\BANCO ESTADO\2012 DEPTO ESCRITURAS fata\Dc Simples\RESPALDO comp notaria 27_12_12\NOTARIA 2012\COVALSA Y OTROS\Covalsa Vende Afonso Artigues.doc", "Abrir Documento")</f>
        <v>0</v>
      </c>
      <c r="D16549" t="s">
        <v>23500</v>
      </c>
      <c r="E16549" t="s">
        <v>39024</v>
      </c>
    </row>
    <row r="16550" spans="1:5">
      <c r="A16550" t="s">
        <v>6</v>
      </c>
      <c r="B16550" t="s">
        <v>16555</v>
      </c>
      <c r="C16550">
        <f>HYPERLINK("C:\Users\franc\OneDrive\Documentos\MALENTIN KARIME\BANCO ESTADO\2012 DEPTO ESCRITURAS fata\Dc Simples\RESPALDO comp notaria 27_12_12\NOTARIA 2012\COVALSA Y OTROS\Covalsa e Italiana.doc", "Abrir Documento")</f>
        <v>0</v>
      </c>
      <c r="D16550" t="s">
        <v>23500</v>
      </c>
      <c r="E16550" t="s">
        <v>39025</v>
      </c>
    </row>
    <row r="16551" spans="1:5">
      <c r="A16551" t="s">
        <v>6</v>
      </c>
      <c r="B16551" t="s">
        <v>16556</v>
      </c>
      <c r="C16551">
        <f>HYPERLINK("C:\Users\franc\OneDrive\Documentos\MALENTIN KARIME\BANCO ESTADO\2012 DEPTO ESCRITURAS fata\Dc Simples\RESPALDO comp notaria 27_12_12\NOTARIA 2012\COVALSA Y OTROS\Covalsa e Hidronor.doc", "Abrir Documento")</f>
        <v>0</v>
      </c>
      <c r="D16551" t="s">
        <v>23500</v>
      </c>
      <c r="E16551" t="s">
        <v>39026</v>
      </c>
    </row>
    <row r="16552" spans="1:5">
      <c r="A16552" t="s">
        <v>6</v>
      </c>
      <c r="B16552" t="s">
        <v>16557</v>
      </c>
      <c r="C16552">
        <f>HYPERLINK("C:\Users\franc\OneDrive\Documentos\MALENTIN KARIME\BANCO ESTADO\2012 DEPTO ESCRITURAS fata\Dc Simples\RESPALDO comp notaria 27_12_12\NOTARIA 2012\COVALSA Y OTROS\Covalsa compra, Pablo Concha.doc", "Abrir Documento")</f>
        <v>0</v>
      </c>
      <c r="D16552" t="s">
        <v>23500</v>
      </c>
      <c r="E16552" t="s">
        <v>39027</v>
      </c>
    </row>
    <row r="16553" spans="1:5">
      <c r="A16553" t="s">
        <v>6</v>
      </c>
      <c r="B16553" t="s">
        <v>16558</v>
      </c>
      <c r="C16553">
        <f>HYPERLINK("C:\Users\franc\OneDrive\Documentos\MALENTIN KARIME\BANCO ESTADO\2012 DEPTO ESCRITURAS fata\Dc Simples\RESPALDO comp notaria 27_12_12\NOTARIA 2012\COVALSA Y OTROS\Covalsa compra Rodolfo Araneda.doc", "Abrir Documento")</f>
        <v>0</v>
      </c>
      <c r="D16553" t="s">
        <v>23500</v>
      </c>
      <c r="E16553" t="s">
        <v>39028</v>
      </c>
    </row>
    <row r="16554" spans="1:5">
      <c r="A16554" t="s">
        <v>6</v>
      </c>
      <c r="B16554" t="s">
        <v>16559</v>
      </c>
      <c r="C16554">
        <f>HYPERLINK("C:\Users\franc\OneDrive\Documentos\MALENTIN KARIME\BANCO ESTADO\2012 DEPTO ESCRITURAS fata\Dc Simples\RESPALDO comp notaria 27_12_12\NOTARIA 2012\COVALSA Y OTROS\Covalsa Compra Pedro Barrios.doc", "Abrir Documento")</f>
        <v>0</v>
      </c>
      <c r="D16554" t="s">
        <v>23500</v>
      </c>
      <c r="E16554" t="s">
        <v>39029</v>
      </c>
    </row>
    <row r="16555" spans="1:5">
      <c r="A16555" t="s">
        <v>6</v>
      </c>
      <c r="B16555" t="s">
        <v>16560</v>
      </c>
      <c r="C16555">
        <f>HYPERLINK("C:\Users\franc\OneDrive\Documentos\MALENTIN KARIME\BANCO ESTADO\2012 DEPTO ESCRITURAS fata\Dc Simples\RESPALDO comp notaria 27_12_12\NOTARIA 2012\COVALSA Y OTROS\Covalsa Compra Claudia Galleguillos.doc", "Abrir Documento")</f>
        <v>0</v>
      </c>
      <c r="D16555" t="s">
        <v>23500</v>
      </c>
      <c r="E16555" t="s">
        <v>39030</v>
      </c>
    </row>
    <row r="16556" spans="1:5">
      <c r="A16556" t="s">
        <v>6</v>
      </c>
      <c r="B16556" t="s">
        <v>16561</v>
      </c>
      <c r="C16556">
        <f>HYPERLINK("C:\Users\franc\OneDrive\Documentos\MALENTIN KARIME\BANCO ESTADO\2012 DEPTO ESCRITURAS fata\Dc Simples\RESPALDO comp notaria 27_12_12\NOTARIA 2012\COVALSA Y OTROS\Covalsa compra a  santa sara s.a..doc", "Abrir Documento")</f>
        <v>0</v>
      </c>
      <c r="D16556" t="s">
        <v>23500</v>
      </c>
      <c r="E16556" t="s">
        <v>39031</v>
      </c>
    </row>
    <row r="16557" spans="1:5">
      <c r="A16557" t="s">
        <v>6</v>
      </c>
      <c r="B16557" t="s">
        <v>16562</v>
      </c>
      <c r="C16557">
        <f>HYPERLINK("C:\Users\franc\OneDrive\Documentos\MALENTIN KARIME\BANCO ESTADO\2012 DEPTO ESCRITURAS fata\Dc Simples\RESPALDO comp notaria 27_12_12\NOTARIA 2012\COVALSA Y OTROS\Covalsa Center.doc RODOLFO ARANEDA.doc", "Abrir Documento")</f>
        <v>0</v>
      </c>
      <c r="D16557" t="s">
        <v>23500</v>
      </c>
      <c r="E16557" t="s">
        <v>39032</v>
      </c>
    </row>
    <row r="16558" spans="1:5">
      <c r="A16558" t="s">
        <v>6</v>
      </c>
      <c r="B16558" t="s">
        <v>16563</v>
      </c>
      <c r="C16558">
        <f>HYPERLINK("C:\Users\franc\OneDrive\Documentos\MALENTIN KARIME\BANCO ESTADO\2012 DEPTO ESCRITURAS fata\Dc Simples\RESPALDO comp notaria 27_12_12\NOTARIA 2012\COVALSA Y OTROS\Covalsa Center.doc", "Abrir Documento")</f>
        <v>0</v>
      </c>
      <c r="D16558" t="s">
        <v>23500</v>
      </c>
      <c r="E16558" t="s">
        <v>39033</v>
      </c>
    </row>
    <row r="16559" spans="1:5">
      <c r="A16559" t="s">
        <v>6</v>
      </c>
      <c r="B16559" t="s">
        <v>16564</v>
      </c>
      <c r="C16559">
        <f>HYPERLINK("C:\Users\franc\OneDrive\Documentos\MALENTIN KARIME\BANCO ESTADO\2012 DEPTO ESCRITURAS fata\Dc Simples\RESPALDO comp notaria 27_12_12\NOTARIA 2012\COVALSA Y OTROS\Comercial Artigues, Patricio Alvarez.doc", "Abrir Documento")</f>
        <v>0</v>
      </c>
      <c r="D16559" t="s">
        <v>23500</v>
      </c>
      <c r="E16559" t="s">
        <v>39034</v>
      </c>
    </row>
    <row r="16560" spans="1:5">
      <c r="A16560" t="s">
        <v>6</v>
      </c>
      <c r="B16560" t="s">
        <v>16565</v>
      </c>
      <c r="C16560">
        <f>HYPERLINK("C:\Users\franc\OneDrive\Documentos\MALENTIN KARIME\BANCO ESTADO\2012 DEPTO ESCRITURAS fata\Dc Simples\RESPALDO comp notaria 27_12_12\NOTARIA 2012\COVALSA Y OTROS\Camal y Seleme.doc", "Abrir Documento")</f>
        <v>0</v>
      </c>
      <c r="D16560" t="s">
        <v>23500</v>
      </c>
      <c r="E16560" t="s">
        <v>39035</v>
      </c>
    </row>
    <row r="16561" spans="1:5">
      <c r="A16561" t="s">
        <v>6</v>
      </c>
      <c r="B16561" t="s">
        <v>16566</v>
      </c>
      <c r="C16561">
        <f>HYPERLINK("C:\Users\franc\OneDrive\Documentos\MALENTIN KARIME\BANCO ESTADO\2012 DEPTO ESCRITURAS fata\Dc Simples\RESPALDO comp notaria 27_12_12\NOTARIA 2012\COVALSA Y OTROS\Angostura Ltda. CLaudio Reyes.doc", "Abrir Documento")</f>
        <v>0</v>
      </c>
      <c r="D16561" t="s">
        <v>23500</v>
      </c>
      <c r="E16561" t="s">
        <v>39036</v>
      </c>
    </row>
    <row r="16562" spans="1:5">
      <c r="A16562" t="s">
        <v>6</v>
      </c>
      <c r="B16562" t="s">
        <v>16567</v>
      </c>
      <c r="C16562">
        <f>HYPERLINK("C:\Users\franc\OneDrive\Documentos\MALENTIN KARIME\BANCO ESTADO\2012 DEPTO ESCRITURAS fata\Dc Simples\RESPALDO comp notaria 27_12_12\NOTARIA 2012\COVALSA Y OTROS\Andrés Troncoso.doc", "Abrir Documento")</f>
        <v>0</v>
      </c>
      <c r="D16562" t="s">
        <v>23500</v>
      </c>
      <c r="E16562" t="s">
        <v>39037</v>
      </c>
    </row>
    <row r="16563" spans="1:5">
      <c r="A16563" t="s">
        <v>6</v>
      </c>
      <c r="B16563" t="s">
        <v>16568</v>
      </c>
      <c r="C16563">
        <f>HYPERLINK("C:\Users\franc\OneDrive\Documentos\MALENTIN KARIME\BANCO ESTADO\2012 DEPTO ESCRITURAS fata\Dc Simples\RESPALDO comp notaria 27_12_12\NOTARIA 2012\COVALSA Y OTROS\Andalucía vende.doc", "Abrir Documento")</f>
        <v>0</v>
      </c>
      <c r="D16563" t="s">
        <v>23500</v>
      </c>
      <c r="E16563" t="s">
        <v>39038</v>
      </c>
    </row>
    <row r="16564" spans="1:5">
      <c r="A16564" t="s">
        <v>6</v>
      </c>
      <c r="B16564" t="s">
        <v>16569</v>
      </c>
      <c r="C16564">
        <f>HYPERLINK("C:\Users\franc\OneDrive\Documentos\MALENTIN KARIME\BANCO ESTADO\2012 DEPTO ESCRITURAS fata\Dc Simples\RESPALDO comp notaria 27_12_12\NOTARIA 2012\COVALSA Y OTROS\Andalucia y T. Abrilot.doc", "Abrir Documento")</f>
        <v>0</v>
      </c>
      <c r="D16564" t="s">
        <v>23500</v>
      </c>
      <c r="E16564" t="s">
        <v>39039</v>
      </c>
    </row>
    <row r="16565" spans="1:5">
      <c r="A16565" t="s">
        <v>6</v>
      </c>
      <c r="B16565" t="s">
        <v>16570</v>
      </c>
      <c r="C16565">
        <f>HYPERLINK("C:\Users\franc\OneDrive\Documentos\MALENTIN KARIME\BANCO ESTADO\2012 DEPTO ESCRITURAS fata\Dc Simples\RESPALDO comp notaria 27_12_12\NOTARIA 2012\COVALSA Y OTROS\Alz. Musalem.doc", "Abrir Documento")</f>
        <v>0</v>
      </c>
      <c r="D16565" t="s">
        <v>23500</v>
      </c>
      <c r="E16565" t="s">
        <v>39040</v>
      </c>
    </row>
    <row r="16566" spans="1:5">
      <c r="A16566" t="s">
        <v>6</v>
      </c>
      <c r="B16566" t="s">
        <v>16571</v>
      </c>
      <c r="C16566">
        <f>HYPERLINK("C:\Users\franc\OneDrive\Documentos\MALENTIN KARIME\BANCO ESTADO\2012 DEPTO ESCRITURAS fata\Dc Simples\RESPALDO comp notaria 27_12_12\NOTARIA 2012\COVALSA Y OTROS\Alz. G Y T.doc", "Abrir Documento")</f>
        <v>0</v>
      </c>
      <c r="D16566" t="s">
        <v>23500</v>
      </c>
      <c r="E16566" t="s">
        <v>39041</v>
      </c>
    </row>
    <row r="16567" spans="1:5">
      <c r="A16567" t="s">
        <v>6</v>
      </c>
      <c r="B16567" t="s">
        <v>16572</v>
      </c>
      <c r="C16567">
        <f>HYPERLINK("C:\Users\franc\OneDrive\Documentos\MALENTIN KARIME\BANCO ESTADO\2012 DEPTO ESCRITURAS fata\Dc Simples\RESPALDO comp notaria 27_12_12\NOTARIA 2012\COVALSA Y OTROS\Alz. Covalsa Rodolfo Araneda.doc", "Abrir Documento")</f>
        <v>0</v>
      </c>
      <c r="D16567" t="s">
        <v>23500</v>
      </c>
      <c r="E16567" t="s">
        <v>39042</v>
      </c>
    </row>
    <row r="16568" spans="1:5">
      <c r="A16568" t="s">
        <v>6</v>
      </c>
      <c r="B16568" t="s">
        <v>16573</v>
      </c>
      <c r="C16568">
        <f>HYPERLINK("C:\Users\franc\OneDrive\Documentos\MALENTIN KARIME\BANCO ESTADO\2012 DEPTO ESCRITURAS fata\Dc Simples\RESPALDO comp notaria 27_12_12\NOTARIA 2012\COVALSA Y OTROS\Alz. Covalsa Pedro Barrios.doc", "Abrir Documento")</f>
        <v>0</v>
      </c>
      <c r="D16568" t="s">
        <v>23500</v>
      </c>
      <c r="E16568" t="s">
        <v>39043</v>
      </c>
    </row>
    <row r="16569" spans="1:5">
      <c r="A16569" t="s">
        <v>6</v>
      </c>
      <c r="B16569" t="s">
        <v>16574</v>
      </c>
      <c r="C16569">
        <f>HYPERLINK("C:\Users\franc\OneDrive\Documentos\MALENTIN KARIME\BANCO ESTADO\2012 DEPTO ESCRITURAS fata\Dc Simples\RESPALDO comp notaria 27_12_12\NOTARIA 2012\COVALSA Y OTROS\Alz. Covalsa Pablo Concha.doc", "Abrir Documento")</f>
        <v>0</v>
      </c>
      <c r="D16569" t="s">
        <v>23500</v>
      </c>
      <c r="E16569" t="s">
        <v>39044</v>
      </c>
    </row>
    <row r="16570" spans="1:5">
      <c r="A16570" t="s">
        <v>6</v>
      </c>
      <c r="B16570" t="s">
        <v>16575</v>
      </c>
      <c r="C16570">
        <f>HYPERLINK("C:\Users\franc\OneDrive\Documentos\MALENTIN KARIME\BANCO ESTADO\2012 DEPTO ESCRITURAS fata\Dc Simples\RESPALDO comp notaria 27_12_12\NOTARIA 2012\COVALSA Y OTROS\Alz. Covalsa center Pablo Concha.doc", "Abrir Documento")</f>
        <v>0</v>
      </c>
      <c r="D16570" t="s">
        <v>23500</v>
      </c>
      <c r="E16570" t="s">
        <v>39045</v>
      </c>
    </row>
    <row r="16571" spans="1:5">
      <c r="A16571" t="s">
        <v>6</v>
      </c>
      <c r="B16571" t="s">
        <v>16576</v>
      </c>
      <c r="C16571">
        <f>HYPERLINK("C:\Users\franc\OneDrive\Documentos\MALENTIN KARIME\BANCO ESTADO\2012 DEPTO ESCRITURAS fata\Dc Simples\RESPALDO comp notaria 27_12_12\NOTARIA 2012\COVALSA Y OTROS\Agrícola Angostura ltda.Alfonso Artigues.doc", "Abrir Documento")</f>
        <v>0</v>
      </c>
      <c r="D16571" t="s">
        <v>23500</v>
      </c>
      <c r="E16571" t="s">
        <v>39046</v>
      </c>
    </row>
    <row r="16572" spans="1:5">
      <c r="A16572" t="s">
        <v>6</v>
      </c>
      <c r="B16572" t="s">
        <v>16577</v>
      </c>
      <c r="C16572">
        <f>HYPERLINK("C:\Users\franc\OneDrive\Documentos\MALENTIN KARIME\BANCO ESTADO\2012 DEPTO ESCRITURAS fata\Dc Simples\RESPALDO comp notaria 27_12_12\NOTARIA 2012\COVALSA Y OTROS\Agricola Angostura Rodolfo Araneda.doc", "Abrir Documento")</f>
        <v>0</v>
      </c>
      <c r="D16572" t="s">
        <v>23500</v>
      </c>
      <c r="E16572" t="s">
        <v>39047</v>
      </c>
    </row>
    <row r="16573" spans="1:5">
      <c r="A16573" t="s">
        <v>6</v>
      </c>
      <c r="B16573" t="s">
        <v>16578</v>
      </c>
      <c r="C16573">
        <f>HYPERLINK("C:\Users\franc\OneDrive\Documentos\MALENTIN KARIME\BANCO ESTADO\2012 DEPTO ESCRITURAS fata\Dc Simples\RESPALDO comp notaria 27_12_12\NOTARIA 2012\COVALSA Y OTROS\Agricola Angostura Pablo Concha.doc", "Abrir Documento")</f>
        <v>0</v>
      </c>
      <c r="D16573" t="s">
        <v>23500</v>
      </c>
      <c r="E16573" t="s">
        <v>39048</v>
      </c>
    </row>
    <row r="16574" spans="1:5">
      <c r="A16574" t="s">
        <v>6</v>
      </c>
      <c r="B16574" t="s">
        <v>16579</v>
      </c>
      <c r="C16574">
        <f>HYPERLINK("C:\Users\franc\OneDrive\Documentos\MALENTIN KARIME\BANCO ESTADO\2012 DEPTO ESCRITURAS fata\Dc Simples\RESPALDO comp notaria 27_12_12\NOTARIA 2012\COVALSA Y OTROS\Agric. e Inve Juan Pablo CLaudio Reyes.doc", "Abrir Documento")</f>
        <v>0</v>
      </c>
      <c r="D16574" t="s">
        <v>23500</v>
      </c>
      <c r="E16574" t="s">
        <v>39049</v>
      </c>
    </row>
    <row r="16575" spans="1:5">
      <c r="A16575" t="s">
        <v>6</v>
      </c>
      <c r="B16575" t="s">
        <v>16580</v>
      </c>
      <c r="C16575">
        <f>HYPERLINK("C:\Users\franc\OneDrive\Documentos\MALENTIN KARIME\BANCO ESTADO\2012 DEPTO ESCRITURAS fata\Dc Simples\RESPALDO comp notaria 27_12_12\NOTARIA 2012\COVALSA Y OTROS\Agric. e Inv Juan Pablo Ltda. Pablo Concha.doc", "Abrir Documento")</f>
        <v>0</v>
      </c>
      <c r="D16575" t="s">
        <v>23500</v>
      </c>
      <c r="E16575" t="s">
        <v>39050</v>
      </c>
    </row>
    <row r="16576" spans="1:5">
      <c r="A16576" t="s">
        <v>6</v>
      </c>
      <c r="B16576" t="s">
        <v>16581</v>
      </c>
      <c r="C16576">
        <f>HYPERLINK("C:\Users\franc\OneDrive\Documentos\MALENTIN KARIME\BANCO ESTADO\2012 DEPTO ESCRITURAS fata\Dc Simples\RESPALDO comp notaria 27_12_12\NOTARIA 2012\COVALSA Y OTROS\Agric. e Inv Juan Pablo Ltda. Alfonso Artigues.doc", "Abrir Documento")</f>
        <v>0</v>
      </c>
      <c r="D16576" t="s">
        <v>23500</v>
      </c>
      <c r="E16576" t="s">
        <v>39051</v>
      </c>
    </row>
    <row r="16577" spans="1:5">
      <c r="A16577" t="s">
        <v>6</v>
      </c>
      <c r="B16577" t="s">
        <v>16582</v>
      </c>
      <c r="C16577">
        <f>HYPERLINK("C:\Users\franc\OneDrive\Documentos\MALENTIN KARIME\BANCO ESTADO\2012 DEPTO ESCRITURAS fata\Dc Simples\RESPALDO comp notaria 27_12_12\NOTARIA 2012\CONTRATOS\VICHUQUEN.doc", "Abrir Documento")</f>
        <v>0</v>
      </c>
      <c r="D16577" t="s">
        <v>23500</v>
      </c>
      <c r="E16577" t="s">
        <v>39052</v>
      </c>
    </row>
    <row r="16578" spans="1:5">
      <c r="A16578" t="s">
        <v>6</v>
      </c>
      <c r="B16578" t="s">
        <v>16583</v>
      </c>
      <c r="C16578">
        <f>HYPERLINK("C:\Users\franc\OneDrive\Documentos\MALENTIN KARIME\BANCO ESTADO\2012 DEPTO ESCRITURAS fata\Dc Simples\RESPALDO comp notaria 27_12_12\NOTARIA 2012\CONTRATOS\VH MAQUINARIA.doc", "Abrir Documento")</f>
        <v>0</v>
      </c>
      <c r="D16578" t="s">
        <v>23500</v>
      </c>
      <c r="E16578" t="s">
        <v>39053</v>
      </c>
    </row>
    <row r="16579" spans="1:5">
      <c r="A16579" t="s">
        <v>6</v>
      </c>
      <c r="B16579" t="s">
        <v>16584</v>
      </c>
      <c r="C16579">
        <f>HYPERLINK("C:\Users\franc\OneDrive\Documentos\MALENTIN KARIME\BANCO ESTADO\2012 DEPTO ESCRITURAS fata\Dc Simples\RESPALDO comp notaria 27_12_12\NOTARIA 2012\CONTRATOS\VENTA PUESTO FERIA.doc", "Abrir Documento")</f>
        <v>0</v>
      </c>
      <c r="D16579" t="s">
        <v>23500</v>
      </c>
      <c r="E16579" t="s">
        <v>39054</v>
      </c>
    </row>
    <row r="16580" spans="1:5">
      <c r="A16580" t="s">
        <v>6</v>
      </c>
      <c r="B16580" t="s">
        <v>16585</v>
      </c>
      <c r="C16580">
        <f>HYPERLINK("C:\Users\franc\OneDrive\Documentos\MALENTIN KARIME\BANCO ESTADO\2012 DEPTO ESCRITURAS fata\Dc Simples\RESPALDO comp notaria 27_12_12\NOTARIA 2012\CONTRATOS\VENTA DOTACION O VOLUMEN DE AGUA.doc", "Abrir Documento")</f>
        <v>0</v>
      </c>
      <c r="D16580" t="s">
        <v>23500</v>
      </c>
      <c r="E16580" t="s">
        <v>39055</v>
      </c>
    </row>
    <row r="16581" spans="1:5">
      <c r="A16581" t="s">
        <v>6</v>
      </c>
      <c r="B16581" t="s">
        <v>16586</v>
      </c>
      <c r="C16581">
        <f>HYPERLINK("C:\Users\franc\OneDrive\Documentos\MALENTIN KARIME\BANCO ESTADO\2012 DEPTO ESCRITURAS fata\Dc Simples\RESPALDO comp notaria 27_12_12\NOTARIA 2012\CONTRATOS\VENTA DE SEMILLAS.doc", "Abrir Documento")</f>
        <v>0</v>
      </c>
      <c r="D16581" t="s">
        <v>23500</v>
      </c>
      <c r="E16581" t="s">
        <v>39056</v>
      </c>
    </row>
    <row r="16582" spans="1:5">
      <c r="A16582" t="s">
        <v>6</v>
      </c>
      <c r="B16582" t="s">
        <v>16587</v>
      </c>
      <c r="C16582">
        <f>HYPERLINK("C:\Users\franc\OneDrive\Documentos\MALENTIN KARIME\BANCO ESTADO\2012 DEPTO ESCRITURAS fata\Dc Simples\RESPALDO comp notaria 27_12_12\NOTARIA 2012\CONTRATOS\VENTA CABRAS.doc", "Abrir Documento")</f>
        <v>0</v>
      </c>
      <c r="D16582" t="s">
        <v>23500</v>
      </c>
      <c r="E16582" t="s">
        <v>39057</v>
      </c>
    </row>
    <row r="16583" spans="1:5">
      <c r="A16583" t="s">
        <v>6</v>
      </c>
      <c r="B16583" t="s">
        <v>16588</v>
      </c>
      <c r="C16583">
        <f>HYPERLINK("C:\Users\franc\OneDrive\Documentos\MALENTIN KARIME\BANCO ESTADO\2012 DEPTO ESCRITURAS fata\Dc Simples\RESPALDO comp notaria 27_12_12\NOTARIA 2012\CONTRATOS\VENTA CABALLO.doc", "Abrir Documento")</f>
        <v>0</v>
      </c>
      <c r="D16583" t="s">
        <v>23500</v>
      </c>
      <c r="E16583" t="s">
        <v>39058</v>
      </c>
    </row>
    <row r="16584" spans="1:5">
      <c r="A16584" t="s">
        <v>6</v>
      </c>
      <c r="B16584" t="s">
        <v>16589</v>
      </c>
      <c r="C16584">
        <f>HYPERLINK("C:\Users\franc\OneDrive\Documentos\MALENTIN KARIME\BANCO ESTADO\2012 DEPTO ESCRITURAS fata\Dc Simples\RESPALDO comp notaria 27_12_12\NOTARIA 2012\CONTRATOS\VENTA ARMA FUEGO.doc", "Abrir Documento")</f>
        <v>0</v>
      </c>
      <c r="D16584" t="s">
        <v>23500</v>
      </c>
      <c r="E16584" t="s">
        <v>39059</v>
      </c>
    </row>
    <row r="16585" spans="1:5">
      <c r="A16585" t="s">
        <v>6</v>
      </c>
      <c r="B16585" t="s">
        <v>16590</v>
      </c>
      <c r="C16585">
        <f>HYPERLINK("C:\Users\franc\OneDrive\Documentos\MALENTIN KARIME\BANCO ESTADO\2012 DEPTO ESCRITURAS fata\Dc Simples\RESPALDO comp notaria 27_12_12\NOTARIA 2012\CONTRATOS\VENTA AGUAS.doc", "Abrir Documento")</f>
        <v>0</v>
      </c>
      <c r="D16585" t="s">
        <v>23500</v>
      </c>
      <c r="E16585" t="s">
        <v>39060</v>
      </c>
    </row>
    <row r="16586" spans="1:5">
      <c r="A16586" t="s">
        <v>6</v>
      </c>
      <c r="B16586" t="s">
        <v>16591</v>
      </c>
      <c r="C16586">
        <f>HYPERLINK("C:\Users\franc\OneDrive\Documentos\MALENTIN KARIME\BANCO ESTADO\2012 DEPTO ESCRITURAS fata\Dc Simples\RESPALDO comp notaria 27_12_12\NOTARIA 2012\CONTRATOS\TRASPASO TEMPORAL DE AGUA.doc", "Abrir Documento")</f>
        <v>0</v>
      </c>
      <c r="D16586" t="s">
        <v>23500</v>
      </c>
      <c r="E16586" t="s">
        <v>39061</v>
      </c>
    </row>
    <row r="16587" spans="1:5">
      <c r="A16587" t="s">
        <v>6</v>
      </c>
      <c r="B16587" t="s">
        <v>16592</v>
      </c>
      <c r="C16587">
        <f>HYPERLINK("C:\Users\franc\OneDrive\Documentos\MALENTIN KARIME\BANCO ESTADO\2012 DEPTO ESCRITURAS fata\Dc Simples\RESPALDO comp notaria 27_12_12\NOTARIA 2012\CONTRATOS\SUBARRENDAMIENTO.doc", "Abrir Documento")</f>
        <v>0</v>
      </c>
      <c r="D16587" t="s">
        <v>23500</v>
      </c>
      <c r="E16587" t="s">
        <v>39062</v>
      </c>
    </row>
    <row r="16588" spans="1:5">
      <c r="A16588" t="s">
        <v>6</v>
      </c>
      <c r="B16588" t="s">
        <v>16593</v>
      </c>
      <c r="C16588">
        <f>HYPERLINK("C:\Users\franc\OneDrive\Documentos\MALENTIN KARIME\BANCO ESTADO\2012 DEPTO ESCRITURAS fata\Dc Simples\RESPALDO comp notaria 27_12_12\NOTARIA 2012\CONTRATOS\SUB-ARRIENDO VEHICULO.doc", "Abrir Documento")</f>
        <v>0</v>
      </c>
      <c r="D16588" t="s">
        <v>23500</v>
      </c>
      <c r="E16588" t="s">
        <v>39063</v>
      </c>
    </row>
    <row r="16589" spans="1:5">
      <c r="A16589" t="s">
        <v>6</v>
      </c>
      <c r="B16589" t="s">
        <v>16594</v>
      </c>
      <c r="C16589">
        <f>HYPERLINK("C:\Users\franc\OneDrive\Documentos\MALENTIN KARIME\BANCO ESTADO\2012 DEPTO ESCRITURAS fata\Dc Simples\RESPALDO comp notaria 27_12_12\NOTARIA 2012\CONTRATOS\SITIO KIOSCO.doc", "Abrir Documento")</f>
        <v>0</v>
      </c>
      <c r="D16589" t="s">
        <v>23500</v>
      </c>
      <c r="E16589" t="s">
        <v>39064</v>
      </c>
    </row>
    <row r="16590" spans="1:5">
      <c r="A16590" t="s">
        <v>6</v>
      </c>
      <c r="B16590" t="s">
        <v>16595</v>
      </c>
      <c r="C16590">
        <f>HYPERLINK("C:\Users\franc\OneDrive\Documentos\MALENTIN KARIME\BANCO ESTADO\2012 DEPTO ESCRITURAS fata\Dc Simples\RESPALDO comp notaria 27_12_12\NOTARIA 2012\CONTRATOS\SEDE JUNTA DE VECINOS PERSONERIA.doc", "Abrir Documento")</f>
        <v>0</v>
      </c>
      <c r="D16590" t="s">
        <v>23500</v>
      </c>
      <c r="E16590" t="s">
        <v>39065</v>
      </c>
    </row>
    <row r="16591" spans="1:5">
      <c r="A16591" t="s">
        <v>6</v>
      </c>
      <c r="B16591" t="s">
        <v>16596</v>
      </c>
      <c r="C16591">
        <f>HYPERLINK("C:\Users\franc\OneDrive\Documentos\MALENTIN KARIME\BANCO ESTADO\2012 DEPTO ESCRITURAS fata\Dc Simples\RESPALDO comp notaria 27_12_12\NOTARIA 2012\CONTRATOS\ROSENDO JIMENEZ.doc", "Abrir Documento")</f>
        <v>0</v>
      </c>
      <c r="D16591" t="s">
        <v>23500</v>
      </c>
      <c r="E16591" t="s">
        <v>39066</v>
      </c>
    </row>
    <row r="16592" spans="1:5">
      <c r="A16592" t="s">
        <v>6</v>
      </c>
      <c r="B16592" t="s">
        <v>16597</v>
      </c>
      <c r="C16592">
        <f>HYPERLINK("C:\Users\franc\OneDrive\Documentos\MALENTIN KARIME\BANCO ESTADO\2012 DEPTO ESCRITURAS fata\Dc Simples\RESPALDO comp notaria 27_12_12\NOTARIA 2012\CONTRATOS\RESCILIAR VEHICULO.doc", "Abrir Documento")</f>
        <v>0</v>
      </c>
      <c r="D16592" t="s">
        <v>23500</v>
      </c>
      <c r="E16592" t="s">
        <v>39067</v>
      </c>
    </row>
    <row r="16593" spans="1:5">
      <c r="A16593" t="s">
        <v>6</v>
      </c>
      <c r="B16593" t="s">
        <v>16598</v>
      </c>
      <c r="C16593">
        <f>HYPERLINK("C:\Users\franc\OneDrive\Documentos\MALENTIN KARIME\BANCO ESTADO\2012 DEPTO ESCRITURAS fata\Dc Simples\RESPALDO comp notaria 27_12_12\NOTARIA 2012\CONTRATOS\RESCILIACION pend.doc", "Abrir Documento")</f>
        <v>0</v>
      </c>
      <c r="D16593" t="s">
        <v>23500</v>
      </c>
      <c r="E16593" t="s">
        <v>39068</v>
      </c>
    </row>
    <row r="16594" spans="1:5">
      <c r="A16594" t="s">
        <v>6</v>
      </c>
      <c r="B16594" t="s">
        <v>16599</v>
      </c>
      <c r="C16594">
        <f>HYPERLINK("C:\Users\franc\OneDrive\Documentos\MALENTIN KARIME\BANCO ESTADO\2012 DEPTO ESCRITURAS fata\Dc Simples\RESPALDO comp notaria 27_12_12\NOTARIA 2012\CONTRATOS\RESCILIACION DE CONTRATO AGRICOLA.doc", "Abrir Documento")</f>
        <v>0</v>
      </c>
      <c r="D16594" t="s">
        <v>23500</v>
      </c>
      <c r="E16594" t="s">
        <v>39069</v>
      </c>
    </row>
    <row r="16595" spans="1:5">
      <c r="A16595" t="s">
        <v>6</v>
      </c>
      <c r="B16595" t="s">
        <v>16600</v>
      </c>
      <c r="C16595">
        <f>HYPERLINK("C:\Users\franc\OneDrive\Documentos\MALENTIN KARIME\BANCO ESTADO\2012 DEPTO ESCRITURAS fata\Dc Simples\RESPALDO comp notaria 27_12_12\NOTARIA 2012\CONTRATOS\RESCILIACION DE CONTRATO AGRICOLA soc. la chimba.doc", "Abrir Documento")</f>
        <v>0</v>
      </c>
      <c r="D16595" t="s">
        <v>23500</v>
      </c>
      <c r="E16595" t="s">
        <v>39070</v>
      </c>
    </row>
    <row r="16596" spans="1:5">
      <c r="A16596" t="s">
        <v>6</v>
      </c>
      <c r="B16596" t="s">
        <v>16601</v>
      </c>
      <c r="C16596">
        <f>HYPERLINK("C:\Users\franc\OneDrive\Documentos\MALENTIN KARIME\BANCO ESTADO\2012 DEPTO ESCRITURAS fata\Dc Simples\RESPALDO comp notaria 27_12_12\NOTARIA 2012\CONTRATOS\RESCILIACION CASA.doc", "Abrir Documento")</f>
        <v>0</v>
      </c>
      <c r="D16596" t="s">
        <v>23500</v>
      </c>
      <c r="E16596" t="s">
        <v>39071</v>
      </c>
    </row>
    <row r="16597" spans="1:5">
      <c r="A16597" t="s">
        <v>6</v>
      </c>
      <c r="B16597" t="s">
        <v>16602</v>
      </c>
      <c r="C16597">
        <f>HYPERLINK("C:\Users\franc\OneDrive\Documentos\MALENTIN KARIME\BANCO ESTADO\2012 DEPTO ESCRITURAS fata\Dc Simples\RESPALDO comp notaria 27_12_12\NOTARIA 2012\CONTRATOS\RESC. INCUMPLIMIENTO.doc", "Abrir Documento")</f>
        <v>0</v>
      </c>
      <c r="D16597" t="s">
        <v>23500</v>
      </c>
      <c r="E16597" t="s">
        <v>39072</v>
      </c>
    </row>
    <row r="16598" spans="1:5">
      <c r="A16598" t="s">
        <v>6</v>
      </c>
      <c r="B16598" t="s">
        <v>16603</v>
      </c>
      <c r="C16598">
        <f>HYPERLINK("C:\Users\franc\OneDrive\Documentos\MALENTIN KARIME\BANCO ESTADO\2012 DEPTO ESCRITURAS fata\Dc Simples\RESPALDO comp notaria 27_12_12\NOTARIA 2012\CONTRATOS\RECIPAPER.doc", "Abrir Documento")</f>
        <v>0</v>
      </c>
      <c r="D16598" t="s">
        <v>23500</v>
      </c>
      <c r="E16598" t="s">
        <v>39073</v>
      </c>
    </row>
    <row r="16599" spans="1:5">
      <c r="A16599" t="s">
        <v>6</v>
      </c>
      <c r="B16599" t="s">
        <v>16604</v>
      </c>
      <c r="C16599">
        <f>HYPERLINK("C:\Users\franc\OneDrive\Documentos\MALENTIN KARIME\BANCO ESTADO\2012 DEPTO ESCRITURAS fata\Dc Simples\RESPALDO comp notaria 27_12_12\NOTARIA 2012\CONTRATOS\PROMESA VEHICULO.doc", "Abrir Documento")</f>
        <v>0</v>
      </c>
      <c r="D16599" t="s">
        <v>23500</v>
      </c>
      <c r="E16599" t="s">
        <v>39074</v>
      </c>
    </row>
    <row r="16600" spans="1:5">
      <c r="A16600" t="s">
        <v>6</v>
      </c>
      <c r="B16600" t="s">
        <v>16605</v>
      </c>
      <c r="C16600">
        <f>HYPERLINK("C:\Users\franc\OneDrive\Documentos\MALENTIN KARIME\BANCO ESTADO\2012 DEPTO ESCRITURAS fata\Dc Simples\RESPALDO comp notaria 27_12_12\NOTARIA 2012\CONTRATOS\PROMESA DE CASA.doc", "Abrir Documento")</f>
        <v>0</v>
      </c>
      <c r="D16600" t="s">
        <v>23500</v>
      </c>
      <c r="E16600" t="s">
        <v>39075</v>
      </c>
    </row>
    <row r="16601" spans="1:5">
      <c r="A16601" t="s">
        <v>6</v>
      </c>
      <c r="B16601" t="s">
        <v>16606</v>
      </c>
      <c r="C16601">
        <f>HYPERLINK("C:\Users\franc\OneDrive\Documentos\MALENTIN KARIME\BANCO ESTADO\2012 DEPTO ESCRITURAS fata\Dc Simples\RESPALDO comp notaria 27_12_12\NOTARIA 2012\CONTRATOS\PROMESA ARRIENDO.doc", "Abrir Documento")</f>
        <v>0</v>
      </c>
      <c r="D16601" t="s">
        <v>23500</v>
      </c>
      <c r="E16601" t="s">
        <v>39076</v>
      </c>
    </row>
    <row r="16602" spans="1:5">
      <c r="A16602" t="s">
        <v>6</v>
      </c>
      <c r="B16602" t="s">
        <v>16607</v>
      </c>
      <c r="C16602">
        <f>HYPERLINK("C:\Users\franc\OneDrive\Documentos\MALENTIN KARIME\BANCO ESTADO\2012 DEPTO ESCRITURAS fata\Dc Simples\RESPALDO comp notaria 27_12_12\NOTARIA 2012\CONTRATOS\PROMESA ARRIENDO II.doc", "Abrir Documento")</f>
        <v>0</v>
      </c>
      <c r="D16602" t="s">
        <v>23500</v>
      </c>
      <c r="E16602" t="s">
        <v>39077</v>
      </c>
    </row>
    <row r="16603" spans="1:5">
      <c r="A16603" t="s">
        <v>6</v>
      </c>
      <c r="B16603" t="s">
        <v>16608</v>
      </c>
      <c r="C16603">
        <f>HYPERLINK("C:\Users\franc\OneDrive\Documentos\MALENTIN KARIME\BANCO ESTADO\2012 DEPTO ESCRITURAS fata\Dc Simples\RESPALDO comp notaria 27_12_12\NOTARIA 2012\CONTRATOS\PRESTACION DE SERVICIOS DE TRANSPORTE ESCOLAR.doc", "Abrir Documento")</f>
        <v>0</v>
      </c>
      <c r="D16603" t="s">
        <v>23500</v>
      </c>
      <c r="E16603" t="s">
        <v>39078</v>
      </c>
    </row>
    <row r="16604" spans="1:5">
      <c r="A16604" t="s">
        <v>6</v>
      </c>
      <c r="B16604" t="s">
        <v>16609</v>
      </c>
      <c r="C16604">
        <f>HYPERLINK("C:\Users\franc\OneDrive\Documentos\MALENTIN KARIME\BANCO ESTADO\2012 DEPTO ESCRITURAS fata\Dc Simples\RESPALDO comp notaria 27_12_12\NOTARIA 2012\CONTRATOS\PRESTACION DE SERVICIOS DE CONSTRUCCION.doc", "Abrir Documento")</f>
        <v>0</v>
      </c>
      <c r="D16604" t="s">
        <v>23500</v>
      </c>
      <c r="E16604" t="s">
        <v>39079</v>
      </c>
    </row>
    <row r="16605" spans="1:5">
      <c r="A16605" t="s">
        <v>6</v>
      </c>
      <c r="B16605" t="s">
        <v>16610</v>
      </c>
      <c r="C16605">
        <f>HYPERLINK("C:\Users\franc\OneDrive\Documentos\MALENTIN KARIME\BANCO ESTADO\2012 DEPTO ESCRITURAS fata\Dc Simples\RESPALDO comp notaria 27_12_12\NOTARIA 2012\CONTRATOS\PRESTACION DE SERVICIOS DE BANQUETERIA.doc", "Abrir Documento")</f>
        <v>0</v>
      </c>
      <c r="D16605" t="s">
        <v>23500</v>
      </c>
      <c r="E16605" t="s">
        <v>39080</v>
      </c>
    </row>
    <row r="16606" spans="1:5">
      <c r="A16606" t="s">
        <v>6</v>
      </c>
      <c r="B16606" t="s">
        <v>16611</v>
      </c>
      <c r="C16606">
        <f>HYPERLINK("C:\Users\franc\OneDrive\Documentos\MALENTIN KARIME\BANCO ESTADO\2012 DEPTO ESCRITURAS fata\Dc Simples\RESPALDO comp notaria 27_12_12\NOTARIA 2012\CONTRATOS\PREST. SERVICIOS AGRIC..doc", "Abrir Documento")</f>
        <v>0</v>
      </c>
      <c r="D16606" t="s">
        <v>23500</v>
      </c>
      <c r="E16606" t="s">
        <v>39081</v>
      </c>
    </row>
    <row r="16607" spans="1:5">
      <c r="A16607" t="s">
        <v>6</v>
      </c>
      <c r="B16607" t="s">
        <v>16612</v>
      </c>
      <c r="C16607">
        <f>HYPERLINK("C:\Users\franc\OneDrive\Documentos\MALENTIN KARIME\BANCO ESTADO\2012 DEPTO ESCRITURAS fata\Dc Simples\RESPALDO comp notaria 27_12_12\NOTARIA 2012\CONTRATOS\PINBALL.doc", "Abrir Documento")</f>
        <v>0</v>
      </c>
      <c r="D16607" t="s">
        <v>23500</v>
      </c>
      <c r="E16607" t="s">
        <v>39082</v>
      </c>
    </row>
    <row r="16608" spans="1:5">
      <c r="A16608" t="s">
        <v>6</v>
      </c>
      <c r="B16608" t="s">
        <v>16613</v>
      </c>
      <c r="C16608">
        <f>HYPERLINK("C:\Users\franc\OneDrive\Documentos\MALENTIN KARIME\BANCO ESTADO\2012 DEPTO ESCRITURAS fata\Dc Simples\RESPALDO comp notaria 27_12_12\NOTARIA 2012\CONTRATOS\PANCHO Y AVEMOR.doc", "Abrir Documento")</f>
        <v>0</v>
      </c>
      <c r="D16608" t="s">
        <v>23500</v>
      </c>
      <c r="E16608" t="s">
        <v>39083</v>
      </c>
    </row>
    <row r="16609" spans="1:5">
      <c r="A16609" t="s">
        <v>6</v>
      </c>
      <c r="B16609" t="s">
        <v>16614</v>
      </c>
      <c r="C16609">
        <f>HYPERLINK("C:\Users\franc\OneDrive\Documentos\MALENTIN KARIME\BANCO ESTADO\2012 DEPTO ESCRITURAS fata\Dc Simples\RESPALDO comp notaria 27_12_12\NOTARIA 2012\CONTRATOS\OSCAR AGUIRRE.doc", "Abrir Documento")</f>
        <v>0</v>
      </c>
      <c r="D16609" t="s">
        <v>23500</v>
      </c>
      <c r="E16609" t="s">
        <v>39084</v>
      </c>
    </row>
    <row r="16610" spans="1:5">
      <c r="A16610" t="s">
        <v>6</v>
      </c>
      <c r="B16610" t="s">
        <v>16615</v>
      </c>
      <c r="C16610">
        <f>HYPERLINK("C:\Users\franc\OneDrive\Documentos\MALENTIN KARIME\BANCO ESTADO\2012 DEPTO ESCRITURAS fata\Dc Simples\RESPALDO comp notaria 27_12_12\NOTARIA 2012\CONTRATOS\ORQUESTA.doc", "Abrir Documento")</f>
        <v>0</v>
      </c>
      <c r="D16610" t="s">
        <v>23500</v>
      </c>
      <c r="E16610" t="s">
        <v>39085</v>
      </c>
    </row>
    <row r="16611" spans="1:5">
      <c r="A16611" t="s">
        <v>6</v>
      </c>
      <c r="B16611" t="s">
        <v>16616</v>
      </c>
      <c r="C16611">
        <f>HYPERLINK("C:\Users\franc\OneDrive\Documentos\MALENTIN KARIME\BANCO ESTADO\2012 DEPTO ESCRITURAS fata\Dc Simples\RESPALDO comp notaria 27_12_12\NOTARIA 2012\CONTRATOS\NORDIK GROUP LTDA..doc", "Abrir Documento")</f>
        <v>0</v>
      </c>
      <c r="D16611" t="s">
        <v>23500</v>
      </c>
      <c r="E16611" t="s">
        <v>39086</v>
      </c>
    </row>
    <row r="16612" spans="1:5">
      <c r="A16612" t="s">
        <v>6</v>
      </c>
      <c r="B16612" t="s">
        <v>16617</v>
      </c>
      <c r="C16612">
        <f>HYPERLINK("C:\Users\franc\OneDrive\Documentos\MALENTIN KARIME\BANCO ESTADO\2012 DEPTO ESCRITURAS fata\Dc Simples\RESPALDO comp notaria 27_12_12\NOTARIA 2012\CONTRATOS\MODULO FERIA MODELO.doc", "Abrir Documento")</f>
        <v>0</v>
      </c>
      <c r="D16612" t="s">
        <v>23500</v>
      </c>
      <c r="E16612" t="s">
        <v>39087</v>
      </c>
    </row>
    <row r="16613" spans="1:5">
      <c r="A16613" t="s">
        <v>6</v>
      </c>
      <c r="B16613" t="s">
        <v>16618</v>
      </c>
      <c r="C16613">
        <f>HYPERLINK("C:\Users\franc\OneDrive\Documentos\MALENTIN KARIME\BANCO ESTADO\2012 DEPTO ESCRITURAS fata\Dc Simples\RESPALDO comp notaria 27_12_12\NOTARIA 2012\CONTRATOS\LOCAL PATENTE,INVENTARIO.doc", "Abrir Documento")</f>
        <v>0</v>
      </c>
      <c r="D16613" t="s">
        <v>23500</v>
      </c>
      <c r="E16613" t="s">
        <v>39088</v>
      </c>
    </row>
    <row r="16614" spans="1:5">
      <c r="A16614" t="s">
        <v>6</v>
      </c>
      <c r="B16614" t="s">
        <v>16619</v>
      </c>
      <c r="C16614">
        <f>HYPERLINK("C:\Users\franc\OneDrive\Documentos\MALENTIN KARIME\BANCO ESTADO\2012 DEPTO ESCRITURAS fata\Dc Simples\RESPALDO comp notaria 27_12_12\NOTARIA 2012\CONTRATOS\LOCAL CON PERSONERIA.doc", "Abrir Documento")</f>
        <v>0</v>
      </c>
      <c r="D16614" t="s">
        <v>23500</v>
      </c>
      <c r="E16614" t="s">
        <v>39089</v>
      </c>
    </row>
    <row r="16615" spans="1:5">
      <c r="A16615" t="s">
        <v>6</v>
      </c>
      <c r="B16615" t="s">
        <v>16620</v>
      </c>
      <c r="C16615">
        <f>HYPERLINK("C:\Users\franc\OneDrive\Documentos\MALENTIN KARIME\BANCO ESTADO\2012 DEPTO ESCRITURAS fata\Dc Simples\RESPALDO comp notaria 27_12_12\NOTARIA 2012\CONTRATOS\LOCAL COMERCIAL.l.doc", "Abrir Documento")</f>
        <v>0</v>
      </c>
      <c r="D16615" t="s">
        <v>23500</v>
      </c>
      <c r="E16615" t="s">
        <v>39090</v>
      </c>
    </row>
    <row r="16616" spans="1:5">
      <c r="A16616" t="s">
        <v>6</v>
      </c>
      <c r="B16616" t="s">
        <v>16621</v>
      </c>
      <c r="C16616">
        <f>HYPERLINK("C:\Users\franc\OneDrive\Documentos\MALENTIN KARIME\BANCO ESTADO\2012 DEPTO ESCRITURAS fata\Dc Simples\RESPALDO comp notaria 27_12_12\NOTARIA 2012\CONTRATOS\LOCAL COMERCIAL.doc", "Abrir Documento")</f>
        <v>0</v>
      </c>
      <c r="D16616" t="s">
        <v>23500</v>
      </c>
      <c r="E16616" t="s">
        <v>39091</v>
      </c>
    </row>
    <row r="16617" spans="1:5">
      <c r="A16617" t="s">
        <v>6</v>
      </c>
      <c r="B16617" t="s">
        <v>16622</v>
      </c>
      <c r="C16617">
        <f>HYPERLINK("C:\Users\franc\OneDrive\Documentos\MALENTIN KARIME\BANCO ESTADO\2012 DEPTO ESCRITURAS fata\Dc Simples\RESPALDO comp notaria 27_12_12\NOTARIA 2012\CONTRATOS\LOCAL COMERCIAL ROSA CAÑETE.doc", "Abrir Documento")</f>
        <v>0</v>
      </c>
      <c r="D16617" t="s">
        <v>23500</v>
      </c>
      <c r="E16617" t="s">
        <v>39092</v>
      </c>
    </row>
    <row r="16618" spans="1:5">
      <c r="A16618" t="s">
        <v>6</v>
      </c>
      <c r="B16618" t="s">
        <v>16623</v>
      </c>
      <c r="C16618">
        <f>HYPERLINK("C:\Users\franc\OneDrive\Documentos\MALENTIN KARIME\BANCO ESTADO\2012 DEPTO ESCRITURAS fata\Dc Simples\RESPALDO comp notaria 27_12_12\NOTARIA 2012\CONTRATOS\LOCAL COMERCIAL NANCY ESTRELLA.doc", "Abrir Documento")</f>
        <v>0</v>
      </c>
      <c r="D16618" t="s">
        <v>23500</v>
      </c>
      <c r="E16618" t="s">
        <v>39093</v>
      </c>
    </row>
    <row r="16619" spans="1:5">
      <c r="A16619" t="s">
        <v>6</v>
      </c>
      <c r="B16619" t="s">
        <v>16624</v>
      </c>
      <c r="C16619">
        <f>HYPERLINK("C:\Users\franc\OneDrive\Documentos\MALENTIN KARIME\BANCO ESTADO\2012 DEPTO ESCRITURAS fata\Dc Simples\RESPALDO comp notaria 27_12_12\NOTARIA 2012\CONTRATOS\LOCAL COMERCIAL felix.doc", "Abrir Documento")</f>
        <v>0</v>
      </c>
      <c r="D16619" t="s">
        <v>23500</v>
      </c>
      <c r="E16619" t="s">
        <v>39094</v>
      </c>
    </row>
    <row r="16620" spans="1:5">
      <c r="A16620" t="s">
        <v>6</v>
      </c>
      <c r="B16620" t="s">
        <v>16625</v>
      </c>
      <c r="C16620">
        <f>HYPERLINK("C:\Users\franc\OneDrive\Documentos\MALENTIN KARIME\BANCO ESTADO\2012 DEPTO ESCRITURAS fata\Dc Simples\RESPALDO comp notaria 27_12_12\NOTARIA 2012\CONTRATOS\LOCAL COMERCIAL COMPAÑIA.doc", "Abrir Documento")</f>
        <v>0</v>
      </c>
      <c r="D16620" t="s">
        <v>23500</v>
      </c>
      <c r="E16620" t="s">
        <v>39095</v>
      </c>
    </row>
    <row r="16621" spans="1:5">
      <c r="A16621" t="s">
        <v>6</v>
      </c>
      <c r="B16621" t="s">
        <v>16626</v>
      </c>
      <c r="C16621">
        <f>HYPERLINK("C:\Users\franc\OneDrive\Documentos\MALENTIN KARIME\BANCO ESTADO\2012 DEPTO ESCRITURAS fata\Dc Simples\RESPALDO comp notaria 27_12_12\NOTARIA 2012\CONTRATOS\LEASING SUBARRIENDO.doc", "Abrir Documento")</f>
        <v>0</v>
      </c>
      <c r="D16621" t="s">
        <v>23500</v>
      </c>
      <c r="E16621" t="s">
        <v>39096</v>
      </c>
    </row>
    <row r="16622" spans="1:5">
      <c r="A16622" t="s">
        <v>6</v>
      </c>
      <c r="B16622" t="s">
        <v>16627</v>
      </c>
      <c r="C16622">
        <f>HYPERLINK("C:\Users\franc\OneDrive\Documentos\MALENTIN KARIME\BANCO ESTADO\2012 DEPTO ESCRITURAS fata\Dc Simples\RESPALDO comp notaria 27_12_12\NOTARIA 2012\CONTRATOS\KAREN.doc", "Abrir Documento")</f>
        <v>0</v>
      </c>
      <c r="D16622" t="s">
        <v>23500</v>
      </c>
      <c r="E16622" t="s">
        <v>39097</v>
      </c>
    </row>
    <row r="16623" spans="1:5">
      <c r="A16623" t="s">
        <v>6</v>
      </c>
      <c r="B16623" t="s">
        <v>16628</v>
      </c>
      <c r="C16623">
        <f>HYPERLINK("C:\Users\franc\OneDrive\Documentos\MALENTIN KARIME\BANCO ESTADO\2012 DEPTO ESCRITURAS fata\Dc Simples\RESPALDO comp notaria 27_12_12\NOTARIA 2012\CONTRATOS\INTEMED.doc", "Abrir Documento")</f>
        <v>0</v>
      </c>
      <c r="D16623" t="s">
        <v>23500</v>
      </c>
      <c r="E16623" t="s">
        <v>39098</v>
      </c>
    </row>
    <row r="16624" spans="1:5">
      <c r="A16624" t="s">
        <v>6</v>
      </c>
      <c r="B16624" t="s">
        <v>16629</v>
      </c>
      <c r="C16624">
        <f>HYPERLINK("C:\Users\franc\OneDrive\Documentos\MALENTIN KARIME\BANCO ESTADO\2012 DEPTO ESCRITURAS fata\Dc Simples\RESPALDO comp notaria 27_12_12\NOTARIA 2012\CONTRATOS\Gota de Leche pendiente.doc", "Abrir Documento")</f>
        <v>0</v>
      </c>
      <c r="D16624" t="s">
        <v>23500</v>
      </c>
      <c r="E16624" t="s">
        <v>39099</v>
      </c>
    </row>
    <row r="16625" spans="1:5">
      <c r="A16625" t="s">
        <v>6</v>
      </c>
      <c r="B16625" t="s">
        <v>16630</v>
      </c>
      <c r="C16625">
        <f>HYPERLINK("C:\Users\franc\OneDrive\Documentos\MALENTIN KARIME\BANCO ESTADO\2012 DEPTO ESCRITURAS fata\Dc Simples\RESPALDO comp notaria 27_12_12\NOTARIA 2012\CONTRATOS\GALPON.doc", "Abrir Documento")</f>
        <v>0</v>
      </c>
      <c r="D16625" t="s">
        <v>23500</v>
      </c>
      <c r="E16625" t="s">
        <v>39100</v>
      </c>
    </row>
    <row r="16626" spans="1:5">
      <c r="A16626" t="s">
        <v>6</v>
      </c>
      <c r="B16626" t="s">
        <v>16631</v>
      </c>
      <c r="C16626">
        <f>HYPERLINK("C:\Users\franc\OneDrive\Documentos\MALENTIN KARIME\BANCO ESTADO\2012 DEPTO ESCRITURAS fata\Dc Simples\RESPALDO comp notaria 27_12_12\NOTARIA 2012\CONTRATOS\FUNERARIA ALVARO.doc", "Abrir Documento")</f>
        <v>0</v>
      </c>
      <c r="D16626" t="s">
        <v>23500</v>
      </c>
      <c r="E16626" t="s">
        <v>39101</v>
      </c>
    </row>
    <row r="16627" spans="1:5">
      <c r="A16627" t="s">
        <v>6</v>
      </c>
      <c r="B16627" t="s">
        <v>16632</v>
      </c>
      <c r="C16627">
        <f>HYPERLINK("C:\Users\franc\OneDrive\Documentos\MALENTIN KARIME\BANCO ESTADO\2012 DEPTO ESCRITURAS fata\Dc Simples\RESPALDO comp notaria 27_12_12\NOTARIA 2012\CONTRATOS\COVALSA RESCILIACION.doc", "Abrir Documento")</f>
        <v>0</v>
      </c>
      <c r="D16627" t="s">
        <v>23500</v>
      </c>
      <c r="E16627" t="s">
        <v>39102</v>
      </c>
    </row>
    <row r="16628" spans="1:5">
      <c r="A16628" t="s">
        <v>6</v>
      </c>
      <c r="B16628" t="s">
        <v>16633</v>
      </c>
      <c r="C16628">
        <f>HYPERLINK("C:\Users\franc\OneDrive\Documentos\MALENTIN KARIME\BANCO ESTADO\2012 DEPTO ESCRITURAS fata\Dc Simples\RESPALDO comp notaria 27_12_12\NOTARIA 2012\CONTRATOS\CONTRATO DE CONSTRUCCION DE POZOS PROFUNDO PATY CLAUSSEN.doc", "Abrir Documento")</f>
        <v>0</v>
      </c>
      <c r="D16628" t="s">
        <v>23500</v>
      </c>
      <c r="E16628" t="s">
        <v>39103</v>
      </c>
    </row>
    <row r="16629" spans="1:5">
      <c r="A16629" t="s">
        <v>6</v>
      </c>
      <c r="B16629" t="s">
        <v>16634</v>
      </c>
      <c r="C16629">
        <f>HYPERLINK("C:\Users\franc\OneDrive\Documentos\MALENTIN KARIME\BANCO ESTADO\2012 DEPTO ESCRITURAS fata\Dc Simples\RESPALDO comp notaria 27_12_12\NOTARIA 2012\CONTRATOS\CONT. TALAJE.doc", "Abrir Documento")</f>
        <v>0</v>
      </c>
      <c r="D16629" t="s">
        <v>23500</v>
      </c>
      <c r="E16629" t="s">
        <v>39104</v>
      </c>
    </row>
    <row r="16630" spans="1:5">
      <c r="A16630" t="s">
        <v>6</v>
      </c>
      <c r="B16630" t="s">
        <v>16635</v>
      </c>
      <c r="C16630">
        <f>HYPERLINK("C:\Users\franc\OneDrive\Documentos\MALENTIN KARIME\BANCO ESTADO\2012 DEPTO ESCRITURAS fata\Dc Simples\RESPALDO comp notaria 27_12_12\NOTARIA 2012\CONTRATOS\CONT. TALAJE las mercedes.doc", "Abrir Documento")</f>
        <v>0</v>
      </c>
      <c r="D16630" t="s">
        <v>23500</v>
      </c>
      <c r="E16630" t="s">
        <v>39105</v>
      </c>
    </row>
    <row r="16631" spans="1:5">
      <c r="A16631" t="s">
        <v>6</v>
      </c>
      <c r="B16631" t="s">
        <v>16636</v>
      </c>
      <c r="C16631">
        <f>HYPERLINK("C:\Users\franc\OneDrive\Documentos\MALENTIN KARIME\BANCO ESTADO\2012 DEPTO ESCRITURAS fata\Dc Simples\RESPALDO comp notaria 27_12_12\NOTARIA 2012\CONTRATOS\CONT. ARIDO.doc", "Abrir Documento")</f>
        <v>0</v>
      </c>
      <c r="D16631" t="s">
        <v>23500</v>
      </c>
      <c r="E16631" t="s">
        <v>39106</v>
      </c>
    </row>
    <row r="16632" spans="1:5">
      <c r="A16632" t="s">
        <v>6</v>
      </c>
      <c r="B16632" t="s">
        <v>16637</v>
      </c>
      <c r="C16632">
        <f>HYPERLINK("C:\Users\franc\OneDrive\Documentos\MALENTIN KARIME\BANCO ESTADO\2012 DEPTO ESCRITURAS fata\Dc Simples\RESPALDO comp notaria 27_12_12\NOTARIA 2012\CONTRATOS\Compra dotaciones cogoti a carlos rojas (2).doc", "Abrir Documento")</f>
        <v>0</v>
      </c>
      <c r="D16632" t="s">
        <v>23500</v>
      </c>
      <c r="E16632" t="s">
        <v>39107</v>
      </c>
    </row>
    <row r="16633" spans="1:5">
      <c r="A16633" t="s">
        <v>6</v>
      </c>
      <c r="B16633" t="s">
        <v>16638</v>
      </c>
      <c r="C16633">
        <f>HYPERLINK("C:\Users\franc\OneDrive\Documentos\MALENTIN KARIME\BANCO ESTADO\2012 DEPTO ESCRITURAS fata\Dc Simples\RESPALDO comp notaria 27_12_12\NOTARIA 2012\CONTRATOS\COMPRA 50%.doc", "Abrir Documento")</f>
        <v>0</v>
      </c>
      <c r="D16633" t="s">
        <v>23500</v>
      </c>
      <c r="E16633" t="s">
        <v>39108</v>
      </c>
    </row>
    <row r="16634" spans="1:5">
      <c r="A16634" t="s">
        <v>6</v>
      </c>
      <c r="B16634" t="s">
        <v>16639</v>
      </c>
      <c r="C16634">
        <f>HYPERLINK("C:\Users\franc\OneDrive\Documentos\MALENTIN KARIME\BANCO ESTADO\2012 DEPTO ESCRITURAS fata\Dc Simples\RESPALDO comp notaria 27_12_12\NOTARIA 2012\CONTRATOS\COMODATO.doc", "Abrir Documento")</f>
        <v>0</v>
      </c>
      <c r="D16634" t="s">
        <v>23500</v>
      </c>
      <c r="E16634" t="s">
        <v>39109</v>
      </c>
    </row>
    <row r="16635" spans="1:5">
      <c r="A16635" t="s">
        <v>6</v>
      </c>
      <c r="B16635" t="s">
        <v>16640</v>
      </c>
      <c r="C16635">
        <f>HYPERLINK("C:\Users\franc\OneDrive\Documentos\MALENTIN KARIME\BANCO ESTADO\2012 DEPTO ESCRITURAS fata\Dc Simples\RESPALDO comp notaria 27_12_12\NOTARIA 2012\CONTRATOS\COMODATO VEHICULO.doc", "Abrir Documento")</f>
        <v>0</v>
      </c>
      <c r="D16635" t="s">
        <v>23500</v>
      </c>
      <c r="E16635" t="s">
        <v>39110</v>
      </c>
    </row>
    <row r="16636" spans="1:5">
      <c r="A16636" t="s">
        <v>6</v>
      </c>
      <c r="B16636" t="s">
        <v>16641</v>
      </c>
      <c r="C16636">
        <f>HYPERLINK("C:\Users\franc\OneDrive\Documentos\MALENTIN KARIME\BANCO ESTADO\2012 DEPTO ESCRITURAS fata\Dc Simples\RESPALDO comp notaria 27_12_12\NOTARIA 2012\CONTRATOS\COMODATO VEH..doc", "Abrir Documento")</f>
        <v>0</v>
      </c>
      <c r="D16636" t="s">
        <v>23500</v>
      </c>
      <c r="E16636" t="s">
        <v>39111</v>
      </c>
    </row>
    <row r="16637" spans="1:5">
      <c r="A16637" t="s">
        <v>6</v>
      </c>
      <c r="B16637" t="s">
        <v>16642</v>
      </c>
      <c r="C16637">
        <f>HYPERLINK("C:\Users\franc\OneDrive\Documentos\MALENTIN KARIME\BANCO ESTADO\2012 DEPTO ESCRITURAS fata\Dc Simples\RESPALDO comp notaria 27_12_12\NOTARIA 2012\CONTRATOS\COMODATO sucesion mora ordenes.doc", "Abrir Documento")</f>
        <v>0</v>
      </c>
      <c r="D16637" t="s">
        <v>23500</v>
      </c>
      <c r="E16637" t="s">
        <v>39112</v>
      </c>
    </row>
    <row r="16638" spans="1:5">
      <c r="A16638" t="s">
        <v>6</v>
      </c>
      <c r="B16638" t="s">
        <v>16643</v>
      </c>
      <c r="C16638">
        <f>HYPERLINK("C:\Users\franc\OneDrive\Documentos\MALENTIN KARIME\BANCO ESTADO\2012 DEPTO ESCRITURAS fata\Dc Simples\RESPALDO comp notaria 27_12_12\NOTARIA 2012\CONTRATOS\COMODATO modelo.doc", "Abrir Documento")</f>
        <v>0</v>
      </c>
      <c r="D16638" t="s">
        <v>23500</v>
      </c>
      <c r="E16638" t="s">
        <v>39113</v>
      </c>
    </row>
    <row r="16639" spans="1:5">
      <c r="A16639" t="s">
        <v>6</v>
      </c>
      <c r="B16639" t="s">
        <v>16644</v>
      </c>
      <c r="C16639">
        <f>HYPERLINK("C:\Users\franc\OneDrive\Documentos\MALENTIN KARIME\BANCO ESTADO\2012 DEPTO ESCRITURAS fata\Dc Simples\RESPALDO comp notaria 27_12_12\NOTARIA 2012\CONTRATOS\COMODATO JULIETA VEGA.doc", "Abrir Documento")</f>
        <v>0</v>
      </c>
      <c r="D16639" t="s">
        <v>23500</v>
      </c>
      <c r="E16639" t="s">
        <v>39114</v>
      </c>
    </row>
    <row r="16640" spans="1:5">
      <c r="A16640" t="s">
        <v>6</v>
      </c>
      <c r="B16640" t="s">
        <v>16645</v>
      </c>
      <c r="C16640">
        <f>HYPERLINK("C:\Users\franc\OneDrive\Documentos\MALENTIN KARIME\BANCO ESTADO\2012 DEPTO ESCRITURAS fata\Dc Simples\RESPALDO comp notaria 27_12_12\NOTARIA 2012\CONTRATOS\COMODATO ELIANA LOPEZ.doc", "Abrir Documento")</f>
        <v>0</v>
      </c>
      <c r="D16640" t="s">
        <v>23500</v>
      </c>
      <c r="E16640" t="s">
        <v>39115</v>
      </c>
    </row>
    <row r="16641" spans="1:5">
      <c r="A16641" t="s">
        <v>6</v>
      </c>
      <c r="B16641" t="s">
        <v>16646</v>
      </c>
      <c r="C16641">
        <f>HYPERLINK("C:\Users\franc\OneDrive\Documentos\MALENTIN KARIME\BANCO ESTADO\2012 DEPTO ESCRITURAS fata\Dc Simples\RESPALDO comp notaria 27_12_12\NOTARIA 2012\CONTRATOS\COMODATO Aglaye.doc", "Abrir Documento")</f>
        <v>0</v>
      </c>
      <c r="D16641" t="s">
        <v>23500</v>
      </c>
      <c r="E16641" t="s">
        <v>39116</v>
      </c>
    </row>
    <row r="16642" spans="1:5">
      <c r="A16642" t="s">
        <v>6</v>
      </c>
      <c r="B16642" t="s">
        <v>16647</v>
      </c>
      <c r="C16642">
        <f>HYPERLINK("C:\Users\franc\OneDrive\Documentos\MALENTIN KARIME\BANCO ESTADO\2012 DEPTO ESCRITURAS fata\Dc Simples\RESPALDO comp notaria 27_12_12\NOTARIA 2012\CONTRATOS\CESION.doc", "Abrir Documento")</f>
        <v>0</v>
      </c>
      <c r="D16642" t="s">
        <v>23500</v>
      </c>
      <c r="E16642" t="s">
        <v>39117</v>
      </c>
    </row>
    <row r="16643" spans="1:5">
      <c r="A16643" t="s">
        <v>6</v>
      </c>
      <c r="B16643" t="s">
        <v>16648</v>
      </c>
      <c r="C16643">
        <f>HYPERLINK("C:\Users\franc\OneDrive\Documentos\MALENTIN KARIME\BANCO ESTADO\2012 DEPTO ESCRITURAS fata\Dc Simples\RESPALDO comp notaria 27_12_12\NOTARIA 2012\CONTRATOS\CESION GARTUITA.doc", "Abrir Documento")</f>
        <v>0</v>
      </c>
      <c r="D16643" t="s">
        <v>23500</v>
      </c>
      <c r="E16643" t="s">
        <v>39118</v>
      </c>
    </row>
    <row r="16644" spans="1:5">
      <c r="A16644" t="s">
        <v>6</v>
      </c>
      <c r="B16644" t="s">
        <v>16649</v>
      </c>
      <c r="C16644">
        <f>HYPERLINK("C:\Users\franc\OneDrive\Documentos\MALENTIN KARIME\BANCO ESTADO\2012 DEPTO ESCRITURAS fata\Dc Simples\RESPALDO comp notaria 27_12_12\NOTARIA 2012\CONTRATOS\CESION FERIA.doc", "Abrir Documento")</f>
        <v>0</v>
      </c>
      <c r="D16644" t="s">
        <v>23500</v>
      </c>
      <c r="E16644" t="s">
        <v>39119</v>
      </c>
    </row>
    <row r="16645" spans="1:5">
      <c r="A16645" t="s">
        <v>6</v>
      </c>
      <c r="B16645" t="s">
        <v>16650</v>
      </c>
      <c r="C16645">
        <f>HYPERLINK("C:\Users\franc\OneDrive\Documentos\MALENTIN KARIME\BANCO ESTADO\2012 DEPTO ESCRITURAS fata\Dc Simples\RESPALDO comp notaria 27_12_12\NOTARIA 2012\CONTRATOS\CESION 50% compresor.doc", "Abrir Documento")</f>
        <v>0</v>
      </c>
      <c r="D16645" t="s">
        <v>23500</v>
      </c>
      <c r="E16645" t="s">
        <v>39120</v>
      </c>
    </row>
    <row r="16646" spans="1:5">
      <c r="A16646" t="s">
        <v>6</v>
      </c>
      <c r="B16646" t="s">
        <v>16651</v>
      </c>
      <c r="C16646">
        <f>HYPERLINK("C:\Users\franc\OneDrive\Documentos\MALENTIN KARIME\BANCO ESTADO\2012 DEPTO ESCRITURAS fata\Dc Simples\RESPALDO comp notaria 27_12_12\NOTARIA 2012\CONTRATOS\CASA CON REP..doc", "Abrir Documento")</f>
        <v>0</v>
      </c>
      <c r="D16646" t="s">
        <v>23500</v>
      </c>
      <c r="E16646" t="s">
        <v>39121</v>
      </c>
    </row>
    <row r="16647" spans="1:5">
      <c r="A16647" t="s">
        <v>6</v>
      </c>
      <c r="B16647" t="s">
        <v>16652</v>
      </c>
      <c r="C16647">
        <f>HYPERLINK("C:\Users\franc\OneDrive\Documentos\MALENTIN KARIME\BANCO ESTADO\2012 DEPTO ESCRITURAS fata\Dc Simples\RESPALDO comp notaria 27_12_12\NOTARIA 2012\CONTRATOS\CARRO ARRASTRE.doc", "Abrir Documento")</f>
        <v>0</v>
      </c>
      <c r="D16647" t="s">
        <v>23500</v>
      </c>
      <c r="E16647" t="s">
        <v>39122</v>
      </c>
    </row>
    <row r="16648" spans="1:5">
      <c r="A16648" t="s">
        <v>6</v>
      </c>
      <c r="B16648" t="s">
        <v>16653</v>
      </c>
      <c r="C16648">
        <f>HYPERLINK("C:\Users\franc\OneDrive\Documentos\MALENTIN KARIME\BANCO ESTADO\2012 DEPTO ESCRITURAS fata\Dc Simples\RESPALDO comp notaria 27_12_12\NOTARIA 2012\CONTRATOS\C.VENTA VARIAS MAQUINARIAS.doc", "Abrir Documento")</f>
        <v>0</v>
      </c>
      <c r="D16648" t="s">
        <v>23500</v>
      </c>
      <c r="E16648" t="s">
        <v>39123</v>
      </c>
    </row>
    <row r="16649" spans="1:5">
      <c r="A16649" t="s">
        <v>6</v>
      </c>
      <c r="B16649" t="s">
        <v>16654</v>
      </c>
      <c r="C16649">
        <f>HYPERLINK("C:\Users\franc\OneDrive\Documentos\MALENTIN KARIME\BANCO ESTADO\2012 DEPTO ESCRITURAS fata\Dc Simples\RESPALDO comp notaria 27_12_12\NOTARIA 2012\CONTRATOS\C.VENTA TRACTOR.doc", "Abrir Documento")</f>
        <v>0</v>
      </c>
      <c r="D16649" t="s">
        <v>23500</v>
      </c>
      <c r="E16649" t="s">
        <v>39124</v>
      </c>
    </row>
    <row r="16650" spans="1:5">
      <c r="A16650" t="s">
        <v>6</v>
      </c>
      <c r="B16650" t="s">
        <v>16655</v>
      </c>
      <c r="C16650">
        <f>HYPERLINK("C:\Users\franc\OneDrive\Documentos\MALENTIN KARIME\BANCO ESTADO\2012 DEPTO ESCRITURAS fata\Dc Simples\RESPALDO comp notaria 27_12_12\NOTARIA 2012\CONTRATOS\C.VENTA TAXIMETRO.doc", "Abrir Documento")</f>
        <v>0</v>
      </c>
      <c r="D16650" t="s">
        <v>23500</v>
      </c>
      <c r="E16650" t="s">
        <v>39125</v>
      </c>
    </row>
    <row r="16651" spans="1:5">
      <c r="A16651" t="s">
        <v>6</v>
      </c>
      <c r="B16651" t="s">
        <v>16656</v>
      </c>
      <c r="C16651">
        <f>HYPERLINK("C:\Users\franc\OneDrive\Documentos\MALENTIN KARIME\BANCO ESTADO\2012 DEPTO ESCRITURAS fata\Dc Simples\RESPALDO comp notaria 27_12_12\NOTARIA 2012\CONTRATOS\C.VENTA SCOOP.doc", "Abrir Documento")</f>
        <v>0</v>
      </c>
      <c r="D16651" t="s">
        <v>23500</v>
      </c>
      <c r="E16651" t="s">
        <v>39126</v>
      </c>
    </row>
    <row r="16652" spans="1:5">
      <c r="A16652" t="s">
        <v>6</v>
      </c>
      <c r="B16652" t="s">
        <v>16657</v>
      </c>
      <c r="C16652">
        <f>HYPERLINK("C:\Users\franc\OneDrive\Documentos\MALENTIN KARIME\BANCO ESTADO\2012 DEPTO ESCRITURAS fata\Dc Simples\RESPALDO comp notaria 27_12_12\NOTARIA 2012\CONTRATOS\C.VENTA PATENTE.doc", "Abrir Documento")</f>
        <v>0</v>
      </c>
      <c r="D16652" t="s">
        <v>23500</v>
      </c>
      <c r="E16652" t="s">
        <v>39127</v>
      </c>
    </row>
    <row r="16653" spans="1:5">
      <c r="A16653" t="s">
        <v>6</v>
      </c>
      <c r="B16653" t="s">
        <v>16658</v>
      </c>
      <c r="C16653">
        <f>HYPERLINK("C:\Users\franc\OneDrive\Documentos\MALENTIN KARIME\BANCO ESTADO\2012 DEPTO ESCRITURAS fata\Dc Simples\RESPALDO comp notaria 27_12_12\NOTARIA 2012\CONTRATOS\C.VENTA PATENTE Modelo 2013.doc", "Abrir Documento")</f>
        <v>0</v>
      </c>
      <c r="D16653" t="s">
        <v>23500</v>
      </c>
      <c r="E16653" t="s">
        <v>39128</v>
      </c>
    </row>
    <row r="16654" spans="1:5">
      <c r="A16654" t="s">
        <v>6</v>
      </c>
      <c r="B16654" t="s">
        <v>16659</v>
      </c>
      <c r="C16654">
        <f>HYPERLINK("C:\Users\franc\OneDrive\Documentos\MALENTIN KARIME\BANCO ESTADO\2012 DEPTO ESCRITURAS fata\Dc Simples\RESPALDO comp notaria 27_12_12\NOTARIA 2012\CONTRATOS\C.VENTA MOTOR.doc", "Abrir Documento")</f>
        <v>0</v>
      </c>
      <c r="D16654" t="s">
        <v>23500</v>
      </c>
      <c r="E16654" t="s">
        <v>39129</v>
      </c>
    </row>
    <row r="16655" spans="1:5">
      <c r="A16655" t="s">
        <v>6</v>
      </c>
      <c r="B16655" t="s">
        <v>16660</v>
      </c>
      <c r="C16655">
        <f>HYPERLINK("C:\Users\franc\OneDrive\Documentos\MALENTIN KARIME\BANCO ESTADO\2012 DEPTO ESCRITURAS fata\Dc Simples\RESPALDO comp notaria 27_12_12\NOTARIA 2012\CONTRATOS\C.VENTA MOTO.doc", "Abrir Documento")</f>
        <v>0</v>
      </c>
      <c r="D16655" t="s">
        <v>23500</v>
      </c>
      <c r="E16655" t="s">
        <v>39130</v>
      </c>
    </row>
    <row r="16656" spans="1:5">
      <c r="A16656" t="s">
        <v>6</v>
      </c>
      <c r="B16656" t="s">
        <v>16661</v>
      </c>
      <c r="C16656">
        <f>HYPERLINK("C:\Users\franc\OneDrive\Documentos\MALENTIN KARIME\BANCO ESTADO\2012 DEPTO ESCRITURAS fata\Dc Simples\RESPALDO comp notaria 27_12_12\NOTARIA 2012\CONTRATOS\C.VENTA MEJORA.doc", "Abrir Documento")</f>
        <v>0</v>
      </c>
      <c r="D16656" t="s">
        <v>23500</v>
      </c>
      <c r="E16656" t="s">
        <v>39131</v>
      </c>
    </row>
    <row r="16657" spans="1:5">
      <c r="A16657" t="s">
        <v>6</v>
      </c>
      <c r="B16657" t="s">
        <v>16662</v>
      </c>
      <c r="C16657">
        <f>HYPERLINK("C:\Users\franc\OneDrive\Documentos\MALENTIN KARIME\BANCO ESTADO\2012 DEPTO ESCRITURAS fata\Dc Simples\RESPALDO comp notaria 27_12_12\NOTARIA 2012\CONTRATOS\C.VENTA MEDIA AGUA.doc", "Abrir Documento")</f>
        <v>0</v>
      </c>
      <c r="D16657" t="s">
        <v>23500</v>
      </c>
      <c r="E16657" t="s">
        <v>39132</v>
      </c>
    </row>
    <row r="16658" spans="1:5">
      <c r="A16658" t="s">
        <v>6</v>
      </c>
      <c r="B16658" t="s">
        <v>16663</v>
      </c>
      <c r="C16658">
        <f>HYPERLINK("C:\Users\franc\OneDrive\Documentos\MALENTIN KARIME\BANCO ESTADO\2012 DEPTO ESCRITURAS fata\Dc Simples\RESPALDO comp notaria 27_12_12\NOTARIA 2012\CONTRATOS\C.VENTA maquina.doc", "Abrir Documento")</f>
        <v>0</v>
      </c>
      <c r="D16658" t="s">
        <v>23500</v>
      </c>
      <c r="E16658" t="s">
        <v>39133</v>
      </c>
    </row>
    <row r="16659" spans="1:5">
      <c r="A16659" t="s">
        <v>6</v>
      </c>
      <c r="B16659" t="s">
        <v>16664</v>
      </c>
      <c r="C16659">
        <f>HYPERLINK("C:\Users\franc\OneDrive\Documentos\MALENTIN KARIME\BANCO ESTADO\2012 DEPTO ESCRITURAS fata\Dc Simples\RESPALDO comp notaria 27_12_12\NOTARIA 2012\CONTRATOS\C.VENTA MAQUINA DESTREZA.doc", "Abrir Documento")</f>
        <v>0</v>
      </c>
      <c r="D16659" t="s">
        <v>23500</v>
      </c>
      <c r="E16659" t="s">
        <v>39134</v>
      </c>
    </row>
    <row r="16660" spans="1:5">
      <c r="A16660" t="s">
        <v>6</v>
      </c>
      <c r="B16660" t="s">
        <v>16665</v>
      </c>
      <c r="C16660">
        <f>HYPERLINK("C:\Users\franc\OneDrive\Documentos\MALENTIN KARIME\BANCO ESTADO\2012 DEPTO ESCRITURAS fata\Dc Simples\RESPALDO comp notaria 27_12_12\NOTARIA 2012\CONTRATOS\C.VENTA MAQUINA CAMPO.doc", "Abrir Documento")</f>
        <v>0</v>
      </c>
      <c r="D16660" t="s">
        <v>23500</v>
      </c>
      <c r="E16660" t="s">
        <v>39135</v>
      </c>
    </row>
    <row r="16661" spans="1:5">
      <c r="A16661" t="s">
        <v>6</v>
      </c>
      <c r="B16661" t="s">
        <v>16666</v>
      </c>
      <c r="C16661">
        <f>HYPERLINK("C:\Users\franc\OneDrive\Documentos\MALENTIN KARIME\BANCO ESTADO\2012 DEPTO ESCRITURAS fata\Dc Simples\RESPALDO comp notaria 27_12_12\NOTARIA 2012\CONTRATOS\C.VENTA GRUA HORQUILLA.doc", "Abrir Documento")</f>
        <v>0</v>
      </c>
      <c r="D16661" t="s">
        <v>23500</v>
      </c>
      <c r="E16661" t="s">
        <v>39136</v>
      </c>
    </row>
    <row r="16662" spans="1:5">
      <c r="A16662" t="s">
        <v>6</v>
      </c>
      <c r="B16662" t="s">
        <v>16667</v>
      </c>
      <c r="C16662">
        <f>HYPERLINK("C:\Users\franc\OneDrive\Documentos\MALENTIN KARIME\BANCO ESTADO\2012 DEPTO ESCRITURAS fata\Dc Simples\RESPALDO comp notaria 27_12_12\NOTARIA 2012\CONTRATOS\C.VENTA FRIGORIFICO.doc", "Abrir Documento")</f>
        <v>0</v>
      </c>
      <c r="D16662" t="s">
        <v>23500</v>
      </c>
      <c r="E16662" t="s">
        <v>39137</v>
      </c>
    </row>
    <row r="16663" spans="1:5">
      <c r="A16663" t="s">
        <v>6</v>
      </c>
      <c r="B16663" t="s">
        <v>16668</v>
      </c>
      <c r="C16663">
        <f>HYPERLINK("C:\Users\franc\OneDrive\Documentos\MALENTIN KARIME\BANCO ESTADO\2012 DEPTO ESCRITURAS fata\Dc Simples\RESPALDO comp notaria 27_12_12\NOTARIA 2012\CONTRATOS\C.VENTA CONTENEDOR.doc", "Abrir Documento")</f>
        <v>0</v>
      </c>
      <c r="D16663" t="s">
        <v>23500</v>
      </c>
      <c r="E16663" t="s">
        <v>39138</v>
      </c>
    </row>
    <row r="16664" spans="1:5">
      <c r="A16664" t="s">
        <v>6</v>
      </c>
      <c r="B16664" t="s">
        <v>16669</v>
      </c>
      <c r="C16664">
        <f>HYPERLINK("C:\Users\franc\OneDrive\Documentos\MALENTIN KARIME\BANCO ESTADO\2012 DEPTO ESCRITURAS fata\Dc Simples\RESPALDO comp notaria 27_12_12\NOTARIA 2012\CONTRATOS\C.VENTA CASA PREFABRICADA.doc", "Abrir Documento")</f>
        <v>0</v>
      </c>
      <c r="D16664" t="s">
        <v>23500</v>
      </c>
      <c r="E16664" t="s">
        <v>39139</v>
      </c>
    </row>
    <row r="16665" spans="1:5">
      <c r="A16665" t="s">
        <v>6</v>
      </c>
      <c r="B16665" t="s">
        <v>16670</v>
      </c>
      <c r="C16665">
        <f>HYPERLINK("C:\Users\franc\OneDrive\Documentos\MALENTIN KARIME\BANCO ESTADO\2012 DEPTO ESCRITURAS fata\Dc Simples\RESPALDO comp notaria 27_12_12\NOTARIA 2012\CONTRATOS\C.VENTA BOTE.doc", "Abrir Documento")</f>
        <v>0</v>
      </c>
      <c r="D16665" t="s">
        <v>23500</v>
      </c>
      <c r="E16665" t="s">
        <v>39140</v>
      </c>
    </row>
    <row r="16666" spans="1:5">
      <c r="A16666" t="s">
        <v>6</v>
      </c>
      <c r="B16666" t="s">
        <v>16671</v>
      </c>
      <c r="C16666">
        <f>HYPERLINK("C:\Users\franc\OneDrive\Documentos\MALENTIN KARIME\BANCO ESTADO\2012 DEPTO ESCRITURAS fata\Dc Simples\RESPALDO comp notaria 27_12_12\NOTARIA 2012\CONTRATOS\C.VENTA BOSQUE.doc", "Abrir Documento")</f>
        <v>0</v>
      </c>
      <c r="D16666" t="s">
        <v>23500</v>
      </c>
      <c r="E16666" t="s">
        <v>39141</v>
      </c>
    </row>
    <row r="16667" spans="1:5">
      <c r="A16667" t="s">
        <v>6</v>
      </c>
      <c r="B16667" t="s">
        <v>16672</v>
      </c>
      <c r="C16667">
        <f>HYPERLINK("C:\Users\franc\OneDrive\Documentos\MALENTIN KARIME\BANCO ESTADO\2012 DEPTO ESCRITURAS fata\Dc Simples\RESPALDO comp notaria 27_12_12\NOTARIA 2012\CONTRATOS\C.VENTA BIENES USADOS.doc", "Abrir Documento")</f>
        <v>0</v>
      </c>
      <c r="D16667" t="s">
        <v>23500</v>
      </c>
      <c r="E16667" t="s">
        <v>39142</v>
      </c>
    </row>
    <row r="16668" spans="1:5">
      <c r="A16668" t="s">
        <v>6</v>
      </c>
      <c r="B16668" t="s">
        <v>16673</v>
      </c>
      <c r="C16668">
        <f>HYPERLINK("C:\Users\franc\OneDrive\Documentos\MALENTIN KARIME\BANCO ESTADO\2012 DEPTO ESCRITURAS fata\Dc Simples\RESPALDO comp notaria 27_12_12\NOTARIA 2012\CONTRATOS\C.VENTA ARADO.doc", "Abrir Documento")</f>
        <v>0</v>
      </c>
      <c r="D16668" t="s">
        <v>23500</v>
      </c>
      <c r="E16668" t="s">
        <v>39143</v>
      </c>
    </row>
    <row r="16669" spans="1:5">
      <c r="A16669" t="s">
        <v>6</v>
      </c>
      <c r="B16669" t="s">
        <v>16674</v>
      </c>
      <c r="C16669">
        <f>HYPERLINK("C:\Users\franc\OneDrive\Documentos\MALENTIN KARIME\BANCO ESTADO\2012 DEPTO ESCRITURAS fata\Dc Simples\RESPALDO comp notaria 27_12_12\NOTARIA 2012\CONTRATOS\C.VENTA animales.doc", "Abrir Documento")</f>
        <v>0</v>
      </c>
      <c r="D16669" t="s">
        <v>23500</v>
      </c>
      <c r="E16669" t="s">
        <v>39144</v>
      </c>
    </row>
    <row r="16670" spans="1:5">
      <c r="A16670" t="s">
        <v>6</v>
      </c>
      <c r="B16670" t="s">
        <v>16675</v>
      </c>
      <c r="C16670">
        <f>HYPERLINK("C:\Users\franc\OneDrive\Documentos\MALENTIN KARIME\BANCO ESTADO\2012 DEPTO ESCRITURAS fata\Dc Simples\RESPALDO comp notaria 27_12_12\NOTARIA 2012\CONTRATOS\C.V. CARRO HECHIZO.doc", "Abrir Documento")</f>
        <v>0</v>
      </c>
      <c r="D16670" t="s">
        <v>23500</v>
      </c>
      <c r="E16670" t="s">
        <v>39145</v>
      </c>
    </row>
    <row r="16671" spans="1:5">
      <c r="A16671" t="s">
        <v>6</v>
      </c>
      <c r="B16671" t="s">
        <v>16676</v>
      </c>
      <c r="C16671">
        <f>HYPERLINK("C:\Users\franc\OneDrive\Documentos\MALENTIN KARIME\BANCO ESTADO\2012 DEPTO ESCRITURAS fata\Dc Simples\RESPALDO comp notaria 27_12_12\NOTARIA 2012\CONTRATOS\AVENIMIENTO.doc", "Abrir Documento")</f>
        <v>0</v>
      </c>
      <c r="D16671" t="s">
        <v>23500</v>
      </c>
      <c r="E16671" t="s">
        <v>39146</v>
      </c>
    </row>
    <row r="16672" spans="1:5">
      <c r="A16672" t="s">
        <v>6</v>
      </c>
      <c r="B16672" t="s">
        <v>16677</v>
      </c>
      <c r="C16672">
        <f>HYPERLINK("C:\Users\franc\OneDrive\Documentos\MALENTIN KARIME\BANCO ESTADO\2012 DEPTO ESCRITURAS fata\Dc Simples\RESPALDO comp notaria 27_12_12\NOTARIA 2012\CONTRATOS\AVENIMIENTO SIERRA.doc", "Abrir Documento")</f>
        <v>0</v>
      </c>
      <c r="D16672" t="s">
        <v>23500</v>
      </c>
      <c r="E16672" t="s">
        <v>39147</v>
      </c>
    </row>
    <row r="16673" spans="1:5">
      <c r="A16673" t="s">
        <v>6</v>
      </c>
      <c r="B16673" t="s">
        <v>16678</v>
      </c>
      <c r="C16673">
        <f>HYPERLINK("C:\Users\franc\OneDrive\Documentos\MALENTIN KARIME\BANCO ESTADO\2012 DEPTO ESCRITURAS fata\Dc Simples\RESPALDO comp notaria 27_12_12\NOTARIA 2012\CONTRATOS\AVENIMIENTO robles.doc", "Abrir Documento")</f>
        <v>0</v>
      </c>
      <c r="D16673" t="s">
        <v>23500</v>
      </c>
      <c r="E16673" t="s">
        <v>39148</v>
      </c>
    </row>
    <row r="16674" spans="1:5">
      <c r="A16674" t="s">
        <v>6</v>
      </c>
      <c r="B16674" t="s">
        <v>16679</v>
      </c>
      <c r="C16674">
        <f>HYPERLINK("C:\Users\franc\OneDrive\Documentos\MALENTIN KARIME\BANCO ESTADO\2012 DEPTO ESCRITURAS fata\Dc Simples\RESPALDO comp notaria 27_12_12\NOTARIA 2012\CONTRATOS\AVENIMIENTO OLAVE.doc", "Abrir Documento")</f>
        <v>0</v>
      </c>
      <c r="D16674" t="s">
        <v>23500</v>
      </c>
      <c r="E16674" t="s">
        <v>39149</v>
      </c>
    </row>
    <row r="16675" spans="1:5">
      <c r="A16675" t="s">
        <v>6</v>
      </c>
      <c r="B16675" t="s">
        <v>16680</v>
      </c>
      <c r="C16675">
        <f>HYPERLINK("C:\Users\franc\OneDrive\Documentos\MALENTIN KARIME\BANCO ESTADO\2012 DEPTO ESCRITURAS fata\Dc Simples\RESPALDO comp notaria 27_12_12\NOTARIA 2012\CONTRATOS\AVENIMIENTO II.doc", "Abrir Documento")</f>
        <v>0</v>
      </c>
      <c r="D16675" t="s">
        <v>23500</v>
      </c>
      <c r="E16675" t="s">
        <v>39150</v>
      </c>
    </row>
    <row r="16676" spans="1:5">
      <c r="A16676" t="s">
        <v>6</v>
      </c>
      <c r="B16676" t="s">
        <v>16681</v>
      </c>
      <c r="C16676">
        <f>HYPERLINK("C:\Users\franc\OneDrive\Documentos\MALENTIN KARIME\BANCO ESTADO\2012 DEPTO ESCRITURAS fata\Dc Simples\RESPALDO comp notaria 27_12_12\NOTARIA 2012\CONTRATOS\ARRIENDO CASA SIMPLE.doc", "Abrir Documento")</f>
        <v>0</v>
      </c>
      <c r="D16676" t="s">
        <v>23500</v>
      </c>
      <c r="E16676" t="s">
        <v>39151</v>
      </c>
    </row>
    <row r="16677" spans="1:5">
      <c r="A16677" t="s">
        <v>6</v>
      </c>
      <c r="B16677" t="s">
        <v>16682</v>
      </c>
      <c r="C16677">
        <f>HYPERLINK("C:\Users\franc\OneDrive\Documentos\MALENTIN KARIME\BANCO ESTADO\2012 DEPTO ESCRITURAS fata\Dc Simples\RESPALDO comp notaria 27_12_12\NOTARIA 2012\CONTRATOS\ARR.PIEZA para giro comercial CON REP.doc", "Abrir Documento")</f>
        <v>0</v>
      </c>
      <c r="D16677" t="s">
        <v>23500</v>
      </c>
      <c r="E16677" t="s">
        <v>39152</v>
      </c>
    </row>
    <row r="16678" spans="1:5">
      <c r="A16678" t="s">
        <v>6</v>
      </c>
      <c r="B16678" t="s">
        <v>16683</v>
      </c>
      <c r="C16678">
        <f>HYPERLINK("C:\Users\franc\OneDrive\Documentos\MALENTIN KARIME\BANCO ESTADO\2012 DEPTO ESCRITURAS fata\Dc Simples\RESPALDO comp notaria 27_12_12\NOTARIA 2012\CONTRATOS\ARR.PATENTE FELIX.doc", "Abrir Documento")</f>
        <v>0</v>
      </c>
      <c r="D16678" t="s">
        <v>23500</v>
      </c>
      <c r="E16678" t="s">
        <v>39153</v>
      </c>
    </row>
    <row r="16679" spans="1:5">
      <c r="A16679" t="s">
        <v>6</v>
      </c>
      <c r="B16679" t="s">
        <v>16684</v>
      </c>
      <c r="C16679">
        <f>HYPERLINK("C:\Users\franc\OneDrive\Documentos\MALENTIN KARIME\BANCO ESTADO\2012 DEPTO ESCRITURAS fata\Dc Simples\RESPALDO comp notaria 27_12_12\NOTARIA 2012\CONTRATOS\ARR.PATENTE E INVENTARIO.doc", "Abrir Documento")</f>
        <v>0</v>
      </c>
      <c r="D16679" t="s">
        <v>23500</v>
      </c>
      <c r="E16679" t="s">
        <v>39154</v>
      </c>
    </row>
    <row r="16680" spans="1:5">
      <c r="A16680" t="s">
        <v>6</v>
      </c>
      <c r="B16680" t="s">
        <v>16685</v>
      </c>
      <c r="C16680">
        <f>HYPERLINK("C:\Users\franc\OneDrive\Documentos\MALENTIN KARIME\BANCO ESTADO\2012 DEPTO ESCRITURAS fata\Dc Simples\RESPALDO comp notaria 27_12_12\NOTARIA 2012\CONTRATOS\ARR. VEHICULO MODELO.doc", "Abrir Documento")</f>
        <v>0</v>
      </c>
      <c r="D16680" t="s">
        <v>23500</v>
      </c>
      <c r="E16680" t="s">
        <v>39155</v>
      </c>
    </row>
    <row r="16681" spans="1:5">
      <c r="A16681" t="s">
        <v>6</v>
      </c>
      <c r="B16681" t="s">
        <v>16686</v>
      </c>
      <c r="C16681">
        <f>HYPERLINK("C:\Users\franc\OneDrive\Documentos\MALENTIN KARIME\BANCO ESTADO\2012 DEPTO ESCRITURAS fata\Dc Simples\RESPALDO comp notaria 27_12_12\NOTARIA 2012\CONTRATOS\ARR. VEHICULO MODELO Com..doc", "Abrir Documento")</f>
        <v>0</v>
      </c>
      <c r="D16681" t="s">
        <v>23500</v>
      </c>
      <c r="E16681" t="s">
        <v>39156</v>
      </c>
    </row>
    <row r="16682" spans="1:5">
      <c r="A16682" t="s">
        <v>6</v>
      </c>
      <c r="B16682" t="s">
        <v>16687</v>
      </c>
      <c r="C16682">
        <f>HYPERLINK("C:\Users\franc\OneDrive\Documentos\MALENTIN KARIME\BANCO ESTADO\2012 DEPTO ESCRITURAS fata\Dc Simples\RESPALDO comp notaria 27_12_12\NOTARIA 2012\CONTRATOS\ARR. VEHICULO MODELO  AGRO COMERCIAL OSCAR JOFRE.doc", "Abrir Documento")</f>
        <v>0</v>
      </c>
      <c r="D16682" t="s">
        <v>23500</v>
      </c>
      <c r="E16682" t="s">
        <v>39157</v>
      </c>
    </row>
    <row r="16683" spans="1:5">
      <c r="A16683" t="s">
        <v>6</v>
      </c>
      <c r="B16683" t="s">
        <v>16688</v>
      </c>
      <c r="C16683">
        <f>HYPERLINK("C:\Users\franc\OneDrive\Documentos\MALENTIN KARIME\BANCO ESTADO\2012 DEPTO ESCRITURAS fata\Dc Simples\RESPALDO comp notaria 27_12_12\NOTARIA 2012\CONTRATOS\ARR. VEHICULO LISING.doc", "Abrir Documento")</f>
        <v>0</v>
      </c>
      <c r="D16683" t="s">
        <v>23500</v>
      </c>
      <c r="E16683" t="s">
        <v>39158</v>
      </c>
    </row>
    <row r="16684" spans="1:5">
      <c r="A16684" t="s">
        <v>6</v>
      </c>
      <c r="B16684" t="s">
        <v>16689</v>
      </c>
      <c r="C16684">
        <f>HYPERLINK("C:\Users\franc\OneDrive\Documentos\MALENTIN KARIME\BANCO ESTADO\2012 DEPTO ESCRITURAS fata\Dc Simples\RESPALDO comp notaria 27_12_12\NOTARIA 2012\CONTRATOS\ARR. TRACTOR.doc", "Abrir Documento")</f>
        <v>0</v>
      </c>
      <c r="D16684" t="s">
        <v>23500</v>
      </c>
      <c r="E16684" t="s">
        <v>39159</v>
      </c>
    </row>
    <row r="16685" spans="1:5">
      <c r="A16685" t="s">
        <v>6</v>
      </c>
      <c r="B16685" t="s">
        <v>16690</v>
      </c>
      <c r="C16685">
        <f>HYPERLINK("C:\Users\franc\OneDrive\Documentos\MALENTIN KARIME\BANCO ESTADO\2012 DEPTO ESCRITURAS fata\Dc Simples\RESPALDO comp notaria 27_12_12\NOTARIA 2012\CONTRATOS\ARR. PROPIEDAD ESTACIONAMIENTO.doc", "Abrir Documento")</f>
        <v>0</v>
      </c>
      <c r="D16685" t="s">
        <v>23500</v>
      </c>
      <c r="E16685" t="s">
        <v>39160</v>
      </c>
    </row>
    <row r="16686" spans="1:5">
      <c r="A16686" t="s">
        <v>6</v>
      </c>
      <c r="B16686" t="s">
        <v>16691</v>
      </c>
      <c r="C16686">
        <f>HYPERLINK("C:\Users\franc\OneDrive\Documentos\MALENTIN KARIME\BANCO ESTADO\2012 DEPTO ESCRITURAS fata\Dc Simples\RESPALDO comp notaria 27_12_12\NOTARIA 2012\CONTRATOS\ARR. PERTENENCIAS MINERAS.doc", "Abrir Documento")</f>
        <v>0</v>
      </c>
      <c r="D16686" t="s">
        <v>23500</v>
      </c>
      <c r="E16686" t="s">
        <v>39161</v>
      </c>
    </row>
    <row r="16687" spans="1:5">
      <c r="A16687" t="s">
        <v>6</v>
      </c>
      <c r="B16687" t="s">
        <v>16692</v>
      </c>
      <c r="C16687">
        <f>HYPERLINK("C:\Users\franc\OneDrive\Documentos\MALENTIN KARIME\BANCO ESTADO\2012 DEPTO ESCRITURAS fata\Dc Simples\RESPALDO comp notaria 27_12_12\NOTARIA 2012\CONTRATOS\ARR. PERTENENCIAS MINERAS.cl.doc", "Abrir Documento")</f>
        <v>0</v>
      </c>
      <c r="D16687" t="s">
        <v>23500</v>
      </c>
      <c r="E16687" t="s">
        <v>39162</v>
      </c>
    </row>
    <row r="16688" spans="1:5">
      <c r="A16688" t="s">
        <v>6</v>
      </c>
      <c r="B16688" t="s">
        <v>16693</v>
      </c>
      <c r="C16688">
        <f>HYPERLINK("C:\Users\franc\OneDrive\Documentos\MALENTIN KARIME\BANCO ESTADO\2012 DEPTO ESCRITURAS fata\Dc Simples\RESPALDO comp notaria 27_12_12\NOTARIA 2012\CONTRATOS\ARR. OFICINA COMERCIAL.doc", "Abrir Documento")</f>
        <v>0</v>
      </c>
      <c r="D16688" t="s">
        <v>23500</v>
      </c>
      <c r="E16688" t="s">
        <v>39163</v>
      </c>
    </row>
    <row r="16689" spans="1:5">
      <c r="A16689" t="s">
        <v>6</v>
      </c>
      <c r="B16689" t="s">
        <v>16694</v>
      </c>
      <c r="C16689">
        <f>HYPERLINK("C:\Users\franc\OneDrive\Documentos\MALENTIN KARIME\BANCO ESTADO\2012 DEPTO ESCRITURAS fata\Dc Simples\RESPALDO comp notaria 27_12_12\NOTARIA 2012\CONTRATOS\ARR. MAQUINARIAS.doc", "Abrir Documento")</f>
        <v>0</v>
      </c>
      <c r="D16689" t="s">
        <v>23500</v>
      </c>
      <c r="E16689" t="s">
        <v>39164</v>
      </c>
    </row>
    <row r="16690" spans="1:5">
      <c r="A16690" t="s">
        <v>6</v>
      </c>
      <c r="B16690" t="s">
        <v>16695</v>
      </c>
      <c r="C16690">
        <f>HYPERLINK("C:\Users\franc\OneDrive\Documentos\MALENTIN KARIME\BANCO ESTADO\2012 DEPTO ESCRITURAS fata\Dc Simples\RESPALDO comp notaria 27_12_12\NOTARIA 2012\CONTRATOS\ARR. KIOSCO.doc", "Abrir Documento")</f>
        <v>0</v>
      </c>
      <c r="D16690" t="s">
        <v>23500</v>
      </c>
      <c r="E16690" t="s">
        <v>39165</v>
      </c>
    </row>
    <row r="16691" spans="1:5">
      <c r="A16691" t="s">
        <v>6</v>
      </c>
      <c r="B16691" t="s">
        <v>16696</v>
      </c>
      <c r="C16691">
        <f>HYPERLINK("C:\Users\franc\OneDrive\Documentos\MALENTIN KARIME\BANCO ESTADO\2012 DEPTO ESCRITURAS fata\Dc Simples\RESPALDO comp notaria 27_12_12\NOTARIA 2012\CONTRATOS\ARR. COMPRESOR.doc", "Abrir Documento")</f>
        <v>0</v>
      </c>
      <c r="D16691" t="s">
        <v>23500</v>
      </c>
      <c r="E16691" t="s">
        <v>39166</v>
      </c>
    </row>
    <row r="16692" spans="1:5">
      <c r="A16692" t="s">
        <v>6</v>
      </c>
      <c r="B16692" t="s">
        <v>16697</v>
      </c>
      <c r="C16692">
        <f>HYPERLINK("C:\Users\franc\OneDrive\Documentos\MALENTIN KARIME\BANCO ESTADO\2012 DEPTO ESCRITURAS fata\Dc Simples\RESPALDO comp notaria 27_12_12\NOTARIA 2012\CONTRATOS\ARR. COMPRESOR ARTURO ANDRADE.doc", "Abrir Documento")</f>
        <v>0</v>
      </c>
      <c r="D16692" t="s">
        <v>23500</v>
      </c>
      <c r="E16692" t="s">
        <v>39167</v>
      </c>
    </row>
    <row r="16693" spans="1:5">
      <c r="A16693" t="s">
        <v>6</v>
      </c>
      <c r="B16693" t="s">
        <v>16698</v>
      </c>
      <c r="C16693">
        <f>HYPERLINK("C:\Users\franc\OneDrive\Documentos\MALENTIN KARIME\BANCO ESTADO\2012 DEPTO ESCRITURAS fata\Dc Simples\RESPALDO comp notaria 27_12_12\NOTARIA 2012\CONTRATOS\ARR. CASA NUEVO.doc", "Abrir Documento")</f>
        <v>0</v>
      </c>
      <c r="D16693" t="s">
        <v>23500</v>
      </c>
      <c r="E16693" t="s">
        <v>39168</v>
      </c>
    </row>
    <row r="16694" spans="1:5">
      <c r="A16694" t="s">
        <v>6</v>
      </c>
      <c r="B16694" t="s">
        <v>16699</v>
      </c>
      <c r="C16694">
        <f>HYPERLINK("C:\Users\franc\OneDrive\Documentos\MALENTIN KARIME\BANCO ESTADO\2012 DEPTO ESCRITURAS fata\Dc Simples\RESPALDO comp notaria 27_12_12\NOTARIA 2012\CONTRATOS\ARR. CASA NUEVO CON PODER.doc", "Abrir Documento")</f>
        <v>0</v>
      </c>
      <c r="D16694" t="s">
        <v>23500</v>
      </c>
      <c r="E16694" t="s">
        <v>39169</v>
      </c>
    </row>
    <row r="16695" spans="1:5">
      <c r="A16695" t="s">
        <v>6</v>
      </c>
      <c r="B16695" t="s">
        <v>16700</v>
      </c>
      <c r="C16695">
        <f>HYPERLINK("C:\Users\franc\OneDrive\Documentos\MALENTIN KARIME\BANCO ESTADO\2012 DEPTO ESCRITURAS fata\Dc Simples\RESPALDO comp notaria 27_12_12\NOTARIA 2012\CONTRATOS\ARR. CASA  para giro comercial.doc", "Abrir Documento")</f>
        <v>0</v>
      </c>
      <c r="D16695" t="s">
        <v>23500</v>
      </c>
      <c r="E16695" t="s">
        <v>39170</v>
      </c>
    </row>
    <row r="16696" spans="1:5">
      <c r="A16696" t="s">
        <v>6</v>
      </c>
      <c r="B16696" t="s">
        <v>16701</v>
      </c>
      <c r="C16696">
        <f>HYPERLINK("C:\Users\franc\OneDrive\Documentos\MALENTIN KARIME\BANCO ESTADO\2012 DEPTO ESCRITURAS fata\Dc Simples\RESPALDO comp notaria 27_12_12\NOTARIA 2012\CONTRATOS\ARR. CASA  para giro comercial con inventario.doc", "Abrir Documento")</f>
        <v>0</v>
      </c>
      <c r="D16696" t="s">
        <v>23500</v>
      </c>
      <c r="E16696" t="s">
        <v>39171</v>
      </c>
    </row>
    <row r="16697" spans="1:5">
      <c r="A16697" t="s">
        <v>6</v>
      </c>
      <c r="B16697" t="s">
        <v>16702</v>
      </c>
      <c r="C16697">
        <f>HYPERLINK("C:\Users\franc\OneDrive\Documentos\MALENTIN KARIME\BANCO ESTADO\2012 DEPTO ESCRITURAS fata\Dc Simples\RESPALDO comp notaria 27_12_12\NOTARIA 2012\CONTRATOS\ARR. CASA  para giro comercial con inventario otro.doc", "Abrir Documento")</f>
        <v>0</v>
      </c>
      <c r="D16697" t="s">
        <v>23500</v>
      </c>
      <c r="E16697" t="s">
        <v>39172</v>
      </c>
    </row>
    <row r="16698" spans="1:5">
      <c r="A16698" t="s">
        <v>6</v>
      </c>
      <c r="B16698" t="s">
        <v>16703</v>
      </c>
      <c r="C16698">
        <f>HYPERLINK("C:\Users\franc\OneDrive\Documentos\MALENTIN KARIME\BANCO ESTADO\2012 DEPTO ESCRITURAS fata\Dc Simples\RESPALDO comp notaria 27_12_12\NOTARIA 2012\CONTRATOS\ARR. CASA  para giro comercial bou villada.doc", "Abrir Documento")</f>
        <v>0</v>
      </c>
      <c r="D16698" t="s">
        <v>23500</v>
      </c>
      <c r="E16698" t="s">
        <v>39173</v>
      </c>
    </row>
    <row r="16699" spans="1:5">
      <c r="A16699" t="s">
        <v>6</v>
      </c>
      <c r="B16699" t="s">
        <v>16704</v>
      </c>
      <c r="C16699">
        <f>HYPERLINK("C:\Users\franc\OneDrive\Documentos\MALENTIN KARIME\BANCO ESTADO\2012 DEPTO ESCRITURAS fata\Dc Simples\RESPALDO comp notaria 27_12_12\NOTARIA 2012\CONTRATOS\ARR. CASA  MODELO.doc", "Abrir Documento")</f>
        <v>0</v>
      </c>
      <c r="D16699" t="s">
        <v>23500</v>
      </c>
      <c r="E16699" t="s">
        <v>39174</v>
      </c>
    </row>
    <row r="16700" spans="1:5">
      <c r="A16700" t="s">
        <v>6</v>
      </c>
      <c r="B16700" t="s">
        <v>16705</v>
      </c>
      <c r="C16700">
        <f>HYPERLINK("C:\Users\franc\OneDrive\Documentos\MALENTIN KARIME\BANCO ESTADO\2012 DEPTO ESCRITURAS fata\Dc Simples\RESPALDO comp notaria 27_12_12\NOTARIA 2012\CONTRATOS\ARR. CASA  MODELO ELLA Y EL.doc", "Abrir Documento")</f>
        <v>0</v>
      </c>
      <c r="D16700" t="s">
        <v>23500</v>
      </c>
      <c r="E16700" t="s">
        <v>39175</v>
      </c>
    </row>
    <row r="16701" spans="1:5">
      <c r="A16701" t="s">
        <v>6</v>
      </c>
      <c r="B16701" t="s">
        <v>16706</v>
      </c>
      <c r="C16701">
        <f>HYPERLINK("C:\Users\franc\OneDrive\Documentos\MALENTIN KARIME\BANCO ESTADO\2012 DEPTO ESCRITURAS fata\Dc Simples\RESPALDO comp notaria 27_12_12\NOTARIA 2012\CONTRATOS\ARR. CASA  MODELO EL Y ELLA.doc", "Abrir Documento")</f>
        <v>0</v>
      </c>
      <c r="D16701" t="s">
        <v>23500</v>
      </c>
      <c r="E16701" t="s">
        <v>39176</v>
      </c>
    </row>
    <row r="16702" spans="1:5">
      <c r="A16702" t="s">
        <v>6</v>
      </c>
      <c r="B16702" t="s">
        <v>16707</v>
      </c>
      <c r="C16702">
        <f>HYPERLINK("C:\Users\franc\OneDrive\Documentos\MALENTIN KARIME\BANCO ESTADO\2012 DEPTO ESCRITURAS fata\Dc Simples\RESPALDO comp notaria 27_12_12\NOTARIA 2012\CONTRATOS\ARR. CASA  MODELO con dev..doc", "Abrir Documento")</f>
        <v>0</v>
      </c>
      <c r="D16702" t="s">
        <v>23500</v>
      </c>
      <c r="E16702" t="s">
        <v>39177</v>
      </c>
    </row>
    <row r="16703" spans="1:5">
      <c r="A16703" t="s">
        <v>6</v>
      </c>
      <c r="B16703" t="s">
        <v>16708</v>
      </c>
      <c r="C16703">
        <f>HYPERLINK("C:\Users\franc\OneDrive\Documentos\MALENTIN KARIME\BANCO ESTADO\2012 DEPTO ESCRITURAS fata\Dc Simples\RESPALDO comp notaria 27_12_12\NOTARIA 2012\CONTRATOS\ARR. CASA  MODELO CON ARREGLOS.doc", "Abrir Documento")</f>
        <v>0</v>
      </c>
      <c r="D16703" t="s">
        <v>23500</v>
      </c>
      <c r="E16703" t="s">
        <v>39178</v>
      </c>
    </row>
    <row r="16704" spans="1:5">
      <c r="A16704" t="s">
        <v>6</v>
      </c>
      <c r="B16704" t="s">
        <v>16709</v>
      </c>
      <c r="C16704">
        <f>HYPERLINK("C:\Users\franc\OneDrive\Documentos\MALENTIN KARIME\BANCO ESTADO\2012 DEPTO ESCRITURAS fata\Dc Simples\RESPALDO comp notaria 27_12_12\NOTARIA 2012\CONTRATOS\ARR. CASA  MODELO 3.doc", "Abrir Documento")</f>
        <v>0</v>
      </c>
      <c r="D16704" t="s">
        <v>23500</v>
      </c>
      <c r="E16704" t="s">
        <v>39179</v>
      </c>
    </row>
    <row r="16705" spans="1:5">
      <c r="A16705" t="s">
        <v>6</v>
      </c>
      <c r="B16705" t="s">
        <v>16710</v>
      </c>
      <c r="C16705">
        <f>HYPERLINK("C:\Users\franc\OneDrive\Documentos\MALENTIN KARIME\BANCO ESTADO\2012 DEPTO ESCRITURAS fata\Dc Simples\RESPALDO comp notaria 27_12_12\NOTARIA 2012\CONTRATOS\ARR. CASA  MODELO 3 FIRMAS.doc", "Abrir Documento")</f>
        <v>0</v>
      </c>
      <c r="D16705" t="s">
        <v>23500</v>
      </c>
      <c r="E16705" t="s">
        <v>39180</v>
      </c>
    </row>
    <row r="16706" spans="1:5">
      <c r="A16706" t="s">
        <v>6</v>
      </c>
      <c r="B16706" t="s">
        <v>16711</v>
      </c>
      <c r="C16706">
        <f>HYPERLINK("C:\Users\franc\OneDrive\Documentos\MALENTIN KARIME\BANCO ESTADO\2012 DEPTO ESCRITURAS fata\Dc Simples\RESPALDO comp notaria 27_12_12\NOTARIA 2012\CONTRATOS\ARR. AGUAS.doc", "Abrir Documento")</f>
        <v>0</v>
      </c>
      <c r="D16706" t="s">
        <v>23500</v>
      </c>
      <c r="E16706" t="s">
        <v>39181</v>
      </c>
    </row>
    <row r="16707" spans="1:5">
      <c r="A16707" t="s">
        <v>6</v>
      </c>
      <c r="B16707" t="s">
        <v>16712</v>
      </c>
      <c r="C16707">
        <f>HYPERLINK("C:\Users\franc\OneDrive\Documentos\MALENTIN KARIME\BANCO ESTADO\2012 DEPTO ESCRITURAS fata\Dc Simples\RESPALDO comp notaria 27_12_12\NOTARIA 2012\CONTRATOS\ANEXO.doc", "Abrir Documento")</f>
        <v>0</v>
      </c>
      <c r="D16707" t="s">
        <v>23500</v>
      </c>
      <c r="E16707" t="s">
        <v>39182</v>
      </c>
    </row>
    <row r="16708" spans="1:5">
      <c r="A16708" t="s">
        <v>6</v>
      </c>
      <c r="B16708" t="s">
        <v>16713</v>
      </c>
      <c r="C16708">
        <f>HYPERLINK("C:\Users\franc\OneDrive\Documentos\MALENTIN KARIME\BANCO ESTADO\2012 DEPTO ESCRITURAS fata\Dc Simples\RESPALDO comp notaria 27_12_12\NOTARIA 2012\CONTRATOS\ALZAMIENTO SIMPLE.doc", "Abrir Documento")</f>
        <v>0</v>
      </c>
      <c r="D16708" t="s">
        <v>23500</v>
      </c>
      <c r="E16708" t="s">
        <v>39183</v>
      </c>
    </row>
    <row r="16709" spans="1:5">
      <c r="A16709" t="s">
        <v>6</v>
      </c>
      <c r="B16709" t="s">
        <v>16714</v>
      </c>
      <c r="C16709">
        <f>HYPERLINK("C:\Users\franc\OneDrive\Documentos\MALENTIN KARIME\BANCO ESTADO\2012 DEPTO ESCRITURAS fata\Dc Simples\RESPALDO comp notaria 27_12_12\NOTARIA 2012\CONTRATOS\ALZAMIENTO CON REP..doc", "Abrir Documento")</f>
        <v>0</v>
      </c>
      <c r="D16709" t="s">
        <v>23500</v>
      </c>
      <c r="E16709" t="s">
        <v>39184</v>
      </c>
    </row>
    <row r="16710" spans="1:5">
      <c r="A16710" t="s">
        <v>6</v>
      </c>
      <c r="B16710" t="s">
        <v>16715</v>
      </c>
      <c r="C16710">
        <f>HYPERLINK("C:\Users\franc\OneDrive\Documentos\MALENTIN KARIME\BANCO ESTADO\2012 DEPTO ESCRITURAS fata\Dc Simples\RESPALDO comp notaria 27_12_12\NOTARIA 2012\BOLETAS\DETALLES BOLETAS\BOLETAS Y GASTOS VIERNES 05 DE FEBRERO 2010.xls", "Abrir Documento")</f>
        <v>0</v>
      </c>
      <c r="D16710" t="s">
        <v>23500</v>
      </c>
      <c r="E16710" t="s">
        <v>39185</v>
      </c>
    </row>
    <row r="16711" spans="1:5">
      <c r="A16711" t="s">
        <v>6</v>
      </c>
      <c r="B16711" t="s">
        <v>16716</v>
      </c>
      <c r="C16711">
        <f>HYPERLINK("C:\Users\franc\OneDrive\Documentos\MALENTIN KARIME\BANCO ESTADO\2012 DEPTO ESCRITURAS fata\Dc Simples\RESPALDO comp notaria 27_12_12\NOTARIA 2012\BOLETAS\DETALLES BOLETAS\BOLETAS Y GASTOS SABADO 30 DE ENERO 2010.xls", "Abrir Documento")</f>
        <v>0</v>
      </c>
      <c r="D16711" t="s">
        <v>23500</v>
      </c>
      <c r="E16711" t="s">
        <v>39186</v>
      </c>
    </row>
    <row r="16712" spans="1:5">
      <c r="A16712" t="s">
        <v>6</v>
      </c>
      <c r="B16712" t="s">
        <v>16717</v>
      </c>
      <c r="C16712">
        <f>HYPERLINK("C:\Users\franc\OneDrive\Documentos\MALENTIN KARIME\BANCO ESTADO\2012 DEPTO ESCRITURAS fata\Dc Simples\RESPALDO comp notaria 27_12_12\NOTARIA 2012\BOLETAS\DETALLES BOLETAS\BOLETAS Y GASTOS MIERCOLES 111 DE FEBRERO 2010.xls", "Abrir Documento")</f>
        <v>0</v>
      </c>
      <c r="D16712" t="s">
        <v>23500</v>
      </c>
      <c r="E16712" t="s">
        <v>39187</v>
      </c>
    </row>
    <row r="16713" spans="1:5">
      <c r="A16713" t="s">
        <v>6</v>
      </c>
      <c r="B16713" t="s">
        <v>16718</v>
      </c>
      <c r="C16713">
        <f>HYPERLINK("C:\Users\franc\OneDrive\Documentos\MALENTIN KARIME\BANCO ESTADO\2012 DEPTO ESCRITURAS fata\Dc Simples\RESPALDO comp notaria 27_12_12\NOTARIA 2012\BOLETAS\DETALLES BOLETAS\BOLETAS Y GASTOS MIERCOLES 10 DE FEBRERO 2010.xls", "Abrir Documento")</f>
        <v>0</v>
      </c>
      <c r="D16713" t="s">
        <v>23500</v>
      </c>
      <c r="E16713" t="s">
        <v>39188</v>
      </c>
    </row>
    <row r="16714" spans="1:5">
      <c r="A16714" t="s">
        <v>6</v>
      </c>
      <c r="B16714" t="s">
        <v>16719</v>
      </c>
      <c r="C16714">
        <f>HYPERLINK("C:\Users\franc\OneDrive\Documentos\MALENTIN KARIME\BANCO ESTADO\2012 DEPTO ESCRITURAS fata\Dc Simples\RESPALDO comp notaria 27_12_12\NOTARIA 2012\BOLETAS\DETALLES BOLETAS\BOLETAS Y GASTOS MIERCOLES 03 DE FEBRERO 2010.xls", "Abrir Documento")</f>
        <v>0</v>
      </c>
      <c r="D16714" t="s">
        <v>23500</v>
      </c>
      <c r="E16714" t="s">
        <v>39189</v>
      </c>
    </row>
    <row r="16715" spans="1:5">
      <c r="A16715" t="s">
        <v>6</v>
      </c>
      <c r="B16715" t="s">
        <v>16720</v>
      </c>
      <c r="C16715">
        <f>HYPERLINK("C:\Users\franc\OneDrive\Documentos\MALENTIN KARIME\BANCO ESTADO\2012 DEPTO ESCRITURAS fata\Dc Simples\RESPALDO comp notaria 27_12_12\NOTARIA 2012\BOLETAS\DETALLES BOLETAS\BOLETAS Y GASTOS MARTES 09 DE FEBRERO 2010.xls", "Abrir Documento")</f>
        <v>0</v>
      </c>
      <c r="D16715" t="s">
        <v>23500</v>
      </c>
      <c r="E16715" t="s">
        <v>39190</v>
      </c>
    </row>
    <row r="16716" spans="1:5">
      <c r="A16716" t="s">
        <v>6</v>
      </c>
      <c r="B16716" t="s">
        <v>16721</v>
      </c>
      <c r="C16716">
        <f>HYPERLINK("C:\Users\franc\OneDrive\Documentos\MALENTIN KARIME\BANCO ESTADO\2012 DEPTO ESCRITURAS fata\Dc Simples\RESPALDO comp notaria 27_12_12\NOTARIA 2012\BOLETAS\DETALLES BOLETAS\BOLETAS Y GASTOS MARTES 02 DE FEBRERO 2010.xls", "Abrir Documento")</f>
        <v>0</v>
      </c>
      <c r="D16716" t="s">
        <v>23500</v>
      </c>
      <c r="E16716" t="s">
        <v>39191</v>
      </c>
    </row>
    <row r="16717" spans="1:5">
      <c r="A16717" t="s">
        <v>6</v>
      </c>
      <c r="B16717" t="s">
        <v>16722</v>
      </c>
      <c r="C16717">
        <f>HYPERLINK("C:\Users\franc\OneDrive\Documentos\MALENTIN KARIME\BANCO ESTADO\2012 DEPTO ESCRITURAS fata\Dc Simples\RESPALDO comp notaria 27_12_12\NOTARIA 2012\BOLETAS\DETALLES BOLETAS\BOLETAS Y GASTOS LUNES 29 DE ENERO 2010.xls", "Abrir Documento")</f>
        <v>0</v>
      </c>
      <c r="D16717" t="s">
        <v>23500</v>
      </c>
      <c r="E16717" t="s">
        <v>39192</v>
      </c>
    </row>
    <row r="16718" spans="1:5">
      <c r="A16718" t="s">
        <v>6</v>
      </c>
      <c r="B16718" t="s">
        <v>16723</v>
      </c>
      <c r="C16718">
        <f>HYPERLINK("C:\Users\franc\OneDrive\Documentos\MALENTIN KARIME\BANCO ESTADO\2012 DEPTO ESCRITURAS fata\Dc Simples\RESPALDO comp notaria 27_12_12\NOTARIA 2012\BOLETAS\DETALLES BOLETAS\BOLETAS Y GASTOS LUNES 28 DE ENERO 2010.xls", "Abrir Documento")</f>
        <v>0</v>
      </c>
      <c r="D16718" t="s">
        <v>23500</v>
      </c>
      <c r="E16718" t="s">
        <v>39193</v>
      </c>
    </row>
    <row r="16719" spans="1:5">
      <c r="A16719" t="s">
        <v>6</v>
      </c>
      <c r="B16719" t="s">
        <v>16724</v>
      </c>
      <c r="C16719">
        <f>HYPERLINK("C:\Users\franc\OneDrive\Documentos\MALENTIN KARIME\BANCO ESTADO\2012 DEPTO ESCRITURAS fata\Dc Simples\RESPALDO comp notaria 27_12_12\NOTARIA 2012\BOLETAS\DETALLES BOLETAS\BOLETAS Y GASTOS LUNES 27 DE ENERO 2010.xls", "Abrir Documento")</f>
        <v>0</v>
      </c>
      <c r="D16719" t="s">
        <v>23500</v>
      </c>
      <c r="E16719" t="s">
        <v>39194</v>
      </c>
    </row>
    <row r="16720" spans="1:5">
      <c r="A16720" t="s">
        <v>6</v>
      </c>
      <c r="B16720" t="s">
        <v>16725</v>
      </c>
      <c r="C16720">
        <f>HYPERLINK("C:\Users\franc\OneDrive\Documentos\MALENTIN KARIME\BANCO ESTADO\2012 DEPTO ESCRITURAS fata\Dc Simples\RESPALDO comp notaria 27_12_12\NOTARIA 2012\BOLETAS\DETALLES BOLETAS\BOLETAS Y GASTOS LUNES 26 DE ENERO 2010.xls", "Abrir Documento")</f>
        <v>0</v>
      </c>
      <c r="D16720" t="s">
        <v>23500</v>
      </c>
      <c r="E16720" t="s">
        <v>39195</v>
      </c>
    </row>
    <row r="16721" spans="1:5">
      <c r="A16721" t="s">
        <v>6</v>
      </c>
      <c r="B16721" t="s">
        <v>16726</v>
      </c>
      <c r="C16721">
        <f>HYPERLINK("C:\Users\franc\OneDrive\Documentos\MALENTIN KARIME\BANCO ESTADO\2012 DEPTO ESCRITURAS fata\Dc Simples\RESPALDO comp notaria 27_12_12\NOTARIA 2012\BOLETAS\DETALLES BOLETAS\BOLETAS Y GASTOS LUNES 25 DE ENERO 2010.xls", "Abrir Documento")</f>
        <v>0</v>
      </c>
      <c r="D16721" t="s">
        <v>23500</v>
      </c>
      <c r="E16721" t="s">
        <v>39196</v>
      </c>
    </row>
    <row r="16722" spans="1:5">
      <c r="A16722" t="s">
        <v>6</v>
      </c>
      <c r="B16722" t="s">
        <v>16727</v>
      </c>
      <c r="C16722">
        <f>HYPERLINK("C:\Users\franc\OneDrive\Documentos\MALENTIN KARIME\BANCO ESTADO\2012 DEPTO ESCRITURAS fata\Dc Simples\RESPALDO comp notaria 27_12_12\NOTARIA 2012\BOLETAS\DETALLES BOLETAS\BOLETAS Y GASTOS LUNES 08 DE FEBRERO 2010.xls", "Abrir Documento")</f>
        <v>0</v>
      </c>
      <c r="D16722" t="s">
        <v>23500</v>
      </c>
      <c r="E16722" t="s">
        <v>39197</v>
      </c>
    </row>
    <row r="16723" spans="1:5">
      <c r="A16723" t="s">
        <v>6</v>
      </c>
      <c r="B16723" t="s">
        <v>16728</v>
      </c>
      <c r="C16723">
        <f>HYPERLINK("C:\Users\franc\OneDrive\Documentos\MALENTIN KARIME\BANCO ESTADO\2012 DEPTO ESCRITURAS fata\Dc Simples\RESPALDO comp notaria 27_12_12\NOTARIA 2012\BOLETAS\DETALLES BOLETAS\BOLETAS Y GASTOS LUNES 01 DE FEBRERO 2010.xls", "Abrir Documento")</f>
        <v>0</v>
      </c>
      <c r="D16723" t="s">
        <v>23500</v>
      </c>
      <c r="E16723" t="s">
        <v>39198</v>
      </c>
    </row>
    <row r="16724" spans="1:5">
      <c r="A16724" t="s">
        <v>6</v>
      </c>
      <c r="B16724" t="s">
        <v>16729</v>
      </c>
      <c r="C16724">
        <f>HYPERLINK("C:\Users\franc\OneDrive\Documentos\MALENTIN KARIME\BANCO ESTADO\2012 DEPTO ESCRITURAS fata\Dc Simples\RESPALDO comp notaria 27_12_12\NOTARIA 2012\BOLETAS\DETALLES BOLETAS\BOLETAS Y GASTOS JUEVES 04 DE FEBRERO 2010.xls", "Abrir Documento")</f>
        <v>0</v>
      </c>
      <c r="D16724" t="s">
        <v>23500</v>
      </c>
      <c r="E16724" t="s">
        <v>39199</v>
      </c>
    </row>
    <row r="16725" spans="1:5">
      <c r="A16725" t="s">
        <v>6</v>
      </c>
      <c r="B16725" t="s">
        <v>16730</v>
      </c>
      <c r="C16725">
        <f>HYPERLINK("C:\Users\franc\OneDrive\Documentos\MALENTIN KARIME\BANCO ESTADO\2012 DEPTO ESCRITURAS fata\Dc Simples\RESPALDO comp notaria 27_12_12\NOTARIA 2012\BOLETAS\BOLETITAS\BOLETAS Y GASTOS LUNES 30 DE AGOSTO 2010.xls", "Abrir Documento")</f>
        <v>0</v>
      </c>
      <c r="D16725" t="s">
        <v>23500</v>
      </c>
      <c r="E16725" t="s">
        <v>39200</v>
      </c>
    </row>
    <row r="16726" spans="1:5">
      <c r="A16726" t="s">
        <v>6</v>
      </c>
      <c r="B16726" t="s">
        <v>16731</v>
      </c>
      <c r="C16726">
        <f>HYPERLINK("C:\Users\franc\OneDrive\Documentos\MALENTIN KARIME\BANCO ESTADO\2012 DEPTO ESCRITURAS fata\Dc Simples\RESPALDO comp notaria 27_12_12\NOTARIA 2012\BOLETAS\BOLETITAS\BOLETAS Y GASTOS LUNES 27 DE AGOSTO 2010.xls", "Abrir Documento")</f>
        <v>0</v>
      </c>
      <c r="D16726" t="s">
        <v>23500</v>
      </c>
      <c r="E16726" t="s">
        <v>39201</v>
      </c>
    </row>
    <row r="16727" spans="1:5">
      <c r="A16727" t="s">
        <v>6</v>
      </c>
      <c r="B16727" t="s">
        <v>16732</v>
      </c>
      <c r="C16727">
        <f>HYPERLINK("C:\Users\franc\OneDrive\Documentos\MALENTIN KARIME\BANCO ESTADO\2012 DEPTO ESCRITURAS fata\Dc Simples\RESPALDO comp notaria 27_12_12\NOTARIA 2012\BOLETAS\BOLETITAS\BOLETAS Y GASTOS LUNES 23 DE AGOSTO 2010.xls", "Abrir Documento")</f>
        <v>0</v>
      </c>
      <c r="D16727" t="s">
        <v>23500</v>
      </c>
      <c r="E16727" t="s">
        <v>39202</v>
      </c>
    </row>
    <row r="16728" spans="1:5">
      <c r="A16728" t="s">
        <v>6</v>
      </c>
      <c r="B16728" t="s">
        <v>16733</v>
      </c>
      <c r="C16728">
        <f>HYPERLINK("C:\Users\franc\OneDrive\Documentos\MALENTIN KARIME\BANCO ESTADO\2012 DEPTO ESCRITURAS fata\Dc Simples\RESPALDO comp notaria 27_12_12\NOTARIA 2012\BOLETAS\BOLETITAS\BOLETAS Y GASTOS 26 AGOSTO.xls", "Abrir Documento")</f>
        <v>0</v>
      </c>
      <c r="D16728" t="s">
        <v>23500</v>
      </c>
      <c r="E16728" t="s">
        <v>39203</v>
      </c>
    </row>
    <row r="16729" spans="1:5">
      <c r="A16729" t="s">
        <v>6</v>
      </c>
      <c r="B16729" t="s">
        <v>16734</v>
      </c>
      <c r="C16729">
        <f>HYPERLINK("C:\Users\franc\OneDrive\Documentos\MALENTIN KARIME\BANCO ESTADO\2012 DEPTO ESCRITURAS fata\Dc Simples\RESPALDO comp notaria 27_12_12\NOTARIA 2012\BOLETAS\BOLETITAS\BOLETAS Y GASTOS 25 AGOSTO.xls", "Abrir Documento")</f>
        <v>0</v>
      </c>
      <c r="D16729" t="s">
        <v>23500</v>
      </c>
      <c r="E16729" t="s">
        <v>39204</v>
      </c>
    </row>
    <row r="16730" spans="1:5">
      <c r="A16730" t="s">
        <v>6</v>
      </c>
      <c r="B16730" t="s">
        <v>16735</v>
      </c>
      <c r="C16730">
        <f>HYPERLINK("C:\Users\franc\OneDrive\Documentos\MALENTIN KARIME\BANCO ESTADO\2012 DEPTO ESCRITURAS fata\Dc Simples\RESPALDO comp notaria 27_12_12\NOTARIA 2012\BOLETAS\BOLETITAS\BOLETAS Y GASTOS  SABDO 28 DE AGOSTO 2010.xls", "Abrir Documento")</f>
        <v>0</v>
      </c>
      <c r="D16730" t="s">
        <v>23500</v>
      </c>
      <c r="E16730" t="s">
        <v>39205</v>
      </c>
    </row>
    <row r="16731" spans="1:5">
      <c r="A16731" t="s">
        <v>6</v>
      </c>
      <c r="B16731" t="s">
        <v>16736</v>
      </c>
      <c r="C16731">
        <f>HYPERLINK("C:\Users\franc\OneDrive\Documentos\MALENTIN KARIME\BANCO ESTADO\2012 DEPTO ESCRITURAS fata\Dc Simples\RESPALDO comp notaria 27_12_12\NOTARIA 2012\BOLETAS\Boletas 25 a 01\BOLETAS Y GASTOS VIERNES 25 DE MARZO DE 2011.xls", "Abrir Documento")</f>
        <v>0</v>
      </c>
      <c r="D16731" t="s">
        <v>23500</v>
      </c>
      <c r="E16731" t="s">
        <v>39206</v>
      </c>
    </row>
    <row r="16732" spans="1:5">
      <c r="A16732" t="s">
        <v>6</v>
      </c>
      <c r="B16732" t="s">
        <v>16737</v>
      </c>
      <c r="C16732">
        <f>HYPERLINK("C:\Users\franc\OneDrive\Documentos\MALENTIN KARIME\BANCO ESTADO\2012 DEPTO ESCRITURAS fata\Dc Simples\RESPALDO comp notaria 27_12_12\NOTARIA 2012\BOLETAS\Boletas 25 a 01\BOLETAS Y GASTOS VIERNES 01 DE ABRIL DE 2011.xls", "Abrir Documento")</f>
        <v>0</v>
      </c>
      <c r="D16732" t="s">
        <v>23500</v>
      </c>
      <c r="E16732" t="s">
        <v>39207</v>
      </c>
    </row>
    <row r="16733" spans="1:5">
      <c r="A16733" t="s">
        <v>6</v>
      </c>
      <c r="B16733" t="s">
        <v>16738</v>
      </c>
      <c r="C16733">
        <f>HYPERLINK("C:\Users\franc\OneDrive\Documentos\MALENTIN KARIME\BANCO ESTADO\2012 DEPTO ESCRITURAS fata\Dc Simples\RESPALDO comp notaria 27_12_12\NOTARIA 2012\BOLETAS\Boletas 25 a 01\BOLETAS Y GASTOS SABADO 26 DE MARZO DE 2011.xls", "Abrir Documento")</f>
        <v>0</v>
      </c>
      <c r="D16733" t="s">
        <v>23500</v>
      </c>
      <c r="E16733" t="s">
        <v>39208</v>
      </c>
    </row>
    <row r="16734" spans="1:5">
      <c r="A16734" t="s">
        <v>6</v>
      </c>
      <c r="B16734" t="s">
        <v>16739</v>
      </c>
      <c r="C16734">
        <f>HYPERLINK("C:\Users\franc\OneDrive\Documentos\MALENTIN KARIME\BANCO ESTADO\2012 DEPTO ESCRITURAS fata\Dc Simples\RESPALDO comp notaria 27_12_12\NOTARIA 2012\BOLETAS\Boletas 25 a 01\BOLETAS Y GASTOS MIERCOLES 30 DE MARZO DE 2011.xls", "Abrir Documento")</f>
        <v>0</v>
      </c>
      <c r="D16734" t="s">
        <v>23500</v>
      </c>
      <c r="E16734" t="s">
        <v>39209</v>
      </c>
    </row>
    <row r="16735" spans="1:5">
      <c r="A16735" t="s">
        <v>6</v>
      </c>
      <c r="B16735" t="s">
        <v>16740</v>
      </c>
      <c r="C16735">
        <f>HYPERLINK("C:\Users\franc\OneDrive\Documentos\MALENTIN KARIME\BANCO ESTADO\2012 DEPTO ESCRITURAS fata\Dc Simples\RESPALDO comp notaria 27_12_12\NOTARIA 2012\BOLETAS\Boletas 25 a 01\BOLETAS Y GASTOS MARTES 29 DE MARZO DE 2011.xls", "Abrir Documento")</f>
        <v>0</v>
      </c>
      <c r="D16735" t="s">
        <v>23500</v>
      </c>
      <c r="E16735" t="s">
        <v>39210</v>
      </c>
    </row>
    <row r="16736" spans="1:5">
      <c r="A16736" t="s">
        <v>6</v>
      </c>
      <c r="B16736" t="s">
        <v>16741</v>
      </c>
      <c r="C16736">
        <f>HYPERLINK("C:\Users\franc\OneDrive\Documentos\MALENTIN KARIME\BANCO ESTADO\2012 DEPTO ESCRITURAS fata\Dc Simples\RESPALDO comp notaria 27_12_12\NOTARIA 2012\BOLETAS\Boletas 25 a 01\BOLETAS Y GASTOS LUNES 28 DE MARZO DE 2011.xls", "Abrir Documento")</f>
        <v>0</v>
      </c>
      <c r="D16736" t="s">
        <v>23500</v>
      </c>
      <c r="E16736" t="s">
        <v>39211</v>
      </c>
    </row>
    <row r="16737" spans="1:5">
      <c r="A16737" t="s">
        <v>6</v>
      </c>
      <c r="B16737" t="s">
        <v>16742</v>
      </c>
      <c r="C16737">
        <f>HYPERLINK("C:\Users\franc\OneDrive\Documentos\MALENTIN KARIME\BANCO ESTADO\2012 DEPTO ESCRITURAS fata\Dc Simples\RESPALDO comp notaria 27_12_12\NOTARIA 2012\BOLETAS\CERTIF. PROTESTO.doc", "Abrir Documento")</f>
        <v>0</v>
      </c>
      <c r="D16737" t="s">
        <v>23500</v>
      </c>
      <c r="E16737" t="s">
        <v>39212</v>
      </c>
    </row>
    <row r="16738" spans="1:5">
      <c r="A16738" t="s">
        <v>6</v>
      </c>
      <c r="B16738" t="s">
        <v>16743</v>
      </c>
      <c r="C16738">
        <f>HYPERLINK("C:\Users\franc\OneDrive\Documentos\MALENTIN KARIME\BANCO ESTADO\2012 DEPTO ESCRITURAS fata\Dc Simples\RESPALDO comp notaria 27_12_12\NOTARIA 2012\BOLETAS\BOLETAS Y GASTOSVIERNES 24 DE JUNIO 2011.xls", "Abrir Documento")</f>
        <v>0</v>
      </c>
      <c r="D16738" t="s">
        <v>23500</v>
      </c>
      <c r="E16738" t="s">
        <v>39213</v>
      </c>
    </row>
    <row r="16739" spans="1:5">
      <c r="A16739" t="s">
        <v>6</v>
      </c>
      <c r="B16739" t="s">
        <v>16744</v>
      </c>
      <c r="C16739">
        <f>HYPERLINK("C:\Users\franc\OneDrive\Documentos\MALENTIN KARIME\BANCO ESTADO\2012 DEPTO ESCRITURAS fata\Dc Simples\RESPALDO comp notaria 27_12_12\NOTARIA 2012\BOLETAS\BOLETAS Y GASTOSVIERNES 05 DE AGOSTO 2011.xls", "Abrir Documento")</f>
        <v>0</v>
      </c>
      <c r="D16739" t="s">
        <v>23500</v>
      </c>
      <c r="E16739" t="s">
        <v>39214</v>
      </c>
    </row>
    <row r="16740" spans="1:5">
      <c r="A16740" t="s">
        <v>6</v>
      </c>
      <c r="B16740" t="s">
        <v>16745</v>
      </c>
      <c r="C16740">
        <f>HYPERLINK("C:\Users\franc\OneDrive\Documentos\MALENTIN KARIME\BANCO ESTADO\2012 DEPTO ESCRITURAS fata\Dc Simples\RESPALDO comp notaria 27_12_12\NOTARIA 2012\BOLETAS\BOLETAS Y GASTOS VIERNES29 DE OCTUBRE DE 2010.xls", "Abrir Documento")</f>
        <v>0</v>
      </c>
      <c r="D16740" t="s">
        <v>23500</v>
      </c>
      <c r="E16740" t="s">
        <v>39215</v>
      </c>
    </row>
    <row r="16741" spans="1:5">
      <c r="A16741" t="s">
        <v>6</v>
      </c>
      <c r="B16741" t="s">
        <v>16746</v>
      </c>
      <c r="C16741">
        <f>HYPERLINK("C:\Users\franc\OneDrive\Documentos\MALENTIN KARIME\BANCO ESTADO\2012 DEPTO ESCRITURAS fata\Dc Simples\RESPALDO comp notaria 27_12_12\NOTARIA 2012\BOLETAS\BOLETAS Y GASTOS VIERNES 27 DE ENERO 2012.xls", "Abrir Documento")</f>
        <v>0</v>
      </c>
      <c r="D16741" t="s">
        <v>23500</v>
      </c>
      <c r="E16741" t="s">
        <v>39216</v>
      </c>
    </row>
    <row r="16742" spans="1:5">
      <c r="A16742" t="s">
        <v>6</v>
      </c>
      <c r="B16742" t="s">
        <v>16747</v>
      </c>
      <c r="C16742">
        <f>HYPERLINK("C:\Users\franc\OneDrive\Documentos\MALENTIN KARIME\BANCO ESTADO\2012 DEPTO ESCRITURAS fata\Dc Simples\RESPALDO comp notaria 27_12_12\NOTARIA 2012\BOLETAS\BOLETAS Y GASTOS VIERNES 26 DE NOVIEMBRE DE 2010.xls", "Abrir Documento")</f>
        <v>0</v>
      </c>
      <c r="D16742" t="s">
        <v>23500</v>
      </c>
      <c r="E16742" t="s">
        <v>39217</v>
      </c>
    </row>
    <row r="16743" spans="1:5">
      <c r="A16743" t="s">
        <v>6</v>
      </c>
      <c r="B16743" t="s">
        <v>16748</v>
      </c>
      <c r="C16743">
        <f>HYPERLINK("C:\Users\franc\OneDrive\Documentos\MALENTIN KARIME\BANCO ESTADO\2012 DEPTO ESCRITURAS fata\Dc Simples\RESPALDO comp notaria 27_12_12\NOTARIA 2012\BOLETAS\BOLETAS Y GASTOS VIERNES 25 DE NOVIEMBRE DE 2011.xls", "Abrir Documento")</f>
        <v>0</v>
      </c>
      <c r="D16743" t="s">
        <v>23500</v>
      </c>
      <c r="E16743" t="s">
        <v>39218</v>
      </c>
    </row>
    <row r="16744" spans="1:5">
      <c r="A16744" t="s">
        <v>6</v>
      </c>
      <c r="B16744" t="s">
        <v>16749</v>
      </c>
      <c r="C16744">
        <f>HYPERLINK("C:\Users\franc\OneDrive\Documentos\MALENTIN KARIME\BANCO ESTADO\2012 DEPTO ESCRITURAS fata\Dc Simples\RESPALDO comp notaria 27_12_12\NOTARIA 2012\BOLETAS\BOLETAS Y GASTOS VIERNES 23 DE JULIO 2010.xls", "Abrir Documento")</f>
        <v>0</v>
      </c>
      <c r="D16744" t="s">
        <v>23500</v>
      </c>
      <c r="E16744" t="s">
        <v>39219</v>
      </c>
    </row>
    <row r="16745" spans="1:5">
      <c r="A16745" t="s">
        <v>6</v>
      </c>
      <c r="B16745" t="s">
        <v>16750</v>
      </c>
      <c r="C16745">
        <f>HYPERLINK("C:\Users\franc\OneDrive\Documentos\MALENTIN KARIME\BANCO ESTADO\2012 DEPTO ESCRITURAS fata\Dc Simples\RESPALDO comp notaria 27_12_12\NOTARIA 2012\BOLETAS\BOLETAS Y GASTOS VIERNES 20 DE MAYO 2011.xls", "Abrir Documento")</f>
        <v>0</v>
      </c>
      <c r="D16745" t="s">
        <v>23500</v>
      </c>
      <c r="E16745" t="s">
        <v>39220</v>
      </c>
    </row>
    <row r="16746" spans="1:5">
      <c r="A16746" t="s">
        <v>6</v>
      </c>
      <c r="B16746" t="s">
        <v>16751</v>
      </c>
      <c r="C16746">
        <f>HYPERLINK("C:\Users\franc\OneDrive\Documentos\MALENTIN KARIME\BANCO ESTADO\2012 DEPTO ESCRITURAS fata\Dc Simples\RESPALDO comp notaria 27_12_12\NOTARIA 2012\BOLETAS\BOLETAS Y GASTOS viernes 18 de marzo de 2011.xls", "Abrir Documento")</f>
        <v>0</v>
      </c>
      <c r="D16746" t="s">
        <v>23500</v>
      </c>
      <c r="E16746" t="s">
        <v>39221</v>
      </c>
    </row>
    <row r="16747" spans="1:5">
      <c r="A16747" t="s">
        <v>6</v>
      </c>
      <c r="B16747" t="s">
        <v>16752</v>
      </c>
      <c r="C16747">
        <f>HYPERLINK("C:\Users\franc\OneDrive\Documentos\MALENTIN KARIME\BANCO ESTADO\2012 DEPTO ESCRITURAS fata\Dc Simples\RESPALDO comp notaria 27_12_12\NOTARIA 2012\BOLETAS\BOLETAS Y GASTOS VIERNES 15 de septiembre 2011.xls", "Abrir Documento")</f>
        <v>0</v>
      </c>
      <c r="D16747" t="s">
        <v>23500</v>
      </c>
      <c r="E16747" t="s">
        <v>39222</v>
      </c>
    </row>
    <row r="16748" spans="1:5">
      <c r="A16748" t="s">
        <v>6</v>
      </c>
      <c r="B16748" t="s">
        <v>16753</v>
      </c>
      <c r="C16748">
        <f>HYPERLINK("C:\Users\franc\OneDrive\Documentos\MALENTIN KARIME\BANCO ESTADO\2012 DEPTO ESCRITURAS fata\Dc Simples\RESPALDO comp notaria 27_12_12\NOTARIA 2012\BOLETAS\BOLETAS Y GASTOS VIERNES 11 NOVIEMBRE 2011.xls", "Abrir Documento")</f>
        <v>0</v>
      </c>
      <c r="D16748" t="s">
        <v>23500</v>
      </c>
      <c r="E16748" t="s">
        <v>39223</v>
      </c>
    </row>
    <row r="16749" spans="1:5">
      <c r="A16749" t="s">
        <v>6</v>
      </c>
      <c r="B16749" t="s">
        <v>16754</v>
      </c>
      <c r="C16749">
        <f>HYPERLINK("C:\Users\franc\OneDrive\Documentos\MALENTIN KARIME\BANCO ESTADO\2012 DEPTO ESCRITURAS fata\Dc Simples\RESPALDO comp notaria 27_12_12\NOTARIA 2012\BOLETAS\BOLETAS Y GASTOS VIERNES 11 DE FEBRERO 2011.xls", "Abrir Documento")</f>
        <v>0</v>
      </c>
      <c r="D16749" t="s">
        <v>23500</v>
      </c>
      <c r="E16749" t="s">
        <v>39224</v>
      </c>
    </row>
    <row r="16750" spans="1:5">
      <c r="A16750" t="s">
        <v>6</v>
      </c>
      <c r="B16750" t="s">
        <v>16755</v>
      </c>
      <c r="C16750">
        <f>HYPERLINK("C:\Users\franc\OneDrive\Documentos\MALENTIN KARIME\BANCO ESTADO\2012 DEPTO ESCRITURAS fata\Dc Simples\RESPALDO comp notaria 27_12_12\NOTARIA 2012\BOLETAS\BOLETAS Y GASTOS VIERNES 11 DE AGOSTO DE 2011.xls", "Abrir Documento")</f>
        <v>0</v>
      </c>
      <c r="D16750" t="s">
        <v>23500</v>
      </c>
      <c r="E16750" t="s">
        <v>39225</v>
      </c>
    </row>
    <row r="16751" spans="1:5">
      <c r="A16751" t="s">
        <v>6</v>
      </c>
      <c r="B16751" t="s">
        <v>16756</v>
      </c>
      <c r="C16751">
        <f>HYPERLINK("C:\Users\franc\OneDrive\Documentos\MALENTIN KARIME\BANCO ESTADO\2012 DEPTO ESCRITURAS fata\Dc Simples\RESPALDO comp notaria 27_12_12\NOTARIA 2012\BOLETAS\BOLETAS Y GASTOS VIERNES 09 de septiembre 2011.xls", "Abrir Documento")</f>
        <v>0</v>
      </c>
      <c r="D16751" t="s">
        <v>23500</v>
      </c>
      <c r="E16751" t="s">
        <v>39226</v>
      </c>
    </row>
    <row r="16752" spans="1:5">
      <c r="A16752" t="s">
        <v>6</v>
      </c>
      <c r="B16752" t="s">
        <v>16757</v>
      </c>
      <c r="C16752">
        <f>HYPERLINK("C:\Users\franc\OneDrive\Documentos\MALENTIN KARIME\BANCO ESTADO\2012 DEPTO ESCRITURAS fata\Dc Simples\RESPALDO comp notaria 27_12_12\NOTARIA 2012\BOLETAS\BOLETAS Y GASTOS VIERNES 08 DE OCTUBRE DE 2010.xls", "Abrir Documento")</f>
        <v>0</v>
      </c>
      <c r="D16752" t="s">
        <v>23500</v>
      </c>
      <c r="E16752" t="s">
        <v>39227</v>
      </c>
    </row>
    <row r="16753" spans="1:5">
      <c r="A16753" t="s">
        <v>6</v>
      </c>
      <c r="B16753" t="s">
        <v>16758</v>
      </c>
      <c r="C16753">
        <f>HYPERLINK("C:\Users\franc\OneDrive\Documentos\MALENTIN KARIME\BANCO ESTADO\2012 DEPTO ESCRITURAS fata\Dc Simples\RESPALDO comp notaria 27_12_12\NOTARIA 2012\BOLETAS\BOLETAS Y GASTOS VIERNES 08 DE JULIO 2011.xls", "Abrir Documento")</f>
        <v>0</v>
      </c>
      <c r="D16753" t="s">
        <v>23500</v>
      </c>
      <c r="E16753" t="s">
        <v>39228</v>
      </c>
    </row>
    <row r="16754" spans="1:5">
      <c r="A16754" t="s">
        <v>6</v>
      </c>
      <c r="B16754" t="s">
        <v>16759</v>
      </c>
      <c r="C16754">
        <f>HYPERLINK("C:\Users\franc\OneDrive\Documentos\MALENTIN KARIME\BANCO ESTADO\2012 DEPTO ESCRITURAS fata\Dc Simples\RESPALDO comp notaria 27_12_12\NOTARIA 2012\BOLETAS\BOLETAS Y GASTOS VIERNES 06 DE ENERO 2012.xls", "Abrir Documento")</f>
        <v>0</v>
      </c>
      <c r="D16754" t="s">
        <v>23500</v>
      </c>
      <c r="E16754" t="s">
        <v>39229</v>
      </c>
    </row>
    <row r="16755" spans="1:5">
      <c r="A16755" t="s">
        <v>6</v>
      </c>
      <c r="B16755" t="s">
        <v>16760</v>
      </c>
      <c r="C16755">
        <f>HYPERLINK("C:\Users\franc\OneDrive\Documentos\MALENTIN KARIME\BANCO ESTADO\2012 DEPTO ESCRITURAS fata\Dc Simples\RESPALDO comp notaria 27_12_12\NOTARIA 2012\BOLETAS\BOLETAS Y GASTOS VIERNES 04 NOVIEMBRE 2011.xls", "Abrir Documento")</f>
        <v>0</v>
      </c>
      <c r="D16755" t="s">
        <v>23500</v>
      </c>
      <c r="E16755" t="s">
        <v>39230</v>
      </c>
    </row>
    <row r="16756" spans="1:5">
      <c r="A16756" t="s">
        <v>6</v>
      </c>
      <c r="B16756" t="s">
        <v>16761</v>
      </c>
      <c r="C16756">
        <f>HYPERLINK("C:\Users\franc\OneDrive\Documentos\MALENTIN KARIME\BANCO ESTADO\2012 DEPTO ESCRITURAS fata\Dc Simples\RESPALDO comp notaria 27_12_12\NOTARIA 2012\BOLETAS\BOLETAS Y GASTOS VIERNES 02 de septiembre 2011.xls", "Abrir Documento")</f>
        <v>0</v>
      </c>
      <c r="D16756" t="s">
        <v>23500</v>
      </c>
      <c r="E16756" t="s">
        <v>39231</v>
      </c>
    </row>
    <row r="16757" spans="1:5">
      <c r="A16757" t="s">
        <v>6</v>
      </c>
      <c r="B16757" t="s">
        <v>16762</v>
      </c>
      <c r="C16757">
        <f>HYPERLINK("C:\Users\franc\OneDrive\Documentos\MALENTIN KARIME\BANCO ESTADO\2012 DEPTO ESCRITURAS fata\Dc Simples\RESPALDO comp notaria 27_12_12\NOTARIA 2012\BOLETAS\BOLETAS Y GASTOS SABADO.xls", "Abrir Documento")</f>
        <v>0</v>
      </c>
      <c r="D16757" t="s">
        <v>23500</v>
      </c>
      <c r="E16757" t="s">
        <v>39232</v>
      </c>
    </row>
    <row r="16758" spans="1:5">
      <c r="A16758" t="s">
        <v>6</v>
      </c>
      <c r="B16758" t="s">
        <v>16763</v>
      </c>
      <c r="C16758">
        <f>HYPERLINK("C:\Users\franc\OneDrive\Documentos\MALENTIN KARIME\BANCO ESTADO\2012 DEPTO ESCRITURAS fata\Dc Simples\RESPALDO comp notaria 27_12_12\NOTARIA 2012\BOLETAS\BOLETAS Y GASTOS SABADO...........DE ENERO 2011.xls", "Abrir Documento")</f>
        <v>0</v>
      </c>
      <c r="D16758" t="s">
        <v>23500</v>
      </c>
      <c r="E16758" t="s">
        <v>39233</v>
      </c>
    </row>
    <row r="16759" spans="1:5">
      <c r="A16759" t="s">
        <v>6</v>
      </c>
      <c r="B16759" t="s">
        <v>16764</v>
      </c>
      <c r="C16759">
        <f>HYPERLINK("C:\Users\franc\OneDrive\Documentos\MALENTIN KARIME\BANCO ESTADO\2012 DEPTO ESCRITURAS fata\Dc Simples\RESPALDO comp notaria 27_12_12\NOTARIA 2012\BOLETAS\BOLETAS Y GASTOS SABADO 30 DE OCTUBRE DE 2010.xls", "Abrir Documento")</f>
        <v>0</v>
      </c>
      <c r="D16759" t="s">
        <v>23500</v>
      </c>
      <c r="E16759" t="s">
        <v>39234</v>
      </c>
    </row>
    <row r="16760" spans="1:5">
      <c r="A16760" t="s">
        <v>6</v>
      </c>
      <c r="B16760" t="s">
        <v>16765</v>
      </c>
      <c r="C16760">
        <f>HYPERLINK("C:\Users\franc\OneDrive\Documentos\MALENTIN KARIME\BANCO ESTADO\2012 DEPTO ESCRITURAS fata\Dc Simples\RESPALDO comp notaria 27_12_12\NOTARIA 2012\BOLETAS\BOLETAS Y GASTOS SABADO 28 DE 12  DE 2010.xls", "Abrir Documento")</f>
        <v>0</v>
      </c>
      <c r="D16760" t="s">
        <v>23500</v>
      </c>
      <c r="E16760" t="s">
        <v>39235</v>
      </c>
    </row>
    <row r="16761" spans="1:5">
      <c r="A16761" t="s">
        <v>6</v>
      </c>
      <c r="B16761" t="s">
        <v>16766</v>
      </c>
      <c r="C16761">
        <f>HYPERLINK("C:\Users\franc\OneDrive\Documentos\MALENTIN KARIME\BANCO ESTADO\2012 DEPTO ESCRITURAS fata\Dc Simples\RESPALDO comp notaria 27_12_12\NOTARIA 2012\BOLETAS\BOLETAS Y GASTOS SABADO 22 DE ENERO 2011.xls", "Abrir Documento")</f>
        <v>0</v>
      </c>
      <c r="D16761" t="s">
        <v>23500</v>
      </c>
      <c r="E16761" t="s">
        <v>39236</v>
      </c>
    </row>
    <row r="16762" spans="1:5">
      <c r="A16762" t="s">
        <v>6</v>
      </c>
      <c r="B16762" t="s">
        <v>16767</v>
      </c>
      <c r="C16762">
        <f>HYPERLINK("C:\Users\franc\OneDrive\Documentos\MALENTIN KARIME\BANCO ESTADO\2012 DEPTO ESCRITURAS fata\Dc Simples\RESPALDO comp notaria 27_12_12\NOTARIA 2012\BOLETAS\BOLETAS Y GASTOS SABADO 18 DE JUNIO DE 2011.xls", "Abrir Documento")</f>
        <v>0</v>
      </c>
      <c r="D16762" t="s">
        <v>23500</v>
      </c>
      <c r="E16762" t="s">
        <v>39237</v>
      </c>
    </row>
    <row r="16763" spans="1:5">
      <c r="A16763" t="s">
        <v>6</v>
      </c>
      <c r="B16763" t="s">
        <v>16768</v>
      </c>
      <c r="C16763">
        <f>HYPERLINK("C:\Users\franc\OneDrive\Documentos\MALENTIN KARIME\BANCO ESTADO\2012 DEPTO ESCRITURAS fata\Dc Simples\RESPALDO comp notaria 27_12_12\NOTARIA 2012\BOLETAS\BOLETAS Y GASTOS SABADO 17 DE JULIO 2010.xls", "Abrir Documento")</f>
        <v>0</v>
      </c>
      <c r="D16763" t="s">
        <v>23500</v>
      </c>
      <c r="E16763" t="s">
        <v>39238</v>
      </c>
    </row>
    <row r="16764" spans="1:5">
      <c r="A16764" t="s">
        <v>6</v>
      </c>
      <c r="B16764" t="s">
        <v>16769</v>
      </c>
      <c r="C16764">
        <f>HYPERLINK("C:\Users\franc\OneDrive\Documentos\MALENTIN KARIME\BANCO ESTADO\2012 DEPTO ESCRITURAS fata\Dc Simples\RESPALDO comp notaria 27_12_12\NOTARIA 2012\BOLETAS\BOLETAS Y GASTOS SABADO 12 DE FEBRERO 2011.xls", "Abrir Documento")</f>
        <v>0</v>
      </c>
      <c r="D16764" t="s">
        <v>23500</v>
      </c>
      <c r="E16764" t="s">
        <v>39239</v>
      </c>
    </row>
    <row r="16765" spans="1:5">
      <c r="A16765" t="s">
        <v>6</v>
      </c>
      <c r="B16765" t="s">
        <v>16770</v>
      </c>
      <c r="C16765">
        <f>HYPERLINK("C:\Users\franc\OneDrive\Documentos\MALENTIN KARIME\BANCO ESTADO\2012 DEPTO ESCRITURAS fata\Dc Simples\RESPALDO comp notaria 27_12_12\NOTARIA 2012\BOLETAS\BOLETAS Y GASTOS SABADO 10 de septiembre.xls", "Abrir Documento")</f>
        <v>0</v>
      </c>
      <c r="D16765" t="s">
        <v>23500</v>
      </c>
      <c r="E16765" t="s">
        <v>39240</v>
      </c>
    </row>
    <row r="16766" spans="1:5">
      <c r="A16766" t="s">
        <v>6</v>
      </c>
      <c r="B16766" t="s">
        <v>16771</v>
      </c>
      <c r="C16766">
        <f>HYPERLINK("C:\Users\franc\OneDrive\Documentos\MALENTIN KARIME\BANCO ESTADO\2012 DEPTO ESCRITURAS fata\Dc Simples\RESPALDO comp notaria 27_12_12\NOTARIA 2012\BOLETAS\BOLETAS Y GASTOS SABADO 09 DE OCTUBRE DE 2010.xls", "Abrir Documento")</f>
        <v>0</v>
      </c>
      <c r="D16766" t="s">
        <v>23500</v>
      </c>
      <c r="E16766" t="s">
        <v>39241</v>
      </c>
    </row>
    <row r="16767" spans="1:5">
      <c r="A16767" t="s">
        <v>6</v>
      </c>
      <c r="B16767" t="s">
        <v>16772</v>
      </c>
      <c r="C16767">
        <f>HYPERLINK("C:\Users\franc\OneDrive\Documentos\MALENTIN KARIME\BANCO ESTADO\2012 DEPTO ESCRITURAS fata\Dc Simples\RESPALDO comp notaria 27_12_12\NOTARIA 2012\BOLETAS\BOLETAS Y GASTOS SABADO 09 DE JULIO 2011.xls", "Abrir Documento")</f>
        <v>0</v>
      </c>
      <c r="D16767" t="s">
        <v>23500</v>
      </c>
      <c r="E16767" t="s">
        <v>39242</v>
      </c>
    </row>
    <row r="16768" spans="1:5">
      <c r="A16768" t="s">
        <v>6</v>
      </c>
      <c r="B16768" t="s">
        <v>16773</v>
      </c>
      <c r="C16768">
        <f>HYPERLINK("C:\Users\franc\OneDrive\Documentos\MALENTIN KARIME\BANCO ESTADO\2012 DEPTO ESCRITURAS fata\Dc Simples\RESPALDO comp notaria 27_12_12\NOTARIA 2012\BOLETAS\BOLETAS Y GASTOS SABADO 07 DE AGOSTO 2010.xls", "Abrir Documento")</f>
        <v>0</v>
      </c>
      <c r="D16768" t="s">
        <v>23500</v>
      </c>
      <c r="E16768" t="s">
        <v>39243</v>
      </c>
    </row>
    <row r="16769" spans="1:5">
      <c r="A16769" t="s">
        <v>6</v>
      </c>
      <c r="B16769" t="s">
        <v>16774</v>
      </c>
      <c r="C16769">
        <f>HYPERLINK("C:\Users\franc\OneDrive\Documentos\MALENTIN KARIME\BANCO ESTADO\2012 DEPTO ESCRITURAS fata\Dc Simples\RESPALDO comp notaria 27_12_12\NOTARIA 2012\BOLETAS\BOLETAS Y GASTOS MIERCOLES 29 DE 12  DE 2010.xls", "Abrir Documento")</f>
        <v>0</v>
      </c>
      <c r="D16769" t="s">
        <v>23500</v>
      </c>
      <c r="E16769" t="s">
        <v>39244</v>
      </c>
    </row>
    <row r="16770" spans="1:5">
      <c r="A16770" t="s">
        <v>6</v>
      </c>
      <c r="B16770" t="s">
        <v>16775</v>
      </c>
      <c r="C16770">
        <f>HYPERLINK("C:\Users\franc\OneDrive\Documentos\MALENTIN KARIME\BANCO ESTADO\2012 DEPTO ESCRITURAS fata\Dc Simples\RESPALDO comp notaria 27_12_12\NOTARIA 2012\BOLETAS\BOLETAS Y GASTOS MIERCOLES 28 de septiembre 2011.xls", "Abrir Documento")</f>
        <v>0</v>
      </c>
      <c r="D16770" t="s">
        <v>23500</v>
      </c>
      <c r="E16770" t="s">
        <v>39245</v>
      </c>
    </row>
    <row r="16771" spans="1:5">
      <c r="A16771" t="s">
        <v>6</v>
      </c>
      <c r="B16771" t="s">
        <v>16776</v>
      </c>
      <c r="C16771">
        <f>HYPERLINK("C:\Users\franc\OneDrive\Documentos\MALENTIN KARIME\BANCO ESTADO\2012 DEPTO ESCRITURAS fata\Dc Simples\RESPALDO comp notaria 27_12_12\NOTARIA 2012\BOLETAS\BOLETAS Y GASTOS MIERCOLES 23 DE JUNIO 2011.xls", "Abrir Documento")</f>
        <v>0</v>
      </c>
      <c r="D16771" t="s">
        <v>23500</v>
      </c>
      <c r="E16771" t="s">
        <v>39246</v>
      </c>
    </row>
    <row r="16772" spans="1:5">
      <c r="A16772" t="s">
        <v>6</v>
      </c>
      <c r="B16772" t="s">
        <v>16777</v>
      </c>
      <c r="C16772">
        <f>HYPERLINK("C:\Users\franc\OneDrive\Documentos\MALENTIN KARIME\BANCO ESTADO\2012 DEPTO ESCRITURAS fata\Dc Simples\RESPALDO comp notaria 27_12_12\NOTARIA 2012\BOLETAS\BOLETAS Y GASTOS MIERCOLES 22 DE JUNIO 2011.xls", "Abrir Documento")</f>
        <v>0</v>
      </c>
      <c r="D16772" t="s">
        <v>23500</v>
      </c>
      <c r="E16772" t="s">
        <v>39247</v>
      </c>
    </row>
    <row r="16773" spans="1:5">
      <c r="A16773" t="s">
        <v>6</v>
      </c>
      <c r="B16773" t="s">
        <v>16778</v>
      </c>
      <c r="C16773">
        <f>HYPERLINK("C:\Users\franc\OneDrive\Documentos\MALENTIN KARIME\BANCO ESTADO\2012 DEPTO ESCRITURAS fata\Dc Simples\RESPALDO comp notaria 27_12_12\NOTARIA 2012\BOLETAS\BOLETAS Y GASTOS MIERCOLES 21 DE JULIO 2010.xls", "Abrir Documento")</f>
        <v>0</v>
      </c>
      <c r="D16773" t="s">
        <v>23500</v>
      </c>
      <c r="E16773" t="s">
        <v>39248</v>
      </c>
    </row>
    <row r="16774" spans="1:5">
      <c r="A16774" t="s">
        <v>6</v>
      </c>
      <c r="B16774" t="s">
        <v>16779</v>
      </c>
      <c r="C16774">
        <f>HYPERLINK("C:\Users\franc\OneDrive\Documentos\MALENTIN KARIME\BANCO ESTADO\2012 DEPTO ESCRITURAS fata\Dc Simples\RESPALDO comp notaria 27_12_12\NOTARIA 2012\BOLETAS\BOLETAS Y GASTOS MIERCOLES 19 DE ENERO 2011.xls", "Abrir Documento")</f>
        <v>0</v>
      </c>
      <c r="D16774" t="s">
        <v>23500</v>
      </c>
      <c r="E16774" t="s">
        <v>39249</v>
      </c>
    </row>
    <row r="16775" spans="1:5">
      <c r="A16775" t="s">
        <v>6</v>
      </c>
      <c r="B16775" t="s">
        <v>16780</v>
      </c>
      <c r="C16775">
        <f>HYPERLINK("C:\Users\franc\OneDrive\Documentos\MALENTIN KARIME\BANCO ESTADO\2012 DEPTO ESCRITURAS fata\Dc Simples\RESPALDO comp notaria 27_12_12\NOTARIA 2012\BOLETAS\BOLETAS Y GASTOS MIERCOLES 15 DE SEPTIEMBRE DE 2010.xls", "Abrir Documento")</f>
        <v>0</v>
      </c>
      <c r="D16775" t="s">
        <v>23500</v>
      </c>
      <c r="E16775" t="s">
        <v>39250</v>
      </c>
    </row>
    <row r="16776" spans="1:5">
      <c r="A16776" t="s">
        <v>6</v>
      </c>
      <c r="B16776" t="s">
        <v>16781</v>
      </c>
      <c r="C16776">
        <f>HYPERLINK("C:\Users\franc\OneDrive\Documentos\MALENTIN KARIME\BANCO ESTADO\2012 DEPTO ESCRITURAS fata\Dc Simples\RESPALDO comp notaria 27_12_12\NOTARIA 2012\BOLETAS\BOLETAS Y GASTOS MIERCOLES 14 DE JULIO 2010.xls", "Abrir Documento")</f>
        <v>0</v>
      </c>
      <c r="D16776" t="s">
        <v>23500</v>
      </c>
      <c r="E16776" t="s">
        <v>39251</v>
      </c>
    </row>
    <row r="16777" spans="1:5">
      <c r="A16777" t="s">
        <v>6</v>
      </c>
      <c r="B16777" t="s">
        <v>16782</v>
      </c>
      <c r="C16777">
        <f>HYPERLINK("C:\Users\franc\OneDrive\Documentos\MALENTIN KARIME\BANCO ESTADO\2012 DEPTO ESCRITURAS fata\Dc Simples\RESPALDO comp notaria 27_12_12\NOTARIA 2012\BOLETAS\BOLETAS Y GASTOS MIERCOLES 06 DE OCTUBRE DE 2010.xls", "Abrir Documento")</f>
        <v>0</v>
      </c>
      <c r="D16777" t="s">
        <v>23500</v>
      </c>
      <c r="E16777" t="s">
        <v>39252</v>
      </c>
    </row>
    <row r="16778" spans="1:5">
      <c r="A16778" t="s">
        <v>6</v>
      </c>
      <c r="B16778" t="s">
        <v>16783</v>
      </c>
      <c r="C16778">
        <f>HYPERLINK("C:\Users\franc\OneDrive\Documentos\MALENTIN KARIME\BANCO ESTADO\2012 DEPTO ESCRITURAS fata\Dc Simples\RESPALDO comp notaria 27_12_12\NOTARIA 2012\BOLETAS\BOLETAS Y GASTOS MIERCOLES 04 DE ENERO 2012.xls", "Abrir Documento")</f>
        <v>0</v>
      </c>
      <c r="D16778" t="s">
        <v>23500</v>
      </c>
      <c r="E16778" t="s">
        <v>39253</v>
      </c>
    </row>
    <row r="16779" spans="1:5">
      <c r="A16779" t="s">
        <v>6</v>
      </c>
      <c r="B16779" t="s">
        <v>16784</v>
      </c>
      <c r="C16779">
        <f>HYPERLINK("C:\Users\franc\OneDrive\Documentos\MALENTIN KARIME\BANCO ESTADO\2012 DEPTO ESCRITURAS fata\Dc Simples\RESPALDO comp notaria 27_12_12\NOTARIA 2012\BOLETAS\BOLETAS Y GASTOS MIERCOLES 02 NOVIEMBRE 2011.xls", "Abrir Documento")</f>
        <v>0</v>
      </c>
      <c r="D16779" t="s">
        <v>23500</v>
      </c>
      <c r="E16779" t="s">
        <v>39254</v>
      </c>
    </row>
    <row r="16780" spans="1:5">
      <c r="A16780" t="s">
        <v>6</v>
      </c>
      <c r="B16780" t="s">
        <v>16785</v>
      </c>
      <c r="C16780">
        <f>HYPERLINK("C:\Users\franc\OneDrive\Documentos\MALENTIN KARIME\BANCO ESTADO\2012 DEPTO ESCRITURAS fata\Dc Simples\RESPALDO comp notaria 27_12_12\NOTARIA 2012\BOLETAS\BOLETAS Y GASTOS MARTES21 DE JUNIO 2011.xls", "Abrir Documento")</f>
        <v>0</v>
      </c>
      <c r="D16780" t="s">
        <v>23500</v>
      </c>
      <c r="E16780" t="s">
        <v>39255</v>
      </c>
    </row>
    <row r="16781" spans="1:5">
      <c r="A16781" t="s">
        <v>6</v>
      </c>
      <c r="B16781" t="s">
        <v>16786</v>
      </c>
      <c r="C16781">
        <f>HYPERLINK("C:\Users\franc\OneDrive\Documentos\MALENTIN KARIME\BANCO ESTADO\2012 DEPTO ESCRITURAS fata\Dc Simples\RESPALDO comp notaria 27_12_12\NOTARIA 2012\BOLETAS\BOLETAS Y GASTOS MARTES 26 DE ABRIL 2011.xls", "Abrir Documento")</f>
        <v>0</v>
      </c>
      <c r="D16781" t="s">
        <v>23500</v>
      </c>
      <c r="E16781" t="s">
        <v>39256</v>
      </c>
    </row>
    <row r="16782" spans="1:5">
      <c r="A16782" t="s">
        <v>6</v>
      </c>
      <c r="B16782" t="s">
        <v>16787</v>
      </c>
      <c r="C16782">
        <f>HYPERLINK("C:\Users\franc\OneDrive\Documentos\MALENTIN KARIME\BANCO ESTADO\2012 DEPTO ESCRITURAS fata\Dc Simples\RESPALDO comp notaria 27_12_12\NOTARIA 2012\BOLETAS\BOLETAS Y GASTOS MARTES 25 DE ENERO 2012.xls", "Abrir Documento")</f>
        <v>0</v>
      </c>
      <c r="D16782" t="s">
        <v>23500</v>
      </c>
      <c r="E16782" t="s">
        <v>39257</v>
      </c>
    </row>
    <row r="16783" spans="1:5">
      <c r="A16783" t="s">
        <v>6</v>
      </c>
      <c r="B16783" t="s">
        <v>16788</v>
      </c>
      <c r="C16783">
        <f>HYPERLINK("C:\Users\franc\OneDrive\Documentos\MALENTIN KARIME\BANCO ESTADO\2012 DEPTO ESCRITURAS fata\Dc Simples\RESPALDO comp notaria 27_12_12\NOTARIA 2012\BOLETAS\BOLETAS Y GASTOS MARTES 24 DE ENERO 2012.xls", "Abrir Documento")</f>
        <v>0</v>
      </c>
      <c r="D16783" t="s">
        <v>23500</v>
      </c>
      <c r="E16783" t="s">
        <v>39258</v>
      </c>
    </row>
    <row r="16784" spans="1:5">
      <c r="A16784" t="s">
        <v>6</v>
      </c>
      <c r="B16784" t="s">
        <v>16789</v>
      </c>
      <c r="C16784">
        <f>HYPERLINK("C:\Users\franc\OneDrive\Documentos\MALENTIN KARIME\BANCO ESTADO\2012 DEPTO ESCRITURAS fata\Dc Simples\RESPALDO comp notaria 27_12_12\NOTARIA 2012\BOLETAS\BOLETAS Y GASTOS MARTES 20 DE JULIO 2010.xls", "Abrir Documento")</f>
        <v>0</v>
      </c>
      <c r="D16784" t="s">
        <v>23500</v>
      </c>
      <c r="E16784" t="s">
        <v>39259</v>
      </c>
    </row>
    <row r="16785" spans="1:5">
      <c r="A16785" t="s">
        <v>6</v>
      </c>
      <c r="B16785" t="s">
        <v>16790</v>
      </c>
      <c r="C16785">
        <f>HYPERLINK("C:\Users\franc\OneDrive\Documentos\MALENTIN KARIME\BANCO ESTADO\2012 DEPTO ESCRITURAS fata\Dc Simples\RESPALDO comp notaria 27_12_12\NOTARIA 2012\BOLETAS\BOLETAS Y GASTOS MARTES 18 DE ENERO DE 2011.xls", "Abrir Documento")</f>
        <v>0</v>
      </c>
      <c r="D16785" t="s">
        <v>23500</v>
      </c>
      <c r="E16785" t="s">
        <v>39260</v>
      </c>
    </row>
    <row r="16786" spans="1:5">
      <c r="A16786" t="s">
        <v>6</v>
      </c>
      <c r="B16786" t="s">
        <v>16791</v>
      </c>
      <c r="C16786">
        <f>HYPERLINK("C:\Users\franc\OneDrive\Documentos\MALENTIN KARIME\BANCO ESTADO\2012 DEPTO ESCRITURAS fata\Dc Simples\RESPALDO comp notaria 27_12_12\NOTARIA 2012\BOLETAS\BOLETAS Y GASTOS MARTES 14 DE SEPTIEMBRE DE 2010.xls", "Abrir Documento")</f>
        <v>0</v>
      </c>
      <c r="D16786" t="s">
        <v>23500</v>
      </c>
      <c r="E16786" t="s">
        <v>39261</v>
      </c>
    </row>
    <row r="16787" spans="1:5">
      <c r="A16787" t="s">
        <v>6</v>
      </c>
      <c r="B16787" t="s">
        <v>16792</v>
      </c>
      <c r="C16787">
        <f>HYPERLINK("C:\Users\franc\OneDrive\Documentos\MALENTIN KARIME\BANCO ESTADO\2012 DEPTO ESCRITURAS fata\Dc Simples\RESPALDO comp notaria 27_12_12\NOTARIA 2012\BOLETAS\BOLETAS Y GASTOS MARTES 13 DE JULIO 2010.xls", "Abrir Documento")</f>
        <v>0</v>
      </c>
      <c r="D16787" t="s">
        <v>23500</v>
      </c>
      <c r="E16787" t="s">
        <v>39262</v>
      </c>
    </row>
    <row r="16788" spans="1:5">
      <c r="A16788" t="s">
        <v>6</v>
      </c>
      <c r="B16788" t="s">
        <v>16793</v>
      </c>
      <c r="C16788">
        <f>HYPERLINK("C:\Users\franc\OneDrive\Documentos\MALENTIN KARIME\BANCO ESTADO\2012 DEPTO ESCRITURAS fata\Dc Simples\RESPALDO comp notaria 27_12_12\NOTARIA 2012\BOLETAS\BOLETAS Y GASTOS MARTES 07 DE JUNIO DE 2011.xls", "Abrir Documento")</f>
        <v>0</v>
      </c>
      <c r="D16788" t="s">
        <v>23500</v>
      </c>
      <c r="E16788" t="s">
        <v>39263</v>
      </c>
    </row>
    <row r="16789" spans="1:5">
      <c r="A16789" t="s">
        <v>6</v>
      </c>
      <c r="B16789" t="s">
        <v>16794</v>
      </c>
      <c r="C16789">
        <f>HYPERLINK("C:\Users\franc\OneDrive\Documentos\MALENTIN KARIME\BANCO ESTADO\2012 DEPTO ESCRITURAS fata\Dc Simples\RESPALDO comp notaria 27_12_12\NOTARIA 2012\BOLETAS\BOLETAS Y GASTOS MARTES 05 DE OCTUBRE DE 2010.xls", "Abrir Documento")</f>
        <v>0</v>
      </c>
      <c r="D16789" t="s">
        <v>23500</v>
      </c>
      <c r="E16789" t="s">
        <v>39264</v>
      </c>
    </row>
    <row r="16790" spans="1:5">
      <c r="A16790" t="s">
        <v>6</v>
      </c>
      <c r="B16790" t="s">
        <v>16795</v>
      </c>
      <c r="C16790">
        <f>HYPERLINK("C:\Users\franc\OneDrive\Documentos\MALENTIN KARIME\BANCO ESTADO\2012 DEPTO ESCRITURAS fata\Dc Simples\RESPALDO comp notaria 27_12_12\NOTARIA 2012\BOLETAS\BOLETAS Y GASTOS MARTES 03 DE ENERO 2012.xls", "Abrir Documento")</f>
        <v>0</v>
      </c>
      <c r="D16790" t="s">
        <v>23500</v>
      </c>
      <c r="E16790" t="s">
        <v>39265</v>
      </c>
    </row>
    <row r="16791" spans="1:5">
      <c r="A16791" t="s">
        <v>6</v>
      </c>
      <c r="B16791" t="s">
        <v>16796</v>
      </c>
      <c r="C16791">
        <f>HYPERLINK("C:\Users\franc\OneDrive\Documentos\MALENTIN KARIME\BANCO ESTADO\2012 DEPTO ESCRITURAS fata\Dc Simples\RESPALDO comp notaria 27_12_12\NOTARIA 2012\BOLETAS\BOLETAS Y GASTOS LUNES 26 DE JULIO 2010.xls", "Abrir Documento")</f>
        <v>0</v>
      </c>
      <c r="D16791" t="s">
        <v>23500</v>
      </c>
      <c r="E16791" t="s">
        <v>39266</v>
      </c>
    </row>
    <row r="16792" spans="1:5">
      <c r="A16792" t="s">
        <v>6</v>
      </c>
      <c r="B16792" t="s">
        <v>16797</v>
      </c>
      <c r="C16792">
        <f>HYPERLINK("C:\Users\franc\OneDrive\Documentos\MALENTIN KARIME\BANCO ESTADO\2012 DEPTO ESCRITURAS fata\Dc Simples\RESPALDO comp notaria 27_12_12\NOTARIA 2012\BOLETAS\BOLETAS Y GASTOS LUNES 23 DE MAYO 2011.xls", "Abrir Documento")</f>
        <v>0</v>
      </c>
      <c r="D16792" t="s">
        <v>23500</v>
      </c>
      <c r="E16792" t="s">
        <v>39267</v>
      </c>
    </row>
    <row r="16793" spans="1:5">
      <c r="A16793" t="s">
        <v>6</v>
      </c>
      <c r="B16793" t="s">
        <v>16798</v>
      </c>
      <c r="C16793">
        <f>HYPERLINK("C:\Users\franc\OneDrive\Documentos\MALENTIN KARIME\BANCO ESTADO\2012 DEPTO ESCRITURAS fata\Dc Simples\RESPALDO comp notaria 27_12_12\NOTARIA 2012\BOLETAS\BOLETAS Y GASTOS LUNES 23 DE ENERO 2012.xls", "Abrir Documento")</f>
        <v>0</v>
      </c>
      <c r="D16793" t="s">
        <v>23500</v>
      </c>
      <c r="E16793" t="s">
        <v>39268</v>
      </c>
    </row>
    <row r="16794" spans="1:5">
      <c r="A16794" t="s">
        <v>6</v>
      </c>
      <c r="B16794" t="s">
        <v>16799</v>
      </c>
      <c r="C16794">
        <f>HYPERLINK("C:\Users\franc\OneDrive\Documentos\MALENTIN KARIME\BANCO ESTADO\2012 DEPTO ESCRITURAS fata\Dc Simples\RESPALDO comp notaria 27_12_12\NOTARIA 2012\BOLETAS\BOLETAS Y GASTOS LUNES 20 de junio de 2011.xls", "Abrir Documento")</f>
        <v>0</v>
      </c>
      <c r="D16794" t="s">
        <v>23500</v>
      </c>
      <c r="E16794" t="s">
        <v>39269</v>
      </c>
    </row>
    <row r="16795" spans="1:5">
      <c r="A16795" t="s">
        <v>6</v>
      </c>
      <c r="B16795" t="s">
        <v>16800</v>
      </c>
      <c r="C16795">
        <f>HYPERLINK("C:\Users\franc\OneDrive\Documentos\MALENTIN KARIME\BANCO ESTADO\2012 DEPTO ESCRITURAS fata\Dc Simples\RESPALDO comp notaria 27_12_12\NOTARIA 2012\BOLETAS\BOLETAS Y GASTOS LUNES 19 DE JULIO 2010.xls", "Abrir Documento")</f>
        <v>0</v>
      </c>
      <c r="D16795" t="s">
        <v>23500</v>
      </c>
      <c r="E16795" t="s">
        <v>39270</v>
      </c>
    </row>
    <row r="16796" spans="1:5">
      <c r="A16796" t="s">
        <v>6</v>
      </c>
      <c r="B16796" t="s">
        <v>16801</v>
      </c>
      <c r="C16796">
        <f>HYPERLINK("C:\Users\franc\OneDrive\Documentos\MALENTIN KARIME\BANCO ESTADO\2012 DEPTO ESCRITURAS fata\Dc Simples\RESPALDO comp notaria 27_12_12\NOTARIA 2012\BOLETAS\BOLETAS Y GASTOS LUNES 19 DE DICIEMBRE DE 2011.xls", "Abrir Documento")</f>
        <v>0</v>
      </c>
      <c r="D16796" t="s">
        <v>23500</v>
      </c>
      <c r="E16796" t="s">
        <v>39271</v>
      </c>
    </row>
    <row r="16797" spans="1:5">
      <c r="A16797" t="s">
        <v>6</v>
      </c>
      <c r="B16797" t="s">
        <v>16802</v>
      </c>
      <c r="C16797">
        <f>HYPERLINK("C:\Users\franc\OneDrive\Documentos\MALENTIN KARIME\BANCO ESTADO\2012 DEPTO ESCRITURAS fata\Dc Simples\RESPALDO comp notaria 27_12_12\NOTARIA 2012\BOLETAS\BOLETAS Y GASTOS LUNES 18 DE OCTUBRE DE 2010.xls", "Abrir Documento")</f>
        <v>0</v>
      </c>
      <c r="D16797" t="s">
        <v>23500</v>
      </c>
      <c r="E16797" t="s">
        <v>39272</v>
      </c>
    </row>
    <row r="16798" spans="1:5">
      <c r="A16798" t="s">
        <v>6</v>
      </c>
      <c r="B16798" t="s">
        <v>16803</v>
      </c>
      <c r="C16798">
        <f>HYPERLINK("C:\Users\franc\OneDrive\Documentos\MALENTIN KARIME\BANCO ESTADO\2012 DEPTO ESCRITURAS fata\Dc Simples\RESPALDO comp notaria 27_12_12\NOTARIA 2012\BOLETAS\BOLETAS Y GASTOS LUNES 17-01-2011.xls", "Abrir Documento")</f>
        <v>0</v>
      </c>
      <c r="D16798" t="s">
        <v>23500</v>
      </c>
      <c r="E16798" t="s">
        <v>39273</v>
      </c>
    </row>
    <row r="16799" spans="1:5">
      <c r="A16799" t="s">
        <v>6</v>
      </c>
      <c r="B16799" t="s">
        <v>16804</v>
      </c>
      <c r="C16799">
        <f>HYPERLINK("C:\Users\franc\OneDrive\Documentos\MALENTIN KARIME\BANCO ESTADO\2012 DEPTO ESCRITURAS fata\Dc Simples\RESPALDO comp notaria 27_12_12\NOTARIA 2012\BOLETAS\BOLETAS Y GASTOS LUNES 13 DE SEPTIEMBRE DE 2010.xls", "Abrir Documento")</f>
        <v>0</v>
      </c>
      <c r="D16799" t="s">
        <v>23500</v>
      </c>
      <c r="E16799" t="s">
        <v>39274</v>
      </c>
    </row>
    <row r="16800" spans="1:5">
      <c r="A16800" t="s">
        <v>6</v>
      </c>
      <c r="B16800" t="s">
        <v>16805</v>
      </c>
      <c r="C16800">
        <f>HYPERLINK("C:\Users\franc\OneDrive\Documentos\MALENTIN KARIME\BANCO ESTADO\2012 DEPTO ESCRITURAS fata\Dc Simples\RESPALDO comp notaria 27_12_12\NOTARIA 2012\BOLETAS\BOLETAS Y GASTOS LUNES 13 DE MAYO 2011.xls", "Abrir Documento")</f>
        <v>0</v>
      </c>
      <c r="D16800" t="s">
        <v>23500</v>
      </c>
      <c r="E16800" t="s">
        <v>39275</v>
      </c>
    </row>
    <row r="16801" spans="1:5">
      <c r="A16801" t="s">
        <v>6</v>
      </c>
      <c r="B16801" t="s">
        <v>16806</v>
      </c>
      <c r="C16801">
        <f>HYPERLINK("C:\Users\franc\OneDrive\Documentos\MALENTIN KARIME\BANCO ESTADO\2012 DEPTO ESCRITURAS fata\Dc Simples\RESPALDO comp notaria 27_12_12\NOTARIA 2012\BOLETAS\BOLETAS Y GASTOS LUNES 12 DE JULIO 2010.xls", "Abrir Documento")</f>
        <v>0</v>
      </c>
      <c r="D16801" t="s">
        <v>23500</v>
      </c>
      <c r="E16801" t="s">
        <v>39276</v>
      </c>
    </row>
    <row r="16802" spans="1:5">
      <c r="A16802" t="s">
        <v>6</v>
      </c>
      <c r="B16802" t="s">
        <v>16807</v>
      </c>
      <c r="C16802">
        <f>HYPERLINK("C:\Users\franc\OneDrive\Documentos\MALENTIN KARIME\BANCO ESTADO\2012 DEPTO ESCRITURAS fata\Dc Simples\RESPALDO comp notaria 27_12_12\NOTARIA 2012\BOLETAS\BOLETAS Y GASTOS LUNES 11 DE ABRIL DE 2011.xls", "Abrir Documento")</f>
        <v>0</v>
      </c>
      <c r="D16802" t="s">
        <v>23500</v>
      </c>
      <c r="E16802" t="s">
        <v>39277</v>
      </c>
    </row>
    <row r="16803" spans="1:5">
      <c r="A16803" t="s">
        <v>6</v>
      </c>
      <c r="B16803" t="s">
        <v>16808</v>
      </c>
      <c r="C16803">
        <f>HYPERLINK("C:\Users\franc\OneDrive\Documentos\MALENTIN KARIME\BANCO ESTADO\2012 DEPTO ESCRITURAS fata\Dc Simples\RESPALDO comp notaria 27_12_12\NOTARIA 2012\BOLETAS\BOLETAS Y GASTOS LUNES 06 DE AGOSTO 2010.xls", "Abrir Documento")</f>
        <v>0</v>
      </c>
      <c r="D16803" t="s">
        <v>23500</v>
      </c>
      <c r="E16803" t="s">
        <v>39278</v>
      </c>
    </row>
    <row r="16804" spans="1:5">
      <c r="A16804" t="s">
        <v>6</v>
      </c>
      <c r="B16804" t="s">
        <v>16809</v>
      </c>
      <c r="C16804">
        <f>HYPERLINK("C:\Users\franc\OneDrive\Documentos\MALENTIN KARIME\BANCO ESTADO\2012 DEPTO ESCRITURAS fata\Dc Simples\RESPALDO comp notaria 27_12_12\NOTARIA 2012\BOLETAS\BOLETAS Y GASTOS LUNES 04 DE OCTUBRE DE 2010.xls", "Abrir Documento")</f>
        <v>0</v>
      </c>
      <c r="D16804" t="s">
        <v>23500</v>
      </c>
      <c r="E16804" t="s">
        <v>39279</v>
      </c>
    </row>
    <row r="16805" spans="1:5">
      <c r="A16805" t="s">
        <v>6</v>
      </c>
      <c r="B16805" t="s">
        <v>16810</v>
      </c>
      <c r="C16805">
        <f>HYPERLINK("C:\Users\franc\OneDrive\Documentos\MALENTIN KARIME\BANCO ESTADO\2012 DEPTO ESCRITURAS fata\Dc Simples\RESPALDO comp notaria 27_12_12\NOTARIA 2012\BOLETAS\BOLETAS Y GASTOS LUNES 02 DE ENERO 2012.xls", "Abrir Documento")</f>
        <v>0</v>
      </c>
      <c r="D16805" t="s">
        <v>23500</v>
      </c>
      <c r="E16805" t="s">
        <v>39280</v>
      </c>
    </row>
    <row r="16806" spans="1:5">
      <c r="A16806" t="s">
        <v>6</v>
      </c>
      <c r="B16806" t="s">
        <v>16811</v>
      </c>
      <c r="C16806">
        <f>HYPERLINK("C:\Users\franc\OneDrive\Documentos\MALENTIN KARIME\BANCO ESTADO\2012 DEPTO ESCRITURAS fata\Dc Simples\RESPALDO comp notaria 27_12_12\NOTARIA 2012\BOLETAS\BOLETAS Y GASTOS JUEVES 30 DE 12  DE 2010.xls", "Abrir Documento")</f>
        <v>0</v>
      </c>
      <c r="D16806" t="s">
        <v>23500</v>
      </c>
      <c r="E16806" t="s">
        <v>39281</v>
      </c>
    </row>
    <row r="16807" spans="1:5">
      <c r="A16807" t="s">
        <v>6</v>
      </c>
      <c r="B16807" t="s">
        <v>16812</v>
      </c>
      <c r="C16807">
        <f>HYPERLINK("C:\Users\franc\OneDrive\Documentos\MALENTIN KARIME\BANCO ESTADO\2012 DEPTO ESCRITURAS fata\Dc Simples\RESPALDO comp notaria 27_12_12\NOTARIA 2012\BOLETAS\BOLETAS Y GASTOS JUEVES 26 DE ENERO 2012.xls", "Abrir Documento")</f>
        <v>0</v>
      </c>
      <c r="D16807" t="s">
        <v>23500</v>
      </c>
      <c r="E16807" t="s">
        <v>39282</v>
      </c>
    </row>
    <row r="16808" spans="1:5">
      <c r="A16808" t="s">
        <v>6</v>
      </c>
      <c r="B16808" t="s">
        <v>16813</v>
      </c>
      <c r="C16808">
        <f>HYPERLINK("C:\Users\franc\OneDrive\Documentos\MALENTIN KARIME\BANCO ESTADO\2012 DEPTO ESCRITURAS fata\Dc Simples\RESPALDO comp notaria 27_12_12\NOTARIA 2012\BOLETAS\BOLETAS Y GASTOS jueves 20 de enero 2011.xls", "Abrir Documento")</f>
        <v>0</v>
      </c>
      <c r="D16808" t="s">
        <v>23500</v>
      </c>
      <c r="E16808" t="s">
        <v>39283</v>
      </c>
    </row>
    <row r="16809" spans="1:5">
      <c r="A16809" t="s">
        <v>6</v>
      </c>
      <c r="B16809" t="s">
        <v>16814</v>
      </c>
      <c r="C16809">
        <f>HYPERLINK("C:\Users\franc\OneDrive\Documentos\MALENTIN KARIME\BANCO ESTADO\2012 DEPTO ESCRITURAS fata\Dc Simples\RESPALDO comp notaria 27_12_12\NOTARIA 2012\BOLETAS\BOLETAS Y GASTOS JUEVES 16 DE SEPTIEMBRE DE 2010.xls", "Abrir Documento")</f>
        <v>0</v>
      </c>
      <c r="D16809" t="s">
        <v>23500</v>
      </c>
      <c r="E16809" t="s">
        <v>39284</v>
      </c>
    </row>
    <row r="16810" spans="1:5">
      <c r="A16810" t="s">
        <v>6</v>
      </c>
      <c r="B16810" t="s">
        <v>16815</v>
      </c>
      <c r="C16810">
        <f>HYPERLINK("C:\Users\franc\OneDrive\Documentos\MALENTIN KARIME\BANCO ESTADO\2012 DEPTO ESCRITURAS fata\Dc Simples\RESPALDO comp notaria 27_12_12\NOTARIA 2012\BOLETAS\BOLETAS Y GASTOS JUEVES 15 DE JULIO 2010.xls", "Abrir Documento")</f>
        <v>0</v>
      </c>
      <c r="D16810" t="s">
        <v>23500</v>
      </c>
      <c r="E16810" t="s">
        <v>39285</v>
      </c>
    </row>
    <row r="16811" spans="1:5">
      <c r="A16811" t="s">
        <v>6</v>
      </c>
      <c r="B16811" t="s">
        <v>16816</v>
      </c>
      <c r="C16811">
        <f>HYPERLINK("C:\Users\franc\OneDrive\Documentos\MALENTIN KARIME\BANCO ESTADO\2012 DEPTO ESCRITURAS fata\Dc Simples\RESPALDO comp notaria 27_12_12\NOTARIA 2012\BOLETAS\BOLETAS Y GASTOS JUEVES 12 DE ENERO 2012.xls", "Abrir Documento")</f>
        <v>0</v>
      </c>
      <c r="D16811" t="s">
        <v>23500</v>
      </c>
      <c r="E16811" t="s">
        <v>39286</v>
      </c>
    </row>
    <row r="16812" spans="1:5">
      <c r="A16812" t="s">
        <v>6</v>
      </c>
      <c r="B16812" t="s">
        <v>16817</v>
      </c>
      <c r="C16812">
        <f>HYPERLINK("C:\Users\franc\OneDrive\Documentos\MALENTIN KARIME\BANCO ESTADO\2012 DEPTO ESCRITURAS fata\Dc Simples\RESPALDO comp notaria 27_12_12\NOTARIA 2012\BOLETAS\BOLETAS Y GASTOS JUEVES 07 DE OCTUBRE DE 2010.xls", "Abrir Documento")</f>
        <v>0</v>
      </c>
      <c r="D16812" t="s">
        <v>23500</v>
      </c>
      <c r="E16812" t="s">
        <v>39287</v>
      </c>
    </row>
    <row r="16813" spans="1:5">
      <c r="A16813" t="s">
        <v>6</v>
      </c>
      <c r="B16813" t="s">
        <v>16818</v>
      </c>
      <c r="C16813">
        <f>HYPERLINK("C:\Users\franc\OneDrive\Documentos\MALENTIN KARIME\BANCO ESTADO\2012 DEPTO ESCRITURAS fata\Dc Simples\RESPALDO comp notaria 27_12_12\NOTARIA 2012\BOLETAS\BOLETAS Y GASTOS JUEVES 05 DE ENERO 2012.xls", "Abrir Documento")</f>
        <v>0</v>
      </c>
      <c r="D16813" t="s">
        <v>23500</v>
      </c>
      <c r="E16813" t="s">
        <v>39288</v>
      </c>
    </row>
    <row r="16814" spans="1:5">
      <c r="A16814" t="s">
        <v>6</v>
      </c>
      <c r="B16814" t="s">
        <v>16819</v>
      </c>
      <c r="C16814">
        <f>HYPERLINK("C:\Users\franc\OneDrive\Documentos\MALENTIN KARIME\BANCO ESTADO\2012 DEPTO ESCRITURAS fata\Dc Simples\RESPALDO comp notaria 27_12_12\NOTARIA 2012\BOLETAS\BOLETAS Y GASTOS 24 AGOSTO.xls", "Abrir Documento")</f>
        <v>0</v>
      </c>
      <c r="D16814" t="s">
        <v>23500</v>
      </c>
      <c r="E16814" t="s">
        <v>39289</v>
      </c>
    </row>
    <row r="16815" spans="1:5">
      <c r="A16815" t="s">
        <v>6</v>
      </c>
      <c r="B16815" t="s">
        <v>16820</v>
      </c>
      <c r="C16815">
        <f>HYPERLINK("C:\Users\franc\OneDrive\Documentos\MALENTIN KARIME\BANCO ESTADO\2012 DEPTO ESCRITURAS fata\Dc Simples\RESPALDO comp notaria 27_12_12\NOTARIA 2012\BOLETAS\BOLETAS Y GASTOS 18-02-2011.xls", "Abrir Documento")</f>
        <v>0</v>
      </c>
      <c r="D16815" t="s">
        <v>23500</v>
      </c>
      <c r="E16815" t="s">
        <v>39290</v>
      </c>
    </row>
    <row r="16816" spans="1:5">
      <c r="A16816" t="s">
        <v>6</v>
      </c>
      <c r="B16816" t="s">
        <v>16821</v>
      </c>
      <c r="C16816">
        <f>HYPERLINK("C:\Users\franc\OneDrive\Documentos\MALENTIN KARIME\BANCO ESTADO\2012 DEPTO ESCRITURAS fata\Dc Simples\RESPALDO comp notaria 27_12_12\NOTARIA 2012\AUTORIZACIONES\VIAJE MENOR DENTRO DEL PAIS 1 PADRE.doc", "Abrir Documento")</f>
        <v>0</v>
      </c>
      <c r="D16816" t="s">
        <v>23500</v>
      </c>
      <c r="E16816" t="s">
        <v>39291</v>
      </c>
    </row>
    <row r="16817" spans="1:5">
      <c r="A16817" t="s">
        <v>6</v>
      </c>
      <c r="B16817" t="s">
        <v>16822</v>
      </c>
      <c r="C16817">
        <f>HYPERLINK("C:\Users\franc\OneDrive\Documentos\MALENTIN KARIME\BANCO ESTADO\2012 DEPTO ESCRITURAS fata\Dc Simples\RESPALDO comp notaria 27_12_12\NOTARIA 2012\AUTORIZACIONES\VENTA DE MEDIA AGUA.doc", "Abrir Documento")</f>
        <v>0</v>
      </c>
      <c r="D16817" t="s">
        <v>23500</v>
      </c>
      <c r="E16817" t="s">
        <v>39292</v>
      </c>
    </row>
    <row r="16818" spans="1:5">
      <c r="A16818" t="s">
        <v>6</v>
      </c>
      <c r="B16818" t="s">
        <v>16823</v>
      </c>
      <c r="C16818">
        <f>HYPERLINK("C:\Users\franc\OneDrive\Documentos\MALENTIN KARIME\BANCO ESTADO\2012 DEPTO ESCRITURAS fata\Dc Simples\RESPALDO comp notaria 27_12_12\NOTARIA 2012\AUTORIZACIONES\VEHICULO FUERA DE CHILE.doc", "Abrir Documento")</f>
        <v>0</v>
      </c>
      <c r="D16818" t="s">
        <v>23500</v>
      </c>
      <c r="E16818" t="s">
        <v>39293</v>
      </c>
    </row>
    <row r="16819" spans="1:5">
      <c r="A16819" t="s">
        <v>6</v>
      </c>
      <c r="B16819" t="s">
        <v>16824</v>
      </c>
      <c r="C16819">
        <f>HYPERLINK("C:\Users\franc\OneDrive\Documentos\MALENTIN KARIME\BANCO ESTADO\2012 DEPTO ESCRITURAS fata\Dc Simples\RESPALDO comp notaria 27_12_12\NOTARIA 2012\AUTORIZACIONES\TRASPASO TEMPORAL DE AGUA.doc", "Abrir Documento")</f>
        <v>0</v>
      </c>
      <c r="D16819" t="s">
        <v>23500</v>
      </c>
      <c r="E16819" t="s">
        <v>39294</v>
      </c>
    </row>
    <row r="16820" spans="1:5">
      <c r="A16820" t="s">
        <v>6</v>
      </c>
      <c r="B16820" t="s">
        <v>16825</v>
      </c>
      <c r="C16820">
        <f>HYPERLINK("C:\Users\franc\OneDrive\Documentos\MALENTIN KARIME\BANCO ESTADO\2012 DEPTO ESCRITURAS fata\Dc Simples\RESPALDO comp notaria 27_12_12\NOTARIA 2012\AUTORIZACIONES\TRABAJO MENOR.doc", "Abrir Documento")</f>
        <v>0</v>
      </c>
      <c r="D16820" t="s">
        <v>23500</v>
      </c>
      <c r="E16820" t="s">
        <v>39295</v>
      </c>
    </row>
    <row r="16821" spans="1:5">
      <c r="A16821" t="s">
        <v>6</v>
      </c>
      <c r="B16821" t="s">
        <v>16826</v>
      </c>
      <c r="C16821">
        <f>HYPERLINK("C:\Users\franc\OneDrive\Documentos\MALENTIN KARIME\BANCO ESTADO\2012 DEPTO ESCRITURAS fata\Dc Simples\RESPALDO comp notaria 27_12_12\NOTARIA 2012\AUTORIZACIONES\TRAB. MENOR TUTOR.doc", "Abrir Documento")</f>
        <v>0</v>
      </c>
      <c r="D16821" t="s">
        <v>23500</v>
      </c>
      <c r="E16821" t="s">
        <v>39296</v>
      </c>
    </row>
    <row r="16822" spans="1:5">
      <c r="A16822" t="s">
        <v>6</v>
      </c>
      <c r="B16822" t="s">
        <v>16827</v>
      </c>
      <c r="C16822">
        <f>HYPERLINK("C:\Users\franc\OneDrive\Documentos\MALENTIN KARIME\BANCO ESTADO\2012 DEPTO ESCRITURAS fata\Dc Simples\RESPALDO comp notaria 27_12_12\NOTARIA 2012\AUTORIZACIONES\TRAB. MENOR LOCAL.doc", "Abrir Documento")</f>
        <v>0</v>
      </c>
      <c r="D16822" t="s">
        <v>23500</v>
      </c>
      <c r="E16822" t="s">
        <v>39297</v>
      </c>
    </row>
    <row r="16823" spans="1:5">
      <c r="A16823" t="s">
        <v>6</v>
      </c>
      <c r="B16823" t="s">
        <v>16828</v>
      </c>
      <c r="C16823">
        <f>HYPERLINK("C:\Users\franc\OneDrive\Documentos\MALENTIN KARIME\BANCO ESTADO\2012 DEPTO ESCRITURAS fata\Dc Simples\RESPALDO comp notaria 27_12_12\NOTARIA 2012\AUTORIZACIONES\SUBSIDIO.doc", "Abrir Documento")</f>
        <v>0</v>
      </c>
      <c r="D16823" t="s">
        <v>23500</v>
      </c>
      <c r="E16823" t="s">
        <v>39298</v>
      </c>
    </row>
    <row r="16824" spans="1:5">
      <c r="A16824" t="s">
        <v>6</v>
      </c>
      <c r="B16824" t="s">
        <v>16829</v>
      </c>
      <c r="C16824">
        <f>HYPERLINK("C:\Users\franc\OneDrive\Documentos\MALENTIN KARIME\BANCO ESTADO\2012 DEPTO ESCRITURAS fata\Dc Simples\RESPALDO comp notaria 27_12_12\NOTARIA 2012\AUTORIZACIONES\SERVICIO MILITAR.doc", "Abrir Documento")</f>
        <v>0</v>
      </c>
      <c r="D16824" t="s">
        <v>23500</v>
      </c>
      <c r="E16824" t="s">
        <v>39299</v>
      </c>
    </row>
    <row r="16825" spans="1:5">
      <c r="A16825" t="s">
        <v>6</v>
      </c>
      <c r="B16825" t="s">
        <v>16830</v>
      </c>
      <c r="C16825">
        <f>HYPERLINK("C:\Users\franc\OneDrive\Documentos\MALENTIN KARIME\BANCO ESTADO\2012 DEPTO ESCRITURAS fata\Dc Simples\RESPALDO comp notaria 27_12_12\NOTARIA 2012\AUTORIZACIONES\SERV. DE PASO.doc", "Abrir Documento")</f>
        <v>0</v>
      </c>
      <c r="D16825" t="s">
        <v>23500</v>
      </c>
      <c r="E16825" t="s">
        <v>39300</v>
      </c>
    </row>
    <row r="16826" spans="1:5">
      <c r="A16826" t="s">
        <v>6</v>
      </c>
      <c r="B16826" t="s">
        <v>16831</v>
      </c>
      <c r="C16826">
        <f>HYPERLINK("C:\Users\franc\OneDrive\Documentos\MALENTIN KARIME\BANCO ESTADO\2012 DEPTO ESCRITURAS fata\Dc Simples\RESPALDO comp notaria 27_12_12\NOTARIA 2012\AUTORIZACIONES\SANTA ISABEL (PROPINERO).doc", "Abrir Documento")</f>
        <v>0</v>
      </c>
      <c r="D16826" t="s">
        <v>23500</v>
      </c>
      <c r="E16826" t="s">
        <v>39301</v>
      </c>
    </row>
    <row r="16827" spans="1:5">
      <c r="A16827" t="s">
        <v>6</v>
      </c>
      <c r="B16827" t="s">
        <v>16832</v>
      </c>
      <c r="C16827">
        <f>HYPERLINK("C:\Users\franc\OneDrive\Documentos\MALENTIN KARIME\BANCO ESTADO\2012 DEPTO ESCRITURAS fata\Dc Simples\RESPALDO comp notaria 27_12_12\NOTARIA 2012\AUTORIZACIONES\SALIDAD AUTOMOVIL SOCIEDAD.doc", "Abrir Documento")</f>
        <v>0</v>
      </c>
      <c r="D16827" t="s">
        <v>23500</v>
      </c>
      <c r="E16827" t="s">
        <v>39302</v>
      </c>
    </row>
    <row r="16828" spans="1:5">
      <c r="A16828" t="s">
        <v>6</v>
      </c>
      <c r="B16828" t="s">
        <v>16833</v>
      </c>
      <c r="C16828">
        <f>HYPERLINK("C:\Users\franc\OneDrive\Documentos\MALENTIN KARIME\BANCO ESTADO\2012 DEPTO ESCRITURAS fata\Dc Simples\RESPALDO comp notaria 27_12_12\NOTARIA 2012\AUTORIZACIONES\SALIDA VEHICULO.doc", "Abrir Documento")</f>
        <v>0</v>
      </c>
      <c r="D16828" t="s">
        <v>23500</v>
      </c>
      <c r="E16828" t="s">
        <v>39303</v>
      </c>
    </row>
    <row r="16829" spans="1:5">
      <c r="A16829" t="s">
        <v>6</v>
      </c>
      <c r="B16829" t="s">
        <v>16834</v>
      </c>
      <c r="C16829">
        <f>HYPERLINK("C:\Users\franc\OneDrive\Documentos\MALENTIN KARIME\BANCO ESTADO\2012 DEPTO ESCRITURAS fata\Dc Simples\RESPALDO comp notaria 27_12_12\NOTARIA 2012\AUTORIZACIONES\SALIDA VEHICULO SRA MARIA.doc", "Abrir Documento")</f>
        <v>0</v>
      </c>
      <c r="D16829" t="s">
        <v>23500</v>
      </c>
      <c r="E16829" t="s">
        <v>39304</v>
      </c>
    </row>
    <row r="16830" spans="1:5">
      <c r="A16830" t="s">
        <v>6</v>
      </c>
      <c r="B16830" t="s">
        <v>16835</v>
      </c>
      <c r="C16830">
        <f>HYPERLINK("C:\Users\franc\OneDrive\Documentos\MALENTIN KARIME\BANCO ESTADO\2012 DEPTO ESCRITURAS fata\Dc Simples\RESPALDO comp notaria 27_12_12\NOTARIA 2012\AUTORIZACIONES\SALIDA VEHICULO PAIS SOC QUIMICA.doc", "Abrir Documento")</f>
        <v>0</v>
      </c>
      <c r="D16830" t="s">
        <v>23500</v>
      </c>
      <c r="E16830" t="s">
        <v>39305</v>
      </c>
    </row>
    <row r="16831" spans="1:5">
      <c r="A16831" t="s">
        <v>6</v>
      </c>
      <c r="B16831" t="s">
        <v>16836</v>
      </c>
      <c r="C16831">
        <f>HYPERLINK("C:\Users\franc\OneDrive\Documentos\MALENTIN KARIME\BANCO ESTADO\2012 DEPTO ESCRITURAS fata\Dc Simples\RESPALDO comp notaria 27_12_12\NOTARIA 2012\AUTORIZACIONES\SALIDA VEH. SOCIEDAD.doc", "Abrir Documento")</f>
        <v>0</v>
      </c>
      <c r="D16831" t="s">
        <v>23500</v>
      </c>
      <c r="E16831" t="s">
        <v>39306</v>
      </c>
    </row>
    <row r="16832" spans="1:5">
      <c r="A16832" t="s">
        <v>6</v>
      </c>
      <c r="B16832" t="s">
        <v>16837</v>
      </c>
      <c r="C16832">
        <f>HYPERLINK("C:\Users\franc\OneDrive\Documentos\MALENTIN KARIME\BANCO ESTADO\2012 DEPTO ESCRITURAS fata\Dc Simples\RESPALDO comp notaria 27_12_12\NOTARIA 2012\AUTORIZACIONES\SALIDA VEH. SOCIEDAD PATRICIO GUZMAN.doc", "Abrir Documento")</f>
        <v>0</v>
      </c>
      <c r="D16832" t="s">
        <v>23500</v>
      </c>
      <c r="E16832" t="s">
        <v>39307</v>
      </c>
    </row>
    <row r="16833" spans="1:5">
      <c r="A16833" t="s">
        <v>6</v>
      </c>
      <c r="B16833" t="s">
        <v>16838</v>
      </c>
      <c r="C16833">
        <f>HYPERLINK("C:\Users\franc\OneDrive\Documentos\MALENTIN KARIME\BANCO ESTADO\2012 DEPTO ESCRITURAS fata\Dc Simples\RESPALDO comp notaria 27_12_12\NOTARIA 2012\AUTORIZACIONES\SALIDA VEH. CAMAL.doc", "Abrir Documento")</f>
        <v>0</v>
      </c>
      <c r="D16833" t="s">
        <v>23500</v>
      </c>
      <c r="E16833" t="s">
        <v>39308</v>
      </c>
    </row>
    <row r="16834" spans="1:5">
      <c r="A16834" t="s">
        <v>6</v>
      </c>
      <c r="B16834" t="s">
        <v>16839</v>
      </c>
      <c r="C16834">
        <f>HYPERLINK("C:\Users\franc\OneDrive\Documentos\MALENTIN KARIME\BANCO ESTADO\2012 DEPTO ESCRITURAS fata\Dc Simples\RESPALDO comp notaria 27_12_12\NOTARIA 2012\AUTORIZACIONES\SALIDA PAIS ESCUELA DE MUSICA.doc", "Abrir Documento")</f>
        <v>0</v>
      </c>
      <c r="D16834" t="s">
        <v>23500</v>
      </c>
      <c r="E16834" t="s">
        <v>39309</v>
      </c>
    </row>
    <row r="16835" spans="1:5">
      <c r="A16835" t="s">
        <v>6</v>
      </c>
      <c r="B16835" t="s">
        <v>16840</v>
      </c>
      <c r="C16835">
        <f>HYPERLINK("C:\Users\franc\OneDrive\Documentos\MALENTIN KARIME\BANCO ESTADO\2012 DEPTO ESCRITURAS fata\Dc Simples\RESPALDO comp notaria 27_12_12\NOTARIA 2012\AUTORIZACIONES\SALIDA PAIS ESCUELA DE MUSICA prof. marcos figueroa.doc", "Abrir Documento")</f>
        <v>0</v>
      </c>
      <c r="D16835" t="s">
        <v>23500</v>
      </c>
      <c r="E16835" t="s">
        <v>39310</v>
      </c>
    </row>
    <row r="16836" spans="1:5">
      <c r="A16836" t="s">
        <v>6</v>
      </c>
      <c r="B16836" t="s">
        <v>16841</v>
      </c>
      <c r="C16836">
        <f>HYPERLINK("C:\Users\franc\OneDrive\Documentos\MALENTIN KARIME\BANCO ESTADO\2012 DEPTO ESCRITURAS fata\Dc Simples\RESPALDO comp notaria 27_12_12\NOTARIA 2012\AUTORIZACIONES\SALIDA PAIS ESCUELA DE MUSICA prof. marcos figueroa 1 padre.doc", "Abrir Documento")</f>
        <v>0</v>
      </c>
      <c r="D16836" t="s">
        <v>23500</v>
      </c>
      <c r="E16836" t="s">
        <v>39311</v>
      </c>
    </row>
    <row r="16837" spans="1:5">
      <c r="A16837" t="s">
        <v>6</v>
      </c>
      <c r="B16837" t="s">
        <v>16842</v>
      </c>
      <c r="C16837">
        <f>HYPERLINK("C:\Users\franc\OneDrive\Documentos\MALENTIN KARIME\BANCO ESTADO\2012 DEPTO ESCRITURAS fata\Dc Simples\RESPALDO comp notaria 27_12_12\NOTARIA 2012\AUTORIZACIONES\SALIDA PAIS esc. musica.doc", "Abrir Documento")</f>
        <v>0</v>
      </c>
      <c r="D16837" t="s">
        <v>23500</v>
      </c>
      <c r="E16837" t="s">
        <v>39312</v>
      </c>
    </row>
    <row r="16838" spans="1:5">
      <c r="A16838" t="s">
        <v>6</v>
      </c>
      <c r="B16838" t="s">
        <v>16843</v>
      </c>
      <c r="C16838">
        <f>HYPERLINK("C:\Users\franc\OneDrive\Documentos\MALENTIN KARIME\BANCO ESTADO\2012 DEPTO ESCRITURAS fata\Dc Simples\RESPALDO comp notaria 27_12_12\NOTARIA 2012\AUTORIZACIONES\SALIDA PAIS COLEGIO SANTA MARIA.doc", "Abrir Documento")</f>
        <v>0</v>
      </c>
      <c r="D16838" t="s">
        <v>23500</v>
      </c>
      <c r="E16838" t="s">
        <v>39313</v>
      </c>
    </row>
    <row r="16839" spans="1:5">
      <c r="A16839" t="s">
        <v>6</v>
      </c>
      <c r="B16839" t="s">
        <v>16844</v>
      </c>
      <c r="C16839">
        <f>HYPERLINK("C:\Users\franc\OneDrive\Documentos\MALENTIN KARIME\BANCO ESTADO\2012 DEPTO ESCRITURAS fata\Dc Simples\RESPALDO comp notaria 27_12_12\NOTARIA 2012\AUTORIZACIONES\SALIDA PAIS COLEGIO SANTA MARIA 1 solo padre.doc", "Abrir Documento")</f>
        <v>0</v>
      </c>
      <c r="D16839" t="s">
        <v>23500</v>
      </c>
      <c r="E16839" t="s">
        <v>39314</v>
      </c>
    </row>
    <row r="16840" spans="1:5">
      <c r="A16840" t="s">
        <v>6</v>
      </c>
      <c r="B16840" t="s">
        <v>16845</v>
      </c>
      <c r="C16840">
        <f>HYPERLINK("C:\Users\franc\OneDrive\Documentos\MALENTIN KARIME\BANCO ESTADO\2012 DEPTO ESCRITURAS fata\Dc Simples\RESPALDO comp notaria 27_12_12\NOTARIA 2012\AUTORIZACIONES\SALIDA PAIS 2 PADRES.doc", "Abrir Documento")</f>
        <v>0</v>
      </c>
      <c r="D16840" t="s">
        <v>23500</v>
      </c>
      <c r="E16840" t="s">
        <v>39315</v>
      </c>
    </row>
    <row r="16841" spans="1:5">
      <c r="A16841" t="s">
        <v>6</v>
      </c>
      <c r="B16841" t="s">
        <v>16846</v>
      </c>
      <c r="C16841">
        <f>HYPERLINK("C:\Users\franc\OneDrive\Documentos\MALENTIN KARIME\BANCO ESTADO\2012 DEPTO ESCRITURAS fata\Dc Simples\RESPALDO comp notaria 27_12_12\NOTARIA 2012\AUTORIZACIONES\SALIDA PAIS 2 PADRES GIRA ESTUDIOS.doc", "Abrir Documento")</f>
        <v>0</v>
      </c>
      <c r="D16841" t="s">
        <v>23500</v>
      </c>
      <c r="E16841" t="s">
        <v>39316</v>
      </c>
    </row>
    <row r="16842" spans="1:5">
      <c r="A16842" t="s">
        <v>6</v>
      </c>
      <c r="B16842" t="s">
        <v>16847</v>
      </c>
      <c r="C16842">
        <f>HYPERLINK("C:\Users\franc\OneDrive\Documentos\MALENTIN KARIME\BANCO ESTADO\2012 DEPTO ESCRITURAS fata\Dc Simples\RESPALDO comp notaria 27_12_12\NOTARIA 2012\AUTORIZACIONES\SALIDA PAIS 2 Cristian Guerra Hurtado.doc", "Abrir Documento")</f>
        <v>0</v>
      </c>
      <c r="D16842" t="s">
        <v>23500</v>
      </c>
      <c r="E16842" t="s">
        <v>39317</v>
      </c>
    </row>
    <row r="16843" spans="1:5">
      <c r="A16843" t="s">
        <v>6</v>
      </c>
      <c r="B16843" t="s">
        <v>16848</v>
      </c>
      <c r="C16843">
        <f>HYPERLINK("C:\Users\franc\OneDrive\Documentos\MALENTIN KARIME\BANCO ESTADO\2012 DEPTO ESCRITURAS fata\Dc Simples\RESPALDO comp notaria 27_12_12\NOTARIA 2012\AUTORIZACIONES\SALIDA PAIS 1 PADRE.doc", "Abrir Documento")</f>
        <v>0</v>
      </c>
      <c r="D16843" t="s">
        <v>23500</v>
      </c>
      <c r="E16843" t="s">
        <v>39318</v>
      </c>
    </row>
    <row r="16844" spans="1:5">
      <c r="A16844" t="s">
        <v>6</v>
      </c>
      <c r="B16844" t="s">
        <v>16849</v>
      </c>
      <c r="C16844">
        <f>HYPERLINK("C:\Users\franc\OneDrive\Documentos\MALENTIN KARIME\BANCO ESTADO\2012 DEPTO ESCRITURAS fata\Dc Simples\RESPALDO comp notaria 27_12_12\NOTARIA 2012\AUTORIZACIONES\SAL. PAIS 4 MENORES.doc", "Abrir Documento")</f>
        <v>0</v>
      </c>
      <c r="D16844" t="s">
        <v>23500</v>
      </c>
      <c r="E16844" t="s">
        <v>39319</v>
      </c>
    </row>
    <row r="16845" spans="1:5">
      <c r="A16845" t="s">
        <v>6</v>
      </c>
      <c r="B16845" t="s">
        <v>16850</v>
      </c>
      <c r="C16845">
        <f>HYPERLINK("C:\Users\franc\OneDrive\Documentos\MALENTIN KARIME\BANCO ESTADO\2012 DEPTO ESCRITURAS fata\Dc Simples\RESPALDO comp notaria 27_12_12\NOTARIA 2012\AUTORIZACIONES\SAL. PAIS 1 PADRE.doc", "Abrir Documento")</f>
        <v>0</v>
      </c>
      <c r="D16845" t="s">
        <v>23500</v>
      </c>
      <c r="E16845" t="s">
        <v>39320</v>
      </c>
    </row>
    <row r="16846" spans="1:5">
      <c r="A16846" t="s">
        <v>6</v>
      </c>
      <c r="B16846" t="s">
        <v>16851</v>
      </c>
      <c r="C16846">
        <f>HYPERLINK("C:\Users\franc\OneDrive\Documentos\MALENTIN KARIME\BANCO ESTADO\2012 DEPTO ESCRITURAS fata\Dc Simples\RESPALDO comp notaria 27_12_12\NOTARIA 2012\AUTORIZACIONES\SAL. PAIS 1 PADRE dr. SLATER.doc", "Abrir Documento")</f>
        <v>0</v>
      </c>
      <c r="D16846" t="s">
        <v>23500</v>
      </c>
      <c r="E16846" t="s">
        <v>39321</v>
      </c>
    </row>
    <row r="16847" spans="1:5">
      <c r="A16847" t="s">
        <v>6</v>
      </c>
      <c r="B16847" t="s">
        <v>16852</v>
      </c>
      <c r="C16847">
        <f>HYPERLINK("C:\Users\franc\OneDrive\Documentos\MALENTIN KARIME\BANCO ESTADO\2012 DEPTO ESCRITURAS fata\Dc Simples\RESPALDO comp notaria 27_12_12\NOTARIA 2012\AUTORIZACIONES\SAL. PAIS 1 PADRE DENTRO Y FUERA DEL PAIS.doc", "Abrir Documento")</f>
        <v>0</v>
      </c>
      <c r="D16847" t="s">
        <v>23500</v>
      </c>
      <c r="E16847" t="s">
        <v>39322</v>
      </c>
    </row>
    <row r="16848" spans="1:5">
      <c r="A16848" t="s">
        <v>6</v>
      </c>
      <c r="B16848" t="s">
        <v>16853</v>
      </c>
      <c r="C16848">
        <f>HYPERLINK("C:\Users\franc\OneDrive\Documentos\MALENTIN KARIME\BANCO ESTADO\2012 DEPTO ESCRITURAS fata\Dc Simples\RESPALDO comp notaria 27_12_12\NOTARIA 2012\AUTORIZACIONES\SACAR VEHIC. ZONA FRANCA.doc", "Abrir Documento")</f>
        <v>0</v>
      </c>
      <c r="D16848" t="s">
        <v>23500</v>
      </c>
      <c r="E16848" t="s">
        <v>39323</v>
      </c>
    </row>
    <row r="16849" spans="1:5">
      <c r="A16849" t="s">
        <v>6</v>
      </c>
      <c r="B16849" t="s">
        <v>16854</v>
      </c>
      <c r="C16849">
        <f>HYPERLINK("C:\Users\franc\OneDrive\Documentos\MALENTIN KARIME\BANCO ESTADO\2012 DEPTO ESCRITURAS fata\Dc Simples\RESPALDO comp notaria 27_12_12\NOTARIA 2012\AUTORIZACIONES\RETIRO PERTENENCIAS.doc", "Abrir Documento")</f>
        <v>0</v>
      </c>
      <c r="D16849" t="s">
        <v>23500</v>
      </c>
      <c r="E16849" t="s">
        <v>39324</v>
      </c>
    </row>
    <row r="16850" spans="1:5">
      <c r="A16850" t="s">
        <v>6</v>
      </c>
      <c r="B16850" t="s">
        <v>16855</v>
      </c>
      <c r="C16850">
        <f>HYPERLINK("C:\Users\franc\OneDrive\Documentos\MALENTIN KARIME\BANCO ESTADO\2012 DEPTO ESCRITURAS fata\Dc Simples\RESPALDO comp notaria 27_12_12\NOTARIA 2012\AUTORIZACIONES\REPRESENTANTE VEHICULO SINDICATO.doc", "Abrir Documento")</f>
        <v>0</v>
      </c>
      <c r="D16850" t="s">
        <v>23500</v>
      </c>
      <c r="E16850" t="s">
        <v>39325</v>
      </c>
    </row>
    <row r="16851" spans="1:5">
      <c r="A16851" t="s">
        <v>6</v>
      </c>
      <c r="B16851" t="s">
        <v>16856</v>
      </c>
      <c r="C16851">
        <f>HYPERLINK("C:\Users\franc\OneDrive\Documentos\MALENTIN KARIME\BANCO ESTADO\2012 DEPTO ESCRITURAS fata\Dc Simples\RESPALDO comp notaria 27_12_12\NOTARIA 2012\AUTORIZACIONES\renuncia de bono.doc", "Abrir Documento")</f>
        <v>0</v>
      </c>
      <c r="D16851" t="s">
        <v>23500</v>
      </c>
      <c r="E16851" t="s">
        <v>39326</v>
      </c>
    </row>
    <row r="16852" spans="1:5">
      <c r="A16852" t="s">
        <v>6</v>
      </c>
      <c r="B16852" t="s">
        <v>16857</v>
      </c>
      <c r="C16852">
        <f>HYPERLINK("C:\Users\franc\OneDrive\Documentos\MALENTIN KARIME\BANCO ESTADO\2012 DEPTO ESCRITURAS fata\Dc Simples\RESPALDO comp notaria 27_12_12\NOTARIA 2012\AUTORIZACIONES\RECONOC.HIJO.doc", "Abrir Documento")</f>
        <v>0</v>
      </c>
      <c r="D16852" t="s">
        <v>23500</v>
      </c>
      <c r="E16852" t="s">
        <v>39327</v>
      </c>
    </row>
    <row r="16853" spans="1:5">
      <c r="A16853" t="s">
        <v>6</v>
      </c>
      <c r="B16853" t="s">
        <v>16858</v>
      </c>
      <c r="C16853">
        <f>HYPERLINK("C:\Users\franc\OneDrive\Documentos\MALENTIN KARIME\BANCO ESTADO\2012 DEPTO ESCRITURAS fata\Dc Simples\RESPALDO comp notaria 27_12_12\NOTARIA 2012\AUTORIZACIONES\PREVISION NIETO.doc", "Abrir Documento")</f>
        <v>0</v>
      </c>
      <c r="D16853" t="s">
        <v>23500</v>
      </c>
      <c r="E16853" t="s">
        <v>39328</v>
      </c>
    </row>
    <row r="16854" spans="1:5">
      <c r="A16854" t="s">
        <v>6</v>
      </c>
      <c r="B16854" t="s">
        <v>16859</v>
      </c>
      <c r="C16854">
        <f>HYPERLINK("C:\Users\franc\OneDrive\Documentos\MALENTIN KARIME\BANCO ESTADO\2012 DEPTO ESCRITURAS fata\Dc Simples\RESPALDO comp notaria 27_12_12\NOTARIA 2012\AUTORIZACIONES\PRESTAMO NICHO.doc", "Abrir Documento")</f>
        <v>0</v>
      </c>
      <c r="D16854" t="s">
        <v>23500</v>
      </c>
      <c r="E16854" t="s">
        <v>39329</v>
      </c>
    </row>
    <row r="16855" spans="1:5">
      <c r="A16855" t="s">
        <v>6</v>
      </c>
      <c r="B16855" t="s">
        <v>16860</v>
      </c>
      <c r="C16855">
        <f>HYPERLINK("C:\Users\franc\OneDrive\Documentos\MALENTIN KARIME\BANCO ESTADO\2012 DEPTO ESCRITURAS fata\Dc Simples\RESPALDO comp notaria 27_12_12\NOTARIA 2012\AUTORIZACIONES\PERMISO PERUANO.doc", "Abrir Documento")</f>
        <v>0</v>
      </c>
      <c r="D16855" t="s">
        <v>23500</v>
      </c>
      <c r="E16855" t="s">
        <v>39330</v>
      </c>
    </row>
    <row r="16856" spans="1:5">
      <c r="A16856" t="s">
        <v>6</v>
      </c>
      <c r="B16856" t="s">
        <v>16861</v>
      </c>
      <c r="C16856">
        <f>HYPERLINK("C:\Users\franc\OneDrive\Documentos\MALENTIN KARIME\BANCO ESTADO\2012 DEPTO ESCRITURAS fata\Dc Simples\RESPALDO comp notaria 27_12_12\NOTARIA 2012\AUTORIZACIONES\para realizar trabajos.doc", "Abrir Documento")</f>
        <v>0</v>
      </c>
      <c r="D16856" t="s">
        <v>23500</v>
      </c>
      <c r="E16856" t="s">
        <v>39331</v>
      </c>
    </row>
    <row r="16857" spans="1:5">
      <c r="A16857" t="s">
        <v>6</v>
      </c>
      <c r="B16857" t="s">
        <v>16862</v>
      </c>
      <c r="C16857">
        <f>HYPERLINK("C:\Users\franc\OneDrive\Documentos\MALENTIN KARIME\BANCO ESTADO\2012 DEPTO ESCRITURAS fata\Dc Simples\RESPALDO comp notaria 27_12_12\NOTARIA 2012\AUTORIZACIONES\PAGARE FORMULARIO.doc", "Abrir Documento")</f>
        <v>0</v>
      </c>
      <c r="D16857" t="s">
        <v>23500</v>
      </c>
      <c r="E16857" t="s">
        <v>39332</v>
      </c>
    </row>
    <row r="16858" spans="1:5">
      <c r="A16858" t="s">
        <v>6</v>
      </c>
      <c r="B16858" t="s">
        <v>16863</v>
      </c>
      <c r="C16858">
        <f>HYPERLINK("C:\Users\franc\OneDrive\Documentos\MALENTIN KARIME\BANCO ESTADO\2012 DEPTO ESCRITURAS fata\Dc Simples\RESPALDO comp notaria 27_12_12\NOTARIA 2012\AUTORIZACIONES\PAGARE DABED.doc", "Abrir Documento")</f>
        <v>0</v>
      </c>
      <c r="D16858" t="s">
        <v>23500</v>
      </c>
      <c r="E16858" t="s">
        <v>39333</v>
      </c>
    </row>
    <row r="16859" spans="1:5">
      <c r="A16859" t="s">
        <v>6</v>
      </c>
      <c r="B16859" t="s">
        <v>16864</v>
      </c>
      <c r="C16859">
        <f>HYPERLINK("C:\Users\franc\OneDrive\Documentos\MALENTIN KARIME\BANCO ESTADO\2012 DEPTO ESCRITURAS fata\Dc Simples\RESPALDO comp notaria 27_12_12\NOTARIA 2012\AUTORIZACIONES\OCUPE VEHICULO.doc", "Abrir Documento")</f>
        <v>0</v>
      </c>
      <c r="D16859" t="s">
        <v>23500</v>
      </c>
      <c r="E16859" t="s">
        <v>39334</v>
      </c>
    </row>
    <row r="16860" spans="1:5">
      <c r="A16860" t="s">
        <v>6</v>
      </c>
      <c r="B16860" t="s">
        <v>16865</v>
      </c>
      <c r="C16860">
        <f>HYPERLINK("C:\Users\franc\OneDrive\Documentos\MALENTIN KARIME\BANCO ESTADO\2012 DEPTO ESCRITURAS fata\Dc Simples\RESPALDO comp notaria 27_12_12\NOTARIA 2012\AUTORIZACIONES\NO SABER FIRMAR.doc", "Abrir Documento")</f>
        <v>0</v>
      </c>
      <c r="D16860" t="s">
        <v>23500</v>
      </c>
      <c r="E16860" t="s">
        <v>39335</v>
      </c>
    </row>
    <row r="16861" spans="1:5">
      <c r="A16861" t="s">
        <v>6</v>
      </c>
      <c r="B16861" t="s">
        <v>16866</v>
      </c>
      <c r="C16861">
        <f>HYPERLINK("C:\Users\franc\OneDrive\Documentos\MALENTIN KARIME\BANCO ESTADO\2012 DEPTO ESCRITURAS fata\Dc Simples\RESPALDO comp notaria 27_12_12\NOTARIA 2012\AUTORIZACIONES\NO SABER FIRMAR LOS HEROES.doc", "Abrir Documento")</f>
        <v>0</v>
      </c>
      <c r="D16861" t="s">
        <v>23500</v>
      </c>
      <c r="E16861" t="s">
        <v>39336</v>
      </c>
    </row>
    <row r="16862" spans="1:5">
      <c r="A16862" t="s">
        <v>6</v>
      </c>
      <c r="B16862" t="s">
        <v>16867</v>
      </c>
      <c r="C16862">
        <f>HYPERLINK("C:\Users\franc\OneDrive\Documentos\MALENTIN KARIME\BANCO ESTADO\2012 DEPTO ESCRITURAS fata\Dc Simples\RESPALDO comp notaria 27_12_12\NOTARIA 2012\AUTORIZACIONES\NO SABER FIRMAR CON MANDATARIO.doc", "Abrir Documento")</f>
        <v>0</v>
      </c>
      <c r="D16862" t="s">
        <v>23500</v>
      </c>
      <c r="E16862" t="s">
        <v>39337</v>
      </c>
    </row>
    <row r="16863" spans="1:5">
      <c r="A16863" t="s">
        <v>6</v>
      </c>
      <c r="B16863" t="s">
        <v>16868</v>
      </c>
      <c r="C16863">
        <f>HYPERLINK("C:\Users\franc\OneDrive\Documentos\MALENTIN KARIME\BANCO ESTADO\2012 DEPTO ESCRITURAS fata\Dc Simples\RESPALDO comp notaria 27_12_12\NOTARIA 2012\AUTORIZACIONES\muro medianero.doc", "Abrir Documento")</f>
        <v>0</v>
      </c>
      <c r="D16863" t="s">
        <v>23500</v>
      </c>
      <c r="E16863" t="s">
        <v>39338</v>
      </c>
    </row>
    <row r="16864" spans="1:5">
      <c r="A16864" t="s">
        <v>6</v>
      </c>
      <c r="B16864" t="s">
        <v>16869</v>
      </c>
      <c r="C16864">
        <f>HYPERLINK("C:\Users\franc\OneDrive\Documentos\MALENTIN KARIME\BANCO ESTADO\2012 DEPTO ESCRITURAS fata\Dc Simples\RESPALDO comp notaria 27_12_12\NOTARIA 2012\AUTORIZACIONES\MODELO DE AUTORIZACION.doc", "Abrir Documento")</f>
        <v>0</v>
      </c>
      <c r="D16864" t="s">
        <v>23500</v>
      </c>
      <c r="E16864" t="s">
        <v>39339</v>
      </c>
    </row>
    <row r="16865" spans="1:5">
      <c r="A16865" t="s">
        <v>6</v>
      </c>
      <c r="B16865" t="s">
        <v>16870</v>
      </c>
      <c r="C16865">
        <f>HYPERLINK("C:\Users\franc\OneDrive\Documentos\MALENTIN KARIME\BANCO ESTADO\2012 DEPTO ESCRITURAS fata\Dc Simples\RESPALDO comp notaria 27_12_12\NOTARIA 2012\AUTORIZACIONES\MENOR LICENCIA CONDUCIR.doc", "Abrir Documento")</f>
        <v>0</v>
      </c>
      <c r="D16865" t="s">
        <v>23500</v>
      </c>
      <c r="E16865" t="s">
        <v>39340</v>
      </c>
    </row>
    <row r="16866" spans="1:5">
      <c r="A16866" t="s">
        <v>6</v>
      </c>
      <c r="B16866" t="s">
        <v>16871</v>
      </c>
      <c r="C16866">
        <f>HYPERLINK("C:\Users\franc\OneDrive\Documentos\MALENTIN KARIME\BANCO ESTADO\2012 DEPTO ESCRITURAS fata\Dc Simples\RESPALDO comp notaria 27_12_12\NOTARIA 2012\AUTORIZACIONES\MENOR LICENCIA CONDUCIR para MUNI.doc", "Abrir Documento")</f>
        <v>0</v>
      </c>
      <c r="D16866" t="s">
        <v>23500</v>
      </c>
      <c r="E16866" t="s">
        <v>39341</v>
      </c>
    </row>
    <row r="16867" spans="1:5">
      <c r="A16867" t="s">
        <v>6</v>
      </c>
      <c r="B16867" t="s">
        <v>16872</v>
      </c>
      <c r="C16867">
        <f>HYPERLINK("C:\Users\franc\OneDrive\Documentos\MALENTIN KARIME\BANCO ESTADO\2012 DEPTO ESCRITURAS fata\Dc Simples\RESPALDO comp notaria 27_12_12\NOTARIA 2012\AUTORIZACIONES\MENOR INGRESO CARCEL.doc", "Abrir Documento")</f>
        <v>0</v>
      </c>
      <c r="D16867" t="s">
        <v>23500</v>
      </c>
      <c r="E16867" t="s">
        <v>39342</v>
      </c>
    </row>
    <row r="16868" spans="1:5">
      <c r="A16868" t="s">
        <v>6</v>
      </c>
      <c r="B16868" t="s">
        <v>16873</v>
      </c>
      <c r="C16868">
        <f>HYPERLINK("C:\Users\franc\OneDrive\Documentos\MALENTIN KARIME\BANCO ESTADO\2012 DEPTO ESCRITURAS fata\Dc Simples\RESPALDO comp notaria 27_12_12\NOTARIA 2012\AUTORIZACIONES\MENOR CLUB DEPORTIVO.doc", "Abrir Documento")</f>
        <v>0</v>
      </c>
      <c r="D16868" t="s">
        <v>23500</v>
      </c>
      <c r="E16868" t="s">
        <v>39343</v>
      </c>
    </row>
    <row r="16869" spans="1:5">
      <c r="A16869" t="s">
        <v>6</v>
      </c>
      <c r="B16869" t="s">
        <v>16874</v>
      </c>
      <c r="C16869">
        <f>HYPERLINK("C:\Users\franc\OneDrive\Documentos\MALENTIN KARIME\BANCO ESTADO\2012 DEPTO ESCRITURAS fata\Dc Simples\RESPALDO comp notaria 27_12_12\NOTARIA 2012\AUTORIZACIONES\MEDIA AGUA.doc", "Abrir Documento")</f>
        <v>0</v>
      </c>
      <c r="D16869" t="s">
        <v>23500</v>
      </c>
      <c r="E16869" t="s">
        <v>39344</v>
      </c>
    </row>
    <row r="16870" spans="1:5">
      <c r="A16870" t="s">
        <v>6</v>
      </c>
      <c r="B16870" t="s">
        <v>16875</v>
      </c>
      <c r="C16870">
        <f>HYPERLINK("C:\Users\franc\OneDrive\Documentos\MALENTIN KARIME\BANCO ESTADO\2012 DEPTO ESCRITURAS fata\Dc Simples\RESPALDO comp notaria 27_12_12\NOTARIA 2012\AUTORIZACIONES\MEDIA AGUA escritura.doc", "Abrir Documento")</f>
        <v>0</v>
      </c>
      <c r="D16870" t="s">
        <v>23500</v>
      </c>
      <c r="E16870" t="s">
        <v>39345</v>
      </c>
    </row>
    <row r="16871" spans="1:5">
      <c r="A16871" t="s">
        <v>6</v>
      </c>
      <c r="B16871" t="s">
        <v>16876</v>
      </c>
      <c r="C16871">
        <f>HYPERLINK("C:\Users\franc\OneDrive\Documentos\MALENTIN KARIME\BANCO ESTADO\2012 DEPTO ESCRITURAS fata\Dc Simples\RESPALDO comp notaria 27_12_12\NOTARIA 2012\AUTORIZACIONES\LETRA FORMULARIO.doc", "Abrir Documento")</f>
        <v>0</v>
      </c>
      <c r="D16871" t="s">
        <v>23500</v>
      </c>
      <c r="E16871" t="s">
        <v>39346</v>
      </c>
    </row>
    <row r="16872" spans="1:5">
      <c r="A16872" t="s">
        <v>6</v>
      </c>
      <c r="B16872" t="s">
        <v>16877</v>
      </c>
      <c r="C16872">
        <f>HYPERLINK("C:\Users\franc\OneDrive\Documentos\MALENTIN KARIME\BANCO ESTADO\2012 DEPTO ESCRITURAS fata\Dc Simples\RESPALDO comp notaria 27_12_12\NOTARIA 2012\AUTORIZACIONES\LETRA ESTAMPILLA.doc", "Abrir Documento")</f>
        <v>0</v>
      </c>
      <c r="D16872" t="s">
        <v>23500</v>
      </c>
      <c r="E16872" t="s">
        <v>39347</v>
      </c>
    </row>
    <row r="16873" spans="1:5">
      <c r="A16873" t="s">
        <v>6</v>
      </c>
      <c r="B16873" t="s">
        <v>16878</v>
      </c>
      <c r="C16873">
        <f>HYPERLINK("C:\Users\franc\OneDrive\Documentos\MALENTIN KARIME\BANCO ESTADO\2012 DEPTO ESCRITURAS fata\Dc Simples\RESPALDO comp notaria 27_12_12\NOTARIA 2012\AUTORIZACIONES\LETRA ESTAMPILLA EXENTA.doc", "Abrir Documento")</f>
        <v>0</v>
      </c>
      <c r="D16873" t="s">
        <v>23500</v>
      </c>
      <c r="E16873" t="s">
        <v>39348</v>
      </c>
    </row>
    <row r="16874" spans="1:5">
      <c r="A16874" t="s">
        <v>6</v>
      </c>
      <c r="B16874" t="s">
        <v>16879</v>
      </c>
      <c r="C16874">
        <f>HYPERLINK("C:\Users\franc\OneDrive\Documentos\MALENTIN KARIME\BANCO ESTADO\2012 DEPTO ESCRITURAS fata\Dc Simples\RESPALDO comp notaria 27_12_12\NOTARIA 2012\AUTORIZACIONES\LETRA ESTAMPILLA Chile Deportes.doc", "Abrir Documento")</f>
        <v>0</v>
      </c>
      <c r="D16874" t="s">
        <v>23500</v>
      </c>
      <c r="E16874" t="s">
        <v>39349</v>
      </c>
    </row>
    <row r="16875" spans="1:5">
      <c r="A16875" t="s">
        <v>6</v>
      </c>
      <c r="B16875" t="s">
        <v>16880</v>
      </c>
      <c r="C16875">
        <f>HYPERLINK("C:\Users\franc\OneDrive\Documentos\MALENTIN KARIME\BANCO ESTADO\2012 DEPTO ESCRITURAS fata\Dc Simples\RESPALDO comp notaria 27_12_12\NOTARIA 2012\AUTORIZACIONES\KIKO ROJAS.doc", "Abrir Documento")</f>
        <v>0</v>
      </c>
      <c r="D16875" t="s">
        <v>23500</v>
      </c>
      <c r="E16875" t="s">
        <v>39350</v>
      </c>
    </row>
    <row r="16876" spans="1:5">
      <c r="A16876" t="s">
        <v>6</v>
      </c>
      <c r="B16876" t="s">
        <v>16881</v>
      </c>
      <c r="C16876">
        <f>HYPERLINK("C:\Users\franc\OneDrive\Documentos\MALENTIN KARIME\BANCO ESTADO\2012 DEPTO ESCRITURAS fata\Dc Simples\RESPALDO comp notaria 27_12_12\NOTARIA 2012\AUTORIZACIONES\INDAP.doc", "Abrir Documento")</f>
        <v>0</v>
      </c>
      <c r="D16876" t="s">
        <v>23500</v>
      </c>
      <c r="E16876" t="s">
        <v>39351</v>
      </c>
    </row>
    <row r="16877" spans="1:5">
      <c r="A16877" t="s">
        <v>6</v>
      </c>
      <c r="B16877" t="s">
        <v>16882</v>
      </c>
      <c r="C16877">
        <f>HYPERLINK("C:\Users\franc\OneDrive\Documentos\MALENTIN KARIME\BANCO ESTADO\2012 DEPTO ESCRITURAS fata\Dc Simples\RESPALDO comp notaria 27_12_12\NOTARIA 2012\AUTORIZACIONES\INDAP personería.doc", "Abrir Documento")</f>
        <v>0</v>
      </c>
      <c r="D16877" t="s">
        <v>23500</v>
      </c>
      <c r="E16877" t="s">
        <v>39352</v>
      </c>
    </row>
    <row r="16878" spans="1:5">
      <c r="A16878" t="s">
        <v>6</v>
      </c>
      <c r="B16878" t="s">
        <v>16883</v>
      </c>
      <c r="C16878">
        <f>HYPERLINK("C:\Users\franc\OneDrive\Documentos\MALENTIN KARIME\BANCO ESTADO\2012 DEPTO ESCRITURAS fata\Dc Simples\RESPALDO comp notaria 27_12_12\NOTARIA 2012\AUTORIZACIONES\INDAP PERSONERIA NUEVA.doc", "Abrir Documento")</f>
        <v>0</v>
      </c>
      <c r="D16878" t="s">
        <v>23500</v>
      </c>
      <c r="E16878" t="s">
        <v>39353</v>
      </c>
    </row>
    <row r="16879" spans="1:5">
      <c r="A16879" t="s">
        <v>6</v>
      </c>
      <c r="B16879" t="s">
        <v>16884</v>
      </c>
      <c r="C16879">
        <f>HYPERLINK("C:\Users\franc\OneDrive\Documentos\MALENTIN KARIME\BANCO ESTADO\2012 DEPTO ESCRITURAS fata\Dc Simples\RESPALDO comp notaria 27_12_12\NOTARIA 2012\AUTORIZACIONES\IMPOSIBILIDAD FISICA.doc", "Abrir Documento")</f>
        <v>0</v>
      </c>
      <c r="D16879" t="s">
        <v>23500</v>
      </c>
      <c r="E16879" t="s">
        <v>39354</v>
      </c>
    </row>
    <row r="16880" spans="1:5">
      <c r="A16880" t="s">
        <v>6</v>
      </c>
      <c r="B16880" t="s">
        <v>16885</v>
      </c>
      <c r="C16880">
        <f>HYPERLINK("C:\Users\franc\OneDrive\Documentos\MALENTIN KARIME\BANCO ESTADO\2012 DEPTO ESCRITURAS fata\Dc Simples\RESPALDO comp notaria 27_12_12\NOTARIA 2012\AUTORIZACIONES\HACERSE CARGO MENOR.doc", "Abrir Documento")</f>
        <v>0</v>
      </c>
      <c r="D16880" t="s">
        <v>23500</v>
      </c>
      <c r="E16880" t="s">
        <v>39355</v>
      </c>
    </row>
    <row r="16881" spans="1:5">
      <c r="A16881" t="s">
        <v>6</v>
      </c>
      <c r="B16881" t="s">
        <v>16886</v>
      </c>
      <c r="C16881">
        <f>HYPERLINK("C:\Users\franc\OneDrive\Documentos\MALENTIN KARIME\BANCO ESTADO\2012 DEPTO ESCRITURAS fata\Dc Simples\RESPALDO comp notaria 27_12_12\NOTARIA 2012\AUTORIZACIONES\FIRMA traspaso agua gabriel vicencio carvajal.doc", "Abrir Documento")</f>
        <v>0</v>
      </c>
      <c r="D16881" t="s">
        <v>23500</v>
      </c>
      <c r="E16881" t="s">
        <v>39356</v>
      </c>
    </row>
    <row r="16882" spans="1:5">
      <c r="A16882" t="s">
        <v>6</v>
      </c>
      <c r="B16882" t="s">
        <v>16887</v>
      </c>
      <c r="C16882">
        <f>HYPERLINK("C:\Users\franc\OneDrive\Documentos\MALENTIN KARIME\BANCO ESTADO\2012 DEPTO ESCRITURAS fata\Dc Simples\RESPALDO comp notaria 27_12_12\NOTARIA 2012\AUTORIZACIONES\FIRMA SIMPLE.doc", "Abrir Documento")</f>
        <v>0</v>
      </c>
      <c r="D16882" t="s">
        <v>23500</v>
      </c>
      <c r="E16882" t="s">
        <v>39357</v>
      </c>
    </row>
    <row r="16883" spans="1:5">
      <c r="A16883" t="s">
        <v>6</v>
      </c>
      <c r="B16883" t="s">
        <v>16888</v>
      </c>
      <c r="C16883">
        <f>HYPERLINK("C:\Users\franc\OneDrive\Documentos\MALENTIN KARIME\BANCO ESTADO\2012 DEPTO ESCRITURAS fata\Dc Simples\RESPALDO comp notaria 27_12_12\NOTARIA 2012\AUTORIZACIONES\FIRMA SIMPLE VARIOS.doc", "Abrir Documento")</f>
        <v>0</v>
      </c>
      <c r="D16883" t="s">
        <v>23500</v>
      </c>
      <c r="E16883" t="s">
        <v>39358</v>
      </c>
    </row>
    <row r="16884" spans="1:5">
      <c r="A16884" t="s">
        <v>6</v>
      </c>
      <c r="B16884" t="s">
        <v>16889</v>
      </c>
      <c r="C16884">
        <f>HYPERLINK("C:\Users\franc\OneDrive\Documentos\MALENTIN KARIME\BANCO ESTADO\2012 DEPTO ESCRITURAS fata\Dc Simples\RESPALDO comp notaria 27_12_12\NOTARIA 2012\AUTORIZACIONES\FIRMA SIMPLE mandataria.doc", "Abrir Documento")</f>
        <v>0</v>
      </c>
      <c r="D16884" t="s">
        <v>23500</v>
      </c>
      <c r="E16884" t="s">
        <v>39359</v>
      </c>
    </row>
    <row r="16885" spans="1:5">
      <c r="A16885" t="s">
        <v>6</v>
      </c>
      <c r="B16885" t="s">
        <v>16890</v>
      </c>
      <c r="C16885">
        <f>HYPERLINK("C:\Users\franc\OneDrive\Documentos\MALENTIN KARIME\BANCO ESTADO\2012 DEPTO ESCRITURAS fata\Dc Simples\RESPALDO comp notaria 27_12_12\NOTARIA 2012\AUTORIZACIONES\FIRMA SIMPLE dos.doc", "Abrir Documento")</f>
        <v>0</v>
      </c>
      <c r="D16885" t="s">
        <v>23500</v>
      </c>
      <c r="E16885" t="s">
        <v>39360</v>
      </c>
    </row>
    <row r="16886" spans="1:5">
      <c r="A16886" t="s">
        <v>6</v>
      </c>
      <c r="B16886" t="s">
        <v>16891</v>
      </c>
      <c r="C16886">
        <f>HYPERLINK("C:\Users\franc\OneDrive\Documentos\MALENTIN KARIME\BANCO ESTADO\2012 DEPTO ESCRITURAS fata\Dc Simples\RESPALDO comp notaria 27_12_12\NOTARIA 2012\AUTORIZACIONES\FIRMA SIMPLE dos con rep.doc", "Abrir Documento")</f>
        <v>0</v>
      </c>
      <c r="D16886" t="s">
        <v>23500</v>
      </c>
      <c r="E16886" t="s">
        <v>39361</v>
      </c>
    </row>
    <row r="16887" spans="1:5">
      <c r="A16887" t="s">
        <v>6</v>
      </c>
      <c r="B16887" t="s">
        <v>16892</v>
      </c>
      <c r="C16887">
        <f>HYPERLINK("C:\Users\franc\OneDrive\Documentos\MALENTIN KARIME\BANCO ESTADO\2012 DEPTO ESCRITURAS fata\Dc Simples\RESPALDO comp notaria 27_12_12\NOTARIA 2012\AUTORIZACIONES\FIRMA SIMPLE dos con rep. LEY 20.340.doc", "Abrir Documento")</f>
        <v>0</v>
      </c>
      <c r="D16887" t="s">
        <v>23500</v>
      </c>
      <c r="E16887" t="s">
        <v>39362</v>
      </c>
    </row>
    <row r="16888" spans="1:5">
      <c r="A16888" t="s">
        <v>6</v>
      </c>
      <c r="B16888" t="s">
        <v>16893</v>
      </c>
      <c r="C16888">
        <f>HYPERLINK("C:\Users\franc\OneDrive\Documentos\MALENTIN KARIME\BANCO ESTADO\2012 DEPTO ESCRITURAS fata\Dc Simples\RESPALDO comp notaria 27_12_12\NOTARIA 2012\AUTORIZACIONES\FIRMA SIMPLE COVALSA.doc", "Abrir Documento")</f>
        <v>0</v>
      </c>
      <c r="D16888" t="s">
        <v>23500</v>
      </c>
      <c r="E16888" t="s">
        <v>39363</v>
      </c>
    </row>
    <row r="16889" spans="1:5">
      <c r="A16889" t="s">
        <v>6</v>
      </c>
      <c r="B16889" t="s">
        <v>16894</v>
      </c>
      <c r="C16889">
        <f>HYPERLINK("C:\Users\franc\OneDrive\Documentos\MALENTIN KARIME\BANCO ESTADO\2012 DEPTO ESCRITURAS fata\Dc Simples\RESPALDO comp notaria 27_12_12\NOTARIA 2012\AUTORIZACIONES\FIRMA SIMPLE 1 con pie.doc", "Abrir Documento")</f>
        <v>0</v>
      </c>
      <c r="D16889" t="s">
        <v>23500</v>
      </c>
      <c r="E16889" t="s">
        <v>39364</v>
      </c>
    </row>
    <row r="16890" spans="1:5">
      <c r="A16890" t="s">
        <v>6</v>
      </c>
      <c r="B16890" t="s">
        <v>16895</v>
      </c>
      <c r="C16890">
        <f>HYPERLINK("C:\Users\franc\OneDrive\Documentos\MALENTIN KARIME\BANCO ESTADO\2012 DEPTO ESCRITURAS fata\Dc Simples\RESPALDO comp notaria 27_12_12\NOTARIA 2012\AUTORIZACIONES\FIRMA FOSIS PESQUERA.doc", "Abrir Documento")</f>
        <v>0</v>
      </c>
      <c r="D16890" t="s">
        <v>23500</v>
      </c>
      <c r="E16890" t="s">
        <v>39365</v>
      </c>
    </row>
    <row r="16891" spans="1:5">
      <c r="A16891" t="s">
        <v>6</v>
      </c>
      <c r="B16891" t="s">
        <v>16896</v>
      </c>
      <c r="C16891">
        <f>HYPERLINK("C:\Users\franc\OneDrive\Documentos\MALENTIN KARIME\BANCO ESTADO\2012 DEPTO ESCRITURAS fata\Dc Simples\RESPALDO comp notaria 27_12_12\NOTARIA 2012\AUTORIZACIONES\FINIQUITO FALLECIDO.doc", "Abrir Documento")</f>
        <v>0</v>
      </c>
      <c r="D16891" t="s">
        <v>23500</v>
      </c>
      <c r="E16891" t="s">
        <v>39366</v>
      </c>
    </row>
    <row r="16892" spans="1:5">
      <c r="A16892" t="s">
        <v>6</v>
      </c>
      <c r="B16892" t="s">
        <v>16897</v>
      </c>
      <c r="C16892">
        <f>HYPERLINK("C:\Users\franc\OneDrive\Documentos\MALENTIN KARIME\BANCO ESTADO\2012 DEPTO ESCRITURAS fata\Dc Simples\RESPALDO comp notaria 27_12_12\NOTARIA 2012\AUTORIZACIONES\ENTRADA A HUACHALALUME.doc", "Abrir Documento")</f>
        <v>0</v>
      </c>
      <c r="D16892" t="s">
        <v>23500</v>
      </c>
      <c r="E16892" t="s">
        <v>39367</v>
      </c>
    </row>
    <row r="16893" spans="1:5">
      <c r="A16893" t="s">
        <v>6</v>
      </c>
      <c r="B16893" t="s">
        <v>16898</v>
      </c>
      <c r="C16893">
        <f>HYPERLINK("C:\Users\franc\OneDrive\Documentos\MALENTIN KARIME\BANCO ESTADO\2012 DEPTO ESCRITURAS fata\Dc Simples\RESPALDO comp notaria 27_12_12\NOTARIA 2012\AUTORIZACIONES\ENELSA.doc", "Abrir Documento")</f>
        <v>0</v>
      </c>
      <c r="D16893" t="s">
        <v>23500</v>
      </c>
      <c r="E16893" t="s">
        <v>39368</v>
      </c>
    </row>
    <row r="16894" spans="1:5">
      <c r="A16894" t="s">
        <v>6</v>
      </c>
      <c r="B16894" t="s">
        <v>16899</v>
      </c>
      <c r="C16894">
        <f>HYPERLINK("C:\Users\franc\OneDrive\Documentos\MALENTIN KARIME\BANCO ESTADO\2012 DEPTO ESCRITURAS fata\Dc Simples\RESPALDO comp notaria 27_12_12\NOTARIA 2012\AUTORIZACIONES\ENAMI.doc", "Abrir Documento")</f>
        <v>0</v>
      </c>
      <c r="D16894" t="s">
        <v>23500</v>
      </c>
      <c r="E16894" t="s">
        <v>39369</v>
      </c>
    </row>
    <row r="16895" spans="1:5">
      <c r="A16895" t="s">
        <v>6</v>
      </c>
      <c r="B16895" t="s">
        <v>16900</v>
      </c>
      <c r="C16895">
        <f>HYPERLINK("C:\Users\franc\OneDrive\Documentos\MALENTIN KARIME\BANCO ESTADO\2012 DEPTO ESCRITURAS fata\Dc Simples\RESPALDO comp notaria 27_12_12\NOTARIA 2012\AUTORIZACIONES\DOMIILIO COMERCIAL.doc", "Abrir Documento")</f>
        <v>0</v>
      </c>
      <c r="D16895" t="s">
        <v>23500</v>
      </c>
      <c r="E16895" t="s">
        <v>39370</v>
      </c>
    </row>
    <row r="16896" spans="1:5">
      <c r="A16896" t="s">
        <v>6</v>
      </c>
      <c r="B16896" t="s">
        <v>16901</v>
      </c>
      <c r="C16896">
        <f>HYPERLINK("C:\Users\franc\OneDrive\Documentos\MALENTIN KARIME\BANCO ESTADO\2012 DEPTO ESCRITURAS fata\Dc Simples\RESPALDO comp notaria 27_12_12\NOTARIA 2012\AUTORIZACIONES\DOMIILIO COMERCIAL VARIOS.doc", "Abrir Documento")</f>
        <v>0</v>
      </c>
      <c r="D16896" t="s">
        <v>23500</v>
      </c>
      <c r="E16896" t="s">
        <v>39371</v>
      </c>
    </row>
    <row r="16897" spans="1:5">
      <c r="A16897" t="s">
        <v>6</v>
      </c>
      <c r="B16897" t="s">
        <v>16902</v>
      </c>
      <c r="C16897">
        <f>HYPERLINK("C:\Users\franc\OneDrive\Documentos\MALENTIN KARIME\BANCO ESTADO\2012 DEPTO ESCRITURAS fata\Dc Simples\RESPALDO comp notaria 27_12_12\NOTARIA 2012\AUTORIZACIONES\DOMIILIO COMERCIAL DOS.doc", "Abrir Documento")</f>
        <v>0</v>
      </c>
      <c r="D16897" t="s">
        <v>23500</v>
      </c>
      <c r="E16897" t="s">
        <v>39372</v>
      </c>
    </row>
    <row r="16898" spans="1:5">
      <c r="A16898" t="s">
        <v>6</v>
      </c>
      <c r="B16898" t="s">
        <v>16903</v>
      </c>
      <c r="C16898">
        <f>HYPERLINK("C:\Users\franc\OneDrive\Documentos\MALENTIN KARIME\BANCO ESTADO\2012 DEPTO ESCRITURAS fata\Dc Simples\RESPALDO comp notaria 27_12_12\NOTARIA 2012\AUTORIZACIONES\DOMIILIO COMERCIAL 5.doc", "Abrir Documento")</f>
        <v>0</v>
      </c>
      <c r="D16898" t="s">
        <v>23500</v>
      </c>
      <c r="E16898" t="s">
        <v>39373</v>
      </c>
    </row>
    <row r="16899" spans="1:5">
      <c r="A16899" t="s">
        <v>6</v>
      </c>
      <c r="B16899" t="s">
        <v>16904</v>
      </c>
      <c r="C16899">
        <f>HYPERLINK("C:\Users\franc\OneDrive\Documentos\MALENTIN KARIME\BANCO ESTADO\2012 DEPTO ESCRITURAS fata\Dc Simples\RESPALDO comp notaria 27_12_12\NOTARIA 2012\AUTORIZACIONES\DIRECCION COMERCIAL, ESCRITURA.doc", "Abrir Documento")</f>
        <v>0</v>
      </c>
      <c r="D16899" t="s">
        <v>23500</v>
      </c>
      <c r="E16899" t="s">
        <v>39374</v>
      </c>
    </row>
    <row r="16900" spans="1:5">
      <c r="A16900" t="s">
        <v>6</v>
      </c>
      <c r="B16900" t="s">
        <v>16905</v>
      </c>
      <c r="C16900">
        <f>HYPERLINK("C:\Users\franc\OneDrive\Documentos\MALENTIN KARIME\BANCO ESTADO\2012 DEPTO ESCRITURAS fata\Dc Simples\RESPALDO comp notaria 27_12_12\NOTARIA 2012\AUTORIZACIONES\CONAFE,PEJERREYES.doc", "Abrir Documento")</f>
        <v>0</v>
      </c>
      <c r="D16900" t="s">
        <v>23500</v>
      </c>
      <c r="E16900" t="s">
        <v>39375</v>
      </c>
    </row>
    <row r="16901" spans="1:5">
      <c r="A16901" t="s">
        <v>6</v>
      </c>
      <c r="B16901" t="s">
        <v>16906</v>
      </c>
      <c r="C16901">
        <f>HYPERLINK("C:\Users\franc\OneDrive\Documentos\MALENTIN KARIME\BANCO ESTADO\2012 DEPTO ESCRITURAS fata\Dc Simples\RESPALDO comp notaria 27_12_12\NOTARIA 2012\AUTORIZACIONES\CONAFE,los maitenes.doc", "Abrir Documento")</f>
        <v>0</v>
      </c>
      <c r="D16901" t="s">
        <v>23500</v>
      </c>
      <c r="E16901" t="s">
        <v>39376</v>
      </c>
    </row>
    <row r="16902" spans="1:5">
      <c r="A16902" t="s">
        <v>6</v>
      </c>
      <c r="B16902" t="s">
        <v>16907</v>
      </c>
      <c r="C16902">
        <f>HYPERLINK("C:\Users\franc\OneDrive\Documentos\MALENTIN KARIME\BANCO ESTADO\2012 DEPTO ESCRITURAS fata\Dc Simples\RESPALDO comp notaria 27_12_12\NOTARIA 2012\AUTORIZACIONES\CONAFE, alcones.doc", "Abrir Documento")</f>
        <v>0</v>
      </c>
      <c r="D16902" t="s">
        <v>23500</v>
      </c>
      <c r="E16902" t="s">
        <v>39377</v>
      </c>
    </row>
    <row r="16903" spans="1:5">
      <c r="A16903" t="s">
        <v>6</v>
      </c>
      <c r="B16903" t="s">
        <v>16908</v>
      </c>
      <c r="C16903">
        <f>HYPERLINK("C:\Users\franc\OneDrive\Documentos\MALENTIN KARIME\BANCO ESTADO\2012 DEPTO ESCRITURAS fata\Dc Simples\RESPALDO comp notaria 27_12_12\NOTARIA 2012\AUTORIZACIONES\CONAFE sucesion.doc", "Abrir Documento")</f>
        <v>0</v>
      </c>
      <c r="D16903" t="s">
        <v>23500</v>
      </c>
      <c r="E16903" t="s">
        <v>39378</v>
      </c>
    </row>
    <row r="16904" spans="1:5">
      <c r="A16904" t="s">
        <v>6</v>
      </c>
      <c r="B16904" t="s">
        <v>16909</v>
      </c>
      <c r="C16904">
        <f>HYPERLINK("C:\Users\franc\OneDrive\Documentos\MALENTIN KARIME\BANCO ESTADO\2012 DEPTO ESCRITURAS fata\Dc Simples\RESPALDO comp notaria 27_12_12\NOTARIA 2012\AUTORIZACIONES\CONAFE PEND..doc", "Abrir Documento")</f>
        <v>0</v>
      </c>
      <c r="D16904" t="s">
        <v>23500</v>
      </c>
      <c r="E16904" t="s">
        <v>39379</v>
      </c>
    </row>
    <row r="16905" spans="1:5">
      <c r="A16905" t="s">
        <v>6</v>
      </c>
      <c r="B16905" t="s">
        <v>16910</v>
      </c>
      <c r="C16905">
        <f>HYPERLINK("C:\Users\franc\OneDrive\Documentos\MALENTIN KARIME\BANCO ESTADO\2012 DEPTO ESCRITURAS fata\Dc Simples\RESPALDO comp notaria 27_12_12\NOTARIA 2012\AUTORIZACIONES\CONAFE OK.doc", "Abrir Documento")</f>
        <v>0</v>
      </c>
      <c r="D16905" t="s">
        <v>23500</v>
      </c>
      <c r="E16905" t="s">
        <v>39380</v>
      </c>
    </row>
    <row r="16906" spans="1:5">
      <c r="A16906" t="s">
        <v>6</v>
      </c>
      <c r="B16906" t="s">
        <v>16911</v>
      </c>
      <c r="C16906">
        <f>HYPERLINK("C:\Users\franc\OneDrive\Documentos\MALENTIN KARIME\BANCO ESTADO\2012 DEPTO ESCRITURAS fata\Dc Simples\RESPALDO comp notaria 27_12_12\NOTARIA 2012\AUTORIZACIONES\CONAFE OK,.doc", "Abrir Documento")</f>
        <v>0</v>
      </c>
      <c r="D16906" t="s">
        <v>23500</v>
      </c>
      <c r="E16906" t="s">
        <v>39381</v>
      </c>
    </row>
    <row r="16907" spans="1:5">
      <c r="A16907" t="s">
        <v>6</v>
      </c>
      <c r="B16907" t="s">
        <v>16912</v>
      </c>
      <c r="C16907">
        <f>HYPERLINK("C:\Users\franc\OneDrive\Documentos\MALENTIN KARIME\BANCO ESTADO\2012 DEPTO ESCRITURAS fata\Dc Simples\RESPALDO comp notaria 27_12_12\NOTARIA 2012\AUTORIZACIONES\CONAFE minuta.doc", "Abrir Documento")</f>
        <v>0</v>
      </c>
      <c r="D16907" t="s">
        <v>23500</v>
      </c>
      <c r="E16907" t="s">
        <v>39382</v>
      </c>
    </row>
    <row r="16908" spans="1:5">
      <c r="A16908" t="s">
        <v>6</v>
      </c>
      <c r="B16908" t="s">
        <v>16913</v>
      </c>
      <c r="C16908">
        <f>HYPERLINK("C:\Users\franc\OneDrive\Documentos\MALENTIN KARIME\BANCO ESTADO\2012 DEPTO ESCRITURAS fata\Dc Simples\RESPALDO comp notaria 27_12_12\NOTARIA 2012\AUTORIZACIONES\CONAFE LUIS LOYOLA.doc", "Abrir Documento")</f>
        <v>0</v>
      </c>
      <c r="D16908" t="s">
        <v>23500</v>
      </c>
      <c r="E16908" t="s">
        <v>39383</v>
      </c>
    </row>
    <row r="16909" spans="1:5">
      <c r="A16909" t="s">
        <v>6</v>
      </c>
      <c r="B16909" t="s">
        <v>16914</v>
      </c>
      <c r="C16909">
        <f>HYPERLINK("C:\Users\franc\OneDrive\Documentos\MALENTIN KARIME\BANCO ESTADO\2012 DEPTO ESCRITURAS fata\Dc Simples\RESPALDO comp notaria 27_12_12\NOTARIA 2012\AUTORIZACIONES\CONAFE CREDITO.doc", "Abrir Documento")</f>
        <v>0</v>
      </c>
      <c r="D16909" t="s">
        <v>23500</v>
      </c>
      <c r="E16909" t="s">
        <v>39384</v>
      </c>
    </row>
    <row r="16910" spans="1:5">
      <c r="A16910" t="s">
        <v>6</v>
      </c>
      <c r="B16910" t="s">
        <v>16915</v>
      </c>
      <c r="C16910">
        <f>HYPERLINK("C:\Users\franc\OneDrive\Documentos\MALENTIN KARIME\BANCO ESTADO\2012 DEPTO ESCRITURAS fata\Dc Simples\RESPALDO comp notaria 27_12_12\NOTARIA 2012\AUTORIZACIONES\CONAFE ALCONES.doc", "Abrir Documento")</f>
        <v>0</v>
      </c>
      <c r="D16910" t="s">
        <v>23500</v>
      </c>
      <c r="E16910" t="s">
        <v>39385</v>
      </c>
    </row>
    <row r="16911" spans="1:5">
      <c r="A16911" t="s">
        <v>6</v>
      </c>
      <c r="B16911" t="s">
        <v>16916</v>
      </c>
      <c r="C16911">
        <f>HYPERLINK("C:\Users\franc\OneDrive\Documentos\MALENTIN KARIME\BANCO ESTADO\2012 DEPTO ESCRITURAS fata\Dc Simples\RESPALDO comp notaria 27_12_12\NOTARIA 2012\AUTORIZACIONES\CONAFE 8 PERS.doc", "Abrir Documento")</f>
        <v>0</v>
      </c>
      <c r="D16911" t="s">
        <v>23500</v>
      </c>
      <c r="E16911" t="s">
        <v>39386</v>
      </c>
    </row>
    <row r="16912" spans="1:5">
      <c r="A16912" t="s">
        <v>6</v>
      </c>
      <c r="B16912" t="s">
        <v>16917</v>
      </c>
      <c r="C16912">
        <f>HYPERLINK("C:\Users\franc\OneDrive\Documentos\MALENTIN KARIME\BANCO ESTADO\2012 DEPTO ESCRITURAS fata\Dc Simples\RESPALDO comp notaria 27_12_12\NOTARIA 2012\AUTORIZACIONES\COMUNIDAD AGRICOLA MANQUEHUA.doc", "Abrir Documento")</f>
        <v>0</v>
      </c>
      <c r="D16912" t="s">
        <v>23500</v>
      </c>
      <c r="E16912" t="s">
        <v>39387</v>
      </c>
    </row>
    <row r="16913" spans="1:5">
      <c r="A16913" t="s">
        <v>6</v>
      </c>
      <c r="B16913" t="s">
        <v>16918</v>
      </c>
      <c r="C16913">
        <f>HYPERLINK("C:\Users\franc\OneDrive\Documentos\MALENTIN KARIME\BANCO ESTADO\2012 DEPTO ESCRITURAS fata\Dc Simples\RESPALDO comp notaria 27_12_12\NOTARIA 2012\AUTORIZACIONES\comite pro agua.doc", "Abrir Documento")</f>
        <v>0</v>
      </c>
      <c r="D16913" t="s">
        <v>23500</v>
      </c>
      <c r="E16913" t="s">
        <v>39388</v>
      </c>
    </row>
    <row r="16914" spans="1:5">
      <c r="A16914" t="s">
        <v>6</v>
      </c>
      <c r="B16914" t="s">
        <v>16919</v>
      </c>
      <c r="C16914">
        <f>HYPERLINK("C:\Users\franc\OneDrive\Documentos\MALENTIN KARIME\BANCO ESTADO\2012 DEPTO ESCRITURAS fata\Dc Simples\RESPALDO comp notaria 27_12_12\NOTARIA 2012\AUTORIZACIONES\CEMENTERIO.doc", "Abrir Documento")</f>
        <v>0</v>
      </c>
      <c r="D16914" t="s">
        <v>23500</v>
      </c>
      <c r="E16914" t="s">
        <v>39389</v>
      </c>
    </row>
    <row r="16915" spans="1:5">
      <c r="A16915" t="s">
        <v>6</v>
      </c>
      <c r="B16915" t="s">
        <v>16920</v>
      </c>
      <c r="C16915">
        <f>HYPERLINK("C:\Users\franc\OneDrive\Documentos\MALENTIN KARIME\BANCO ESTADO\2012 DEPTO ESCRITURAS fata\Dc Simples\RESPALDO comp notaria 27_12_12\NOTARIA 2012\AUTORIZACIONES\CEMENTERIO TRASLADO.doc", "Abrir Documento")</f>
        <v>0</v>
      </c>
      <c r="D16915" t="s">
        <v>23500</v>
      </c>
      <c r="E16915" t="s">
        <v>39390</v>
      </c>
    </row>
    <row r="16916" spans="1:5">
      <c r="A16916" t="s">
        <v>6</v>
      </c>
      <c r="B16916" t="s">
        <v>16921</v>
      </c>
      <c r="C16916">
        <f>HYPERLINK("C:\Users\franc\OneDrive\Documentos\MALENTIN KARIME\BANCO ESTADO\2012 DEPTO ESCRITURAS fata\Dc Simples\RESPALDO comp notaria 27_12_12\NOTARIA 2012\AUTORIZACIONES\CEMENTERIO TRASLADO en 1 persona.doc", "Abrir Documento")</f>
        <v>0</v>
      </c>
      <c r="D16916" t="s">
        <v>23500</v>
      </c>
      <c r="E16916" t="s">
        <v>39391</v>
      </c>
    </row>
    <row r="16917" spans="1:5">
      <c r="A16917" t="s">
        <v>6</v>
      </c>
      <c r="B16917" t="s">
        <v>16922</v>
      </c>
      <c r="C16917">
        <f>HYPERLINK("C:\Users\franc\OneDrive\Documentos\MALENTIN KARIME\BANCO ESTADO\2012 DEPTO ESCRITURAS fata\Dc Simples\RESPALDO comp notaria 27_12_12\NOTARIA 2012\AUTORIZACIONES\CEMENTERIO reduccion2.doc", "Abrir Documento")</f>
        <v>0</v>
      </c>
      <c r="D16917" t="s">
        <v>23500</v>
      </c>
      <c r="E16917" t="s">
        <v>39392</v>
      </c>
    </row>
    <row r="16918" spans="1:5">
      <c r="A16918" t="s">
        <v>6</v>
      </c>
      <c r="B16918" t="s">
        <v>16923</v>
      </c>
      <c r="C16918">
        <f>HYPERLINK("C:\Users\franc\OneDrive\Documentos\MALENTIN KARIME\BANCO ESTADO\2012 DEPTO ESCRITURAS fata\Dc Simples\RESPALDO comp notaria 27_12_12\NOTARIA 2012\AUTORIZACIONES\CEMENTERIO reduccion.doc", "Abrir Documento")</f>
        <v>0</v>
      </c>
      <c r="D16918" t="s">
        <v>23500</v>
      </c>
      <c r="E16918" t="s">
        <v>39393</v>
      </c>
    </row>
    <row r="16919" spans="1:5">
      <c r="A16919" t="s">
        <v>6</v>
      </c>
      <c r="B16919" t="s">
        <v>16924</v>
      </c>
      <c r="C16919">
        <f>HYPERLINK("C:\Users\franc\OneDrive\Documentos\MALENTIN KARIME\BANCO ESTADO\2012 DEPTO ESCRITURAS fata\Dc Simples\RESPALDO comp notaria 27_12_12\NOTARIA 2012\AUTORIZACIONES\CEMENTERIO NN.doc", "Abrir Documento")</f>
        <v>0</v>
      </c>
      <c r="D16919" t="s">
        <v>23500</v>
      </c>
      <c r="E16919" t="s">
        <v>39394</v>
      </c>
    </row>
    <row r="16920" spans="1:5">
      <c r="A16920" t="s">
        <v>6</v>
      </c>
      <c r="B16920" t="s">
        <v>16925</v>
      </c>
      <c r="C16920">
        <f>HYPERLINK("C:\Users\franc\OneDrive\Documentos\MALENTIN KARIME\BANCO ESTADO\2012 DEPTO ESCRITURAS fata\Dc Simples\RESPALDO comp notaria 27_12_12\NOTARIA 2012\AUTORIZACIONES\CEMENTERIO HNOS CASTILLO CONTRERAS.doc", "Abrir Documento")</f>
        <v>0</v>
      </c>
      <c r="D16920" t="s">
        <v>23500</v>
      </c>
      <c r="E16920" t="s">
        <v>39395</v>
      </c>
    </row>
    <row r="16921" spans="1:5">
      <c r="A16921" t="s">
        <v>6</v>
      </c>
      <c r="B16921" t="s">
        <v>16926</v>
      </c>
      <c r="C16921">
        <f>HYPERLINK("C:\Users\franc\OneDrive\Documentos\MALENTIN KARIME\BANCO ESTADO\2012 DEPTO ESCRITURAS fata\Dc Simples\RESPALDO comp notaria 27_12_12\NOTARIA 2012\AUTORIZACIONES\CEMENTERIO don gabriel.doc", "Abrir Documento")</f>
        <v>0</v>
      </c>
      <c r="D16921" t="s">
        <v>23500</v>
      </c>
      <c r="E16921" t="s">
        <v>39396</v>
      </c>
    </row>
    <row r="16922" spans="1:5">
      <c r="A16922" t="s">
        <v>6</v>
      </c>
      <c r="B16922" t="s">
        <v>16927</v>
      </c>
      <c r="C16922">
        <f>HYPERLINK("C:\Users\franc\OneDrive\Documentos\MALENTIN KARIME\BANCO ESTADO\2012 DEPTO ESCRITURAS fata\Dc Simples\RESPALDO comp notaria 27_12_12\NOTARIA 2012\AUTORIZACIONES\CEMENTERIO 8 HNOS..doc", "Abrir Documento")</f>
        <v>0</v>
      </c>
      <c r="D16922" t="s">
        <v>23500</v>
      </c>
      <c r="E16922" t="s">
        <v>39397</v>
      </c>
    </row>
    <row r="16923" spans="1:5">
      <c r="A16923" t="s">
        <v>6</v>
      </c>
      <c r="B16923" t="s">
        <v>16928</v>
      </c>
      <c r="C16923">
        <f>HYPERLINK("C:\Users\franc\OneDrive\Documentos\MALENTIN KARIME\BANCO ESTADO\2012 DEPTO ESCRITURAS fata\Dc Simples\RESPALDO comp notaria 27_12_12\NOTARIA 2012\AUTORIZACIONES\CARGO MENOR 2 padres.doc", "Abrir Documento")</f>
        <v>0</v>
      </c>
      <c r="D16923" t="s">
        <v>23500</v>
      </c>
      <c r="E16923" t="s">
        <v>39398</v>
      </c>
    </row>
    <row r="16924" spans="1:5">
      <c r="A16924" t="s">
        <v>6</v>
      </c>
      <c r="B16924" t="s">
        <v>16929</v>
      </c>
      <c r="C16924">
        <f>HYPERLINK("C:\Users\franc\OneDrive\Documentos\MALENTIN KARIME\BANCO ESTADO\2012 DEPTO ESCRITURAS fata\Dc Simples\RESPALDO comp notaria 27_12_12\NOTARIA 2012\AUTORIZACIONES\CARGO MENOR 1 padre.doc", "Abrir Documento")</f>
        <v>0</v>
      </c>
      <c r="D16924" t="s">
        <v>23500</v>
      </c>
      <c r="E16924" t="s">
        <v>39399</v>
      </c>
    </row>
    <row r="16925" spans="1:5">
      <c r="A16925" t="s">
        <v>6</v>
      </c>
      <c r="B16925" t="s">
        <v>16930</v>
      </c>
      <c r="C16925">
        <f>HYPERLINK("C:\Users\franc\OneDrive\Documentos\MALENTIN KARIME\BANCO ESTADO\2012 DEPTO ESCRITURAS fata\Dc Simples\RESPALDO comp notaria 27_12_12\NOTARIA 2012\AUTORIZACIONES\autorizo firma 3 muni.doc", "Abrir Documento")</f>
        <v>0</v>
      </c>
      <c r="D16925" t="s">
        <v>23500</v>
      </c>
      <c r="E16925" t="s">
        <v>39400</v>
      </c>
    </row>
    <row r="16926" spans="1:5">
      <c r="A16926" t="s">
        <v>6</v>
      </c>
      <c r="B16926" t="s">
        <v>16931</v>
      </c>
      <c r="C16926">
        <f>HYPERLINK("C:\Users\franc\OneDrive\Documentos\MALENTIN KARIME\BANCO ESTADO\2012 DEPTO ESCRITURAS fata\Dc Simples\RESPALDO comp notaria 27_12_12\NOTARIA 2012\AUTORIZACIONES\AUTORIZACION TRABAJO SERVIDUMBRE.doc", "Abrir Documento")</f>
        <v>0</v>
      </c>
      <c r="D16926" t="s">
        <v>23500</v>
      </c>
      <c r="E16926" t="s">
        <v>39401</v>
      </c>
    </row>
    <row r="16927" spans="1:5">
      <c r="A16927" t="s">
        <v>6</v>
      </c>
      <c r="B16927" t="s">
        <v>16932</v>
      </c>
      <c r="C16927">
        <f>HYPERLINK("C:\Users\franc\OneDrive\Documentos\MALENTIN KARIME\BANCO ESTADO\2012 DEPTO ESCRITURAS fata\Dc Simples\RESPALDO comp notaria 27_12_12\NOTARIA 2012\AUTORIZACIONES\AUTORIZACION SERVICIO MEDICO.doc", "Abrir Documento")</f>
        <v>0</v>
      </c>
      <c r="D16927" t="s">
        <v>23500</v>
      </c>
      <c r="E16927" t="s">
        <v>39402</v>
      </c>
    </row>
    <row r="16928" spans="1:5">
      <c r="A16928" t="s">
        <v>6</v>
      </c>
      <c r="B16928" t="s">
        <v>16933</v>
      </c>
      <c r="C16928">
        <f>HYPERLINK("C:\Users\franc\OneDrive\Documentos\MALENTIN KARIME\BANCO ESTADO\2012 DEPTO ESCRITURAS fata\Dc Simples\RESPALDO comp notaria 27_12_12\NOTARIA 2012\AUTORIZACIONES\AUTORIZACION PAGARE SIMPLE.doc", "Abrir Documento")</f>
        <v>0</v>
      </c>
      <c r="D16928" t="s">
        <v>23500</v>
      </c>
      <c r="E16928" t="s">
        <v>39403</v>
      </c>
    </row>
    <row r="16929" spans="1:5">
      <c r="A16929" t="s">
        <v>6</v>
      </c>
      <c r="B16929" t="s">
        <v>16934</v>
      </c>
      <c r="C16929">
        <f>HYPERLINK("C:\Users\franc\OneDrive\Documentos\MALENTIN KARIME\BANCO ESTADO\2012 DEPTO ESCRITURAS fata\Dc Simples\RESPALDO comp notaria 27_12_12\NOTARIA 2012\AUTORIZACIONES\AUTORIZACION DOCTO.doc", "Abrir Documento")</f>
        <v>0</v>
      </c>
      <c r="D16929" t="s">
        <v>23500</v>
      </c>
      <c r="E16929" t="s">
        <v>39404</v>
      </c>
    </row>
    <row r="16930" spans="1:5">
      <c r="A16930" t="s">
        <v>6</v>
      </c>
      <c r="B16930" t="s">
        <v>16935</v>
      </c>
      <c r="C16930">
        <f>HYPERLINK("C:\Users\franc\OneDrive\Documentos\MALENTIN KARIME\BANCO ESTADO\2012 DEPTO ESCRITURAS fata\Dc Simples\RESPALDO comp notaria 27_12_12\NOTARIA 2012\AUTORIZACIONES\AUTORIZACION BANCO.doc", "Abrir Documento")</f>
        <v>0</v>
      </c>
      <c r="D16930" t="s">
        <v>23500</v>
      </c>
      <c r="E16930" t="s">
        <v>39405</v>
      </c>
    </row>
    <row r="16931" spans="1:5">
      <c r="A16931" t="s">
        <v>6</v>
      </c>
      <c r="B16931" t="s">
        <v>16936</v>
      </c>
      <c r="C16931">
        <f>HYPERLINK("C:\Users\franc\OneDrive\Documentos\MALENTIN KARIME\BANCO ESTADO\2012 DEPTO ESCRITURAS fata\Dc Simples\RESPALDO comp notaria 27_12_12\NOTARIA 2012\AUTORIZACIONES\AUT.SALIDA 2 PADRE Nueva York.doc", "Abrir Documento")</f>
        <v>0</v>
      </c>
      <c r="D16931" t="s">
        <v>23500</v>
      </c>
      <c r="E16931" t="s">
        <v>39406</v>
      </c>
    </row>
    <row r="16932" spans="1:5">
      <c r="A16932" t="s">
        <v>6</v>
      </c>
      <c r="B16932" t="s">
        <v>16937</v>
      </c>
      <c r="C16932">
        <f>HYPERLINK("C:\Users\franc\OneDrive\Documentos\MALENTIN KARIME\BANCO ESTADO\2012 DEPTO ESCRITURAS fata\Dc Simples\RESPALDO comp notaria 27_12_12\NOTARIA 2012\AUTORIZACIONES\AUT.SALIDA 1 PADRE Nueva York.doc", "Abrir Documento")</f>
        <v>0</v>
      </c>
      <c r="D16932" t="s">
        <v>23500</v>
      </c>
      <c r="E16932" t="s">
        <v>39407</v>
      </c>
    </row>
    <row r="16933" spans="1:5">
      <c r="A16933" t="s">
        <v>6</v>
      </c>
      <c r="B16933" t="s">
        <v>16938</v>
      </c>
      <c r="C16933">
        <f>HYPERLINK("C:\Users\franc\OneDrive\Documentos\MALENTIN KARIME\BANCO ESTADO\2012 DEPTO ESCRITURAS fata\Dc Simples\RESPALDO comp notaria 27_12_12\NOTARIA 2012\AUTORIZACIONES\AUT.PAGARE F24.doc", "Abrir Documento")</f>
        <v>0</v>
      </c>
      <c r="D16933" t="s">
        <v>23500</v>
      </c>
      <c r="E16933" t="s">
        <v>39408</v>
      </c>
    </row>
    <row r="16934" spans="1:5">
      <c r="A16934" t="s">
        <v>6</v>
      </c>
      <c r="B16934" t="s">
        <v>16939</v>
      </c>
      <c r="C16934">
        <f>HYPERLINK("C:\Users\franc\OneDrive\Documentos\MALENTIN KARIME\BANCO ESTADO\2012 DEPTO ESCRITURAS fata\Dc Simples\RESPALDO comp notaria 27_12_12\NOTARIA 2012\AUTORIZACIONES\AUT. TERRENO.doc", "Abrir Documento")</f>
        <v>0</v>
      </c>
      <c r="D16934" t="s">
        <v>23500</v>
      </c>
      <c r="E16934" t="s">
        <v>39409</v>
      </c>
    </row>
    <row r="16935" spans="1:5">
      <c r="A16935" t="s">
        <v>6</v>
      </c>
      <c r="B16935" t="s">
        <v>16940</v>
      </c>
      <c r="C16935">
        <f>HYPERLINK("C:\Users\franc\OneDrive\Documentos\MALENTIN KARIME\BANCO ESTADO\2012 DEPTO ESCRITURAS fata\Dc Simples\RESPALDO comp notaria 27_12_12\NOTARIA 2012\AUTORIZACIONES\AUT. TALLER MECANICO.doc", "Abrir Documento")</f>
        <v>0</v>
      </c>
      <c r="D16935" t="s">
        <v>23500</v>
      </c>
      <c r="E16935" t="s">
        <v>39410</v>
      </c>
    </row>
    <row r="16936" spans="1:5">
      <c r="A16936" t="s">
        <v>6</v>
      </c>
      <c r="B16936" t="s">
        <v>16941</v>
      </c>
      <c r="C16936">
        <f>HYPERLINK("C:\Users\franc\OneDrive\Documentos\MALENTIN KARIME\BANCO ESTADO\2012 DEPTO ESCRITURAS fata\Dc Simples\RESPALDO comp notaria 27_12_12\NOTARIA 2012\AUTORIZACIONES\AUT. RETIRO DE PERTENENCIAS.doc", "Abrir Documento")</f>
        <v>0</v>
      </c>
      <c r="D16936" t="s">
        <v>23500</v>
      </c>
      <c r="E16936" t="s">
        <v>39411</v>
      </c>
    </row>
    <row r="16937" spans="1:5">
      <c r="A16937" t="s">
        <v>6</v>
      </c>
      <c r="B16937" t="s">
        <v>16942</v>
      </c>
      <c r="C16937">
        <f>HYPERLINK("C:\Users\franc\OneDrive\Documentos\MALENTIN KARIME\BANCO ESTADO\2012 DEPTO ESCRITURAS fata\Dc Simples\RESPALDO comp notaria 27_12_12\NOTARIA 2012\AUTORIZACIONES\AUT. DESCUENTO.doc", "Abrir Documento")</f>
        <v>0</v>
      </c>
      <c r="D16937" t="s">
        <v>23500</v>
      </c>
      <c r="E16937" t="s">
        <v>39412</v>
      </c>
    </row>
    <row r="16938" spans="1:5">
      <c r="A16938" t="s">
        <v>6</v>
      </c>
      <c r="B16938" t="s">
        <v>16943</v>
      </c>
      <c r="C16938">
        <f>HYPERLINK("C:\Users\franc\OneDrive\Documentos\MALENTIN KARIME\BANCO ESTADO\2012 DEPTO ESCRITURAS fata\Dc Simples\RESPALDO comp notaria 27_12_12\NOTARIA 2012\AUTORIZACIONES\AUT. CAZA.doc", "Abrir Documento")</f>
        <v>0</v>
      </c>
      <c r="D16938" t="s">
        <v>23500</v>
      </c>
      <c r="E16938" t="s">
        <v>39413</v>
      </c>
    </row>
    <row r="16939" spans="1:5">
      <c r="A16939" t="s">
        <v>6</v>
      </c>
      <c r="B16939" t="s">
        <v>16944</v>
      </c>
      <c r="C16939">
        <f>HYPERLINK("C:\Users\franc\OneDrive\Documentos\MALENTIN KARIME\BANCO ESTADO\2012 DEPTO ESCRITURAS fata\Dc Simples\RESPALDO comp notaria 27_12_12\NOTARIA 2012\AUTORIZACIONES\AUT. CAMPAÑA.doc", "Abrir Documento")</f>
        <v>0</v>
      </c>
      <c r="D16939" t="s">
        <v>23500</v>
      </c>
      <c r="E16939" t="s">
        <v>39414</v>
      </c>
    </row>
    <row r="16940" spans="1:5">
      <c r="A16940" t="s">
        <v>6</v>
      </c>
      <c r="B16940" t="s">
        <v>16945</v>
      </c>
      <c r="C16940">
        <f>HYPERLINK("C:\Users\franc\OneDrive\Documentos\MALENTIN KARIME\BANCO ESTADO\2012 DEPTO ESCRITURAS fata\Dc Simples\RESPALDO comp notaria 27_12_12\NOTARIA 2012\AUTORIZACIONES\AUSENT. PERUANO.doc", "Abrir Documento")</f>
        <v>0</v>
      </c>
      <c r="D16940" t="s">
        <v>23500</v>
      </c>
      <c r="E16940" t="s">
        <v>39415</v>
      </c>
    </row>
    <row r="16941" spans="1:5">
      <c r="A16941" t="s">
        <v>6</v>
      </c>
      <c r="B16941" t="s">
        <v>16946</v>
      </c>
      <c r="C16941">
        <f>HYPERLINK("C:\Users\franc\OneDrive\Documentos\MALENTIN KARIME\BANCO ESTADO\2012 DEPTO ESCRITURAS fata\Dc Simples\RESPALDO comp notaria 27_12_12\NOTARIA 2012\AUTORIZACIONES\ARRIENDO AGRICOLA.doc", "Abrir Documento")</f>
        <v>0</v>
      </c>
      <c r="D16941" t="s">
        <v>23500</v>
      </c>
      <c r="E16941" t="s">
        <v>39416</v>
      </c>
    </row>
    <row r="16942" spans="1:5">
      <c r="A16942" t="s">
        <v>6</v>
      </c>
      <c r="B16942" t="s">
        <v>16947</v>
      </c>
      <c r="C16942">
        <f>HYPERLINK("C:\Users\franc\OneDrive\Documentos\MALENTIN KARIME\BANCO ESTADO\2012 DEPTO ESCRITURAS fata\Dc Simples\RESPALDO comp notaria 27_12_12\NOTARIA 2012\AUTORIZACIONES\AGUAS, TRASPASO SIMPLE.doc", "Abrir Documento")</f>
        <v>0</v>
      </c>
      <c r="D16942" t="s">
        <v>23500</v>
      </c>
      <c r="E16942" t="s">
        <v>39417</v>
      </c>
    </row>
    <row r="16943" spans="1:5">
      <c r="A16943" t="s">
        <v>6</v>
      </c>
      <c r="B16943" t="s">
        <v>16948</v>
      </c>
      <c r="C16943">
        <f>HYPERLINK("C:\Users\franc\OneDrive\Documentos\MALENTIN KARIME\BANCO ESTADO\2012 DEPTO ESCRITURAS fata\Dc Simples\RESPALDO comp notaria 27_12_12\NOTARIA 2012\AUTORIZACIONES\ADOSAMIENTO.doc", "Abrir Documento")</f>
        <v>0</v>
      </c>
      <c r="D16943" t="s">
        <v>23500</v>
      </c>
      <c r="E16943" t="s">
        <v>39418</v>
      </c>
    </row>
    <row r="16944" spans="1:5">
      <c r="A16944" t="s">
        <v>6</v>
      </c>
      <c r="B16944" t="s">
        <v>16949</v>
      </c>
      <c r="C16944">
        <f>HYPERLINK("C:\Users\franc\OneDrive\Documentos\MALENTIN KARIME\BANCO ESTADO\2012 DEPTO ESCRITURAS fata\Dc Simples\RESPALDO comp notaria 27_12_12\NOTARIA 2012\AUTORIZACIONES\ADOSAMIENTO 1.doc", "Abrir Documento")</f>
        <v>0</v>
      </c>
      <c r="D16944" t="s">
        <v>23500</v>
      </c>
      <c r="E16944" t="s">
        <v>39419</v>
      </c>
    </row>
    <row r="16945" spans="1:5">
      <c r="A16945" t="s">
        <v>6</v>
      </c>
      <c r="B16945" t="s">
        <v>16950</v>
      </c>
      <c r="C16945">
        <f>HYPERLINK("C:\Users\franc\OneDrive\Documentos\MALENTIN KARIME\BANCO ESTADO\2012 DEPTO ESCRITURAS fata\Dc Simples\RESPALDO comp notaria 27_12_12\NOTARIA 2012\ARRIENDOS\ZOILA RIVERA.doc", "Abrir Documento")</f>
        <v>0</v>
      </c>
      <c r="D16945" t="s">
        <v>23500</v>
      </c>
      <c r="E16945" t="s">
        <v>39420</v>
      </c>
    </row>
    <row r="16946" spans="1:5">
      <c r="A16946" t="s">
        <v>6</v>
      </c>
      <c r="B16946" t="s">
        <v>16951</v>
      </c>
      <c r="C16946">
        <f>HYPERLINK("C:\Users\franc\OneDrive\Documentos\MALENTIN KARIME\BANCO ESTADO\2012 DEPTO ESCRITURAS fata\Dc Simples\RESPALDO comp notaria 27_12_12\NOTARIA 2012\ARRIENDOS\YESICA GOMEZ.doc", "Abrir Documento")</f>
        <v>0</v>
      </c>
      <c r="D16946" t="s">
        <v>23500</v>
      </c>
      <c r="E16946" t="s">
        <v>39421</v>
      </c>
    </row>
    <row r="16947" spans="1:5">
      <c r="A16947" t="s">
        <v>6</v>
      </c>
      <c r="B16947" t="s">
        <v>16952</v>
      </c>
      <c r="C16947">
        <f>HYPERLINK("C:\Users\franc\OneDrive\Documentos\MALENTIN KARIME\BANCO ESTADO\2012 DEPTO ESCRITURAS fata\Dc Simples\RESPALDO comp notaria 27_12_12\NOTARIA 2012\ARRIENDOS\VICTOR MUÑOZ E HIJO.doc", "Abrir Documento")</f>
        <v>0</v>
      </c>
      <c r="D16947" t="s">
        <v>23500</v>
      </c>
      <c r="E16947" t="s">
        <v>39422</v>
      </c>
    </row>
    <row r="16948" spans="1:5">
      <c r="A16948" t="s">
        <v>6</v>
      </c>
      <c r="B16948" t="s">
        <v>16953</v>
      </c>
      <c r="C16948">
        <f>HYPERLINK("C:\Users\franc\OneDrive\Documentos\MALENTIN KARIME\BANCO ESTADO\2012 DEPTO ESCRITURAS fata\Dc Simples\RESPALDO comp notaria 27_12_12\NOTARIA 2012\ARRIENDOS\VALLE SALUD.doc", "Abrir Documento")</f>
        <v>0</v>
      </c>
      <c r="D16948" t="s">
        <v>23500</v>
      </c>
      <c r="E16948" t="s">
        <v>39423</v>
      </c>
    </row>
    <row r="16949" spans="1:5">
      <c r="A16949" t="s">
        <v>6</v>
      </c>
      <c r="B16949" t="s">
        <v>16954</v>
      </c>
      <c r="C16949">
        <f>HYPERLINK("C:\Users\franc\OneDrive\Documentos\MALENTIN KARIME\BANCO ESTADO\2012 DEPTO ESCRITURAS fata\Dc Simples\RESPALDO comp notaria 27_12_12\NOTARIA 2012\ARRIENDOS\VALENTIN MONARDEZ E HIJA.doc", "Abrir Documento")</f>
        <v>0</v>
      </c>
      <c r="D16949" t="s">
        <v>23500</v>
      </c>
      <c r="E16949" t="s">
        <v>39424</v>
      </c>
    </row>
    <row r="16950" spans="1:5">
      <c r="A16950" t="s">
        <v>6</v>
      </c>
      <c r="B16950" t="s">
        <v>16955</v>
      </c>
      <c r="C16950">
        <f>HYPERLINK("C:\Users\franc\OneDrive\Documentos\MALENTIN KARIME\BANCO ESTADO\2012 DEPTO ESCRITURAS fata\Dc Simples\RESPALDO comp notaria 27_12_12\NOTARIA 2012\ARRIENDOS\TERESA ARAYA.doc", "Abrir Documento")</f>
        <v>0</v>
      </c>
      <c r="D16950" t="s">
        <v>23500</v>
      </c>
      <c r="E16950" t="s">
        <v>39425</v>
      </c>
    </row>
    <row r="16951" spans="1:5">
      <c r="A16951" t="s">
        <v>6</v>
      </c>
      <c r="B16951" t="s">
        <v>16956</v>
      </c>
      <c r="C16951">
        <f>HYPERLINK("C:\Users\franc\OneDrive\Documentos\MALENTIN KARIME\BANCO ESTADO\2012 DEPTO ESCRITURAS fata\Dc Simples\RESPALDO comp notaria 27_12_12\NOTARIA 2012\ARRIENDOS\SUCESION ARRIAGADA.doc", "Abrir Documento")</f>
        <v>0</v>
      </c>
      <c r="D16951" t="s">
        <v>23500</v>
      </c>
      <c r="E16951" t="s">
        <v>39426</v>
      </c>
    </row>
    <row r="16952" spans="1:5">
      <c r="A16952" t="s">
        <v>6</v>
      </c>
      <c r="B16952" t="s">
        <v>16957</v>
      </c>
      <c r="C16952">
        <f>HYPERLINK("C:\Users\franc\OneDrive\Documentos\MALENTIN KARIME\BANCO ESTADO\2012 DEPTO ESCRITURAS fata\Dc Simples\RESPALDO comp notaria 27_12_12\NOTARIA 2012\ARRIENDOS\SUC. SEGOVIA.doc", "Abrir Documento")</f>
        <v>0</v>
      </c>
      <c r="D16952" t="s">
        <v>23500</v>
      </c>
      <c r="E16952" t="s">
        <v>39427</v>
      </c>
    </row>
    <row r="16953" spans="1:5">
      <c r="A16953" t="s">
        <v>6</v>
      </c>
      <c r="B16953" t="s">
        <v>16958</v>
      </c>
      <c r="C16953">
        <f>HYPERLINK("C:\Users\franc\OneDrive\Documentos\MALENTIN KARIME\BANCO ESTADO\2012 DEPTO ESCRITURAS fata\Dc Simples\RESPALDO comp notaria 27_12_12\NOTARIA 2012\ARRIENDOS\SUC. SAMUEL CORTES CARVAJAL.doc", "Abrir Documento")</f>
        <v>0</v>
      </c>
      <c r="D16953" t="s">
        <v>23500</v>
      </c>
      <c r="E16953" t="s">
        <v>39428</v>
      </c>
    </row>
    <row r="16954" spans="1:5">
      <c r="A16954" t="s">
        <v>6</v>
      </c>
      <c r="B16954" t="s">
        <v>16959</v>
      </c>
      <c r="C16954">
        <f>HYPERLINK("C:\Users\franc\OneDrive\Documentos\MALENTIN KARIME\BANCO ESTADO\2012 DEPTO ESCRITURAS fata\Dc Simples\RESPALDO comp notaria 27_12_12\NOTARIA 2012\ARRIENDOS\SUC. SAMUEL CORTES CARVAJAL 2.doc", "Abrir Documento")</f>
        <v>0</v>
      </c>
      <c r="D16954" t="s">
        <v>23500</v>
      </c>
      <c r="E16954" t="s">
        <v>39429</v>
      </c>
    </row>
    <row r="16955" spans="1:5">
      <c r="A16955" t="s">
        <v>6</v>
      </c>
      <c r="B16955" t="s">
        <v>16960</v>
      </c>
      <c r="C16955">
        <f>HYPERLINK("C:\Users\franc\OneDrive\Documentos\MALENTIN KARIME\BANCO ESTADO\2012 DEPTO ESCRITURAS fata\Dc Simples\RESPALDO comp notaria 27_12_12\NOTARIA 2012\ARRIENDOS\SUBARRIENDO AGRICOLA.doc", "Abrir Documento")</f>
        <v>0</v>
      </c>
      <c r="D16955" t="s">
        <v>23500</v>
      </c>
      <c r="E16955" t="s">
        <v>39430</v>
      </c>
    </row>
    <row r="16956" spans="1:5">
      <c r="A16956" t="s">
        <v>6</v>
      </c>
      <c r="B16956" t="s">
        <v>16961</v>
      </c>
      <c r="C16956">
        <f>HYPERLINK("C:\Users\franc\OneDrive\Documentos\MALENTIN KARIME\BANCO ESTADO\2012 DEPTO ESCRITURAS fata\Dc Simples\RESPALDO comp notaria 27_12_12\NOTARIA 2012\ARRIENDOS\SOC. AGRICOLA FRUTINOR.doc", "Abrir Documento")</f>
        <v>0</v>
      </c>
      <c r="D16956" t="s">
        <v>23500</v>
      </c>
      <c r="E16956" t="s">
        <v>39431</v>
      </c>
    </row>
    <row r="16957" spans="1:5">
      <c r="A16957" t="s">
        <v>6</v>
      </c>
      <c r="B16957" t="s">
        <v>16962</v>
      </c>
      <c r="C16957">
        <f>HYPERLINK("C:\Users\franc\OneDrive\Documentos\MALENTIN KARIME\BANCO ESTADO\2012 DEPTO ESCRITURAS fata\Dc Simples\RESPALDO comp notaria 27_12_12\NOTARIA 2012\ARRIENDOS\SOC. AGRIC. RAUL GONZALEZ.doc", "Abrir Documento")</f>
        <v>0</v>
      </c>
      <c r="D16957" t="s">
        <v>23500</v>
      </c>
      <c r="E16957" t="s">
        <v>39432</v>
      </c>
    </row>
    <row r="16958" spans="1:5">
      <c r="A16958" t="s">
        <v>6</v>
      </c>
      <c r="B16958" t="s">
        <v>16963</v>
      </c>
      <c r="C16958">
        <f>HYPERLINK("C:\Users\franc\OneDrive\Documentos\MALENTIN KARIME\BANCO ESTADO\2012 DEPTO ESCRITURAS fata\Dc Simples\RESPALDO comp notaria 27_12_12\NOTARIA 2012\ARRIENDOS\SOC. AGRIC. DIOGENES ROJAS.doc", "Abrir Documento")</f>
        <v>0</v>
      </c>
      <c r="D16958" t="s">
        <v>23500</v>
      </c>
      <c r="E16958" t="s">
        <v>39433</v>
      </c>
    </row>
    <row r="16959" spans="1:5">
      <c r="A16959" t="s">
        <v>6</v>
      </c>
      <c r="B16959" t="s">
        <v>16964</v>
      </c>
      <c r="C16959">
        <f>HYPERLINK("C:\Users\franc\OneDrive\Documentos\MALENTIN KARIME\BANCO ESTADO\2012 DEPTO ESCRITURAS fata\Dc Simples\RESPALDO comp notaria 27_12_12\NOTARIA 2012\ARRIENDOS\SILVIA RAMOS.doc", "Abrir Documento")</f>
        <v>0</v>
      </c>
      <c r="D16959" t="s">
        <v>23500</v>
      </c>
      <c r="E16959" t="s">
        <v>39434</v>
      </c>
    </row>
    <row r="16960" spans="1:5">
      <c r="A16960" t="s">
        <v>6</v>
      </c>
      <c r="B16960" t="s">
        <v>16965</v>
      </c>
      <c r="C16960">
        <f>HYPERLINK("C:\Users\franc\OneDrive\Documentos\MALENTIN KARIME\BANCO ESTADO\2012 DEPTO ESCRITURAS fata\Dc Simples\RESPALDO comp notaria 27_12_12\NOTARIA 2012\ARRIENDOS\SERV. ALIMENTICIOS LTDA..doc", "Abrir Documento")</f>
        <v>0</v>
      </c>
      <c r="D16960" t="s">
        <v>23500</v>
      </c>
      <c r="E16960" t="s">
        <v>39435</v>
      </c>
    </row>
    <row r="16961" spans="1:5">
      <c r="A16961" t="s">
        <v>6</v>
      </c>
      <c r="B16961" t="s">
        <v>16966</v>
      </c>
      <c r="C16961">
        <f>HYPERLINK("C:\Users\franc\OneDrive\Documentos\MALENTIN KARIME\BANCO ESTADO\2012 DEPTO ESCRITURAS fata\Dc Simples\RESPALDO comp notaria 27_12_12\NOTARIA 2012\ARRIENDOS\SERGIO PUENTE LEIVA.doc", "Abrir Documento")</f>
        <v>0</v>
      </c>
      <c r="D16961" t="s">
        <v>23500</v>
      </c>
      <c r="E16961" t="s">
        <v>39436</v>
      </c>
    </row>
    <row r="16962" spans="1:5">
      <c r="A16962" t="s">
        <v>6</v>
      </c>
      <c r="B16962" t="s">
        <v>16967</v>
      </c>
      <c r="C16962">
        <f>HYPERLINK("C:\Users\franc\OneDrive\Documentos\MALENTIN KARIME\BANCO ESTADO\2012 DEPTO ESCRITURAS fata\Dc Simples\RESPALDO comp notaria 27_12_12\NOTARIA 2012\ARRIENDOS\SERGIO BUEGUEÑO ROSALES.doc", "Abrir Documento")</f>
        <v>0</v>
      </c>
      <c r="D16962" t="s">
        <v>23500</v>
      </c>
      <c r="E16962" t="s">
        <v>39437</v>
      </c>
    </row>
    <row r="16963" spans="1:5">
      <c r="A16963" t="s">
        <v>6</v>
      </c>
      <c r="B16963" t="s">
        <v>16968</v>
      </c>
      <c r="C16963">
        <f>HYPERLINK("C:\Users\franc\OneDrive\Documentos\MALENTIN KARIME\BANCO ESTADO\2012 DEPTO ESCRITURAS fata\Dc Simples\RESPALDO comp notaria 27_12_12\NOTARIA 2012\ARRIENDOS\SERAFIN GUZMAN.doc", "Abrir Documento")</f>
        <v>0</v>
      </c>
      <c r="D16963" t="s">
        <v>23500</v>
      </c>
      <c r="E16963" t="s">
        <v>39438</v>
      </c>
    </row>
    <row r="16964" spans="1:5">
      <c r="A16964" t="s">
        <v>6</v>
      </c>
      <c r="B16964" t="s">
        <v>16969</v>
      </c>
      <c r="C16964">
        <f>HYPERLINK("C:\Users\franc\OneDrive\Documentos\MALENTIN KARIME\BANCO ESTADO\2012 DEPTO ESCRITURAS fata\Dc Simples\RESPALDO comp notaria 27_12_12\NOTARIA 2012\ARRIENDOS\SELMEN DAIRE.doc", "Abrir Documento")</f>
        <v>0</v>
      </c>
      <c r="D16964" t="s">
        <v>23500</v>
      </c>
      <c r="E16964" t="s">
        <v>39439</v>
      </c>
    </row>
    <row r="16965" spans="1:5">
      <c r="A16965" t="s">
        <v>6</v>
      </c>
      <c r="B16965" t="s">
        <v>16970</v>
      </c>
      <c r="C16965">
        <f>HYPERLINK("C:\Users\franc\OneDrive\Documentos\MALENTIN KARIME\BANCO ESTADO\2012 DEPTO ESCRITURAS fata\Dc Simples\RESPALDO comp notaria 27_12_12\NOTARIA 2012\ARRIENDOS\SELMEN DAIRE rumpo grande.doc", "Abrir Documento")</f>
        <v>0</v>
      </c>
      <c r="D16965" t="s">
        <v>23500</v>
      </c>
      <c r="E16965" t="s">
        <v>39440</v>
      </c>
    </row>
    <row r="16966" spans="1:5">
      <c r="A16966" t="s">
        <v>6</v>
      </c>
      <c r="B16966" t="s">
        <v>16971</v>
      </c>
      <c r="C16966">
        <f>HYPERLINK("C:\Users\franc\OneDrive\Documentos\MALENTIN KARIME\BANCO ESTADO\2012 DEPTO ESCRITURAS fata\Dc Simples\RESPALDO comp notaria 27_12_12\NOTARIA 2012\ARRIENDOS\SELMEN DAIRE A CAPSICUM.doc", "Abrir Documento")</f>
        <v>0</v>
      </c>
      <c r="D16966" t="s">
        <v>23500</v>
      </c>
      <c r="E16966" t="s">
        <v>39441</v>
      </c>
    </row>
    <row r="16967" spans="1:5">
      <c r="A16967" t="s">
        <v>6</v>
      </c>
      <c r="B16967" t="s">
        <v>16972</v>
      </c>
      <c r="C16967">
        <f>HYPERLINK("C:\Users\franc\OneDrive\Documentos\MALENTIN KARIME\BANCO ESTADO\2012 DEPTO ESCRITURAS fata\Dc Simples\RESPALDO comp notaria 27_12_12\NOTARIA 2012\ARRIENDOS\SALVADOR.doc", "Abrir Documento")</f>
        <v>0</v>
      </c>
      <c r="D16967" t="s">
        <v>23500</v>
      </c>
      <c r="E16967" t="s">
        <v>39442</v>
      </c>
    </row>
    <row r="16968" spans="1:5">
      <c r="A16968" t="s">
        <v>6</v>
      </c>
      <c r="B16968" t="s">
        <v>16973</v>
      </c>
      <c r="C16968">
        <f>HYPERLINK("C:\Users\franc\OneDrive\Documentos\MALENTIN KARIME\BANCO ESTADO\2012 DEPTO ESCRITURAS fata\Dc Simples\RESPALDO comp notaria 27_12_12\NOTARIA 2012\ARRIENDOS\SALVADOR GALLEGUILLOS.doc", "Abrir Documento")</f>
        <v>0</v>
      </c>
      <c r="D16968" t="s">
        <v>23500</v>
      </c>
      <c r="E16968" t="s">
        <v>39443</v>
      </c>
    </row>
    <row r="16969" spans="1:5">
      <c r="A16969" t="s">
        <v>6</v>
      </c>
      <c r="B16969" t="s">
        <v>16974</v>
      </c>
      <c r="C16969">
        <f>HYPERLINK("C:\Users\franc\OneDrive\Documentos\MALENTIN KARIME\BANCO ESTADO\2012 DEPTO ESCRITURAS fata\Dc Simples\RESPALDO comp notaria 27_12_12\NOTARIA 2012\ARRIENDOS\ROSARIO ANTIQUERA.doc", "Abrir Documento")</f>
        <v>0</v>
      </c>
      <c r="D16969" t="s">
        <v>23500</v>
      </c>
      <c r="E16969" t="s">
        <v>39444</v>
      </c>
    </row>
    <row r="16970" spans="1:5">
      <c r="A16970" t="s">
        <v>6</v>
      </c>
      <c r="B16970" t="s">
        <v>16975</v>
      </c>
      <c r="C16970">
        <f>HYPERLINK("C:\Users\franc\OneDrive\Documentos\MALENTIN KARIME\BANCO ESTADO\2012 DEPTO ESCRITURAS fata\Dc Simples\RESPALDO comp notaria 27_12_12\NOTARIA 2012\ARRIENDOS\ROSA ROJAS VEAS.doc", "Abrir Documento")</f>
        <v>0</v>
      </c>
      <c r="D16970" t="s">
        <v>23500</v>
      </c>
      <c r="E16970" t="s">
        <v>39445</v>
      </c>
    </row>
    <row r="16971" spans="1:5">
      <c r="A16971" t="s">
        <v>6</v>
      </c>
      <c r="B16971" t="s">
        <v>16976</v>
      </c>
      <c r="C16971">
        <f>HYPERLINK("C:\Users\franc\OneDrive\Documentos\MALENTIN KARIME\BANCO ESTADO\2012 DEPTO ESCRITURAS fata\Dc Simples\RESPALDO comp notaria 27_12_12\NOTARIA 2012\ARRIENDOS\ROSA ARAYA MOLINOS.doc", "Abrir Documento")</f>
        <v>0</v>
      </c>
      <c r="D16971" t="s">
        <v>23500</v>
      </c>
      <c r="E16971" t="s">
        <v>39446</v>
      </c>
    </row>
    <row r="16972" spans="1:5">
      <c r="A16972" t="s">
        <v>6</v>
      </c>
      <c r="B16972" t="s">
        <v>16977</v>
      </c>
      <c r="C16972">
        <f>HYPERLINK("C:\Users\franc\OneDrive\Documentos\MALENTIN KARIME\BANCO ESTADO\2012 DEPTO ESCRITURAS fata\Dc Simples\RESPALDO comp notaria 27_12_12\NOTARIA 2012\ARRIENDOS\ROLANDO MANRIQUEZ.doc", "Abrir Documento")</f>
        <v>0</v>
      </c>
      <c r="D16972" t="s">
        <v>23500</v>
      </c>
      <c r="E16972" t="s">
        <v>39447</v>
      </c>
    </row>
    <row r="16973" spans="1:5">
      <c r="A16973" t="s">
        <v>6</v>
      </c>
      <c r="B16973" t="s">
        <v>16978</v>
      </c>
      <c r="C16973">
        <f>HYPERLINK("C:\Users\franc\OneDrive\Documentos\MALENTIN KARIME\BANCO ESTADO\2012 DEPTO ESCRITURAS fata\Dc Simples\RESPALDO comp notaria 27_12_12\NOTARIA 2012\ARRIENDOS\ROLANDO LOPEZ.doc", "Abrir Documento")</f>
        <v>0</v>
      </c>
      <c r="D16973" t="s">
        <v>23500</v>
      </c>
      <c r="E16973" t="s">
        <v>39448</v>
      </c>
    </row>
    <row r="16974" spans="1:5">
      <c r="A16974" t="s">
        <v>6</v>
      </c>
      <c r="B16974" t="s">
        <v>16979</v>
      </c>
      <c r="C16974">
        <f>HYPERLINK("C:\Users\franc\OneDrive\Documentos\MALENTIN KARIME\BANCO ESTADO\2012 DEPTO ESCRITURAS fata\Dc Simples\RESPALDO comp notaria 27_12_12\NOTARIA 2012\ARRIENDOS\RODRIGO HERRERA PIEL.doc", "Abrir Documento")</f>
        <v>0</v>
      </c>
      <c r="D16974" t="s">
        <v>23500</v>
      </c>
      <c r="E16974" t="s">
        <v>39449</v>
      </c>
    </row>
    <row r="16975" spans="1:5">
      <c r="A16975" t="s">
        <v>6</v>
      </c>
      <c r="B16975" t="s">
        <v>16980</v>
      </c>
      <c r="C16975">
        <f>HYPERLINK("C:\Users\franc\OneDrive\Documentos\MALENTIN KARIME\BANCO ESTADO\2012 DEPTO ESCRITURAS fata\Dc Simples\RESPALDO comp notaria 27_12_12\NOTARIA 2012\ARRIENDOS\RODOLFO ORELLANA AHUMADA.doc", "Abrir Documento")</f>
        <v>0</v>
      </c>
      <c r="D16975" t="s">
        <v>23500</v>
      </c>
      <c r="E16975" t="s">
        <v>39450</v>
      </c>
    </row>
    <row r="16976" spans="1:5">
      <c r="A16976" t="s">
        <v>6</v>
      </c>
      <c r="B16976" t="s">
        <v>16981</v>
      </c>
      <c r="C16976">
        <f>HYPERLINK("C:\Users\franc\OneDrive\Documentos\MALENTIN KARIME\BANCO ESTADO\2012 DEPTO ESCRITURAS fata\Dc Simples\RESPALDO comp notaria 27_12_12\NOTARIA 2012\ARRIENDOS\ROBERTO CORTES CORRAL.doc", "Abrir Documento")</f>
        <v>0</v>
      </c>
      <c r="D16976" t="s">
        <v>23500</v>
      </c>
      <c r="E16976" t="s">
        <v>39451</v>
      </c>
    </row>
    <row r="16977" spans="1:5">
      <c r="A16977" t="s">
        <v>6</v>
      </c>
      <c r="B16977" t="s">
        <v>16982</v>
      </c>
      <c r="C16977">
        <f>HYPERLINK("C:\Users\franc\OneDrive\Documentos\MALENTIN KARIME\BANCO ESTADO\2012 DEPTO ESCRITURAS fata\Dc Simples\RESPALDO comp notaria 27_12_12\NOTARIA 2012\ARRIENDOS\RICARDO DELGADO Y LILIANA.doc", "Abrir Documento")</f>
        <v>0</v>
      </c>
      <c r="D16977" t="s">
        <v>23500</v>
      </c>
      <c r="E16977" t="s">
        <v>39452</v>
      </c>
    </row>
    <row r="16978" spans="1:5">
      <c r="A16978" t="s">
        <v>6</v>
      </c>
      <c r="B16978" t="s">
        <v>16983</v>
      </c>
      <c r="C16978">
        <f>HYPERLINK("C:\Users\franc\OneDrive\Documentos\MALENTIN KARIME\BANCO ESTADO\2012 DEPTO ESCRITURAS fata\Dc Simples\RESPALDO comp notaria 27_12_12\NOTARIA 2012\ARRIENDOS\RESCILIACION AGRICOLA.doc", "Abrir Documento")</f>
        <v>0</v>
      </c>
      <c r="D16978" t="s">
        <v>23500</v>
      </c>
      <c r="E16978" t="s">
        <v>39453</v>
      </c>
    </row>
    <row r="16979" spans="1:5">
      <c r="A16979" t="s">
        <v>6</v>
      </c>
      <c r="B16979" t="s">
        <v>16984</v>
      </c>
      <c r="C16979">
        <f>HYPERLINK("C:\Users\franc\OneDrive\Documentos\MALENTIN KARIME\BANCO ESTADO\2012 DEPTO ESCRITURAS fata\Dc Simples\RESPALDO comp notaria 27_12_12\NOTARIA 2012\ARRIENDOS\RENE MIRANDA.doc", "Abrir Documento")</f>
        <v>0</v>
      </c>
      <c r="D16979" t="s">
        <v>23500</v>
      </c>
      <c r="E16979" t="s">
        <v>39454</v>
      </c>
    </row>
    <row r="16980" spans="1:5">
      <c r="A16980" t="s">
        <v>6</v>
      </c>
      <c r="B16980" t="s">
        <v>16985</v>
      </c>
      <c r="C16980">
        <f>HYPERLINK("C:\Users\franc\OneDrive\Documentos\MALENTIN KARIME\BANCO ESTADO\2012 DEPTO ESCRITURAS fata\Dc Simples\RESPALDO comp notaria 27_12_12\NOTARIA 2012\ARRIENDOS\RENE CHAU.doc", "Abrir Documento")</f>
        <v>0</v>
      </c>
      <c r="D16980" t="s">
        <v>23500</v>
      </c>
      <c r="E16980" t="s">
        <v>39455</v>
      </c>
    </row>
    <row r="16981" spans="1:5">
      <c r="A16981" t="s">
        <v>6</v>
      </c>
      <c r="B16981" t="s">
        <v>16986</v>
      </c>
      <c r="C16981">
        <f>HYPERLINK("C:\Users\franc\OneDrive\Documentos\MALENTIN KARIME\BANCO ESTADO\2012 DEPTO ESCRITURAS fata\Dc Simples\RESPALDO comp notaria 27_12_12\NOTARIA 2012\ARRIENDOS\RAUL LUIS GARRIDO.doc", "Abrir Documento")</f>
        <v>0</v>
      </c>
      <c r="D16981" t="s">
        <v>23500</v>
      </c>
      <c r="E16981" t="s">
        <v>39456</v>
      </c>
    </row>
    <row r="16982" spans="1:5">
      <c r="A16982" t="s">
        <v>6</v>
      </c>
      <c r="B16982" t="s">
        <v>16987</v>
      </c>
      <c r="C16982">
        <f>HYPERLINK("C:\Users\franc\OneDrive\Documentos\MALENTIN KARIME\BANCO ESTADO\2012 DEPTO ESCRITURAS fata\Dc Simples\RESPALDO comp notaria 27_12_12\NOTARIA 2012\ARRIENDOS\RAUL GARRIDO &amp; PATRICIO RIVERA.doc", "Abrir Documento")</f>
        <v>0</v>
      </c>
      <c r="D16982" t="s">
        <v>23500</v>
      </c>
      <c r="E16982" t="s">
        <v>39457</v>
      </c>
    </row>
    <row r="16983" spans="1:5">
      <c r="A16983" t="s">
        <v>6</v>
      </c>
      <c r="B16983" t="s">
        <v>16988</v>
      </c>
      <c r="C16983">
        <f>HYPERLINK("C:\Users\franc\OneDrive\Documentos\MALENTIN KARIME\BANCO ESTADO\2012 DEPTO ESCRITURAS fata\Dc Simples\RESPALDO comp notaria 27_12_12\NOTARIA 2012\ARRIENDOS\RAUL DE LA CRUZ ARAYA.doc", "Abrir Documento")</f>
        <v>0</v>
      </c>
      <c r="D16983" t="s">
        <v>23500</v>
      </c>
      <c r="E16983" t="s">
        <v>39458</v>
      </c>
    </row>
    <row r="16984" spans="1:5">
      <c r="A16984" t="s">
        <v>6</v>
      </c>
      <c r="B16984" t="s">
        <v>16989</v>
      </c>
      <c r="C16984">
        <f>HYPERLINK("C:\Users\franc\OneDrive\Documentos\MALENTIN KARIME\BANCO ESTADO\2012 DEPTO ESCRITURAS fata\Dc Simples\RESPALDO comp notaria 27_12_12\NOTARIA 2012\ARRIENDOS\RAUL BARRAZA.doc", "Abrir Documento")</f>
        <v>0</v>
      </c>
      <c r="D16984" t="s">
        <v>23500</v>
      </c>
      <c r="E16984" t="s">
        <v>39459</v>
      </c>
    </row>
    <row r="16985" spans="1:5">
      <c r="A16985" t="s">
        <v>6</v>
      </c>
      <c r="B16985" t="s">
        <v>16990</v>
      </c>
      <c r="C16985">
        <f>HYPERLINK("C:\Users\franc\OneDrive\Documentos\MALENTIN KARIME\BANCO ESTADO\2012 DEPTO ESCRITURAS fata\Dc Simples\RESPALDO comp notaria 27_12_12\NOTARIA 2012\ARRIENDOS\RAMON ALFARO CORTES La Chimba.doc", "Abrir Documento")</f>
        <v>0</v>
      </c>
      <c r="D16985" t="s">
        <v>23500</v>
      </c>
      <c r="E16985" t="s">
        <v>39460</v>
      </c>
    </row>
    <row r="16986" spans="1:5">
      <c r="A16986" t="s">
        <v>6</v>
      </c>
      <c r="B16986" t="s">
        <v>16991</v>
      </c>
      <c r="C16986">
        <f>HYPERLINK("C:\Users\franc\OneDrive\Documentos\MALENTIN KARIME\BANCO ESTADO\2012 DEPTO ESCRITURAS fata\Dc Simples\RESPALDO comp notaria 27_12_12\NOTARIA 2012\ARRIENDOS\RAFAEL ALFONSO ESPINOZA.doc", "Abrir Documento")</f>
        <v>0</v>
      </c>
      <c r="D16986" t="s">
        <v>23500</v>
      </c>
      <c r="E16986" t="s">
        <v>39461</v>
      </c>
    </row>
    <row r="16987" spans="1:5">
      <c r="A16987" t="s">
        <v>6</v>
      </c>
      <c r="B16987" t="s">
        <v>16992</v>
      </c>
      <c r="C16987">
        <f>HYPERLINK("C:\Users\franc\OneDrive\Documentos\MALENTIN KARIME\BANCO ESTADO\2012 DEPTO ESCRITURAS fata\Dc Simples\RESPALDO comp notaria 27_12_12\NOTARIA 2012\ARRIENDOS\PROMESA JIMENA FERNANDEZ.doc", "Abrir Documento")</f>
        <v>0</v>
      </c>
      <c r="D16987" t="s">
        <v>23500</v>
      </c>
      <c r="E16987" t="s">
        <v>39462</v>
      </c>
    </row>
    <row r="16988" spans="1:5">
      <c r="A16988" t="s">
        <v>6</v>
      </c>
      <c r="B16988" t="s">
        <v>16993</v>
      </c>
      <c r="C16988">
        <f>HYPERLINK("C:\Users\franc\OneDrive\Documentos\MALENTIN KARIME\BANCO ESTADO\2012 DEPTO ESCRITURAS fata\Dc Simples\RESPALDO comp notaria 27_12_12\NOTARIA 2012\ARRIENDOS\POSTACIÓN.doc", "Abrir Documento")</f>
        <v>0</v>
      </c>
      <c r="D16988" t="s">
        <v>23500</v>
      </c>
      <c r="E16988" t="s">
        <v>39463</v>
      </c>
    </row>
    <row r="16989" spans="1:5">
      <c r="A16989" t="s">
        <v>6</v>
      </c>
      <c r="B16989" t="s">
        <v>16994</v>
      </c>
      <c r="C16989">
        <f>HYPERLINK("C:\Users\franc\OneDrive\Documentos\MALENTIN KARIME\BANCO ESTADO\2012 DEPTO ESCRITURAS fata\Dc Simples\RESPALDO comp notaria 27_12_12\NOTARIA 2012\ARRIENDOS\PORCENTAJE ESMERALDO VALDIVIA.doc", "Abrir Documento")</f>
        <v>0</v>
      </c>
      <c r="D16989" t="s">
        <v>23500</v>
      </c>
      <c r="E16989" t="s">
        <v>39464</v>
      </c>
    </row>
    <row r="16990" spans="1:5">
      <c r="A16990" t="s">
        <v>6</v>
      </c>
      <c r="B16990" t="s">
        <v>16995</v>
      </c>
      <c r="C16990">
        <f>HYPERLINK("C:\Users\franc\OneDrive\Documentos\MALENTIN KARIME\BANCO ESTADO\2012 DEPTO ESCRITURAS fata\Dc Simples\RESPALDO comp notaria 27_12_12\NOTARIA 2012\ARRIENDOS\PERCIBAL VELASQUEZ.doc", "Abrir Documento")</f>
        <v>0</v>
      </c>
      <c r="D16990" t="s">
        <v>23500</v>
      </c>
      <c r="E16990" t="s">
        <v>39465</v>
      </c>
    </row>
    <row r="16991" spans="1:5">
      <c r="A16991" t="s">
        <v>6</v>
      </c>
      <c r="B16991" t="s">
        <v>16996</v>
      </c>
      <c r="C16991">
        <f>HYPERLINK("C:\Users\franc\OneDrive\Documentos\MALENTIN KARIME\BANCO ESTADO\2012 DEPTO ESCRITURAS fata\Dc Simples\RESPALDO comp notaria 27_12_12\NOTARIA 2012\ARRIENDOS\PERCIBAL VELASQUEZ Y FDO. ADONES.doc", "Abrir Documento")</f>
        <v>0</v>
      </c>
      <c r="D16991" t="s">
        <v>23500</v>
      </c>
      <c r="E16991" t="s">
        <v>39466</v>
      </c>
    </row>
    <row r="16992" spans="1:5">
      <c r="A16992" t="s">
        <v>6</v>
      </c>
      <c r="B16992" t="s">
        <v>16997</v>
      </c>
      <c r="C16992">
        <f>HYPERLINK("C:\Users\franc\OneDrive\Documentos\MALENTIN KARIME\BANCO ESTADO\2012 DEPTO ESCRITURAS fata\Dc Simples\RESPALDO comp notaria 27_12_12\NOTARIA 2012\ARRIENDOS\PEDRO LOPEZ.doc", "Abrir Documento")</f>
        <v>0</v>
      </c>
      <c r="D16992" t="s">
        <v>23500</v>
      </c>
      <c r="E16992" t="s">
        <v>39467</v>
      </c>
    </row>
    <row r="16993" spans="1:5">
      <c r="A16993" t="s">
        <v>6</v>
      </c>
      <c r="B16993" t="s">
        <v>16998</v>
      </c>
      <c r="C16993">
        <f>HYPERLINK("C:\Users\franc\OneDrive\Documentos\MALENTIN KARIME\BANCO ESTADO\2012 DEPTO ESCRITURAS fata\Dc Simples\RESPALDO comp notaria 27_12_12\NOTARIA 2012\ARRIENDOS\PEDRO CORTES ROBLES.doc", "Abrir Documento")</f>
        <v>0</v>
      </c>
      <c r="D16993" t="s">
        <v>23500</v>
      </c>
      <c r="E16993" t="s">
        <v>39468</v>
      </c>
    </row>
    <row r="16994" spans="1:5">
      <c r="A16994" t="s">
        <v>6</v>
      </c>
      <c r="B16994" t="s">
        <v>16999</v>
      </c>
      <c r="C16994">
        <f>HYPERLINK("C:\Users\franc\OneDrive\Documentos\MALENTIN KARIME\BANCO ESTADO\2012 DEPTO ESCRITURAS fata\Dc Simples\RESPALDO comp notaria 27_12_12\NOTARIA 2012\ARRIENDOS\PAULINA ROJAS DIAZ.doc", "Abrir Documento")</f>
        <v>0</v>
      </c>
      <c r="D16994" t="s">
        <v>23500</v>
      </c>
      <c r="E16994" t="s">
        <v>39469</v>
      </c>
    </row>
    <row r="16995" spans="1:5">
      <c r="A16995" t="s">
        <v>6</v>
      </c>
      <c r="B16995" t="s">
        <v>17000</v>
      </c>
      <c r="C16995">
        <f>HYPERLINK("C:\Users\franc\OneDrive\Documentos\MALENTIN KARIME\BANCO ESTADO\2012 DEPTO ESCRITURAS fata\Dc Simples\RESPALDO comp notaria 27_12_12\NOTARIA 2012\ARRIENDOS\PATRICIO RIVERA.doc", "Abrir Documento")</f>
        <v>0</v>
      </c>
      <c r="D16995" t="s">
        <v>23500</v>
      </c>
      <c r="E16995" t="s">
        <v>39470</v>
      </c>
    </row>
    <row r="16996" spans="1:5">
      <c r="A16996" t="s">
        <v>6</v>
      </c>
      <c r="B16996" t="s">
        <v>17001</v>
      </c>
      <c r="C16996">
        <f>HYPERLINK("C:\Users\franc\OneDrive\Documentos\MALENTIN KARIME\BANCO ESTADO\2012 DEPTO ESCRITURAS fata\Dc Simples\RESPALDO comp notaria 27_12_12\NOTARIA 2012\ARRIENDOS\PATRICIO ALVARADO.doc", "Abrir Documento")</f>
        <v>0</v>
      </c>
      <c r="D16996" t="s">
        <v>23500</v>
      </c>
      <c r="E16996" t="s">
        <v>39471</v>
      </c>
    </row>
    <row r="16997" spans="1:5">
      <c r="A16997" t="s">
        <v>6</v>
      </c>
      <c r="B16997" t="s">
        <v>17002</v>
      </c>
      <c r="C16997">
        <f>HYPERLINK("C:\Users\franc\OneDrive\Documentos\MALENTIN KARIME\BANCO ESTADO\2012 DEPTO ESCRITURAS fata\Dc Simples\RESPALDO comp notaria 27_12_12\NOTARIA 2012\ARRIENDOS\PATRICIA ROJAS.doc", "Abrir Documento")</f>
        <v>0</v>
      </c>
      <c r="D16997" t="s">
        <v>23500</v>
      </c>
      <c r="E16997" t="s">
        <v>39472</v>
      </c>
    </row>
    <row r="16998" spans="1:5">
      <c r="A16998" t="s">
        <v>6</v>
      </c>
      <c r="B16998" t="s">
        <v>17003</v>
      </c>
      <c r="C16998">
        <f>HYPERLINK("C:\Users\franc\OneDrive\Documentos\MALENTIN KARIME\BANCO ESTADO\2012 DEPTO ESCRITURAS fata\Dc Simples\RESPALDO comp notaria 27_12_12\NOTARIA 2012\ARRIENDOS\PATO ALFARO.doc", "Abrir Documento")</f>
        <v>0</v>
      </c>
      <c r="D16998" t="s">
        <v>23500</v>
      </c>
      <c r="E16998" t="s">
        <v>39473</v>
      </c>
    </row>
    <row r="16999" spans="1:5">
      <c r="A16999" t="s">
        <v>6</v>
      </c>
      <c r="B16999" t="s">
        <v>17004</v>
      </c>
      <c r="C16999">
        <f>HYPERLINK("C:\Users\franc\OneDrive\Documentos\MALENTIN KARIME\BANCO ESTADO\2012 DEPTO ESCRITURAS fata\Dc Simples\RESPALDO comp notaria 27_12_12\NOTARIA 2012\ARRIENDOS\PABLO GODOY.doc", "Abrir Documento")</f>
        <v>0</v>
      </c>
      <c r="D16999" t="s">
        <v>23500</v>
      </c>
      <c r="E16999" t="s">
        <v>39474</v>
      </c>
    </row>
    <row r="17000" spans="1:5">
      <c r="A17000" t="s">
        <v>6</v>
      </c>
      <c r="B17000" t="s">
        <v>17005</v>
      </c>
      <c r="C17000">
        <f>HYPERLINK("C:\Users\franc\OneDrive\Documentos\MALENTIN KARIME\BANCO ESTADO\2012 DEPTO ESCRITURAS fata\Dc Simples\RESPALDO comp notaria 27_12_12\NOTARIA 2012\ARRIENDOS\PABLA GOMEZ.doc", "Abrir Documento")</f>
        <v>0</v>
      </c>
      <c r="D17000" t="s">
        <v>23500</v>
      </c>
      <c r="E17000" t="s">
        <v>39475</v>
      </c>
    </row>
    <row r="17001" spans="1:5">
      <c r="A17001" t="s">
        <v>6</v>
      </c>
      <c r="B17001" t="s">
        <v>17006</v>
      </c>
      <c r="C17001">
        <f>HYPERLINK("C:\Users\franc\OneDrive\Documentos\MALENTIN KARIME\BANCO ESTADO\2012 DEPTO ESCRITURAS fata\Dc Simples\RESPALDO comp notaria 27_12_12\NOTARIA 2012\ARRIENDOS\OSCAR AGUIRRE.doc", "Abrir Documento")</f>
        <v>0</v>
      </c>
      <c r="D17001" t="s">
        <v>23500</v>
      </c>
      <c r="E17001" t="s">
        <v>39476</v>
      </c>
    </row>
    <row r="17002" spans="1:5">
      <c r="A17002" t="s">
        <v>6</v>
      </c>
      <c r="B17002" t="s">
        <v>17007</v>
      </c>
      <c r="C17002">
        <f>HYPERLINK("C:\Users\franc\OneDrive\Documentos\MALENTIN KARIME\BANCO ESTADO\2012 DEPTO ESCRITURAS fata\Dc Simples\RESPALDO comp notaria 27_12_12\NOTARIA 2012\ARRIENDOS\ORREGO HNOS. Y CIA..doc", "Abrir Documento")</f>
        <v>0</v>
      </c>
      <c r="D17002" t="s">
        <v>23500</v>
      </c>
      <c r="E17002" t="s">
        <v>39477</v>
      </c>
    </row>
    <row r="17003" spans="1:5">
      <c r="A17003" t="s">
        <v>6</v>
      </c>
      <c r="B17003" t="s">
        <v>17008</v>
      </c>
      <c r="C17003">
        <f>HYPERLINK("C:\Users\franc\OneDrive\Documentos\MALENTIN KARIME\BANCO ESTADO\2012 DEPTO ESCRITURAS fata\Dc Simples\RESPALDO comp notaria 27_12_12\NOTARIA 2012\ARRIENDOS\ORLANDO VALDVIA.doc", "Abrir Documento")</f>
        <v>0</v>
      </c>
      <c r="D17003" t="s">
        <v>23500</v>
      </c>
      <c r="E17003" t="s">
        <v>39478</v>
      </c>
    </row>
    <row r="17004" spans="1:5">
      <c r="A17004" t="s">
        <v>6</v>
      </c>
      <c r="B17004" t="s">
        <v>17009</v>
      </c>
      <c r="C17004">
        <f>HYPERLINK("C:\Users\franc\OneDrive\Documentos\MALENTIN KARIME\BANCO ESTADO\2012 DEPTO ESCRITURAS fata\Dc Simples\RESPALDO comp notaria 27_12_12\NOTARIA 2012\ARRIENDOS\ORLANDO VALDIVIA.doc", "Abrir Documento")</f>
        <v>0</v>
      </c>
      <c r="D17004" t="s">
        <v>23500</v>
      </c>
      <c r="E17004" t="s">
        <v>39479</v>
      </c>
    </row>
    <row r="17005" spans="1:5">
      <c r="A17005" t="s">
        <v>6</v>
      </c>
      <c r="B17005" t="s">
        <v>17010</v>
      </c>
      <c r="C17005">
        <f>HYPERLINK("C:\Users\franc\OneDrive\Documentos\MALENTIN KARIME\BANCO ESTADO\2012 DEPTO ESCRITURAS fata\Dc Simples\RESPALDO comp notaria 27_12_12\NOTARIA 2012\ARRIENDOS\ORLANDO CARVAJAL.doc", "Abrir Documento")</f>
        <v>0</v>
      </c>
      <c r="D17005" t="s">
        <v>23500</v>
      </c>
      <c r="E17005" t="s">
        <v>39480</v>
      </c>
    </row>
    <row r="17006" spans="1:5">
      <c r="A17006" t="s">
        <v>6</v>
      </c>
      <c r="B17006" t="s">
        <v>17011</v>
      </c>
      <c r="C17006">
        <f>HYPERLINK("C:\Users\franc\OneDrive\Documentos\MALENTIN KARIME\BANCO ESTADO\2012 DEPTO ESCRITURAS fata\Dc Simples\RESPALDO comp notaria 27_12_12\NOTARIA 2012\ARRIENDOS\OMAR VENEGAS.doc", "Abrir Documento")</f>
        <v>0</v>
      </c>
      <c r="D17006" t="s">
        <v>23500</v>
      </c>
      <c r="E17006" t="s">
        <v>39481</v>
      </c>
    </row>
    <row r="17007" spans="1:5">
      <c r="A17007" t="s">
        <v>6</v>
      </c>
      <c r="B17007" t="s">
        <v>17012</v>
      </c>
      <c r="C17007">
        <f>HYPERLINK("C:\Users\franc\OneDrive\Documentos\MALENTIN KARIME\BANCO ESTADO\2012 DEPTO ESCRITURAS fata\Dc Simples\RESPALDO comp notaria 27_12_12\NOTARIA 2012\ARRIENDOS\OLGA TABILO.doc", "Abrir Documento")</f>
        <v>0</v>
      </c>
      <c r="D17007" t="s">
        <v>23500</v>
      </c>
      <c r="E17007" t="s">
        <v>39482</v>
      </c>
    </row>
    <row r="17008" spans="1:5">
      <c r="A17008" t="s">
        <v>6</v>
      </c>
      <c r="B17008" t="s">
        <v>17013</v>
      </c>
      <c r="C17008">
        <f>HYPERLINK("C:\Users\franc\OneDrive\Documentos\MALENTIN KARIME\BANCO ESTADO\2012 DEPTO ESCRITURAS fata\Dc Simples\RESPALDO comp notaria 27_12_12\NOTARIA 2012\ARRIENDOS\OFICINA IVAN VARELA.doc", "Abrir Documento")</f>
        <v>0</v>
      </c>
      <c r="D17008" t="s">
        <v>23500</v>
      </c>
      <c r="E17008" t="s">
        <v>39483</v>
      </c>
    </row>
    <row r="17009" spans="1:5">
      <c r="A17009" t="s">
        <v>6</v>
      </c>
      <c r="B17009" t="s">
        <v>17014</v>
      </c>
      <c r="C17009">
        <f>HYPERLINK("C:\Users\franc\OneDrive\Documentos\MALENTIN KARIME\BANCO ESTADO\2012 DEPTO ESCRITURAS fata\Dc Simples\RESPALDO comp notaria 27_12_12\NOTARIA 2012\ARRIENDOS\NOLBA MONDACA.doc", "Abrir Documento")</f>
        <v>0</v>
      </c>
      <c r="D17009" t="s">
        <v>23500</v>
      </c>
      <c r="E17009" t="s">
        <v>39484</v>
      </c>
    </row>
    <row r="17010" spans="1:5">
      <c r="A17010" t="s">
        <v>6</v>
      </c>
      <c r="B17010" t="s">
        <v>17015</v>
      </c>
      <c r="C17010">
        <f>HYPERLINK("C:\Users\franc\OneDrive\Documentos\MALENTIN KARIME\BANCO ESTADO\2012 DEPTO ESCRITURAS fata\Dc Simples\RESPALDO comp notaria 27_12_12\NOTARIA 2012\ARRIENDOS\NICOLAS GARCIA.doc", "Abrir Documento")</f>
        <v>0</v>
      </c>
      <c r="D17010" t="s">
        <v>23500</v>
      </c>
      <c r="E17010" t="s">
        <v>39485</v>
      </c>
    </row>
    <row r="17011" spans="1:5">
      <c r="A17011" t="s">
        <v>6</v>
      </c>
      <c r="B17011" t="s">
        <v>17016</v>
      </c>
      <c r="C17011">
        <f>HYPERLINK("C:\Users\franc\OneDrive\Documentos\MALENTIN KARIME\BANCO ESTADO\2012 DEPTO ESCRITURAS fata\Dc Simples\RESPALDO comp notaria 27_12_12\NOTARIA 2012\ARRIENDOS\NEVENKA RAMIREZ.doc", "Abrir Documento")</f>
        <v>0</v>
      </c>
      <c r="D17011" t="s">
        <v>23500</v>
      </c>
      <c r="E17011" t="s">
        <v>39486</v>
      </c>
    </row>
    <row r="17012" spans="1:5">
      <c r="A17012" t="s">
        <v>6</v>
      </c>
      <c r="B17012" t="s">
        <v>17017</v>
      </c>
      <c r="C17012">
        <f>HYPERLINK("C:\Users\franc\OneDrive\Documentos\MALENTIN KARIME\BANCO ESTADO\2012 DEPTO ESCRITURAS fata\Dc Simples\RESPALDO comp notaria 27_12_12\NOTARIA 2012\ARRIENDOS\NEVENKA RAMIREZ A ESMERALDO V.doc", "Abrir Documento")</f>
        <v>0</v>
      </c>
      <c r="D17012" t="s">
        <v>23500</v>
      </c>
      <c r="E17012" t="s">
        <v>39487</v>
      </c>
    </row>
    <row r="17013" spans="1:5">
      <c r="A17013" t="s">
        <v>6</v>
      </c>
      <c r="B17013" t="s">
        <v>17018</v>
      </c>
      <c r="C17013">
        <f>HYPERLINK("C:\Users\franc\OneDrive\Documentos\MALENTIN KARIME\BANCO ESTADO\2012 DEPTO ESCRITURAS fata\Dc Simples\RESPALDO comp notaria 27_12_12\NOTARIA 2012\ARRIENDOS\NELLY CHACANA CUELLO.doc", "Abrir Documento")</f>
        <v>0</v>
      </c>
      <c r="D17013" t="s">
        <v>23500</v>
      </c>
      <c r="E17013" t="s">
        <v>39488</v>
      </c>
    </row>
    <row r="17014" spans="1:5">
      <c r="A17014" t="s">
        <v>6</v>
      </c>
      <c r="B17014" t="s">
        <v>17019</v>
      </c>
      <c r="C17014">
        <f>HYPERLINK("C:\Users\franc\OneDrive\Documentos\MALENTIN KARIME\BANCO ESTADO\2012 DEPTO ESCRITURAS fata\Dc Simples\RESPALDO comp notaria 27_12_12\NOTARIA 2012\ARRIENDOS\MONICA ARAYA.doc", "Abrir Documento")</f>
        <v>0</v>
      </c>
      <c r="D17014" t="s">
        <v>23500</v>
      </c>
      <c r="E17014" t="s">
        <v>39489</v>
      </c>
    </row>
    <row r="17015" spans="1:5">
      <c r="A17015" t="s">
        <v>6</v>
      </c>
      <c r="B17015" t="s">
        <v>17020</v>
      </c>
      <c r="C17015">
        <f>HYPERLINK("C:\Users\franc\OneDrive\Documentos\MALENTIN KARIME\BANCO ESTADO\2012 DEPTO ESCRITURAS fata\Dc Simples\RESPALDO comp notaria 27_12_12\NOTARIA 2012\ARRIENDOS\MISAEL VALVIDIA.doc", "Abrir Documento")</f>
        <v>0</v>
      </c>
      <c r="D17015" t="s">
        <v>23500</v>
      </c>
      <c r="E17015" t="s">
        <v>39490</v>
      </c>
    </row>
    <row r="17016" spans="1:5">
      <c r="A17016" t="s">
        <v>6</v>
      </c>
      <c r="B17016" t="s">
        <v>17021</v>
      </c>
      <c r="C17016">
        <f>HYPERLINK("C:\Users\franc\OneDrive\Documentos\MALENTIN KARIME\BANCO ESTADO\2012 DEPTO ESCRITURAS fata\Dc Simples\RESPALDO comp notaria 27_12_12\NOTARIA 2012\ARRIENDOS\MIRTA CASTRO.doc", "Abrir Documento")</f>
        <v>0</v>
      </c>
      <c r="D17016" t="s">
        <v>23500</v>
      </c>
      <c r="E17016" t="s">
        <v>39491</v>
      </c>
    </row>
    <row r="17017" spans="1:5">
      <c r="A17017" t="s">
        <v>6</v>
      </c>
      <c r="B17017" t="s">
        <v>17022</v>
      </c>
      <c r="C17017">
        <f>HYPERLINK("C:\Users\franc\OneDrive\Documentos\MALENTIN KARIME\BANCO ESTADO\2012 DEPTO ESCRITURAS fata\Dc Simples\RESPALDO comp notaria 27_12_12\NOTARIA 2012\ARRIENDOS\MILLAN MUÑOZ.doc", "Abrir Documento")</f>
        <v>0</v>
      </c>
      <c r="D17017" t="s">
        <v>23500</v>
      </c>
      <c r="E17017" t="s">
        <v>39492</v>
      </c>
    </row>
    <row r="17018" spans="1:5">
      <c r="A17018" t="s">
        <v>6</v>
      </c>
      <c r="B17018" t="s">
        <v>17023</v>
      </c>
      <c r="C17018">
        <f>HYPERLINK("C:\Users\franc\OneDrive\Documentos\MALENTIN KARIME\BANCO ESTADO\2012 DEPTO ESCRITURAS fata\Dc Simples\RESPALDO comp notaria 27_12_12\NOTARIA 2012\ARRIENDOS\MILLAN MUÑOZ Y TULIO.doc", "Abrir Documento")</f>
        <v>0</v>
      </c>
      <c r="D17018" t="s">
        <v>23500</v>
      </c>
      <c r="E17018" t="s">
        <v>39493</v>
      </c>
    </row>
    <row r="17019" spans="1:5">
      <c r="A17019" t="s">
        <v>6</v>
      </c>
      <c r="B17019" t="s">
        <v>17024</v>
      </c>
      <c r="C17019">
        <f>HYPERLINK("C:\Users\franc\OneDrive\Documentos\MALENTIN KARIME\BANCO ESTADO\2012 DEPTO ESCRITURAS fata\Dc Simples\RESPALDO comp notaria 27_12_12\NOTARIA 2012\ARRIENDOS\MERCEDES CISTERNAS.doc", "Abrir Documento")</f>
        <v>0</v>
      </c>
      <c r="D17019" t="s">
        <v>23500</v>
      </c>
      <c r="E17019" t="s">
        <v>39494</v>
      </c>
    </row>
    <row r="17020" spans="1:5">
      <c r="A17020" t="s">
        <v>6</v>
      </c>
      <c r="B17020" t="s">
        <v>17025</v>
      </c>
      <c r="C17020">
        <f>HYPERLINK("C:\Users\franc\OneDrive\Documentos\MALENTIN KARIME\BANCO ESTADO\2012 DEPTO ESCRITURAS fata\Dc Simples\RESPALDO comp notaria 27_12_12\NOTARIA 2012\ARRIENDOS\MEDIERIA MODELO.doc", "Abrir Documento")</f>
        <v>0</v>
      </c>
      <c r="D17020" t="s">
        <v>23500</v>
      </c>
      <c r="E17020" t="s">
        <v>39495</v>
      </c>
    </row>
    <row r="17021" spans="1:5">
      <c r="A17021" t="s">
        <v>6</v>
      </c>
      <c r="B17021" t="s">
        <v>17026</v>
      </c>
      <c r="C17021">
        <f>HYPERLINK("C:\Users\franc\OneDrive\Documentos\MALENTIN KARIME\BANCO ESTADO\2012 DEPTO ESCRITURAS fata\Dc Simples\RESPALDO comp notaria 27_12_12\NOTARIA 2012\ARRIENDOS\MEDIERIA COMUNERO.doc", "Abrir Documento")</f>
        <v>0</v>
      </c>
      <c r="D17021" t="s">
        <v>23500</v>
      </c>
      <c r="E17021" t="s">
        <v>39496</v>
      </c>
    </row>
    <row r="17022" spans="1:5">
      <c r="A17022" t="s">
        <v>6</v>
      </c>
      <c r="B17022" t="s">
        <v>17027</v>
      </c>
      <c r="C17022">
        <f>HYPERLINK("C:\Users\franc\OneDrive\Documentos\MALENTIN KARIME\BANCO ESTADO\2012 DEPTO ESCRITURAS fata\Dc Simples\RESPALDO comp notaria 27_12_12\NOTARIA 2012\ARRIENDOS\MED.CARLOS BUGUEÑO.doc", "Abrir Documento")</f>
        <v>0</v>
      </c>
      <c r="D17022" t="s">
        <v>23500</v>
      </c>
      <c r="E17022" t="s">
        <v>39497</v>
      </c>
    </row>
    <row r="17023" spans="1:5">
      <c r="A17023" t="s">
        <v>6</v>
      </c>
      <c r="B17023" t="s">
        <v>17028</v>
      </c>
      <c r="C17023">
        <f>HYPERLINK("C:\Users\franc\OneDrive\Documentos\MALENTIN KARIME\BANCO ESTADO\2012 DEPTO ESCRITURAS fata\Dc Simples\RESPALDO comp notaria 27_12_12\NOTARIA 2012\ARRIENDOS\MED. RAUL ADONES.doc", "Abrir Documento")</f>
        <v>0</v>
      </c>
      <c r="D17023" t="s">
        <v>23500</v>
      </c>
      <c r="E17023" t="s">
        <v>39498</v>
      </c>
    </row>
    <row r="17024" spans="1:5">
      <c r="A17024" t="s">
        <v>6</v>
      </c>
      <c r="B17024" t="s">
        <v>17029</v>
      </c>
      <c r="C17024">
        <f>HYPERLINK("C:\Users\franc\OneDrive\Documentos\MALENTIN KARIME\BANCO ESTADO\2012 DEPTO ESCRITURAS fata\Dc Simples\RESPALDO comp notaria 27_12_12\NOTARIA 2012\ARRIENDOS\MED. JUAN MICHEA.doc", "Abrir Documento")</f>
        <v>0</v>
      </c>
      <c r="D17024" t="s">
        <v>23500</v>
      </c>
      <c r="E17024" t="s">
        <v>39499</v>
      </c>
    </row>
    <row r="17025" spans="1:5">
      <c r="A17025" t="s">
        <v>6</v>
      </c>
      <c r="B17025" t="s">
        <v>17030</v>
      </c>
      <c r="C17025">
        <f>HYPERLINK("C:\Users\franc\OneDrive\Documentos\MALENTIN KARIME\BANCO ESTADO\2012 DEPTO ESCRITURAS fata\Dc Simples\RESPALDO comp notaria 27_12_12\NOTARIA 2012\ARRIENDOS\MED. JOSE MARIN.doc", "Abrir Documento")</f>
        <v>0</v>
      </c>
      <c r="D17025" t="s">
        <v>23500</v>
      </c>
      <c r="E17025" t="s">
        <v>39500</v>
      </c>
    </row>
    <row r="17026" spans="1:5">
      <c r="A17026" t="s">
        <v>6</v>
      </c>
      <c r="B17026" t="s">
        <v>17031</v>
      </c>
      <c r="C17026">
        <f>HYPERLINK("C:\Users\franc\OneDrive\Documentos\MALENTIN KARIME\BANCO ESTADO\2012 DEPTO ESCRITURAS fata\Dc Simples\RESPALDO comp notaria 27_12_12\NOTARIA 2012\ARRIENDOS\MED. JOSE CORTES.doc", "Abrir Documento")</f>
        <v>0</v>
      </c>
      <c r="D17026" t="s">
        <v>23500</v>
      </c>
      <c r="E17026" t="s">
        <v>39501</v>
      </c>
    </row>
    <row r="17027" spans="1:5">
      <c r="A17027" t="s">
        <v>6</v>
      </c>
      <c r="B17027" t="s">
        <v>17032</v>
      </c>
      <c r="C17027">
        <f>HYPERLINK("C:\Users\franc\OneDrive\Documentos\MALENTIN KARIME\BANCO ESTADO\2012 DEPTO ESCRITURAS fata\Dc Simples\RESPALDO comp notaria 27_12_12\NOTARIA 2012\ARRIENDOS\MED. GUSTAVO GONZALEZ.doc", "Abrir Documento")</f>
        <v>0</v>
      </c>
      <c r="D17027" t="s">
        <v>23500</v>
      </c>
      <c r="E17027" t="s">
        <v>39502</v>
      </c>
    </row>
    <row r="17028" spans="1:5">
      <c r="A17028" t="s">
        <v>6</v>
      </c>
      <c r="B17028" t="s">
        <v>17033</v>
      </c>
      <c r="C17028">
        <f>HYPERLINK("C:\Users\franc\OneDrive\Documentos\MALENTIN KARIME\BANCO ESTADO\2012 DEPTO ESCRITURAS fata\Dc Simples\RESPALDO comp notaria 27_12_12\NOTARIA 2012\ARRIENDOS\MED. GUSTAVO GONZALEZ A DANILO CONTRERAS.doc", "Abrir Documento")</f>
        <v>0</v>
      </c>
      <c r="D17028" t="s">
        <v>23500</v>
      </c>
      <c r="E17028" t="s">
        <v>39503</v>
      </c>
    </row>
    <row r="17029" spans="1:5">
      <c r="A17029" t="s">
        <v>6</v>
      </c>
      <c r="B17029" t="s">
        <v>17034</v>
      </c>
      <c r="C17029">
        <f>HYPERLINK("C:\Users\franc\OneDrive\Documentos\MALENTIN KARIME\BANCO ESTADO\2012 DEPTO ESCRITURAS fata\Dc Simples\RESPALDO comp notaria 27_12_12\NOTARIA 2012\ARRIENDOS\MED. GUSTAVO CODOCEO.doc", "Abrir Documento")</f>
        <v>0</v>
      </c>
      <c r="D17029" t="s">
        <v>23500</v>
      </c>
      <c r="E17029" t="s">
        <v>39504</v>
      </c>
    </row>
    <row r="17030" spans="1:5">
      <c r="A17030" t="s">
        <v>6</v>
      </c>
      <c r="B17030" t="s">
        <v>17035</v>
      </c>
      <c r="C17030">
        <f>HYPERLINK("C:\Users\franc\OneDrive\Documentos\MALENTIN KARIME\BANCO ESTADO\2012 DEPTO ESCRITURAS fata\Dc Simples\RESPALDO comp notaria 27_12_12\NOTARIA 2012\ARRIENDOS\MED. FRUTINOR.doc", "Abrir Documento")</f>
        <v>0</v>
      </c>
      <c r="D17030" t="s">
        <v>23500</v>
      </c>
      <c r="E17030" t="s">
        <v>39505</v>
      </c>
    </row>
    <row r="17031" spans="1:5">
      <c r="A17031" t="s">
        <v>6</v>
      </c>
      <c r="B17031" t="s">
        <v>17036</v>
      </c>
      <c r="C17031">
        <f>HYPERLINK("C:\Users\franc\OneDrive\Documentos\MALENTIN KARIME\BANCO ESTADO\2012 DEPTO ESCRITURAS fata\Dc Simples\RESPALDO comp notaria 27_12_12\NOTARIA 2012\ARRIENDOS\MED. FELIPE ZEPEDA.doc", "Abrir Documento")</f>
        <v>0</v>
      </c>
      <c r="D17031" t="s">
        <v>23500</v>
      </c>
      <c r="E17031" t="s">
        <v>39506</v>
      </c>
    </row>
    <row r="17032" spans="1:5">
      <c r="A17032" t="s">
        <v>6</v>
      </c>
      <c r="B17032" t="s">
        <v>17037</v>
      </c>
      <c r="C17032">
        <f>HYPERLINK("C:\Users\franc\OneDrive\Documentos\MALENTIN KARIME\BANCO ESTADO\2012 DEPTO ESCRITURAS fata\Dc Simples\RESPALDO comp notaria 27_12_12\NOTARIA 2012\ARRIENDOS\MED. ESMERALDO Y JUAN VARELA.doc", "Abrir Documento")</f>
        <v>0</v>
      </c>
      <c r="D17032" t="s">
        <v>23500</v>
      </c>
      <c r="E17032" t="s">
        <v>39507</v>
      </c>
    </row>
    <row r="17033" spans="1:5">
      <c r="A17033" t="s">
        <v>6</v>
      </c>
      <c r="B17033" t="s">
        <v>17038</v>
      </c>
      <c r="C17033">
        <f>HYPERLINK("C:\Users\franc\OneDrive\Documentos\MALENTIN KARIME\BANCO ESTADO\2012 DEPTO ESCRITURAS fata\Dc Simples\RESPALDO comp notaria 27_12_12\NOTARIA 2012\ARRIENDOS\MED. ESMERALDO Y JAIME ROBLES.doc", "Abrir Documento")</f>
        <v>0</v>
      </c>
      <c r="D17033" t="s">
        <v>23500</v>
      </c>
      <c r="E17033" t="s">
        <v>39508</v>
      </c>
    </row>
    <row r="17034" spans="1:5">
      <c r="A17034" t="s">
        <v>6</v>
      </c>
      <c r="B17034" t="s">
        <v>17039</v>
      </c>
      <c r="C17034">
        <f>HYPERLINK("C:\Users\franc\OneDrive\Documentos\MALENTIN KARIME\BANCO ESTADO\2012 DEPTO ESCRITURAS fata\Dc Simples\RESPALDO comp notaria 27_12_12\NOTARIA 2012\ARRIENDOS\MED. ESMERALDO Y HERNAN VARELA.doc", "Abrir Documento")</f>
        <v>0</v>
      </c>
      <c r="D17034" t="s">
        <v>23500</v>
      </c>
      <c r="E17034" t="s">
        <v>39509</v>
      </c>
    </row>
    <row r="17035" spans="1:5">
      <c r="A17035" t="s">
        <v>6</v>
      </c>
      <c r="B17035" t="s">
        <v>17040</v>
      </c>
      <c r="C17035">
        <f>HYPERLINK("C:\Users\franc\OneDrive\Documentos\MALENTIN KARIME\BANCO ESTADO\2012 DEPTO ESCRITURAS fata\Dc Simples\RESPALDO comp notaria 27_12_12\NOTARIA 2012\ARRIENDOS\MED. ESMERALDO Y FREDDY CORTES.doc", "Abrir Documento")</f>
        <v>0</v>
      </c>
      <c r="D17035" t="s">
        <v>23500</v>
      </c>
      <c r="E17035" t="s">
        <v>39510</v>
      </c>
    </row>
    <row r="17036" spans="1:5">
      <c r="A17036" t="s">
        <v>6</v>
      </c>
      <c r="B17036" t="s">
        <v>17041</v>
      </c>
      <c r="C17036">
        <f>HYPERLINK("C:\Users\franc\OneDrive\Documentos\MALENTIN KARIME\BANCO ESTADO\2012 DEPTO ESCRITURAS fata\Dc Simples\RESPALDO comp notaria 27_12_12\NOTARIA 2012\ARRIENDOS\MARTA ELENA GODOY.doc", "Abrir Documento")</f>
        <v>0</v>
      </c>
      <c r="D17036" t="s">
        <v>23500</v>
      </c>
      <c r="E17036" t="s">
        <v>39511</v>
      </c>
    </row>
    <row r="17037" spans="1:5">
      <c r="A17037" t="s">
        <v>6</v>
      </c>
      <c r="B17037" t="s">
        <v>17042</v>
      </c>
      <c r="C17037">
        <f>HYPERLINK("C:\Users\franc\OneDrive\Documentos\MALENTIN KARIME\BANCO ESTADO\2012 DEPTO ESCRITURAS fata\Dc Simples\RESPALDO comp notaria 27_12_12\NOTARIA 2012\ARRIENDOS\MARIO CORTES URQUIETA.doc", "Abrir Documento")</f>
        <v>0</v>
      </c>
      <c r="D17037" t="s">
        <v>23500</v>
      </c>
      <c r="E17037" t="s">
        <v>39512</v>
      </c>
    </row>
    <row r="17038" spans="1:5">
      <c r="A17038" t="s">
        <v>6</v>
      </c>
      <c r="B17038" t="s">
        <v>17043</v>
      </c>
      <c r="C17038">
        <f>HYPERLINK("C:\Users\franc\OneDrive\Documentos\MALENTIN KARIME\BANCO ESTADO\2012 DEPTO ESCRITURAS fata\Dc Simples\RESPALDO comp notaria 27_12_12\NOTARIA 2012\ARRIENDOS\MARIO ARAYA Y VICTOR PASTEN.doc", "Abrir Documento")</f>
        <v>0</v>
      </c>
      <c r="D17038" t="s">
        <v>23500</v>
      </c>
      <c r="E17038" t="s">
        <v>39513</v>
      </c>
    </row>
    <row r="17039" spans="1:5">
      <c r="A17039" t="s">
        <v>6</v>
      </c>
      <c r="B17039" t="s">
        <v>17044</v>
      </c>
      <c r="C17039">
        <f>HYPERLINK("C:\Users\franc\OneDrive\Documentos\MALENTIN KARIME\BANCO ESTADO\2012 DEPTO ESCRITURAS fata\Dc Simples\RESPALDO comp notaria 27_12_12\NOTARIA 2012\ARRIENDOS\MARIO ARANCIBIA.doc", "Abrir Documento")</f>
        <v>0</v>
      </c>
      <c r="D17039" t="s">
        <v>23500</v>
      </c>
      <c r="E17039" t="s">
        <v>39514</v>
      </c>
    </row>
    <row r="17040" spans="1:5">
      <c r="A17040" t="s">
        <v>6</v>
      </c>
      <c r="B17040" t="s">
        <v>17045</v>
      </c>
      <c r="C17040">
        <f>HYPERLINK("C:\Users\franc\OneDrive\Documentos\MALENTIN KARIME\BANCO ESTADO\2012 DEPTO ESCRITURAS fata\Dc Simples\RESPALDO comp notaria 27_12_12\NOTARIA 2012\ARRIENDOS\MARIO ALFARO.doc", "Abrir Documento")</f>
        <v>0</v>
      </c>
      <c r="D17040" t="s">
        <v>23500</v>
      </c>
      <c r="E17040" t="s">
        <v>39515</v>
      </c>
    </row>
    <row r="17041" spans="1:5">
      <c r="A17041" t="s">
        <v>6</v>
      </c>
      <c r="B17041" t="s">
        <v>17046</v>
      </c>
      <c r="C17041">
        <f>HYPERLINK("C:\Users\franc\OneDrive\Documentos\MALENTIN KARIME\BANCO ESTADO\2012 DEPTO ESCRITURAS fata\Dc Simples\RESPALDO comp notaria 27_12_12\NOTARIA 2012\ARRIENDOS\MARIANO PEREZ ULLOA la tira larga.doc", "Abrir Documento")</f>
        <v>0</v>
      </c>
      <c r="D17041" t="s">
        <v>23500</v>
      </c>
      <c r="E17041" t="s">
        <v>39516</v>
      </c>
    </row>
    <row r="17042" spans="1:5">
      <c r="A17042" t="s">
        <v>6</v>
      </c>
      <c r="B17042" t="s">
        <v>17047</v>
      </c>
      <c r="C17042">
        <f>HYPERLINK("C:\Users\franc\OneDrive\Documentos\MALENTIN KARIME\BANCO ESTADO\2012 DEPTO ESCRITURAS fata\Dc Simples\RESPALDO comp notaria 27_12_12\NOTARIA 2012\ARRIENDOS\MARIANO PEREZ ULLOA la casa.doc", "Abrir Documento")</f>
        <v>0</v>
      </c>
      <c r="D17042" t="s">
        <v>23500</v>
      </c>
      <c r="E17042" t="s">
        <v>39517</v>
      </c>
    </row>
    <row r="17043" spans="1:5">
      <c r="A17043" t="s">
        <v>6</v>
      </c>
      <c r="B17043" t="s">
        <v>17048</v>
      </c>
      <c r="C17043">
        <f>HYPERLINK("C:\Users\franc\OneDrive\Documentos\MALENTIN KARIME\BANCO ESTADO\2012 DEPTO ESCRITURAS fata\Dc Simples\RESPALDO comp notaria 27_12_12\NOTARIA 2012\ARRIENDOS\MARIA VERGARA.doc", "Abrir Documento")</f>
        <v>0</v>
      </c>
      <c r="D17043" t="s">
        <v>23500</v>
      </c>
      <c r="E17043" t="s">
        <v>39518</v>
      </c>
    </row>
    <row r="17044" spans="1:5">
      <c r="A17044" t="s">
        <v>6</v>
      </c>
      <c r="B17044" t="s">
        <v>17049</v>
      </c>
      <c r="C17044">
        <f>HYPERLINK("C:\Users\franc\OneDrive\Documentos\MALENTIN KARIME\BANCO ESTADO\2012 DEPTO ESCRITURAS fata\Dc Simples\RESPALDO comp notaria 27_12_12\NOTARIA 2012\ARRIENDOS\MARIA VALDIVIA.doc", "Abrir Documento")</f>
        <v>0</v>
      </c>
      <c r="D17044" t="s">
        <v>23500</v>
      </c>
      <c r="E17044" t="s">
        <v>39519</v>
      </c>
    </row>
    <row r="17045" spans="1:5">
      <c r="A17045" t="s">
        <v>6</v>
      </c>
      <c r="B17045" t="s">
        <v>17050</v>
      </c>
      <c r="C17045">
        <f>HYPERLINK("C:\Users\franc\OneDrive\Documentos\MALENTIN KARIME\BANCO ESTADO\2012 DEPTO ESCRITURAS fata\Dc Simples\RESPALDO comp notaria 27_12_12\NOTARIA 2012\ARRIENDOS\MARIA MUJICA.doc", "Abrir Documento")</f>
        <v>0</v>
      </c>
      <c r="D17045" t="s">
        <v>23500</v>
      </c>
      <c r="E17045" t="s">
        <v>39520</v>
      </c>
    </row>
    <row r="17046" spans="1:5">
      <c r="A17046" t="s">
        <v>6</v>
      </c>
      <c r="B17046" t="s">
        <v>17051</v>
      </c>
      <c r="C17046">
        <f>HYPERLINK("C:\Users\franc\OneDrive\Documentos\MALENTIN KARIME\BANCO ESTADO\2012 DEPTO ESCRITURAS fata\Dc Simples\RESPALDO comp notaria 27_12_12\NOTARIA 2012\ARRIENDOS\MARIA GARCIA A MARCOS.doc", "Abrir Documento")</f>
        <v>0</v>
      </c>
      <c r="D17046" t="s">
        <v>23500</v>
      </c>
      <c r="E17046" t="s">
        <v>39521</v>
      </c>
    </row>
    <row r="17047" spans="1:5">
      <c r="A17047" t="s">
        <v>6</v>
      </c>
      <c r="B17047" t="s">
        <v>17052</v>
      </c>
      <c r="C17047">
        <f>HYPERLINK("C:\Users\franc\OneDrive\Documentos\MALENTIN KARIME\BANCO ESTADO\2012 DEPTO ESCRITURAS fata\Dc Simples\RESPALDO comp notaria 27_12_12\NOTARIA 2012\ARRIENDOS\MARIA GARCIA A JACINTO.doc", "Abrir Documento")</f>
        <v>0</v>
      </c>
      <c r="D17047" t="s">
        <v>23500</v>
      </c>
      <c r="E17047" t="s">
        <v>39522</v>
      </c>
    </row>
    <row r="17048" spans="1:5">
      <c r="A17048" t="s">
        <v>6</v>
      </c>
      <c r="B17048" t="s">
        <v>17053</v>
      </c>
      <c r="C17048">
        <f>HYPERLINK("C:\Users\franc\OneDrive\Documentos\MALENTIN KARIME\BANCO ESTADO\2012 DEPTO ESCRITURAS fata\Dc Simples\RESPALDO comp notaria 27_12_12\NOTARIA 2012\ARRIENDOS\MARIA GARCIA A ARIEL GARCIA.doc", "Abrir Documento")</f>
        <v>0</v>
      </c>
      <c r="D17048" t="s">
        <v>23500</v>
      </c>
      <c r="E17048" t="s">
        <v>39523</v>
      </c>
    </row>
    <row r="17049" spans="1:5">
      <c r="A17049" t="s">
        <v>6</v>
      </c>
      <c r="B17049" t="s">
        <v>17054</v>
      </c>
      <c r="C17049">
        <f>HYPERLINK("C:\Users\franc\OneDrive\Documentos\MALENTIN KARIME\BANCO ESTADO\2012 DEPTO ESCRITURAS fata\Dc Simples\RESPALDO comp notaria 27_12_12\NOTARIA 2012\ARRIENDOS\MARIA CORTES GUERRERO.doc", "Abrir Documento")</f>
        <v>0</v>
      </c>
      <c r="D17049" t="s">
        <v>23500</v>
      </c>
      <c r="E17049" t="s">
        <v>39524</v>
      </c>
    </row>
    <row r="17050" spans="1:5">
      <c r="A17050" t="s">
        <v>6</v>
      </c>
      <c r="B17050" t="s">
        <v>17055</v>
      </c>
      <c r="C17050">
        <f>HYPERLINK("C:\Users\franc\OneDrive\Documentos\MALENTIN KARIME\BANCO ESTADO\2012 DEPTO ESCRITURAS fata\Dc Simples\RESPALDO comp notaria 27_12_12\NOTARIA 2012\ARRIENDOS\MARIA ARAYA Y OTRO.doc", "Abrir Documento")</f>
        <v>0</v>
      </c>
      <c r="D17050" t="s">
        <v>23500</v>
      </c>
      <c r="E17050" t="s">
        <v>39525</v>
      </c>
    </row>
    <row r="17051" spans="1:5">
      <c r="A17051" t="s">
        <v>6</v>
      </c>
      <c r="B17051" t="s">
        <v>17056</v>
      </c>
      <c r="C17051">
        <f>HYPERLINK("C:\Users\franc\OneDrive\Documentos\MALENTIN KARIME\BANCO ESTADO\2012 DEPTO ESCRITURAS fata\Dc Simples\RESPALDO comp notaria 27_12_12\NOTARIA 2012\ARRIENDOS\MARGARITA TORREJON.doc", "Abrir Documento")</f>
        <v>0</v>
      </c>
      <c r="D17051" t="s">
        <v>23500</v>
      </c>
      <c r="E17051" t="s">
        <v>39526</v>
      </c>
    </row>
    <row r="17052" spans="1:5">
      <c r="A17052" t="s">
        <v>6</v>
      </c>
      <c r="B17052" t="s">
        <v>17057</v>
      </c>
      <c r="C17052">
        <f>HYPERLINK("C:\Users\franc\OneDrive\Documentos\MALENTIN KARIME\BANCO ESTADO\2012 DEPTO ESCRITURAS fata\Dc Simples\RESPALDO comp notaria 27_12_12\NOTARIA 2012\ARRIENDOS\MARCIA ROJAS DIAZ.doc", "Abrir Documento")</f>
        <v>0</v>
      </c>
      <c r="D17052" t="s">
        <v>23500</v>
      </c>
      <c r="E17052" t="s">
        <v>39527</v>
      </c>
    </row>
    <row r="17053" spans="1:5">
      <c r="A17053" t="s">
        <v>6</v>
      </c>
      <c r="B17053" t="s">
        <v>17058</v>
      </c>
      <c r="C17053">
        <f>HYPERLINK("C:\Users\franc\OneDrive\Documentos\MALENTIN KARIME\BANCO ESTADO\2012 DEPTO ESCRITURAS fata\Dc Simples\RESPALDO comp notaria 27_12_12\NOTARIA 2012\ARRIENDOS\MANUEL TAIBA.doc", "Abrir Documento")</f>
        <v>0</v>
      </c>
      <c r="D17053" t="s">
        <v>23500</v>
      </c>
      <c r="E17053" t="s">
        <v>39528</v>
      </c>
    </row>
    <row r="17054" spans="1:5">
      <c r="A17054" t="s">
        <v>6</v>
      </c>
      <c r="B17054" t="s">
        <v>17059</v>
      </c>
      <c r="C17054">
        <f>HYPERLINK("C:\Users\franc\OneDrive\Documentos\MALENTIN KARIME\BANCO ESTADO\2012 DEPTO ESCRITURAS fata\Dc Simples\RESPALDO comp notaria 27_12_12\NOTARIA 2012\ARRIENDOS\MANUEL ROJAS.doc", "Abrir Documento")</f>
        <v>0</v>
      </c>
      <c r="D17054" t="s">
        <v>23500</v>
      </c>
      <c r="E17054" t="s">
        <v>39529</v>
      </c>
    </row>
    <row r="17055" spans="1:5">
      <c r="A17055" t="s">
        <v>6</v>
      </c>
      <c r="B17055" t="s">
        <v>17060</v>
      </c>
      <c r="C17055">
        <f>HYPERLINK("C:\Users\franc\OneDrive\Documentos\MALENTIN KARIME\BANCO ESTADO\2012 DEPTO ESCRITURAS fata\Dc Simples\RESPALDO comp notaria 27_12_12\NOTARIA 2012\ARRIENDOS\MANUEL MUÑOZ p.p EDUVINO MUÑOZ.doc", "Abrir Documento")</f>
        <v>0</v>
      </c>
      <c r="D17055" t="s">
        <v>23500</v>
      </c>
      <c r="E17055" t="s">
        <v>39530</v>
      </c>
    </row>
    <row r="17056" spans="1:5">
      <c r="A17056" t="s">
        <v>6</v>
      </c>
      <c r="B17056" t="s">
        <v>17061</v>
      </c>
      <c r="C17056">
        <f>HYPERLINK("C:\Users\franc\OneDrive\Documentos\MALENTIN KARIME\BANCO ESTADO\2012 DEPTO ESCRITURAS fata\Dc Simples\RESPALDO comp notaria 27_12_12\NOTARIA 2012\ARRIENDOS\MANUEL JOPIA Y VIDAL GAHONA.doc", "Abrir Documento")</f>
        <v>0</v>
      </c>
      <c r="D17056" t="s">
        <v>23500</v>
      </c>
      <c r="E17056" t="s">
        <v>39531</v>
      </c>
    </row>
    <row r="17057" spans="1:5">
      <c r="A17057" t="s">
        <v>6</v>
      </c>
      <c r="B17057" t="s">
        <v>17062</v>
      </c>
      <c r="C17057">
        <f>HYPERLINK("C:\Users\franc\OneDrive\Documentos\MALENTIN KARIME\BANCO ESTADO\2012 DEPTO ESCRITURAS fata\Dc Simples\RESPALDO comp notaria 27_12_12\NOTARIA 2012\ARRIENDOS\MANUEL GAHONA LEON.doc", "Abrir Documento")</f>
        <v>0</v>
      </c>
      <c r="D17057" t="s">
        <v>23500</v>
      </c>
      <c r="E17057" t="s">
        <v>39532</v>
      </c>
    </row>
    <row r="17058" spans="1:5">
      <c r="A17058" t="s">
        <v>6</v>
      </c>
      <c r="B17058" t="s">
        <v>17063</v>
      </c>
      <c r="C17058">
        <f>HYPERLINK("C:\Users\franc\OneDrive\Documentos\MALENTIN KARIME\BANCO ESTADO\2012 DEPTO ESCRITURAS fata\Dc Simples\RESPALDO comp notaria 27_12_12\NOTARIA 2012\ARRIENDOS\LUZ VEGA.doc", "Abrir Documento")</f>
        <v>0</v>
      </c>
      <c r="D17058" t="s">
        <v>23500</v>
      </c>
      <c r="E17058" t="s">
        <v>39533</v>
      </c>
    </row>
    <row r="17059" spans="1:5">
      <c r="A17059" t="s">
        <v>6</v>
      </c>
      <c r="B17059" t="s">
        <v>17064</v>
      </c>
      <c r="C17059">
        <f>HYPERLINK("C:\Users\franc\OneDrive\Documentos\MALENTIN KARIME\BANCO ESTADO\2012 DEPTO ESCRITURAS fata\Dc Simples\RESPALDO comp notaria 27_12_12\NOTARIA 2012\ARRIENDOS\LUISA HONORES RAMIREZ.doc", "Abrir Documento")</f>
        <v>0</v>
      </c>
      <c r="D17059" t="s">
        <v>23500</v>
      </c>
      <c r="E17059" t="s">
        <v>39534</v>
      </c>
    </row>
    <row r="17060" spans="1:5">
      <c r="A17060" t="s">
        <v>6</v>
      </c>
      <c r="B17060" t="s">
        <v>17065</v>
      </c>
      <c r="C17060">
        <f>HYPERLINK("C:\Users\franc\OneDrive\Documentos\MALENTIN KARIME\BANCO ESTADO\2012 DEPTO ESCRITURAS fata\Dc Simples\RESPALDO comp notaria 27_12_12\NOTARIA 2012\ARRIENDOS\LUIS Y JUAN PIZARRO.doc", "Abrir Documento")</f>
        <v>0</v>
      </c>
      <c r="D17060" t="s">
        <v>23500</v>
      </c>
      <c r="E17060" t="s">
        <v>39535</v>
      </c>
    </row>
    <row r="17061" spans="1:5">
      <c r="A17061" t="s">
        <v>6</v>
      </c>
      <c r="B17061" t="s">
        <v>17066</v>
      </c>
      <c r="C17061">
        <f>HYPERLINK("C:\Users\franc\OneDrive\Documentos\MALENTIN KARIME\BANCO ESTADO\2012 DEPTO ESCRITURAS fata\Dc Simples\RESPALDO comp notaria 27_12_12\NOTARIA 2012\ARRIENDOS\LUIS MORA a Roberto.doc", "Abrir Documento")</f>
        <v>0</v>
      </c>
      <c r="D17061" t="s">
        <v>23500</v>
      </c>
      <c r="E17061" t="s">
        <v>39536</v>
      </c>
    </row>
    <row r="17062" spans="1:5">
      <c r="A17062" t="s">
        <v>6</v>
      </c>
      <c r="B17062" t="s">
        <v>17067</v>
      </c>
      <c r="C17062">
        <f>HYPERLINK("C:\Users\franc\OneDrive\Documentos\MALENTIN KARIME\BANCO ESTADO\2012 DEPTO ESCRITURAS fata\Dc Simples\RESPALDO comp notaria 27_12_12\NOTARIA 2012\ARRIENDOS\LUIS MORA a Nibaldo.doc", "Abrir Documento")</f>
        <v>0</v>
      </c>
      <c r="D17062" t="s">
        <v>23500</v>
      </c>
      <c r="E17062" t="s">
        <v>39537</v>
      </c>
    </row>
    <row r="17063" spans="1:5">
      <c r="A17063" t="s">
        <v>6</v>
      </c>
      <c r="B17063" t="s">
        <v>17068</v>
      </c>
      <c r="C17063">
        <f>HYPERLINK("C:\Users\franc\OneDrive\Documentos\MALENTIN KARIME\BANCO ESTADO\2012 DEPTO ESCRITURAS fata\Dc Simples\RESPALDO comp notaria 27_12_12\NOTARIA 2012\ARRIENDOS\LUIS MORA a Manuel Mora.doc", "Abrir Documento")</f>
        <v>0</v>
      </c>
      <c r="D17063" t="s">
        <v>23500</v>
      </c>
      <c r="E17063" t="s">
        <v>39538</v>
      </c>
    </row>
    <row r="17064" spans="1:5">
      <c r="A17064" t="s">
        <v>6</v>
      </c>
      <c r="B17064" t="s">
        <v>17069</v>
      </c>
      <c r="C17064">
        <f>HYPERLINK("C:\Users\franc\OneDrive\Documentos\MALENTIN KARIME\BANCO ESTADO\2012 DEPTO ESCRITURAS fata\Dc Simples\RESPALDO comp notaria 27_12_12\NOTARIA 2012\ARRIENDOS\LUIS MORA a John.doc", "Abrir Documento")</f>
        <v>0</v>
      </c>
      <c r="D17064" t="s">
        <v>23500</v>
      </c>
      <c r="E17064" t="s">
        <v>39539</v>
      </c>
    </row>
    <row r="17065" spans="1:5">
      <c r="A17065" t="s">
        <v>6</v>
      </c>
      <c r="B17065" t="s">
        <v>17070</v>
      </c>
      <c r="C17065">
        <f>HYPERLINK("C:\Users\franc\OneDrive\Documentos\MALENTIN KARIME\BANCO ESTADO\2012 DEPTO ESCRITURAS fata\Dc Simples\RESPALDO comp notaria 27_12_12\NOTARIA 2012\ARRIENDOS\LUIS MORA a Elena.doc", "Abrir Documento")</f>
        <v>0</v>
      </c>
      <c r="D17065" t="s">
        <v>23500</v>
      </c>
      <c r="E17065" t="s">
        <v>39540</v>
      </c>
    </row>
    <row r="17066" spans="1:5">
      <c r="A17066" t="s">
        <v>6</v>
      </c>
      <c r="B17066" t="s">
        <v>17071</v>
      </c>
      <c r="C17066">
        <f>HYPERLINK("C:\Users\franc\OneDrive\Documentos\MALENTIN KARIME\BANCO ESTADO\2012 DEPTO ESCRITURAS fata\Dc Simples\RESPALDO comp notaria 27_12_12\NOTARIA 2012\ARRIENDOS\LUIS HUMBERTO ANGEL ANGEL.doc", "Abrir Documento")</f>
        <v>0</v>
      </c>
      <c r="D17066" t="s">
        <v>23500</v>
      </c>
      <c r="E17066" t="s">
        <v>39541</v>
      </c>
    </row>
    <row r="17067" spans="1:5">
      <c r="A17067" t="s">
        <v>6</v>
      </c>
      <c r="B17067" t="s">
        <v>17072</v>
      </c>
      <c r="C17067">
        <f>HYPERLINK("C:\Users\franc\OneDrive\Documentos\MALENTIN KARIME\BANCO ESTADO\2012 DEPTO ESCRITURAS fata\Dc Simples\RESPALDO comp notaria 27_12_12\NOTARIA 2012\ARRIENDOS\LUIS EMETERIO BUGUEÑO.doc", "Abrir Documento")</f>
        <v>0</v>
      </c>
      <c r="D17067" t="s">
        <v>23500</v>
      </c>
      <c r="E17067" t="s">
        <v>39542</v>
      </c>
    </row>
    <row r="17068" spans="1:5">
      <c r="A17068" t="s">
        <v>6</v>
      </c>
      <c r="B17068" t="s">
        <v>17073</v>
      </c>
      <c r="C17068">
        <f>HYPERLINK("C:\Users\franc\OneDrive\Documentos\MALENTIN KARIME\BANCO ESTADO\2012 DEPTO ESCRITURAS fata\Dc Simples\RESPALDO comp notaria 27_12_12\NOTARIA 2012\ARRIENDOS\LUIS EMETERIO BUGUEÑO a Miguel Bernal.doc", "Abrir Documento")</f>
        <v>0</v>
      </c>
      <c r="D17068" t="s">
        <v>23500</v>
      </c>
      <c r="E17068" t="s">
        <v>39543</v>
      </c>
    </row>
    <row r="17069" spans="1:5">
      <c r="A17069" t="s">
        <v>6</v>
      </c>
      <c r="B17069" t="s">
        <v>17074</v>
      </c>
      <c r="C17069">
        <f>HYPERLINK("C:\Users\franc\OneDrive\Documentos\MALENTIN KARIME\BANCO ESTADO\2012 DEPTO ESCRITURAS fata\Dc Simples\RESPALDO comp notaria 27_12_12\NOTARIA 2012\ARRIENDOS\LUIS DARIO GONZALEZ.doc", "Abrir Documento")</f>
        <v>0</v>
      </c>
      <c r="D17069" t="s">
        <v>23500</v>
      </c>
      <c r="E17069" t="s">
        <v>39544</v>
      </c>
    </row>
    <row r="17070" spans="1:5">
      <c r="A17070" t="s">
        <v>6</v>
      </c>
      <c r="B17070" t="s">
        <v>17075</v>
      </c>
      <c r="C17070">
        <f>HYPERLINK("C:\Users\franc\OneDrive\Documentos\MALENTIN KARIME\BANCO ESTADO\2012 DEPTO ESCRITURAS fata\Dc Simples\RESPALDO comp notaria 27_12_12\NOTARIA 2012\ARRIENDOS\LUIS DARIO GONZALEZ a NEEL.doc", "Abrir Documento")</f>
        <v>0</v>
      </c>
      <c r="D17070" t="s">
        <v>23500</v>
      </c>
      <c r="E17070" t="s">
        <v>39545</v>
      </c>
    </row>
    <row r="17071" spans="1:5">
      <c r="A17071" t="s">
        <v>6</v>
      </c>
      <c r="B17071" t="s">
        <v>17076</v>
      </c>
      <c r="C17071">
        <f>HYPERLINK("C:\Users\franc\OneDrive\Documentos\MALENTIN KARIME\BANCO ESTADO\2012 DEPTO ESCRITURAS fata\Dc Simples\RESPALDO comp notaria 27_12_12\NOTARIA 2012\ARRIENDOS\LUIS CORTES PASTEN.doc", "Abrir Documento")</f>
        <v>0</v>
      </c>
      <c r="D17071" t="s">
        <v>23500</v>
      </c>
      <c r="E17071" t="s">
        <v>39546</v>
      </c>
    </row>
    <row r="17072" spans="1:5">
      <c r="A17072" t="s">
        <v>6</v>
      </c>
      <c r="B17072" t="s">
        <v>17077</v>
      </c>
      <c r="C17072">
        <f>HYPERLINK("C:\Users\franc\OneDrive\Documentos\MALENTIN KARIME\BANCO ESTADO\2012 DEPTO ESCRITURAS fata\Dc Simples\RESPALDO comp notaria 27_12_12\NOTARIA 2012\ARRIENDOS\LUIS CISTEERNAS.doc", "Abrir Documento")</f>
        <v>0</v>
      </c>
      <c r="D17072" t="s">
        <v>23500</v>
      </c>
      <c r="E17072" t="s">
        <v>39547</v>
      </c>
    </row>
    <row r="17073" spans="1:5">
      <c r="A17073" t="s">
        <v>6</v>
      </c>
      <c r="B17073" t="s">
        <v>17078</v>
      </c>
      <c r="C17073">
        <f>HYPERLINK("C:\Users\franc\OneDrive\Documentos\MALENTIN KARIME\BANCO ESTADO\2012 DEPTO ESCRITURAS fata\Dc Simples\RESPALDO comp notaria 27_12_12\NOTARIA 2012\ARRIENDOS\LUIS ALARCON.doc", "Abrir Documento")</f>
        <v>0</v>
      </c>
      <c r="D17073" t="s">
        <v>23500</v>
      </c>
      <c r="E17073" t="s">
        <v>39548</v>
      </c>
    </row>
    <row r="17074" spans="1:5">
      <c r="A17074" t="s">
        <v>6</v>
      </c>
      <c r="B17074" t="s">
        <v>17079</v>
      </c>
      <c r="C17074">
        <f>HYPERLINK("C:\Users\franc\OneDrive\Documentos\MALENTIN KARIME\BANCO ESTADO\2012 DEPTO ESCRITURAS fata\Dc Simples\RESPALDO comp notaria 27_12_12\NOTARIA 2012\ARRIENDOS\LUCY CORTES.doc", "Abrir Documento")</f>
        <v>0</v>
      </c>
      <c r="D17074" t="s">
        <v>23500</v>
      </c>
      <c r="E17074" t="s">
        <v>39549</v>
      </c>
    </row>
    <row r="17075" spans="1:5">
      <c r="A17075" t="s">
        <v>6</v>
      </c>
      <c r="B17075" t="s">
        <v>17080</v>
      </c>
      <c r="C17075">
        <f>HYPERLINK("C:\Users\franc\OneDrive\Documentos\MALENTIN KARIME\BANCO ESTADO\2012 DEPTO ESCRITURAS fata\Dc Simples\RESPALDO comp notaria 27_12_12\NOTARIA 2012\ARRIENDOS\LUCY ARAYA.doc", "Abrir Documento")</f>
        <v>0</v>
      </c>
      <c r="D17075" t="s">
        <v>23500</v>
      </c>
      <c r="E17075" t="s">
        <v>39550</v>
      </c>
    </row>
    <row r="17076" spans="1:5">
      <c r="A17076" t="s">
        <v>6</v>
      </c>
      <c r="B17076" t="s">
        <v>17081</v>
      </c>
      <c r="C17076">
        <f>HYPERLINK("C:\Users\franc\OneDrive\Documentos\MALENTIN KARIME\BANCO ESTADO\2012 DEPTO ESCRITURAS fata\Dc Simples\RESPALDO comp notaria 27_12_12\NOTARIA 2012\ARRIENDOS\LUCILA TELLO.doc", "Abrir Documento")</f>
        <v>0</v>
      </c>
      <c r="D17076" t="s">
        <v>23500</v>
      </c>
      <c r="E17076" t="s">
        <v>39551</v>
      </c>
    </row>
    <row r="17077" spans="1:5">
      <c r="A17077" t="s">
        <v>6</v>
      </c>
      <c r="B17077" t="s">
        <v>17082</v>
      </c>
      <c r="C17077">
        <f>HYPERLINK("C:\Users\franc\OneDrive\Documentos\MALENTIN KARIME\BANCO ESTADO\2012 DEPTO ESCRITURAS fata\Dc Simples\RESPALDO comp notaria 27_12_12\NOTARIA 2012\ARRIENDOS\LUCIA HONORES.doc", "Abrir Documento")</f>
        <v>0</v>
      </c>
      <c r="D17077" t="s">
        <v>23500</v>
      </c>
      <c r="E17077" t="s">
        <v>39552</v>
      </c>
    </row>
    <row r="17078" spans="1:5">
      <c r="A17078" t="s">
        <v>6</v>
      </c>
      <c r="B17078" t="s">
        <v>17083</v>
      </c>
      <c r="C17078">
        <f>HYPERLINK("C:\Users\franc\OneDrive\Documentos\MALENTIN KARIME\BANCO ESTADO\2012 DEPTO ESCRITURAS fata\Dc Simples\RESPALDO comp notaria 27_12_12\NOTARIA 2012\ARRIENDOS\LORENZO SEGUNDO AROS.doc", "Abrir Documento")</f>
        <v>0</v>
      </c>
      <c r="D17078" t="s">
        <v>23500</v>
      </c>
      <c r="E17078" t="s">
        <v>39553</v>
      </c>
    </row>
    <row r="17079" spans="1:5">
      <c r="A17079" t="s">
        <v>6</v>
      </c>
      <c r="B17079" t="s">
        <v>17084</v>
      </c>
      <c r="C17079">
        <f>HYPERLINK("C:\Users\franc\OneDrive\Documentos\MALENTIN KARIME\BANCO ESTADO\2012 DEPTO ESCRITURAS fata\Dc Simples\RESPALDO comp notaria 27_12_12\NOTARIA 2012\ARRIENDOS\LORENZO CORTES.doc", "Abrir Documento")</f>
        <v>0</v>
      </c>
      <c r="D17079" t="s">
        <v>23500</v>
      </c>
      <c r="E17079" t="s">
        <v>39554</v>
      </c>
    </row>
    <row r="17080" spans="1:5">
      <c r="A17080" t="s">
        <v>6</v>
      </c>
      <c r="B17080" t="s">
        <v>17085</v>
      </c>
      <c r="C17080">
        <f>HYPERLINK("C:\Users\franc\OneDrive\Documentos\MALENTIN KARIME\BANCO ESTADO\2012 DEPTO ESCRITURAS fata\Dc Simples\RESPALDO comp notaria 27_12_12\NOTARIA 2012\ARRIENDOS\LORENZO ALFARO DIAZ.doc", "Abrir Documento")</f>
        <v>0</v>
      </c>
      <c r="D17080" t="s">
        <v>23500</v>
      </c>
      <c r="E17080" t="s">
        <v>39555</v>
      </c>
    </row>
    <row r="17081" spans="1:5">
      <c r="A17081" t="s">
        <v>6</v>
      </c>
      <c r="B17081" t="s">
        <v>17086</v>
      </c>
      <c r="C17081">
        <f>HYPERLINK("C:\Users\franc\OneDrive\Documentos\MALENTIN KARIME\BANCO ESTADO\2012 DEPTO ESCRITURAS fata\Dc Simples\RESPALDO comp notaria 27_12_12\NOTARIA 2012\ARRIENDOS\LIDIA CASTILLO CASTAÑEDA.doc", "Abrir Documento")</f>
        <v>0</v>
      </c>
      <c r="D17081" t="s">
        <v>23500</v>
      </c>
      <c r="E17081" t="s">
        <v>39556</v>
      </c>
    </row>
    <row r="17082" spans="1:5">
      <c r="A17082" t="s">
        <v>6</v>
      </c>
      <c r="B17082" t="s">
        <v>17087</v>
      </c>
      <c r="C17082">
        <f>HYPERLINK("C:\Users\franc\OneDrive\Documentos\MALENTIN KARIME\BANCO ESTADO\2012 DEPTO ESCRITURAS fata\Dc Simples\RESPALDO comp notaria 27_12_12\NOTARIA 2012\ARRIENDOS\LEONARDO ARGANDOÑA.doc", "Abrir Documento")</f>
        <v>0</v>
      </c>
      <c r="D17082" t="s">
        <v>23500</v>
      </c>
      <c r="E17082" t="s">
        <v>39557</v>
      </c>
    </row>
    <row r="17083" spans="1:5">
      <c r="A17083" t="s">
        <v>6</v>
      </c>
      <c r="B17083" t="s">
        <v>17088</v>
      </c>
      <c r="C17083">
        <f>HYPERLINK("C:\Users\franc\OneDrive\Documentos\MALENTIN KARIME\BANCO ESTADO\2012 DEPTO ESCRITURAS fata\Dc Simples\RESPALDO comp notaria 27_12_12\NOTARIA 2012\ARRIENDOS\JUSTINA TABILO.doc", "Abrir Documento")</f>
        <v>0</v>
      </c>
      <c r="D17083" t="s">
        <v>23500</v>
      </c>
      <c r="E17083" t="s">
        <v>39558</v>
      </c>
    </row>
    <row r="17084" spans="1:5">
      <c r="A17084" t="s">
        <v>6</v>
      </c>
      <c r="B17084" t="s">
        <v>17089</v>
      </c>
      <c r="C17084">
        <f>HYPERLINK("C:\Users\franc\OneDrive\Documentos\MALENTIN KARIME\BANCO ESTADO\2012 DEPTO ESCRITURAS fata\Dc Simples\RESPALDO comp notaria 27_12_12\NOTARIA 2012\ARRIENDOS\JULIO BRICEÑO.doc", "Abrir Documento")</f>
        <v>0</v>
      </c>
      <c r="D17084" t="s">
        <v>23500</v>
      </c>
      <c r="E17084" t="s">
        <v>39559</v>
      </c>
    </row>
    <row r="17085" spans="1:5">
      <c r="A17085" t="s">
        <v>6</v>
      </c>
      <c r="B17085" t="s">
        <v>17090</v>
      </c>
      <c r="C17085">
        <f>HYPERLINK("C:\Users\franc\OneDrive\Documentos\MALENTIN KARIME\BANCO ESTADO\2012 DEPTO ESCRITURAS fata\Dc Simples\RESPALDO comp notaria 27_12_12\NOTARIA 2012\ARRIENDOS\JUANA ROJO A ALEXIS ROJAS.doc", "Abrir Documento")</f>
        <v>0</v>
      </c>
      <c r="D17085" t="s">
        <v>23500</v>
      </c>
      <c r="E17085" t="s">
        <v>39560</v>
      </c>
    </row>
    <row r="17086" spans="1:5">
      <c r="A17086" t="s">
        <v>6</v>
      </c>
      <c r="B17086" t="s">
        <v>17091</v>
      </c>
      <c r="C17086">
        <f>HYPERLINK("C:\Users\franc\OneDrive\Documentos\MALENTIN KARIME\BANCO ESTADO\2012 DEPTO ESCRITURAS fata\Dc Simples\RESPALDO comp notaria 27_12_12\NOTARIA 2012\ARRIENDOS\JUANA PIZARRO ROJAS.doc", "Abrir Documento")</f>
        <v>0</v>
      </c>
      <c r="D17086" t="s">
        <v>23500</v>
      </c>
      <c r="E17086" t="s">
        <v>39561</v>
      </c>
    </row>
    <row r="17087" spans="1:5">
      <c r="A17087" t="s">
        <v>6</v>
      </c>
      <c r="B17087" t="s">
        <v>17092</v>
      </c>
      <c r="C17087">
        <f>HYPERLINK("C:\Users\franc\OneDrive\Documentos\MALENTIN KARIME\BANCO ESTADO\2012 DEPTO ESCRITURAS fata\Dc Simples\RESPALDO comp notaria 27_12_12\NOTARIA 2012\ARRIENDOS\JUAN VERGARA.doc", "Abrir Documento")</f>
        <v>0</v>
      </c>
      <c r="D17087" t="s">
        <v>23500</v>
      </c>
      <c r="E17087" t="s">
        <v>39562</v>
      </c>
    </row>
    <row r="17088" spans="1:5">
      <c r="A17088" t="s">
        <v>6</v>
      </c>
      <c r="B17088" t="s">
        <v>17093</v>
      </c>
      <c r="C17088">
        <f>HYPERLINK("C:\Users\franc\OneDrive\Documentos\MALENTIN KARIME\BANCO ESTADO\2012 DEPTO ESCRITURAS fata\Dc Simples\RESPALDO comp notaria 27_12_12\NOTARIA 2012\ARRIENDOS\JUAN HENRIQUEZ ROJAS.doc", "Abrir Documento")</f>
        <v>0</v>
      </c>
      <c r="D17088" t="s">
        <v>23500</v>
      </c>
      <c r="E17088" t="s">
        <v>39563</v>
      </c>
    </row>
    <row r="17089" spans="1:5">
      <c r="A17089" t="s">
        <v>6</v>
      </c>
      <c r="B17089" t="s">
        <v>17094</v>
      </c>
      <c r="C17089">
        <f>HYPERLINK("C:\Users\franc\OneDrive\Documentos\MALENTIN KARIME\BANCO ESTADO\2012 DEPTO ESCRITURAS fata\Dc Simples\RESPALDO comp notaria 27_12_12\NOTARIA 2012\ARRIENDOS\JUAN GONZALEZ.doc", "Abrir Documento")</f>
        <v>0</v>
      </c>
      <c r="D17089" t="s">
        <v>23500</v>
      </c>
      <c r="E17089" t="s">
        <v>39564</v>
      </c>
    </row>
    <row r="17090" spans="1:5">
      <c r="A17090" t="s">
        <v>6</v>
      </c>
      <c r="B17090" t="s">
        <v>17095</v>
      </c>
      <c r="C17090">
        <f>HYPERLINK("C:\Users\franc\OneDrive\Documentos\MALENTIN KARIME\BANCO ESTADO\2012 DEPTO ESCRITURAS fata\Dc Simples\RESPALDO comp notaria 27_12_12\NOTARIA 2012\ARRIENDOS\JUAN GONZALEZ HERRERA.doc", "Abrir Documento")</f>
        <v>0</v>
      </c>
      <c r="D17090" t="s">
        <v>23500</v>
      </c>
      <c r="E17090" t="s">
        <v>39565</v>
      </c>
    </row>
    <row r="17091" spans="1:5">
      <c r="A17091" t="s">
        <v>6</v>
      </c>
      <c r="B17091" t="s">
        <v>17096</v>
      </c>
      <c r="C17091">
        <f>HYPERLINK("C:\Users\franc\OneDrive\Documentos\MALENTIN KARIME\BANCO ESTADO\2012 DEPTO ESCRITURAS fata\Dc Simples\RESPALDO comp notaria 27_12_12\NOTARIA 2012\ARRIENDOS\JUAN DE DIOS VILLALOBOS.doc", "Abrir Documento")</f>
        <v>0</v>
      </c>
      <c r="D17091" t="s">
        <v>23500</v>
      </c>
      <c r="E17091" t="s">
        <v>39566</v>
      </c>
    </row>
    <row r="17092" spans="1:5">
      <c r="A17092" t="s">
        <v>6</v>
      </c>
      <c r="B17092" t="s">
        <v>17097</v>
      </c>
      <c r="C17092">
        <f>HYPERLINK("C:\Users\franc\OneDrive\Documentos\MALENTIN KARIME\BANCO ESTADO\2012 DEPTO ESCRITURAS fata\Dc Simples\RESPALDO comp notaria 27_12_12\NOTARIA 2012\ARRIENDOS\JUAN DE DIOS CASTILLO.doc", "Abrir Documento")</f>
        <v>0</v>
      </c>
      <c r="D17092" t="s">
        <v>23500</v>
      </c>
      <c r="E17092" t="s">
        <v>39567</v>
      </c>
    </row>
    <row r="17093" spans="1:5">
      <c r="A17093" t="s">
        <v>6</v>
      </c>
      <c r="B17093" t="s">
        <v>17098</v>
      </c>
      <c r="C17093">
        <f>HYPERLINK("C:\Users\franc\OneDrive\Documentos\MALENTIN KARIME\BANCO ESTADO\2012 DEPTO ESCRITURAS fata\Dc Simples\RESPALDO comp notaria 27_12_12\NOTARIA 2012\ARRIENDOS\JUAN ACOSTA RUBINA.doc", "Abrir Documento")</f>
        <v>0</v>
      </c>
      <c r="D17093" t="s">
        <v>23500</v>
      </c>
      <c r="E17093" t="s">
        <v>39568</v>
      </c>
    </row>
    <row r="17094" spans="1:5">
      <c r="A17094" t="s">
        <v>6</v>
      </c>
      <c r="B17094" t="s">
        <v>17099</v>
      </c>
      <c r="C17094">
        <f>HYPERLINK("C:\Users\franc\OneDrive\Documentos\MALENTIN KARIME\BANCO ESTADO\2012 DEPTO ESCRITURAS fata\Dc Simples\RESPALDO comp notaria 27_12_12\NOTARIA 2012\ARRIENDOS\JUAN  MANUEL HERRERA CORTES.doc", "Abrir Documento")</f>
        <v>0</v>
      </c>
      <c r="D17094" t="s">
        <v>23500</v>
      </c>
      <c r="E17094" t="s">
        <v>39569</v>
      </c>
    </row>
    <row r="17095" spans="1:5">
      <c r="A17095" t="s">
        <v>6</v>
      </c>
      <c r="B17095" t="s">
        <v>17100</v>
      </c>
      <c r="C17095">
        <f>HYPERLINK("C:\Users\franc\OneDrive\Documentos\MALENTIN KARIME\BANCO ESTADO\2012 DEPTO ESCRITURAS fata\Dc Simples\RESPALDO comp notaria 27_12_12\NOTARIA 2012\ARRIENDOS\JOSEFINA MARIN.doc", "Abrir Documento")</f>
        <v>0</v>
      </c>
      <c r="D17095" t="s">
        <v>23500</v>
      </c>
      <c r="E17095" t="s">
        <v>39570</v>
      </c>
    </row>
    <row r="17096" spans="1:5">
      <c r="A17096" t="s">
        <v>6</v>
      </c>
      <c r="B17096" t="s">
        <v>17101</v>
      </c>
      <c r="C17096">
        <f>HYPERLINK("C:\Users\franc\OneDrive\Documentos\MALENTIN KARIME\BANCO ESTADO\2012 DEPTO ESCRITURAS fata\Dc Simples\RESPALDO comp notaria 27_12_12\NOTARIA 2012\ARRIENDOS\JOSE VILLEGAS Y RIC. MARAMBIO.doc", "Abrir Documento")</f>
        <v>0</v>
      </c>
      <c r="D17096" t="s">
        <v>23500</v>
      </c>
      <c r="E17096" t="s">
        <v>39571</v>
      </c>
    </row>
    <row r="17097" spans="1:5">
      <c r="A17097" t="s">
        <v>6</v>
      </c>
      <c r="B17097" t="s">
        <v>17102</v>
      </c>
      <c r="C17097">
        <f>HYPERLINK("C:\Users\franc\OneDrive\Documentos\MALENTIN KARIME\BANCO ESTADO\2012 DEPTO ESCRITURAS fata\Dc Simples\RESPALDO comp notaria 27_12_12\NOTARIA 2012\ARRIENDOS\JOSE TORREJON.doc", "Abrir Documento")</f>
        <v>0</v>
      </c>
      <c r="D17097" t="s">
        <v>23500</v>
      </c>
      <c r="E17097" t="s">
        <v>39572</v>
      </c>
    </row>
    <row r="17098" spans="1:5">
      <c r="A17098" t="s">
        <v>6</v>
      </c>
      <c r="B17098" t="s">
        <v>17103</v>
      </c>
      <c r="C17098">
        <f>HYPERLINK("C:\Users\franc\OneDrive\Documentos\MALENTIN KARIME\BANCO ESTADO\2012 DEPTO ESCRITURAS fata\Dc Simples\RESPALDO comp notaria 27_12_12\NOTARIA 2012\ARRIENDOS\JOSE ROJAS.doc", "Abrir Documento")</f>
        <v>0</v>
      </c>
      <c r="D17098" t="s">
        <v>23500</v>
      </c>
      <c r="E17098" t="s">
        <v>39573</v>
      </c>
    </row>
    <row r="17099" spans="1:5">
      <c r="A17099" t="s">
        <v>6</v>
      </c>
      <c r="B17099" t="s">
        <v>17104</v>
      </c>
      <c r="C17099">
        <f>HYPERLINK("C:\Users\franc\OneDrive\Documentos\MALENTIN KARIME\BANCO ESTADO\2012 DEPTO ESCRITURAS fata\Dc Simples\RESPALDO comp notaria 27_12_12\NOTARIA 2012\ARRIENDOS\JOSE MARIN Y PAULO HENRIQUEZ.doc", "Abrir Documento")</f>
        <v>0</v>
      </c>
      <c r="D17099" t="s">
        <v>23500</v>
      </c>
      <c r="E17099" t="s">
        <v>39574</v>
      </c>
    </row>
    <row r="17100" spans="1:5">
      <c r="A17100" t="s">
        <v>6</v>
      </c>
      <c r="B17100" t="s">
        <v>17105</v>
      </c>
      <c r="C17100">
        <f>HYPERLINK("C:\Users\franc\OneDrive\Documentos\MALENTIN KARIME\BANCO ESTADO\2012 DEPTO ESCRITURAS fata\Dc Simples\RESPALDO comp notaria 27_12_12\NOTARIA 2012\ARRIENDOS\JOSE CONTRERAS A ALEX ROJAS.doc", "Abrir Documento")</f>
        <v>0</v>
      </c>
      <c r="D17100" t="s">
        <v>23500</v>
      </c>
      <c r="E17100" t="s">
        <v>39575</v>
      </c>
    </row>
    <row r="17101" spans="1:5">
      <c r="A17101" t="s">
        <v>6</v>
      </c>
      <c r="B17101" t="s">
        <v>17106</v>
      </c>
      <c r="C17101">
        <f>HYPERLINK("C:\Users\franc\OneDrive\Documentos\MALENTIN KARIME\BANCO ESTADO\2012 DEPTO ESCRITURAS fata\Dc Simples\RESPALDO comp notaria 27_12_12\NOTARIA 2012\ARRIENDOS\JORJEN SALAZAR p.p..doc", "Abrir Documento")</f>
        <v>0</v>
      </c>
      <c r="D17101" t="s">
        <v>23500</v>
      </c>
      <c r="E17101" t="s">
        <v>39576</v>
      </c>
    </row>
    <row r="17102" spans="1:5">
      <c r="A17102" t="s">
        <v>6</v>
      </c>
      <c r="B17102" t="s">
        <v>17107</v>
      </c>
      <c r="C17102">
        <f>HYPERLINK("C:\Users\franc\OneDrive\Documentos\MALENTIN KARIME\BANCO ESTADO\2012 DEPTO ESCRITURAS fata\Dc Simples\RESPALDO comp notaria 27_12_12\NOTARIA 2012\ARRIENDOS\JORGE VELIZ.doc", "Abrir Documento")</f>
        <v>0</v>
      </c>
      <c r="D17102" t="s">
        <v>23500</v>
      </c>
      <c r="E17102" t="s">
        <v>39577</v>
      </c>
    </row>
    <row r="17103" spans="1:5">
      <c r="A17103" t="s">
        <v>6</v>
      </c>
      <c r="B17103" t="s">
        <v>17108</v>
      </c>
      <c r="C17103">
        <f>HYPERLINK("C:\Users\franc\OneDrive\Documentos\MALENTIN KARIME\BANCO ESTADO\2012 DEPTO ESCRITURAS fata\Dc Simples\RESPALDO comp notaria 27_12_12\NOTARIA 2012\ARRIENDOS\JORGE VELIZ ARRIAGADA.doc", "Abrir Documento")</f>
        <v>0</v>
      </c>
      <c r="D17103" t="s">
        <v>23500</v>
      </c>
      <c r="E17103" t="s">
        <v>39578</v>
      </c>
    </row>
    <row r="17104" spans="1:5">
      <c r="A17104" t="s">
        <v>6</v>
      </c>
      <c r="B17104" t="s">
        <v>17109</v>
      </c>
      <c r="C17104">
        <f>HYPERLINK("C:\Users\franc\OneDrive\Documentos\MALENTIN KARIME\BANCO ESTADO\2012 DEPTO ESCRITURAS fata\Dc Simples\RESPALDO comp notaria 27_12_12\NOTARIA 2012\ARRIENDOS\JORGE HERNANDEZ.doc", "Abrir Documento")</f>
        <v>0</v>
      </c>
      <c r="D17104" t="s">
        <v>23500</v>
      </c>
      <c r="E17104" t="s">
        <v>39579</v>
      </c>
    </row>
    <row r="17105" spans="1:5">
      <c r="A17105" t="s">
        <v>6</v>
      </c>
      <c r="B17105" t="s">
        <v>17110</v>
      </c>
      <c r="C17105">
        <f>HYPERLINK("C:\Users\franc\OneDrive\Documentos\MALENTIN KARIME\BANCO ESTADO\2012 DEPTO ESCRITURAS fata\Dc Simples\RESPALDO comp notaria 27_12_12\NOTARIA 2012\ARRIENDOS\JORGE HERNANDEZ, EL INGENIO.doc", "Abrir Documento")</f>
        <v>0</v>
      </c>
      <c r="D17105" t="s">
        <v>23500</v>
      </c>
      <c r="E17105" t="s">
        <v>39580</v>
      </c>
    </row>
    <row r="17106" spans="1:5">
      <c r="A17106" t="s">
        <v>6</v>
      </c>
      <c r="B17106" t="s">
        <v>17111</v>
      </c>
      <c r="C17106">
        <f>HYPERLINK("C:\Users\franc\OneDrive\Documentos\MALENTIN KARIME\BANCO ESTADO\2012 DEPTO ESCRITURAS fata\Dc Simples\RESPALDO comp notaria 27_12_12\NOTARIA 2012\ARRIENDOS\JORGE GARCIA.doc", "Abrir Documento")</f>
        <v>0</v>
      </c>
      <c r="D17106" t="s">
        <v>23500</v>
      </c>
      <c r="E17106" t="s">
        <v>39581</v>
      </c>
    </row>
    <row r="17107" spans="1:5">
      <c r="A17107" t="s">
        <v>6</v>
      </c>
      <c r="B17107" t="s">
        <v>17112</v>
      </c>
      <c r="C17107">
        <f>HYPERLINK("C:\Users\franc\OneDrive\Documentos\MALENTIN KARIME\BANCO ESTADO\2012 DEPTO ESCRITURAS fata\Dc Simples\RESPALDO comp notaria 27_12_12\NOTARIA 2012\ARRIENDOS\JOAQUIN ARAYA.doc", "Abrir Documento")</f>
        <v>0</v>
      </c>
      <c r="D17107" t="s">
        <v>23500</v>
      </c>
      <c r="E17107" t="s">
        <v>39582</v>
      </c>
    </row>
    <row r="17108" spans="1:5">
      <c r="A17108" t="s">
        <v>6</v>
      </c>
      <c r="B17108" t="s">
        <v>17113</v>
      </c>
      <c r="C17108">
        <f>HYPERLINK("C:\Users\franc\OneDrive\Documentos\MALENTIN KARIME\BANCO ESTADO\2012 DEPTO ESCRITURAS fata\Dc Simples\RESPALDO comp notaria 27_12_12\NOTARIA 2012\ARRIENDOS\JAVIER MARQUEZ ARDILES.doc", "Abrir Documento")</f>
        <v>0</v>
      </c>
      <c r="D17108" t="s">
        <v>23500</v>
      </c>
      <c r="E17108" t="s">
        <v>39583</v>
      </c>
    </row>
    <row r="17109" spans="1:5">
      <c r="A17109" t="s">
        <v>6</v>
      </c>
      <c r="B17109" t="s">
        <v>17114</v>
      </c>
      <c r="C17109">
        <f>HYPERLINK("C:\Users\franc\OneDrive\Documentos\MALENTIN KARIME\BANCO ESTADO\2012 DEPTO ESCRITURAS fata\Dc Simples\RESPALDO comp notaria 27_12_12\NOTARIA 2012\ARRIENDOS\JAIME VILLALON GALVEZ.doc", "Abrir Documento")</f>
        <v>0</v>
      </c>
      <c r="D17109" t="s">
        <v>23500</v>
      </c>
      <c r="E17109" t="s">
        <v>39584</v>
      </c>
    </row>
    <row r="17110" spans="1:5">
      <c r="A17110" t="s">
        <v>6</v>
      </c>
      <c r="B17110" t="s">
        <v>17115</v>
      </c>
      <c r="C17110">
        <f>HYPERLINK("C:\Users\franc\OneDrive\Documentos\MALENTIN KARIME\BANCO ESTADO\2012 DEPTO ESCRITURAS fata\Dc Simples\RESPALDO comp notaria 27_12_12\NOTARIA 2012\ARRIENDOS\JAIME VALDIVIA.doc", "Abrir Documento")</f>
        <v>0</v>
      </c>
      <c r="D17110" t="s">
        <v>23500</v>
      </c>
      <c r="E17110" t="s">
        <v>39585</v>
      </c>
    </row>
    <row r="17111" spans="1:5">
      <c r="A17111" t="s">
        <v>6</v>
      </c>
      <c r="B17111" t="s">
        <v>17116</v>
      </c>
      <c r="C17111">
        <f>HYPERLINK("C:\Users\franc\OneDrive\Documentos\MALENTIN KARIME\BANCO ESTADO\2012 DEPTO ESCRITURAS fata\Dc Simples\RESPALDO comp notaria 27_12_12\NOTARIA 2012\ARRIENDOS\JAIME JERRY VILLARROEL.doc", "Abrir Documento")</f>
        <v>0</v>
      </c>
      <c r="D17111" t="s">
        <v>23500</v>
      </c>
      <c r="E17111" t="s">
        <v>39586</v>
      </c>
    </row>
    <row r="17112" spans="1:5">
      <c r="A17112" t="s">
        <v>6</v>
      </c>
      <c r="B17112" t="s">
        <v>17117</v>
      </c>
      <c r="C17112">
        <f>HYPERLINK("C:\Users\franc\OneDrive\Documentos\MALENTIN KARIME\BANCO ESTADO\2012 DEPTO ESCRITURAS fata\Dc Simples\RESPALDO comp notaria 27_12_12\NOTARIA 2012\ARRIENDOS\JACQUELINE ROJAS.doc", "Abrir Documento")</f>
        <v>0</v>
      </c>
      <c r="D17112" t="s">
        <v>23500</v>
      </c>
      <c r="E17112" t="s">
        <v>39587</v>
      </c>
    </row>
    <row r="17113" spans="1:5">
      <c r="A17113" t="s">
        <v>6</v>
      </c>
      <c r="B17113" t="s">
        <v>17118</v>
      </c>
      <c r="C17113">
        <f>HYPERLINK("C:\Users\franc\OneDrive\Documentos\MALENTIN KARIME\BANCO ESTADO\2012 DEPTO ESCRITURAS fata\Dc Simples\RESPALDO comp notaria 27_12_12\NOTARIA 2012\ARRIENDOS\JACINTO LABARCA.doc", "Abrir Documento")</f>
        <v>0</v>
      </c>
      <c r="D17113" t="s">
        <v>23500</v>
      </c>
      <c r="E17113" t="s">
        <v>39588</v>
      </c>
    </row>
    <row r="17114" spans="1:5">
      <c r="A17114" t="s">
        <v>6</v>
      </c>
      <c r="B17114" t="s">
        <v>17119</v>
      </c>
      <c r="C17114">
        <f>HYPERLINK("C:\Users\franc\OneDrive\Documentos\MALENTIN KARIME\BANCO ESTADO\2012 DEPTO ESCRITURAS fata\Dc Simples\RESPALDO comp notaria 27_12_12\NOTARIA 2012\ARRIENDOS\IVAN RAMIREZ ARAYA.doc", "Abrir Documento")</f>
        <v>0</v>
      </c>
      <c r="D17114" t="s">
        <v>23500</v>
      </c>
      <c r="E17114" t="s">
        <v>39589</v>
      </c>
    </row>
    <row r="17115" spans="1:5">
      <c r="A17115" t="s">
        <v>6</v>
      </c>
      <c r="B17115" t="s">
        <v>17120</v>
      </c>
      <c r="C17115">
        <f>HYPERLINK("C:\Users\franc\OneDrive\Documentos\MALENTIN KARIME\BANCO ESTADO\2012 DEPTO ESCRITURAS fata\Dc Simples\RESPALDO comp notaria 27_12_12\NOTARIA 2012\ARRIENDOS\IVAN MARIN.doc", "Abrir Documento")</f>
        <v>0</v>
      </c>
      <c r="D17115" t="s">
        <v>23500</v>
      </c>
      <c r="E17115" t="s">
        <v>39590</v>
      </c>
    </row>
    <row r="17116" spans="1:5">
      <c r="A17116" t="s">
        <v>6</v>
      </c>
      <c r="B17116" t="s">
        <v>17121</v>
      </c>
      <c r="C17116">
        <f>HYPERLINK("C:\Users\franc\OneDrive\Documentos\MALENTIN KARIME\BANCO ESTADO\2012 DEPTO ESCRITURAS fata\Dc Simples\RESPALDO comp notaria 27_12_12\NOTARIA 2012\ARRIENDOS\IVAN CORTES GONZALEZ.doc", "Abrir Documento")</f>
        <v>0</v>
      </c>
      <c r="D17116" t="s">
        <v>23500</v>
      </c>
      <c r="E17116" t="s">
        <v>39591</v>
      </c>
    </row>
    <row r="17117" spans="1:5">
      <c r="A17117" t="s">
        <v>6</v>
      </c>
      <c r="B17117" t="s">
        <v>17122</v>
      </c>
      <c r="C17117">
        <f>HYPERLINK("C:\Users\franc\OneDrive\Documentos\MALENTIN KARIME\BANCO ESTADO\2012 DEPTO ESCRITURAS fata\Dc Simples\RESPALDO comp notaria 27_12_12\NOTARIA 2012\ARRIENDOS\ISRAEL ARAYA TELLO.doc", "Abrir Documento")</f>
        <v>0</v>
      </c>
      <c r="D17117" t="s">
        <v>23500</v>
      </c>
      <c r="E17117" t="s">
        <v>39592</v>
      </c>
    </row>
    <row r="17118" spans="1:5">
      <c r="A17118" t="s">
        <v>6</v>
      </c>
      <c r="B17118" t="s">
        <v>17123</v>
      </c>
      <c r="C17118">
        <f>HYPERLINK("C:\Users\franc\OneDrive\Documentos\MALENTIN KARIME\BANCO ESTADO\2012 DEPTO ESCRITURAS fata\Dc Simples\RESPALDO comp notaria 27_12_12\NOTARIA 2012\ARRIENDOS\ISMAEL CONTRERAS.doc", "Abrir Documento")</f>
        <v>0</v>
      </c>
      <c r="D17118" t="s">
        <v>23500</v>
      </c>
      <c r="E17118" t="s">
        <v>39593</v>
      </c>
    </row>
    <row r="17119" spans="1:5">
      <c r="A17119" t="s">
        <v>6</v>
      </c>
      <c r="B17119" t="s">
        <v>17124</v>
      </c>
      <c r="C17119">
        <f>HYPERLINK("C:\Users\franc\OneDrive\Documentos\MALENTIN KARIME\BANCO ESTADO\2012 DEPTO ESCRITURAS fata\Dc Simples\RESPALDO comp notaria 27_12_12\NOTARIA 2012\ARRIENDOS\inmobiliariaa y hotelera.doc", "Abrir Documento")</f>
        <v>0</v>
      </c>
      <c r="D17119" t="s">
        <v>23500</v>
      </c>
      <c r="E17119" t="s">
        <v>39594</v>
      </c>
    </row>
    <row r="17120" spans="1:5">
      <c r="A17120" t="s">
        <v>6</v>
      </c>
      <c r="B17120" t="s">
        <v>17125</v>
      </c>
      <c r="C17120">
        <f>HYPERLINK("C:\Users\franc\OneDrive\Documentos\MALENTIN KARIME\BANCO ESTADO\2012 DEPTO ESCRITURAS fata\Dc Simples\RESPALDO comp notaria 27_12_12\NOTARIA 2012\ARRIENDOS\INMOBILIARIA SANTA ROSA.doc", "Abrir Documento")</f>
        <v>0</v>
      </c>
      <c r="D17120" t="s">
        <v>23500</v>
      </c>
      <c r="E17120" t="s">
        <v>39595</v>
      </c>
    </row>
    <row r="17121" spans="1:5">
      <c r="A17121" t="s">
        <v>6</v>
      </c>
      <c r="B17121" t="s">
        <v>17126</v>
      </c>
      <c r="C17121">
        <f>HYPERLINK("C:\Users\franc\OneDrive\Documentos\MALENTIN KARIME\BANCO ESTADO\2012 DEPTO ESCRITURAS fata\Dc Simples\RESPALDO comp notaria 27_12_12\NOTARIA 2012\ARRIENDOS\IGNACIO ROJAS.doc", "Abrir Documento")</f>
        <v>0</v>
      </c>
      <c r="D17121" t="s">
        <v>23500</v>
      </c>
      <c r="E17121" t="s">
        <v>39596</v>
      </c>
    </row>
    <row r="17122" spans="1:5">
      <c r="A17122" t="s">
        <v>6</v>
      </c>
      <c r="B17122" t="s">
        <v>17127</v>
      </c>
      <c r="C17122">
        <f>HYPERLINK("C:\Users\franc\OneDrive\Documentos\MALENTIN KARIME\BANCO ESTADO\2012 DEPTO ESCRITURAS fata\Dc Simples\RESPALDO comp notaria 27_12_12\NOTARIA 2012\ARRIENDOS\IDA NARANJO ARAYA.doc", "Abrir Documento")</f>
        <v>0</v>
      </c>
      <c r="D17122" t="s">
        <v>23500</v>
      </c>
      <c r="E17122" t="s">
        <v>39597</v>
      </c>
    </row>
    <row r="17123" spans="1:5">
      <c r="A17123" t="s">
        <v>6</v>
      </c>
      <c r="B17123" t="s">
        <v>17128</v>
      </c>
      <c r="C17123">
        <f>HYPERLINK("C:\Users\franc\OneDrive\Documentos\MALENTIN KARIME\BANCO ESTADO\2012 DEPTO ESCRITURAS fata\Dc Simples\RESPALDO comp notaria 27_12_12\NOTARIA 2012\ARRIENDOS\IBAÑEZ ALCAYAGA LTDA..doc", "Abrir Documento")</f>
        <v>0</v>
      </c>
      <c r="D17123" t="s">
        <v>23500</v>
      </c>
      <c r="E17123" t="s">
        <v>39598</v>
      </c>
    </row>
    <row r="17124" spans="1:5">
      <c r="A17124" t="s">
        <v>6</v>
      </c>
      <c r="B17124" t="s">
        <v>17129</v>
      </c>
      <c r="C17124">
        <f>HYPERLINK("C:\Users\franc\OneDrive\Documentos\MALENTIN KARIME\BANCO ESTADO\2012 DEPTO ESCRITURAS fata\Dc Simples\RESPALDO comp notaria 27_12_12\NOTARIA 2012\ARRIENDOS\HUMBERTO DIAZ.doc", "Abrir Documento")</f>
        <v>0</v>
      </c>
      <c r="D17124" t="s">
        <v>23500</v>
      </c>
      <c r="E17124" t="s">
        <v>39599</v>
      </c>
    </row>
    <row r="17125" spans="1:5">
      <c r="A17125" t="s">
        <v>6</v>
      </c>
      <c r="B17125" t="s">
        <v>17130</v>
      </c>
      <c r="C17125">
        <f>HYPERLINK("C:\Users\franc\OneDrive\Documentos\MALENTIN KARIME\BANCO ESTADO\2012 DEPTO ESCRITURAS fata\Dc Simples\RESPALDO comp notaria 27_12_12\NOTARIA 2012\ARRIENDOS\HUMBERTO CORTES.doc", "Abrir Documento")</f>
        <v>0</v>
      </c>
      <c r="D17125" t="s">
        <v>23500</v>
      </c>
      <c r="E17125" t="s">
        <v>39600</v>
      </c>
    </row>
    <row r="17126" spans="1:5">
      <c r="A17126" t="s">
        <v>6</v>
      </c>
      <c r="B17126" t="s">
        <v>17131</v>
      </c>
      <c r="C17126">
        <f>HYPERLINK("C:\Users\franc\OneDrive\Documentos\MALENTIN KARIME\BANCO ESTADO\2012 DEPTO ESCRITURAS fata\Dc Simples\RESPALDO comp notaria 27_12_12\NOTARIA 2012\ARRIENDOS\HUGO TAPIA.doc", "Abrir Documento")</f>
        <v>0</v>
      </c>
      <c r="D17126" t="s">
        <v>23500</v>
      </c>
      <c r="E17126" t="s">
        <v>39601</v>
      </c>
    </row>
    <row r="17127" spans="1:5">
      <c r="A17127" t="s">
        <v>6</v>
      </c>
      <c r="B17127" t="s">
        <v>17132</v>
      </c>
      <c r="C17127">
        <f>HYPERLINK("C:\Users\franc\OneDrive\Documentos\MALENTIN KARIME\BANCO ESTADO\2012 DEPTO ESCRITURAS fata\Dc Simples\RESPALDO comp notaria 27_12_12\NOTARIA 2012\ARRIENDOS\HUGO PINEDA.doc", "Abrir Documento")</f>
        <v>0</v>
      </c>
      <c r="D17127" t="s">
        <v>23500</v>
      </c>
      <c r="E17127" t="s">
        <v>39602</v>
      </c>
    </row>
    <row r="17128" spans="1:5">
      <c r="A17128" t="s">
        <v>6</v>
      </c>
      <c r="B17128" t="s">
        <v>17133</v>
      </c>
      <c r="C17128">
        <f>HYPERLINK("C:\Users\franc\OneDrive\Documentos\MALENTIN KARIME\BANCO ESTADO\2012 DEPTO ESCRITURAS fata\Dc Simples\RESPALDO comp notaria 27_12_12\NOTARIA 2012\ARRIENDOS\HUGO CORTES ZEPEDA.doc", "Abrir Documento")</f>
        <v>0</v>
      </c>
      <c r="D17128" t="s">
        <v>23500</v>
      </c>
      <c r="E17128" t="s">
        <v>39603</v>
      </c>
    </row>
    <row r="17129" spans="1:5">
      <c r="A17129" t="s">
        <v>6</v>
      </c>
      <c r="B17129" t="s">
        <v>17134</v>
      </c>
      <c r="C17129">
        <f>HYPERLINK("C:\Users\franc\OneDrive\Documentos\MALENTIN KARIME\BANCO ESTADO\2012 DEPTO ESCRITURAS fata\Dc Simples\RESPALDO comp notaria 27_12_12\NOTARIA 2012\ARRIENDOS\HUGO CORDOVA Y LEONEL MUÑOZ.doc", "Abrir Documento")</f>
        <v>0</v>
      </c>
      <c r="D17129" t="s">
        <v>23500</v>
      </c>
      <c r="E17129" t="s">
        <v>39604</v>
      </c>
    </row>
    <row r="17130" spans="1:5">
      <c r="A17130" t="s">
        <v>6</v>
      </c>
      <c r="B17130" t="s">
        <v>17135</v>
      </c>
      <c r="C17130">
        <f>HYPERLINK("C:\Users\franc\OneDrive\Documentos\MALENTIN KARIME\BANCO ESTADO\2012 DEPTO ESCRITURAS fata\Dc Simples\RESPALDO comp notaria 27_12_12\NOTARIA 2012\ARRIENDOS\HNOS. BARRAZA CARVAJAL.doc", "Abrir Documento")</f>
        <v>0</v>
      </c>
      <c r="D17130" t="s">
        <v>23500</v>
      </c>
      <c r="E17130" t="s">
        <v>39605</v>
      </c>
    </row>
    <row r="17131" spans="1:5">
      <c r="A17131" t="s">
        <v>6</v>
      </c>
      <c r="B17131" t="s">
        <v>17136</v>
      </c>
      <c r="C17131">
        <f>HYPERLINK("C:\Users\franc\OneDrive\Documentos\MALENTIN KARIME\BANCO ESTADO\2012 DEPTO ESCRITURAS fata\Dc Simples\RESPALDO comp notaria 27_12_12\NOTARIA 2012\ARRIENDOS\HERNAN GODOY BARRAZA PP SONIA TABILO ROJAS.doc", "Abrir Documento")</f>
        <v>0</v>
      </c>
      <c r="D17131" t="s">
        <v>23500</v>
      </c>
      <c r="E17131" t="s">
        <v>39606</v>
      </c>
    </row>
    <row r="17132" spans="1:5">
      <c r="A17132" t="s">
        <v>6</v>
      </c>
      <c r="B17132" t="s">
        <v>17137</v>
      </c>
      <c r="C17132">
        <f>HYPERLINK("C:\Users\franc\OneDrive\Documentos\MALENTIN KARIME\BANCO ESTADO\2012 DEPTO ESCRITURAS fata\Dc Simples\RESPALDO comp notaria 27_12_12\NOTARIA 2012\ARRIENDOS\HERNAN ANTIQUERA.doc", "Abrir Documento")</f>
        <v>0</v>
      </c>
      <c r="D17132" t="s">
        <v>23500</v>
      </c>
      <c r="E17132" t="s">
        <v>39607</v>
      </c>
    </row>
    <row r="17133" spans="1:5">
      <c r="A17133" t="s">
        <v>6</v>
      </c>
      <c r="B17133" t="s">
        <v>17138</v>
      </c>
      <c r="C17133">
        <f>HYPERLINK("C:\Users\franc\OneDrive\Documentos\MALENTIN KARIME\BANCO ESTADO\2012 DEPTO ESCRITURAS fata\Dc Simples\RESPALDO comp notaria 27_12_12\NOTARIA 2012\ARRIENDOS\HERMINIA ROJAS.doc", "Abrir Documento")</f>
        <v>0</v>
      </c>
      <c r="D17133" t="s">
        <v>23500</v>
      </c>
      <c r="E17133" t="s">
        <v>39608</v>
      </c>
    </row>
    <row r="17134" spans="1:5">
      <c r="A17134" t="s">
        <v>6</v>
      </c>
      <c r="B17134" t="s">
        <v>17139</v>
      </c>
      <c r="C17134">
        <f>HYPERLINK("C:\Users\franc\OneDrive\Documentos\MALENTIN KARIME\BANCO ESTADO\2012 DEPTO ESCRITURAS fata\Dc Simples\RESPALDO comp notaria 27_12_12\NOTARIA 2012\ARRIENDOS\HERMEN ARAYA.doc", "Abrir Documento")</f>
        <v>0</v>
      </c>
      <c r="D17134" t="s">
        <v>23500</v>
      </c>
      <c r="E17134" t="s">
        <v>39609</v>
      </c>
    </row>
    <row r="17135" spans="1:5">
      <c r="A17135" t="s">
        <v>6</v>
      </c>
      <c r="B17135" t="s">
        <v>17140</v>
      </c>
      <c r="C17135">
        <f>HYPERLINK("C:\Users\franc\OneDrive\Documentos\MALENTIN KARIME\BANCO ESTADO\2012 DEPTO ESCRITURAS fata\Dc Simples\RESPALDO comp notaria 27_12_12\NOTARIA 2012\ARRIENDOS\HECTOR MORENO.doc", "Abrir Documento")</f>
        <v>0</v>
      </c>
      <c r="D17135" t="s">
        <v>23500</v>
      </c>
      <c r="E17135" t="s">
        <v>39610</v>
      </c>
    </row>
    <row r="17136" spans="1:5">
      <c r="A17136" t="s">
        <v>6</v>
      </c>
      <c r="B17136" t="s">
        <v>17141</v>
      </c>
      <c r="C17136">
        <f>HYPERLINK("C:\Users\franc\OneDrive\Documentos\MALENTIN KARIME\BANCO ESTADO\2012 DEPTO ESCRITURAS fata\Dc Simples\RESPALDO comp notaria 27_12_12\NOTARIA 2012\ARRIENDOS\HECTOR MORENO Y ALBERTO NAVEA.doc", "Abrir Documento")</f>
        <v>0</v>
      </c>
      <c r="D17136" t="s">
        <v>23500</v>
      </c>
      <c r="E17136" t="s">
        <v>39611</v>
      </c>
    </row>
    <row r="17137" spans="1:5">
      <c r="A17137" t="s">
        <v>6</v>
      </c>
      <c r="B17137" t="s">
        <v>17142</v>
      </c>
      <c r="C17137">
        <f>HYPERLINK("C:\Users\franc\OneDrive\Documentos\MALENTIN KARIME\BANCO ESTADO\2012 DEPTO ESCRITURAS fata\Dc Simples\RESPALDO comp notaria 27_12_12\NOTARIA 2012\ARRIENDOS\HANS MAGNUS.doc", "Abrir Documento")</f>
        <v>0</v>
      </c>
      <c r="D17137" t="s">
        <v>23500</v>
      </c>
      <c r="E17137" t="s">
        <v>39612</v>
      </c>
    </row>
    <row r="17138" spans="1:5">
      <c r="A17138" t="s">
        <v>6</v>
      </c>
      <c r="B17138" t="s">
        <v>17143</v>
      </c>
      <c r="C17138">
        <f>HYPERLINK("C:\Users\franc\OneDrive\Documentos\MALENTIN KARIME\BANCO ESTADO\2012 DEPTO ESCRITURAS fata\Dc Simples\RESPALDO comp notaria 27_12_12\NOTARIA 2012\ARRIENDOS\GUSTAVO CORTES GALLARDO.doc", "Abrir Documento")</f>
        <v>0</v>
      </c>
      <c r="D17138" t="s">
        <v>23500</v>
      </c>
      <c r="E17138" t="s">
        <v>39613</v>
      </c>
    </row>
    <row r="17139" spans="1:5">
      <c r="A17139" t="s">
        <v>6</v>
      </c>
      <c r="B17139" t="s">
        <v>17144</v>
      </c>
      <c r="C17139">
        <f>HYPERLINK("C:\Users\franc\OneDrive\Documentos\MALENTIN KARIME\BANCO ESTADO\2012 DEPTO ESCRITURAS fata\Dc Simples\RESPALDO comp notaria 27_12_12\NOTARIA 2012\ARRIENDOS\GUSTAVO CODOCEO.doc", "Abrir Documento")</f>
        <v>0</v>
      </c>
      <c r="D17139" t="s">
        <v>23500</v>
      </c>
      <c r="E17139" t="s">
        <v>39614</v>
      </c>
    </row>
    <row r="17140" spans="1:5">
      <c r="A17140" t="s">
        <v>6</v>
      </c>
      <c r="B17140" t="s">
        <v>17145</v>
      </c>
      <c r="C17140">
        <f>HYPERLINK("C:\Users\franc\OneDrive\Documentos\MALENTIN KARIME\BANCO ESTADO\2012 DEPTO ESCRITURAS fata\Dc Simples\RESPALDO comp notaria 27_12_12\NOTARIA 2012\ARRIENDOS\GUSTAVO ANTIQUERA.doc", "Abrir Documento")</f>
        <v>0</v>
      </c>
      <c r="D17140" t="s">
        <v>23500</v>
      </c>
      <c r="E17140" t="s">
        <v>39615</v>
      </c>
    </row>
    <row r="17141" spans="1:5">
      <c r="A17141" t="s">
        <v>6</v>
      </c>
      <c r="B17141" t="s">
        <v>17146</v>
      </c>
      <c r="C17141">
        <f>HYPERLINK("C:\Users\franc\OneDrive\Documentos\MALENTIN KARIME\BANCO ESTADO\2012 DEPTO ESCRITURAS fata\Dc Simples\RESPALDO comp notaria 27_12_12\NOTARIA 2012\ARRIENDOS\GUILLERMO CORTES.doc", "Abrir Documento")</f>
        <v>0</v>
      </c>
      <c r="D17141" t="s">
        <v>23500</v>
      </c>
      <c r="E17141" t="s">
        <v>39616</v>
      </c>
    </row>
    <row r="17142" spans="1:5">
      <c r="A17142" t="s">
        <v>6</v>
      </c>
      <c r="B17142" t="s">
        <v>17147</v>
      </c>
      <c r="C17142">
        <f>HYPERLINK("C:\Users\franc\OneDrive\Documentos\MALENTIN KARIME\BANCO ESTADO\2012 DEPTO ESCRITURAS fata\Dc Simples\RESPALDO comp notaria 27_12_12\NOTARIA 2012\ARRIENDOS\GUILLE VALENZUELA A HERNAN HUERTA.doc", "Abrir Documento")</f>
        <v>0</v>
      </c>
      <c r="D17142" t="s">
        <v>23500</v>
      </c>
      <c r="E17142" t="s">
        <v>39617</v>
      </c>
    </row>
    <row r="17143" spans="1:5">
      <c r="A17143" t="s">
        <v>6</v>
      </c>
      <c r="B17143" t="s">
        <v>17148</v>
      </c>
      <c r="C17143">
        <f>HYPERLINK("C:\Users\franc\OneDrive\Documentos\MALENTIN KARIME\BANCO ESTADO\2012 DEPTO ESCRITURAS fata\Dc Simples\RESPALDO comp notaria 27_12_12\NOTARIA 2012\ARRIENDOS\GUALDA CORTES.doc", "Abrir Documento")</f>
        <v>0</v>
      </c>
      <c r="D17143" t="s">
        <v>23500</v>
      </c>
      <c r="E17143" t="s">
        <v>39618</v>
      </c>
    </row>
    <row r="17144" spans="1:5">
      <c r="A17144" t="s">
        <v>6</v>
      </c>
      <c r="B17144" t="s">
        <v>17149</v>
      </c>
      <c r="C17144">
        <f>HYPERLINK("C:\Users\franc\OneDrive\Documentos\MALENTIN KARIME\BANCO ESTADO\2012 DEPTO ESCRITURAS fata\Dc Simples\RESPALDO comp notaria 27_12_12\NOTARIA 2012\ARRIENDOS\GRICELDA ORTIZ.doc", "Abrir Documento")</f>
        <v>0</v>
      </c>
      <c r="D17144" t="s">
        <v>23500</v>
      </c>
      <c r="E17144" t="s">
        <v>39619</v>
      </c>
    </row>
    <row r="17145" spans="1:5">
      <c r="A17145" t="s">
        <v>6</v>
      </c>
      <c r="B17145" t="s">
        <v>17150</v>
      </c>
      <c r="C17145">
        <f>HYPERLINK("C:\Users\franc\OneDrive\Documentos\MALENTIN KARIME\BANCO ESTADO\2012 DEPTO ESCRITURAS fata\Dc Simples\RESPALDO comp notaria 27_12_12\NOTARIA 2012\ARRIENDOS\GMO. PIZARRO E HIJO.doc", "Abrir Documento")</f>
        <v>0</v>
      </c>
      <c r="D17145" t="s">
        <v>23500</v>
      </c>
      <c r="E17145" t="s">
        <v>39620</v>
      </c>
    </row>
    <row r="17146" spans="1:5">
      <c r="A17146" t="s">
        <v>6</v>
      </c>
      <c r="B17146" t="s">
        <v>17151</v>
      </c>
      <c r="C17146">
        <f>HYPERLINK("C:\Users\franc\OneDrive\Documentos\MALENTIN KARIME\BANCO ESTADO\2012 DEPTO ESCRITURAS fata\Dc Simples\RESPALDO comp notaria 27_12_12\NOTARIA 2012\ARRIENDOS\GLORIA VELASQUEZ Y OTROS.doc", "Abrir Documento")</f>
        <v>0</v>
      </c>
      <c r="D17146" t="s">
        <v>23500</v>
      </c>
      <c r="E17146" t="s">
        <v>39621</v>
      </c>
    </row>
    <row r="17147" spans="1:5">
      <c r="A17147" t="s">
        <v>6</v>
      </c>
      <c r="B17147" t="s">
        <v>17152</v>
      </c>
      <c r="C17147">
        <f>HYPERLINK("C:\Users\franc\OneDrive\Documentos\MALENTIN KARIME\BANCO ESTADO\2012 DEPTO ESCRITURAS fata\Dc Simples\RESPALDO comp notaria 27_12_12\NOTARIA 2012\ARRIENDOS\FRANKLIN TABILO.doc", "Abrir Documento")</f>
        <v>0</v>
      </c>
      <c r="D17147" t="s">
        <v>23500</v>
      </c>
      <c r="E17147" t="s">
        <v>39622</v>
      </c>
    </row>
    <row r="17148" spans="1:5">
      <c r="A17148" t="s">
        <v>6</v>
      </c>
      <c r="B17148" t="s">
        <v>17153</v>
      </c>
      <c r="C17148">
        <f>HYPERLINK("C:\Users\franc\OneDrive\Documentos\MALENTIN KARIME\BANCO ESTADO\2012 DEPTO ESCRITURAS fata\Dc Simples\RESPALDO comp notaria 27_12_12\NOTARIA 2012\ARRIENDOS\FRANCISCO RODRIGUEZ.doc", "Abrir Documento")</f>
        <v>0</v>
      </c>
      <c r="D17148" t="s">
        <v>23500</v>
      </c>
      <c r="E17148" t="s">
        <v>39623</v>
      </c>
    </row>
    <row r="17149" spans="1:5">
      <c r="A17149" t="s">
        <v>6</v>
      </c>
      <c r="B17149" t="s">
        <v>17154</v>
      </c>
      <c r="C17149">
        <f>HYPERLINK("C:\Users\franc\OneDrive\Documentos\MALENTIN KARIME\BANCO ESTADO\2012 DEPTO ESCRITURAS fata\Dc Simples\RESPALDO comp notaria 27_12_12\NOTARIA 2012\ARRIENDOS\FRANCISCO CARMONA.doc", "Abrir Documento")</f>
        <v>0</v>
      </c>
      <c r="D17149" t="s">
        <v>23500</v>
      </c>
      <c r="E17149" t="s">
        <v>39624</v>
      </c>
    </row>
    <row r="17150" spans="1:5">
      <c r="A17150" t="s">
        <v>6</v>
      </c>
      <c r="B17150" t="s">
        <v>17155</v>
      </c>
      <c r="C17150">
        <f>HYPERLINK("C:\Users\franc\OneDrive\Documentos\MALENTIN KARIME\BANCO ESTADO\2012 DEPTO ESCRITURAS fata\Dc Simples\RESPALDO comp notaria 27_12_12\NOTARIA 2012\ARRIENDOS\FORTUNATO CARVAJAL.doc", "Abrir Documento")</f>
        <v>0</v>
      </c>
      <c r="D17150" t="s">
        <v>23500</v>
      </c>
      <c r="E17150" t="s">
        <v>39625</v>
      </c>
    </row>
    <row r="17151" spans="1:5">
      <c r="A17151" t="s">
        <v>6</v>
      </c>
      <c r="B17151" t="s">
        <v>17156</v>
      </c>
      <c r="C17151">
        <f>HYPERLINK("C:\Users\franc\OneDrive\Documentos\MALENTIN KARIME\BANCO ESTADO\2012 DEPTO ESCRITURAS fata\Dc Simples\RESPALDO comp notaria 27_12_12\NOTARIA 2012\ARRIENDOS\FLORENTINO MUNDACA.doc", "Abrir Documento")</f>
        <v>0</v>
      </c>
      <c r="D17151" t="s">
        <v>23500</v>
      </c>
      <c r="E17151" t="s">
        <v>39626</v>
      </c>
    </row>
    <row r="17152" spans="1:5">
      <c r="A17152" t="s">
        <v>6</v>
      </c>
      <c r="B17152" t="s">
        <v>17157</v>
      </c>
      <c r="C17152">
        <f>HYPERLINK("C:\Users\franc\OneDrive\Documentos\MALENTIN KARIME\BANCO ESTADO\2012 DEPTO ESCRITURAS fata\Dc Simples\RESPALDO comp notaria 27_12_12\NOTARIA 2012\ARRIENDOS\FLORENCIO ARAYA.doc", "Abrir Documento")</f>
        <v>0</v>
      </c>
      <c r="D17152" t="s">
        <v>23500</v>
      </c>
      <c r="E17152" t="s">
        <v>39627</v>
      </c>
    </row>
    <row r="17153" spans="1:5">
      <c r="A17153" t="s">
        <v>6</v>
      </c>
      <c r="B17153" t="s">
        <v>17158</v>
      </c>
      <c r="C17153">
        <f>HYPERLINK("C:\Users\franc\OneDrive\Documentos\MALENTIN KARIME\BANCO ESTADO\2012 DEPTO ESCRITURAS fata\Dc Simples\RESPALDO comp notaria 27_12_12\NOTARIA 2012\ARRIENDOS\FDO. GARCIA A NILZA JOPIA.doc", "Abrir Documento")</f>
        <v>0</v>
      </c>
      <c r="D17153" t="s">
        <v>23500</v>
      </c>
      <c r="E17153" t="s">
        <v>39628</v>
      </c>
    </row>
    <row r="17154" spans="1:5">
      <c r="A17154" t="s">
        <v>6</v>
      </c>
      <c r="B17154" t="s">
        <v>17159</v>
      </c>
      <c r="C17154">
        <f>HYPERLINK("C:\Users\franc\OneDrive\Documentos\MALENTIN KARIME\BANCO ESTADO\2012 DEPTO ESCRITURAS fata\Dc Simples\RESPALDO comp notaria 27_12_12\NOTARIA 2012\ARRIENDOS\EVARISTO NUÑEZ.doc", "Abrir Documento")</f>
        <v>0</v>
      </c>
      <c r="D17154" t="s">
        <v>23500</v>
      </c>
      <c r="E17154" t="s">
        <v>39629</v>
      </c>
    </row>
    <row r="17155" spans="1:5">
      <c r="A17155" t="s">
        <v>6</v>
      </c>
      <c r="B17155" t="s">
        <v>17160</v>
      </c>
      <c r="C17155">
        <f>HYPERLINK("C:\Users\franc\OneDrive\Documentos\MALENTIN KARIME\BANCO ESTADO\2012 DEPTO ESCRITURAS fata\Dc Simples\RESPALDO comp notaria 27_12_12\NOTARIA 2012\ARRIENDOS\EVA VALDIVIA.doc", "Abrir Documento")</f>
        <v>0</v>
      </c>
      <c r="D17155" t="s">
        <v>23500</v>
      </c>
      <c r="E17155" t="s">
        <v>39630</v>
      </c>
    </row>
    <row r="17156" spans="1:5">
      <c r="A17156" t="s">
        <v>6</v>
      </c>
      <c r="B17156" t="s">
        <v>17161</v>
      </c>
      <c r="C17156">
        <f>HYPERLINK("C:\Users\franc\OneDrive\Documentos\MALENTIN KARIME\BANCO ESTADO\2012 DEPTO ESCRITURAS fata\Dc Simples\RESPALDO comp notaria 27_12_12\NOTARIA 2012\ARRIENDOS\ESTER CASTILLO IBACACHE.doc", "Abrir Documento")</f>
        <v>0</v>
      </c>
      <c r="D17156" t="s">
        <v>23500</v>
      </c>
      <c r="E17156" t="s">
        <v>39631</v>
      </c>
    </row>
    <row r="17157" spans="1:5">
      <c r="A17157" t="s">
        <v>6</v>
      </c>
      <c r="B17157" t="s">
        <v>17162</v>
      </c>
      <c r="C17157">
        <f>HYPERLINK("C:\Users\franc\OneDrive\Documentos\MALENTIN KARIME\BANCO ESTADO\2012 DEPTO ESCRITURAS fata\Dc Simples\RESPALDO comp notaria 27_12_12\NOTARIA 2012\ARRIENDOS\ESMERALDO VALDIVIA 135-B.doc", "Abrir Documento")</f>
        <v>0</v>
      </c>
      <c r="D17157" t="s">
        <v>23500</v>
      </c>
      <c r="E17157" t="s">
        <v>39632</v>
      </c>
    </row>
    <row r="17158" spans="1:5">
      <c r="A17158" t="s">
        <v>6</v>
      </c>
      <c r="B17158" t="s">
        <v>17163</v>
      </c>
      <c r="C17158">
        <f>HYPERLINK("C:\Users\franc\OneDrive\Documentos\MALENTIN KARIME\BANCO ESTADO\2012 DEPTO ESCRITURAS fata\Dc Simples\RESPALDO comp notaria 27_12_12\NOTARIA 2012\ARRIENDOS\ESMERALDO ARAYA.doc", "Abrir Documento")</f>
        <v>0</v>
      </c>
      <c r="D17158" t="s">
        <v>23500</v>
      </c>
      <c r="E17158" t="s">
        <v>39633</v>
      </c>
    </row>
    <row r="17159" spans="1:5">
      <c r="A17159" t="s">
        <v>6</v>
      </c>
      <c r="B17159" t="s">
        <v>17164</v>
      </c>
      <c r="C17159">
        <f>HYPERLINK("C:\Users\franc\OneDrive\Documentos\MALENTIN KARIME\BANCO ESTADO\2012 DEPTO ESCRITURAS fata\Dc Simples\RESPALDO comp notaria 27_12_12\NOTARIA 2012\ARRIENDOS\ERNESTO VEGA.doc", "Abrir Documento")</f>
        <v>0</v>
      </c>
      <c r="D17159" t="s">
        <v>23500</v>
      </c>
      <c r="E17159" t="s">
        <v>39634</v>
      </c>
    </row>
    <row r="17160" spans="1:5">
      <c r="A17160" t="s">
        <v>6</v>
      </c>
      <c r="B17160" t="s">
        <v>17165</v>
      </c>
      <c r="C17160">
        <f>HYPERLINK("C:\Users\franc\OneDrive\Documentos\MALENTIN KARIME\BANCO ESTADO\2012 DEPTO ESCRITURAS fata\Dc Simples\RESPALDO comp notaria 27_12_12\NOTARIA 2012\ARRIENDOS\ERCIRA QUIROZ.doc", "Abrir Documento")</f>
        <v>0</v>
      </c>
      <c r="D17160" t="s">
        <v>23500</v>
      </c>
      <c r="E17160" t="s">
        <v>39635</v>
      </c>
    </row>
    <row r="17161" spans="1:5">
      <c r="A17161" t="s">
        <v>6</v>
      </c>
      <c r="B17161" t="s">
        <v>17166</v>
      </c>
      <c r="C17161">
        <f>HYPERLINK("C:\Users\franc\OneDrive\Documentos\MALENTIN KARIME\BANCO ESTADO\2012 DEPTO ESCRITURAS fata\Dc Simples\RESPALDO comp notaria 27_12_12\NOTARIA 2012\ARRIENDOS\ENRIQUE LANAS.doc", "Abrir Documento")</f>
        <v>0</v>
      </c>
      <c r="D17161" t="s">
        <v>23500</v>
      </c>
      <c r="E17161" t="s">
        <v>39636</v>
      </c>
    </row>
    <row r="17162" spans="1:5">
      <c r="A17162" t="s">
        <v>6</v>
      </c>
      <c r="B17162" t="s">
        <v>17167</v>
      </c>
      <c r="C17162">
        <f>HYPERLINK("C:\Users\franc\OneDrive\Documentos\MALENTIN KARIME\BANCO ESTADO\2012 DEPTO ESCRITURAS fata\Dc Simples\RESPALDO comp notaria 27_12_12\NOTARIA 2012\ARRIENDOS\ENRIQUE ARAYA LOPEZ.doc", "Abrir Documento")</f>
        <v>0</v>
      </c>
      <c r="D17162" t="s">
        <v>23500</v>
      </c>
      <c r="E17162" t="s">
        <v>39637</v>
      </c>
    </row>
    <row r="17163" spans="1:5">
      <c r="A17163" t="s">
        <v>6</v>
      </c>
      <c r="B17163" t="s">
        <v>17168</v>
      </c>
      <c r="C17163">
        <f>HYPERLINK("C:\Users\franc\OneDrive\Documentos\MALENTIN KARIME\BANCO ESTADO\2012 DEPTO ESCRITURAS fata\Dc Simples\RESPALDO comp notaria 27_12_12\NOTARIA 2012\ARRIENDOS\EMILIO MUÑOZ.doc", "Abrir Documento")</f>
        <v>0</v>
      </c>
      <c r="D17163" t="s">
        <v>23500</v>
      </c>
      <c r="E17163" t="s">
        <v>39638</v>
      </c>
    </row>
    <row r="17164" spans="1:5">
      <c r="A17164" t="s">
        <v>6</v>
      </c>
      <c r="B17164" t="s">
        <v>17169</v>
      </c>
      <c r="C17164">
        <f>HYPERLINK("C:\Users\franc\OneDrive\Documentos\MALENTIN KARIME\BANCO ESTADO\2012 DEPTO ESCRITURAS fata\Dc Simples\RESPALDO comp notaria 27_12_12\NOTARIA 2012\ARRIENDOS\EMILIO MUÑOZ A JUAN MUÑOZ.doc", "Abrir Documento")</f>
        <v>0</v>
      </c>
      <c r="D17164" t="s">
        <v>23500</v>
      </c>
      <c r="E17164" t="s">
        <v>39639</v>
      </c>
    </row>
    <row r="17165" spans="1:5">
      <c r="A17165" t="s">
        <v>6</v>
      </c>
      <c r="B17165" t="s">
        <v>17170</v>
      </c>
      <c r="C17165">
        <f>HYPERLINK("C:\Users\franc\OneDrive\Documentos\MALENTIN KARIME\BANCO ESTADO\2012 DEPTO ESCRITURAS fata\Dc Simples\RESPALDO comp notaria 27_12_12\NOTARIA 2012\ARRIENDOS\EMILIANO Y ORLANDO ORDENES.doc", "Abrir Documento")</f>
        <v>0</v>
      </c>
      <c r="D17165" t="s">
        <v>23500</v>
      </c>
      <c r="E17165" t="s">
        <v>39640</v>
      </c>
    </row>
    <row r="17166" spans="1:5">
      <c r="A17166" t="s">
        <v>6</v>
      </c>
      <c r="B17166" t="s">
        <v>17171</v>
      </c>
      <c r="C17166">
        <f>HYPERLINK("C:\Users\franc\OneDrive\Documentos\MALENTIN KARIME\BANCO ESTADO\2012 DEPTO ESCRITURAS fata\Dc Simples\RESPALDO comp notaria 27_12_12\NOTARIA 2012\ARRIENDOS\ELEODORO ARANCIBIA.doc", "Abrir Documento")</f>
        <v>0</v>
      </c>
      <c r="D17166" t="s">
        <v>23500</v>
      </c>
      <c r="E17166" t="s">
        <v>39641</v>
      </c>
    </row>
    <row r="17167" spans="1:5">
      <c r="A17167" t="s">
        <v>6</v>
      </c>
      <c r="B17167" t="s">
        <v>17172</v>
      </c>
      <c r="C17167">
        <f>HYPERLINK("C:\Users\franc\OneDrive\Documentos\MALENTIN KARIME\BANCO ESTADO\2012 DEPTO ESCRITURAS fata\Dc Simples\RESPALDO comp notaria 27_12_12\NOTARIA 2012\ARRIENDOS\ELEAZAR OLIVARES DIAZ.doc", "Abrir Documento")</f>
        <v>0</v>
      </c>
      <c r="D17167" t="s">
        <v>23500</v>
      </c>
      <c r="E17167" t="s">
        <v>39642</v>
      </c>
    </row>
    <row r="17168" spans="1:5">
      <c r="A17168" t="s">
        <v>6</v>
      </c>
      <c r="B17168" t="s">
        <v>17173</v>
      </c>
      <c r="C17168">
        <f>HYPERLINK("C:\Users\franc\OneDrive\Documentos\MALENTIN KARIME\BANCO ESTADO\2012 DEPTO ESCRITURAS fata\Dc Simples\RESPALDO comp notaria 27_12_12\NOTARIA 2012\ARRIENDOS\EL PIRCADO.doc", "Abrir Documento")</f>
        <v>0</v>
      </c>
      <c r="D17168" t="s">
        <v>23500</v>
      </c>
      <c r="E17168" t="s">
        <v>39643</v>
      </c>
    </row>
    <row r="17169" spans="1:5">
      <c r="A17169" t="s">
        <v>6</v>
      </c>
      <c r="B17169" t="s">
        <v>17174</v>
      </c>
      <c r="C17169">
        <f>HYPERLINK("C:\Users\franc\OneDrive\Documentos\MALENTIN KARIME\BANCO ESTADO\2012 DEPTO ESCRITURAS fata\Dc Simples\RESPALDO comp notaria 27_12_12\NOTARIA 2012\ARRIENDOS\EDUARDO LAZO.doc", "Abrir Documento")</f>
        <v>0</v>
      </c>
      <c r="D17169" t="s">
        <v>23500</v>
      </c>
      <c r="E17169" t="s">
        <v>39644</v>
      </c>
    </row>
    <row r="17170" spans="1:5">
      <c r="A17170" t="s">
        <v>6</v>
      </c>
      <c r="B17170" t="s">
        <v>17175</v>
      </c>
      <c r="C17170">
        <f>HYPERLINK("C:\Users\franc\OneDrive\Documentos\MALENTIN KARIME\BANCO ESTADO\2012 DEPTO ESCRITURAS fata\Dc Simples\RESPALDO comp notaria 27_12_12\NOTARIA 2012\ARRIENDOS\EDUARDO AGUIRRE NEWMAN parc.5.doc", "Abrir Documento")</f>
        <v>0</v>
      </c>
      <c r="D17170" t="s">
        <v>23500</v>
      </c>
      <c r="E17170" t="s">
        <v>39645</v>
      </c>
    </row>
    <row r="17171" spans="1:5">
      <c r="A17171" t="s">
        <v>6</v>
      </c>
      <c r="B17171" t="s">
        <v>17176</v>
      </c>
      <c r="C17171">
        <f>HYPERLINK("C:\Users\franc\OneDrive\Documentos\MALENTIN KARIME\BANCO ESTADO\2012 DEPTO ESCRITURAS fata\Dc Simples\RESPALDO comp notaria 27_12_12\NOTARIA 2012\ARRIENDOS\EDUARDO AGUIRRE NEWMAN parc. 2.doc", "Abrir Documento")</f>
        <v>0</v>
      </c>
      <c r="D17171" t="s">
        <v>23500</v>
      </c>
      <c r="E17171" t="s">
        <v>39646</v>
      </c>
    </row>
    <row r="17172" spans="1:5">
      <c r="A17172" t="s">
        <v>6</v>
      </c>
      <c r="B17172" t="s">
        <v>17177</v>
      </c>
      <c r="C17172">
        <f>HYPERLINK("C:\Users\franc\OneDrive\Documentos\MALENTIN KARIME\BANCO ESTADO\2012 DEPTO ESCRITURAS fata\Dc Simples\RESPALDO comp notaria 27_12_12\NOTARIA 2012\ARRIENDOS\EDGARDO OLIVARES.doc", "Abrir Documento")</f>
        <v>0</v>
      </c>
      <c r="D17172" t="s">
        <v>23500</v>
      </c>
      <c r="E17172" t="s">
        <v>39647</v>
      </c>
    </row>
    <row r="17173" spans="1:5">
      <c r="A17173" t="s">
        <v>6</v>
      </c>
      <c r="B17173" t="s">
        <v>17178</v>
      </c>
      <c r="C17173">
        <f>HYPERLINK("C:\Users\franc\OneDrive\Documentos\MALENTIN KARIME\BANCO ESTADO\2012 DEPTO ESCRITURAS fata\Dc Simples\RESPALDO comp notaria 27_12_12\NOTARIA 2012\ARRIENDOS\DOMINGO VEGA.doc", "Abrir Documento")</f>
        <v>0</v>
      </c>
      <c r="D17173" t="s">
        <v>23500</v>
      </c>
      <c r="E17173" t="s">
        <v>39648</v>
      </c>
    </row>
    <row r="17174" spans="1:5">
      <c r="A17174" t="s">
        <v>6</v>
      </c>
      <c r="B17174" t="s">
        <v>17179</v>
      </c>
      <c r="C17174">
        <f>HYPERLINK("C:\Users\franc\OneDrive\Documentos\MALENTIN KARIME\BANCO ESTADO\2012 DEPTO ESCRITURAS fata\Dc Simples\RESPALDO comp notaria 27_12_12\NOTARIA 2012\ARRIENDOS\DOMINGO RIVERA.doc", "Abrir Documento")</f>
        <v>0</v>
      </c>
      <c r="D17174" t="s">
        <v>23500</v>
      </c>
      <c r="E17174" t="s">
        <v>39649</v>
      </c>
    </row>
    <row r="17175" spans="1:5">
      <c r="A17175" t="s">
        <v>6</v>
      </c>
      <c r="B17175" t="s">
        <v>17180</v>
      </c>
      <c r="C17175">
        <f>HYPERLINK("C:\Users\franc\OneDrive\Documentos\MALENTIN KARIME\BANCO ESTADO\2012 DEPTO ESCRITURAS fata\Dc Simples\RESPALDO comp notaria 27_12_12\NOTARIA 2012\ARRIENDOS\DIRECTORA.doc", "Abrir Documento")</f>
        <v>0</v>
      </c>
      <c r="D17175" t="s">
        <v>23500</v>
      </c>
      <c r="E17175" t="s">
        <v>39650</v>
      </c>
    </row>
    <row r="17176" spans="1:5">
      <c r="A17176" t="s">
        <v>6</v>
      </c>
      <c r="B17176" t="s">
        <v>17181</v>
      </c>
      <c r="C17176">
        <f>HYPERLINK("C:\Users\franc\OneDrive\Documentos\MALENTIN KARIME\BANCO ESTADO\2012 DEPTO ESCRITURAS fata\Dc Simples\RESPALDO comp notaria 27_12_12\NOTARIA 2012\ARRIENDOS\DAMASO CONTRERAS.doc", "Abrir Documento")</f>
        <v>0</v>
      </c>
      <c r="D17176" t="s">
        <v>23500</v>
      </c>
      <c r="E17176" t="s">
        <v>39651</v>
      </c>
    </row>
    <row r="17177" spans="1:5">
      <c r="A17177" t="s">
        <v>6</v>
      </c>
      <c r="B17177" t="s">
        <v>17182</v>
      </c>
      <c r="C17177">
        <f>HYPERLINK("C:\Users\franc\OneDrive\Documentos\MALENTIN KARIME\BANCO ESTADO\2012 DEPTO ESCRITURAS fata\Dc Simples\RESPALDO comp notaria 27_12_12\NOTARIA 2012\ARRIENDOS\DAMASO A PEDRO BARRAZA.doc", "Abrir Documento")</f>
        <v>0</v>
      </c>
      <c r="D17177" t="s">
        <v>23500</v>
      </c>
      <c r="E17177" t="s">
        <v>39652</v>
      </c>
    </row>
    <row r="17178" spans="1:5">
      <c r="A17178" t="s">
        <v>6</v>
      </c>
      <c r="B17178" t="s">
        <v>17183</v>
      </c>
      <c r="C17178">
        <f>HYPERLINK("C:\Users\franc\OneDrive\Documentos\MALENTIN KARIME\BANCO ESTADO\2012 DEPTO ESCRITURAS fata\Dc Simples\RESPALDO comp notaria 27_12_12\NOTARIA 2012\ARRIENDOS\CRISTINA CORNEJO ALVAREZ.doc", "Abrir Documento")</f>
        <v>0</v>
      </c>
      <c r="D17178" t="s">
        <v>23500</v>
      </c>
      <c r="E17178" t="s">
        <v>39653</v>
      </c>
    </row>
    <row r="17179" spans="1:5">
      <c r="A17179" t="s">
        <v>6</v>
      </c>
      <c r="B17179" t="s">
        <v>17184</v>
      </c>
      <c r="C17179">
        <f>HYPERLINK("C:\Users\franc\OneDrive\Documentos\MALENTIN KARIME\BANCO ESTADO\2012 DEPTO ESCRITURAS fata\Dc Simples\RESPALDO comp notaria 27_12_12\NOTARIA 2012\ARRIENDOS\CONTRATO_DE_ARRIENDO_ ROBERTO VEGA.doc", "Abrir Documento")</f>
        <v>0</v>
      </c>
      <c r="D17179" t="s">
        <v>23500</v>
      </c>
      <c r="E17179" t="s">
        <v>39654</v>
      </c>
    </row>
    <row r="17180" spans="1:5">
      <c r="A17180" t="s">
        <v>6</v>
      </c>
      <c r="B17180" t="s">
        <v>17185</v>
      </c>
      <c r="C17180">
        <f>HYPERLINK("C:\Users\franc\OneDrive\Documentos\MALENTIN KARIME\BANCO ESTADO\2012 DEPTO ESCRITURAS fata\Dc Simples\RESPALDO comp notaria 27_12_12\NOTARIA 2012\ARRIENDOS\CONTRATO PISCINA.doc", "Abrir Documento")</f>
        <v>0</v>
      </c>
      <c r="D17180" t="s">
        <v>23500</v>
      </c>
      <c r="E17180" t="s">
        <v>39655</v>
      </c>
    </row>
    <row r="17181" spans="1:5">
      <c r="A17181" t="s">
        <v>6</v>
      </c>
      <c r="B17181" t="s">
        <v>17186</v>
      </c>
      <c r="C17181">
        <f>HYPERLINK("C:\Users\franc\OneDrive\Documentos\MALENTIN KARIME\BANCO ESTADO\2012 DEPTO ESCRITURAS fata\Dc Simples\RESPALDO comp notaria 27_12_12\NOTARIA 2012\ARRIENDOS\contrato de arriendo PEDRO cHACON.doc", "Abrir Documento")</f>
        <v>0</v>
      </c>
      <c r="D17181" t="s">
        <v>23500</v>
      </c>
      <c r="E17181" t="s">
        <v>39656</v>
      </c>
    </row>
    <row r="17182" spans="1:5">
      <c r="A17182" t="s">
        <v>6</v>
      </c>
      <c r="B17182" t="s">
        <v>17187</v>
      </c>
      <c r="C17182">
        <f>HYPERLINK("C:\Users\franc\OneDrive\Documentos\MALENTIN KARIME\BANCO ESTADO\2012 DEPTO ESCRITURAS fata\Dc Simples\RESPALDO comp notaria 27_12_12\NOTARIA 2012\ARRIENDOS\CON REPRESENTACION.doc", "Abrir Documento")</f>
        <v>0</v>
      </c>
      <c r="D17182" t="s">
        <v>23500</v>
      </c>
      <c r="E17182" t="s">
        <v>39657</v>
      </c>
    </row>
    <row r="17183" spans="1:5">
      <c r="A17183" t="s">
        <v>6</v>
      </c>
      <c r="B17183" t="s">
        <v>17188</v>
      </c>
      <c r="C17183">
        <f>HYPERLINK("C:\Users\franc\OneDrive\Documentos\MALENTIN KARIME\BANCO ESTADO\2012 DEPTO ESCRITURAS fata\Dc Simples\RESPALDO comp notaria 27_12_12\NOTARIA 2012\ARRIENDOS\COMUNIDAD AGRICOLA EL ROMERAL.doc", "Abrir Documento")</f>
        <v>0</v>
      </c>
      <c r="D17183" t="s">
        <v>23500</v>
      </c>
      <c r="E17183" t="s">
        <v>39658</v>
      </c>
    </row>
    <row r="17184" spans="1:5">
      <c r="A17184" t="s">
        <v>6</v>
      </c>
      <c r="B17184" t="s">
        <v>17189</v>
      </c>
      <c r="C17184">
        <f>HYPERLINK("C:\Users\franc\OneDrive\Documentos\MALENTIN KARIME\BANCO ESTADO\2012 DEPTO ESCRITURAS fata\Dc Simples\RESPALDO comp notaria 27_12_12\NOTARIA 2012\ARRIENDOS\COMUNIDAD AGRICOLA CANELILLA.doc", "Abrir Documento")</f>
        <v>0</v>
      </c>
      <c r="D17184" t="s">
        <v>23500</v>
      </c>
      <c r="E17184" t="s">
        <v>39659</v>
      </c>
    </row>
    <row r="17185" spans="1:5">
      <c r="A17185" t="s">
        <v>6</v>
      </c>
      <c r="B17185" t="s">
        <v>17190</v>
      </c>
      <c r="C17185">
        <f>HYPERLINK("C:\Users\franc\OneDrive\Documentos\MALENTIN KARIME\BANCO ESTADO\2012 DEPTO ESCRITURAS fata\Dc Simples\RESPALDO comp notaria 27_12_12\NOTARIA 2012\ARRIENDOS\COMODATO AGUA POTABLE.-.doc", "Abrir Documento")</f>
        <v>0</v>
      </c>
      <c r="D17185" t="s">
        <v>23500</v>
      </c>
      <c r="E17185" t="s">
        <v>39660</v>
      </c>
    </row>
    <row r="17186" spans="1:5">
      <c r="A17186" t="s">
        <v>6</v>
      </c>
      <c r="B17186" t="s">
        <v>17191</v>
      </c>
      <c r="C17186">
        <f>HYPERLINK("C:\Users\franc\OneDrive\Documentos\MALENTIN KARIME\BANCO ESTADO\2012 DEPTO ESCRITURAS fata\Dc Simples\RESPALDO comp notaria 27_12_12\NOTARIA 2012\ARRIENDOS\COMERCIAL PLASTI-ECCHER S.A..doc", "Abrir Documento")</f>
        <v>0</v>
      </c>
      <c r="D17186" t="s">
        <v>23500</v>
      </c>
      <c r="E17186" t="s">
        <v>39661</v>
      </c>
    </row>
    <row r="17187" spans="1:5">
      <c r="A17187" t="s">
        <v>6</v>
      </c>
      <c r="B17187" t="s">
        <v>17192</v>
      </c>
      <c r="C17187">
        <f>HYPERLINK("C:\Users\franc\OneDrive\Documentos\MALENTIN KARIME\BANCO ESTADO\2012 DEPTO ESCRITURAS fata\Dc Simples\RESPALDO comp notaria 27_12_12\NOTARIA 2012\ARRIENDOS\CLAUDIO CORREA.doc", "Abrir Documento")</f>
        <v>0</v>
      </c>
      <c r="D17187" t="s">
        <v>23500</v>
      </c>
      <c r="E17187" t="s">
        <v>39662</v>
      </c>
    </row>
    <row r="17188" spans="1:5">
      <c r="A17188" t="s">
        <v>6</v>
      </c>
      <c r="B17188" t="s">
        <v>17193</v>
      </c>
      <c r="C17188">
        <f>HYPERLINK("C:\Users\franc\OneDrive\Documentos\MALENTIN KARIME\BANCO ESTADO\2012 DEPTO ESCRITURAS fata\Dc Simples\RESPALDO comp notaria 27_12_12\NOTARIA 2012\ARRIENDOS\CLAUDIO ARDILES.doc", "Abrir Documento")</f>
        <v>0</v>
      </c>
      <c r="D17188" t="s">
        <v>23500</v>
      </c>
      <c r="E17188" t="s">
        <v>39663</v>
      </c>
    </row>
    <row r="17189" spans="1:5">
      <c r="A17189" t="s">
        <v>6</v>
      </c>
      <c r="B17189" t="s">
        <v>17194</v>
      </c>
      <c r="C17189">
        <f>HYPERLINK("C:\Users\franc\OneDrive\Documentos\MALENTIN KARIME\BANCO ESTADO\2012 DEPTO ESCRITURAS fata\Dc Simples\RESPALDO comp notaria 27_12_12\NOTARIA 2012\ARRIENDOS\CLARA GONZALEZ Y OTRO.doc", "Abrir Documento")</f>
        <v>0</v>
      </c>
      <c r="D17189" t="s">
        <v>23500</v>
      </c>
      <c r="E17189" t="s">
        <v>39664</v>
      </c>
    </row>
    <row r="17190" spans="1:5">
      <c r="A17190" t="s">
        <v>6</v>
      </c>
      <c r="B17190" t="s">
        <v>17195</v>
      </c>
      <c r="C17190">
        <f>HYPERLINK("C:\Users\franc\OneDrive\Documentos\MALENTIN KARIME\BANCO ESTADO\2012 DEPTO ESCRITURAS fata\Dc Simples\RESPALDO comp notaria 27_12_12\NOTARIA 2012\ARRIENDOS\CEDEDON RAMOS.doc", "Abrir Documento")</f>
        <v>0</v>
      </c>
      <c r="D17190" t="s">
        <v>23500</v>
      </c>
      <c r="E17190" t="s">
        <v>39665</v>
      </c>
    </row>
    <row r="17191" spans="1:5">
      <c r="A17191" t="s">
        <v>6</v>
      </c>
      <c r="B17191" t="s">
        <v>17196</v>
      </c>
      <c r="C17191">
        <f>HYPERLINK("C:\Users\franc\OneDrive\Documentos\MALENTIN KARIME\BANCO ESTADO\2012 DEPTO ESCRITURAS fata\Dc Simples\RESPALDO comp notaria 27_12_12\NOTARIA 2012\ARRIENDOS\CECILIA CORTES EIRL.doc", "Abrir Documento")</f>
        <v>0</v>
      </c>
      <c r="D17191" t="s">
        <v>23500</v>
      </c>
      <c r="E17191" t="s">
        <v>39666</v>
      </c>
    </row>
    <row r="17192" spans="1:5">
      <c r="A17192" t="s">
        <v>6</v>
      </c>
      <c r="B17192" t="s">
        <v>17197</v>
      </c>
      <c r="C17192">
        <f>HYPERLINK("C:\Users\franc\OneDrive\Documentos\MALENTIN KARIME\BANCO ESTADO\2012 DEPTO ESCRITURAS fata\Dc Simples\RESPALDO comp notaria 27_12_12\NOTARIA 2012\ARRIENDOS\CARMEN RIVERA HIDALGO.doc", "Abrir Documento")</f>
        <v>0</v>
      </c>
      <c r="D17192" t="s">
        <v>23500</v>
      </c>
      <c r="E17192" t="s">
        <v>39667</v>
      </c>
    </row>
    <row r="17193" spans="1:5">
      <c r="A17193" t="s">
        <v>6</v>
      </c>
      <c r="B17193" t="s">
        <v>17198</v>
      </c>
      <c r="C17193">
        <f>HYPERLINK("C:\Users\franc\OneDrive\Documentos\MALENTIN KARIME\BANCO ESTADO\2012 DEPTO ESCRITURAS fata\Dc Simples\RESPALDO comp notaria 27_12_12\NOTARIA 2012\ARRIENDOS\CARMEN LEON.doc", "Abrir Documento")</f>
        <v>0</v>
      </c>
      <c r="D17193" t="s">
        <v>23500</v>
      </c>
      <c r="E17193" t="s">
        <v>39668</v>
      </c>
    </row>
    <row r="17194" spans="1:5">
      <c r="A17194" t="s">
        <v>6</v>
      </c>
      <c r="B17194" t="s">
        <v>17199</v>
      </c>
      <c r="C17194">
        <f>HYPERLINK("C:\Users\franc\OneDrive\Documentos\MALENTIN KARIME\BANCO ESTADO\2012 DEPTO ESCRITURAS fata\Dc Simples\RESPALDO comp notaria 27_12_12\NOTARIA 2012\ARRIENDOS\CARMEN CONTRERAS.doc", "Abrir Documento")</f>
        <v>0</v>
      </c>
      <c r="D17194" t="s">
        <v>23500</v>
      </c>
      <c r="E17194" t="s">
        <v>39669</v>
      </c>
    </row>
    <row r="17195" spans="1:5">
      <c r="A17195" t="s">
        <v>6</v>
      </c>
      <c r="B17195" t="s">
        <v>17200</v>
      </c>
      <c r="C17195">
        <f>HYPERLINK("C:\Users\franc\OneDrive\Documentos\MALENTIN KARIME\BANCO ESTADO\2012 DEPTO ESCRITURAS fata\Dc Simples\RESPALDO comp notaria 27_12_12\NOTARIA 2012\ARRIENDOS\CARMEN BRAVO.doc", "Abrir Documento")</f>
        <v>0</v>
      </c>
      <c r="D17195" t="s">
        <v>23500</v>
      </c>
      <c r="E17195" t="s">
        <v>39670</v>
      </c>
    </row>
    <row r="17196" spans="1:5">
      <c r="A17196" t="s">
        <v>6</v>
      </c>
      <c r="B17196" t="s">
        <v>17201</v>
      </c>
      <c r="C17196">
        <f>HYPERLINK("C:\Users\franc\OneDrive\Documentos\MALENTIN KARIME\BANCO ESTADO\2012 DEPTO ESCRITURAS fata\Dc Simples\RESPALDO comp notaria 27_12_12\NOTARIA 2012\ARRIENDOS\CARLOS CORTES.doc", "Abrir Documento")</f>
        <v>0</v>
      </c>
      <c r="D17196" t="s">
        <v>23500</v>
      </c>
      <c r="E17196" t="s">
        <v>39671</v>
      </c>
    </row>
    <row r="17197" spans="1:5">
      <c r="A17197" t="s">
        <v>6</v>
      </c>
      <c r="B17197" t="s">
        <v>17202</v>
      </c>
      <c r="C17197">
        <f>HYPERLINK("C:\Users\franc\OneDrive\Documentos\MALENTIN KARIME\BANCO ESTADO\2012 DEPTO ESCRITURAS fata\Dc Simples\RESPALDO comp notaria 27_12_12\NOTARIA 2012\ARRIENDOS\CARLOS BUGUEÑO TELLO.doc", "Abrir Documento")</f>
        <v>0</v>
      </c>
      <c r="D17197" t="s">
        <v>23500</v>
      </c>
      <c r="E17197" t="s">
        <v>39672</v>
      </c>
    </row>
    <row r="17198" spans="1:5">
      <c r="A17198" t="s">
        <v>6</v>
      </c>
      <c r="B17198" t="s">
        <v>17203</v>
      </c>
      <c r="C17198">
        <f>HYPERLINK("C:\Users\franc\OneDrive\Documentos\MALENTIN KARIME\BANCO ESTADO\2012 DEPTO ESCRITURAS fata\Dc Simples\RESPALDO comp notaria 27_12_12\NOTARIA 2012\ARRIENDOS\CARLOS BENAVENTE.doc", "Abrir Documento")</f>
        <v>0</v>
      </c>
      <c r="D17198" t="s">
        <v>23500</v>
      </c>
      <c r="E17198" t="s">
        <v>39673</v>
      </c>
    </row>
    <row r="17199" spans="1:5">
      <c r="A17199" t="s">
        <v>6</v>
      </c>
      <c r="B17199" t="s">
        <v>17204</v>
      </c>
      <c r="C17199">
        <f>HYPERLINK("C:\Users\franc\OneDrive\Documentos\MALENTIN KARIME\BANCO ESTADO\2012 DEPTO ESCRITURAS fata\Dc Simples\RESPALDO comp notaria 27_12_12\NOTARIA 2012\ARRIENDOS\CARLOS ALFARO ROJAS.doc", "Abrir Documento")</f>
        <v>0</v>
      </c>
      <c r="D17199" t="s">
        <v>23500</v>
      </c>
      <c r="E17199" t="s">
        <v>39674</v>
      </c>
    </row>
    <row r="17200" spans="1:5">
      <c r="A17200" t="s">
        <v>6</v>
      </c>
      <c r="B17200" t="s">
        <v>17205</v>
      </c>
      <c r="C17200">
        <f>HYPERLINK("C:\Users\franc\OneDrive\Documentos\MALENTIN KARIME\BANCO ESTADO\2012 DEPTO ESCRITURAS fata\Dc Simples\RESPALDO comp notaria 27_12_12\NOTARIA 2012\ARRIENDOS\CAPSICUM.doc", "Abrir Documento")</f>
        <v>0</v>
      </c>
      <c r="D17200" t="s">
        <v>23500</v>
      </c>
      <c r="E17200" t="s">
        <v>39675</v>
      </c>
    </row>
    <row r="17201" spans="1:5">
      <c r="A17201" t="s">
        <v>6</v>
      </c>
      <c r="B17201" t="s">
        <v>17206</v>
      </c>
      <c r="C17201">
        <f>HYPERLINK("C:\Users\franc\OneDrive\Documentos\MALENTIN KARIME\BANCO ESTADO\2012 DEPTO ESCRITURAS fata\Dc Simples\RESPALDO comp notaria 27_12_12\NOTARIA 2012\ARRIENDOS\CAPRIGEN.doc", "Abrir Documento")</f>
        <v>0</v>
      </c>
      <c r="D17201" t="s">
        <v>23500</v>
      </c>
      <c r="E17201" t="s">
        <v>39676</v>
      </c>
    </row>
    <row r="17202" spans="1:5">
      <c r="A17202" t="s">
        <v>6</v>
      </c>
      <c r="B17202" t="s">
        <v>17207</v>
      </c>
      <c r="C17202">
        <f>HYPERLINK("C:\Users\franc\OneDrive\Documentos\MALENTIN KARIME\BANCO ESTADO\2012 DEPTO ESCRITURAS fata\Dc Simples\RESPALDO comp notaria 27_12_12\NOTARIA 2012\ARRIENDOS\CAMINO.doc", "Abrir Documento")</f>
        <v>0</v>
      </c>
      <c r="D17202" t="s">
        <v>23500</v>
      </c>
      <c r="E17202" t="s">
        <v>39677</v>
      </c>
    </row>
    <row r="17203" spans="1:5">
      <c r="A17203" t="s">
        <v>6</v>
      </c>
      <c r="B17203" t="s">
        <v>17208</v>
      </c>
      <c r="C17203">
        <f>HYPERLINK("C:\Users\franc\OneDrive\Documentos\MALENTIN KARIME\BANCO ESTADO\2012 DEPTO ESCRITURAS fata\Dc Simples\RESPALDO comp notaria 27_12_12\NOTARIA 2012\ARRIENDOS\CAMILO CASTILLO.doc", "Abrir Documento")</f>
        <v>0</v>
      </c>
      <c r="D17203" t="s">
        <v>23500</v>
      </c>
      <c r="E17203" t="s">
        <v>39678</v>
      </c>
    </row>
    <row r="17204" spans="1:5">
      <c r="A17204" t="s">
        <v>6</v>
      </c>
      <c r="B17204" t="s">
        <v>17209</v>
      </c>
      <c r="C17204">
        <f>HYPERLINK("C:\Users\franc\OneDrive\Documentos\MALENTIN KARIME\BANCO ESTADO\2012 DEPTO ESCRITURAS fata\Dc Simples\RESPALDO comp notaria 27_12_12\NOTARIA 2012\ARRIENDOS\BRISAS DEL SOL.doc", "Abrir Documento")</f>
        <v>0</v>
      </c>
      <c r="D17204" t="s">
        <v>23500</v>
      </c>
      <c r="E17204" t="s">
        <v>39679</v>
      </c>
    </row>
    <row r="17205" spans="1:5">
      <c r="A17205" t="s">
        <v>6</v>
      </c>
      <c r="B17205" t="s">
        <v>17210</v>
      </c>
      <c r="C17205">
        <f>HYPERLINK("C:\Users\franc\OneDrive\Documentos\MALENTIN KARIME\BANCO ESTADO\2012 DEPTO ESCRITURAS fata\Dc Simples\RESPALDO comp notaria 27_12_12\NOTARIA 2012\ARRIENDOS\BERNARDO MILLA ROJAS.doc", "Abrir Documento")</f>
        <v>0</v>
      </c>
      <c r="D17205" t="s">
        <v>23500</v>
      </c>
      <c r="E17205" t="s">
        <v>39680</v>
      </c>
    </row>
    <row r="17206" spans="1:5">
      <c r="A17206" t="s">
        <v>6</v>
      </c>
      <c r="B17206" t="s">
        <v>17211</v>
      </c>
      <c r="C17206">
        <f>HYPERLINK("C:\Users\franc\OneDrive\Documentos\MALENTIN KARIME\BANCO ESTADO\2012 DEPTO ESCRITURAS fata\Dc Simples\RESPALDO comp notaria 27_12_12\NOTARIA 2012\ARRIENDOS\BERNARDO CONTRERAS.doc", "Abrir Documento")</f>
        <v>0</v>
      </c>
      <c r="D17206" t="s">
        <v>23500</v>
      </c>
      <c r="E17206" t="s">
        <v>39681</v>
      </c>
    </row>
    <row r="17207" spans="1:5">
      <c r="A17207" t="s">
        <v>6</v>
      </c>
      <c r="B17207" t="s">
        <v>17212</v>
      </c>
      <c r="C17207">
        <f>HYPERLINK("C:\Users\franc\OneDrive\Documentos\MALENTIN KARIME\BANCO ESTADO\2012 DEPTO ESCRITURAS fata\Dc Simples\RESPALDO comp notaria 27_12_12\NOTARIA 2012\ARRIENDOS\BENJAMIN JULIO CASTILLO.doc", "Abrir Documento")</f>
        <v>0</v>
      </c>
      <c r="D17207" t="s">
        <v>23500</v>
      </c>
      <c r="E17207" t="s">
        <v>39682</v>
      </c>
    </row>
    <row r="17208" spans="1:5">
      <c r="A17208" t="s">
        <v>6</v>
      </c>
      <c r="B17208" t="s">
        <v>17213</v>
      </c>
      <c r="C17208">
        <f>HYPERLINK("C:\Users\franc\OneDrive\Documentos\MALENTIN KARIME\BANCO ESTADO\2012 DEPTO ESCRITURAS fata\Dc Simples\RESPALDO comp notaria 27_12_12\NOTARIA 2012\ARRIENDOS\BENITO CORTES.doc", "Abrir Documento")</f>
        <v>0</v>
      </c>
      <c r="D17208" t="s">
        <v>23500</v>
      </c>
      <c r="E17208" t="s">
        <v>39683</v>
      </c>
    </row>
    <row r="17209" spans="1:5">
      <c r="A17209" t="s">
        <v>6</v>
      </c>
      <c r="B17209" t="s">
        <v>17214</v>
      </c>
      <c r="C17209">
        <f>HYPERLINK("C:\Users\franc\OneDrive\Documentos\MALENTIN KARIME\BANCO ESTADO\2012 DEPTO ESCRITURAS fata\Dc Simples\RESPALDO comp notaria 27_12_12\NOTARIA 2012\ARRIENDOS\BELLA VISTA.doc", "Abrir Documento")</f>
        <v>0</v>
      </c>
      <c r="D17209" t="s">
        <v>23500</v>
      </c>
      <c r="E17209" t="s">
        <v>39684</v>
      </c>
    </row>
    <row r="17210" spans="1:5">
      <c r="A17210" t="s">
        <v>6</v>
      </c>
      <c r="B17210" t="s">
        <v>17215</v>
      </c>
      <c r="C17210">
        <f>HYPERLINK("C:\Users\franc\OneDrive\Documentos\MALENTIN KARIME\BANCO ESTADO\2012 DEPTO ESCRITURAS fata\Dc Simples\RESPALDO comp notaria 27_12_12\NOTARIA 2012\ARRIENDOS\BARTOLO ANTIQUERA.doc", "Abrir Documento")</f>
        <v>0</v>
      </c>
      <c r="D17210" t="s">
        <v>23500</v>
      </c>
      <c r="E17210" t="s">
        <v>39685</v>
      </c>
    </row>
    <row r="17211" spans="1:5">
      <c r="A17211" t="s">
        <v>6</v>
      </c>
      <c r="B17211" t="s">
        <v>17216</v>
      </c>
      <c r="C17211">
        <f>HYPERLINK("C:\Users\franc\OneDrive\Documentos\MALENTIN KARIME\BANCO ESTADO\2012 DEPTO ESCRITURAS fata\Dc Simples\RESPALDO comp notaria 27_12_12\NOTARIA 2012\ARRIENDOS\AURISTELA GONZALEZ.doc", "Abrir Documento")</f>
        <v>0</v>
      </c>
      <c r="D17211" t="s">
        <v>23500</v>
      </c>
      <c r="E17211" t="s">
        <v>39686</v>
      </c>
    </row>
    <row r="17212" spans="1:5">
      <c r="A17212" t="s">
        <v>6</v>
      </c>
      <c r="B17212" t="s">
        <v>17217</v>
      </c>
      <c r="C17212">
        <f>HYPERLINK("C:\Users\franc\OneDrive\Documentos\MALENTIN KARIME\BANCO ESTADO\2012 DEPTO ESCRITURAS fata\Dc Simples\RESPALDO comp notaria 27_12_12\NOTARIA 2012\ARRIENDOS\AUDALIO SOTO.doc", "Abrir Documento")</f>
        <v>0</v>
      </c>
      <c r="D17212" t="s">
        <v>23500</v>
      </c>
      <c r="E17212" t="s">
        <v>39687</v>
      </c>
    </row>
    <row r="17213" spans="1:5">
      <c r="A17213" t="s">
        <v>6</v>
      </c>
      <c r="B17213" t="s">
        <v>17218</v>
      </c>
      <c r="C17213">
        <f>HYPERLINK("C:\Users\franc\OneDrive\Documentos\MALENTIN KARIME\BANCO ESTADO\2012 DEPTO ESCRITURAS fata\Dc Simples\RESPALDO comp notaria 27_12_12\NOTARIA 2012\ARRIENDOS\ARTEMIO TORREJON.doc", "Abrir Documento")</f>
        <v>0</v>
      </c>
      <c r="D17213" t="s">
        <v>23500</v>
      </c>
      <c r="E17213" t="s">
        <v>39688</v>
      </c>
    </row>
    <row r="17214" spans="1:5">
      <c r="A17214" t="s">
        <v>6</v>
      </c>
      <c r="B17214" t="s">
        <v>17219</v>
      </c>
      <c r="C17214">
        <f>HYPERLINK("C:\Users\franc\OneDrive\Documentos\MALENTIN KARIME\BANCO ESTADO\2012 DEPTO ESCRITURAS fata\Dc Simples\RESPALDO comp notaria 27_12_12\NOTARIA 2012\ARRIENDOS\ARTEMIO OLIVARES.doc", "Abrir Documento")</f>
        <v>0</v>
      </c>
      <c r="D17214" t="s">
        <v>23500</v>
      </c>
      <c r="E17214" t="s">
        <v>39689</v>
      </c>
    </row>
    <row r="17215" spans="1:5">
      <c r="A17215" t="s">
        <v>6</v>
      </c>
      <c r="B17215" t="s">
        <v>17220</v>
      </c>
      <c r="C17215">
        <f>HYPERLINK("C:\Users\franc\OneDrive\Documentos\MALENTIN KARIME\BANCO ESTADO\2012 DEPTO ESCRITURAS fata\Dc Simples\RESPALDO comp notaria 27_12_12\NOTARIA 2012\ARRIENDOS\ARTEMIO OLIVARES La Chimba.doc", "Abrir Documento")</f>
        <v>0</v>
      </c>
      <c r="D17215" t="s">
        <v>23500</v>
      </c>
      <c r="E17215" t="s">
        <v>39690</v>
      </c>
    </row>
    <row r="17216" spans="1:5">
      <c r="A17216" t="s">
        <v>6</v>
      </c>
      <c r="B17216" t="s">
        <v>17221</v>
      </c>
      <c r="C17216">
        <f>HYPERLINK("C:\Users\franc\OneDrive\Documentos\MALENTIN KARIME\BANCO ESTADO\2012 DEPTO ESCRITURAS fata\Dc Simples\RESPALDO comp notaria 27_12_12\NOTARIA 2012\ARRIENDOS\ARRIENDO TERMAS DE SOCOS.doc", "Abrir Documento")</f>
        <v>0</v>
      </c>
      <c r="D17216" t="s">
        <v>23500</v>
      </c>
      <c r="E17216" t="s">
        <v>39691</v>
      </c>
    </row>
    <row r="17217" spans="1:5">
      <c r="A17217" t="s">
        <v>6</v>
      </c>
      <c r="B17217" t="s">
        <v>17222</v>
      </c>
      <c r="C17217">
        <f>HYPERLINK("C:\Users\franc\OneDrive\Documentos\MALENTIN KARIME\BANCO ESTADO\2012 DEPTO ESCRITURAS fata\Dc Simples\RESPALDO comp notaria 27_12_12\NOTARIA 2012\ARRIENDOS\ARRIENDO PAGO POR ARREGLOdoc.doc", "Abrir Documento")</f>
        <v>0</v>
      </c>
      <c r="D17217" t="s">
        <v>23500</v>
      </c>
      <c r="E17217" t="s">
        <v>39692</v>
      </c>
    </row>
    <row r="17218" spans="1:5">
      <c r="A17218" t="s">
        <v>6</v>
      </c>
      <c r="B17218" t="s">
        <v>17223</v>
      </c>
      <c r="C17218">
        <f>HYPERLINK("C:\Users\franc\OneDrive\Documentos\MALENTIN KARIME\BANCO ESTADO\2012 DEPTO ESCRITURAS fata\Dc Simples\RESPALDO comp notaria 27_12_12\NOTARIA 2012\ARRIENDOS\Arrendamiento_Mina Hilda a CMB, FINAL.doc", "Abrir Documento")</f>
        <v>0</v>
      </c>
      <c r="D17218" t="s">
        <v>23500</v>
      </c>
      <c r="E17218" t="s">
        <v>39693</v>
      </c>
    </row>
    <row r="17219" spans="1:5">
      <c r="A17219" t="s">
        <v>6</v>
      </c>
      <c r="B17219" t="s">
        <v>17224</v>
      </c>
      <c r="C17219">
        <f>HYPERLINK("C:\Users\franc\OneDrive\Documentos\MALENTIN KARIME\BANCO ESTADO\2012 DEPTO ESCRITURAS fata\Dc Simples\RESPALDO comp notaria 27_12_12\NOTARIA 2012\ARRIENDOS\ARR.PARRON.doc", "Abrir Documento")</f>
        <v>0</v>
      </c>
      <c r="D17219" t="s">
        <v>23500</v>
      </c>
      <c r="E17219" t="s">
        <v>39694</v>
      </c>
    </row>
    <row r="17220" spans="1:5">
      <c r="A17220" t="s">
        <v>6</v>
      </c>
      <c r="B17220" t="s">
        <v>17225</v>
      </c>
      <c r="C17220">
        <f>HYPERLINK("C:\Users\franc\OneDrive\Documentos\MALENTIN KARIME\BANCO ESTADO\2012 DEPTO ESCRITURAS fata\Dc Simples\RESPALDO comp notaria 27_12_12\NOTARIA 2012\ARRIENDOS\ARR. DE AGUAS.doc", "Abrir Documento")</f>
        <v>0</v>
      </c>
      <c r="D17220" t="s">
        <v>23500</v>
      </c>
      <c r="E17220" t="s">
        <v>39695</v>
      </c>
    </row>
    <row r="17221" spans="1:5">
      <c r="A17221" t="s">
        <v>6</v>
      </c>
      <c r="B17221" t="s">
        <v>17226</v>
      </c>
      <c r="C17221">
        <f>HYPERLINK("C:\Users\franc\OneDrive\Documentos\MALENTIN KARIME\BANCO ESTADO\2012 DEPTO ESCRITURAS fata\Dc Simples\RESPALDO comp notaria 27_12_12\NOTARIA 2012\ARRIENDOS\ARNOLDO OLIVARES.doc", "Abrir Documento")</f>
        <v>0</v>
      </c>
      <c r="D17221" t="s">
        <v>23500</v>
      </c>
      <c r="E17221" t="s">
        <v>39696</v>
      </c>
    </row>
    <row r="17222" spans="1:5">
      <c r="A17222" t="s">
        <v>6</v>
      </c>
      <c r="B17222" t="s">
        <v>17227</v>
      </c>
      <c r="C17222">
        <f>HYPERLINK("C:\Users\franc\OneDrive\Documentos\MALENTIN KARIME\BANCO ESTADO\2012 DEPTO ESCRITURAS fata\Dc Simples\RESPALDO comp notaria 27_12_12\NOTARIA 2012\ARRIENDOS\ARMANDO MALDONADO.doc", "Abrir Documento")</f>
        <v>0</v>
      </c>
      <c r="D17222" t="s">
        <v>23500</v>
      </c>
      <c r="E17222" t="s">
        <v>39697</v>
      </c>
    </row>
    <row r="17223" spans="1:5">
      <c r="A17223" t="s">
        <v>6</v>
      </c>
      <c r="B17223" t="s">
        <v>17228</v>
      </c>
      <c r="C17223">
        <f>HYPERLINK("C:\Users\franc\OneDrive\Documentos\MALENTIN KARIME\BANCO ESTADO\2012 DEPTO ESCRITURAS fata\Dc Simples\RESPALDO comp notaria 27_12_12\NOTARIA 2012\ARRIENDOS\ARMANDO GUERRERO.doc", "Abrir Documento")</f>
        <v>0</v>
      </c>
      <c r="D17223" t="s">
        <v>23500</v>
      </c>
      <c r="E17223" t="s">
        <v>39698</v>
      </c>
    </row>
    <row r="17224" spans="1:5">
      <c r="A17224" t="s">
        <v>6</v>
      </c>
      <c r="B17224" t="s">
        <v>17229</v>
      </c>
      <c r="C17224">
        <f>HYPERLINK("C:\Users\franc\OneDrive\Documentos\MALENTIN KARIME\BANCO ESTADO\2012 DEPTO ESCRITURAS fata\Dc Simples\RESPALDO comp notaria 27_12_12\NOTARIA 2012\ARRIENDOS\APICULTURA CARLOS BONILLA.doc", "Abrir Documento")</f>
        <v>0</v>
      </c>
      <c r="D17224" t="s">
        <v>23500</v>
      </c>
      <c r="E17224" t="s">
        <v>39699</v>
      </c>
    </row>
    <row r="17225" spans="1:5">
      <c r="A17225" t="s">
        <v>6</v>
      </c>
      <c r="B17225" t="s">
        <v>17230</v>
      </c>
      <c r="C17225">
        <f>HYPERLINK("C:\Users\franc\OneDrive\Documentos\MALENTIN KARIME\BANCO ESTADO\2012 DEPTO ESCRITURAS fata\Dc Simples\RESPALDO comp notaria 27_12_12\NOTARIA 2012\ARRIENDOS\ANTONIO BOU SAPIAIN.doc", "Abrir Documento")</f>
        <v>0</v>
      </c>
      <c r="D17225" t="s">
        <v>23500</v>
      </c>
      <c r="E17225" t="s">
        <v>39700</v>
      </c>
    </row>
    <row r="17226" spans="1:5">
      <c r="A17226" t="s">
        <v>6</v>
      </c>
      <c r="B17226" t="s">
        <v>17231</v>
      </c>
      <c r="C17226">
        <f>HYPERLINK("C:\Users\franc\OneDrive\Documentos\MALENTIN KARIME\BANCO ESTADO\2012 DEPTO ESCRITURAS fata\Dc Simples\RESPALDO comp notaria 27_12_12\NOTARIA 2012\ARRIENDOS\ANTONIN JOFRE.doc", "Abrir Documento")</f>
        <v>0</v>
      </c>
      <c r="D17226" t="s">
        <v>23500</v>
      </c>
      <c r="E17226" t="s">
        <v>39701</v>
      </c>
    </row>
    <row r="17227" spans="1:5">
      <c r="A17227" t="s">
        <v>6</v>
      </c>
      <c r="B17227" t="s">
        <v>17232</v>
      </c>
      <c r="C17227">
        <f>HYPERLINK("C:\Users\franc\OneDrive\Documentos\MALENTIN KARIME\BANCO ESTADO\2012 DEPTO ESCRITURAS fata\Dc Simples\RESPALDO comp notaria 27_12_12\NOTARIA 2012\ARRIENDOS\ANTONIN A MARIA PIA GALLEGUILLOS.doc", "Abrir Documento")</f>
        <v>0</v>
      </c>
      <c r="D17227" t="s">
        <v>23500</v>
      </c>
      <c r="E17227" t="s">
        <v>39702</v>
      </c>
    </row>
    <row r="17228" spans="1:5">
      <c r="A17228" t="s">
        <v>6</v>
      </c>
      <c r="B17228" t="s">
        <v>17233</v>
      </c>
      <c r="C17228">
        <f>HYPERLINK("C:\Users\franc\OneDrive\Documentos\MALENTIN KARIME\BANCO ESTADO\2012 DEPTO ESCRITURAS fata\Dc Simples\RESPALDO comp notaria 27_12_12\NOTARIA 2012\ARRIENDOS\ANTONIA GALLEGOS.doc", "Abrir Documento")</f>
        <v>0</v>
      </c>
      <c r="D17228" t="s">
        <v>23500</v>
      </c>
      <c r="E17228" t="s">
        <v>39703</v>
      </c>
    </row>
    <row r="17229" spans="1:5">
      <c r="A17229" t="s">
        <v>6</v>
      </c>
      <c r="B17229" t="s">
        <v>17234</v>
      </c>
      <c r="C17229">
        <f>HYPERLINK("C:\Users\franc\OneDrive\Documentos\MALENTIN KARIME\BANCO ESTADO\2012 DEPTO ESCRITURAS fata\Dc Simples\RESPALDO comp notaria 27_12_12\NOTARIA 2012\ARRIENDOS\ANITA CORTES.doc", "Abrir Documento")</f>
        <v>0</v>
      </c>
      <c r="D17229" t="s">
        <v>23500</v>
      </c>
      <c r="E17229" t="s">
        <v>39704</v>
      </c>
    </row>
    <row r="17230" spans="1:5">
      <c r="A17230" t="s">
        <v>6</v>
      </c>
      <c r="B17230" t="s">
        <v>17235</v>
      </c>
      <c r="C17230">
        <f>HYPERLINK("C:\Users\franc\OneDrive\Documentos\MALENTIN KARIME\BANCO ESTADO\2012 DEPTO ESCRITURAS fata\Dc Simples\RESPALDO comp notaria 27_12_12\NOTARIA 2012\ARRIENDOS\ANIBAL CASTILLO.doc", "Abrir Documento")</f>
        <v>0</v>
      </c>
      <c r="D17230" t="s">
        <v>23500</v>
      </c>
      <c r="E17230" t="s">
        <v>39705</v>
      </c>
    </row>
    <row r="17231" spans="1:5">
      <c r="A17231" t="s">
        <v>6</v>
      </c>
      <c r="B17231" t="s">
        <v>17236</v>
      </c>
      <c r="C17231">
        <f>HYPERLINK("C:\Users\franc\OneDrive\Documentos\MALENTIN KARIME\BANCO ESTADO\2012 DEPTO ESCRITURAS fata\Dc Simples\RESPALDO comp notaria 27_12_12\NOTARIA 2012\ARRIENDOS\ANEXO.doc", "Abrir Documento")</f>
        <v>0</v>
      </c>
      <c r="D17231" t="s">
        <v>23500</v>
      </c>
      <c r="E17231" t="s">
        <v>39706</v>
      </c>
    </row>
    <row r="17232" spans="1:5">
      <c r="A17232" t="s">
        <v>6</v>
      </c>
      <c r="B17232" t="s">
        <v>17237</v>
      </c>
      <c r="C17232">
        <f>HYPERLINK("C:\Users\franc\OneDrive\Documentos\MALENTIN KARIME\BANCO ESTADO\2012 DEPTO ESCRITURAS fata\Dc Simples\RESPALDO comp notaria 27_12_12\NOTARIA 2012\ARRIENDOS\AMELIA ACUÑA.doc", "Abrir Documento")</f>
        <v>0</v>
      </c>
      <c r="D17232" t="s">
        <v>23500</v>
      </c>
      <c r="E17232" t="s">
        <v>39707</v>
      </c>
    </row>
    <row r="17233" spans="1:5">
      <c r="A17233" t="s">
        <v>6</v>
      </c>
      <c r="B17233" t="s">
        <v>17238</v>
      </c>
      <c r="C17233">
        <f>HYPERLINK("C:\Users\franc\OneDrive\Documentos\MALENTIN KARIME\BANCO ESTADO\2012 DEPTO ESCRITURAS fata\Dc Simples\RESPALDO comp notaria 27_12_12\NOTARIA 2012\ARRIENDOS\AMALIA COLLAO Y HUGO HENRIQUEZ.doc", "Abrir Documento")</f>
        <v>0</v>
      </c>
      <c r="D17233" t="s">
        <v>23500</v>
      </c>
      <c r="E17233" t="s">
        <v>39708</v>
      </c>
    </row>
    <row r="17234" spans="1:5">
      <c r="A17234" t="s">
        <v>6</v>
      </c>
      <c r="B17234" t="s">
        <v>17239</v>
      </c>
      <c r="C17234">
        <f>HYPERLINK("C:\Users\franc\OneDrive\Documentos\MALENTIN KARIME\BANCO ESTADO\2012 DEPTO ESCRITURAS fata\Dc Simples\RESPALDO comp notaria 27_12_12\NOTARIA 2012\ARRIENDOS\ALVARO ROJAS DIAZ.doc", "Abrir Documento")</f>
        <v>0</v>
      </c>
      <c r="D17234" t="s">
        <v>23500</v>
      </c>
      <c r="E17234" t="s">
        <v>39709</v>
      </c>
    </row>
    <row r="17235" spans="1:5">
      <c r="A17235" t="s">
        <v>6</v>
      </c>
      <c r="B17235" t="s">
        <v>17240</v>
      </c>
      <c r="C17235">
        <f>HYPERLINK("C:\Users\franc\OneDrive\Documentos\MALENTIN KARIME\BANCO ESTADO\2012 DEPTO ESCRITURAS fata\Dc Simples\RESPALDO comp notaria 27_12_12\NOTARIA 2012\ARRIENDOS\ALIRO CASTRO LOPEZ.doc", "Abrir Documento")</f>
        <v>0</v>
      </c>
      <c r="D17235" t="s">
        <v>23500</v>
      </c>
      <c r="E17235" t="s">
        <v>39710</v>
      </c>
    </row>
    <row r="17236" spans="1:5">
      <c r="A17236" t="s">
        <v>6</v>
      </c>
      <c r="B17236" t="s">
        <v>17241</v>
      </c>
      <c r="C17236">
        <f>HYPERLINK("C:\Users\franc\OneDrive\Documentos\MALENTIN KARIME\BANCO ESTADO\2012 DEPTO ESCRITURAS fata\Dc Simples\RESPALDO comp notaria 27_12_12\NOTARIA 2012\ARRIENDOS\ALICIA MATAMOROS.doc", "Abrir Documento")</f>
        <v>0</v>
      </c>
      <c r="D17236" t="s">
        <v>23500</v>
      </c>
      <c r="E17236" t="s">
        <v>39711</v>
      </c>
    </row>
    <row r="17237" spans="1:5">
      <c r="A17237" t="s">
        <v>6</v>
      </c>
      <c r="B17237" t="s">
        <v>17242</v>
      </c>
      <c r="C17237">
        <f>HYPERLINK("C:\Users\franc\OneDrive\Documentos\MALENTIN KARIME\BANCO ESTADO\2012 DEPTO ESCRITURAS fata\Dc Simples\RESPALDO comp notaria 27_12_12\NOTARIA 2012\ARRIENDOS\ALFREDO MUNDACA.doc", "Abrir Documento")</f>
        <v>0</v>
      </c>
      <c r="D17237" t="s">
        <v>23500</v>
      </c>
      <c r="E17237" t="s">
        <v>39712</v>
      </c>
    </row>
    <row r="17238" spans="1:5">
      <c r="A17238" t="s">
        <v>6</v>
      </c>
      <c r="B17238" t="s">
        <v>17243</v>
      </c>
      <c r="C17238">
        <f>HYPERLINK("C:\Users\franc\OneDrive\Documentos\MALENTIN KARIME\BANCO ESTADO\2012 DEPTO ESCRITURAS fata\Dc Simples\RESPALDO comp notaria 27_12_12\NOTARIA 2012\ARRIENDOS\ALFREDO ESPINOSA.doc", "Abrir Documento")</f>
        <v>0</v>
      </c>
      <c r="D17238" t="s">
        <v>23500</v>
      </c>
      <c r="E17238" t="s">
        <v>39713</v>
      </c>
    </row>
    <row r="17239" spans="1:5">
      <c r="A17239" t="s">
        <v>6</v>
      </c>
      <c r="B17239" t="s">
        <v>17244</v>
      </c>
      <c r="C17239">
        <f>HYPERLINK("C:\Users\franc\OneDrive\Documentos\MALENTIN KARIME\BANCO ESTADO\2012 DEPTO ESCRITURAS fata\Dc Simples\RESPALDO comp notaria 27_12_12\NOTARIA 2012\ARRIENDOS\ALFONSO MONTENEGRO.doc", "Abrir Documento")</f>
        <v>0</v>
      </c>
      <c r="D17239" t="s">
        <v>23500</v>
      </c>
      <c r="E17239" t="s">
        <v>39714</v>
      </c>
    </row>
    <row r="17240" spans="1:5">
      <c r="A17240" t="s">
        <v>6</v>
      </c>
      <c r="B17240" t="s">
        <v>17245</v>
      </c>
      <c r="C17240">
        <f>HYPERLINK("C:\Users\franc\OneDrive\Documentos\MALENTIN KARIME\BANCO ESTADO\2012 DEPTO ESCRITURAS fata\Dc Simples\RESPALDO comp notaria 27_12_12\NOTARIA 2012\ARRIENDOS\ALFONSO MONTENEGRO-Lorenzo.doc", "Abrir Documento")</f>
        <v>0</v>
      </c>
      <c r="D17240" t="s">
        <v>23500</v>
      </c>
      <c r="E17240" t="s">
        <v>39715</v>
      </c>
    </row>
    <row r="17241" spans="1:5">
      <c r="A17241" t="s">
        <v>6</v>
      </c>
      <c r="B17241" t="s">
        <v>17246</v>
      </c>
      <c r="C17241">
        <f>HYPERLINK("C:\Users\franc\OneDrive\Documentos\MALENTIN KARIME\BANCO ESTADO\2012 DEPTO ESCRITURAS fata\Dc Simples\RESPALDO comp notaria 27_12_12\NOTARIA 2012\ARRIENDOS\ALFONSO MONTENEGRO-Gabriel.doc", "Abrir Documento")</f>
        <v>0</v>
      </c>
      <c r="D17241" t="s">
        <v>23500</v>
      </c>
      <c r="E17241" t="s">
        <v>39716</v>
      </c>
    </row>
    <row r="17242" spans="1:5">
      <c r="A17242" t="s">
        <v>6</v>
      </c>
      <c r="B17242" t="s">
        <v>17247</v>
      </c>
      <c r="C17242">
        <f>HYPERLINK("C:\Users\franc\OneDrive\Documentos\MALENTIN KARIME\BANCO ESTADO\2012 DEPTO ESCRITURAS fata\Dc Simples\RESPALDO comp notaria 27_12_12\NOTARIA 2012\ARRIENDOS\ALFONSO MONTENEGRO a Sotaqui.doc", "Abrir Documento")</f>
        <v>0</v>
      </c>
      <c r="D17242" t="s">
        <v>23500</v>
      </c>
      <c r="E17242" t="s">
        <v>39717</v>
      </c>
    </row>
    <row r="17243" spans="1:5">
      <c r="A17243" t="s">
        <v>6</v>
      </c>
      <c r="B17243" t="s">
        <v>17248</v>
      </c>
      <c r="C17243">
        <f>HYPERLINK("C:\Users\franc\OneDrive\Documentos\MALENTIN KARIME\BANCO ESTADO\2012 DEPTO ESCRITURAS fata\Dc Simples\RESPALDO comp notaria 27_12_12\NOTARIA 2012\ARRIENDOS\ALFARO GABRIELA E IVAN.doc", "Abrir Documento")</f>
        <v>0</v>
      </c>
      <c r="D17243" t="s">
        <v>23500</v>
      </c>
      <c r="E17243" t="s">
        <v>39718</v>
      </c>
    </row>
    <row r="17244" spans="1:5">
      <c r="A17244" t="s">
        <v>6</v>
      </c>
      <c r="B17244" t="s">
        <v>17249</v>
      </c>
      <c r="C17244">
        <f>HYPERLINK("C:\Users\franc\OneDrive\Documentos\MALENTIN KARIME\BANCO ESTADO\2012 DEPTO ESCRITURAS fata\Dc Simples\RESPALDO comp notaria 27_12_12\NOTARIA 2012\ARRIENDOS\ALFALFARES LTDA Y ESMERALDO V..doc", "Abrir Documento")</f>
        <v>0</v>
      </c>
      <c r="D17244" t="s">
        <v>23500</v>
      </c>
      <c r="E17244" t="s">
        <v>39719</v>
      </c>
    </row>
    <row r="17245" spans="1:5">
      <c r="A17245" t="s">
        <v>6</v>
      </c>
      <c r="B17245" t="s">
        <v>17250</v>
      </c>
      <c r="C17245">
        <f>HYPERLINK("C:\Users\franc\OneDrive\Documentos\MALENTIN KARIME\BANCO ESTADO\2012 DEPTO ESCRITURAS fata\Dc Simples\RESPALDO comp notaria 27_12_12\NOTARIA 2012\ARRIENDOS\ALEJANDRO SAAVEDRA.doc", "Abrir Documento")</f>
        <v>0</v>
      </c>
      <c r="D17245" t="s">
        <v>23500</v>
      </c>
      <c r="E17245" t="s">
        <v>39720</v>
      </c>
    </row>
    <row r="17246" spans="1:5">
      <c r="A17246" t="s">
        <v>6</v>
      </c>
      <c r="B17246" t="s">
        <v>17251</v>
      </c>
      <c r="C17246">
        <f>HYPERLINK("C:\Users\franc\OneDrive\Documentos\MALENTIN KARIME\BANCO ESTADO\2012 DEPTO ESCRITURAS fata\Dc Simples\RESPALDO comp notaria 27_12_12\NOTARIA 2012\ARRIENDOS\ALEJANDRO ROBLES.doc", "Abrir Documento")</f>
        <v>0</v>
      </c>
      <c r="D17246" t="s">
        <v>23500</v>
      </c>
      <c r="E17246" t="s">
        <v>39721</v>
      </c>
    </row>
    <row r="17247" spans="1:5">
      <c r="A17247" t="s">
        <v>6</v>
      </c>
      <c r="B17247" t="s">
        <v>17252</v>
      </c>
      <c r="C17247">
        <f>HYPERLINK("C:\Users\franc\OneDrive\Documentos\MALENTIN KARIME\BANCO ESTADO\2012 DEPTO ESCRITURAS fata\Dc Simples\RESPALDO comp notaria 27_12_12\NOTARIA 2012\ARRIENDOS\ALEJANDRO CORTES A ROMELIO.doc", "Abrir Documento")</f>
        <v>0</v>
      </c>
      <c r="D17247" t="s">
        <v>23500</v>
      </c>
      <c r="E17247" t="s">
        <v>39722</v>
      </c>
    </row>
    <row r="17248" spans="1:5">
      <c r="A17248" t="s">
        <v>6</v>
      </c>
      <c r="B17248" t="s">
        <v>17253</v>
      </c>
      <c r="C17248">
        <f>HYPERLINK("C:\Users\franc\OneDrive\Documentos\MALENTIN KARIME\BANCO ESTADO\2012 DEPTO ESCRITURAS fata\Dc Simples\RESPALDO comp notaria 27_12_12\NOTARIA 2012\ARRIENDOS\ALEJANDRO CORTES A PEDRO.doc", "Abrir Documento")</f>
        <v>0</v>
      </c>
      <c r="D17248" t="s">
        <v>23500</v>
      </c>
      <c r="E17248" t="s">
        <v>39723</v>
      </c>
    </row>
    <row r="17249" spans="1:5">
      <c r="A17249" t="s">
        <v>6</v>
      </c>
      <c r="B17249" t="s">
        <v>17254</v>
      </c>
      <c r="C17249">
        <f>HYPERLINK("C:\Users\franc\OneDrive\Documentos\MALENTIN KARIME\BANCO ESTADO\2012 DEPTO ESCRITURAS fata\Dc Simples\RESPALDO comp notaria 27_12_12\NOTARIA 2012\ARRIENDOS\ALBERTO LEIVA AGUILERA.doc", "Abrir Documento")</f>
        <v>0</v>
      </c>
      <c r="D17249" t="s">
        <v>23500</v>
      </c>
      <c r="E17249" t="s">
        <v>39724</v>
      </c>
    </row>
    <row r="17250" spans="1:5">
      <c r="A17250" t="s">
        <v>6</v>
      </c>
      <c r="B17250" t="s">
        <v>17255</v>
      </c>
      <c r="C17250">
        <f>HYPERLINK("C:\Users\franc\OneDrive\Documentos\MALENTIN KARIME\BANCO ESTADO\2012 DEPTO ESCRITURAS fata\Dc Simples\RESPALDO comp notaria 27_12_12\NOTARIA 2012\ARRIENDOS\ALBERTINA LUNA.doc", "Abrir Documento")</f>
        <v>0</v>
      </c>
      <c r="D17250" t="s">
        <v>23500</v>
      </c>
      <c r="E17250" t="s">
        <v>39725</v>
      </c>
    </row>
    <row r="17251" spans="1:5">
      <c r="A17251" t="s">
        <v>6</v>
      </c>
      <c r="B17251" t="s">
        <v>17256</v>
      </c>
      <c r="C17251">
        <f>HYPERLINK("C:\Users\franc\OneDrive\Documentos\MALENTIN KARIME\BANCO ESTADO\2012 DEPTO ESCRITURAS fata\Dc Simples\RESPALDO comp notaria 27_12_12\NOTARIA 2012\ARRIENDOS\AIDA CASTRO ROJAS.doc", "Abrir Documento")</f>
        <v>0</v>
      </c>
      <c r="D17251" t="s">
        <v>23500</v>
      </c>
      <c r="E17251" t="s">
        <v>39726</v>
      </c>
    </row>
    <row r="17252" spans="1:5">
      <c r="A17252" t="s">
        <v>6</v>
      </c>
      <c r="B17252" t="s">
        <v>17257</v>
      </c>
      <c r="C17252">
        <f>HYPERLINK("C:\Users\franc\OneDrive\Documentos\MALENTIN KARIME\BANCO ESTADO\2012 DEPTO ESCRITURAS fata\Dc Simples\RESPALDO comp notaria 27_12_12\NOTARIA 2012\ARRIENDOS\AGUSTINA ROJAS.doc", "Abrir Documento")</f>
        <v>0</v>
      </c>
      <c r="D17252" t="s">
        <v>23500</v>
      </c>
      <c r="E17252" t="s">
        <v>39727</v>
      </c>
    </row>
    <row r="17253" spans="1:5">
      <c r="A17253" t="s">
        <v>6</v>
      </c>
      <c r="B17253" t="s">
        <v>17258</v>
      </c>
      <c r="C17253">
        <f>HYPERLINK("C:\Users\franc\OneDrive\Documentos\MALENTIN KARIME\BANCO ESTADO\2012 DEPTO ESCRITURAS fata\Dc Simples\RESPALDO comp notaria 27_12_12\NOTARIA 2012\ARRIENDOS\AGUSTINA ROJAS 2.doc", "Abrir Documento")</f>
        <v>0</v>
      </c>
      <c r="D17253" t="s">
        <v>23500</v>
      </c>
      <c r="E17253" t="s">
        <v>39728</v>
      </c>
    </row>
    <row r="17254" spans="1:5">
      <c r="A17254" t="s">
        <v>6</v>
      </c>
      <c r="B17254" t="s">
        <v>17259</v>
      </c>
      <c r="C17254">
        <f>HYPERLINK("C:\Users\franc\OneDrive\Documentos\MALENTIN KARIME\BANCO ESTADO\2012 DEPTO ESCRITURAS fata\Dc Simples\RESPALDO comp notaria 27_12_12\NOTARIA 2012\ARRIENDOS\AGUSTINA CISTERNAS.doc", "Abrir Documento")</f>
        <v>0</v>
      </c>
      <c r="D17254" t="s">
        <v>23500</v>
      </c>
      <c r="E17254" t="s">
        <v>39729</v>
      </c>
    </row>
    <row r="17255" spans="1:5">
      <c r="A17255" t="s">
        <v>6</v>
      </c>
      <c r="B17255" t="s">
        <v>17260</v>
      </c>
      <c r="C17255">
        <f>HYPERLINK("C:\Users\franc\OneDrive\Documentos\MALENTIN KARIME\BANCO ESTADO\2012 DEPTO ESCRITURAS fata\Dc Simples\RESPALDO comp notaria 27_12_12\NOTARIA 2012\ARRIENDOS\AGRICOLA SANTA BARBARA.doc", "Abrir Documento")</f>
        <v>0</v>
      </c>
      <c r="D17255" t="s">
        <v>23500</v>
      </c>
      <c r="E17255" t="s">
        <v>39730</v>
      </c>
    </row>
    <row r="17256" spans="1:5">
      <c r="A17256" t="s">
        <v>6</v>
      </c>
      <c r="B17256" t="s">
        <v>17261</v>
      </c>
      <c r="C17256">
        <f>HYPERLINK("C:\Users\franc\OneDrive\Documentos\MALENTIN KARIME\BANCO ESTADO\2012 DEPTO ESCRITURAS fata\Dc Simples\RESPALDO comp notaria 27_12_12\NOTARIA 2012\ARRIENDOS\AGRICOLA MODELO.doc", "Abrir Documento")</f>
        <v>0</v>
      </c>
      <c r="D17256" t="s">
        <v>23500</v>
      </c>
      <c r="E17256" t="s">
        <v>39731</v>
      </c>
    </row>
    <row r="17257" spans="1:5">
      <c r="A17257" t="s">
        <v>6</v>
      </c>
      <c r="B17257" t="s">
        <v>17262</v>
      </c>
      <c r="C17257">
        <f>HYPERLINK("C:\Users\franc\OneDrive\Documentos\MALENTIN KARIME\BANCO ESTADO\2012 DEPTO ESCRITURAS fata\Dc Simples\RESPALDO comp notaria 27_12_12\NOTARIA 2012\ARRIENDOS\AGRICOLA COMUNERO.doc", "Abrir Documento")</f>
        <v>0</v>
      </c>
      <c r="D17257" t="s">
        <v>23500</v>
      </c>
      <c r="E17257" t="s">
        <v>39732</v>
      </c>
    </row>
    <row r="17258" spans="1:5">
      <c r="A17258" t="s">
        <v>6</v>
      </c>
      <c r="B17258" t="s">
        <v>17263</v>
      </c>
      <c r="C17258">
        <f>HYPERLINK("C:\Users\franc\OneDrive\Documentos\MALENTIN KARIME\BANCO ESTADO\2012 DEPTO ESCRITURAS fata\Dc Simples\RESPALDO comp notaria 27_12_12\NOTARIA 2012\ARRIENDOS\AGRICOLA CHAÑARAL BAJO NORTE S.A..doc", "Abrir Documento")</f>
        <v>0</v>
      </c>
      <c r="D17258" t="s">
        <v>23500</v>
      </c>
      <c r="E17258" t="s">
        <v>39733</v>
      </c>
    </row>
    <row r="17259" spans="1:5">
      <c r="A17259" t="s">
        <v>6</v>
      </c>
      <c r="B17259" t="s">
        <v>17264</v>
      </c>
      <c r="C17259">
        <f>HYPERLINK("C:\Users\franc\OneDrive\Documentos\MALENTIN KARIME\BANCO ESTADO\2012 DEPTO ESCRITURAS fata\Dc Simples\RESPALDO comp notaria 27_12_12\NOTARIA 2012\ARRIENDOS\AGRICOLA AMABLE BARRAZA E HIJOS.doc", "Abrir Documento")</f>
        <v>0</v>
      </c>
      <c r="D17259" t="s">
        <v>23500</v>
      </c>
      <c r="E17259" t="s">
        <v>39734</v>
      </c>
    </row>
    <row r="17260" spans="1:5">
      <c r="A17260" t="s">
        <v>6</v>
      </c>
      <c r="B17260" t="s">
        <v>17265</v>
      </c>
      <c r="C17260">
        <f>HYPERLINK("C:\Users\franc\OneDrive\Documentos\MALENTIN KARIME\BANCO ESTADO\2012 DEPTO ESCRITURAS fata\Dc Simples\RESPALDO comp notaria 27_12_12\NOTARIA 2012\ARRIENDOS\AGRICOLA ALVAREZ Y JULIA LTDA..doc", "Abrir Documento")</f>
        <v>0</v>
      </c>
      <c r="D17260" t="s">
        <v>23500</v>
      </c>
      <c r="E17260" t="s">
        <v>39735</v>
      </c>
    </row>
    <row r="17261" spans="1:5">
      <c r="A17261" t="s">
        <v>6</v>
      </c>
      <c r="B17261" t="s">
        <v>17266</v>
      </c>
      <c r="C17261">
        <f>HYPERLINK("C:\Users\franc\OneDrive\Documentos\MALENTIN KARIME\BANCO ESTADO\2012 DEPTO ESCRITURAS fata\Dc Simples\RESPALDO comp notaria 27_12_12\NOTARIA 2012\ARRIENDOS\AGE LTDA..doc", "Abrir Documento")</f>
        <v>0</v>
      </c>
      <c r="D17261" t="s">
        <v>23500</v>
      </c>
      <c r="E17261" t="s">
        <v>39736</v>
      </c>
    </row>
    <row r="17262" spans="1:5">
      <c r="A17262" t="s">
        <v>6</v>
      </c>
      <c r="B17262" t="s">
        <v>17267</v>
      </c>
      <c r="C17262">
        <f>HYPERLINK("C:\Users\franc\OneDrive\Documentos\MALENTIN KARIME\BANCO ESTADO\2012 DEPTO ESCRITURAS fata\Dc Simples\RESPALDO comp notaria 27_12_12\NOTARIA 2012\ARRIENDOS\AGAPITO SANTANDER.doc", "Abrir Documento")</f>
        <v>0</v>
      </c>
      <c r="D17262" t="s">
        <v>23500</v>
      </c>
      <c r="E17262" t="s">
        <v>39737</v>
      </c>
    </row>
    <row r="17263" spans="1:5">
      <c r="A17263" t="s">
        <v>6</v>
      </c>
      <c r="B17263" t="s">
        <v>17268</v>
      </c>
      <c r="C17263">
        <f>HYPERLINK("C:\Users\franc\OneDrive\Documentos\MALENTIN KARIME\BANCO ESTADO\2012 DEPTO ESCRITURAS fata\Dc Simples\RESPALDO comp notaria 27_12_12\NOTARIA 2012\ARRIENDOS\ABIGAIL ISMENIA OLIVARES VALDIVIA.doc", "Abrir Documento")</f>
        <v>0</v>
      </c>
      <c r="D17263" t="s">
        <v>23500</v>
      </c>
      <c r="E17263" t="s">
        <v>39738</v>
      </c>
    </row>
    <row r="17264" spans="1:5">
      <c r="A17264" t="s">
        <v>6</v>
      </c>
      <c r="B17264" t="s">
        <v>17269</v>
      </c>
      <c r="C17264">
        <f>HYPERLINK("C:\Users\franc\OneDrive\Documentos\MALENTIN KARIME\BANCO ESTADO\2012 DEPTO ESCRITURAS fata\Dc Simples\RESPALDO comp notaria 27_12_12\NOTARIA 2012\ARRIENDOS\ABELARDO RIVERA.doc", "Abrir Documento")</f>
        <v>0</v>
      </c>
      <c r="D17264" t="s">
        <v>23500</v>
      </c>
      <c r="E17264" t="s">
        <v>39739</v>
      </c>
    </row>
    <row r="17265" spans="1:5">
      <c r="A17265" t="s">
        <v>6</v>
      </c>
      <c r="B17265" t="s">
        <v>17270</v>
      </c>
      <c r="C17265">
        <f>HYPERLINK("C:\Users\franc\OneDrive\Documentos\MALENTIN KARIME\BANCO ESTADO\2012 DEPTO ESCRITURAS fata\Dc Simples\RESPALDO comp notaria 27_12_12\NOTARIA 2012\nomina bco bci nova.xls", "Abrir Documento")</f>
        <v>0</v>
      </c>
      <c r="D17265" t="s">
        <v>23500</v>
      </c>
      <c r="E17265" t="s">
        <v>39740</v>
      </c>
    </row>
    <row r="17266" spans="1:5">
      <c r="A17266" t="s">
        <v>6</v>
      </c>
      <c r="B17266" t="s">
        <v>17271</v>
      </c>
      <c r="C17266">
        <f>HYPERLINK("C:\Users\franc\OneDrive\Documentos\MALENTIN KARIME\BANCO ESTADO\2012 DEPTO ESCRITURAS fata\Dc Simples\RESPALDO comp notaria 27_12_12\NOTARIA 2012\nomina bco bci nova mes deabril.xls", "Abrir Documento")</f>
        <v>0</v>
      </c>
      <c r="D17266" t="s">
        <v>23500</v>
      </c>
      <c r="E17266" t="s">
        <v>39741</v>
      </c>
    </row>
    <row r="17267" spans="1:5">
      <c r="A17267" t="s">
        <v>6</v>
      </c>
      <c r="B17267" t="s">
        <v>17272</v>
      </c>
      <c r="C17267">
        <f>HYPERLINK("C:\Users\franc\OneDrive\Documentos\MALENTIN KARIME\BANCO ESTADO\2012 DEPTO ESCRITURAS fata\Dc Simples\RESPALDO comp notaria 27_12_12\NOTARIA 2012\nomina bco bci nova mes de SEPTIEMBRE.xls", "Abrir Documento")</f>
        <v>0</v>
      </c>
      <c r="D17267" t="s">
        <v>23500</v>
      </c>
      <c r="E17267" t="s">
        <v>39742</v>
      </c>
    </row>
    <row r="17268" spans="1:5">
      <c r="A17268" t="s">
        <v>6</v>
      </c>
      <c r="B17268" t="s">
        <v>17273</v>
      </c>
      <c r="C17268">
        <f>HYPERLINK("C:\Users\franc\OneDrive\Documentos\MALENTIN KARIME\BANCO ESTADO\2012 DEPTO ESCRITURAS fata\Dc Simples\RESPALDO comp notaria 27_12_12\NOTARIA 2012\nomina bco bci nova mes de OCTUBRE.xls", "Abrir Documento")</f>
        <v>0</v>
      </c>
      <c r="D17268" t="s">
        <v>23500</v>
      </c>
      <c r="E17268" t="s">
        <v>39743</v>
      </c>
    </row>
    <row r="17269" spans="1:5">
      <c r="A17269" t="s">
        <v>6</v>
      </c>
      <c r="B17269" t="s">
        <v>17274</v>
      </c>
      <c r="C17269">
        <f>HYPERLINK("C:\Users\franc\OneDrive\Documentos\MALENTIN KARIME\BANCO ESTADO\2012 DEPTO ESCRITURAS fata\Dc Simples\RESPALDO comp notaria 27_12_12\NOTARIA 2012\nomina bco bci nova mes de NOVIEMBRE.xls", "Abrir Documento")</f>
        <v>0</v>
      </c>
      <c r="D17269" t="s">
        <v>23500</v>
      </c>
      <c r="E17269" t="s">
        <v>39744</v>
      </c>
    </row>
    <row r="17270" spans="1:5">
      <c r="A17270" t="s">
        <v>6</v>
      </c>
      <c r="B17270" t="s">
        <v>17275</v>
      </c>
      <c r="C17270">
        <f>HYPERLINK("C:\Users\franc\OneDrive\Documentos\MALENTIN KARIME\BANCO ESTADO\2012 DEPTO ESCRITURAS fata\Dc Simples\RESPALDO comp notaria 27_12_12\NOTARIA 2012\nomina bco bci nova mes de MAYO 2013.xls", "Abrir Documento")</f>
        <v>0</v>
      </c>
      <c r="D17270" t="s">
        <v>23500</v>
      </c>
      <c r="E17270" t="s">
        <v>39745</v>
      </c>
    </row>
    <row r="17271" spans="1:5">
      <c r="A17271" t="s">
        <v>6</v>
      </c>
      <c r="B17271" t="s">
        <v>17276</v>
      </c>
      <c r="C17271">
        <f>HYPERLINK("C:\Users\franc\OneDrive\Documentos\MALENTIN KARIME\BANCO ESTADO\2012 DEPTO ESCRITURAS fata\Dc Simples\RESPALDO comp notaria 27_12_12\NOTARIA 2012\nomina bco bci nova mes de MARZO 2013.xls", "Abrir Documento")</f>
        <v>0</v>
      </c>
      <c r="D17271" t="s">
        <v>23500</v>
      </c>
      <c r="E17271" t="s">
        <v>39746</v>
      </c>
    </row>
    <row r="17272" spans="1:5">
      <c r="A17272" t="s">
        <v>6</v>
      </c>
      <c r="B17272" t="s">
        <v>17277</v>
      </c>
      <c r="C17272">
        <f>HYPERLINK("C:\Users\franc\OneDrive\Documentos\MALENTIN KARIME\BANCO ESTADO\2012 DEPTO ESCRITURAS fata\Dc Simples\RESPALDO comp notaria 27_12_12\NOTARIA 2012\nomina bco bci nova mes de julio.xls", "Abrir Documento")</f>
        <v>0</v>
      </c>
      <c r="D17272" t="s">
        <v>23500</v>
      </c>
      <c r="E17272" t="s">
        <v>39747</v>
      </c>
    </row>
    <row r="17273" spans="1:5">
      <c r="A17273" t="s">
        <v>6</v>
      </c>
      <c r="B17273" t="s">
        <v>17278</v>
      </c>
      <c r="C17273">
        <f>HYPERLINK("C:\Users\franc\OneDrive\Documentos\MALENTIN KARIME\BANCO ESTADO\2012 DEPTO ESCRITURAS fata\Dc Simples\RESPALDO comp notaria 27_12_12\NOTARIA 2012\nomina bco bci nova mes de FEBRERO 2013.xls", "Abrir Documento")</f>
        <v>0</v>
      </c>
      <c r="D17273" t="s">
        <v>23500</v>
      </c>
      <c r="E17273" t="s">
        <v>39748</v>
      </c>
    </row>
    <row r="17274" spans="1:5">
      <c r="A17274" t="s">
        <v>6</v>
      </c>
      <c r="B17274" t="s">
        <v>17279</v>
      </c>
      <c r="C17274">
        <f>HYPERLINK("C:\Users\franc\OneDrive\Documentos\MALENTIN KARIME\BANCO ESTADO\2012 DEPTO ESCRITURAS fata\Dc Simples\RESPALDO comp notaria 27_12_12\NOTARIA 2012\nomina bco bci nova mes de AGOSTO.xls", "Abrir Documento")</f>
        <v>0</v>
      </c>
      <c r="D17274" t="s">
        <v>23500</v>
      </c>
      <c r="E17274" t="s">
        <v>39749</v>
      </c>
    </row>
    <row r="17275" spans="1:5">
      <c r="A17275" t="s">
        <v>6</v>
      </c>
      <c r="B17275" t="s">
        <v>17280</v>
      </c>
      <c r="C17275">
        <f>HYPERLINK("C:\Users\franc\OneDrive\Documentos\MALENTIN KARIME\BANCO ESTADO\2012 DEPTO ESCRITURAS fata\Dc Simples\RESPALDO comp notaria 27_12_12\NOTARIA 2012\MARIO FERNANDEZ.doc", "Abrir Documento")</f>
        <v>0</v>
      </c>
      <c r="D17275" t="s">
        <v>23500</v>
      </c>
      <c r="E17275" t="s">
        <v>39750</v>
      </c>
    </row>
    <row r="17276" spans="1:5">
      <c r="A17276" t="s">
        <v>6</v>
      </c>
      <c r="B17276" t="s">
        <v>17281</v>
      </c>
      <c r="C17276">
        <f>HYPERLINK("C:\Users\franc\OneDrive\Documentos\MALENTIN KARIME\BANCO ESTADO\2012 DEPTO ESCRITURAS fata\Dc Simples\RESPALDO comp notaria 27_12_12\NOTARIA 2012\Henan compañia minera de metales no ferrosos.doc", "Abrir Documento")</f>
        <v>0</v>
      </c>
      <c r="D17276" t="s">
        <v>23500</v>
      </c>
      <c r="E17276" t="s">
        <v>39751</v>
      </c>
    </row>
    <row r="17277" spans="1:5">
      <c r="A17277" t="s">
        <v>6</v>
      </c>
      <c r="B17277" t="s">
        <v>17282</v>
      </c>
      <c r="C17277">
        <f>HYPERLINK("C:\Users\franc\OneDrive\Documentos\MALENTIN KARIME\BANCO ESTADO\2012 DEPTO ESCRITURAS fata\Dc Simples\RESPALDO comp notaria 27_12_12\NOTARIA 2012\FIRMA SIMPLE dos con rep.doc", "Abrir Documento")</f>
        <v>0</v>
      </c>
      <c r="D17277" t="s">
        <v>23500</v>
      </c>
      <c r="E17277" t="s">
        <v>39752</v>
      </c>
    </row>
    <row r="17278" spans="1:5">
      <c r="A17278" t="s">
        <v>6</v>
      </c>
      <c r="B17278" t="s">
        <v>17283</v>
      </c>
      <c r="C17278">
        <f>HYPERLINK("C:\Users\franc\OneDrive\Documentos\MALENTIN KARIME\BANCO ESTADO\2012 DEPTO ESCRITURAS fata\Dc Simples\RESPALDO comp notaria 27_12_12\NOTARIA 2012\Copia de BANCO NOVA JUNIO.xls", "Abrir Documento")</f>
        <v>0</v>
      </c>
      <c r="D17278" t="s">
        <v>23500</v>
      </c>
      <c r="E17278" t="s">
        <v>39753</v>
      </c>
    </row>
    <row r="17279" spans="1:5">
      <c r="A17279" t="s">
        <v>6</v>
      </c>
      <c r="B17279" t="s">
        <v>17284</v>
      </c>
      <c r="C17279">
        <f>HYPERLINK("C:\Users\franc\OneDrive\Documentos\MALENTIN KARIME\BANCO ESTADO\2012 DEPTO ESCRITURAS fata\Dc Simples\RESPALDO comp notaria 27_12_12\NOTARIA 2012\CONTRATO DE ARRIENDO.doc", "Abrir Documento")</f>
        <v>0</v>
      </c>
      <c r="D17279" t="s">
        <v>23500</v>
      </c>
      <c r="E17279" t="s">
        <v>39754</v>
      </c>
    </row>
    <row r="17280" spans="1:5">
      <c r="A17280" t="s">
        <v>6</v>
      </c>
      <c r="B17280" t="s">
        <v>17285</v>
      </c>
      <c r="C17280">
        <f>HYPERLINK("C:\Users\franc\OneDrive\Documentos\MALENTIN KARIME\BANCO ESTADO\2012 DEPTO ESCRITURAS fata\Dc Simples\RESPALDO comp notaria 27_12_12\NOTARIA 2012\CITACION.doc", "Abrir Documento")</f>
        <v>0</v>
      </c>
      <c r="D17280" t="s">
        <v>23500</v>
      </c>
      <c r="E17280" t="s">
        <v>39755</v>
      </c>
    </row>
    <row r="17281" spans="1:5">
      <c r="A17281" t="s">
        <v>6</v>
      </c>
      <c r="B17281" t="s">
        <v>17286</v>
      </c>
      <c r="C17281">
        <f>HYPERLINK("C:\Users\franc\OneDrive\Documentos\MALENTIN KARIME\BANCO ESTADO\2012 DEPTO ESCRITURAS fata\Dc Simples\RESPALDO comp notaria 27_12_12\NOTARIA 2012\carta de aum. pagare.doc", "Abrir Documento")</f>
        <v>0</v>
      </c>
      <c r="D17281" t="s">
        <v>23500</v>
      </c>
      <c r="E17281" t="s">
        <v>39756</v>
      </c>
    </row>
    <row r="17282" spans="1:5">
      <c r="A17282" t="s">
        <v>6</v>
      </c>
      <c r="B17282" t="s">
        <v>17287</v>
      </c>
      <c r="C17282">
        <f>HYPERLINK("C:\Users\franc\OneDrive\Documentos\MALENTIN KARIME\BANCO ESTADO\2012 DEPTO ESCRITURAS fata\Dc Simples\RESPALDO comp notaria 27_12_12\NOTARIA 2012\ARRENDAMIENTO VARIOS ARRENDATARIOS.doc", "Abrir Documento")</f>
        <v>0</v>
      </c>
      <c r="D17282" t="s">
        <v>23500</v>
      </c>
      <c r="E17282" t="s">
        <v>39757</v>
      </c>
    </row>
    <row r="17283" spans="1:5">
      <c r="A17283" t="s">
        <v>6</v>
      </c>
      <c r="B17283" t="s">
        <v>17288</v>
      </c>
      <c r="C17283">
        <f>HYPERLINK("C:\Users\franc\OneDrive\Documentos\MALENTIN KARIME\BANCO ESTADO\2012 DEPTO ESCRITURAS fata\Dc Simples\RESPALDO comp notaria 27_12_12\NOTARIA 2012\ARR. CASA  MODELO.doc", "Abrir Documento")</f>
        <v>0</v>
      </c>
      <c r="D17283" t="s">
        <v>23500</v>
      </c>
      <c r="E17283" t="s">
        <v>39758</v>
      </c>
    </row>
    <row r="17284" spans="1:5">
      <c r="A17284" t="s">
        <v>6</v>
      </c>
      <c r="B17284" t="s">
        <v>17289</v>
      </c>
      <c r="C17284">
        <f>HYPERLINK("C:\Users\franc\OneDrive\Documentos\MALENTIN KARIME\BANCO ESTADO\2012 DEPTO ESCRITURAS fata\Dc Simples\RESPALDO comp notaria 27_12_12\Libro Pagarés\PLANILLA.xls", "Abrir Documento")</f>
        <v>0</v>
      </c>
      <c r="D17284" t="s">
        <v>23500</v>
      </c>
      <c r="E17284" t="s">
        <v>39759</v>
      </c>
    </row>
    <row r="17285" spans="1:5">
      <c r="A17285" t="s">
        <v>6</v>
      </c>
      <c r="B17285" t="s">
        <v>17290</v>
      </c>
      <c r="C17285">
        <f>HYPERLINK("C:\Users\franc\OneDrive\Documentos\MALENTIN KARIME\BANCO ESTADO\2012 DEPTO ESCRITURAS fata\Dc Simples\RESPALDO comp notaria 27_12_12\Libro Pagarés\Pagarés Julio Agosto.xls", "Abrir Documento")</f>
        <v>0</v>
      </c>
      <c r="D17285" t="s">
        <v>23500</v>
      </c>
      <c r="E17285" t="s">
        <v>39760</v>
      </c>
    </row>
    <row r="17286" spans="1:5">
      <c r="A17286" t="s">
        <v>6</v>
      </c>
      <c r="B17286" t="s">
        <v>17291</v>
      </c>
      <c r="C17286">
        <f>HYPERLINK("C:\Users\franc\OneDrive\Documentos\MALENTIN KARIME\BANCO ESTADO\2012 DEPTO ESCRITURAS fata\Dc Simples\RESPALDO comp notaria 27_12_12\DJA3324TXT\PLANILLA.xls", "Abrir Documento")</f>
        <v>0</v>
      </c>
      <c r="D17286" t="s">
        <v>23500</v>
      </c>
      <c r="E17286" t="s">
        <v>39761</v>
      </c>
    </row>
    <row r="17287" spans="1:5">
      <c r="A17287" t="s">
        <v>6</v>
      </c>
      <c r="B17287" t="s">
        <v>17292</v>
      </c>
      <c r="C17287">
        <f>HYPERLINK("C:\Users\franc\OneDrive\Documentos\MALENTIN KARIME\BANCO ESTADO\2012 DEPTO ESCRITURAS fata\Dc Simples\RESPALDO comp notaria 27_12_12\VIGENCIA REPRESENTANTE LEGAL.doc", "Abrir Documento")</f>
        <v>0</v>
      </c>
      <c r="D17287" t="s">
        <v>23500</v>
      </c>
      <c r="E17287" t="s">
        <v>39762</v>
      </c>
    </row>
    <row r="17288" spans="1:5">
      <c r="A17288" t="s">
        <v>6</v>
      </c>
      <c r="B17288" t="s">
        <v>17293</v>
      </c>
      <c r="C17288">
        <f>HYPERLINK("C:\Users\franc\OneDrive\Documentos\MALENTIN KARIME\BANCO ESTADO\2012 DEPTO ESCRITURAS fata\Dc Simples\RESPALDO comp notaria 27_12_12\VIGENCIA MONICA TOLEDO.doc", "Abrir Documento")</f>
        <v>0</v>
      </c>
      <c r="D17288" t="s">
        <v>23500</v>
      </c>
      <c r="E17288" t="s">
        <v>39763</v>
      </c>
    </row>
    <row r="17289" spans="1:5">
      <c r="A17289" t="s">
        <v>6</v>
      </c>
      <c r="B17289" t="s">
        <v>17294</v>
      </c>
      <c r="C17289">
        <f>HYPERLINK("C:\Users\franc\OneDrive\Documentos\MALENTIN KARIME\BANCO ESTADO\2012 DEPTO ESCRITURAS fata\Dc Simples\RESPALDO comp notaria 27_12_12\TRABAJO MENOR modelo.doc", "Abrir Documento")</f>
        <v>0</v>
      </c>
      <c r="D17289" t="s">
        <v>23500</v>
      </c>
      <c r="E17289" t="s">
        <v>39764</v>
      </c>
    </row>
    <row r="17290" spans="1:5">
      <c r="A17290" t="s">
        <v>6</v>
      </c>
      <c r="B17290" t="s">
        <v>17295</v>
      </c>
      <c r="C17290">
        <f>HYPERLINK("C:\Users\franc\OneDrive\Documentos\MALENTIN KARIME\BANCO ESTADO\2012 DEPTO ESCRITURAS fata\Dc Simples\RESPALDO comp notaria 27_12_12\RU T  ACREEDORES.docx", "Abrir Documento")</f>
        <v>0</v>
      </c>
      <c r="D17290" t="s">
        <v>23501</v>
      </c>
      <c r="E17290" t="s">
        <v>39765</v>
      </c>
    </row>
    <row r="17291" spans="1:5">
      <c r="A17291" t="s">
        <v>6</v>
      </c>
      <c r="B17291" t="s">
        <v>17296</v>
      </c>
      <c r="C17291">
        <f>HYPERLINK("C:\Users\franc\OneDrive\Documentos\MALENTIN KARIME\BANCO ESTADO\2012 DEPTO ESCRITURAS fata\Dc Simples\RESPALDO comp notaria 27_12_12\PROPUESTA DE CONTRATO.doc", "Abrir Documento")</f>
        <v>0</v>
      </c>
      <c r="D17291" t="s">
        <v>23500</v>
      </c>
      <c r="E17291" t="s">
        <v>39766</v>
      </c>
    </row>
    <row r="17292" spans="1:5">
      <c r="A17292" t="s">
        <v>6</v>
      </c>
      <c r="B17292" t="s">
        <v>17297</v>
      </c>
      <c r="C17292">
        <f>HYPERLINK("C:\Users\franc\OneDrive\Documentos\MALENTIN KARIME\BANCO ESTADO\2012 DEPTO ESCRITURAS fata\Dc Simples\RESPALDO comp notaria 27_12_12\poder wilfredo hidalgo.doc", "Abrir Documento")</f>
        <v>0</v>
      </c>
      <c r="D17292" t="s">
        <v>23500</v>
      </c>
      <c r="E17292" t="s">
        <v>39767</v>
      </c>
    </row>
    <row r="17293" spans="1:5">
      <c r="A17293" t="s">
        <v>6</v>
      </c>
      <c r="B17293" t="s">
        <v>17298</v>
      </c>
      <c r="C17293">
        <f>HYPERLINK("C:\Users\franc\OneDrive\Documentos\MALENTIN KARIME\BANCO ESTADO\2012 DEPTO ESCRITURAS fata\Dc Simples\RESPALDO comp notaria 27_12_12\PLANILLA LOS HEROES.xls", "Abrir Documento")</f>
        <v>0</v>
      </c>
      <c r="D17293" t="s">
        <v>23500</v>
      </c>
      <c r="E17293" t="s">
        <v>39768</v>
      </c>
    </row>
    <row r="17294" spans="1:5">
      <c r="A17294" t="s">
        <v>6</v>
      </c>
      <c r="B17294" t="s">
        <v>17299</v>
      </c>
      <c r="C17294">
        <f>HYPERLINK("C:\Users\franc\OneDrive\Documentos\MALENTIN KARIME\BANCO ESTADO\2012 DEPTO ESCRITURAS fata\Dc Simples\RESPALDO comp notaria 27_12_12\Planilla  de Horas Extras.xls", "Abrir Documento")</f>
        <v>0</v>
      </c>
      <c r="D17294" t="s">
        <v>23500</v>
      </c>
      <c r="E17294" t="s">
        <v>39769</v>
      </c>
    </row>
    <row r="17295" spans="1:5">
      <c r="A17295" t="s">
        <v>6</v>
      </c>
      <c r="B17295" t="s">
        <v>17300</v>
      </c>
      <c r="C17295">
        <f>HYPERLINK("C:\Users\franc\OneDrive\Documentos\MALENTIN KARIME\BANCO ESTADO\2012 DEPTO ESCRITURAS fata\Dc Simples\RESPALDO comp notaria 27_12_12\modelo de contrato.doc", "Abrir Documento")</f>
        <v>0</v>
      </c>
      <c r="D17295" t="s">
        <v>23500</v>
      </c>
      <c r="E17295" t="s">
        <v>39770</v>
      </c>
    </row>
    <row r="17296" spans="1:5">
      <c r="A17296" t="s">
        <v>6</v>
      </c>
      <c r="B17296" t="s">
        <v>17301</v>
      </c>
      <c r="C17296">
        <f>HYPERLINK("C:\Users\franc\OneDrive\Documentos\MALENTIN KARIME\BANCO ESTADO\2012 DEPTO ESCRITURAS fata\Dc Simples\RESPALDO comp notaria 27_12_12\modelo de contrato CORVAN.doc", "Abrir Documento")</f>
        <v>0</v>
      </c>
      <c r="D17296" t="s">
        <v>23500</v>
      </c>
      <c r="E17296" t="s">
        <v>39771</v>
      </c>
    </row>
    <row r="17297" spans="1:5">
      <c r="A17297" t="s">
        <v>6</v>
      </c>
      <c r="B17297" t="s">
        <v>17302</v>
      </c>
      <c r="C17297">
        <f>HYPERLINK("C:\Users\franc\OneDrive\Documentos\MALENTIN KARIME\BANCO ESTADO\2012 DEPTO ESCRITURAS fata\Dc Simples\RESPALDO comp notaria 27_12_12\EXTRAVIO SELLO.doc", "Abrir Documento")</f>
        <v>0</v>
      </c>
      <c r="D17297" t="s">
        <v>23500</v>
      </c>
      <c r="E17297" t="s">
        <v>39772</v>
      </c>
    </row>
    <row r="17298" spans="1:5">
      <c r="A17298" t="s">
        <v>6</v>
      </c>
      <c r="B17298" t="s">
        <v>17303</v>
      </c>
      <c r="C17298">
        <f>HYPERLINK("C:\Users\franc\OneDrive\Documentos\MALENTIN KARIME\BANCO ESTADO\2012 DEPTO ESCRITURAS fata\Dc Simples\RESPALDO comp notaria 27_12_12\DCTO. SRA. SILVIA.docx", "Abrir Documento")</f>
        <v>0</v>
      </c>
      <c r="D17298" t="s">
        <v>23501</v>
      </c>
      <c r="E17298" t="s">
        <v>39773</v>
      </c>
    </row>
    <row r="17299" spans="1:5">
      <c r="A17299" t="s">
        <v>6</v>
      </c>
      <c r="B17299" t="s">
        <v>17304</v>
      </c>
      <c r="C17299">
        <f>HYPERLINK("C:\Users\franc\OneDrive\Documentos\MALENTIN KARIME\BANCO ESTADO\2012 DEPTO ESCRITURAS fata\Dc Simples\RESPALDO comp notaria 27_12_12\contrato arriendo sociedad[1].doc", "Abrir Documento")</f>
        <v>0</v>
      </c>
      <c r="D17299" t="s">
        <v>23500</v>
      </c>
      <c r="E17299" t="s">
        <v>39774</v>
      </c>
    </row>
    <row r="17300" spans="1:5">
      <c r="A17300" t="s">
        <v>6</v>
      </c>
      <c r="B17300" t="s">
        <v>17305</v>
      </c>
      <c r="C17300">
        <f>HYPERLINK("C:\Users\franc\OneDrive\Documentos\MALENTIN KARIME\BANCO ESTADO\2012 DEPTO ESCRITURAS fata\Dc Simples\RESPALDO comp notaria 27_12_12\ChileProveedores_PN_sin_inhab.doc", "Abrir Documento")</f>
        <v>0</v>
      </c>
      <c r="D17300" t="s">
        <v>23500</v>
      </c>
      <c r="E17300" t="s">
        <v>39775</v>
      </c>
    </row>
    <row r="17301" spans="1:5">
      <c r="A17301" t="s">
        <v>6</v>
      </c>
      <c r="B17301" t="s">
        <v>17306</v>
      </c>
      <c r="C17301">
        <f>HYPERLINK("C:\Users\franc\OneDrive\Documentos\MALENTIN KARIME\BANCO ESTADO\2012 DEPTO ESCRITURAS fata\Dc Simples\RESPALDO comp notaria 27_12_12\CESION DERECHOS LEASING VEHICULO SIERRA CONTRERAS.doc", "Abrir Documento")</f>
        <v>0</v>
      </c>
      <c r="D17301" t="s">
        <v>23500</v>
      </c>
      <c r="E17301" t="s">
        <v>39776</v>
      </c>
    </row>
    <row r="17302" spans="1:5">
      <c r="A17302" t="s">
        <v>6</v>
      </c>
      <c r="B17302" t="s">
        <v>17307</v>
      </c>
      <c r="C17302">
        <f>HYPERLINK("C:\Users\franc\OneDrive\Documentos\MALENTIN KARIME\BANCO ESTADO\2012 DEPTO ESCRITURAS fata\Dc Simples\RESPALDO comp notaria 27_12_12\CARTA PODER CAROLINA MINERA.docx", "Abrir Documento")</f>
        <v>0</v>
      </c>
      <c r="D17302" t="s">
        <v>23501</v>
      </c>
      <c r="E17302" t="s">
        <v>39777</v>
      </c>
    </row>
    <row r="17303" spans="1:5">
      <c r="A17303" t="s">
        <v>6</v>
      </c>
      <c r="B17303" t="s">
        <v>17308</v>
      </c>
      <c r="C17303">
        <f>HYPERLINK("C:\Users\franc\OneDrive\Documentos\MALENTIN KARIME\BANCO ESTADO\2012 DEPTO ESCRITURAS fata\Dc Simples\RESPALDO comp notaria 27_12_12\BOLETAS Y GASTOS 28 DE SEPTIEMBRE DE 2012.xls", "Abrir Documento")</f>
        <v>0</v>
      </c>
      <c r="D17303" t="s">
        <v>23500</v>
      </c>
      <c r="E17303" t="s">
        <v>39778</v>
      </c>
    </row>
    <row r="17304" spans="1:5">
      <c r="A17304" t="s">
        <v>6</v>
      </c>
      <c r="B17304" t="s">
        <v>17309</v>
      </c>
      <c r="C17304">
        <f>HYPERLINK("C:\Users\franc\OneDrive\Documentos\MALENTIN KARIME\BANCO ESTADO\2012 DEPTO ESCRITURAS fata\Dc Simples\RESPALDO comp notaria 27_12_12\BOLETAS Y GASTOS 27 DE SEPTIEMBRE DE 2012.xls", "Abrir Documento")</f>
        <v>0</v>
      </c>
      <c r="D17304" t="s">
        <v>23500</v>
      </c>
      <c r="E17304" t="s">
        <v>39779</v>
      </c>
    </row>
    <row r="17305" spans="1:5">
      <c r="A17305" t="s">
        <v>6</v>
      </c>
      <c r="B17305" t="s">
        <v>17310</v>
      </c>
      <c r="C17305">
        <f>HYPERLINK("C:\Users\franc\OneDrive\Documentos\MALENTIN KARIME\BANCO ESTADO\2012 DEPTO ESCRITURAS fata\Dc Simples\RESPALDO comp notaria 27_12_12\AUT. FIRMA NOTARIO CANDIDATURA.doc", "Abrir Documento")</f>
        <v>0</v>
      </c>
      <c r="D17305" t="s">
        <v>23500</v>
      </c>
      <c r="E17305" t="s">
        <v>39780</v>
      </c>
    </row>
    <row r="17306" spans="1:5">
      <c r="A17306" t="s">
        <v>6</v>
      </c>
      <c r="B17306" t="s">
        <v>17311</v>
      </c>
      <c r="C17306">
        <f>HYPERLINK("C:\Users\franc\OneDrive\Documentos\MALENTIN KARIME\BANCO ESTADO\2012 DEPTO ESCRITURAS fata\Dc Simples\RESPALDO comp notaria 27_12_12\Arriendo Vic Polo - Plaza La Torre OSAKA 2012 v3.doc", "Abrir Documento")</f>
        <v>0</v>
      </c>
      <c r="D17306" t="s">
        <v>23500</v>
      </c>
      <c r="E17306" t="s">
        <v>39781</v>
      </c>
    </row>
    <row r="17307" spans="1:5">
      <c r="A17307" t="s">
        <v>6</v>
      </c>
      <c r="B17307" t="s">
        <v>17312</v>
      </c>
      <c r="C17307">
        <f>HYPERLINK("C:\Users\franc\OneDrive\Documentos\MALENTIN KARIME\BANCO ESTADO\2012 DEPTO ESCRITURAS fata\Dc Simples\RESPALDO comp notaria 27_12_12\ARR. VEHICULO MODELO claudia.doc", "Abrir Documento")</f>
        <v>0</v>
      </c>
      <c r="D17307" t="s">
        <v>23500</v>
      </c>
      <c r="E17307" t="s">
        <v>39782</v>
      </c>
    </row>
    <row r="17308" spans="1:5">
      <c r="A17308" t="s">
        <v>6</v>
      </c>
      <c r="B17308" t="s">
        <v>17313</v>
      </c>
      <c r="C17308">
        <f>HYPERLINK("C:\Users\franc\OneDrive\Documentos\MALENTIN KARIME\BANCO ESTADO\2012 DEPTO ESCRITURAS fata\Dc Simples\PODERES\tramitar POSESION EFECTIVA.doc", "Abrir Documento")</f>
        <v>0</v>
      </c>
      <c r="D17308" t="s">
        <v>23500</v>
      </c>
      <c r="E17308" t="s">
        <v>39783</v>
      </c>
    </row>
    <row r="17309" spans="1:5">
      <c r="A17309" t="s">
        <v>6</v>
      </c>
      <c r="B17309" t="s">
        <v>17314</v>
      </c>
      <c r="C17309">
        <f>HYPERLINK("C:\Users\franc\OneDrive\Documentos\MALENTIN KARIME\BANCO ESTADO\2012 DEPTO ESCRITURAS fata\Dc Simples\PODERES\SII.PRE.ROL.doc", "Abrir Documento")</f>
        <v>0</v>
      </c>
      <c r="D17309" t="s">
        <v>23500</v>
      </c>
      <c r="E17309" t="s">
        <v>39784</v>
      </c>
    </row>
    <row r="17310" spans="1:5">
      <c r="A17310" t="s">
        <v>6</v>
      </c>
      <c r="B17310" t="s">
        <v>17315</v>
      </c>
      <c r="C17310">
        <f>HYPERLINK("C:\Users\franc\OneDrive\Documentos\MALENTIN KARIME\BANCO ESTADO\2012 DEPTO ESCRITURAS fata\Dc Simples\PODERES\SII.MARIO LAGUNAS PALACIOS.doc", "Abrir Documento")</f>
        <v>0</v>
      </c>
      <c r="D17310" t="s">
        <v>23500</v>
      </c>
      <c r="E17310" t="s">
        <v>39785</v>
      </c>
    </row>
    <row r="17311" spans="1:5">
      <c r="A17311" t="s">
        <v>6</v>
      </c>
      <c r="B17311" t="s">
        <v>17316</v>
      </c>
      <c r="C17311">
        <f>HYPERLINK("C:\Users\franc\OneDrive\Documentos\MALENTIN KARIME\BANCO ESTADO\2012 DEPTO ESCRITURAS fata\Dc Simples\PODERES\SII.MARIA BAHAMONDESdoc.doc", "Abrir Documento")</f>
        <v>0</v>
      </c>
      <c r="D17311" t="s">
        <v>23500</v>
      </c>
      <c r="E17311" t="s">
        <v>39786</v>
      </c>
    </row>
    <row r="17312" spans="1:5">
      <c r="A17312" t="s">
        <v>6</v>
      </c>
      <c r="B17312" t="s">
        <v>17317</v>
      </c>
      <c r="C17312">
        <f>HYPERLINK("C:\Users\franc\OneDrive\Documentos\MALENTIN KARIME\BANCO ESTADO\2012 DEPTO ESCRITURAS fata\Dc Simples\PODERES\SII.LAURA ALUCEMA.doc", "Abrir Documento")</f>
        <v>0</v>
      </c>
      <c r="D17312" t="s">
        <v>23500</v>
      </c>
      <c r="E17312" t="s">
        <v>39787</v>
      </c>
    </row>
    <row r="17313" spans="1:5">
      <c r="A17313" t="s">
        <v>6</v>
      </c>
      <c r="B17313" t="s">
        <v>17318</v>
      </c>
      <c r="C17313">
        <f>HYPERLINK("C:\Users\franc\OneDrive\Documentos\MALENTIN KARIME\BANCO ESTADO\2012 DEPTO ESCRITURAS fata\Dc Simples\PODERES\SII. PEDRO IRARRAZABAL.doc", "Abrir Documento")</f>
        <v>0</v>
      </c>
      <c r="D17313" t="s">
        <v>23500</v>
      </c>
      <c r="E17313" t="s">
        <v>39788</v>
      </c>
    </row>
    <row r="17314" spans="1:5">
      <c r="A17314" t="s">
        <v>6</v>
      </c>
      <c r="B17314" t="s">
        <v>17319</v>
      </c>
      <c r="C17314">
        <f>HYPERLINK("C:\Users\franc\OneDrive\Documentos\MALENTIN KARIME\BANCO ESTADO\2012 DEPTO ESCRITURAS fata\Dc Simples\PODERES\SII. MALVINA URRUTIA.doc", "Abrir Documento")</f>
        <v>0</v>
      </c>
      <c r="D17314" t="s">
        <v>23500</v>
      </c>
      <c r="E17314" t="s">
        <v>39789</v>
      </c>
    </row>
    <row r="17315" spans="1:5">
      <c r="A17315" t="s">
        <v>6</v>
      </c>
      <c r="B17315" t="s">
        <v>17320</v>
      </c>
      <c r="C17315">
        <f>HYPERLINK("C:\Users\franc\OneDrive\Documentos\MALENTIN KARIME\BANCO ESTADO\2012 DEPTO ESCRITURAS fata\Dc Simples\PODERES\poder.doc", "Abrir Documento")</f>
        <v>0</v>
      </c>
      <c r="D17315" t="s">
        <v>23500</v>
      </c>
      <c r="E17315" t="s">
        <v>39790</v>
      </c>
    </row>
    <row r="17316" spans="1:5">
      <c r="A17316" t="s">
        <v>6</v>
      </c>
      <c r="B17316" t="s">
        <v>17321</v>
      </c>
      <c r="C17316">
        <f>HYPERLINK("C:\Users\franc\OneDrive\Documentos\MALENTIN KARIME\BANCO ESTADO\2012 DEPTO ESCRITURAS fata\Dc Simples\PODERES\poder. extranjero doc.doc", "Abrir Documento")</f>
        <v>0</v>
      </c>
      <c r="D17316" t="s">
        <v>23500</v>
      </c>
      <c r="E17316" t="s">
        <v>39791</v>
      </c>
    </row>
    <row r="17317" spans="1:5">
      <c r="A17317" t="s">
        <v>6</v>
      </c>
      <c r="B17317" t="s">
        <v>17322</v>
      </c>
      <c r="C17317">
        <f>HYPERLINK("C:\Users\franc\OneDrive\Documentos\MALENTIN KARIME\BANCO ESTADO\2012 DEPTO ESCRITURAS fata\Dc Simples\PODERES\PODER juan avalos herrera.doc", "Abrir Documento")</f>
        <v>0</v>
      </c>
      <c r="D17317" t="s">
        <v>23500</v>
      </c>
      <c r="E17317" t="s">
        <v>39792</v>
      </c>
    </row>
    <row r="17318" spans="1:5">
      <c r="A17318" t="s">
        <v>6</v>
      </c>
      <c r="B17318" t="s">
        <v>17323</v>
      </c>
      <c r="C17318">
        <f>HYPERLINK("C:\Users\franc\OneDrive\Documentos\MALENTIN KARIME\BANCO ESTADO\2012 DEPTO ESCRITURAS fata\Dc Simples\PODERES\Poder A NANCY CERVA.doc", "Abrir Documento")</f>
        <v>0</v>
      </c>
      <c r="D17318" t="s">
        <v>23500</v>
      </c>
      <c r="E17318" t="s">
        <v>39793</v>
      </c>
    </row>
    <row r="17319" spans="1:5">
      <c r="A17319" t="s">
        <v>6</v>
      </c>
      <c r="B17319" t="s">
        <v>17324</v>
      </c>
      <c r="C17319">
        <f>HYPERLINK("C:\Users\franc\OneDrive\Documentos\MALENTIN KARIME\BANCO ESTADO\2012 DEPTO ESCRITURAS fata\Dc Simples\PODERES\personal.doc", "Abrir Documento")</f>
        <v>0</v>
      </c>
      <c r="D17319" t="s">
        <v>23500</v>
      </c>
      <c r="E17319" t="s">
        <v>39794</v>
      </c>
    </row>
    <row r="17320" spans="1:5">
      <c r="A17320" t="s">
        <v>6</v>
      </c>
      <c r="B17320" t="s">
        <v>17325</v>
      </c>
      <c r="C17320">
        <f>HYPERLINK("C:\Users\franc\OneDrive\Documentos\MALENTIN KARIME\BANCO ESTADO\2012 DEPTO ESCRITURAS fata\Dc Simples\PODERES\FUNERARIA Alvaro Maya.doc", "Abrir Documento")</f>
        <v>0</v>
      </c>
      <c r="D17320" t="s">
        <v>23500</v>
      </c>
      <c r="E17320" t="s">
        <v>39795</v>
      </c>
    </row>
    <row r="17321" spans="1:5">
      <c r="A17321" t="s">
        <v>6</v>
      </c>
      <c r="B17321" t="s">
        <v>17326</v>
      </c>
      <c r="C17321">
        <f>HYPERLINK("C:\Users\franc\OneDrive\Documentos\MALENTIN KARIME\BANCO ESTADO\2012 DEPTO ESCRITURAS fata\Dc Simples\PODERES\COBRAR.doc", "Abrir Documento")</f>
        <v>0</v>
      </c>
      <c r="D17321" t="s">
        <v>23500</v>
      </c>
      <c r="E17321" t="s">
        <v>39796</v>
      </c>
    </row>
    <row r="17322" spans="1:5">
      <c r="A17322" t="s">
        <v>6</v>
      </c>
      <c r="B17322" t="s">
        <v>17327</v>
      </c>
      <c r="C17322">
        <f>HYPERLINK("C:\Users\franc\OneDrive\Documentos\MALENTIN KARIME\BANCO ESTADO\2012 DEPTO ESCRITURAS fata\Dc Simples\PODERES\COBRAR Sucesion Hector Castro.doc", "Abrir Documento")</f>
        <v>0</v>
      </c>
      <c r="D17322" t="s">
        <v>23500</v>
      </c>
      <c r="E17322" t="s">
        <v>39797</v>
      </c>
    </row>
    <row r="17323" spans="1:5">
      <c r="A17323" t="s">
        <v>6</v>
      </c>
      <c r="B17323" t="s">
        <v>17328</v>
      </c>
      <c r="C17323">
        <f>HYPERLINK("C:\Users\franc\OneDrive\Documentos\MALENTIN KARIME\BANCO ESTADO\2012 DEPTO ESCRITURAS fata\Dc Simples\PODERES\COBRAR Subsidio.doc", "Abrir Documento")</f>
        <v>0</v>
      </c>
      <c r="D17323" t="s">
        <v>23500</v>
      </c>
      <c r="E17323" t="s">
        <v>39798</v>
      </c>
    </row>
    <row r="17324" spans="1:5">
      <c r="A17324" t="s">
        <v>6</v>
      </c>
      <c r="B17324" t="s">
        <v>17329</v>
      </c>
      <c r="C17324">
        <f>HYPERLINK("C:\Users\franc\OneDrive\Documentos\MALENTIN KARIME\BANCO ESTADO\2012 DEPTO ESCRITURAS fata\Dc Simples\PODERES\COBRAR PISCO CONTROL.doc", "Abrir Documento")</f>
        <v>0</v>
      </c>
      <c r="D17324" t="s">
        <v>23500</v>
      </c>
      <c r="E17324" t="s">
        <v>39799</v>
      </c>
    </row>
    <row r="17325" spans="1:5">
      <c r="A17325" t="s">
        <v>6</v>
      </c>
      <c r="B17325" t="s">
        <v>17330</v>
      </c>
      <c r="C17325">
        <f>HYPERLINK("C:\Users\franc\OneDrive\Documentos\MALENTIN KARIME\BANCO ESTADO\2012 DEPTO ESCRITURAS fata\Dc Simples\PODERES\COBRAR LICENCIA.doc", "Abrir Documento")</f>
        <v>0</v>
      </c>
      <c r="D17325" t="s">
        <v>23500</v>
      </c>
      <c r="E17325" t="s">
        <v>39800</v>
      </c>
    </row>
    <row r="17326" spans="1:5">
      <c r="A17326" t="s">
        <v>6</v>
      </c>
      <c r="B17326" t="s">
        <v>17331</v>
      </c>
      <c r="C17326">
        <f>HYPERLINK("C:\Users\franc\OneDrive\Documentos\MALENTIN KARIME\BANCO ESTADO\2012 DEPTO ESCRITURAS fata\Dc Simples\PODERES\COBRAR LICENCIA 1.doc", "Abrir Documento")</f>
        <v>0</v>
      </c>
      <c r="D17326" t="s">
        <v>23500</v>
      </c>
      <c r="E17326" t="s">
        <v>39801</v>
      </c>
    </row>
    <row r="17327" spans="1:5">
      <c r="A17327" t="s">
        <v>6</v>
      </c>
      <c r="B17327" t="s">
        <v>17332</v>
      </c>
      <c r="C17327">
        <f>HYPERLINK("C:\Users\franc\OneDrive\Documentos\MALENTIN KARIME\BANCO ESTADO\2012 DEPTO ESCRITURAS fata\Dc Simples\PODERES\COBRAR cheques.doc", "Abrir Documento")</f>
        <v>0</v>
      </c>
      <c r="D17327" t="s">
        <v>23500</v>
      </c>
      <c r="E17327" t="s">
        <v>39802</v>
      </c>
    </row>
    <row r="17328" spans="1:5">
      <c r="A17328" t="s">
        <v>6</v>
      </c>
      <c r="B17328" t="s">
        <v>17333</v>
      </c>
      <c r="C17328">
        <f>HYPERLINK("C:\Users\franc\OneDrive\Documentos\MALENTIN KARIME\BANCO ESTADO\2012 DEPTO ESCRITURAS fata\Dc Simples\PODERES\ASISTIR  A REUNION.doc", "Abrir Documento")</f>
        <v>0</v>
      </c>
      <c r="D17328" t="s">
        <v>23500</v>
      </c>
      <c r="E17328" t="s">
        <v>39803</v>
      </c>
    </row>
    <row r="17329" spans="1:5">
      <c r="A17329" t="s">
        <v>6</v>
      </c>
      <c r="B17329" t="s">
        <v>17334</v>
      </c>
      <c r="C17329">
        <f>HYPERLINK("C:\Users\franc\OneDrive\Documentos\MALENTIN KARIME\BANCO ESTADO\2012 DEPTO ESCRITURAS fata\Dc Simples\PODERES\ADMINISTRACION.doc", "Abrir Documento")</f>
        <v>0</v>
      </c>
      <c r="D17329" t="s">
        <v>23500</v>
      </c>
      <c r="E17329" t="s">
        <v>39804</v>
      </c>
    </row>
    <row r="17330" spans="1:5">
      <c r="A17330" t="s">
        <v>6</v>
      </c>
      <c r="B17330" t="s">
        <v>17335</v>
      </c>
      <c r="C17330">
        <f>HYPERLINK("C:\Users\franc\OneDrive\Documentos\MALENTIN KARIME\BANCO ESTADO\2012 DEPTO ESCRITURAS fata\Dc Simples\PODERES\administra casa.doc", "Abrir Documento")</f>
        <v>0</v>
      </c>
      <c r="D17330" t="s">
        <v>23500</v>
      </c>
      <c r="E17330" t="s">
        <v>39805</v>
      </c>
    </row>
    <row r="17331" spans="1:5">
      <c r="A17331" t="s">
        <v>6</v>
      </c>
      <c r="B17331" t="s">
        <v>17336</v>
      </c>
      <c r="C17331">
        <f>HYPERLINK("C:\Users\franc\OneDrive\Documentos\MALENTIN KARIME\BANCO ESTADO\2012 DEPTO ESCRITURAS fata\Dc Simples\MINUTA\MINERA EL COBRE Y BMR.doc", "Abrir Documento")</f>
        <v>0</v>
      </c>
      <c r="D17331" t="s">
        <v>23500</v>
      </c>
      <c r="E17331" t="s">
        <v>39806</v>
      </c>
    </row>
    <row r="17332" spans="1:5">
      <c r="A17332" t="s">
        <v>6</v>
      </c>
      <c r="B17332" t="s">
        <v>17337</v>
      </c>
      <c r="C17332">
        <f>HYPERLINK("C:\Users\franc\OneDrive\Documentos\MALENTIN KARIME\BANCO ESTADO\2012 DEPTO ESCRITURAS fata\Dc Simples\MINUTA\MINERA BANCO DE ORO Y SLM MINA EL LIMON.doc", "Abrir Documento")</f>
        <v>0</v>
      </c>
      <c r="D17332" t="s">
        <v>23500</v>
      </c>
      <c r="E17332" t="s">
        <v>39807</v>
      </c>
    </row>
    <row r="17333" spans="1:5">
      <c r="A17333" t="s">
        <v>6</v>
      </c>
      <c r="B17333" t="s">
        <v>17338</v>
      </c>
      <c r="C17333">
        <f>HYPERLINK("C:\Users\franc\OneDrive\Documentos\MALENTIN KARIME\BANCO ESTADO\2012 DEPTO ESCRITURAS fata\Dc Simples\MINUTA\JULIO EGAÑA Arrendamiento.doc", "Abrir Documento")</f>
        <v>0</v>
      </c>
      <c r="D17333" t="s">
        <v>23500</v>
      </c>
      <c r="E17333" t="s">
        <v>39808</v>
      </c>
    </row>
    <row r="17334" spans="1:5">
      <c r="A17334" t="s">
        <v>6</v>
      </c>
      <c r="B17334" t="s">
        <v>17339</v>
      </c>
      <c r="C17334">
        <f>HYPERLINK("C:\Users\franc\OneDrive\Documentos\MALENTIN KARIME\BANCO ESTADO\2012 DEPTO ESCRITURAS fata\Dc Simples\MINUTA\Fara Olivares ACTA DE ACUERDO.doc", "Abrir Documento")</f>
        <v>0</v>
      </c>
      <c r="D17334" t="s">
        <v>23500</v>
      </c>
      <c r="E17334" t="s">
        <v>39809</v>
      </c>
    </row>
    <row r="17335" spans="1:5">
      <c r="A17335" t="s">
        <v>6</v>
      </c>
      <c r="B17335" t="s">
        <v>17340</v>
      </c>
      <c r="C17335">
        <f>HYPERLINK("C:\Users\franc\OneDrive\Documentos\MALENTIN KARIME\BANCO ESTADO\2012 DEPTO ESCRITURAS fata\Dc Simples\firma\Redacción Externa.docx", "Abrir Documento")</f>
        <v>0</v>
      </c>
      <c r="D17335" t="s">
        <v>23501</v>
      </c>
      <c r="E17335" t="s">
        <v>39810</v>
      </c>
    </row>
    <row r="17336" spans="1:5">
      <c r="A17336" t="s">
        <v>6</v>
      </c>
      <c r="B17336" t="s">
        <v>17341</v>
      </c>
      <c r="C17336">
        <f>HYPERLINK("C:\Users\franc\OneDrive\Documentos\MALENTIN KARIME\BANCO ESTADO\2012 DEPTO ESCRITURAS fata\Dc Simples\firma\Firma a ruego.docx", "Abrir Documento")</f>
        <v>0</v>
      </c>
      <c r="D17336" t="s">
        <v>23501</v>
      </c>
      <c r="E17336" t="s">
        <v>39811</v>
      </c>
    </row>
    <row r="17337" spans="1:5">
      <c r="A17337" t="s">
        <v>6</v>
      </c>
      <c r="B17337" t="s">
        <v>17342</v>
      </c>
      <c r="C17337">
        <f>HYPERLINK("C:\Users\franc\OneDrive\Documentos\MALENTIN KARIME\BANCO ESTADO\2012 DEPTO ESCRITURAS fata\Dc Simples\firma\Autorizo la firma CLUG.docx", "Abrir Documento")</f>
        <v>0</v>
      </c>
      <c r="D17337" t="s">
        <v>23501</v>
      </c>
      <c r="E17337" t="s">
        <v>39812</v>
      </c>
    </row>
    <row r="17338" spans="1:5">
      <c r="A17338" t="s">
        <v>6</v>
      </c>
      <c r="B17338" t="s">
        <v>17343</v>
      </c>
      <c r="C17338">
        <f>HYPERLINK("C:\Users\franc\OneDrive\Documentos\MALENTIN KARIME\BANCO ESTADO\2012 DEPTO ESCRITURAS fata\Dc Simples\DECLARACIONES\VEHICULO NO COLECTIVO.doc", "Abrir Documento")</f>
        <v>0</v>
      </c>
      <c r="D17338" t="s">
        <v>23500</v>
      </c>
      <c r="E17338" t="s">
        <v>39813</v>
      </c>
    </row>
    <row r="17339" spans="1:5">
      <c r="A17339" t="s">
        <v>6</v>
      </c>
      <c r="B17339" t="s">
        <v>17344</v>
      </c>
      <c r="C17339">
        <f>HYPERLINK("C:\Users\franc\OneDrive\Documentos\MALENTIN KARIME\BANCO ESTADO\2012 DEPTO ESCRITURAS fata\Dc Simples\DECLARACIONES\VEHICULO CAMBIO MOTOR.doc", "Abrir Documento")</f>
        <v>0</v>
      </c>
      <c r="D17339" t="s">
        <v>23500</v>
      </c>
      <c r="E17339" t="s">
        <v>39814</v>
      </c>
    </row>
    <row r="17340" spans="1:5">
      <c r="A17340" t="s">
        <v>6</v>
      </c>
      <c r="B17340" t="s">
        <v>17345</v>
      </c>
      <c r="C17340">
        <f>HYPERLINK("C:\Users\franc\OneDrive\Documentos\MALENTIN KARIME\BANCO ESTADO\2012 DEPTO ESCRITURAS fata\Dc Simples\DECLARACIONES\VEHICULO CAMBIO COLOR.doc", "Abrir Documento")</f>
        <v>0</v>
      </c>
      <c r="D17340" t="s">
        <v>23500</v>
      </c>
      <c r="E17340" t="s">
        <v>39815</v>
      </c>
    </row>
    <row r="17341" spans="1:5">
      <c r="A17341" t="s">
        <v>6</v>
      </c>
      <c r="B17341" t="s">
        <v>17346</v>
      </c>
      <c r="C17341">
        <f>HYPERLINK("C:\Users\franc\OneDrive\Documentos\MALENTIN KARIME\BANCO ESTADO\2012 DEPTO ESCRITURAS fata\Dc Simples\DECLARACIONES\SOLTERIA.doc", "Abrir Documento")</f>
        <v>0</v>
      </c>
      <c r="D17341" t="s">
        <v>23500</v>
      </c>
      <c r="E17341" t="s">
        <v>39816</v>
      </c>
    </row>
    <row r="17342" spans="1:5">
      <c r="A17342" t="s">
        <v>6</v>
      </c>
      <c r="B17342" t="s">
        <v>17347</v>
      </c>
      <c r="C17342">
        <f>HYPERLINK("C:\Users\franc\OneDrive\Documentos\MALENTIN KARIME\BANCO ESTADO\2012 DEPTO ESCRITURAS fata\Dc Simples\DECLARACIONES\SIN COTIZACIONES.doc", "Abrir Documento")</f>
        <v>0</v>
      </c>
      <c r="D17342" t="s">
        <v>23500</v>
      </c>
      <c r="E17342" t="s">
        <v>39817</v>
      </c>
    </row>
    <row r="17343" spans="1:5">
      <c r="A17343" t="s">
        <v>6</v>
      </c>
      <c r="B17343" t="s">
        <v>17348</v>
      </c>
      <c r="C17343">
        <f>HYPERLINK("C:\Users\franc\OneDrive\Documentos\MALENTIN KARIME\BANCO ESTADO\2012 DEPTO ESCRITURAS fata\Dc Simples\DECLARACIONES\propiedad.doc", "Abrir Documento")</f>
        <v>0</v>
      </c>
      <c r="D17343" t="s">
        <v>23500</v>
      </c>
      <c r="E17343" t="s">
        <v>39818</v>
      </c>
    </row>
    <row r="17344" spans="1:5">
      <c r="A17344" t="s">
        <v>6</v>
      </c>
      <c r="B17344" t="s">
        <v>17349</v>
      </c>
      <c r="C17344">
        <f>HYPERLINK("C:\Users\franc\OneDrive\Documentos\MALENTIN KARIME\BANCO ESTADO\2012 DEPTO ESCRITURAS fata\Dc Simples\DECLARACIONES\OCUPACION.doc", "Abrir Documento")</f>
        <v>0</v>
      </c>
      <c r="D17344" t="s">
        <v>23500</v>
      </c>
      <c r="E17344" t="s">
        <v>39819</v>
      </c>
    </row>
    <row r="17345" spans="1:5">
      <c r="A17345" t="s">
        <v>6</v>
      </c>
      <c r="B17345" t="s">
        <v>17350</v>
      </c>
      <c r="C17345">
        <f>HYPERLINK("C:\Users\franc\OneDrive\Documentos\MALENTIN KARIME\BANCO ESTADO\2012 DEPTO ESCRITURAS fata\Dc Simples\DECLARACIONES\obras1.doc", "Abrir Documento")</f>
        <v>0</v>
      </c>
      <c r="D17345" t="s">
        <v>23500</v>
      </c>
      <c r="E17345" t="s">
        <v>39820</v>
      </c>
    </row>
    <row r="17346" spans="1:5">
      <c r="A17346" t="s">
        <v>6</v>
      </c>
      <c r="B17346" t="s">
        <v>17351</v>
      </c>
      <c r="C17346">
        <f>HYPERLINK("C:\Users\franc\OneDrive\Documentos\MALENTIN KARIME\BANCO ESTADO\2012 DEPTO ESCRITURAS fata\Dc Simples\DECLARACIONES\logros.doc", "Abrir Documento")</f>
        <v>0</v>
      </c>
      <c r="D17346" t="s">
        <v>23500</v>
      </c>
      <c r="E17346" t="s">
        <v>39821</v>
      </c>
    </row>
    <row r="17347" spans="1:5">
      <c r="A17347" t="s">
        <v>6</v>
      </c>
      <c r="B17347" t="s">
        <v>17352</v>
      </c>
      <c r="C17347">
        <f>HYPERLINK("C:\Users\franc\OneDrive\Documentos\MALENTIN KARIME\BANCO ESTADO\2012 DEPTO ESCRITURAS fata\Dc Simples\DECLARACIONES\FINIQUITO EXTRAVIADO.doc", "Abrir Documento")</f>
        <v>0</v>
      </c>
      <c r="D17347" t="s">
        <v>23500</v>
      </c>
      <c r="E17347" t="s">
        <v>39822</v>
      </c>
    </row>
    <row r="17348" spans="1:5">
      <c r="A17348" t="s">
        <v>6</v>
      </c>
      <c r="B17348" t="s">
        <v>17353</v>
      </c>
      <c r="C17348">
        <f>HYPERLINK("C:\Users\franc\OneDrive\Documentos\MALENTIN KARIME\BANCO ESTADO\2012 DEPTO ESCRITURAS fata\Dc Simples\DECLARACIONES\FINIQUITO en tramite damian.doc", "Abrir Documento")</f>
        <v>0</v>
      </c>
      <c r="D17348" t="s">
        <v>23500</v>
      </c>
      <c r="E17348" t="s">
        <v>39823</v>
      </c>
    </row>
    <row r="17349" spans="1:5">
      <c r="A17349" t="s">
        <v>6</v>
      </c>
      <c r="B17349" t="s">
        <v>17354</v>
      </c>
      <c r="C17349">
        <f>HYPERLINK("C:\Users\franc\OneDrive\Documentos\MALENTIN KARIME\BANCO ESTADO\2012 DEPTO ESCRITURAS fata\Dc Simples\DECLARACIONES\EXTRAVIO CDI.doc", "Abrir Documento")</f>
        <v>0</v>
      </c>
      <c r="D17349" t="s">
        <v>23500</v>
      </c>
      <c r="E17349" t="s">
        <v>39824</v>
      </c>
    </row>
    <row r="17350" spans="1:5">
      <c r="A17350" t="s">
        <v>6</v>
      </c>
      <c r="B17350" t="s">
        <v>17355</v>
      </c>
      <c r="C17350">
        <f>HYPERLINK("C:\Users\franc\OneDrive\Documentos\MALENTIN KARIME\BANCO ESTADO\2012 DEPTO ESCRITURAS fata\Dc Simples\DECLARACIONES\EXPENSAS modelo.doc", "Abrir Documento")</f>
        <v>0</v>
      </c>
      <c r="D17350" t="s">
        <v>23500</v>
      </c>
      <c r="E17350" t="s">
        <v>39825</v>
      </c>
    </row>
    <row r="17351" spans="1:5">
      <c r="A17351" t="s">
        <v>6</v>
      </c>
      <c r="B17351" t="s">
        <v>17356</v>
      </c>
      <c r="C17351">
        <f>HYPERLINK("C:\Users\franc\OneDrive\Documentos\MALENTIN KARIME\BANCO ESTADO\2012 DEPTO ESCRITURAS fata\Dc Simples\DECLARACIONES\DOMIILIO COMERCIAL 5.doc", "Abrir Documento")</f>
        <v>0</v>
      </c>
      <c r="D17351" t="s">
        <v>23500</v>
      </c>
      <c r="E17351" t="s">
        <v>39826</v>
      </c>
    </row>
    <row r="17352" spans="1:5">
      <c r="A17352" t="s">
        <v>6</v>
      </c>
      <c r="B17352" t="s">
        <v>17357</v>
      </c>
      <c r="C17352">
        <f>HYPERLINK("C:\Users\franc\OneDrive\Documentos\MALENTIN KARIME\BANCO ESTADO\2012 DEPTO ESCRITURAS fata\Dc Simples\DECLARACIONES\DOMICILIO.1.doc", "Abrir Documento")</f>
        <v>0</v>
      </c>
      <c r="D17352" t="s">
        <v>23500</v>
      </c>
      <c r="E17352" t="s">
        <v>39827</v>
      </c>
    </row>
    <row r="17353" spans="1:5">
      <c r="A17353" t="s">
        <v>6</v>
      </c>
      <c r="B17353" t="s">
        <v>17358</v>
      </c>
      <c r="C17353">
        <f>HYPERLINK("C:\Users\franc\OneDrive\Documentos\MALENTIN KARIME\BANCO ESTADO\2012 DEPTO ESCRITURAS fata\Dc Simples\DECLARACIONES\DOMICILIO.1 CON TESTIGO.doc", "Abrir Documento")</f>
        <v>0</v>
      </c>
      <c r="D17353" t="s">
        <v>23500</v>
      </c>
      <c r="E17353" t="s">
        <v>39828</v>
      </c>
    </row>
    <row r="17354" spans="1:5">
      <c r="A17354" t="s">
        <v>6</v>
      </c>
      <c r="B17354" t="s">
        <v>17359</v>
      </c>
      <c r="C17354">
        <f>HYPERLINK("C:\Users\franc\OneDrive\Documentos\MALENTIN KARIME\BANCO ESTADO\2012 DEPTO ESCRITURAS fata\Dc Simples\DECLARACIONES\DOMICILIO. Carlos Garcia.doc", "Abrir Documento")</f>
        <v>0</v>
      </c>
      <c r="D17354" t="s">
        <v>23500</v>
      </c>
      <c r="E17354" t="s">
        <v>39829</v>
      </c>
    </row>
    <row r="17355" spans="1:5">
      <c r="A17355" t="s">
        <v>6</v>
      </c>
      <c r="B17355" t="s">
        <v>17360</v>
      </c>
      <c r="C17355">
        <f>HYPERLINK("C:\Users\franc\OneDrive\Documentos\MALENTIN KARIME\BANCO ESTADO\2012 DEPTO ESCRITURAS fata\Dc Simples\DECLARACIONES\DOMICILIO. 2 direcc.doc", "Abrir Documento")</f>
        <v>0</v>
      </c>
      <c r="D17355" t="s">
        <v>23500</v>
      </c>
      <c r="E17355" t="s">
        <v>39830</v>
      </c>
    </row>
    <row r="17356" spans="1:5">
      <c r="A17356" t="s">
        <v>6</v>
      </c>
      <c r="B17356" t="s">
        <v>17361</v>
      </c>
      <c r="C17356">
        <f>HYPERLINK("C:\Users\franc\OneDrive\Documentos\MALENTIN KARIME\BANCO ESTADO\2012 DEPTO ESCRITURAS fata\Dc Simples\DECLARACIONES\declara vacio afp terceros.doc", "Abrir Documento")</f>
        <v>0</v>
      </c>
      <c r="D17356" t="s">
        <v>23500</v>
      </c>
      <c r="E17356" t="s">
        <v>39831</v>
      </c>
    </row>
    <row r="17357" spans="1:5">
      <c r="A17357" t="s">
        <v>6</v>
      </c>
      <c r="B17357" t="s">
        <v>17362</v>
      </c>
      <c r="C17357">
        <f>HYPERLINK("C:\Users\franc\OneDrive\Documentos\MALENTIN KARIME\BANCO ESTADO\2012 DEPTO ESCRITURAS fata\Dc Simples\DECLARACIONES\DECLARA CESION.doc", "Abrir Documento")</f>
        <v>0</v>
      </c>
      <c r="D17357" t="s">
        <v>23500</v>
      </c>
      <c r="E17357" t="s">
        <v>39832</v>
      </c>
    </row>
    <row r="17358" spans="1:5">
      <c r="A17358" t="s">
        <v>6</v>
      </c>
      <c r="B17358" t="s">
        <v>17363</v>
      </c>
      <c r="C17358">
        <f>HYPERLINK("C:\Users\franc\OneDrive\Documentos\MALENTIN KARIME\BANCO ESTADO\2012 DEPTO ESCRITURAS fata\Dc Simples\DECLARACIONES\CESE DE CONVIVENCIA.doc", "Abrir Documento")</f>
        <v>0</v>
      </c>
      <c r="D17358" t="s">
        <v>23500</v>
      </c>
      <c r="E17358" t="s">
        <v>39833</v>
      </c>
    </row>
    <row r="17359" spans="1:5">
      <c r="A17359" t="s">
        <v>6</v>
      </c>
      <c r="B17359" t="s">
        <v>17364</v>
      </c>
      <c r="C17359">
        <f>HYPERLINK("C:\Users\franc\OneDrive\Documentos\MALENTIN KARIME\BANCO ESTADO\2012 DEPTO ESCRITURAS fata\Dc Simples\DECLARACIONES\CESANTIA Y NO FINIQUITO.doc", "Abrir Documento")</f>
        <v>0</v>
      </c>
      <c r="D17359" t="s">
        <v>23500</v>
      </c>
      <c r="E17359" t="s">
        <v>39834</v>
      </c>
    </row>
    <row r="17360" spans="1:5">
      <c r="A17360" t="s">
        <v>6</v>
      </c>
      <c r="B17360" t="s">
        <v>17365</v>
      </c>
      <c r="C17360">
        <f>HYPERLINK("C:\Users\franc\OneDrive\Documentos\MALENTIN KARIME\BANCO ESTADO\2012 DEPTO ESCRITURAS fata\Dc Simples\DECLARACIONES\CEMENTERIO NN.doc", "Abrir Documento")</f>
        <v>0</v>
      </c>
      <c r="D17360" t="s">
        <v>23500</v>
      </c>
      <c r="E17360" t="s">
        <v>39835</v>
      </c>
    </row>
    <row r="17361" spans="1:5">
      <c r="A17361" t="s">
        <v>6</v>
      </c>
      <c r="B17361" t="s">
        <v>17366</v>
      </c>
      <c r="C17361">
        <f>HYPERLINK("C:\Users\franc\OneDrive\Documentos\MALENTIN KARIME\BANCO ESTADO\2012 DEPTO ESCRITURAS fata\Dc Simples\DECLARACIONES\ART LEY ALCOHOL 19925.doc", "Abrir Documento")</f>
        <v>0</v>
      </c>
      <c r="D17361" t="s">
        <v>23500</v>
      </c>
      <c r="E17361" t="s">
        <v>39836</v>
      </c>
    </row>
    <row r="17362" spans="1:5">
      <c r="A17362" t="s">
        <v>6</v>
      </c>
      <c r="B17362" t="s">
        <v>17367</v>
      </c>
      <c r="C17362">
        <f>HYPERLINK("C:\Users\franc\OneDrive\Documentos\MALENTIN KARIME\BANCO ESTADO\2012 DEPTO ESCRITURAS fata\Dc Simples\DECLARACIONES\Ana Estela Berrios LEY 19.925 ALCOHOLES.doc", "Abrir Documento")</f>
        <v>0</v>
      </c>
      <c r="D17362" t="s">
        <v>23500</v>
      </c>
      <c r="E17362" t="s">
        <v>39837</v>
      </c>
    </row>
    <row r="17363" spans="1:5">
      <c r="A17363" t="s">
        <v>6</v>
      </c>
      <c r="B17363" t="s">
        <v>17368</v>
      </c>
      <c r="C17363">
        <f>HYPERLINK("C:\Users\franc\OneDrive\Documentos\MALENTIN KARIME\BANCO ESTADO\2012 DEPTO ESCRITURAS fata\Dc Simples\AUTORIZACION\MENOR LICENCIA CONDUCIR.doc", "Abrir Documento")</f>
        <v>0</v>
      </c>
      <c r="D17363" t="s">
        <v>23500</v>
      </c>
      <c r="E17363" t="s">
        <v>39838</v>
      </c>
    </row>
    <row r="17364" spans="1:5">
      <c r="A17364" t="s">
        <v>6</v>
      </c>
      <c r="B17364" t="s">
        <v>17369</v>
      </c>
      <c r="C17364">
        <f>HYPERLINK("C:\Users\franc\OneDrive\Documentos\MALENTIN KARIME\BANCO ESTADO\2012 DEPTO ESCRITURAS fata\Dc Simples\AUTORIZACION\DOMICILIO COMERCIAL- M.doc", "Abrir Documento")</f>
        <v>0</v>
      </c>
      <c r="D17364" t="s">
        <v>23500</v>
      </c>
      <c r="E17364" t="s">
        <v>39839</v>
      </c>
    </row>
    <row r="17365" spans="1:5">
      <c r="A17365" t="s">
        <v>6</v>
      </c>
      <c r="B17365" t="s">
        <v>17370</v>
      </c>
      <c r="C17365">
        <f>HYPERLINK("C:\Users\franc\OneDrive\Documentos\MALENTIN KARIME\BANCO ESTADO\2012 DEPTO ESCRITURAS fata\Dc Simples\AUTORIZACION\Autorizo la firma de don JUAN CARLOS CODOCEO CONTRERAS.docx", "Abrir Documento")</f>
        <v>0</v>
      </c>
      <c r="D17365" t="s">
        <v>23501</v>
      </c>
      <c r="E17365" t="s">
        <v>39840</v>
      </c>
    </row>
    <row r="17366" spans="1:5">
      <c r="A17366" t="s">
        <v>6</v>
      </c>
      <c r="B17366" t="s">
        <v>17371</v>
      </c>
      <c r="C17366">
        <f>HYPERLINK("C:\Users\franc\OneDrive\Documentos\MALENTIN KARIME\BANCO ESTADO\2012 DEPTO ESCRITURAS fata\Dc Simples\AUTORIZACION\AUT.SALIDA 2 PADRE panama.doc", "Abrir Documento")</f>
        <v>0</v>
      </c>
      <c r="D17366" t="s">
        <v>23500</v>
      </c>
      <c r="E17366" t="s">
        <v>39841</v>
      </c>
    </row>
    <row r="17367" spans="1:5">
      <c r="A17367" t="s">
        <v>6</v>
      </c>
      <c r="B17367" t="s">
        <v>17372</v>
      </c>
      <c r="C17367">
        <f>HYPERLINK("C:\Users\franc\OneDrive\Documentos\MALENTIN KARIME\BANCO ESTADO\2012 DEPTO ESCRITURAS fata\Dc Simples\AUTORIZACION\AUT.SALIDA 2 PADRE Brasil Jornada MundialPADRE2.doc", "Abrir Documento")</f>
        <v>0</v>
      </c>
      <c r="D17367" t="s">
        <v>23500</v>
      </c>
      <c r="E17367" t="s">
        <v>39842</v>
      </c>
    </row>
    <row r="17368" spans="1:5">
      <c r="A17368" t="s">
        <v>6</v>
      </c>
      <c r="B17368" t="s">
        <v>17373</v>
      </c>
      <c r="C17368">
        <f>HYPERLINK("C:\Users\franc\OneDrive\Documentos\MALENTIN KARIME\BANCO ESTADO\2012 DEPTO ESCRITURAS fata\Dc Simples\AUTORIZACION\AUT.SALIDA 2 PADRE Brasil Jornada Mundial 3.doc", "Abrir Documento")</f>
        <v>0</v>
      </c>
      <c r="D17368" t="s">
        <v>23500</v>
      </c>
      <c r="E17368" t="s">
        <v>39843</v>
      </c>
    </row>
    <row r="17369" spans="1:5">
      <c r="A17369" t="s">
        <v>6</v>
      </c>
      <c r="B17369" t="s">
        <v>17374</v>
      </c>
      <c r="C17369">
        <f>HYPERLINK("C:\Users\franc\OneDrive\Documentos\MALENTIN KARIME\BANCO ESTADO\2012 DEPTO ESCRITURAS fata\Dc Simples\AUTORIZACION\AUT.SALIDA 2 PADRE Brasil Jornada Mundial 2.doc", "Abrir Documento")</f>
        <v>0</v>
      </c>
      <c r="D17369" t="s">
        <v>23500</v>
      </c>
      <c r="E17369" t="s">
        <v>39844</v>
      </c>
    </row>
    <row r="17370" spans="1:5">
      <c r="A17370" t="s">
        <v>6</v>
      </c>
      <c r="B17370" t="s">
        <v>17375</v>
      </c>
      <c r="C17370">
        <f>HYPERLINK("C:\Users\franc\OneDrive\Documentos\MALENTIN KARIME\BANCO ESTADO\2012 DEPTO ESCRITURAS fata\Dc Simples\AUTORIZACION\AUT.SALIDA 2 PADRE Brasil Jornada Munda.doc", "Abrir Documento")</f>
        <v>0</v>
      </c>
      <c r="D17370" t="s">
        <v>23500</v>
      </c>
      <c r="E17370" t="s">
        <v>39845</v>
      </c>
    </row>
    <row r="17371" spans="1:5">
      <c r="A17371" t="s">
        <v>6</v>
      </c>
      <c r="B17371" t="s">
        <v>17376</v>
      </c>
      <c r="C17371">
        <f>HYPERLINK("C:\Users\franc\OneDrive\Documentos\MALENTIN KARIME\BANCO ESTADO\2012 DEPTO ESCRITURAS fata\Dc Simples\AUTORIZACION\AUT.SALIDA 1 peru.doc", "Abrir Documento")</f>
        <v>0</v>
      </c>
      <c r="D17371" t="s">
        <v>23500</v>
      </c>
      <c r="E17371" t="s">
        <v>39846</v>
      </c>
    </row>
    <row r="17372" spans="1:5">
      <c r="A17372" t="s">
        <v>6</v>
      </c>
      <c r="B17372" t="s">
        <v>17377</v>
      </c>
      <c r="C17372">
        <f>HYPERLINK("C:\Users\franc\OneDrive\Documentos\MALENTIN KARIME\BANCO ESTADO\2012 DEPTO ESCRITURAS fata\Dc Simples\ARRIENDO\SOCIEDAD HECHO Modificacion.doc", "Abrir Documento")</f>
        <v>0</v>
      </c>
      <c r="D17372" t="s">
        <v>23500</v>
      </c>
      <c r="E17372" t="s">
        <v>39847</v>
      </c>
    </row>
    <row r="17373" spans="1:5">
      <c r="A17373" t="s">
        <v>6</v>
      </c>
      <c r="B17373" t="s">
        <v>17378</v>
      </c>
      <c r="C17373">
        <f>HYPERLINK("C:\Users\franc\OneDrive\Documentos\MALENTIN KARIME\BANCO ESTADO\2012 DEPTO ESCRITURAS fata\Dc Simples\ARRIENDO\SOCIEDAD HECHO Declaracion.doc", "Abrir Documento")</f>
        <v>0</v>
      </c>
      <c r="D17373" t="s">
        <v>23500</v>
      </c>
      <c r="E17373" t="s">
        <v>39848</v>
      </c>
    </row>
    <row r="17374" spans="1:5">
      <c r="A17374" t="s">
        <v>6</v>
      </c>
      <c r="B17374" t="s">
        <v>17379</v>
      </c>
      <c r="C17374">
        <f>HYPERLINK("C:\Users\franc\OneDrive\Documentos\MALENTIN KARIME\BANCO ESTADO\2012 DEPTO ESCRITURAS fata\Dc Simples\ARRIENDO\COMODATO VEHICULO.doc", "Abrir Documento")</f>
        <v>0</v>
      </c>
      <c r="D17374" t="s">
        <v>23500</v>
      </c>
      <c r="E17374" t="s">
        <v>39849</v>
      </c>
    </row>
    <row r="17375" spans="1:5">
      <c r="A17375" t="s">
        <v>6</v>
      </c>
      <c r="B17375" t="s">
        <v>17380</v>
      </c>
      <c r="C17375">
        <f>HYPERLINK("C:\Users\franc\OneDrive\Documentos\MALENTIN KARIME\BANCO ESTADO\2012 DEPTO ESCRITURAS fata\Dc Simples\ARRIENDO\ARR.PUESTO FERIA.doc", "Abrir Documento")</f>
        <v>0</v>
      </c>
      <c r="D17375" t="s">
        <v>23500</v>
      </c>
      <c r="E17375" t="s">
        <v>39850</v>
      </c>
    </row>
    <row r="17376" spans="1:5">
      <c r="A17376" t="s">
        <v>6</v>
      </c>
      <c r="B17376" t="s">
        <v>17381</v>
      </c>
      <c r="C17376">
        <f>HYPERLINK("C:\Users\franc\OneDrive\Documentos\MALENTIN KARIME\BANCO ESTADO\2012 DEPTO ESCRITURAS fata\Dc Simples\ARRIENDO\ARR.LOCAL.doc", "Abrir Documento")</f>
        <v>0</v>
      </c>
      <c r="D17376" t="s">
        <v>23500</v>
      </c>
      <c r="E17376" t="s">
        <v>39851</v>
      </c>
    </row>
    <row r="17377" spans="1:5">
      <c r="A17377" t="s">
        <v>6</v>
      </c>
      <c r="B17377" t="s">
        <v>17382</v>
      </c>
      <c r="C17377">
        <f>HYPERLINK("C:\Users\franc\OneDrive\Documentos\MALENTIN KARIME\BANCO ESTADO\2012 DEPTO ESCRITURAS fata\Dc Simples\ARRIENDO\ARR. OFICINA COMERCIAL con personeria.doc", "Abrir Documento")</f>
        <v>0</v>
      </c>
      <c r="D17377" t="s">
        <v>23500</v>
      </c>
      <c r="E17377" t="s">
        <v>39852</v>
      </c>
    </row>
    <row r="17378" spans="1:5">
      <c r="A17378" t="s">
        <v>6</v>
      </c>
      <c r="B17378" t="s">
        <v>17383</v>
      </c>
      <c r="C17378">
        <f>HYPERLINK("C:\Users\franc\OneDrive\Documentos\MALENTIN KARIME\BANCO ESTADO\2012 DEPTO ESCRITURAS fata\Dc Simples\ARRIENDO\ARR. CASA NUEVO.doc", "Abrir Documento")</f>
        <v>0</v>
      </c>
      <c r="D17378" t="s">
        <v>23500</v>
      </c>
      <c r="E17378" t="s">
        <v>39853</v>
      </c>
    </row>
    <row r="17379" spans="1:5">
      <c r="A17379" t="s">
        <v>6</v>
      </c>
      <c r="B17379" t="s">
        <v>17384</v>
      </c>
      <c r="C17379">
        <f>HYPERLINK("C:\Users\franc\OneDrive\Documentos\MALENTIN KARIME\BANCO ESTADO\2012 DEPTO ESCRITURAS fata\Dc Simples\ARRIENDO\ARR. CASA  MODELO ELLA Y ELLA.doc", "Abrir Documento")</f>
        <v>0</v>
      </c>
      <c r="D17379" t="s">
        <v>23500</v>
      </c>
      <c r="E17379" t="s">
        <v>39854</v>
      </c>
    </row>
    <row r="17380" spans="1:5">
      <c r="A17380" t="s">
        <v>6</v>
      </c>
      <c r="B17380" t="s">
        <v>17385</v>
      </c>
      <c r="C17380">
        <f>HYPERLINK("C:\Users\franc\OneDrive\Documentos\MALENTIN KARIME\BANCO ESTADO\2012 DEPTO ESCRITURAS fata\Dc Simples\ARRIENDO\ARR. CASA  MODELO ELLA Y ELla departamento.doc", "Abrir Documento")</f>
        <v>0</v>
      </c>
      <c r="D17380" t="s">
        <v>23500</v>
      </c>
      <c r="E17380" t="s">
        <v>39855</v>
      </c>
    </row>
    <row r="17381" spans="1:5">
      <c r="A17381" t="s">
        <v>6</v>
      </c>
      <c r="B17381" t="s">
        <v>17386</v>
      </c>
      <c r="C17381">
        <f>HYPERLINK("C:\Users\franc\OneDrive\Documentos\MALENTIN KARIME\BANCO ESTADO\2012 DEPTO ESCRITURAS fata\Dc Simples\ARRIENDO\ARR. CASA  MODELO ELLA Y EL.doc", "Abrir Documento")</f>
        <v>0</v>
      </c>
      <c r="D17381" t="s">
        <v>23500</v>
      </c>
      <c r="E17381" t="s">
        <v>39856</v>
      </c>
    </row>
    <row r="17382" spans="1:5">
      <c r="A17382" t="s">
        <v>6</v>
      </c>
      <c r="B17382" t="s">
        <v>17387</v>
      </c>
      <c r="C17382">
        <f>HYPERLINK("C:\Users\franc\OneDrive\Documentos\MALENTIN KARIME\BANCO ESTADO\2012 DEPTO ESCRITURAS fata\Dc Simples\ARRIENDO\ARR. CASA  MODELO ELLA Y EL OFICINA.doc", "Abrir Documento")</f>
        <v>0</v>
      </c>
      <c r="D17382" t="s">
        <v>23500</v>
      </c>
      <c r="E17382" t="s">
        <v>39857</v>
      </c>
    </row>
    <row r="17383" spans="1:5">
      <c r="A17383" t="s">
        <v>6</v>
      </c>
      <c r="B17383" t="s">
        <v>17388</v>
      </c>
      <c r="C17383">
        <f>HYPERLINK("C:\Users\franc\OneDrive\Documentos\MALENTIN KARIME\BANCO ESTADO\2012 DEPTO ESCRITURAS fata\Dc Simples\ARRIENDO\ARR. CASA  MODELO ELLA Y EL OFICINA renovaciondoc.doc", "Abrir Documento")</f>
        <v>0</v>
      </c>
      <c r="D17383" t="s">
        <v>23500</v>
      </c>
      <c r="E17383" t="s">
        <v>39858</v>
      </c>
    </row>
    <row r="17384" spans="1:5">
      <c r="A17384" t="s">
        <v>6</v>
      </c>
      <c r="B17384" t="s">
        <v>17389</v>
      </c>
      <c r="C17384">
        <f>HYPERLINK("C:\Users\franc\OneDrive\Documentos\MALENTIN KARIME\BANCO ESTADO\2012 DEPTO ESCRITURAS fata\Dc Simples\2012 DEPTO ESCRITURAS\MANDATOS JUDICIALES\MARCO JURIN\MARIA SALAS Y OTRO.doc", "Abrir Documento")</f>
        <v>0</v>
      </c>
      <c r="D17384" t="s">
        <v>23500</v>
      </c>
      <c r="E17384" t="s">
        <v>39859</v>
      </c>
    </row>
    <row r="17385" spans="1:5">
      <c r="A17385" t="s">
        <v>6</v>
      </c>
      <c r="B17385" t="s">
        <v>17390</v>
      </c>
      <c r="C17385">
        <f>HYPERLINK("C:\Users\franc\OneDrive\Documentos\MALENTIN KARIME\BANCO ESTADO\2012 DEPTO ESCRITURAS fata\Dc Simples\2012 DEPTO ESCRITURAS\MANDATOS JUDICIALES\MARCO JURIN\JULIO MONTERO.doc", "Abrir Documento")</f>
        <v>0</v>
      </c>
      <c r="D17385" t="s">
        <v>23500</v>
      </c>
      <c r="E17385" t="s">
        <v>39860</v>
      </c>
    </row>
    <row r="17386" spans="1:5">
      <c r="A17386" t="s">
        <v>6</v>
      </c>
      <c r="B17386" t="s">
        <v>17391</v>
      </c>
      <c r="C17386">
        <f>HYPERLINK("C:\Users\franc\OneDrive\Documentos\MALENTIN KARIME\BANCO ESTADO\2012 DEPTO ESCRITURAS fata\Dc Simples\2012 DEPTO ESCRITURAS\MANDATOS JUDICIALES\LUISA BARRAZA\DAGOBERTO ALMONACID.doc", "Abrir Documento")</f>
        <v>0</v>
      </c>
      <c r="D17386" t="s">
        <v>23500</v>
      </c>
      <c r="E17386" t="s">
        <v>39861</v>
      </c>
    </row>
    <row r="17387" spans="1:5">
      <c r="A17387" t="s">
        <v>6</v>
      </c>
      <c r="B17387" t="s">
        <v>17392</v>
      </c>
      <c r="C17387">
        <f>HYPERLINK("C:\Users\franc\OneDrive\Documentos\MALENTIN KARIME\BANCO ESTADO\2012 DEPTO ESCRITURAS fata\Dc Simples\2012 DEPTO ESCRITURAS\MANDATOS JUDICIALES\LUIS OCTAVIO SALAS\RENE MAURIN A Luis Octavio.doc", "Abrir Documento")</f>
        <v>0</v>
      </c>
      <c r="D17387" t="s">
        <v>23500</v>
      </c>
      <c r="E17387" t="s">
        <v>39862</v>
      </c>
    </row>
    <row r="17388" spans="1:5">
      <c r="A17388" t="s">
        <v>6</v>
      </c>
      <c r="B17388" t="s">
        <v>17393</v>
      </c>
      <c r="C17388">
        <f>HYPERLINK("C:\Users\franc\OneDrive\Documentos\MALENTIN KARIME\BANCO ESTADO\2012 DEPTO ESCRITURAS fata\Dc Simples\2012 DEPTO ESCRITURAS\MANDATOS JUDICIALES\JUAN PABLO CORRAL\XIMENA VARGAS.doc", "Abrir Documento")</f>
        <v>0</v>
      </c>
      <c r="D17388" t="s">
        <v>23500</v>
      </c>
      <c r="E17388" t="s">
        <v>39863</v>
      </c>
    </row>
    <row r="17389" spans="1:5">
      <c r="A17389" t="s">
        <v>6</v>
      </c>
      <c r="B17389" t="s">
        <v>17394</v>
      </c>
      <c r="C17389">
        <f>HYPERLINK("C:\Users\franc\OneDrive\Documentos\MALENTIN KARIME\BANCO ESTADO\2012 DEPTO ESCRITURAS fata\Dc Simples\2012 DEPTO ESCRITURAS\MANDATOS JUDICIALES\JUAN PABLO CORRAL\RICARDO RISI.doc", "Abrir Documento")</f>
        <v>0</v>
      </c>
      <c r="D17389" t="s">
        <v>23500</v>
      </c>
      <c r="E17389" t="s">
        <v>39864</v>
      </c>
    </row>
    <row r="17390" spans="1:5">
      <c r="A17390" t="s">
        <v>6</v>
      </c>
      <c r="B17390" t="s">
        <v>17395</v>
      </c>
      <c r="C17390">
        <f>HYPERLINK("C:\Users\franc\OneDrive\Documentos\MALENTIN KARIME\BANCO ESTADO\2012 DEPTO ESCRITURAS fata\Dc Simples\2012 DEPTO ESCRITURAS\MANDATOS JUDICIALES\JUAN PABLO CORRAL\RAFAEL PROHENS.doc", "Abrir Documento")</f>
        <v>0</v>
      </c>
      <c r="D17390" t="s">
        <v>23500</v>
      </c>
      <c r="E17390" t="s">
        <v>39865</v>
      </c>
    </row>
    <row r="17391" spans="1:5">
      <c r="A17391" t="s">
        <v>6</v>
      </c>
      <c r="B17391" t="s">
        <v>17396</v>
      </c>
      <c r="C17391">
        <f>HYPERLINK("C:\Users\franc\OneDrive\Documentos\MALENTIN KARIME\BANCO ESTADO\2012 DEPTO ESCRITURAS fata\Dc Simples\2012 DEPTO ESCRITURAS\MANDATOS JUDICIALES\JUAN PABLO CORRAL\PEDRO JOSE AVILA AVILA.doc", "Abrir Documento")</f>
        <v>0</v>
      </c>
      <c r="D17391" t="s">
        <v>23500</v>
      </c>
      <c r="E17391" t="s">
        <v>39866</v>
      </c>
    </row>
    <row r="17392" spans="1:5">
      <c r="A17392" t="s">
        <v>6</v>
      </c>
      <c r="B17392" t="s">
        <v>17397</v>
      </c>
      <c r="C17392">
        <f>HYPERLINK("C:\Users\franc\OneDrive\Documentos\MALENTIN KARIME\BANCO ESTADO\2012 DEPTO ESCRITURAS fata\Dc Simples\2012 DEPTO ESCRITURAS\MANDATOS JUDICIALES\JUAN PABLO CORRAL\NELSON CARRASCO.doc", "Abrir Documento")</f>
        <v>0</v>
      </c>
      <c r="D17392" t="s">
        <v>23500</v>
      </c>
      <c r="E17392" t="s">
        <v>39867</v>
      </c>
    </row>
    <row r="17393" spans="1:5">
      <c r="A17393" t="s">
        <v>6</v>
      </c>
      <c r="B17393" t="s">
        <v>17398</v>
      </c>
      <c r="C17393">
        <f>HYPERLINK("C:\Users\franc\OneDrive\Documentos\MALENTIN KARIME\BANCO ESTADO\2012 DEPTO ESCRITURAS fata\Dc Simples\2012 DEPTO ESCRITURAS\MANDATOS JUDICIALES\JUAN PABLO CORRAL\MANUEL LANAS NUÑEZ.doc", "Abrir Documento")</f>
        <v>0</v>
      </c>
      <c r="D17393" t="s">
        <v>23500</v>
      </c>
      <c r="E17393" t="s">
        <v>39868</v>
      </c>
    </row>
    <row r="17394" spans="1:5">
      <c r="A17394" t="s">
        <v>6</v>
      </c>
      <c r="B17394" t="s">
        <v>17399</v>
      </c>
      <c r="C17394">
        <f>HYPERLINK("C:\Users\franc\OneDrive\Documentos\MALENTIN KARIME\BANCO ESTADO\2012 DEPTO ESCRITURAS fata\Dc Simples\2012 DEPTO ESCRITURAS\MANDATOS JUDICIALES\JUAN PABLO CORRAL\MALVINA CORTES CASTILLO Y OTROS.doc", "Abrir Documento")</f>
        <v>0</v>
      </c>
      <c r="D17394" t="s">
        <v>23500</v>
      </c>
      <c r="E17394" t="s">
        <v>39869</v>
      </c>
    </row>
    <row r="17395" spans="1:5">
      <c r="A17395" t="s">
        <v>6</v>
      </c>
      <c r="B17395" t="s">
        <v>17400</v>
      </c>
      <c r="C17395">
        <f>HYPERLINK("C:\Users\franc\OneDrive\Documentos\MALENTIN KARIME\BANCO ESTADO\2012 DEPTO ESCRITURAS fata\Dc Simples\2012 DEPTO ESCRITURAS\MANDATOS JUDICIALES\JUAN PABLO CORRAL\JULIO PINEDA.doc", "Abrir Documento")</f>
        <v>0</v>
      </c>
      <c r="D17395" t="s">
        <v>23500</v>
      </c>
      <c r="E17395" t="s">
        <v>39870</v>
      </c>
    </row>
    <row r="17396" spans="1:5">
      <c r="A17396" t="s">
        <v>6</v>
      </c>
      <c r="B17396" t="s">
        <v>17401</v>
      </c>
      <c r="C17396">
        <f>HYPERLINK("C:\Users\franc\OneDrive\Documentos\MALENTIN KARIME\BANCO ESTADO\2012 DEPTO ESCRITURAS fata\Dc Simples\2012 DEPTO ESCRITURAS\MANDATOS JUDICIALES\JUAN PABLO CORRAL\JOSE VIVAR.doc", "Abrir Documento")</f>
        <v>0</v>
      </c>
      <c r="D17396" t="s">
        <v>23500</v>
      </c>
      <c r="E17396" t="s">
        <v>39871</v>
      </c>
    </row>
    <row r="17397" spans="1:5">
      <c r="A17397" t="s">
        <v>6</v>
      </c>
      <c r="B17397" t="s">
        <v>17402</v>
      </c>
      <c r="C17397">
        <f>HYPERLINK("C:\Users\franc\OneDrive\Documentos\MALENTIN KARIME\BANCO ESTADO\2012 DEPTO ESCRITURAS fata\Dc Simples\2012 DEPTO ESCRITURAS\MANDATOS JUDICIALES\JUAN PABLO CORRAL\JOSE FLORES ARAYA.doc", "Abrir Documento")</f>
        <v>0</v>
      </c>
      <c r="D17397" t="s">
        <v>23500</v>
      </c>
      <c r="E17397" t="s">
        <v>39872</v>
      </c>
    </row>
    <row r="17398" spans="1:5">
      <c r="A17398" t="s">
        <v>6</v>
      </c>
      <c r="B17398" t="s">
        <v>17403</v>
      </c>
      <c r="C17398">
        <f>HYPERLINK("C:\Users\franc\OneDrive\Documentos\MALENTIN KARIME\BANCO ESTADO\2012 DEPTO ESCRITURAS fata\Dc Simples\2012 DEPTO ESCRITURAS\MANDATOS JUDICIALES\JUAN PABLO CORRAL\HUGO ARANEDA.doc", "Abrir Documento")</f>
        <v>0</v>
      </c>
      <c r="D17398" t="s">
        <v>23500</v>
      </c>
      <c r="E17398" t="s">
        <v>39873</v>
      </c>
    </row>
    <row r="17399" spans="1:5">
      <c r="A17399" t="s">
        <v>6</v>
      </c>
      <c r="B17399" t="s">
        <v>17404</v>
      </c>
      <c r="C17399">
        <f>HYPERLINK("C:\Users\franc\OneDrive\Documentos\MALENTIN KARIME\BANCO ESTADO\2012 DEPTO ESCRITURAS fata\Dc Simples\2012 DEPTO ESCRITURAS\MANDATOS JUDICIALES\JUAN PABLO CORRAL\DANIELA GALLARDO Y OTRO.doc", "Abrir Documento")</f>
        <v>0</v>
      </c>
      <c r="D17399" t="s">
        <v>23500</v>
      </c>
      <c r="E17399" t="s">
        <v>39874</v>
      </c>
    </row>
    <row r="17400" spans="1:5">
      <c r="A17400" t="s">
        <v>6</v>
      </c>
      <c r="B17400" t="s">
        <v>17405</v>
      </c>
      <c r="C17400">
        <f>HYPERLINK("C:\Users\franc\OneDrive\Documentos\MALENTIN KARIME\BANCO ESTADO\2012 DEPTO ESCRITURAS fata\Dc Simples\2012 DEPTO ESCRITURAS\MANDATOS JUDICIALES\JUAN PABLO CORRAL\AGRICOLA CHAÑARAL BAJO NORTE.doc", "Abrir Documento")</f>
        <v>0</v>
      </c>
      <c r="D17400" t="s">
        <v>23500</v>
      </c>
      <c r="E17400" t="s">
        <v>39875</v>
      </c>
    </row>
    <row r="17401" spans="1:5">
      <c r="A17401" t="s">
        <v>6</v>
      </c>
      <c r="B17401" t="s">
        <v>17406</v>
      </c>
      <c r="C17401">
        <f>HYPERLINK("C:\Users\franc\OneDrive\Documentos\MALENTIN KARIME\BANCO ESTADO\2012 DEPTO ESCRITURAS fata\Dc Simples\2012 DEPTO ESCRITURAS\MANDATOS JUDICIALES\JUAN GUIÑEZ LLAMBIAS\JULIA CORTES Y OTROS.doc", "Abrir Documento")</f>
        <v>0</v>
      </c>
      <c r="D17401" t="s">
        <v>23500</v>
      </c>
      <c r="E17401" t="s">
        <v>39876</v>
      </c>
    </row>
    <row r="17402" spans="1:5">
      <c r="A17402" t="s">
        <v>6</v>
      </c>
      <c r="B17402" t="s">
        <v>17407</v>
      </c>
      <c r="C17402">
        <f>HYPERLINK("C:\Users\franc\OneDrive\Documentos\MALENTIN KARIME\BANCO ESTADO\2012 DEPTO ESCRITURAS fata\Dc Simples\2012 DEPTO ESCRITURAS\MANDATOS JUDICIALES\JOSE AMPUERO VALLADARES\SOCIEDAD CARGO NORTE.doc", "Abrir Documento")</f>
        <v>0</v>
      </c>
      <c r="D17402" t="s">
        <v>23500</v>
      </c>
      <c r="E17402" t="s">
        <v>39877</v>
      </c>
    </row>
    <row r="17403" spans="1:5">
      <c r="A17403" t="s">
        <v>6</v>
      </c>
      <c r="B17403" t="s">
        <v>17408</v>
      </c>
      <c r="C17403">
        <f>HYPERLINK("C:\Users\franc\OneDrive\Documentos\MALENTIN KARIME\BANCO ESTADO\2012 DEPTO ESCRITURAS fata\Dc Simples\2012 DEPTO ESCRITURAS\MANDATOS JUDICIALES\JORGE ALVARADO\VICTOR GARCIA TAPIA.doc", "Abrir Documento")</f>
        <v>0</v>
      </c>
      <c r="D17403" t="s">
        <v>23500</v>
      </c>
      <c r="E17403" t="s">
        <v>39878</v>
      </c>
    </row>
    <row r="17404" spans="1:5">
      <c r="A17404" t="s">
        <v>6</v>
      </c>
      <c r="B17404" t="s">
        <v>17409</v>
      </c>
      <c r="C17404">
        <f>HYPERLINK("C:\Users\franc\OneDrive\Documentos\MALENTIN KARIME\BANCO ESTADO\2012 DEPTO ESCRITURAS fata\Dc Simples\2012 DEPTO ESCRITURAS\MANDATOS JUDICIALES\JORGE ALVARADO\ULISES ROBLES EGAÑA.doc", "Abrir Documento")</f>
        <v>0</v>
      </c>
      <c r="D17404" t="s">
        <v>23500</v>
      </c>
      <c r="E17404" t="s">
        <v>39879</v>
      </c>
    </row>
    <row r="17405" spans="1:5">
      <c r="A17405" t="s">
        <v>6</v>
      </c>
      <c r="B17405" t="s">
        <v>17410</v>
      </c>
      <c r="C17405">
        <f>HYPERLINK("C:\Users\franc\OneDrive\Documentos\MALENTIN KARIME\BANCO ESTADO\2012 DEPTO ESCRITURAS fata\Dc Simples\2012 DEPTO ESCRITURAS\MANDATOS JUDICIALES\JORGE ALVARADO\UBERLINDA VILLALOBOS.doc", "Abrir Documento")</f>
        <v>0</v>
      </c>
      <c r="D17405" t="s">
        <v>23500</v>
      </c>
      <c r="E17405" t="s">
        <v>39880</v>
      </c>
    </row>
    <row r="17406" spans="1:5">
      <c r="A17406" t="s">
        <v>6</v>
      </c>
      <c r="B17406" t="s">
        <v>17411</v>
      </c>
      <c r="C17406">
        <f>HYPERLINK("C:\Users\franc\OneDrive\Documentos\MALENTIN KARIME\BANCO ESTADO\2012 DEPTO ESCRITURAS fata\Dc Simples\2012 DEPTO ESCRITURAS\MANDATOS JUDICIALES\JORGE ALVARADO\SOLANGE SANTIBAÑEZ.doc", "Abrir Documento")</f>
        <v>0</v>
      </c>
      <c r="D17406" t="s">
        <v>23500</v>
      </c>
      <c r="E17406" t="s">
        <v>39881</v>
      </c>
    </row>
    <row r="17407" spans="1:5">
      <c r="A17407" t="s">
        <v>6</v>
      </c>
      <c r="B17407" t="s">
        <v>17412</v>
      </c>
      <c r="C17407">
        <f>HYPERLINK("C:\Users\franc\OneDrive\Documentos\MALENTIN KARIME\BANCO ESTADO\2012 DEPTO ESCRITURAS fata\Dc Simples\2012 DEPTO ESCRITURAS\MANDATOS JUDICIALES\JORGE ALVARADO\SIXTO REED CARRRASCO.doc", "Abrir Documento")</f>
        <v>0</v>
      </c>
      <c r="D17407" t="s">
        <v>23500</v>
      </c>
      <c r="E17407" t="s">
        <v>39882</v>
      </c>
    </row>
    <row r="17408" spans="1:5">
      <c r="A17408" t="s">
        <v>6</v>
      </c>
      <c r="B17408" t="s">
        <v>17413</v>
      </c>
      <c r="C17408">
        <f>HYPERLINK("C:\Users\franc\OneDrive\Documentos\MALENTIN KARIME\BANCO ESTADO\2012 DEPTO ESCRITURAS fata\Dc Simples\2012 DEPTO ESCRITURAS\MANDATOS JUDICIALES\JORGE ALVARADO\ROSA GUERRERO.doc", "Abrir Documento")</f>
        <v>0</v>
      </c>
      <c r="D17408" t="s">
        <v>23500</v>
      </c>
      <c r="E17408" t="s">
        <v>39883</v>
      </c>
    </row>
    <row r="17409" spans="1:5">
      <c r="A17409" t="s">
        <v>6</v>
      </c>
      <c r="B17409" t="s">
        <v>17414</v>
      </c>
      <c r="C17409">
        <f>HYPERLINK("C:\Users\franc\OneDrive\Documentos\MALENTIN KARIME\BANCO ESTADO\2012 DEPTO ESCRITURAS fata\Dc Simples\2012 DEPTO ESCRITURAS\MANDATOS JUDICIALES\JORGE ALVARADO\RODRIGO CONTRERAS.doc", "Abrir Documento")</f>
        <v>0</v>
      </c>
      <c r="D17409" t="s">
        <v>23500</v>
      </c>
      <c r="E17409" t="s">
        <v>39884</v>
      </c>
    </row>
    <row r="17410" spans="1:5">
      <c r="A17410" t="s">
        <v>6</v>
      </c>
      <c r="B17410" t="s">
        <v>17415</v>
      </c>
      <c r="C17410">
        <f>HYPERLINK("C:\Users\franc\OneDrive\Documentos\MALENTIN KARIME\BANCO ESTADO\2012 DEPTO ESCRITURAS fata\Dc Simples\2012 DEPTO ESCRITURAS\MANDATOS JUDICIALES\JORGE ALVARADO\RAMON CORTES Y OTRA.doc", "Abrir Documento")</f>
        <v>0</v>
      </c>
      <c r="D17410" t="s">
        <v>23500</v>
      </c>
      <c r="E17410" t="s">
        <v>39885</v>
      </c>
    </row>
    <row r="17411" spans="1:5">
      <c r="A17411" t="s">
        <v>6</v>
      </c>
      <c r="B17411" t="s">
        <v>17416</v>
      </c>
      <c r="C17411">
        <f>HYPERLINK("C:\Users\franc\OneDrive\Documentos\MALENTIN KARIME\BANCO ESTADO\2012 DEPTO ESCRITURAS fata\Dc Simples\2012 DEPTO ESCRITURAS\MANDATOS JUDICIALES\JORGE ALVARADO\PEDRO JOFRE GOMEZ.doc", "Abrir Documento")</f>
        <v>0</v>
      </c>
      <c r="D17411" t="s">
        <v>23500</v>
      </c>
      <c r="E17411" t="s">
        <v>39886</v>
      </c>
    </row>
    <row r="17412" spans="1:5">
      <c r="A17412" t="s">
        <v>6</v>
      </c>
      <c r="B17412" t="s">
        <v>17417</v>
      </c>
      <c r="C17412">
        <f>HYPERLINK("C:\Users\franc\OneDrive\Documentos\MALENTIN KARIME\BANCO ESTADO\2012 DEPTO ESCRITURAS fata\Dc Simples\2012 DEPTO ESCRITURAS\MANDATOS JUDICIALES\JORGE ALVARADO\PEDRO GONZALEZ.doc", "Abrir Documento")</f>
        <v>0</v>
      </c>
      <c r="D17412" t="s">
        <v>23500</v>
      </c>
      <c r="E17412" t="s">
        <v>39887</v>
      </c>
    </row>
    <row r="17413" spans="1:5">
      <c r="A17413" t="s">
        <v>6</v>
      </c>
      <c r="B17413" t="s">
        <v>17418</v>
      </c>
      <c r="C17413">
        <f>HYPERLINK("C:\Users\franc\OneDrive\Documentos\MALENTIN KARIME\BANCO ESTADO\2012 DEPTO ESCRITURAS fata\Dc Simples\2012 DEPTO ESCRITURAS\MANDATOS JUDICIALES\JORGE ALVARADO\NILDA ROJAS ARAYA.doc", "Abrir Documento")</f>
        <v>0</v>
      </c>
      <c r="D17413" t="s">
        <v>23500</v>
      </c>
      <c r="E17413" t="s">
        <v>39888</v>
      </c>
    </row>
    <row r="17414" spans="1:5">
      <c r="A17414" t="s">
        <v>6</v>
      </c>
      <c r="B17414" t="s">
        <v>17419</v>
      </c>
      <c r="C17414">
        <f>HYPERLINK("C:\Users\franc\OneDrive\Documentos\MALENTIN KARIME\BANCO ESTADO\2012 DEPTO ESCRITURAS fata\Dc Simples\2012 DEPTO ESCRITURAS\MANDATOS JUDICIALES\JORGE ALVARADO\MARINA VERGARA ROJAS.doc", "Abrir Documento")</f>
        <v>0</v>
      </c>
      <c r="D17414" t="s">
        <v>23500</v>
      </c>
      <c r="E17414" t="s">
        <v>39889</v>
      </c>
    </row>
    <row r="17415" spans="1:5">
      <c r="A17415" t="s">
        <v>6</v>
      </c>
      <c r="B17415" t="s">
        <v>17420</v>
      </c>
      <c r="C17415">
        <f>HYPERLINK("C:\Users\franc\OneDrive\Documentos\MALENTIN KARIME\BANCO ESTADO\2012 DEPTO ESCRITURAS fata\Dc Simples\2012 DEPTO ESCRITURAS\MANDATOS JUDICIALES\JORGE ALVARADO\MARIANELA ARAYA.doc", "Abrir Documento")</f>
        <v>0</v>
      </c>
      <c r="D17415" t="s">
        <v>23500</v>
      </c>
      <c r="E17415" t="s">
        <v>39890</v>
      </c>
    </row>
    <row r="17416" spans="1:5">
      <c r="A17416" t="s">
        <v>6</v>
      </c>
      <c r="B17416" t="s">
        <v>17421</v>
      </c>
      <c r="C17416">
        <f>HYPERLINK("C:\Users\franc\OneDrive\Documentos\MALENTIN KARIME\BANCO ESTADO\2012 DEPTO ESCRITURAS fata\Dc Simples\2012 DEPTO ESCRITURAS\MANDATOS JUDICIALES\JORGE ALVARADO\KARINA ZEPEDA VEGA.doc", "Abrir Documento")</f>
        <v>0</v>
      </c>
      <c r="D17416" t="s">
        <v>23500</v>
      </c>
      <c r="E17416" t="s">
        <v>39891</v>
      </c>
    </row>
    <row r="17417" spans="1:5">
      <c r="A17417" t="s">
        <v>6</v>
      </c>
      <c r="B17417" t="s">
        <v>17422</v>
      </c>
      <c r="C17417">
        <f>HYPERLINK("C:\Users\franc\OneDrive\Documentos\MALENTIN KARIME\BANCO ESTADO\2012 DEPTO ESCRITURAS fata\Dc Simples\2012 DEPTO ESCRITURAS\MANDATOS JUDICIALES\JORGE ALVARADO\JOYSELIN CORDOVA.doc", "Abrir Documento")</f>
        <v>0</v>
      </c>
      <c r="D17417" t="s">
        <v>23500</v>
      </c>
      <c r="E17417" t="s">
        <v>39892</v>
      </c>
    </row>
    <row r="17418" spans="1:5">
      <c r="A17418" t="s">
        <v>6</v>
      </c>
      <c r="B17418" t="s">
        <v>17423</v>
      </c>
      <c r="C17418">
        <f>HYPERLINK("C:\Users\franc\OneDrive\Documentos\MALENTIN KARIME\BANCO ESTADO\2012 DEPTO ESCRITURAS fata\Dc Simples\2012 DEPTO ESCRITURAS\MANDATOS JUDICIALES\JORGE ALVARADO\JOSE OLIVARES JAIME Y OTRO.doc", "Abrir Documento")</f>
        <v>0</v>
      </c>
      <c r="D17418" t="s">
        <v>23500</v>
      </c>
      <c r="E17418" t="s">
        <v>39893</v>
      </c>
    </row>
    <row r="17419" spans="1:5">
      <c r="A17419" t="s">
        <v>6</v>
      </c>
      <c r="B17419" t="s">
        <v>17424</v>
      </c>
      <c r="C17419">
        <f>HYPERLINK("C:\Users\franc\OneDrive\Documentos\MALENTIN KARIME\BANCO ESTADO\2012 DEPTO ESCRITURAS fata\Dc Simples\2012 DEPTO ESCRITURAS\MANDATOS JUDICIALES\JORGE ALVARADO\HILDA MUÑOZ ALBANEZ.doc", "Abrir Documento")</f>
        <v>0</v>
      </c>
      <c r="D17419" t="s">
        <v>23500</v>
      </c>
      <c r="E17419" t="s">
        <v>39894</v>
      </c>
    </row>
    <row r="17420" spans="1:5">
      <c r="A17420" t="s">
        <v>6</v>
      </c>
      <c r="B17420" t="s">
        <v>17425</v>
      </c>
      <c r="C17420">
        <f>HYPERLINK("C:\Users\franc\OneDrive\Documentos\MALENTIN KARIME\BANCO ESTADO\2012 DEPTO ESCRITURAS fata\Dc Simples\2012 DEPTO ESCRITURAS\MANDATOS JUDICIALES\JORGE ALVARADO\HECTOR GARCIA VALDIVIA.doc", "Abrir Documento")</f>
        <v>0</v>
      </c>
      <c r="D17420" t="s">
        <v>23500</v>
      </c>
      <c r="E17420" t="s">
        <v>39895</v>
      </c>
    </row>
    <row r="17421" spans="1:5">
      <c r="A17421" t="s">
        <v>6</v>
      </c>
      <c r="B17421" t="s">
        <v>17426</v>
      </c>
      <c r="C17421">
        <f>HYPERLINK("C:\Users\franc\OneDrive\Documentos\MALENTIN KARIME\BANCO ESTADO\2012 DEPTO ESCRITURAS fata\Dc Simples\2012 DEPTO ESCRITURAS\MANDATOS JUDICIALES\JORGE ALVARADO\GONZALO GARCIA DE LA VEGA.doc", "Abrir Documento")</f>
        <v>0</v>
      </c>
      <c r="D17421" t="s">
        <v>23500</v>
      </c>
      <c r="E17421" t="s">
        <v>39896</v>
      </c>
    </row>
    <row r="17422" spans="1:5">
      <c r="A17422" t="s">
        <v>6</v>
      </c>
      <c r="B17422" t="s">
        <v>17427</v>
      </c>
      <c r="C17422">
        <f>HYPERLINK("C:\Users\franc\OneDrive\Documentos\MALENTIN KARIME\BANCO ESTADO\2012 DEPTO ESCRITURAS fata\Dc Simples\2012 DEPTO ESCRITURAS\MANDATOS JUDICIALES\JORGE ALVARADO\FRANCISCO ARAYA.doc", "Abrir Documento")</f>
        <v>0</v>
      </c>
      <c r="D17422" t="s">
        <v>23500</v>
      </c>
      <c r="E17422" t="s">
        <v>39897</v>
      </c>
    </row>
    <row r="17423" spans="1:5">
      <c r="A17423" t="s">
        <v>6</v>
      </c>
      <c r="B17423" t="s">
        <v>17428</v>
      </c>
      <c r="C17423">
        <f>HYPERLINK("C:\Users\franc\OneDrive\Documentos\MALENTIN KARIME\BANCO ESTADO\2012 DEPTO ESCRITURAS fata\Dc Simples\2012 DEPTO ESCRITURAS\MANDATOS JUDICIALES\JORGE ALVARADO\FABIAN DIAZ MUÑOZ.doc", "Abrir Documento")</f>
        <v>0</v>
      </c>
      <c r="D17423" t="s">
        <v>23500</v>
      </c>
      <c r="E17423" t="s">
        <v>39898</v>
      </c>
    </row>
    <row r="17424" spans="1:5">
      <c r="A17424" t="s">
        <v>6</v>
      </c>
      <c r="B17424" t="s">
        <v>17429</v>
      </c>
      <c r="C17424">
        <f>HYPERLINK("C:\Users\franc\OneDrive\Documentos\MALENTIN KARIME\BANCO ESTADO\2012 DEPTO ESCRITURAS fata\Dc Simples\2012 DEPTO ESCRITURAS\MANDATOS JUDICIALES\JORGE ALVARADO\ESIQUEL CORTES GARCIA.doc", "Abrir Documento")</f>
        <v>0</v>
      </c>
      <c r="D17424" t="s">
        <v>23500</v>
      </c>
      <c r="E17424" t="s">
        <v>39899</v>
      </c>
    </row>
    <row r="17425" spans="1:5">
      <c r="A17425" t="s">
        <v>6</v>
      </c>
      <c r="B17425" t="s">
        <v>17430</v>
      </c>
      <c r="C17425">
        <f>HYPERLINK("C:\Users\franc\OneDrive\Documentos\MALENTIN KARIME\BANCO ESTADO\2012 DEPTO ESCRITURAS fata\Dc Simples\2012 DEPTO ESCRITURAS\MANDATOS JUDICIALES\JORGE ALVARADO\ERIKA ROSALES.doc", "Abrir Documento")</f>
        <v>0</v>
      </c>
      <c r="D17425" t="s">
        <v>23500</v>
      </c>
      <c r="E17425" t="s">
        <v>39900</v>
      </c>
    </row>
    <row r="17426" spans="1:5">
      <c r="A17426" t="s">
        <v>6</v>
      </c>
      <c r="B17426" t="s">
        <v>17431</v>
      </c>
      <c r="C17426">
        <f>HYPERLINK("C:\Users\franc\OneDrive\Documentos\MALENTIN KARIME\BANCO ESTADO\2012 DEPTO ESCRITURAS fata\Dc Simples\2012 DEPTO ESCRITURAS\MANDATOS JUDICIALES\JORGE ALVARADO\ELIANA MALLEGAS TAPIA.doc", "Abrir Documento")</f>
        <v>0</v>
      </c>
      <c r="D17426" t="s">
        <v>23500</v>
      </c>
      <c r="E17426" t="s">
        <v>39901</v>
      </c>
    </row>
    <row r="17427" spans="1:5">
      <c r="A17427" t="s">
        <v>6</v>
      </c>
      <c r="B17427" t="s">
        <v>17432</v>
      </c>
      <c r="C17427">
        <f>HYPERLINK("C:\Users\franc\OneDrive\Documentos\MALENTIN KARIME\BANCO ESTADO\2012 DEPTO ESCRITURAS fata\Dc Simples\2012 DEPTO ESCRITURAS\MANDATOS JUDICIALES\JORGE ALVARADO\ELENA AGUIRRE.doc", "Abrir Documento")</f>
        <v>0</v>
      </c>
      <c r="D17427" t="s">
        <v>23500</v>
      </c>
      <c r="E17427" t="s">
        <v>39902</v>
      </c>
    </row>
    <row r="17428" spans="1:5">
      <c r="A17428" t="s">
        <v>6</v>
      </c>
      <c r="B17428" t="s">
        <v>17433</v>
      </c>
      <c r="C17428">
        <f>HYPERLINK("C:\Users\franc\OneDrive\Documentos\MALENTIN KARIME\BANCO ESTADO\2012 DEPTO ESCRITURAS fata\Dc Simples\2012 DEPTO ESCRITURAS\MANDATOS JUDICIALES\JORGE ALVARADO\DANIEL RIVERA.doc", "Abrir Documento")</f>
        <v>0</v>
      </c>
      <c r="D17428" t="s">
        <v>23500</v>
      </c>
      <c r="E17428" t="s">
        <v>39903</v>
      </c>
    </row>
    <row r="17429" spans="1:5">
      <c r="A17429" t="s">
        <v>6</v>
      </c>
      <c r="B17429" t="s">
        <v>17434</v>
      </c>
      <c r="C17429">
        <f>HYPERLINK("C:\Users\franc\OneDrive\Documentos\MALENTIN KARIME\BANCO ESTADO\2012 DEPTO ESCRITURAS fata\Dc Simples\2012 DEPTO ESCRITURAS\MANDATOS JUDICIALES\JORGE ALVARADO\CRISTIANA CODOCEO AGUIRRE.doc", "Abrir Documento")</f>
        <v>0</v>
      </c>
      <c r="D17429" t="s">
        <v>23500</v>
      </c>
      <c r="E17429" t="s">
        <v>39904</v>
      </c>
    </row>
    <row r="17430" spans="1:5">
      <c r="A17430" t="s">
        <v>6</v>
      </c>
      <c r="B17430" t="s">
        <v>17435</v>
      </c>
      <c r="C17430">
        <f>HYPERLINK("C:\Users\franc\OneDrive\Documentos\MALENTIN KARIME\BANCO ESTADO\2012 DEPTO ESCRITURAS fata\Dc Simples\2012 DEPTO ESCRITURAS\MANDATOS JUDICIALES\JORGE ALVARADO\CESAR VIDELA CABELLO.doc", "Abrir Documento")</f>
        <v>0</v>
      </c>
      <c r="D17430" t="s">
        <v>23500</v>
      </c>
      <c r="E17430" t="s">
        <v>39905</v>
      </c>
    </row>
    <row r="17431" spans="1:5">
      <c r="A17431" t="s">
        <v>6</v>
      </c>
      <c r="B17431" t="s">
        <v>17436</v>
      </c>
      <c r="C17431">
        <f>HYPERLINK("C:\Users\franc\OneDrive\Documentos\MALENTIN KARIME\BANCO ESTADO\2012 DEPTO ESCRITURAS fata\Dc Simples\2012 DEPTO ESCRITURAS\MANDATOS JUDICIALES\JORGE ALVARADO\CENTRO DE GESTION Y CAPACITACION DEL LIMARI LTDA.doc", "Abrir Documento")</f>
        <v>0</v>
      </c>
      <c r="D17431" t="s">
        <v>23500</v>
      </c>
      <c r="E17431" t="s">
        <v>39906</v>
      </c>
    </row>
    <row r="17432" spans="1:5">
      <c r="A17432" t="s">
        <v>6</v>
      </c>
      <c r="B17432" t="s">
        <v>17437</v>
      </c>
      <c r="C17432">
        <f>HYPERLINK("C:\Users\franc\OneDrive\Documentos\MALENTIN KARIME\BANCO ESTADO\2012 DEPTO ESCRITURAS fata\Dc Simples\2012 DEPTO ESCRITURAS\MANDATOS JUDICIALES\JORGE ALVARADO\ANA GARCIA FLORES.doc", "Abrir Documento")</f>
        <v>0</v>
      </c>
      <c r="D17432" t="s">
        <v>23500</v>
      </c>
      <c r="E17432" t="s">
        <v>39907</v>
      </c>
    </row>
    <row r="17433" spans="1:5">
      <c r="A17433" t="s">
        <v>6</v>
      </c>
      <c r="B17433" t="s">
        <v>17438</v>
      </c>
      <c r="C17433">
        <f>HYPERLINK("C:\Users\franc\OneDrive\Documentos\MALENTIN KARIME\BANCO ESTADO\2012 DEPTO ESCRITURAS fata\Dc Simples\2012 DEPTO ESCRITURAS\MANDATOS JUDICIALES\JORGE ALLENDE\RICARDO ALLENDE.doc", "Abrir Documento")</f>
        <v>0</v>
      </c>
      <c r="D17433" t="s">
        <v>23500</v>
      </c>
      <c r="E17433" t="s">
        <v>39908</v>
      </c>
    </row>
    <row r="17434" spans="1:5">
      <c r="A17434" t="s">
        <v>6</v>
      </c>
      <c r="B17434" t="s">
        <v>17439</v>
      </c>
      <c r="C17434">
        <f>HYPERLINK("C:\Users\franc\OneDrive\Documentos\MALENTIN KARIME\BANCO ESTADO\2012 DEPTO ESCRITURAS fata\Dc Simples\2012 DEPTO ESCRITURAS\MANDATOS JUDICIALES\JORGE ALLENDE\OLGA TORO.doc", "Abrir Documento")</f>
        <v>0</v>
      </c>
      <c r="D17434" t="s">
        <v>23500</v>
      </c>
      <c r="E17434" t="s">
        <v>39909</v>
      </c>
    </row>
    <row r="17435" spans="1:5">
      <c r="A17435" t="s">
        <v>6</v>
      </c>
      <c r="B17435" t="s">
        <v>17440</v>
      </c>
      <c r="C17435">
        <f>HYPERLINK("C:\Users\franc\OneDrive\Documentos\MALENTIN KARIME\BANCO ESTADO\2012 DEPTO ESCRITURAS fata\Dc Simples\2012 DEPTO ESCRITURAS\MANDATOS JUDICIALES\JORGE ALLENDE\ISRAEL VALDIVIA VALDIVIA.doc", "Abrir Documento")</f>
        <v>0</v>
      </c>
      <c r="D17435" t="s">
        <v>23500</v>
      </c>
      <c r="E17435" t="s">
        <v>39910</v>
      </c>
    </row>
    <row r="17436" spans="1:5">
      <c r="A17436" t="s">
        <v>6</v>
      </c>
      <c r="B17436" t="s">
        <v>17441</v>
      </c>
      <c r="C17436">
        <f>HYPERLINK("C:\Users\franc\OneDrive\Documentos\MALENTIN KARIME\BANCO ESTADO\2012 DEPTO ESCRITURAS fata\Dc Simples\2012 DEPTO ESCRITURAS\MANDATOS JUDICIALES\JORGE ALLENDE\INVERSIONES JUAN PABLO LTDA.doc", "Abrir Documento")</f>
        <v>0</v>
      </c>
      <c r="D17436" t="s">
        <v>23500</v>
      </c>
      <c r="E17436" t="s">
        <v>39911</v>
      </c>
    </row>
    <row r="17437" spans="1:5">
      <c r="A17437" t="s">
        <v>6</v>
      </c>
      <c r="B17437" t="s">
        <v>17442</v>
      </c>
      <c r="C17437">
        <f>HYPERLINK("C:\Users\franc\OneDrive\Documentos\MALENTIN KARIME\BANCO ESTADO\2012 DEPTO ESCRITURAS fata\Dc Simples\2012 DEPTO ESCRITURAS\MANDATOS JUDICIALES\JORGE ALLENDE\HERMAN AROS LOPEZ.doc", "Abrir Documento")</f>
        <v>0</v>
      </c>
      <c r="D17437" t="s">
        <v>23500</v>
      </c>
      <c r="E17437" t="s">
        <v>39912</v>
      </c>
    </row>
    <row r="17438" spans="1:5">
      <c r="A17438" t="s">
        <v>6</v>
      </c>
      <c r="B17438" t="s">
        <v>17443</v>
      </c>
      <c r="C17438">
        <f>HYPERLINK("C:\Users\franc\OneDrive\Documentos\MALENTIN KARIME\BANCO ESTADO\2012 DEPTO ESCRITURAS fata\Dc Simples\2012 DEPTO ESCRITURAS\MANDATOS JUDICIALES\JORGE ALLENDE\GLADYS  ROMERO.doc", "Abrir Documento")</f>
        <v>0</v>
      </c>
      <c r="D17438" t="s">
        <v>23500</v>
      </c>
      <c r="E17438" t="s">
        <v>39913</v>
      </c>
    </row>
    <row r="17439" spans="1:5">
      <c r="A17439" t="s">
        <v>6</v>
      </c>
      <c r="B17439" t="s">
        <v>17444</v>
      </c>
      <c r="C17439">
        <f>HYPERLINK("C:\Users\franc\OneDrive\Documentos\MALENTIN KARIME\BANCO ESTADO\2012 DEPTO ESCRITURAS fata\Dc Simples\2012 DEPTO ESCRITURAS\MANDATOS JUDICIALES\JORGE ALLENDE\FRANCISCO BOU VILLADA.doc", "Abrir Documento")</f>
        <v>0</v>
      </c>
      <c r="D17439" t="s">
        <v>23500</v>
      </c>
      <c r="E17439" t="s">
        <v>39914</v>
      </c>
    </row>
    <row r="17440" spans="1:5">
      <c r="A17440" t="s">
        <v>6</v>
      </c>
      <c r="B17440" t="s">
        <v>17445</v>
      </c>
      <c r="C17440">
        <f>HYPERLINK("C:\Users\franc\OneDrive\Documentos\MALENTIN KARIME\BANCO ESTADO\2012 DEPTO ESCRITURAS fata\Dc Simples\2012 DEPTO ESCRITURAS\MANDATOS JUDICIALES\JORGE ALLENDE\alfalfares.doc", "Abrir Documento")</f>
        <v>0</v>
      </c>
      <c r="D17440" t="s">
        <v>23500</v>
      </c>
      <c r="E17440" t="s">
        <v>39915</v>
      </c>
    </row>
    <row r="17441" spans="1:5">
      <c r="A17441" t="s">
        <v>6</v>
      </c>
      <c r="B17441" t="s">
        <v>17446</v>
      </c>
      <c r="C17441">
        <f>HYPERLINK("C:\Users\franc\OneDrive\Documentos\MALENTIN KARIME\BANCO ESTADO\2012 DEPTO ESCRITURAS fata\Dc Simples\2012 DEPTO ESCRITURAS\MANDATOS JUDICIALES\JERONIMO ROJAS\CRISTIAN PIZARRO TAPIA.doc", "Abrir Documento")</f>
        <v>0</v>
      </c>
      <c r="D17441" t="s">
        <v>23500</v>
      </c>
      <c r="E17441" t="s">
        <v>39916</v>
      </c>
    </row>
    <row r="17442" spans="1:5">
      <c r="A17442" t="s">
        <v>6</v>
      </c>
      <c r="B17442" t="s">
        <v>17447</v>
      </c>
      <c r="C17442">
        <f>HYPERLINK("C:\Users\franc\OneDrive\Documentos\MALENTIN KARIME\BANCO ESTADO\2012 DEPTO ESCRITURAS fata\Dc Simples\2012 DEPTO ESCRITURAS\MANDATOS JUDICIALES\JERONIMO ROJAS\CORPORACION EDUCACIONAL.doc", "Abrir Documento")</f>
        <v>0</v>
      </c>
      <c r="D17442" t="s">
        <v>23500</v>
      </c>
      <c r="E17442" t="s">
        <v>39917</v>
      </c>
    </row>
    <row r="17443" spans="1:5">
      <c r="A17443" t="s">
        <v>6</v>
      </c>
      <c r="B17443" t="s">
        <v>17448</v>
      </c>
      <c r="C17443">
        <f>HYPERLINK("C:\Users\franc\OneDrive\Documentos\MALENTIN KARIME\BANCO ESTADO\2012 DEPTO ESCRITURAS fata\Dc Simples\2012 DEPTO ESCRITURAS\MANDATOS JUDICIALES\JAIME MUÑOZ ALMAZAN\MINERA ALTOS PUNITAQUI.doc", "Abrir Documento")</f>
        <v>0</v>
      </c>
      <c r="D17443" t="s">
        <v>23500</v>
      </c>
      <c r="E17443" t="s">
        <v>39918</v>
      </c>
    </row>
    <row r="17444" spans="1:5">
      <c r="A17444" t="s">
        <v>6</v>
      </c>
      <c r="B17444" t="s">
        <v>17449</v>
      </c>
      <c r="C17444">
        <f>HYPERLINK("C:\Users\franc\OneDrive\Documentos\MALENTIN KARIME\BANCO ESTADO\2012 DEPTO ESCRITURAS fata\Dc Simples\2012 DEPTO ESCRITURAS\MANDATOS JUDICIALES\JAIME MUÑOZ ALMAZAN\MINERA ALTOS PUNITAQUI A SOLEDAD FARR.doc", "Abrir Documento")</f>
        <v>0</v>
      </c>
      <c r="D17444" t="s">
        <v>23500</v>
      </c>
      <c r="E17444" t="s">
        <v>39919</v>
      </c>
    </row>
    <row r="17445" spans="1:5">
      <c r="A17445" t="s">
        <v>6</v>
      </c>
      <c r="B17445" t="s">
        <v>17450</v>
      </c>
      <c r="C17445">
        <f>HYPERLINK("C:\Users\franc\OneDrive\Documentos\MALENTIN KARIME\BANCO ESTADO\2012 DEPTO ESCRITURAS fata\Dc Simples\2012 DEPTO ESCRITURAS\MANDATOS JUDICIALES\HERNAN PEREZ\MAURICIO ASTORGA.doc", "Abrir Documento")</f>
        <v>0</v>
      </c>
      <c r="D17445" t="s">
        <v>23500</v>
      </c>
      <c r="E17445" t="s">
        <v>39920</v>
      </c>
    </row>
    <row r="17446" spans="1:5">
      <c r="A17446" t="s">
        <v>6</v>
      </c>
      <c r="B17446" t="s">
        <v>17451</v>
      </c>
      <c r="C17446">
        <f>HYPERLINK("C:\Users\franc\OneDrive\Documentos\MALENTIN KARIME\BANCO ESTADO\2012 DEPTO ESCRITURAS fata\Dc Simples\2012 DEPTO ESCRITURAS\MANDATOS JUDICIALES\HERNAN PEREZ\MAURICIO ASTORGA solo.doc", "Abrir Documento")</f>
        <v>0</v>
      </c>
      <c r="D17446" t="s">
        <v>23500</v>
      </c>
      <c r="E17446" t="s">
        <v>39921</v>
      </c>
    </row>
    <row r="17447" spans="1:5">
      <c r="A17447" t="s">
        <v>6</v>
      </c>
      <c r="B17447" t="s">
        <v>17452</v>
      </c>
      <c r="C17447">
        <f>HYPERLINK("C:\Users\franc\OneDrive\Documentos\MALENTIN KARIME\BANCO ESTADO\2012 DEPTO ESCRITURAS fata\Dc Simples\2012 DEPTO ESCRITURAS\MANDATOS JUDICIALES\HERNAN PEREZ\MAURICIO ASTORGA ii.doc", "Abrir Documento")</f>
        <v>0</v>
      </c>
      <c r="D17447" t="s">
        <v>23500</v>
      </c>
      <c r="E17447" t="s">
        <v>39922</v>
      </c>
    </row>
    <row r="17448" spans="1:5">
      <c r="A17448" t="s">
        <v>6</v>
      </c>
      <c r="B17448" t="s">
        <v>17453</v>
      </c>
      <c r="C17448">
        <f>HYPERLINK("C:\Users\franc\OneDrive\Documentos\MALENTIN KARIME\BANCO ESTADO\2012 DEPTO ESCRITURAS fata\Dc Simples\2012 DEPTO ESCRITURAS\MANDATOS JUDICIALES\GUILLERMO CLAVERIE BRAVO\MISAEL BUGUEÑO CASTILLO.doc", "Abrir Documento")</f>
        <v>0</v>
      </c>
      <c r="D17448" t="s">
        <v>23500</v>
      </c>
      <c r="E17448" t="s">
        <v>39923</v>
      </c>
    </row>
    <row r="17449" spans="1:5">
      <c r="A17449" t="s">
        <v>6</v>
      </c>
      <c r="B17449" t="s">
        <v>17454</v>
      </c>
      <c r="C17449">
        <f>HYPERLINK("C:\Users\franc\OneDrive\Documentos\MALENTIN KARIME\BANCO ESTADO\2012 DEPTO ESCRITURAS fata\Dc Simples\2012 DEPTO ESCRITURAS\MANDATOS JUDICIALES\GUILLERMO CLAVERIE BRAVO\1.doc", "Abrir Documento")</f>
        <v>0</v>
      </c>
      <c r="D17449" t="s">
        <v>23500</v>
      </c>
      <c r="E17449" t="s">
        <v>39924</v>
      </c>
    </row>
    <row r="17450" spans="1:5">
      <c r="A17450" t="s">
        <v>6</v>
      </c>
      <c r="B17450" t="s">
        <v>17455</v>
      </c>
      <c r="C17450">
        <f>HYPERLINK("C:\Users\franc\OneDrive\Documentos\MALENTIN KARIME\BANCO ESTADO\2012 DEPTO ESCRITURAS fata\Dc Simples\2012 DEPTO ESCRITURAS\MANDATOS JUDICIALES\GMO. CLAVERIA\ROBERTO BOZZO.doc", "Abrir Documento")</f>
        <v>0</v>
      </c>
      <c r="D17450" t="s">
        <v>23500</v>
      </c>
      <c r="E17450" t="s">
        <v>39925</v>
      </c>
    </row>
    <row r="17451" spans="1:5">
      <c r="A17451" t="s">
        <v>6</v>
      </c>
      <c r="B17451" t="s">
        <v>17456</v>
      </c>
      <c r="C17451">
        <f>HYPERLINK("C:\Users\franc\OneDrive\Documentos\MALENTIN KARIME\BANCO ESTADO\2012 DEPTO ESCRITURAS fata\Dc Simples\2012 DEPTO ESCRITURAS\MANDATOS JUDICIALES\GMO. CLAVERIA\MISAEL VEGA BERRIOS.doc", "Abrir Documento")</f>
        <v>0</v>
      </c>
      <c r="D17451" t="s">
        <v>23500</v>
      </c>
      <c r="E17451" t="s">
        <v>39926</v>
      </c>
    </row>
    <row r="17452" spans="1:5">
      <c r="A17452" t="s">
        <v>6</v>
      </c>
      <c r="B17452" t="s">
        <v>17457</v>
      </c>
      <c r="C17452">
        <f>HYPERLINK("C:\Users\franc\OneDrive\Documentos\MALENTIN KARIME\BANCO ESTADO\2012 DEPTO ESCRITURAS fata\Dc Simples\2012 DEPTO ESCRITURAS\MANDATOS JUDICIALES\GMO. CLAVERIA\MANDATO MODELO.doc", "Abrir Documento")</f>
        <v>0</v>
      </c>
      <c r="D17452" t="s">
        <v>23500</v>
      </c>
      <c r="E17452" t="s">
        <v>39927</v>
      </c>
    </row>
    <row r="17453" spans="1:5">
      <c r="A17453" t="s">
        <v>6</v>
      </c>
      <c r="B17453" t="s">
        <v>17458</v>
      </c>
      <c r="C17453">
        <f>HYPERLINK("C:\Users\franc\OneDrive\Documentos\MALENTIN KARIME\BANCO ESTADO\2012 DEPTO ESCRITURAS fata\Dc Simples\2012 DEPTO ESCRITURAS\MANDATOS JUDICIALES\GMO. CLAVERIA\CAMILO CORTES.doc", "Abrir Documento")</f>
        <v>0</v>
      </c>
      <c r="D17453" t="s">
        <v>23500</v>
      </c>
      <c r="E17453" t="s">
        <v>39928</v>
      </c>
    </row>
    <row r="17454" spans="1:5">
      <c r="A17454" t="s">
        <v>6</v>
      </c>
      <c r="B17454" t="s">
        <v>17459</v>
      </c>
      <c r="C17454">
        <f>HYPERLINK("C:\Users\franc\OneDrive\Documentos\MALENTIN KARIME\BANCO ESTADO\2012 DEPTO ESCRITURAS fata\Dc Simples\2012 DEPTO ESCRITURAS\MANDATOS JUDICIALES\GABRIEL RODRIGUEZ RAMIREZ\YENNY OVALLE.doc", "Abrir Documento")</f>
        <v>0</v>
      </c>
      <c r="D17454" t="s">
        <v>23500</v>
      </c>
      <c r="E17454" t="s">
        <v>39929</v>
      </c>
    </row>
    <row r="17455" spans="1:5">
      <c r="A17455" t="s">
        <v>6</v>
      </c>
      <c r="B17455" t="s">
        <v>17460</v>
      </c>
      <c r="C17455">
        <f>HYPERLINK("C:\Users\franc\OneDrive\Documentos\MALENTIN KARIME\BANCO ESTADO\2012 DEPTO ESCRITURAS fata\Dc Simples\2012 DEPTO ESCRITURAS\MANDATOS JUDICIALES\GABRIEL RODRIGUEZ RAMIREZ\SYLVANA ARAYA.doc", "Abrir Documento")</f>
        <v>0</v>
      </c>
      <c r="D17455" t="s">
        <v>23500</v>
      </c>
      <c r="E17455" t="s">
        <v>39930</v>
      </c>
    </row>
    <row r="17456" spans="1:5">
      <c r="A17456" t="s">
        <v>6</v>
      </c>
      <c r="B17456" t="s">
        <v>17461</v>
      </c>
      <c r="C17456">
        <f>HYPERLINK("C:\Users\franc\OneDrive\Documentos\MALENTIN KARIME\BANCO ESTADO\2012 DEPTO ESCRITURAS fata\Dc Simples\2012 DEPTO ESCRITURAS\MANDATOS JUDICIALES\GABRIEL RODRIGUEZ RAMIREZ\ROBINSON VALENZUELA Varios abogados.doc", "Abrir Documento")</f>
        <v>0</v>
      </c>
      <c r="D17456" t="s">
        <v>23500</v>
      </c>
      <c r="E17456" t="s">
        <v>39931</v>
      </c>
    </row>
    <row r="17457" spans="1:5">
      <c r="A17457" t="s">
        <v>6</v>
      </c>
      <c r="B17457" t="s">
        <v>17462</v>
      </c>
      <c r="C17457">
        <f>HYPERLINK("C:\Users\franc\OneDrive\Documentos\MALENTIN KARIME\BANCO ESTADO\2012 DEPTO ESCRITURAS fata\Dc Simples\2012 DEPTO ESCRITURAS\MANDATOS JUDICIALES\GABRIEL RODRIGUEZ RAMIREZ\RICARDO SEGOVIA.doc", "Abrir Documento")</f>
        <v>0</v>
      </c>
      <c r="D17457" t="s">
        <v>23500</v>
      </c>
      <c r="E17457" t="s">
        <v>39932</v>
      </c>
    </row>
    <row r="17458" spans="1:5">
      <c r="A17458" t="s">
        <v>6</v>
      </c>
      <c r="B17458" t="s">
        <v>17463</v>
      </c>
      <c r="C17458">
        <f>HYPERLINK("C:\Users\franc\OneDrive\Documentos\MALENTIN KARIME\BANCO ESTADO\2012 DEPTO ESCRITURAS fata\Dc Simples\2012 DEPTO ESCRITURAS\MANDATOS JUDICIALES\GABRIEL RODRIGUEZ RAMIREZ\PABLO CORTES.doc", "Abrir Documento")</f>
        <v>0</v>
      </c>
      <c r="D17458" t="s">
        <v>23500</v>
      </c>
      <c r="E17458" t="s">
        <v>39933</v>
      </c>
    </row>
    <row r="17459" spans="1:5">
      <c r="A17459" t="s">
        <v>6</v>
      </c>
      <c r="B17459" t="s">
        <v>17464</v>
      </c>
      <c r="C17459">
        <f>HYPERLINK("C:\Users\franc\OneDrive\Documentos\MALENTIN KARIME\BANCO ESTADO\2012 DEPTO ESCRITURAS fata\Dc Simples\2012 DEPTO ESCRITURAS\MANDATOS JUDICIALES\GABRIEL RODRIGUEZ RAMIREZ\ONOFRE ESPINOSA GARCIA.doc", "Abrir Documento")</f>
        <v>0</v>
      </c>
      <c r="D17459" t="s">
        <v>23500</v>
      </c>
      <c r="E17459" t="s">
        <v>39934</v>
      </c>
    </row>
    <row r="17460" spans="1:5">
      <c r="A17460" t="s">
        <v>6</v>
      </c>
      <c r="B17460" t="s">
        <v>17465</v>
      </c>
      <c r="C17460">
        <f>HYPERLINK("C:\Users\franc\OneDrive\Documentos\MALENTIN KARIME\BANCO ESTADO\2012 DEPTO ESCRITURAS fata\Dc Simples\2012 DEPTO ESCRITURAS\MANDATOS JUDICIALES\GABRIEL RODRIGUEZ RAMIREZ\MIRSA BORIC.doc", "Abrir Documento")</f>
        <v>0</v>
      </c>
      <c r="D17460" t="s">
        <v>23500</v>
      </c>
      <c r="E17460" t="s">
        <v>39935</v>
      </c>
    </row>
    <row r="17461" spans="1:5">
      <c r="A17461" t="s">
        <v>6</v>
      </c>
      <c r="B17461" t="s">
        <v>17466</v>
      </c>
      <c r="C17461">
        <f>HYPERLINK("C:\Users\franc\OneDrive\Documentos\MALENTIN KARIME\BANCO ESTADO\2012 DEPTO ESCRITURAS fata\Dc Simples\2012 DEPTO ESCRITURAS\MANDATOS JUDICIALES\GABRIEL RODRIGUEZ RAMIREZ\MARIVA VILLALOBOS.doc", "Abrir Documento")</f>
        <v>0</v>
      </c>
      <c r="D17461" t="s">
        <v>23500</v>
      </c>
      <c r="E17461" t="s">
        <v>39936</v>
      </c>
    </row>
    <row r="17462" spans="1:5">
      <c r="A17462" t="s">
        <v>6</v>
      </c>
      <c r="B17462" t="s">
        <v>17467</v>
      </c>
      <c r="C17462">
        <f>HYPERLINK("C:\Users\franc\OneDrive\Documentos\MALENTIN KARIME\BANCO ESTADO\2012 DEPTO ESCRITURAS fata\Dc Simples\2012 DEPTO ESCRITURAS\MANDATOS JUDICIALES\GABRIEL RODRIGUEZ RAMIREZ\MARIA VIDELA MUNDACA.doc", "Abrir Documento")</f>
        <v>0</v>
      </c>
      <c r="D17462" t="s">
        <v>23500</v>
      </c>
      <c r="E17462" t="s">
        <v>39937</v>
      </c>
    </row>
    <row r="17463" spans="1:5">
      <c r="A17463" t="s">
        <v>6</v>
      </c>
      <c r="B17463" t="s">
        <v>17468</v>
      </c>
      <c r="C17463">
        <f>HYPERLINK("C:\Users\franc\OneDrive\Documentos\MALENTIN KARIME\BANCO ESTADO\2012 DEPTO ESCRITURAS fata\Dc Simples\2012 DEPTO ESCRITURAS\MANDATOS JUDICIALES\GABRIEL RODRIGUEZ RAMIREZ\LUIS LOYOLA LEON.doc", "Abrir Documento")</f>
        <v>0</v>
      </c>
      <c r="D17463" t="s">
        <v>23500</v>
      </c>
      <c r="E17463" t="s">
        <v>39938</v>
      </c>
    </row>
    <row r="17464" spans="1:5">
      <c r="A17464" t="s">
        <v>6</v>
      </c>
      <c r="B17464" t="s">
        <v>17469</v>
      </c>
      <c r="C17464">
        <f>HYPERLINK("C:\Users\franc\OneDrive\Documentos\MALENTIN KARIME\BANCO ESTADO\2012 DEPTO ESCRITURAS fata\Dc Simples\2012 DEPTO ESCRITURAS\MANDATOS JUDICIALES\GABRIEL RODRIGUEZ RAMIREZ\HUGO ARTAL AVILEZ.doc", "Abrir Documento")</f>
        <v>0</v>
      </c>
      <c r="D17464" t="s">
        <v>23500</v>
      </c>
      <c r="E17464" t="s">
        <v>39939</v>
      </c>
    </row>
    <row r="17465" spans="1:5">
      <c r="A17465" t="s">
        <v>6</v>
      </c>
      <c r="B17465" t="s">
        <v>17470</v>
      </c>
      <c r="C17465">
        <f>HYPERLINK("C:\Users\franc\OneDrive\Documentos\MALENTIN KARIME\BANCO ESTADO\2012 DEPTO ESCRITURAS fata\Dc Simples\2012 DEPTO ESCRITURAS\MANDATOS JUDICIALES\GABRIEL RODRIGUEZ RAMIREZ\ELIAS ALFARO OSSANDON.doc", "Abrir Documento")</f>
        <v>0</v>
      </c>
      <c r="D17465" t="s">
        <v>23500</v>
      </c>
      <c r="E17465" t="s">
        <v>39940</v>
      </c>
    </row>
    <row r="17466" spans="1:5">
      <c r="A17466" t="s">
        <v>6</v>
      </c>
      <c r="B17466" t="s">
        <v>17471</v>
      </c>
      <c r="C17466">
        <f>HYPERLINK("C:\Users\franc\OneDrive\Documentos\MALENTIN KARIME\BANCO ESTADO\2012 DEPTO ESCRITURAS fata\Dc Simples\2012 DEPTO ESCRITURAS\MANDATOS JUDICIALES\GABRIEL RODRIGUEZ RAMIREZ\DILEMA CASTILLO.doc", "Abrir Documento")</f>
        <v>0</v>
      </c>
      <c r="D17466" t="s">
        <v>23500</v>
      </c>
      <c r="E17466" t="s">
        <v>39941</v>
      </c>
    </row>
    <row r="17467" spans="1:5">
      <c r="A17467" t="s">
        <v>6</v>
      </c>
      <c r="B17467" t="s">
        <v>17472</v>
      </c>
      <c r="C17467">
        <f>HYPERLINK("C:\Users\franc\OneDrive\Documentos\MALENTIN KARIME\BANCO ESTADO\2012 DEPTO ESCRITURAS fata\Dc Simples\2012 DEPTO ESCRITURAS\MANDATOS JUDICIALES\GABRIEL RODRIGUEZ RAMIREZ\DANIELA MANCILLA.doc", "Abrir Documento")</f>
        <v>0</v>
      </c>
      <c r="D17467" t="s">
        <v>23500</v>
      </c>
      <c r="E17467" t="s">
        <v>39942</v>
      </c>
    </row>
    <row r="17468" spans="1:5">
      <c r="A17468" t="s">
        <v>6</v>
      </c>
      <c r="B17468" t="s">
        <v>17473</v>
      </c>
      <c r="C17468">
        <f>HYPERLINK("C:\Users\franc\OneDrive\Documentos\MALENTIN KARIME\BANCO ESTADO\2012 DEPTO ESCRITURAS fata\Dc Simples\2012 DEPTO ESCRITURAS\MANDATOS JUDICIALES\GABRIEL RODRIGUEZ RAMIREZ\COSME MORALES CALDERON.doc", "Abrir Documento")</f>
        <v>0</v>
      </c>
      <c r="D17468" t="s">
        <v>23500</v>
      </c>
      <c r="E17468" t="s">
        <v>39943</v>
      </c>
    </row>
    <row r="17469" spans="1:5">
      <c r="A17469" t="s">
        <v>6</v>
      </c>
      <c r="B17469" t="s">
        <v>17474</v>
      </c>
      <c r="C17469">
        <f>HYPERLINK("C:\Users\franc\OneDrive\Documentos\MALENTIN KARIME\BANCO ESTADO\2012 DEPTO ESCRITURAS fata\Dc Simples\2012 DEPTO ESCRITURAS\MANDATOS JUDICIALES\GABRIEL RODRIGUEZ RAMIREZ\COOPERATIVA CAMPESINA TULAHUEN.doc", "Abrir Documento")</f>
        <v>0</v>
      </c>
      <c r="D17469" t="s">
        <v>23500</v>
      </c>
      <c r="E17469" t="s">
        <v>39944</v>
      </c>
    </row>
    <row r="17470" spans="1:5">
      <c r="A17470" t="s">
        <v>6</v>
      </c>
      <c r="B17470" t="s">
        <v>17475</v>
      </c>
      <c r="C17470">
        <f>HYPERLINK("C:\Users\franc\OneDrive\Documentos\MALENTIN KARIME\BANCO ESTADO\2012 DEPTO ESCRITURAS fata\Dc Simples\2012 DEPTO ESCRITURAS\MANDATOS JUDICIALES\GABRIEL RODRIGUEZ RAMIREZ\CAMEN PEÑA ZELADA.doc", "Abrir Documento")</f>
        <v>0</v>
      </c>
      <c r="D17470" t="s">
        <v>23500</v>
      </c>
      <c r="E17470" t="s">
        <v>39945</v>
      </c>
    </row>
    <row r="17471" spans="1:5">
      <c r="A17471" t="s">
        <v>6</v>
      </c>
      <c r="B17471" t="s">
        <v>17476</v>
      </c>
      <c r="C17471">
        <f>HYPERLINK("C:\Users\franc\OneDrive\Documentos\MALENTIN KARIME\BANCO ESTADO\2012 DEPTO ESCRITURAS fata\Dc Simples\2012 DEPTO ESCRITURAS\MANDATOS JUDICIALES\GABRIEL RODRIGUEZ RAMIREZ\BALTASAR MALUENDA.doc", "Abrir Documento")</f>
        <v>0</v>
      </c>
      <c r="D17471" t="s">
        <v>23500</v>
      </c>
      <c r="E17471" t="s">
        <v>39946</v>
      </c>
    </row>
    <row r="17472" spans="1:5">
      <c r="A17472" t="s">
        <v>6</v>
      </c>
      <c r="B17472" t="s">
        <v>17477</v>
      </c>
      <c r="C17472">
        <f>HYPERLINK("C:\Users\franc\OneDrive\Documentos\MALENTIN KARIME\BANCO ESTADO\2012 DEPTO ESCRITURAS fata\Dc Simples\2012 DEPTO ESCRITURAS\MANDATOS JUDICIALES\FELIX SAEZ\SAMUEL ENRIQUE CASTRO ROJAS A Féliz Sáez Alvayay.doc", "Abrir Documento")</f>
        <v>0</v>
      </c>
      <c r="D17472" t="s">
        <v>23500</v>
      </c>
      <c r="E17472" t="s">
        <v>39947</v>
      </c>
    </row>
    <row r="17473" spans="1:5">
      <c r="A17473" t="s">
        <v>6</v>
      </c>
      <c r="B17473" t="s">
        <v>17478</v>
      </c>
      <c r="C17473">
        <f>HYPERLINK("C:\Users\franc\OneDrive\Documentos\MALENTIN KARIME\BANCO ESTADO\2012 DEPTO ESCRITURAS fata\Dc Simples\2012 DEPTO ESCRITURAS\MANDATOS JUDICIALES\FELIX SAEZ\PATRICIO CONTRERAS A Féliz Sáez Alvayay.doc", "Abrir Documento")</f>
        <v>0</v>
      </c>
      <c r="D17473" t="s">
        <v>23500</v>
      </c>
      <c r="E17473" t="s">
        <v>39948</v>
      </c>
    </row>
    <row r="17474" spans="1:5">
      <c r="A17474" t="s">
        <v>6</v>
      </c>
      <c r="B17474" t="s">
        <v>17479</v>
      </c>
      <c r="C17474">
        <f>HYPERLINK("C:\Users\franc\OneDrive\Documentos\MALENTIN KARIME\BANCO ESTADO\2012 DEPTO ESCRITURAS fata\Dc Simples\2012 DEPTO ESCRITURAS\MANDATOS JUDICIALES\FELIX SAEZ\PATRICIA PONCE.doc", "Abrir Documento")</f>
        <v>0</v>
      </c>
      <c r="D17474" t="s">
        <v>23500</v>
      </c>
      <c r="E17474" t="s">
        <v>39949</v>
      </c>
    </row>
    <row r="17475" spans="1:5">
      <c r="A17475" t="s">
        <v>6</v>
      </c>
      <c r="B17475" t="s">
        <v>17480</v>
      </c>
      <c r="C17475">
        <f>HYPERLINK("C:\Users\franc\OneDrive\Documentos\MALENTIN KARIME\BANCO ESTADO\2012 DEPTO ESCRITURAS fata\Dc Simples\2012 DEPTO ESCRITURAS\MANDATOS JUDICIALES\FELIX SAEZ\MILTHON DUARTE.doc", "Abrir Documento")</f>
        <v>0</v>
      </c>
      <c r="D17475" t="s">
        <v>23500</v>
      </c>
      <c r="E17475" t="s">
        <v>39950</v>
      </c>
    </row>
    <row r="17476" spans="1:5">
      <c r="A17476" t="s">
        <v>6</v>
      </c>
      <c r="B17476" t="s">
        <v>17481</v>
      </c>
      <c r="C17476">
        <f>HYPERLINK("C:\Users\franc\OneDrive\Documentos\MALENTIN KARIME\BANCO ESTADO\2012 DEPTO ESCRITURAS fata\Dc Simples\2012 DEPTO ESCRITURAS\MANDATOS JUDICIALES\FELIX SAEZ\MILTHON DUARTE Nuevo.doc", "Abrir Documento")</f>
        <v>0</v>
      </c>
      <c r="D17476" t="s">
        <v>23500</v>
      </c>
      <c r="E17476" t="s">
        <v>39951</v>
      </c>
    </row>
    <row r="17477" spans="1:5">
      <c r="A17477" t="s">
        <v>6</v>
      </c>
      <c r="B17477" t="s">
        <v>17482</v>
      </c>
      <c r="C17477">
        <f>HYPERLINK("C:\Users\franc\OneDrive\Documentos\MALENTIN KARIME\BANCO ESTADO\2012 DEPTO ESCRITURAS fata\Dc Simples\2012 DEPTO ESCRITURAS\MANDATOS JUDICIALES\FELIX SAEZ\MARIA RODRIGUEZ.doc", "Abrir Documento")</f>
        <v>0</v>
      </c>
      <c r="D17477" t="s">
        <v>23500</v>
      </c>
      <c r="E17477" t="s">
        <v>39952</v>
      </c>
    </row>
    <row r="17478" spans="1:5">
      <c r="A17478" t="s">
        <v>6</v>
      </c>
      <c r="B17478" t="s">
        <v>17483</v>
      </c>
      <c r="C17478">
        <f>HYPERLINK("C:\Users\franc\OneDrive\Documentos\MALENTIN KARIME\BANCO ESTADO\2012 DEPTO ESCRITURAS fata\Dc Simples\2012 DEPTO ESCRITURAS\MANDATOS JUDICIALES\FELIX SAEZ\JOSE CONTRERAS Y OTRA.doc", "Abrir Documento")</f>
        <v>0</v>
      </c>
      <c r="D17478" t="s">
        <v>23500</v>
      </c>
      <c r="E17478" t="s">
        <v>39953</v>
      </c>
    </row>
    <row r="17479" spans="1:5">
      <c r="A17479" t="s">
        <v>6</v>
      </c>
      <c r="B17479" t="s">
        <v>17484</v>
      </c>
      <c r="C17479">
        <f>HYPERLINK("C:\Users\franc\OneDrive\Documentos\MALENTIN KARIME\BANCO ESTADO\2012 DEPTO ESCRITURAS fata\Dc Simples\2012 DEPTO ESCRITURAS\MANDATOS JUDICIALES\FELIX SAEZ\HECTOR OMAR MEDALLA MEDALLA Mandato.doc", "Abrir Documento")</f>
        <v>0</v>
      </c>
      <c r="D17479" t="s">
        <v>23500</v>
      </c>
      <c r="E17479" t="s">
        <v>39954</v>
      </c>
    </row>
    <row r="17480" spans="1:5">
      <c r="A17480" t="s">
        <v>6</v>
      </c>
      <c r="B17480" t="s">
        <v>17485</v>
      </c>
      <c r="C17480">
        <f>HYPERLINK("C:\Users\franc\OneDrive\Documentos\MALENTIN KARIME\BANCO ESTADO\2012 DEPTO ESCRITURAS fata\Dc Simples\2012 DEPTO ESCRITURAS\MANDATOS JUDICIALES\FELIX SAEZ\especial.doc", "Abrir Documento")</f>
        <v>0</v>
      </c>
      <c r="D17480" t="s">
        <v>23500</v>
      </c>
      <c r="E17480" t="s">
        <v>39955</v>
      </c>
    </row>
    <row r="17481" spans="1:5">
      <c r="A17481" t="s">
        <v>6</v>
      </c>
      <c r="B17481" t="s">
        <v>17486</v>
      </c>
      <c r="C17481">
        <f>HYPERLINK("C:\Users\franc\OneDrive\Documentos\MALENTIN KARIME\BANCO ESTADO\2012 DEPTO ESCRITURAS fata\Dc Simples\2012 DEPTO ESCRITURAS\MANDATOS JUDICIALES\FELIX SAEZ\DIEGO GUTIERREZ.doc", "Abrir Documento")</f>
        <v>0</v>
      </c>
      <c r="D17481" t="s">
        <v>23500</v>
      </c>
      <c r="E17481" t="s">
        <v>39956</v>
      </c>
    </row>
    <row r="17482" spans="1:5">
      <c r="A17482" t="s">
        <v>6</v>
      </c>
      <c r="B17482" t="s">
        <v>17487</v>
      </c>
      <c r="C17482">
        <f>HYPERLINK("C:\Users\franc\OneDrive\Documentos\MALENTIN KARIME\BANCO ESTADO\2012 DEPTO ESCRITURAS fata\Dc Simples\2012 DEPTO ESCRITURAS\MANDATOS JUDICIALES\FELIPE BRAVO ALBORNOZ\INVERSIONES ESCOBAR LTDA..doc", "Abrir Documento")</f>
        <v>0</v>
      </c>
      <c r="D17482" t="s">
        <v>23500</v>
      </c>
      <c r="E17482" t="s">
        <v>39957</v>
      </c>
    </row>
    <row r="17483" spans="1:5">
      <c r="A17483" t="s">
        <v>6</v>
      </c>
      <c r="B17483" t="s">
        <v>17488</v>
      </c>
      <c r="C17483">
        <f>HYPERLINK("C:\Users\franc\OneDrive\Documentos\MALENTIN KARIME\BANCO ESTADO\2012 DEPTO ESCRITURAS fata\Dc Simples\2012 DEPTO ESCRITURAS\MANDATOS JUDICIALES\FELIPE BRAVO ALBORNOZ\CRISTIAN PEREZ ESCOBAR.doc", "Abrir Documento")</f>
        <v>0</v>
      </c>
      <c r="D17483" t="s">
        <v>23500</v>
      </c>
      <c r="E17483" t="s">
        <v>39958</v>
      </c>
    </row>
    <row r="17484" spans="1:5">
      <c r="A17484" t="s">
        <v>6</v>
      </c>
      <c r="B17484" t="s">
        <v>17489</v>
      </c>
      <c r="C17484">
        <f>HYPERLINK("C:\Users\franc\OneDrive\Documentos\MALENTIN KARIME\BANCO ESTADO\2012 DEPTO ESCRITURAS fata\Dc Simples\2012 DEPTO ESCRITURAS\MANDATOS JUDICIALES\FELIPE ALAMO BARRIOS\SOC. AGRICOLA LOS ALAMOS.doc", "Abrir Documento")</f>
        <v>0</v>
      </c>
      <c r="D17484" t="s">
        <v>23500</v>
      </c>
      <c r="E17484" t="s">
        <v>39959</v>
      </c>
    </row>
    <row r="17485" spans="1:5">
      <c r="A17485" t="s">
        <v>6</v>
      </c>
      <c r="B17485" t="s">
        <v>17490</v>
      </c>
      <c r="C17485">
        <f>HYPERLINK("C:\Users\franc\OneDrive\Documentos\MALENTIN KARIME\BANCO ESTADO\2012 DEPTO ESCRITURAS fata\Dc Simples\2012 DEPTO ESCRITURAS\MANDATOS JUDICIALES\FELIPE ALAMO BARRIOS\GABRIEL TOLEDO.doc", "Abrir Documento")</f>
        <v>0</v>
      </c>
      <c r="D17485" t="s">
        <v>23500</v>
      </c>
      <c r="E17485" t="s">
        <v>39960</v>
      </c>
    </row>
    <row r="17486" spans="1:5">
      <c r="A17486" t="s">
        <v>6</v>
      </c>
      <c r="B17486" t="s">
        <v>17491</v>
      </c>
      <c r="C17486">
        <f>HYPERLINK("C:\Users\franc\OneDrive\Documentos\MALENTIN KARIME\BANCO ESTADO\2012 DEPTO ESCRITURAS fata\Dc Simples\2012 DEPTO ESCRITURAS\MANDATOS JUDICIALES\EVELYN PINTO\FRANCISCO CATALDO.doc", "Abrir Documento")</f>
        <v>0</v>
      </c>
      <c r="D17486" t="s">
        <v>23500</v>
      </c>
      <c r="E17486" t="s">
        <v>39961</v>
      </c>
    </row>
    <row r="17487" spans="1:5">
      <c r="A17487" t="s">
        <v>6</v>
      </c>
      <c r="B17487" t="s">
        <v>17492</v>
      </c>
      <c r="C17487">
        <f>HYPERLINK("C:\Users\franc\OneDrive\Documentos\MALENTIN KARIME\BANCO ESTADO\2012 DEPTO ESCRITURAS fata\Dc Simples\2012 DEPTO ESCRITURAS\MANDATOS JUDICIALES\EUGENIO RIVAS\SOCIEDAD INMOBILIARIA FARIVAR Especial no judicial.doc", "Abrir Documento")</f>
        <v>0</v>
      </c>
      <c r="D17487" t="s">
        <v>23500</v>
      </c>
      <c r="E17487" t="s">
        <v>39962</v>
      </c>
    </row>
    <row r="17488" spans="1:5">
      <c r="A17488" t="s">
        <v>6</v>
      </c>
      <c r="B17488" t="s">
        <v>17493</v>
      </c>
      <c r="C17488">
        <f>HYPERLINK("C:\Users\franc\OneDrive\Documentos\MALENTIN KARIME\BANCO ESTADO\2012 DEPTO ESCRITURAS fata\Dc Simples\2012 DEPTO ESCRITURAS\MANDATOS JUDICIALES\EUGENIO RIVAS\OLGA BUGUEÑO MUÑOZ.doc", "Abrir Documento")</f>
        <v>0</v>
      </c>
      <c r="D17488" t="s">
        <v>23500</v>
      </c>
      <c r="E17488" t="s">
        <v>39963</v>
      </c>
    </row>
    <row r="17489" spans="1:5">
      <c r="A17489" t="s">
        <v>6</v>
      </c>
      <c r="B17489" t="s">
        <v>17494</v>
      </c>
      <c r="C17489">
        <f>HYPERLINK("C:\Users\franc\OneDrive\Documentos\MALENTIN KARIME\BANCO ESTADO\2012 DEPTO ESCRITURAS fata\Dc Simples\2012 DEPTO ESCRITURAS\MANDATOS JUDICIALES\EUGENIO RIVAS\JULIO CARVAJAL.doc", "Abrir Documento")</f>
        <v>0</v>
      </c>
      <c r="D17489" t="s">
        <v>23500</v>
      </c>
      <c r="E17489" t="s">
        <v>39964</v>
      </c>
    </row>
    <row r="17490" spans="1:5">
      <c r="A17490" t="s">
        <v>6</v>
      </c>
      <c r="B17490" t="s">
        <v>17495</v>
      </c>
      <c r="C17490">
        <f>HYPERLINK("C:\Users\franc\OneDrive\Documentos\MALENTIN KARIME\BANCO ESTADO\2012 DEPTO ESCRITURAS fata\Dc Simples\2012 DEPTO ESCRITURAS\MANDATOS JUDICIALES\EUGENIO RIVAS\BORIS JIMENEZ BORQUEZ Especial.doc", "Abrir Documento")</f>
        <v>0</v>
      </c>
      <c r="D17490" t="s">
        <v>23500</v>
      </c>
      <c r="E17490" t="s">
        <v>39965</v>
      </c>
    </row>
    <row r="17491" spans="1:5">
      <c r="A17491" t="s">
        <v>6</v>
      </c>
      <c r="B17491" t="s">
        <v>17496</v>
      </c>
      <c r="C17491">
        <f>HYPERLINK("C:\Users\franc\OneDrive\Documentos\MALENTIN KARIME\BANCO ESTADO\2012 DEPTO ESCRITURAS fata\Dc Simples\2012 DEPTO ESCRITURAS\MANDATOS JUDICIALES\ESPECIAL DIVORCIO\RAMON CORTES VEGA.doc", "Abrir Documento")</f>
        <v>0</v>
      </c>
      <c r="D17491" t="s">
        <v>23500</v>
      </c>
      <c r="E17491" t="s">
        <v>39966</v>
      </c>
    </row>
    <row r="17492" spans="1:5">
      <c r="A17492" t="s">
        <v>6</v>
      </c>
      <c r="B17492" t="s">
        <v>17497</v>
      </c>
      <c r="C17492">
        <f>HYPERLINK("C:\Users\franc\OneDrive\Documentos\MALENTIN KARIME\BANCO ESTADO\2012 DEPTO ESCRITURAS fata\Dc Simples\2012 DEPTO ESCRITURAS\MANDATOS JUDICIALES\E-MAIL\JUAN ADAOS A CLAUDIO CONEJEROS.doc", "Abrir Documento")</f>
        <v>0</v>
      </c>
      <c r="D17492" t="s">
        <v>23500</v>
      </c>
      <c r="E17492" t="s">
        <v>39967</v>
      </c>
    </row>
    <row r="17493" spans="1:5">
      <c r="A17493" t="s">
        <v>6</v>
      </c>
      <c r="B17493" t="s">
        <v>17498</v>
      </c>
      <c r="C17493">
        <f>HYPERLINK("C:\Users\franc\OneDrive\Documentos\MALENTIN KARIME\BANCO ESTADO\2012 DEPTO ESCRITURAS fata\Dc Simples\2012 DEPTO ESCRITURAS\MANDATOS JUDICIALES\DAVID GALAZ\CLAUDIA LABARCA.doc", "Abrir Documento")</f>
        <v>0</v>
      </c>
      <c r="D17493" t="s">
        <v>23500</v>
      </c>
      <c r="E17493" t="s">
        <v>39968</v>
      </c>
    </row>
    <row r="17494" spans="1:5">
      <c r="A17494" t="s">
        <v>6</v>
      </c>
      <c r="B17494" t="s">
        <v>17499</v>
      </c>
      <c r="C17494">
        <f>HYPERLINK("C:\Users\franc\OneDrive\Documentos\MALENTIN KARIME\BANCO ESTADO\2012 DEPTO ESCRITURAS fata\Dc Simples\2012 DEPTO ESCRITURAS\MANDATOS JUDICIALES\CRISTIAN ZEPEDA RODRIGUEZ\MODELO.doc", "Abrir Documento")</f>
        <v>0</v>
      </c>
      <c r="D17494" t="s">
        <v>23500</v>
      </c>
      <c r="E17494" t="s">
        <v>39969</v>
      </c>
    </row>
    <row r="17495" spans="1:5">
      <c r="A17495" t="s">
        <v>6</v>
      </c>
      <c r="B17495" t="s">
        <v>17500</v>
      </c>
      <c r="C17495">
        <f>HYPERLINK("C:\Users\franc\OneDrive\Documentos\MALENTIN KARIME\BANCO ESTADO\2012 DEPTO ESCRITURAS fata\Dc Simples\2012 DEPTO ESCRITURAS\MANDATOS JUDICIALES\CRISTIAN ZEPEDA RODRIGUEZ\MANUEL ROJAS BERRIOS.doc", "Abrir Documento")</f>
        <v>0</v>
      </c>
      <c r="D17495" t="s">
        <v>23500</v>
      </c>
      <c r="E17495" t="s">
        <v>39970</v>
      </c>
    </row>
    <row r="17496" spans="1:5">
      <c r="A17496" t="s">
        <v>6</v>
      </c>
      <c r="B17496" t="s">
        <v>17501</v>
      </c>
      <c r="C17496">
        <f>HYPERLINK("C:\Users\franc\OneDrive\Documentos\MALENTIN KARIME\BANCO ESTADO\2012 DEPTO ESCRITURAS fata\Dc Simples\2012 DEPTO ESCRITURAS\MANDATOS JUDICIALES\CLAUDIO ARDILES\ZENADIA DIAZ Divorcio+.doc", "Abrir Documento")</f>
        <v>0</v>
      </c>
      <c r="D17496" t="s">
        <v>23500</v>
      </c>
      <c r="E17496" t="s">
        <v>39971</v>
      </c>
    </row>
    <row r="17497" spans="1:5">
      <c r="A17497" t="s">
        <v>6</v>
      </c>
      <c r="B17497" t="s">
        <v>17502</v>
      </c>
      <c r="C17497">
        <f>HYPERLINK("C:\Users\franc\OneDrive\Documentos\MALENTIN KARIME\BANCO ESTADO\2012 DEPTO ESCRITURAS fata\Dc Simples\2012 DEPTO ESCRITURAS\MANDATOS JUDICIALES\CLAUDIO ARDILES\YESSENIA VERENICE RAMIREZ MUNIZAGA.doc", "Abrir Documento")</f>
        <v>0</v>
      </c>
      <c r="D17497" t="s">
        <v>23500</v>
      </c>
      <c r="E17497" t="s">
        <v>39972</v>
      </c>
    </row>
    <row r="17498" spans="1:5">
      <c r="A17498" t="s">
        <v>6</v>
      </c>
      <c r="B17498" t="s">
        <v>17503</v>
      </c>
      <c r="C17498">
        <f>HYPERLINK("C:\Users\franc\OneDrive\Documentos\MALENTIN KARIME\BANCO ESTADO\2012 DEPTO ESCRITURAS fata\Dc Simples\2012 DEPTO ESCRITURAS\MANDATOS JUDICIALES\CLAUDIO ARDILES\VERONICA PASTEN JERALDO.doc", "Abrir Documento")</f>
        <v>0</v>
      </c>
      <c r="D17498" t="s">
        <v>23500</v>
      </c>
      <c r="E17498" t="s">
        <v>39973</v>
      </c>
    </row>
    <row r="17499" spans="1:5">
      <c r="A17499" t="s">
        <v>6</v>
      </c>
      <c r="B17499" t="s">
        <v>17504</v>
      </c>
      <c r="C17499">
        <f>HYPERLINK("C:\Users\franc\OneDrive\Documentos\MALENTIN KARIME\BANCO ESTADO\2012 DEPTO ESCRITURAS fata\Dc Simples\2012 DEPTO ESCRITURAS\MANDATOS JUDICIALES\CLAUDIO ARDILES\VERONICA JORQUERA.doc", "Abrir Documento")</f>
        <v>0</v>
      </c>
      <c r="D17499" t="s">
        <v>23500</v>
      </c>
      <c r="E17499" t="s">
        <v>39974</v>
      </c>
    </row>
    <row r="17500" spans="1:5">
      <c r="A17500" t="s">
        <v>6</v>
      </c>
      <c r="B17500" t="s">
        <v>17505</v>
      </c>
      <c r="C17500">
        <f>HYPERLINK("C:\Users\franc\OneDrive\Documentos\MALENTIN KARIME\BANCO ESTADO\2012 DEPTO ESCRITURAS fata\Dc Simples\2012 DEPTO ESCRITURAS\MANDATOS JUDICIALES\CLAUDIO ARDILES\SOCIEDAD CARNES LOMA LARGA COMPAÑIA LIMITADA.doc", "Abrir Documento")</f>
        <v>0</v>
      </c>
      <c r="D17500" t="s">
        <v>23500</v>
      </c>
      <c r="E17500" t="s">
        <v>39975</v>
      </c>
    </row>
    <row r="17501" spans="1:5">
      <c r="A17501" t="s">
        <v>6</v>
      </c>
      <c r="B17501" t="s">
        <v>17506</v>
      </c>
      <c r="C17501">
        <f>HYPERLINK("C:\Users\franc\OneDrive\Documentos\MALENTIN KARIME\BANCO ESTADO\2012 DEPTO ESCRITURAS fata\Dc Simples\2012 DEPTO ESCRITURAS\MANDATOS JUDICIALES\CLAUDIO ARDILES\rut ARCE.doc", "Abrir Documento")</f>
        <v>0</v>
      </c>
      <c r="D17501" t="s">
        <v>23500</v>
      </c>
      <c r="E17501" t="s">
        <v>39976</v>
      </c>
    </row>
    <row r="17502" spans="1:5">
      <c r="A17502" t="s">
        <v>6</v>
      </c>
      <c r="B17502" t="s">
        <v>17507</v>
      </c>
      <c r="C17502">
        <f>HYPERLINK("C:\Users\franc\OneDrive\Documentos\MALENTIN KARIME\BANCO ESTADO\2012 DEPTO ESCRITURAS fata\Dc Simples\2012 DEPTO ESCRITURAS\MANDATOS JUDICIALES\CLAUDIO ARDILES\PEDRO SIERRA MOYA.doc", "Abrir Documento")</f>
        <v>0</v>
      </c>
      <c r="D17502" t="s">
        <v>23500</v>
      </c>
      <c r="E17502" t="s">
        <v>39977</v>
      </c>
    </row>
    <row r="17503" spans="1:5">
      <c r="A17503" t="s">
        <v>6</v>
      </c>
      <c r="B17503" t="s">
        <v>17508</v>
      </c>
      <c r="C17503">
        <f>HYPERLINK("C:\Users\franc\OneDrive\Documentos\MALENTIN KARIME\BANCO ESTADO\2012 DEPTO ESCRITURAS fata\Dc Simples\2012 DEPTO ESCRITURAS\MANDATOS JUDICIALES\CLAUDIO ARDILES\PABLO TAPIA CASTELLANO.doc", "Abrir Documento")</f>
        <v>0</v>
      </c>
      <c r="D17503" t="s">
        <v>23500</v>
      </c>
      <c r="E17503" t="s">
        <v>39978</v>
      </c>
    </row>
    <row r="17504" spans="1:5">
      <c r="A17504" t="s">
        <v>6</v>
      </c>
      <c r="B17504" t="s">
        <v>17509</v>
      </c>
      <c r="C17504">
        <f>HYPERLINK("C:\Users\franc\OneDrive\Documentos\MALENTIN KARIME\BANCO ESTADO\2012 DEPTO ESCRITURAS fata\Dc Simples\2012 DEPTO ESCRITURAS\MANDATOS JUDICIALES\CLAUDIO ARDILES\NICOLAS BARRAZA.doc", "Abrir Documento")</f>
        <v>0</v>
      </c>
      <c r="D17504" t="s">
        <v>23500</v>
      </c>
      <c r="E17504" t="s">
        <v>39979</v>
      </c>
    </row>
    <row r="17505" spans="1:5">
      <c r="A17505" t="s">
        <v>6</v>
      </c>
      <c r="B17505" t="s">
        <v>17510</v>
      </c>
      <c r="C17505">
        <f>HYPERLINK("C:\Users\franc\OneDrive\Documentos\MALENTIN KARIME\BANCO ESTADO\2012 DEPTO ESCRITURAS fata\Dc Simples\2012 DEPTO ESCRITURAS\MANDATOS JUDICIALES\CLAUDIO ARDILES\MIGUEL VERA SAAVEDRA.doc", "Abrir Documento")</f>
        <v>0</v>
      </c>
      <c r="D17505" t="s">
        <v>23500</v>
      </c>
      <c r="E17505" t="s">
        <v>39980</v>
      </c>
    </row>
    <row r="17506" spans="1:5">
      <c r="A17506" t="s">
        <v>6</v>
      </c>
      <c r="B17506" t="s">
        <v>17511</v>
      </c>
      <c r="C17506">
        <f>HYPERLINK("C:\Users\franc\OneDrive\Documentos\MALENTIN KARIME\BANCO ESTADO\2012 DEPTO ESCRITURAS fata\Dc Simples\2012 DEPTO ESCRITURAS\MANDATOS JUDICIALES\CLAUDIO ARDILES\MIGUEL AGUIRRE ADONES.doc", "Abrir Documento")</f>
        <v>0</v>
      </c>
      <c r="D17506" t="s">
        <v>23500</v>
      </c>
      <c r="E17506" t="s">
        <v>39981</v>
      </c>
    </row>
    <row r="17507" spans="1:5">
      <c r="A17507" t="s">
        <v>6</v>
      </c>
      <c r="B17507" t="s">
        <v>17512</v>
      </c>
      <c r="C17507">
        <f>HYPERLINK("C:\Users\franc\OneDrive\Documentos\MALENTIN KARIME\BANCO ESTADO\2012 DEPTO ESCRITURAS fata\Dc Simples\2012 DEPTO ESCRITURAS\MANDATOS JUDICIALES\CLAUDIO ARDILES\MAURO GALLEGUILLOS.doc", "Abrir Documento")</f>
        <v>0</v>
      </c>
      <c r="D17507" t="s">
        <v>23500</v>
      </c>
      <c r="E17507" t="s">
        <v>39982</v>
      </c>
    </row>
    <row r="17508" spans="1:5">
      <c r="A17508" t="s">
        <v>6</v>
      </c>
      <c r="B17508" t="s">
        <v>17513</v>
      </c>
      <c r="C17508">
        <f>HYPERLINK("C:\Users\franc\OneDrive\Documentos\MALENTIN KARIME\BANCO ESTADO\2012 DEPTO ESCRITURAS fata\Dc Simples\2012 DEPTO ESCRITURAS\MANDATOS JUDICIALES\CLAUDIO ARDILES\MAURO GALLEGUILLOS 14.doc", "Abrir Documento")</f>
        <v>0</v>
      </c>
      <c r="D17508" t="s">
        <v>23500</v>
      </c>
      <c r="E17508" t="s">
        <v>39983</v>
      </c>
    </row>
    <row r="17509" spans="1:5">
      <c r="A17509" t="s">
        <v>6</v>
      </c>
      <c r="B17509" t="s">
        <v>17514</v>
      </c>
      <c r="C17509">
        <f>HYPERLINK("C:\Users\franc\OneDrive\Documentos\MALENTIN KARIME\BANCO ESTADO\2012 DEPTO ESCRITURAS fata\Dc Simples\2012 DEPTO ESCRITURAS\MANDATOS JUDICIALES\CLAUDIO ARDILES\MARIANELA RIVERA.doc", "Abrir Documento")</f>
        <v>0</v>
      </c>
      <c r="D17509" t="s">
        <v>23500</v>
      </c>
      <c r="E17509" t="s">
        <v>39984</v>
      </c>
    </row>
    <row r="17510" spans="1:5">
      <c r="A17510" t="s">
        <v>6</v>
      </c>
      <c r="B17510" t="s">
        <v>17515</v>
      </c>
      <c r="C17510">
        <f>HYPERLINK("C:\Users\franc\OneDrive\Documentos\MALENTIN KARIME\BANCO ESTADO\2012 DEPTO ESCRITURAS fata\Dc Simples\2012 DEPTO ESCRITURAS\MANDATOS JUDICIALES\CLAUDIO ARDILES\MARIA PINOCHET PALTA.doc", "Abrir Documento")</f>
        <v>0</v>
      </c>
      <c r="D17510" t="s">
        <v>23500</v>
      </c>
      <c r="E17510" t="s">
        <v>39985</v>
      </c>
    </row>
    <row r="17511" spans="1:5">
      <c r="A17511" t="s">
        <v>6</v>
      </c>
      <c r="B17511" t="s">
        <v>17516</v>
      </c>
      <c r="C17511">
        <f>HYPERLINK("C:\Users\franc\OneDrive\Documentos\MALENTIN KARIME\BANCO ESTADO\2012 DEPTO ESCRITURAS fata\Dc Simples\2012 DEPTO ESCRITURAS\MANDATOS JUDICIALES\CLAUDIO ARDILES\MARCO ANTONIO ARAYA CASTILLO.doc", "Abrir Documento")</f>
        <v>0</v>
      </c>
      <c r="D17511" t="s">
        <v>23500</v>
      </c>
      <c r="E17511" t="s">
        <v>39986</v>
      </c>
    </row>
    <row r="17512" spans="1:5">
      <c r="A17512" t="s">
        <v>6</v>
      </c>
      <c r="B17512" t="s">
        <v>17517</v>
      </c>
      <c r="C17512">
        <f>HYPERLINK("C:\Users\franc\OneDrive\Documentos\MALENTIN KARIME\BANCO ESTADO\2012 DEPTO ESCRITURAS fata\Dc Simples\2012 DEPTO ESCRITURAS\MANDATOS JUDICIALES\CLAUDIO ARDILES\LOREN PERZ GUERRA.doc", "Abrir Documento")</f>
        <v>0</v>
      </c>
      <c r="D17512" t="s">
        <v>23500</v>
      </c>
      <c r="E17512" t="s">
        <v>39987</v>
      </c>
    </row>
    <row r="17513" spans="1:5">
      <c r="A17513" t="s">
        <v>6</v>
      </c>
      <c r="B17513" t="s">
        <v>17518</v>
      </c>
      <c r="C17513">
        <f>HYPERLINK("C:\Users\franc\OneDrive\Documentos\MALENTIN KARIME\BANCO ESTADO\2012 DEPTO ESCRITURAS fata\Dc Simples\2012 DEPTO ESCRITURAS\MANDATOS JUDICIALES\CLAUDIO ARDILES\LEONARDO ALLENDE.doc", "Abrir Documento")</f>
        <v>0</v>
      </c>
      <c r="D17513" t="s">
        <v>23500</v>
      </c>
      <c r="E17513" t="s">
        <v>39988</v>
      </c>
    </row>
    <row r="17514" spans="1:5">
      <c r="A17514" t="s">
        <v>6</v>
      </c>
      <c r="B17514" t="s">
        <v>17519</v>
      </c>
      <c r="C17514">
        <f>HYPERLINK("C:\Users\franc\OneDrive\Documentos\MALENTIN KARIME\BANCO ESTADO\2012 DEPTO ESCRITURAS fata\Dc Simples\2012 DEPTO ESCRITURAS\MANDATOS JUDICIALES\CLAUDIO ARDILES\KURT CONTRERAS.doc", "Abrir Documento")</f>
        <v>0</v>
      </c>
      <c r="D17514" t="s">
        <v>23500</v>
      </c>
      <c r="E17514" t="s">
        <v>39989</v>
      </c>
    </row>
    <row r="17515" spans="1:5">
      <c r="A17515" t="s">
        <v>6</v>
      </c>
      <c r="B17515" t="s">
        <v>17520</v>
      </c>
      <c r="C17515">
        <f>HYPERLINK("C:\Users\franc\OneDrive\Documentos\MALENTIN KARIME\BANCO ESTADO\2012 DEPTO ESCRITURAS fata\Dc Simples\2012 DEPTO ESCRITURAS\MANDATOS JUDICIALES\CLAUDIO ARDILES\KURT CONTRERAS CORTES.doc", "Abrir Documento")</f>
        <v>0</v>
      </c>
      <c r="D17515" t="s">
        <v>23500</v>
      </c>
      <c r="E17515" t="s">
        <v>39990</v>
      </c>
    </row>
    <row r="17516" spans="1:5">
      <c r="A17516" t="s">
        <v>6</v>
      </c>
      <c r="B17516" t="s">
        <v>17521</v>
      </c>
      <c r="C17516">
        <f>HYPERLINK("C:\Users\franc\OneDrive\Documentos\MALENTIN KARIME\BANCO ESTADO\2012 DEPTO ESCRITURAS fata\Dc Simples\2012 DEPTO ESCRITURAS\MANDATOS JUDICIALES\CLAUDIO ARDILES\KURT CONTRERAS CORTES 3.doc", "Abrir Documento")</f>
        <v>0</v>
      </c>
      <c r="D17516" t="s">
        <v>23500</v>
      </c>
      <c r="E17516" t="s">
        <v>39991</v>
      </c>
    </row>
    <row r="17517" spans="1:5">
      <c r="A17517" t="s">
        <v>6</v>
      </c>
      <c r="B17517" t="s">
        <v>17522</v>
      </c>
      <c r="C17517">
        <f>HYPERLINK("C:\Users\franc\OneDrive\Documentos\MALENTIN KARIME\BANCO ESTADO\2012 DEPTO ESCRITURAS fata\Dc Simples\2012 DEPTO ESCRITURAS\MANDATOS JUDICIALES\CLAUDIO ARDILES\JUAN FLORES MEDALLA.doc", "Abrir Documento")</f>
        <v>0</v>
      </c>
      <c r="D17517" t="s">
        <v>23500</v>
      </c>
      <c r="E17517" t="s">
        <v>39992</v>
      </c>
    </row>
    <row r="17518" spans="1:5">
      <c r="A17518" t="s">
        <v>6</v>
      </c>
      <c r="B17518" t="s">
        <v>17523</v>
      </c>
      <c r="C17518">
        <f>HYPERLINK("C:\Users\franc\OneDrive\Documentos\MALENTIN KARIME\BANCO ESTADO\2012 DEPTO ESCRITURAS fata\Dc Simples\2012 DEPTO ESCRITURAS\MANDATOS JUDICIALES\CLAUDIO ARDILES\IVAN CARMONA MALUENDA.doc", "Abrir Documento")</f>
        <v>0</v>
      </c>
      <c r="D17518" t="s">
        <v>23500</v>
      </c>
      <c r="E17518" t="s">
        <v>39993</v>
      </c>
    </row>
    <row r="17519" spans="1:5">
      <c r="A17519" t="s">
        <v>6</v>
      </c>
      <c r="B17519" t="s">
        <v>17524</v>
      </c>
      <c r="C17519">
        <f>HYPERLINK("C:\Users\franc\OneDrive\Documentos\MALENTIN KARIME\BANCO ESTADO\2012 DEPTO ESCRITURAS fata\Dc Simples\2012 DEPTO ESCRITURAS\MANDATOS JUDICIALES\CLAUDIO ARDILES\HERNAN PEREIRA ARAYA.doc", "Abrir Documento")</f>
        <v>0</v>
      </c>
      <c r="D17519" t="s">
        <v>23500</v>
      </c>
      <c r="E17519" t="s">
        <v>39994</v>
      </c>
    </row>
    <row r="17520" spans="1:5">
      <c r="A17520" t="s">
        <v>6</v>
      </c>
      <c r="B17520" t="s">
        <v>17525</v>
      </c>
      <c r="C17520">
        <f>HYPERLINK("C:\Users\franc\OneDrive\Documentos\MALENTIN KARIME\BANCO ESTADO\2012 DEPTO ESCRITURAS fata\Dc Simples\2012 DEPTO ESCRITURAS\MANDATOS JUDICIALES\CLAUDIO ARDILES\HECTOR ROJAS CORTES.doc", "Abrir Documento")</f>
        <v>0</v>
      </c>
      <c r="D17520" t="s">
        <v>23500</v>
      </c>
      <c r="E17520" t="s">
        <v>39995</v>
      </c>
    </row>
    <row r="17521" spans="1:5">
      <c r="A17521" t="s">
        <v>6</v>
      </c>
      <c r="B17521" t="s">
        <v>17526</v>
      </c>
      <c r="C17521">
        <f>HYPERLINK("C:\Users\franc\OneDrive\Documentos\MALENTIN KARIME\BANCO ESTADO\2012 DEPTO ESCRITURAS fata\Dc Simples\2012 DEPTO ESCRITURAS\MANDATOS JUDICIALES\CLAUDIO ARDILES\GENESIS LATORRE.doc", "Abrir Documento")</f>
        <v>0</v>
      </c>
      <c r="D17521" t="s">
        <v>23500</v>
      </c>
      <c r="E17521" t="s">
        <v>39996</v>
      </c>
    </row>
    <row r="17522" spans="1:5">
      <c r="A17522" t="s">
        <v>6</v>
      </c>
      <c r="B17522" t="s">
        <v>17527</v>
      </c>
      <c r="C17522">
        <f>HYPERLINK("C:\Users\franc\OneDrive\Documentos\MALENTIN KARIME\BANCO ESTADO\2012 DEPTO ESCRITURAS fata\Dc Simples\2012 DEPTO ESCRITURAS\MANDATOS JUDICIALES\CLAUDIO ARDILES\GARY ARACENA ARAYA.doc", "Abrir Documento")</f>
        <v>0</v>
      </c>
      <c r="D17522" t="s">
        <v>23500</v>
      </c>
      <c r="E17522" t="s">
        <v>39997</v>
      </c>
    </row>
    <row r="17523" spans="1:5">
      <c r="A17523" t="s">
        <v>6</v>
      </c>
      <c r="B17523" t="s">
        <v>17528</v>
      </c>
      <c r="C17523">
        <f>HYPERLINK("C:\Users\franc\OneDrive\Documentos\MALENTIN KARIME\BANCO ESTADO\2012 DEPTO ESCRITURAS fata\Dc Simples\2012 DEPTO ESCRITURAS\MANDATOS JUDICIALES\CLAUDIO ARDILES\GABRIEL ARDILES TAPIA.doc", "Abrir Documento")</f>
        <v>0</v>
      </c>
      <c r="D17523" t="s">
        <v>23500</v>
      </c>
      <c r="E17523" t="s">
        <v>39998</v>
      </c>
    </row>
    <row r="17524" spans="1:5">
      <c r="A17524" t="s">
        <v>6</v>
      </c>
      <c r="B17524" t="s">
        <v>17529</v>
      </c>
      <c r="C17524">
        <f>HYPERLINK("C:\Users\franc\OneDrive\Documentos\MALENTIN KARIME\BANCO ESTADO\2012 DEPTO ESCRITURAS fata\Dc Simples\2012 DEPTO ESCRITURAS\MANDATOS JUDICIALES\CLAUDIO ARDILES\FAIRY TELLO COLLAO.doc", "Abrir Documento")</f>
        <v>0</v>
      </c>
      <c r="D17524" t="s">
        <v>23500</v>
      </c>
      <c r="E17524" t="s">
        <v>39999</v>
      </c>
    </row>
    <row r="17525" spans="1:5">
      <c r="A17525" t="s">
        <v>6</v>
      </c>
      <c r="B17525" t="s">
        <v>17530</v>
      </c>
      <c r="C17525">
        <f>HYPERLINK("C:\Users\franc\OneDrive\Documentos\MALENTIN KARIME\BANCO ESTADO\2012 DEPTO ESCRITURAS fata\Dc Simples\2012 DEPTO ESCRITURAS\MANDATOS JUDICIALES\CLAUDIO ARDILES\FABIOLA TAPIA RAMIREZ.doc", "Abrir Documento")</f>
        <v>0</v>
      </c>
      <c r="D17525" t="s">
        <v>23500</v>
      </c>
      <c r="E17525" t="s">
        <v>40000</v>
      </c>
    </row>
    <row r="17526" spans="1:5">
      <c r="A17526" t="s">
        <v>6</v>
      </c>
      <c r="B17526" t="s">
        <v>17531</v>
      </c>
      <c r="C17526">
        <f>HYPERLINK("C:\Users\franc\OneDrive\Documentos\MALENTIN KARIME\BANCO ESTADO\2012 DEPTO ESCRITURAS fata\Dc Simples\2012 DEPTO ESCRITURAS\MANDATOS JUDICIALES\CLAUDIO ARDILES\ERIC CONTRERAS FLORES.doc", "Abrir Documento")</f>
        <v>0</v>
      </c>
      <c r="D17526" t="s">
        <v>23500</v>
      </c>
      <c r="E17526" t="s">
        <v>40001</v>
      </c>
    </row>
    <row r="17527" spans="1:5">
      <c r="A17527" t="s">
        <v>6</v>
      </c>
      <c r="B17527" t="s">
        <v>17532</v>
      </c>
      <c r="C17527">
        <f>HYPERLINK("C:\Users\franc\OneDrive\Documentos\MALENTIN KARIME\BANCO ESTADO\2012 DEPTO ESCRITURAS fata\Dc Simples\2012 DEPTO ESCRITURAS\MANDATOS JUDICIALES\CLAUDIO ARDILES\ERIC ALVAREZ HUERTA.doc", "Abrir Documento")</f>
        <v>0</v>
      </c>
      <c r="D17527" t="s">
        <v>23500</v>
      </c>
      <c r="E17527" t="s">
        <v>40002</v>
      </c>
    </row>
    <row r="17528" spans="1:5">
      <c r="A17528" t="s">
        <v>6</v>
      </c>
      <c r="B17528" t="s">
        <v>17533</v>
      </c>
      <c r="C17528">
        <f>HYPERLINK("C:\Users\franc\OneDrive\Documentos\MALENTIN KARIME\BANCO ESTADO\2012 DEPTO ESCRITURAS fata\Dc Simples\2012 DEPTO ESCRITURAS\MANDATOS JUDICIALES\CLAUDIO ARDILES\ELSA GALLEGUILLOS.doc", "Abrir Documento")</f>
        <v>0</v>
      </c>
      <c r="D17528" t="s">
        <v>23500</v>
      </c>
      <c r="E17528" t="s">
        <v>40003</v>
      </c>
    </row>
    <row r="17529" spans="1:5">
      <c r="A17529" t="s">
        <v>6</v>
      </c>
      <c r="B17529" t="s">
        <v>17534</v>
      </c>
      <c r="C17529">
        <f>HYPERLINK("C:\Users\franc\OneDrive\Documentos\MALENTIN KARIME\BANCO ESTADO\2012 DEPTO ESCRITURAS fata\Dc Simples\2012 DEPTO ESCRITURAS\MANDATOS JUDICIALES\CLAUDIO ARDILES\DIOMEDES ROJAS ARAYA.doc", "Abrir Documento")</f>
        <v>0</v>
      </c>
      <c r="D17529" t="s">
        <v>23500</v>
      </c>
      <c r="E17529" t="s">
        <v>40004</v>
      </c>
    </row>
    <row r="17530" spans="1:5">
      <c r="A17530" t="s">
        <v>6</v>
      </c>
      <c r="B17530" t="s">
        <v>17535</v>
      </c>
      <c r="C17530">
        <f>HYPERLINK("C:\Users\franc\OneDrive\Documentos\MALENTIN KARIME\BANCO ESTADO\2012 DEPTO ESCRITURAS fata\Dc Simples\2012 DEPTO ESCRITURAS\MANDATOS JUDICIALES\CLAUDIO ARDILES\DINA CASTRO CORTES.doc", "Abrir Documento")</f>
        <v>0</v>
      </c>
      <c r="D17530" t="s">
        <v>23500</v>
      </c>
      <c r="E17530" t="s">
        <v>40005</v>
      </c>
    </row>
    <row r="17531" spans="1:5">
      <c r="A17531" t="s">
        <v>6</v>
      </c>
      <c r="B17531" t="s">
        <v>17536</v>
      </c>
      <c r="C17531">
        <f>HYPERLINK("C:\Users\franc\OneDrive\Documentos\MALENTIN KARIME\BANCO ESTADO\2012 DEPTO ESCRITURAS fata\Dc Simples\2012 DEPTO ESCRITURAS\MANDATOS JUDICIALES\CLAUDIO ARDILES\DELIA TELLO CORTES.doc", "Abrir Documento")</f>
        <v>0</v>
      </c>
      <c r="D17531" t="s">
        <v>23500</v>
      </c>
      <c r="E17531" t="s">
        <v>40006</v>
      </c>
    </row>
    <row r="17532" spans="1:5">
      <c r="A17532" t="s">
        <v>6</v>
      </c>
      <c r="B17532" t="s">
        <v>17537</v>
      </c>
      <c r="C17532">
        <f>HYPERLINK("C:\Users\franc\OneDrive\Documentos\MALENTIN KARIME\BANCO ESTADO\2012 DEPTO ESCRITURAS fata\Dc Simples\2012 DEPTO ESCRITURAS\MANDATOS JUDICIALES\CLAUDIO ARDILES\DANIELA HUERTA.doc", "Abrir Documento")</f>
        <v>0</v>
      </c>
      <c r="D17532" t="s">
        <v>23500</v>
      </c>
      <c r="E17532" t="s">
        <v>40007</v>
      </c>
    </row>
    <row r="17533" spans="1:5">
      <c r="A17533" t="s">
        <v>6</v>
      </c>
      <c r="B17533" t="s">
        <v>17538</v>
      </c>
      <c r="C17533">
        <f>HYPERLINK("C:\Users\franc\OneDrive\Documentos\MALENTIN KARIME\BANCO ESTADO\2012 DEPTO ESCRITURAS fata\Dc Simples\2012 DEPTO ESCRITURAS\MANDATOS JUDICIALES\CLAUDIO ARDILES\CIPRIANO SALAZAR FERNANDEZ.doc", "Abrir Documento")</f>
        <v>0</v>
      </c>
      <c r="D17533" t="s">
        <v>23500</v>
      </c>
      <c r="E17533" t="s">
        <v>40008</v>
      </c>
    </row>
    <row r="17534" spans="1:5">
      <c r="A17534" t="s">
        <v>6</v>
      </c>
      <c r="B17534" t="s">
        <v>17539</v>
      </c>
      <c r="C17534">
        <f>HYPERLINK("C:\Users\franc\OneDrive\Documentos\MALENTIN KARIME\BANCO ESTADO\2012 DEPTO ESCRITURAS fata\Dc Simples\2012 DEPTO ESCRITURAS\MANDATOS JUDICIALES\CLAUDIO ARDILES\CESAR DIAZ CORTES.doc", "Abrir Documento")</f>
        <v>0</v>
      </c>
      <c r="D17534" t="s">
        <v>23500</v>
      </c>
      <c r="E17534" t="s">
        <v>40009</v>
      </c>
    </row>
    <row r="17535" spans="1:5">
      <c r="A17535" t="s">
        <v>6</v>
      </c>
      <c r="B17535" t="s">
        <v>17540</v>
      </c>
      <c r="C17535">
        <f>HYPERLINK("C:\Users\franc\OneDrive\Documentos\MALENTIN KARIME\BANCO ESTADO\2012 DEPTO ESCRITURAS fata\Dc Simples\2012 DEPTO ESCRITURAS\MANDATOS JUDICIALES\CLAUDIO ARDILES\CAROLINA DIAZ BOLADOS.doc", "Abrir Documento")</f>
        <v>0</v>
      </c>
      <c r="D17535" t="s">
        <v>23500</v>
      </c>
      <c r="E17535" t="s">
        <v>40010</v>
      </c>
    </row>
    <row r="17536" spans="1:5">
      <c r="A17536" t="s">
        <v>6</v>
      </c>
      <c r="B17536" t="s">
        <v>17541</v>
      </c>
      <c r="C17536">
        <f>HYPERLINK("C:\Users\franc\OneDrive\Documentos\MALENTIN KARIME\BANCO ESTADO\2012 DEPTO ESCRITURAS fata\Dc Simples\2012 DEPTO ESCRITURAS\MANDATOS JUDICIALES\CLAUDIO ARDILES\CARMEN GUERRERO GUERRERO.doc", "Abrir Documento")</f>
        <v>0</v>
      </c>
      <c r="D17536" t="s">
        <v>23500</v>
      </c>
      <c r="E17536" t="s">
        <v>40011</v>
      </c>
    </row>
    <row r="17537" spans="1:5">
      <c r="A17537" t="s">
        <v>6</v>
      </c>
      <c r="B17537" t="s">
        <v>17542</v>
      </c>
      <c r="C17537">
        <f>HYPERLINK("C:\Users\franc\OneDrive\Documentos\MALENTIN KARIME\BANCO ESTADO\2012 DEPTO ESCRITURAS fata\Dc Simples\2012 DEPTO ESCRITURAS\MANDATOS JUDICIALES\CLAUDIO ARDILES\CARLOS ROJAS SALINAS.doc", "Abrir Documento")</f>
        <v>0</v>
      </c>
      <c r="D17537" t="s">
        <v>23500</v>
      </c>
      <c r="E17537" t="s">
        <v>40012</v>
      </c>
    </row>
    <row r="17538" spans="1:5">
      <c r="A17538" t="s">
        <v>6</v>
      </c>
      <c r="B17538" t="s">
        <v>17543</v>
      </c>
      <c r="C17538">
        <f>HYPERLINK("C:\Users\franc\OneDrive\Documentos\MALENTIN KARIME\BANCO ESTADO\2012 DEPTO ESCRITURAS fata\Dc Simples\2012 DEPTO ESCRITURAS\MANDATOS JUDICIALES\CLAUDIO ARDILES\CARLOS GAMBOA PASTEN.doc", "Abrir Documento")</f>
        <v>0</v>
      </c>
      <c r="D17538" t="s">
        <v>23500</v>
      </c>
      <c r="E17538" t="s">
        <v>40013</v>
      </c>
    </row>
    <row r="17539" spans="1:5">
      <c r="A17539" t="s">
        <v>6</v>
      </c>
      <c r="B17539" t="s">
        <v>17544</v>
      </c>
      <c r="C17539">
        <f>HYPERLINK("C:\Users\franc\OneDrive\Documentos\MALENTIN KARIME\BANCO ESTADO\2012 DEPTO ESCRITURAS fata\Dc Simples\2012 DEPTO ESCRITURAS\MANDATOS JUDICIALES\CLAUDIO ARDILES\BRANDON MARIN ZEPEDA.doc", "Abrir Documento")</f>
        <v>0</v>
      </c>
      <c r="D17539" t="s">
        <v>23500</v>
      </c>
      <c r="E17539" t="s">
        <v>40014</v>
      </c>
    </row>
    <row r="17540" spans="1:5">
      <c r="A17540" t="s">
        <v>6</v>
      </c>
      <c r="B17540" t="s">
        <v>17545</v>
      </c>
      <c r="C17540">
        <f>HYPERLINK("C:\Users\franc\OneDrive\Documentos\MALENTIN KARIME\BANCO ESTADO\2012 DEPTO ESCRITURAS fata\Dc Simples\2012 DEPTO ESCRITURAS\MANDATOS JUDICIALES\CLAUDIO ARDILES\ARTURO LARA CASANGA.doc", "Abrir Documento")</f>
        <v>0</v>
      </c>
      <c r="D17540" t="s">
        <v>23500</v>
      </c>
      <c r="E17540" t="s">
        <v>40015</v>
      </c>
    </row>
    <row r="17541" spans="1:5">
      <c r="A17541" t="s">
        <v>6</v>
      </c>
      <c r="B17541" t="s">
        <v>17546</v>
      </c>
      <c r="C17541">
        <f>HYPERLINK("C:\Users\franc\OneDrive\Documentos\MALENTIN KARIME\BANCO ESTADO\2012 DEPTO ESCRITURAS fata\Dc Simples\2012 DEPTO ESCRITURAS\MANDATOS JUDICIALES\CLAUDIO ARDILES\ANGEL TAPIA MARTURANA.doc", "Abrir Documento")</f>
        <v>0</v>
      </c>
      <c r="D17541" t="s">
        <v>23500</v>
      </c>
      <c r="E17541" t="s">
        <v>40016</v>
      </c>
    </row>
    <row r="17542" spans="1:5">
      <c r="A17542" t="s">
        <v>6</v>
      </c>
      <c r="B17542" t="s">
        <v>17547</v>
      </c>
      <c r="C17542">
        <f>HYPERLINK("C:\Users\franc\OneDrive\Documentos\MALENTIN KARIME\BANCO ESTADO\2012 DEPTO ESCRITURAS fata\Dc Simples\2012 DEPTO ESCRITURAS\MANDATOS JUDICIALES\CLAUDIO ARDILES\AMANDA ROJAS.doc", "Abrir Documento")</f>
        <v>0</v>
      </c>
      <c r="D17542" t="s">
        <v>23500</v>
      </c>
      <c r="E17542" t="s">
        <v>40017</v>
      </c>
    </row>
    <row r="17543" spans="1:5">
      <c r="A17543" t="s">
        <v>6</v>
      </c>
      <c r="B17543" t="s">
        <v>17548</v>
      </c>
      <c r="C17543">
        <f>HYPERLINK("C:\Users\franc\OneDrive\Documentos\MALENTIN KARIME\BANCO ESTADO\2012 DEPTO ESCRITURAS fata\Dc Simples\2012 DEPTO ESCRITURAS\MANDATOS JUDICIALES\CLAUDIO ARDILES\ALEJANDRO CAMPOS ALVAREZ.doc", "Abrir Documento")</f>
        <v>0</v>
      </c>
      <c r="D17543" t="s">
        <v>23500</v>
      </c>
      <c r="E17543" t="s">
        <v>40018</v>
      </c>
    </row>
    <row r="17544" spans="1:5">
      <c r="A17544" t="s">
        <v>6</v>
      </c>
      <c r="B17544" t="s">
        <v>17549</v>
      </c>
      <c r="C17544">
        <f>HYPERLINK("C:\Users\franc\OneDrive\Documentos\MALENTIN KARIME\BANCO ESTADO\2012 DEPTO ESCRITURAS fata\Dc Simples\2012 DEPTO ESCRITURAS\MANDATOS JUDICIALES\CLAUDIO ARDILES\ALEJANDRINA ANDRADE.doc", "Abrir Documento")</f>
        <v>0</v>
      </c>
      <c r="D17544" t="s">
        <v>23500</v>
      </c>
      <c r="E17544" t="s">
        <v>40019</v>
      </c>
    </row>
    <row r="17545" spans="1:5">
      <c r="A17545" t="s">
        <v>6</v>
      </c>
      <c r="B17545" t="s">
        <v>17550</v>
      </c>
      <c r="C17545">
        <f>HYPERLINK("C:\Users\franc\OneDrive\Documentos\MALENTIN KARIME\BANCO ESTADO\2012 DEPTO ESCRITURAS fata\Dc Simples\2012 DEPTO ESCRITURAS\MANDATOS JUDICIALES\CLAUDIO ARDILES\ALDO ALFARO AHUMADA.doc", "Abrir Documento")</f>
        <v>0</v>
      </c>
      <c r="D17545" t="s">
        <v>23500</v>
      </c>
      <c r="E17545" t="s">
        <v>40020</v>
      </c>
    </row>
    <row r="17546" spans="1:5">
      <c r="A17546" t="s">
        <v>6</v>
      </c>
      <c r="B17546" t="s">
        <v>17551</v>
      </c>
      <c r="C17546">
        <f>HYPERLINK("C:\Users\franc\OneDrive\Documentos\MALENTIN KARIME\BANCO ESTADO\2012 DEPTO ESCRITURAS fata\Dc Simples\2012 DEPTO ESCRITURAS\MANDATOS JUDICIALES\CLAUDIO ARAYA\SOC AGRIC SANTA ANA.doc", "Abrir Documento")</f>
        <v>0</v>
      </c>
      <c r="D17546" t="s">
        <v>23500</v>
      </c>
      <c r="E17546" t="s">
        <v>40021</v>
      </c>
    </row>
    <row r="17547" spans="1:5">
      <c r="A17547" t="s">
        <v>6</v>
      </c>
      <c r="B17547" t="s">
        <v>17552</v>
      </c>
      <c r="C17547">
        <f>HYPERLINK("C:\Users\franc\OneDrive\Documentos\MALENTIN KARIME\BANCO ESTADO\2012 DEPTO ESCRITURAS fata\Dc Simples\2012 DEPTO ESCRITURAS\MANDATOS JUDICIALES\CLAUDIO ARAYA\PABLO MUÑOZ.doc", "Abrir Documento")</f>
        <v>0</v>
      </c>
      <c r="D17547" t="s">
        <v>23500</v>
      </c>
      <c r="E17547" t="s">
        <v>40022</v>
      </c>
    </row>
    <row r="17548" spans="1:5">
      <c r="A17548" t="s">
        <v>6</v>
      </c>
      <c r="B17548" t="s">
        <v>17553</v>
      </c>
      <c r="C17548">
        <f>HYPERLINK("C:\Users\franc\OneDrive\Documentos\MALENTIN KARIME\BANCO ESTADO\2012 DEPTO ESCRITURAS fata\Dc Simples\2012 DEPTO ESCRITURAS\MANDATOS JUDICIALES\CLAUDIO ARAYA\OSVALDO MEDINA HARRIS.doc", "Abrir Documento")</f>
        <v>0</v>
      </c>
      <c r="D17548" t="s">
        <v>23500</v>
      </c>
      <c r="E17548" t="s">
        <v>40023</v>
      </c>
    </row>
    <row r="17549" spans="1:5">
      <c r="A17549" t="s">
        <v>6</v>
      </c>
      <c r="B17549" t="s">
        <v>17554</v>
      </c>
      <c r="C17549">
        <f>HYPERLINK("C:\Users\franc\OneDrive\Documentos\MALENTIN KARIME\BANCO ESTADO\2012 DEPTO ESCRITURAS fata\Dc Simples\2012 DEPTO ESCRITURAS\MANDATOS JUDICIALES\CLAUDIO ARAYA\NIVALDO ALFARO BARRAZA.doc", "Abrir Documento")</f>
        <v>0</v>
      </c>
      <c r="D17549" t="s">
        <v>23500</v>
      </c>
      <c r="E17549" t="s">
        <v>40024</v>
      </c>
    </row>
    <row r="17550" spans="1:5">
      <c r="A17550" t="s">
        <v>6</v>
      </c>
      <c r="B17550" t="s">
        <v>17555</v>
      </c>
      <c r="C17550">
        <f>HYPERLINK("C:\Users\franc\OneDrive\Documentos\MALENTIN KARIME\BANCO ESTADO\2012 DEPTO ESCRITURAS fata\Dc Simples\2012 DEPTO ESCRITURAS\MANDATOS JUDICIALES\CLAUDIO ARAYA\MERCEDES PIZARRO PIZARRO.doc", "Abrir Documento")</f>
        <v>0</v>
      </c>
      <c r="D17550" t="s">
        <v>23500</v>
      </c>
      <c r="E17550" t="s">
        <v>40025</v>
      </c>
    </row>
    <row r="17551" spans="1:5">
      <c r="A17551" t="s">
        <v>6</v>
      </c>
      <c r="B17551" t="s">
        <v>17556</v>
      </c>
      <c r="C17551">
        <f>HYPERLINK("C:\Users\franc\OneDrive\Documentos\MALENTIN KARIME\BANCO ESTADO\2012 DEPTO ESCRITURAS fata\Dc Simples\2012 DEPTO ESCRITURAS\MANDATOS JUDICIALES\CLAUDIO ARAYA\MARIA PINOCHET.doc", "Abrir Documento")</f>
        <v>0</v>
      </c>
      <c r="D17551" t="s">
        <v>23500</v>
      </c>
      <c r="E17551" t="s">
        <v>40026</v>
      </c>
    </row>
    <row r="17552" spans="1:5">
      <c r="A17552" t="s">
        <v>6</v>
      </c>
      <c r="B17552" t="s">
        <v>17557</v>
      </c>
      <c r="C17552">
        <f>HYPERLINK("C:\Users\franc\OneDrive\Documentos\MALENTIN KARIME\BANCO ESTADO\2012 DEPTO ESCRITURAS fata\Dc Simples\2012 DEPTO ESCRITURAS\MANDATOS JUDICIALES\CLAUDIO ARAYA\MARIA PINOCHET Enero 14.doc", "Abrir Documento")</f>
        <v>0</v>
      </c>
      <c r="D17552" t="s">
        <v>23500</v>
      </c>
      <c r="E17552" t="s">
        <v>40027</v>
      </c>
    </row>
    <row r="17553" spans="1:5">
      <c r="A17553" t="s">
        <v>6</v>
      </c>
      <c r="B17553" t="s">
        <v>17558</v>
      </c>
      <c r="C17553">
        <f>HYPERLINK("C:\Users\franc\OneDrive\Documentos\MALENTIN KARIME\BANCO ESTADO\2012 DEPTO ESCRITURAS fata\Dc Simples\2012 DEPTO ESCRITURAS\MANDATOS JUDICIALES\CLAUDIO ARAYA\MARCIA VEGA VALDIVIA.doc", "Abrir Documento")</f>
        <v>0</v>
      </c>
      <c r="D17553" t="s">
        <v>23500</v>
      </c>
      <c r="E17553" t="s">
        <v>40028</v>
      </c>
    </row>
    <row r="17554" spans="1:5">
      <c r="A17554" t="s">
        <v>6</v>
      </c>
      <c r="B17554" t="s">
        <v>17559</v>
      </c>
      <c r="C17554">
        <f>HYPERLINK("C:\Users\franc\OneDrive\Documentos\MALENTIN KARIME\BANCO ESTADO\2012 DEPTO ESCRITURAS fata\Dc Simples\2012 DEPTO ESCRITURAS\MANDATOS JUDICIALES\CLAUDIO ARAYA\MANUEL RENE ARAYA.doc", "Abrir Documento")</f>
        <v>0</v>
      </c>
      <c r="D17554" t="s">
        <v>23500</v>
      </c>
      <c r="E17554" t="s">
        <v>40029</v>
      </c>
    </row>
    <row r="17555" spans="1:5">
      <c r="A17555" t="s">
        <v>6</v>
      </c>
      <c r="B17555" t="s">
        <v>17560</v>
      </c>
      <c r="C17555">
        <f>HYPERLINK("C:\Users\franc\OneDrive\Documentos\MALENTIN KARIME\BANCO ESTADO\2012 DEPTO ESCRITURAS fata\Dc Simples\2012 DEPTO ESCRITURAS\MANDATOS JUDICIALES\CLAUDIO ARAYA\LUIS VELIZ RIVERA.doc", "Abrir Documento")</f>
        <v>0</v>
      </c>
      <c r="D17555" t="s">
        <v>23500</v>
      </c>
      <c r="E17555" t="s">
        <v>40030</v>
      </c>
    </row>
    <row r="17556" spans="1:5">
      <c r="A17556" t="s">
        <v>6</v>
      </c>
      <c r="B17556" t="s">
        <v>17561</v>
      </c>
      <c r="C17556">
        <f>HYPERLINK("C:\Users\franc\OneDrive\Documentos\MALENTIN KARIME\BANCO ESTADO\2012 DEPTO ESCRITURAS fata\Dc Simples\2012 DEPTO ESCRITURAS\MANDATOS JUDICIALES\CLAUDIO ARAYA\HERNAN ARACENA DUBO Y OTROS.doc", "Abrir Documento")</f>
        <v>0</v>
      </c>
      <c r="D17556" t="s">
        <v>23500</v>
      </c>
      <c r="E17556" t="s">
        <v>40031</v>
      </c>
    </row>
    <row r="17557" spans="1:5">
      <c r="A17557" t="s">
        <v>6</v>
      </c>
      <c r="B17557" t="s">
        <v>17562</v>
      </c>
      <c r="C17557">
        <f>HYPERLINK("C:\Users\franc\OneDrive\Documentos\MALENTIN KARIME\BANCO ESTADO\2012 DEPTO ESCRITURAS fata\Dc Simples\2012 DEPTO ESCRITURAS\MANDATOS JUDICIALES\CLAUDIO ARAYA\EDUARDO DIAZ ROBLES.doc", "Abrir Documento")</f>
        <v>0</v>
      </c>
      <c r="D17557" t="s">
        <v>23500</v>
      </c>
      <c r="E17557" t="s">
        <v>40032</v>
      </c>
    </row>
    <row r="17558" spans="1:5">
      <c r="A17558" t="s">
        <v>6</v>
      </c>
      <c r="B17558" t="s">
        <v>17563</v>
      </c>
      <c r="C17558">
        <f>HYPERLINK("C:\Users\franc\OneDrive\Documentos\MALENTIN KARIME\BANCO ESTADO\2012 DEPTO ESCRITURAS fata\Dc Simples\2012 DEPTO ESCRITURAS\MANDATOS JUDICIALES\CLAUDIO ARAYA\CORALI OLIVARES.doc", "Abrir Documento")</f>
        <v>0</v>
      </c>
      <c r="D17558" t="s">
        <v>23500</v>
      </c>
      <c r="E17558" t="s">
        <v>40033</v>
      </c>
    </row>
    <row r="17559" spans="1:5">
      <c r="A17559" t="s">
        <v>6</v>
      </c>
      <c r="B17559" t="s">
        <v>17564</v>
      </c>
      <c r="C17559">
        <f>HYPERLINK("C:\Users\franc\OneDrive\Documentos\MALENTIN KARIME\BANCO ESTADO\2012 DEPTO ESCRITURAS fata\Dc Simples\2012 DEPTO ESCRITURAS\MANDATOS JUDICIALES\CLAUDIO ARAYA\CLEMENTE FUENTEALBA.doc", "Abrir Documento")</f>
        <v>0</v>
      </c>
      <c r="D17559" t="s">
        <v>23500</v>
      </c>
      <c r="E17559" t="s">
        <v>40034</v>
      </c>
    </row>
    <row r="17560" spans="1:5">
      <c r="A17560" t="s">
        <v>6</v>
      </c>
      <c r="B17560" t="s">
        <v>17565</v>
      </c>
      <c r="C17560">
        <f>HYPERLINK("C:\Users\franc\OneDrive\Documentos\MALENTIN KARIME\BANCO ESTADO\2012 DEPTO ESCRITURAS fata\Dc Simples\2012 DEPTO ESCRITURAS\MANDATOS JUDICIALES\CLAUDIO ARAYA\CAROLINA CARVAJAL.doc", "Abrir Documento")</f>
        <v>0</v>
      </c>
      <c r="D17560" t="s">
        <v>23500</v>
      </c>
      <c r="E17560" t="s">
        <v>40035</v>
      </c>
    </row>
    <row r="17561" spans="1:5">
      <c r="A17561" t="s">
        <v>6</v>
      </c>
      <c r="B17561" t="s">
        <v>17566</v>
      </c>
      <c r="C17561">
        <f>HYPERLINK("C:\Users\franc\OneDrive\Documentos\MALENTIN KARIME\BANCO ESTADO\2012 DEPTO ESCRITURAS fata\Dc Simples\2012 DEPTO ESCRITURAS\MANDATOS JUDICIALES\CLAUDIO ARAYA\BERNARDO ORREGO FLORES.doc", "Abrir Documento")</f>
        <v>0</v>
      </c>
      <c r="D17561" t="s">
        <v>23500</v>
      </c>
      <c r="E17561" t="s">
        <v>40036</v>
      </c>
    </row>
    <row r="17562" spans="1:5">
      <c r="A17562" t="s">
        <v>6</v>
      </c>
      <c r="B17562" t="s">
        <v>17567</v>
      </c>
      <c r="C17562">
        <f>HYPERLINK("C:\Users\franc\OneDrive\Documentos\MALENTIN KARIME\BANCO ESTADO\2012 DEPTO ESCRITURAS fata\Dc Simples\2012 DEPTO ESCRITURAS\MANDATOS JUDICIALES\CLAUDIO ARAYA\AGAPITO CASTILLO PIZARRO.doc", "Abrir Documento")</f>
        <v>0</v>
      </c>
      <c r="D17562" t="s">
        <v>23500</v>
      </c>
      <c r="E17562" t="s">
        <v>40037</v>
      </c>
    </row>
    <row r="17563" spans="1:5">
      <c r="A17563" t="s">
        <v>6</v>
      </c>
      <c r="B17563" t="s">
        <v>17568</v>
      </c>
      <c r="C17563">
        <f>HYPERLINK("C:\Users\franc\OneDrive\Documentos\MALENTIN KARIME\BANCO ESTADO\2012 DEPTO ESCRITURAS fata\Dc Simples\2012 DEPTO ESCRITURAS\MANDATOS JUDICIALES\CLAUDIO ARAYA\ABEL VALDES ARAYA.doc", "Abrir Documento")</f>
        <v>0</v>
      </c>
      <c r="D17563" t="s">
        <v>23500</v>
      </c>
      <c r="E17563" t="s">
        <v>40038</v>
      </c>
    </row>
    <row r="17564" spans="1:5">
      <c r="A17564" t="s">
        <v>6</v>
      </c>
      <c r="B17564" t="s">
        <v>17569</v>
      </c>
      <c r="C17564">
        <f>HYPERLINK("C:\Users\franc\OneDrive\Documentos\MALENTIN KARIME\BANCO ESTADO\2012 DEPTO ESCRITURAS fata\Dc Simples\2012 DEPTO ESCRITURAS\MANDATOS JUDICIALES\CHRISTIAN ROJAS CALDERON\NORTEANDINO.doc", "Abrir Documento")</f>
        <v>0</v>
      </c>
      <c r="D17564" t="s">
        <v>23500</v>
      </c>
      <c r="E17564" t="s">
        <v>40039</v>
      </c>
    </row>
    <row r="17565" spans="1:5">
      <c r="A17565" t="s">
        <v>6</v>
      </c>
      <c r="B17565" t="s">
        <v>17570</v>
      </c>
      <c r="C17565">
        <f>HYPERLINK("C:\Users\franc\OneDrive\Documentos\MALENTIN KARIME\BANCO ESTADO\2012 DEPTO ESCRITURAS fata\Dc Simples\2012 DEPTO ESCRITURAS\MANDATOS JUDICIALES\CAROLINA MORALES VILLALON\SARA HERRERA OLEA.doc", "Abrir Documento")</f>
        <v>0</v>
      </c>
      <c r="D17565" t="s">
        <v>23500</v>
      </c>
      <c r="E17565" t="s">
        <v>40040</v>
      </c>
    </row>
    <row r="17566" spans="1:5">
      <c r="A17566" t="s">
        <v>6</v>
      </c>
      <c r="B17566" t="s">
        <v>17571</v>
      </c>
      <c r="C17566">
        <f>HYPERLINK("C:\Users\franc\OneDrive\Documentos\MALENTIN KARIME\BANCO ESTADO\2012 DEPTO ESCRITURAS fata\Dc Simples\2012 DEPTO ESCRITURAS\MANDATOS JUDICIALES\CAROL VERA HORMAZAVAL\CRISTIAN PARRA ISAMIT.doc", "Abrir Documento")</f>
        <v>0</v>
      </c>
      <c r="D17566" t="s">
        <v>23500</v>
      </c>
      <c r="E17566" t="s">
        <v>40041</v>
      </c>
    </row>
    <row r="17567" spans="1:5">
      <c r="A17567" t="s">
        <v>6</v>
      </c>
      <c r="B17567" t="s">
        <v>17572</v>
      </c>
      <c r="C17567">
        <f>HYPERLINK("C:\Users\franc\OneDrive\Documentos\MALENTIN KARIME\BANCO ESTADO\2012 DEPTO ESCRITURAS fata\Dc Simples\2012 DEPTO ESCRITURAS\MANDATOS JUDICIALES\CARLOS TAGLE TASSO\JUAN GARCIA COLLAO.doc", "Abrir Documento")</f>
        <v>0</v>
      </c>
      <c r="D17567" t="s">
        <v>23500</v>
      </c>
      <c r="E17567" t="s">
        <v>40042</v>
      </c>
    </row>
    <row r="17568" spans="1:5">
      <c r="A17568" t="s">
        <v>6</v>
      </c>
      <c r="B17568" t="s">
        <v>17573</v>
      </c>
      <c r="C17568">
        <f>HYPERLINK("C:\Users\franc\OneDrive\Documentos\MALENTIN KARIME\BANCO ESTADO\2012 DEPTO ESCRITURAS fata\Dc Simples\2012 DEPTO ESCRITURAS\MANDATOS JUDICIALES\CARLOS TABILO CONTRERAS\CLUB DE RODEO OVALLE.doc", "Abrir Documento")</f>
        <v>0</v>
      </c>
      <c r="D17568" t="s">
        <v>23500</v>
      </c>
      <c r="E17568" t="s">
        <v>40043</v>
      </c>
    </row>
    <row r="17569" spans="1:5">
      <c r="A17569" t="s">
        <v>6</v>
      </c>
      <c r="B17569" t="s">
        <v>17574</v>
      </c>
      <c r="C17569">
        <f>HYPERLINK("C:\Users\franc\OneDrive\Documentos\MALENTIN KARIME\BANCO ESTADO\2012 DEPTO ESCRITURAS fata\Dc Simples\2012 DEPTO ESCRITURAS\MANDATOS JUDICIALES\CARLOS SAEZ\FERNANDO ARDILES.doc", "Abrir Documento")</f>
        <v>0</v>
      </c>
      <c r="D17569" t="s">
        <v>23500</v>
      </c>
      <c r="E17569" t="s">
        <v>40044</v>
      </c>
    </row>
    <row r="17570" spans="1:5">
      <c r="A17570" t="s">
        <v>6</v>
      </c>
      <c r="B17570" t="s">
        <v>17575</v>
      </c>
      <c r="C17570">
        <f>HYPERLINK("C:\Users\franc\OneDrive\Documentos\MALENTIN KARIME\BANCO ESTADO\2012 DEPTO ESCRITURAS fata\Dc Simples\2012 DEPTO ESCRITURAS\MANDATOS JUDICIALES\ANDRES AGUILERA YCAROLINA\ADOLFO CORTES JILES.doc", "Abrir Documento")</f>
        <v>0</v>
      </c>
      <c r="D17570" t="s">
        <v>23500</v>
      </c>
      <c r="E17570" t="s">
        <v>40045</v>
      </c>
    </row>
    <row r="17571" spans="1:5">
      <c r="A17571" t="s">
        <v>6</v>
      </c>
      <c r="B17571" t="s">
        <v>17576</v>
      </c>
      <c r="C17571">
        <f>HYPERLINK("C:\Users\franc\OneDrive\Documentos\MALENTIN KARIME\BANCO ESTADO\2012 DEPTO ESCRITURAS fata\Dc Simples\2012 DEPTO ESCRITURAS\MANDATOS JUDICIALES\ANDRES AGUILERA YCAROLINA\ABRAHAM MUNDACA.doc", "Abrir Documento")</f>
        <v>0</v>
      </c>
      <c r="D17571" t="s">
        <v>23500</v>
      </c>
      <c r="E17571" t="s">
        <v>40046</v>
      </c>
    </row>
    <row r="17572" spans="1:5">
      <c r="A17572" t="s">
        <v>6</v>
      </c>
      <c r="B17572" t="s">
        <v>17577</v>
      </c>
      <c r="C17572">
        <f>HYPERLINK("C:\Users\franc\OneDrive\Documentos\MALENTIN KARIME\BANCO ESTADO\2012 DEPTO ESCRITURAS fata\Dc Simples\2012 DEPTO ESCRITURAS\MANDATOS JUDICIALES\ALEJANDRO RUBIO\MERCEDES GUERRERO HIDALGO.doc", "Abrir Documento")</f>
        <v>0</v>
      </c>
      <c r="D17572" t="s">
        <v>23500</v>
      </c>
      <c r="E17572" t="s">
        <v>40047</v>
      </c>
    </row>
    <row r="17573" spans="1:5">
      <c r="A17573" t="s">
        <v>6</v>
      </c>
      <c r="B17573" t="s">
        <v>17578</v>
      </c>
      <c r="C17573">
        <f>HYPERLINK("C:\Users\franc\OneDrive\Documentos\MALENTIN KARIME\BANCO ESTADO\2012 DEPTO ESCRITURAS fata\Dc Simples\2012 DEPTO ESCRITURAS\MANDATOS JUDICIALES\ALEJANDRO AZUA VEGA\CRISTIAN VAN DER A ALEJANDRO AZUA.doc", "Abrir Documento")</f>
        <v>0</v>
      </c>
      <c r="D17573" t="s">
        <v>23500</v>
      </c>
      <c r="E17573" t="s">
        <v>40048</v>
      </c>
    </row>
    <row r="17574" spans="1:5">
      <c r="A17574" t="s">
        <v>6</v>
      </c>
      <c r="B17574" t="s">
        <v>17579</v>
      </c>
      <c r="C17574">
        <f>HYPERLINK("C:\Users\franc\OneDrive\Documentos\MALENTIN KARIME\BANCO ESTADO\2012 DEPTO ESCRITURAS fata\Dc Simples\2012 DEPTO ESCRITURAS\MANDATOS JUDICIALES\ALEJANDRO AZUA VEGA\CRACE SIR A ALEJANDRO AZUA.doc", "Abrir Documento")</f>
        <v>0</v>
      </c>
      <c r="D17574" t="s">
        <v>23500</v>
      </c>
      <c r="E17574" t="s">
        <v>40049</v>
      </c>
    </row>
    <row r="17575" spans="1:5">
      <c r="A17575" t="s">
        <v>6</v>
      </c>
      <c r="B17575" t="s">
        <v>17580</v>
      </c>
      <c r="C17575">
        <f>HYPERLINK("C:\Users\franc\OneDrive\Documentos\MALENTIN KARIME\BANCO ESTADO\2012 DEPTO ESCRITURAS fata\Dc Simples\2012 DEPTO ESCRITURAS\MANDATOS JUDICIALES\ALEJANDRA PIZARRO DUBO\PAULA RIOS DIAZ.doc", "Abrir Documento")</f>
        <v>0</v>
      </c>
      <c r="D17575" t="s">
        <v>23500</v>
      </c>
      <c r="E17575" t="s">
        <v>40050</v>
      </c>
    </row>
    <row r="17576" spans="1:5">
      <c r="A17576" t="s">
        <v>6</v>
      </c>
      <c r="B17576" t="s">
        <v>17581</v>
      </c>
      <c r="C17576">
        <f>HYPERLINK("C:\Users\franc\OneDrive\Documentos\MALENTIN KARIME\BANCO ESTADO\2012 DEPTO ESCRITURAS fata\Dc Simples\2012 DEPTO ESCRITURAS\MANDATO\VENDER\WILFREDO RIVERA A LUIS GAHONA.doc", "Abrir Documento")</f>
        <v>0</v>
      </c>
      <c r="D17576" t="s">
        <v>23500</v>
      </c>
      <c r="E17576" t="s">
        <v>40051</v>
      </c>
    </row>
    <row r="17577" spans="1:5">
      <c r="A17577" t="s">
        <v>6</v>
      </c>
      <c r="B17577" t="s">
        <v>17582</v>
      </c>
      <c r="C17577">
        <f>HYPERLINK("C:\Users\franc\OneDrive\Documentos\MALENTIN KARIME\BANCO ESTADO\2012 DEPTO ESCRITURAS fata\Dc Simples\2012 DEPTO ESCRITURAS\MANDATO\VENDER\WALDO PACHECO A Calixto Pacheco.doc", "Abrir Documento")</f>
        <v>0</v>
      </c>
      <c r="D17577" t="s">
        <v>23500</v>
      </c>
      <c r="E17577" t="s">
        <v>40052</v>
      </c>
    </row>
    <row r="17578" spans="1:5">
      <c r="A17578" t="s">
        <v>6</v>
      </c>
      <c r="B17578" t="s">
        <v>17583</v>
      </c>
      <c r="C17578">
        <f>HYPERLINK("C:\Users\franc\OneDrive\Documentos\MALENTIN KARIME\BANCO ESTADO\2012 DEPTO ESCRITURAS fata\Dc Simples\2012 DEPTO ESCRITURAS\MANDATO\VENDER\VINKA GUERRA ROJAS Autorizacion.doc", "Abrir Documento")</f>
        <v>0</v>
      </c>
      <c r="D17578" t="s">
        <v>23500</v>
      </c>
      <c r="E17578" t="s">
        <v>40053</v>
      </c>
    </row>
    <row r="17579" spans="1:5">
      <c r="A17579" t="s">
        <v>6</v>
      </c>
      <c r="B17579" t="s">
        <v>17584</v>
      </c>
      <c r="C17579">
        <f>HYPERLINK("C:\Users\franc\OneDrive\Documentos\MALENTIN KARIME\BANCO ESTADO\2012 DEPTO ESCRITURAS fata\Dc Simples\2012 DEPTO ESCRITURAS\MANDATO\VENDER\VILMA BARRAZA A JEANETTE BARRAZA.doc", "Abrir Documento")</f>
        <v>0</v>
      </c>
      <c r="D17579" t="s">
        <v>23500</v>
      </c>
      <c r="E17579" t="s">
        <v>40054</v>
      </c>
    </row>
    <row r="17580" spans="1:5">
      <c r="A17580" t="s">
        <v>6</v>
      </c>
      <c r="B17580" t="s">
        <v>17585</v>
      </c>
      <c r="C17580">
        <f>HYPERLINK("C:\Users\franc\OneDrive\Documentos\MALENTIN KARIME\BANCO ESTADO\2012 DEPTO ESCRITURAS fata\Dc Simples\2012 DEPTO ESCRITURAS\MANDATO\VENDER\tia ROSA.doc", "Abrir Documento")</f>
        <v>0</v>
      </c>
      <c r="D17580" t="s">
        <v>23500</v>
      </c>
      <c r="E17580" t="s">
        <v>40055</v>
      </c>
    </row>
    <row r="17581" spans="1:5">
      <c r="A17581" t="s">
        <v>6</v>
      </c>
      <c r="B17581" t="s">
        <v>17586</v>
      </c>
      <c r="C17581">
        <f>HYPERLINK("C:\Users\franc\OneDrive\Documentos\MALENTIN KARIME\BANCO ESTADO\2012 DEPTO ESCRITURAS fata\Dc Simples\2012 DEPTO ESCRITURAS\MANDATO\VENDER\Sucesion Vega.doc", "Abrir Documento")</f>
        <v>0</v>
      </c>
      <c r="D17581" t="s">
        <v>23500</v>
      </c>
      <c r="E17581" t="s">
        <v>40056</v>
      </c>
    </row>
    <row r="17582" spans="1:5">
      <c r="A17582" t="s">
        <v>6</v>
      </c>
      <c r="B17582" t="s">
        <v>17587</v>
      </c>
      <c r="C17582">
        <f>HYPERLINK("C:\Users\franc\OneDrive\Documentos\MALENTIN KARIME\BANCO ESTADO\2012 DEPTO ESCRITURAS fata\Dc Simples\2012 DEPTO ESCRITURAS\MANDATO\VENDER\SUCESION Carvajal Aguilera.doc", "Abrir Documento")</f>
        <v>0</v>
      </c>
      <c r="D17582" t="s">
        <v>23500</v>
      </c>
      <c r="E17582" t="s">
        <v>40057</v>
      </c>
    </row>
    <row r="17583" spans="1:5">
      <c r="A17583" t="s">
        <v>6</v>
      </c>
      <c r="B17583" t="s">
        <v>17588</v>
      </c>
      <c r="C17583">
        <f>HYPERLINK("C:\Users\franc\OneDrive\Documentos\MALENTIN KARIME\BANCO ESTADO\2012 DEPTO ESCRITURAS fata\Dc Simples\2012 DEPTO ESCRITURAS\MANDATO\VENDER\SALVADOR CODOCEO.doc", "Abrir Documento")</f>
        <v>0</v>
      </c>
      <c r="D17583" t="s">
        <v>23500</v>
      </c>
      <c r="E17583" t="s">
        <v>40058</v>
      </c>
    </row>
    <row r="17584" spans="1:5">
      <c r="A17584" t="s">
        <v>6</v>
      </c>
      <c r="B17584" t="s">
        <v>17589</v>
      </c>
      <c r="C17584">
        <f>HYPERLINK("C:\Users\franc\OneDrive\Documentos\MALENTIN KARIME\BANCO ESTADO\2012 DEPTO ESCRITURAS fata\Dc Simples\2012 DEPTO ESCRITURAS\MANDATO\VENDER\ROSA CARRIZO SEGOVIA.doc", "Abrir Documento")</f>
        <v>0</v>
      </c>
      <c r="D17584" t="s">
        <v>23500</v>
      </c>
      <c r="E17584" t="s">
        <v>40059</v>
      </c>
    </row>
    <row r="17585" spans="1:5">
      <c r="A17585" t="s">
        <v>6</v>
      </c>
      <c r="B17585" t="s">
        <v>17590</v>
      </c>
      <c r="C17585">
        <f>HYPERLINK("C:\Users\franc\OneDrive\Documentos\MALENTIN KARIME\BANCO ESTADO\2012 DEPTO ESCRITURAS fata\Dc Simples\2012 DEPTO ESCRITURAS\MANDATO\VENDER\ROMILIO GALDAMEZ TRONCOSO.doc", "Abrir Documento")</f>
        <v>0</v>
      </c>
      <c r="D17585" t="s">
        <v>23500</v>
      </c>
      <c r="E17585" t="s">
        <v>40060</v>
      </c>
    </row>
    <row r="17586" spans="1:5">
      <c r="A17586" t="s">
        <v>6</v>
      </c>
      <c r="B17586" t="s">
        <v>17591</v>
      </c>
      <c r="C17586">
        <f>HYPERLINK("C:\Users\franc\OneDrive\Documentos\MALENTIN KARIME\BANCO ESTADO\2012 DEPTO ESCRITURAS fata\Dc Simples\2012 DEPTO ESCRITURAS\MANDATO\VENDER\ROBERTO CODOCEO.doc", "Abrir Documento")</f>
        <v>0</v>
      </c>
      <c r="D17586" t="s">
        <v>23500</v>
      </c>
      <c r="E17586" t="s">
        <v>40061</v>
      </c>
    </row>
    <row r="17587" spans="1:5">
      <c r="A17587" t="s">
        <v>6</v>
      </c>
      <c r="B17587" t="s">
        <v>17592</v>
      </c>
      <c r="C17587">
        <f>HYPERLINK("C:\Users\franc\OneDrive\Documentos\MALENTIN KARIME\BANCO ESTADO\2012 DEPTO ESCRITURAS fata\Dc Simples\2012 DEPTO ESCRITURAS\MANDATO\VENDER\REMIGIO CASTRO CONTRERAS Y CONYUGE.doc", "Abrir Documento")</f>
        <v>0</v>
      </c>
      <c r="D17587" t="s">
        <v>23500</v>
      </c>
      <c r="E17587" t="s">
        <v>40062</v>
      </c>
    </row>
    <row r="17588" spans="1:5">
      <c r="A17588" t="s">
        <v>6</v>
      </c>
      <c r="B17588" t="s">
        <v>17593</v>
      </c>
      <c r="C17588">
        <f>HYPERLINK("C:\Users\franc\OneDrive\Documentos\MALENTIN KARIME\BANCO ESTADO\2012 DEPTO ESCRITURAS fata\Dc Simples\2012 DEPTO ESCRITURAS\MANDATO\VENDER\RAUL CORTES Y CONYUGE.doc", "Abrir Documento")</f>
        <v>0</v>
      </c>
      <c r="D17588" t="s">
        <v>23500</v>
      </c>
      <c r="E17588" t="s">
        <v>40063</v>
      </c>
    </row>
    <row r="17589" spans="1:5">
      <c r="A17589" t="s">
        <v>6</v>
      </c>
      <c r="B17589" t="s">
        <v>17594</v>
      </c>
      <c r="C17589">
        <f>HYPERLINK("C:\Users\franc\OneDrive\Documentos\MALENTIN KARIME\BANCO ESTADO\2012 DEPTO ESCRITURAS fata\Dc Simples\2012 DEPTO ESCRITURAS\MANDATO\VENDER\OLIVIA VALENZUELA MUÑOZ (VENTA CONYUGE).doc", "Abrir Documento")</f>
        <v>0</v>
      </c>
      <c r="D17589" t="s">
        <v>23500</v>
      </c>
      <c r="E17589" t="s">
        <v>40064</v>
      </c>
    </row>
    <row r="17590" spans="1:5">
      <c r="A17590" t="s">
        <v>6</v>
      </c>
      <c r="B17590" t="s">
        <v>17595</v>
      </c>
      <c r="C17590">
        <f>HYPERLINK("C:\Users\franc\OneDrive\Documentos\MALENTIN KARIME\BANCO ESTADO\2012 DEPTO ESCRITURAS fata\Dc Simples\2012 DEPTO ESCRITURAS\MANDATO\VENDER\NIRMA OLIVEROS VALENCIA.doc", "Abrir Documento")</f>
        <v>0</v>
      </c>
      <c r="D17590" t="s">
        <v>23500</v>
      </c>
      <c r="E17590" t="s">
        <v>40065</v>
      </c>
    </row>
    <row r="17591" spans="1:5">
      <c r="A17591" t="s">
        <v>6</v>
      </c>
      <c r="B17591" t="s">
        <v>17596</v>
      </c>
      <c r="C17591">
        <f>HYPERLINK("C:\Users\franc\OneDrive\Documentos\MALENTIN KARIME\BANCO ESTADO\2012 DEPTO ESCRITURAS fata\Dc Simples\2012 DEPTO ESCRITURAS\MANDATO\VENDER\NINFA ROJAS ZEPEDA.doc", "Abrir Documento")</f>
        <v>0</v>
      </c>
      <c r="D17591" t="s">
        <v>23500</v>
      </c>
      <c r="E17591" t="s">
        <v>40066</v>
      </c>
    </row>
    <row r="17592" spans="1:5">
      <c r="A17592" t="s">
        <v>6</v>
      </c>
      <c r="B17592" t="s">
        <v>17597</v>
      </c>
      <c r="C17592">
        <f>HYPERLINK("C:\Users\franc\OneDrive\Documentos\MALENTIN KARIME\BANCO ESTADO\2012 DEPTO ESCRITURAS fata\Dc Simples\2012 DEPTO ESCRITURAS\MANDATO\VENDER\NELLY DEL CARMEN DIAZ viuda derechos.doc", "Abrir Documento")</f>
        <v>0</v>
      </c>
      <c r="D17592" t="s">
        <v>23500</v>
      </c>
      <c r="E17592" t="s">
        <v>40067</v>
      </c>
    </row>
    <row r="17593" spans="1:5">
      <c r="A17593" t="s">
        <v>6</v>
      </c>
      <c r="B17593" t="s">
        <v>17598</v>
      </c>
      <c r="C17593">
        <f>HYPERLINK("C:\Users\franc\OneDrive\Documentos\MALENTIN KARIME\BANCO ESTADO\2012 DEPTO ESCRITURAS fata\Dc Simples\2012 DEPTO ESCRITURAS\MANDATO\VENDER\MOSIES MIRANDA TELLO A GEORGINA VERGARA.doc", "Abrir Documento")</f>
        <v>0</v>
      </c>
      <c r="D17593" t="s">
        <v>23500</v>
      </c>
      <c r="E17593" t="s">
        <v>40068</v>
      </c>
    </row>
    <row r="17594" spans="1:5">
      <c r="A17594" t="s">
        <v>6</v>
      </c>
      <c r="B17594" t="s">
        <v>17599</v>
      </c>
      <c r="C17594">
        <f>HYPERLINK("C:\Users\franc\OneDrive\Documentos\MALENTIN KARIME\BANCO ESTADO\2012 DEPTO ESCRITURAS fata\Dc Simples\2012 DEPTO ESCRITURAS\MANDATO\VENDER\MINUTA  Digna Rojas.doc", "Abrir Documento")</f>
        <v>0</v>
      </c>
      <c r="D17594" t="s">
        <v>23500</v>
      </c>
      <c r="E17594" t="s">
        <v>40069</v>
      </c>
    </row>
    <row r="17595" spans="1:5">
      <c r="A17595" t="s">
        <v>6</v>
      </c>
      <c r="B17595" t="s">
        <v>17600</v>
      </c>
      <c r="C17595">
        <f>HYPERLINK("C:\Users\franc\OneDrive\Documentos\MALENTIN KARIME\BANCO ESTADO\2012 DEPTO ESCRITURAS fata\Dc Simples\2012 DEPTO ESCRITURAS\MANDATO\VENDER\MAURICIO VELIZ ARAYA Mandato y auto.doc", "Abrir Documento")</f>
        <v>0</v>
      </c>
      <c r="D17595" t="s">
        <v>23500</v>
      </c>
      <c r="E17595" t="s">
        <v>40070</v>
      </c>
    </row>
    <row r="17596" spans="1:5">
      <c r="A17596" t="s">
        <v>6</v>
      </c>
      <c r="B17596" t="s">
        <v>17601</v>
      </c>
      <c r="C17596">
        <f>HYPERLINK("C:\Users\franc\OneDrive\Documentos\MALENTIN KARIME\BANCO ESTADO\2012 DEPTO ESCRITURAS fata\Dc Simples\2012 DEPTO ESCRITURAS\MANDATO\VENDER\MARIA ISOLINA CABEZAS MUÑOZ.doc", "Abrir Documento")</f>
        <v>0</v>
      </c>
      <c r="D17596" t="s">
        <v>23500</v>
      </c>
      <c r="E17596" t="s">
        <v>40071</v>
      </c>
    </row>
    <row r="17597" spans="1:5">
      <c r="A17597" t="s">
        <v>6</v>
      </c>
      <c r="B17597" t="s">
        <v>17602</v>
      </c>
      <c r="C17597">
        <f>HYPERLINK("C:\Users\franc\OneDrive\Documentos\MALENTIN KARIME\BANCO ESTADO\2012 DEPTO ESCRITURAS fata\Dc Simples\2012 DEPTO ESCRITURAS\MANDATO\VENDER\MANUEL ZAMORA ARANCIBIA.doc", "Abrir Documento")</f>
        <v>0</v>
      </c>
      <c r="D17597" t="s">
        <v>23500</v>
      </c>
      <c r="E17597" t="s">
        <v>40072</v>
      </c>
    </row>
    <row r="17598" spans="1:5">
      <c r="A17598" t="s">
        <v>6</v>
      </c>
      <c r="B17598" t="s">
        <v>17603</v>
      </c>
      <c r="C17598">
        <f>HYPERLINK("C:\Users\franc\OneDrive\Documentos\MALENTIN KARIME\BANCO ESTADO\2012 DEPTO ESCRITURAS fata\Dc Simples\2012 DEPTO ESCRITURAS\MANDATO\VENDER\MANUEL SEGURA C. Vender.doc", "Abrir Documento")</f>
        <v>0</v>
      </c>
      <c r="D17598" t="s">
        <v>23500</v>
      </c>
      <c r="E17598" t="s">
        <v>40073</v>
      </c>
    </row>
    <row r="17599" spans="1:5">
      <c r="A17599" t="s">
        <v>6</v>
      </c>
      <c r="B17599" t="s">
        <v>17604</v>
      </c>
      <c r="C17599">
        <f>HYPERLINK("C:\Users\franc\OneDrive\Documentos\MALENTIN KARIME\BANCO ESTADO\2012 DEPTO ESCRITURAS fata\Dc Simples\2012 DEPTO ESCRITURAS\MANDATO\VENDER\LUZ SILVA GALLEGOS Minuta.doc", "Abrir Documento")</f>
        <v>0</v>
      </c>
      <c r="D17599" t="s">
        <v>23500</v>
      </c>
      <c r="E17599" t="s">
        <v>40074</v>
      </c>
    </row>
    <row r="17600" spans="1:5">
      <c r="A17600" t="s">
        <v>6</v>
      </c>
      <c r="B17600" t="s">
        <v>17605</v>
      </c>
      <c r="C17600">
        <f>HYPERLINK("C:\Users\franc\OneDrive\Documentos\MALENTIN KARIME\BANCO ESTADO\2012 DEPTO ESCRITURAS fata\Dc Simples\2012 DEPTO ESCRITURAS\MANDATO\VENDER\LUIS OCTAVIO JUAREZ PIZARRO Mandatario.doc", "Abrir Documento")</f>
        <v>0</v>
      </c>
      <c r="D17600" t="s">
        <v>23500</v>
      </c>
      <c r="E17600" t="s">
        <v>40075</v>
      </c>
    </row>
    <row r="17601" spans="1:5">
      <c r="A17601" t="s">
        <v>6</v>
      </c>
      <c r="B17601" t="s">
        <v>17606</v>
      </c>
      <c r="C17601">
        <f>HYPERLINK("C:\Users\franc\OneDrive\Documentos\MALENTIN KARIME\BANCO ESTADO\2012 DEPTO ESCRITURAS fata\Dc Simples\2012 DEPTO ESCRITURAS\MANDATO\VENDER\LUIS NAREA MAYA Mandato y auto.doc", "Abrir Documento")</f>
        <v>0</v>
      </c>
      <c r="D17601" t="s">
        <v>23500</v>
      </c>
      <c r="E17601" t="s">
        <v>40076</v>
      </c>
    </row>
    <row r="17602" spans="1:5">
      <c r="A17602" t="s">
        <v>6</v>
      </c>
      <c r="B17602" t="s">
        <v>17607</v>
      </c>
      <c r="C17602">
        <f>HYPERLINK("C:\Users\franc\OneDrive\Documentos\MALENTIN KARIME\BANCO ESTADO\2012 DEPTO ESCRITURAS fata\Dc Simples\2012 DEPTO ESCRITURAS\MANDATO\VENDER\LIVIA CAMPAÑA MOLINA.doc", "Abrir Documento")</f>
        <v>0</v>
      </c>
      <c r="D17602" t="s">
        <v>23500</v>
      </c>
      <c r="E17602" t="s">
        <v>40077</v>
      </c>
    </row>
    <row r="17603" spans="1:5">
      <c r="A17603" t="s">
        <v>6</v>
      </c>
      <c r="B17603" t="s">
        <v>17608</v>
      </c>
      <c r="C17603">
        <f>HYPERLINK("C:\Users\franc\OneDrive\Documentos\MALENTIN KARIME\BANCO ESTADO\2012 DEPTO ESCRITURAS fata\Dc Simples\2012 DEPTO ESCRITURAS\MANDATO\VENDER\LEONOR ZAPATA CONTRERAS Autorizacion.doc", "Abrir Documento")</f>
        <v>0</v>
      </c>
      <c r="D17603" t="s">
        <v>23500</v>
      </c>
      <c r="E17603" t="s">
        <v>40078</v>
      </c>
    </row>
    <row r="17604" spans="1:5">
      <c r="A17604" t="s">
        <v>6</v>
      </c>
      <c r="B17604" t="s">
        <v>17609</v>
      </c>
      <c r="C17604">
        <f>HYPERLINK("C:\Users\franc\OneDrive\Documentos\MALENTIN KARIME\BANCO ESTADO\2012 DEPTO ESCRITURAS fata\Dc Simples\2012 DEPTO ESCRITURAS\MANDATO\VENDER\LEONEL GALLARDO SEGOVIA.doc", "Abrir Documento")</f>
        <v>0</v>
      </c>
      <c r="D17604" t="s">
        <v>23500</v>
      </c>
      <c r="E17604" t="s">
        <v>40079</v>
      </c>
    </row>
    <row r="17605" spans="1:5">
      <c r="A17605" t="s">
        <v>6</v>
      </c>
      <c r="B17605" t="s">
        <v>17610</v>
      </c>
      <c r="C17605">
        <f>HYPERLINK("C:\Users\franc\OneDrive\Documentos\MALENTIN KARIME\BANCO ESTADO\2012 DEPTO ESCRITURAS fata\Dc Simples\2012 DEPTO ESCRITURAS\MANDATO\VENDER\JUANA CORTES IRIARTE (VENTA CONYUGE).doc", "Abrir Documento")</f>
        <v>0</v>
      </c>
      <c r="D17605" t="s">
        <v>23500</v>
      </c>
      <c r="E17605" t="s">
        <v>40080</v>
      </c>
    </row>
    <row r="17606" spans="1:5">
      <c r="A17606" t="s">
        <v>6</v>
      </c>
      <c r="B17606" t="s">
        <v>17611</v>
      </c>
      <c r="C17606">
        <f>HYPERLINK("C:\Users\franc\OneDrive\Documentos\MALENTIN KARIME\BANCO ESTADO\2012 DEPTO ESCRITURAS fata\Dc Simples\2012 DEPTO ESCRITURAS\MANDATO\VENDER\JUAN ANDRES CARVAJAL CASTILLO.doc", "Abrir Documento")</f>
        <v>0</v>
      </c>
      <c r="D17606" t="s">
        <v>23500</v>
      </c>
      <c r="E17606" t="s">
        <v>40081</v>
      </c>
    </row>
    <row r="17607" spans="1:5">
      <c r="A17607" t="s">
        <v>6</v>
      </c>
      <c r="B17607" t="s">
        <v>17612</v>
      </c>
      <c r="C17607">
        <f>HYPERLINK("C:\Users\franc\OneDrive\Documentos\MALENTIN KARIME\BANCO ESTADO\2012 DEPTO ESCRITURAS fata\Dc Simples\2012 DEPTO ESCRITURAS\MANDATO\VENDER\JORGE ZULANTAY CORTES.doc", "Abrir Documento")</f>
        <v>0</v>
      </c>
      <c r="D17607" t="s">
        <v>23500</v>
      </c>
      <c r="E17607" t="s">
        <v>40082</v>
      </c>
    </row>
    <row r="17608" spans="1:5">
      <c r="A17608" t="s">
        <v>6</v>
      </c>
      <c r="B17608" t="s">
        <v>17613</v>
      </c>
      <c r="C17608">
        <f>HYPERLINK("C:\Users\franc\OneDrive\Documentos\MALENTIN KARIME\BANCO ESTADO\2012 DEPTO ESCRITURAS fata\Dc Simples\2012 DEPTO ESCRITURAS\MANDATO\VENDER\JHONY VILLARROEL.doc", "Abrir Documento")</f>
        <v>0</v>
      </c>
      <c r="D17608" t="s">
        <v>23500</v>
      </c>
      <c r="E17608" t="s">
        <v>40083</v>
      </c>
    </row>
    <row r="17609" spans="1:5">
      <c r="A17609" t="s">
        <v>6</v>
      </c>
      <c r="B17609" t="s">
        <v>17614</v>
      </c>
      <c r="C17609">
        <f>HYPERLINK("C:\Users\franc\OneDrive\Documentos\MALENTIN KARIME\BANCO ESTADO\2012 DEPTO ESCRITURAS fata\Dc Simples\2012 DEPTO ESCRITURAS\MANDATO\VENDER\JAIME PROHENS SOMMELLA.doc", "Abrir Documento")</f>
        <v>0</v>
      </c>
      <c r="D17609" t="s">
        <v>23500</v>
      </c>
      <c r="E17609" t="s">
        <v>40084</v>
      </c>
    </row>
    <row r="17610" spans="1:5">
      <c r="A17610" t="s">
        <v>6</v>
      </c>
      <c r="B17610" t="s">
        <v>17615</v>
      </c>
      <c r="C17610">
        <f>HYPERLINK("C:\Users\franc\OneDrive\Documentos\MALENTIN KARIME\BANCO ESTADO\2012 DEPTO ESCRITURAS fata\Dc Simples\2012 DEPTO ESCRITURAS\MANDATO\VENDER\JAIME CORTES TELLO Minuta.doc", "Abrir Documento")</f>
        <v>0</v>
      </c>
      <c r="D17610" t="s">
        <v>23500</v>
      </c>
      <c r="E17610" t="s">
        <v>40085</v>
      </c>
    </row>
    <row r="17611" spans="1:5">
      <c r="A17611" t="s">
        <v>6</v>
      </c>
      <c r="B17611" t="s">
        <v>17616</v>
      </c>
      <c r="C17611">
        <f>HYPERLINK("C:\Users\franc\OneDrive\Documentos\MALENTIN KARIME\BANCO ESTADO\2012 DEPTO ESCRITURAS fata\Dc Simples\2012 DEPTO ESCRITURAS\MANDATO\VENDER\IRMA NUÑEZ PEREIRA.doc", "Abrir Documento")</f>
        <v>0</v>
      </c>
      <c r="D17611" t="s">
        <v>23500</v>
      </c>
      <c r="E17611" t="s">
        <v>40086</v>
      </c>
    </row>
    <row r="17612" spans="1:5">
      <c r="A17612" t="s">
        <v>6</v>
      </c>
      <c r="B17612" t="s">
        <v>17617</v>
      </c>
      <c r="C17612">
        <f>HYPERLINK("C:\Users\franc\OneDrive\Documentos\MALENTIN KARIME\BANCO ESTADO\2012 DEPTO ESCRITURAS fata\Dc Simples\2012 DEPTO ESCRITURAS\MANDATO\VENDER\HERNAN FLORES GONZALEZ Y CONYUGE.doc", "Abrir Documento")</f>
        <v>0</v>
      </c>
      <c r="D17612" t="s">
        <v>23500</v>
      </c>
      <c r="E17612" t="s">
        <v>40087</v>
      </c>
    </row>
    <row r="17613" spans="1:5">
      <c r="A17613" t="s">
        <v>6</v>
      </c>
      <c r="B17613" t="s">
        <v>17618</v>
      </c>
      <c r="C17613">
        <f>HYPERLINK("C:\Users\franc\OneDrive\Documentos\MALENTIN KARIME\BANCO ESTADO\2012 DEPTO ESCRITURAS fata\Dc Simples\2012 DEPTO ESCRITURAS\MANDATO\VENDER\HECTOR BRUNA MORALES.doc", "Abrir Documento")</f>
        <v>0</v>
      </c>
      <c r="D17613" t="s">
        <v>23500</v>
      </c>
      <c r="E17613" t="s">
        <v>40088</v>
      </c>
    </row>
    <row r="17614" spans="1:5">
      <c r="A17614" t="s">
        <v>6</v>
      </c>
      <c r="B17614" t="s">
        <v>17619</v>
      </c>
      <c r="C17614">
        <f>HYPERLINK("C:\Users\franc\OneDrive\Documentos\MALENTIN KARIME\BANCO ESTADO\2012 DEPTO ESCRITURAS fata\Dc Simples\2012 DEPTO ESCRITURAS\MANDATO\VENDER\GARCIA PEREZ.doc", "Abrir Documento")</f>
        <v>0</v>
      </c>
      <c r="D17614" t="s">
        <v>23500</v>
      </c>
      <c r="E17614" t="s">
        <v>40089</v>
      </c>
    </row>
    <row r="17615" spans="1:5">
      <c r="A17615" t="s">
        <v>6</v>
      </c>
      <c r="B17615" t="s">
        <v>17620</v>
      </c>
      <c r="C17615">
        <f>HYPERLINK("C:\Users\franc\OneDrive\Documentos\MALENTIN KARIME\BANCO ESTADO\2012 DEPTO ESCRITURAS fata\Dc Simples\2012 DEPTO ESCRITURAS\MANDATO\VENDER\EUGENIA SEGURA ESPINOSA.doc", "Abrir Documento")</f>
        <v>0</v>
      </c>
      <c r="D17615" t="s">
        <v>23500</v>
      </c>
      <c r="E17615" t="s">
        <v>40090</v>
      </c>
    </row>
    <row r="17616" spans="1:5">
      <c r="A17616" t="s">
        <v>6</v>
      </c>
      <c r="B17616" t="s">
        <v>17621</v>
      </c>
      <c r="C17616">
        <f>HYPERLINK("C:\Users\franc\OneDrive\Documentos\MALENTIN KARIME\BANCO ESTADO\2012 DEPTO ESCRITURAS fata\Dc Simples\2012 DEPTO ESCRITURAS\MANDATO\VENDER\ERIKA PASTEN ROJAS A MARIA PASTEN ROJAS Derechos.doc", "Abrir Documento")</f>
        <v>0</v>
      </c>
      <c r="D17616" t="s">
        <v>23500</v>
      </c>
      <c r="E17616" t="s">
        <v>40091</v>
      </c>
    </row>
    <row r="17617" spans="1:5">
      <c r="A17617" t="s">
        <v>6</v>
      </c>
      <c r="B17617" t="s">
        <v>17622</v>
      </c>
      <c r="C17617">
        <f>HYPERLINK("C:\Users\franc\OneDrive\Documentos\MALENTIN KARIME\BANCO ESTADO\2012 DEPTO ESCRITURAS fata\Dc Simples\2012 DEPTO ESCRITURAS\MANDATO\VENDER\CLAUDIA ESPINOSA ROJAS.doc", "Abrir Documento")</f>
        <v>0</v>
      </c>
      <c r="D17617" t="s">
        <v>23500</v>
      </c>
      <c r="E17617" t="s">
        <v>40092</v>
      </c>
    </row>
    <row r="17618" spans="1:5">
      <c r="A17618" t="s">
        <v>6</v>
      </c>
      <c r="B17618" t="s">
        <v>17623</v>
      </c>
      <c r="C17618">
        <f>HYPERLINK("C:\Users\franc\OneDrive\Documentos\MALENTIN KARIME\BANCO ESTADO\2012 DEPTO ESCRITURAS fata\Dc Simples\2012 DEPTO ESCRITURAS\MANDATO\VENDER\CLAUDIA ESPINOSA ROJAS II.doc", "Abrir Documento")</f>
        <v>0</v>
      </c>
      <c r="D17618" t="s">
        <v>23500</v>
      </c>
      <c r="E17618" t="s">
        <v>40093</v>
      </c>
    </row>
    <row r="17619" spans="1:5">
      <c r="A17619" t="s">
        <v>6</v>
      </c>
      <c r="B17619" t="s">
        <v>17624</v>
      </c>
      <c r="C17619">
        <f>HYPERLINK("C:\Users\franc\OneDrive\Documentos\MALENTIN KARIME\BANCO ESTADO\2012 DEPTO ESCRITURAS fata\Dc Simples\2012 DEPTO ESCRITURAS\MANDATO\VENDER\CARMEN SALFATE CARVAJAL Autorizacion.doc", "Abrir Documento")</f>
        <v>0</v>
      </c>
      <c r="D17619" t="s">
        <v>23500</v>
      </c>
      <c r="E17619" t="s">
        <v>40094</v>
      </c>
    </row>
    <row r="17620" spans="1:5">
      <c r="A17620" t="s">
        <v>6</v>
      </c>
      <c r="B17620" t="s">
        <v>17625</v>
      </c>
      <c r="C17620">
        <f>HYPERLINK("C:\Users\franc\OneDrive\Documentos\MALENTIN KARIME\BANCO ESTADO\2012 DEPTO ESCRITURAS fata\Dc Simples\2012 DEPTO ESCRITURAS\MANDATO\VENDER\CARMEN ROJAS LEYTON A ROCIO ROJAS.doc", "Abrir Documento")</f>
        <v>0</v>
      </c>
      <c r="D17620" t="s">
        <v>23500</v>
      </c>
      <c r="E17620" t="s">
        <v>40095</v>
      </c>
    </row>
    <row r="17621" spans="1:5">
      <c r="A17621" t="s">
        <v>6</v>
      </c>
      <c r="B17621" t="s">
        <v>17626</v>
      </c>
      <c r="C17621">
        <f>HYPERLINK("C:\Users\franc\OneDrive\Documentos\MALENTIN KARIME\BANCO ESTADO\2012 DEPTO ESCRITURAS fata\Dc Simples\2012 DEPTO ESCRITURAS\MANDATO\VENDER\CARMEN GLORIA VIVAR CONCHA.doc", "Abrir Documento")</f>
        <v>0</v>
      </c>
      <c r="D17621" t="s">
        <v>23500</v>
      </c>
      <c r="E17621" t="s">
        <v>40096</v>
      </c>
    </row>
    <row r="17622" spans="1:5">
      <c r="A17622" t="s">
        <v>6</v>
      </c>
      <c r="B17622" t="s">
        <v>17627</v>
      </c>
      <c r="C17622">
        <f>HYPERLINK("C:\Users\franc\OneDrive\Documentos\MALENTIN KARIME\BANCO ESTADO\2012 DEPTO ESCRITURAS fata\Dc Simples\2012 DEPTO ESCRITURAS\MANDATO\VENDER\CARLOS PONCE GARCIA.doc", "Abrir Documento")</f>
        <v>0</v>
      </c>
      <c r="D17622" t="s">
        <v>23500</v>
      </c>
      <c r="E17622" t="s">
        <v>40097</v>
      </c>
    </row>
    <row r="17623" spans="1:5">
      <c r="A17623" t="s">
        <v>6</v>
      </c>
      <c r="B17623" t="s">
        <v>17628</v>
      </c>
      <c r="C17623">
        <f>HYPERLINK("C:\Users\franc\OneDrive\Documentos\MALENTIN KARIME\BANCO ESTADO\2012 DEPTO ESCRITURAS fata\Dc Simples\2012 DEPTO ESCRITURAS\MANDATO\VENDER\ANA KARINA RODRIGUEZ  (VENTA CONYUGE)Fuentealba.doc", "Abrir Documento")</f>
        <v>0</v>
      </c>
      <c r="D17623" t="s">
        <v>23500</v>
      </c>
      <c r="E17623" t="s">
        <v>40098</v>
      </c>
    </row>
    <row r="17624" spans="1:5">
      <c r="A17624" t="s">
        <v>6</v>
      </c>
      <c r="B17624" t="s">
        <v>17629</v>
      </c>
      <c r="C17624">
        <f>HYPERLINK("C:\Users\franc\OneDrive\Documentos\MALENTIN KARIME\BANCO ESTADO\2012 DEPTO ESCRITURAS fata\Dc Simples\2012 DEPTO ESCRITURAS\MANDATO\MINUTAS\S.L.M LA RECOMPENSA.doc", "Abrir Documento")</f>
        <v>0</v>
      </c>
      <c r="D17624" t="s">
        <v>23500</v>
      </c>
      <c r="E17624" t="s">
        <v>40099</v>
      </c>
    </row>
    <row r="17625" spans="1:5">
      <c r="A17625" t="s">
        <v>6</v>
      </c>
      <c r="B17625" t="s">
        <v>17630</v>
      </c>
      <c r="C17625">
        <f>HYPERLINK("C:\Users\franc\OneDrive\Documentos\MALENTIN KARIME\BANCO ESTADO\2012 DEPTO ESCRITURAS fata\Dc Simples\2012 DEPTO ESCRITURAS\MANDATO\GENERAL\XIMENA PEREZ CAMPOS.doc", "Abrir Documento")</f>
        <v>0</v>
      </c>
      <c r="D17625" t="s">
        <v>23500</v>
      </c>
      <c r="E17625" t="s">
        <v>40100</v>
      </c>
    </row>
    <row r="17626" spans="1:5">
      <c r="A17626" t="s">
        <v>6</v>
      </c>
      <c r="B17626" t="s">
        <v>17631</v>
      </c>
      <c r="C17626">
        <f>HYPERLINK("C:\Users\franc\OneDrive\Documentos\MALENTIN KARIME\BANCO ESTADO\2012 DEPTO ESCRITURAS fata\Dc Simples\2012 DEPTO ESCRITURAS\MANDATO\GENERAL\XIMENA ABBOTT LARRAIN.doc", "Abrir Documento")</f>
        <v>0</v>
      </c>
      <c r="D17626" t="s">
        <v>23500</v>
      </c>
      <c r="E17626" t="s">
        <v>40101</v>
      </c>
    </row>
    <row r="17627" spans="1:5">
      <c r="A17627" t="s">
        <v>6</v>
      </c>
      <c r="B17627" t="s">
        <v>17632</v>
      </c>
      <c r="C17627">
        <f>HYPERLINK("C:\Users\franc\OneDrive\Documentos\MALENTIN KARIME\BANCO ESTADO\2012 DEPTO ESCRITURAS fata\Dc Simples\2012 DEPTO ESCRITURAS\MANDATO\GENERAL\VITAL DEL ROSARIO VALDES.doc", "Abrir Documento")</f>
        <v>0</v>
      </c>
      <c r="D17627" t="s">
        <v>23500</v>
      </c>
      <c r="E17627" t="s">
        <v>40102</v>
      </c>
    </row>
    <row r="17628" spans="1:5">
      <c r="A17628" t="s">
        <v>6</v>
      </c>
      <c r="B17628" t="s">
        <v>17633</v>
      </c>
      <c r="C17628">
        <f>HYPERLINK("C:\Users\franc\OneDrive\Documentos\MALENTIN KARIME\BANCO ESTADO\2012 DEPTO ESCRITURAS fata\Dc Simples\2012 DEPTO ESCRITURAS\MANDATO\GENERAL\VERONICA MONTT}.doc", "Abrir Documento")</f>
        <v>0</v>
      </c>
      <c r="D17628" t="s">
        <v>23500</v>
      </c>
      <c r="E17628" t="s">
        <v>40103</v>
      </c>
    </row>
    <row r="17629" spans="1:5">
      <c r="A17629" t="s">
        <v>6</v>
      </c>
      <c r="B17629" t="s">
        <v>17634</v>
      </c>
      <c r="C17629">
        <f>HYPERLINK("C:\Users\franc\OneDrive\Documentos\MALENTIN KARIME\BANCO ESTADO\2012 DEPTO ESCRITURAS fata\Dc Simples\2012 DEPTO ESCRITURAS\MANDATO\GENERAL\SUCESION CASTILLO IBACACHE MAND General.doc", "Abrir Documento")</f>
        <v>0</v>
      </c>
      <c r="D17629" t="s">
        <v>23500</v>
      </c>
      <c r="E17629" t="s">
        <v>40104</v>
      </c>
    </row>
    <row r="17630" spans="1:5">
      <c r="A17630" t="s">
        <v>6</v>
      </c>
      <c r="B17630" t="s">
        <v>17635</v>
      </c>
      <c r="C17630">
        <f>HYPERLINK("C:\Users\franc\OneDrive\Documentos\MALENTIN KARIME\BANCO ESTADO\2012 DEPTO ESCRITURAS fata\Dc Simples\2012 DEPTO ESCRITURAS\MANDATO\GENERAL\SUCESION CASTILLO IBACACHE Cheq CAPEL-1.doc", "Abrir Documento")</f>
        <v>0</v>
      </c>
      <c r="D17630" t="s">
        <v>23500</v>
      </c>
      <c r="E17630" t="s">
        <v>40105</v>
      </c>
    </row>
    <row r="17631" spans="1:5">
      <c r="A17631" t="s">
        <v>6</v>
      </c>
      <c r="B17631" t="s">
        <v>17636</v>
      </c>
      <c r="C17631">
        <f>HYPERLINK("C:\Users\franc\OneDrive\Documentos\MALENTIN KARIME\BANCO ESTADO\2012 DEPTO ESCRITURAS fata\Dc Simples\2012 DEPTO ESCRITURAS\MANDATO\GENERAL\RUDELIO VEGA MORALEDA.doc", "Abrir Documento")</f>
        <v>0</v>
      </c>
      <c r="D17631" t="s">
        <v>23500</v>
      </c>
      <c r="E17631" t="s">
        <v>40106</v>
      </c>
    </row>
    <row r="17632" spans="1:5">
      <c r="A17632" t="s">
        <v>6</v>
      </c>
      <c r="B17632" t="s">
        <v>17637</v>
      </c>
      <c r="C17632">
        <f>HYPERLINK("C:\Users\franc\OneDrive\Documentos\MALENTIN KARIME\BANCO ESTADO\2012 DEPTO ESCRITURAS fata\Dc Simples\2012 DEPTO ESCRITURAS\MANDATO\GENERAL\RODRIGO VARGAS CASTRO}.doc", "Abrir Documento")</f>
        <v>0</v>
      </c>
      <c r="D17632" t="s">
        <v>23500</v>
      </c>
      <c r="E17632" t="s">
        <v>40107</v>
      </c>
    </row>
    <row r="17633" spans="1:5">
      <c r="A17633" t="s">
        <v>6</v>
      </c>
      <c r="B17633" t="s">
        <v>17638</v>
      </c>
      <c r="C17633">
        <f>HYPERLINK("C:\Users\franc\OneDrive\Documentos\MALENTIN KARIME\BANCO ESTADO\2012 DEPTO ESCRITURAS fata\Dc Simples\2012 DEPTO ESCRITURAS\MANDATO\GENERAL\NIDIA RIVERA ROCCO.doc", "Abrir Documento")</f>
        <v>0</v>
      </c>
      <c r="D17633" t="s">
        <v>23500</v>
      </c>
      <c r="E17633" t="s">
        <v>40108</v>
      </c>
    </row>
    <row r="17634" spans="1:5">
      <c r="A17634" t="s">
        <v>6</v>
      </c>
      <c r="B17634" t="s">
        <v>17639</v>
      </c>
      <c r="C17634">
        <f>HYPERLINK("C:\Users\franc\OneDrive\Documentos\MALENTIN KARIME\BANCO ESTADO\2012 DEPTO ESCRITURAS fata\Dc Simples\2012 DEPTO ESCRITURAS\MANDATO\GENERAL\MOISES MUNDACA CAMPUSANO Y OTROS MEspecial.doc", "Abrir Documento")</f>
        <v>0</v>
      </c>
      <c r="D17634" t="s">
        <v>23500</v>
      </c>
      <c r="E17634" t="s">
        <v>40109</v>
      </c>
    </row>
    <row r="17635" spans="1:5">
      <c r="A17635" t="s">
        <v>6</v>
      </c>
      <c r="B17635" t="s">
        <v>17640</v>
      </c>
      <c r="C17635">
        <f>HYPERLINK("C:\Users\franc\OneDrive\Documentos\MALENTIN KARIME\BANCO ESTADO\2012 DEPTO ESCRITURAS fata\Dc Simples\2012 DEPTO ESCRITURAS\MANDATO\GENERAL\modelo.doc", "Abrir Documento")</f>
        <v>0</v>
      </c>
      <c r="D17635" t="s">
        <v>23500</v>
      </c>
      <c r="E17635" t="s">
        <v>40110</v>
      </c>
    </row>
    <row r="17636" spans="1:5">
      <c r="A17636" t="s">
        <v>6</v>
      </c>
      <c r="B17636" t="s">
        <v>17641</v>
      </c>
      <c r="C17636">
        <f>HYPERLINK("C:\Users\franc\OneDrive\Documentos\MALENTIN KARIME\BANCO ESTADO\2012 DEPTO ESCRITURAS fata\Dc Simples\2012 DEPTO ESCRITURAS\MANDATO\GENERAL\MAURICE JEAN BRET Revocacion Minuta.doc", "Abrir Documento")</f>
        <v>0</v>
      </c>
      <c r="D17636" t="s">
        <v>23500</v>
      </c>
      <c r="E17636" t="s">
        <v>40111</v>
      </c>
    </row>
    <row r="17637" spans="1:5">
      <c r="A17637" t="s">
        <v>6</v>
      </c>
      <c r="B17637" t="s">
        <v>17642</v>
      </c>
      <c r="C17637">
        <f>HYPERLINK("C:\Users\franc\OneDrive\Documentos\MALENTIN KARIME\BANCO ESTADO\2012 DEPTO ESCRITURAS fata\Dc Simples\2012 DEPTO ESCRITURAS\MANDATO\GENERAL\MARIA CARMONA PIZARRO.doc", "Abrir Documento")</f>
        <v>0</v>
      </c>
      <c r="D17637" t="s">
        <v>23500</v>
      </c>
      <c r="E17637" t="s">
        <v>40112</v>
      </c>
    </row>
    <row r="17638" spans="1:5">
      <c r="A17638" t="s">
        <v>6</v>
      </c>
      <c r="B17638" t="s">
        <v>17643</v>
      </c>
      <c r="C17638">
        <f>HYPERLINK("C:\Users\franc\OneDrive\Documentos\MALENTIN KARIME\BANCO ESTADO\2012 DEPTO ESCRITURAS fata\Dc Simples\2012 DEPTO ESCRITURAS\MANDATO\GENERAL\MARIA ALVAREZ HENRIQUEZ Y OTRA.doc", "Abrir Documento")</f>
        <v>0</v>
      </c>
      <c r="D17638" t="s">
        <v>23500</v>
      </c>
      <c r="E17638" t="s">
        <v>40113</v>
      </c>
    </row>
    <row r="17639" spans="1:5">
      <c r="A17639" t="s">
        <v>6</v>
      </c>
      <c r="B17639" t="s">
        <v>17644</v>
      </c>
      <c r="C17639">
        <f>HYPERLINK("C:\Users\franc\OneDrive\Documentos\MALENTIN KARIME\BANCO ESTADO\2012 DEPTO ESCRITURAS fata\Dc Simples\2012 DEPTO ESCRITURAS\MANDATO\GENERAL\HERNAN CASTILLO IBACACHE A Eugenia Castillo.doc", "Abrir Documento")</f>
        <v>0</v>
      </c>
      <c r="D17639" t="s">
        <v>23500</v>
      </c>
      <c r="E17639" t="s">
        <v>40114</v>
      </c>
    </row>
    <row r="17640" spans="1:5">
      <c r="A17640" t="s">
        <v>6</v>
      </c>
      <c r="B17640" t="s">
        <v>17645</v>
      </c>
      <c r="C17640">
        <f>HYPERLINK("C:\Users\franc\OneDrive\Documentos\MALENTIN KARIME\BANCO ESTADO\2012 DEPTO ESCRITURAS fata\Dc Simples\2012 DEPTO ESCRITURAS\MANDATO\GENERAL\HECTOR MEDALLA MEDALLA.doc", "Abrir Documento")</f>
        <v>0</v>
      </c>
      <c r="D17640" t="s">
        <v>23500</v>
      </c>
      <c r="E17640" t="s">
        <v>40115</v>
      </c>
    </row>
    <row r="17641" spans="1:5">
      <c r="A17641" t="s">
        <v>6</v>
      </c>
      <c r="B17641" t="s">
        <v>17646</v>
      </c>
      <c r="C17641">
        <f>HYPERLINK("C:\Users\franc\OneDrive\Documentos\MALENTIN KARIME\BANCO ESTADO\2012 DEPTO ESCRITURAS fata\Dc Simples\2012 DEPTO ESCRITURAS\MANDATO\GENERAL\HECTOR GUILLERMO CASTILLO CASTILLO.doc", "Abrir Documento")</f>
        <v>0</v>
      </c>
      <c r="D17641" t="s">
        <v>23500</v>
      </c>
      <c r="E17641" t="s">
        <v>40116</v>
      </c>
    </row>
    <row r="17642" spans="1:5">
      <c r="A17642" t="s">
        <v>6</v>
      </c>
      <c r="B17642" t="s">
        <v>17647</v>
      </c>
      <c r="C17642">
        <f>HYPERLINK("C:\Users\franc\OneDrive\Documentos\MALENTIN KARIME\BANCO ESTADO\2012 DEPTO ESCRITURAS fata\Dc Simples\2012 DEPTO ESCRITURAS\MANDATO\GENERAL\GLORIA ALFARO SIERRA Minuta.doc", "Abrir Documento")</f>
        <v>0</v>
      </c>
      <c r="D17642" t="s">
        <v>23500</v>
      </c>
      <c r="E17642" t="s">
        <v>40117</v>
      </c>
    </row>
    <row r="17643" spans="1:5">
      <c r="A17643" t="s">
        <v>6</v>
      </c>
      <c r="B17643" t="s">
        <v>17648</v>
      </c>
      <c r="C17643">
        <f>HYPERLINK("C:\Users\franc\OneDrive\Documentos\MALENTIN KARIME\BANCO ESTADO\2012 DEPTO ESCRITURAS fata\Dc Simples\2012 DEPTO ESCRITURAS\MANDATO\GENERAL\COPEVAL PODER.doc", "Abrir Documento")</f>
        <v>0</v>
      </c>
      <c r="D17643" t="s">
        <v>23500</v>
      </c>
      <c r="E17643" t="s">
        <v>40118</v>
      </c>
    </row>
    <row r="17644" spans="1:5">
      <c r="A17644" t="s">
        <v>6</v>
      </c>
      <c r="B17644" t="s">
        <v>17649</v>
      </c>
      <c r="C17644">
        <f>HYPERLINK("C:\Users\franc\OneDrive\Documentos\MALENTIN KARIME\BANCO ESTADO\2012 DEPTO ESCRITURAS fata\Dc Simples\2012 DEPTO ESCRITURAS\MANDATO\GENERAL\CIRO BERRIOS.doc", "Abrir Documento")</f>
        <v>0</v>
      </c>
      <c r="D17644" t="s">
        <v>23500</v>
      </c>
      <c r="E17644" t="s">
        <v>40119</v>
      </c>
    </row>
    <row r="17645" spans="1:5">
      <c r="A17645" t="s">
        <v>6</v>
      </c>
      <c r="B17645" t="s">
        <v>17650</v>
      </c>
      <c r="C17645">
        <f>HYPERLINK("C:\Users\franc\OneDrive\Documentos\MALENTIN KARIME\BANCO ESTADO\2012 DEPTO ESCRITURAS fata\Dc Simples\2012 DEPTO ESCRITURAS\MANDATO\GENERAL\CESAR RUIZ RODRIGUEZ.doc", "Abrir Documento")</f>
        <v>0</v>
      </c>
      <c r="D17645" t="s">
        <v>23500</v>
      </c>
      <c r="E17645" t="s">
        <v>40120</v>
      </c>
    </row>
    <row r="17646" spans="1:5">
      <c r="A17646" t="s">
        <v>6</v>
      </c>
      <c r="B17646" t="s">
        <v>17651</v>
      </c>
      <c r="C17646">
        <f>HYPERLINK("C:\Users\franc\OneDrive\Documentos\MALENTIN KARIME\BANCO ESTADO\2012 DEPTO ESCRITURAS fata\Dc Simples\2012 DEPTO ESCRITURAS\MANDATO\GENERAL\CARMEN CONTRERAS CORTEZ.doc", "Abrir Documento")</f>
        <v>0</v>
      </c>
      <c r="D17646" t="s">
        <v>23500</v>
      </c>
      <c r="E17646" t="s">
        <v>40121</v>
      </c>
    </row>
    <row r="17647" spans="1:5">
      <c r="A17647" t="s">
        <v>6</v>
      </c>
      <c r="B17647" t="s">
        <v>17652</v>
      </c>
      <c r="C17647">
        <f>HYPERLINK("C:\Users\franc\OneDrive\Documentos\MALENTIN KARIME\BANCO ESTADO\2012 DEPTO ESCRITURAS fata\Dc Simples\2012 DEPTO ESCRITURAS\MANDATO\GENERAL\AGRICOLA EL CIENAGO.doc", "Abrir Documento")</f>
        <v>0</v>
      </c>
      <c r="D17647" t="s">
        <v>23500</v>
      </c>
      <c r="E17647" t="s">
        <v>40122</v>
      </c>
    </row>
    <row r="17648" spans="1:5">
      <c r="A17648" t="s">
        <v>6</v>
      </c>
      <c r="B17648" t="s">
        <v>17653</v>
      </c>
      <c r="C17648">
        <f>HYPERLINK("C:\Users\franc\OneDrive\Documentos\MALENTIN KARIME\BANCO ESTADO\2012 DEPTO ESCRITURAS fata\Dc Simples\2012 DEPTO ESCRITURAS\MANDATO\GENERAL\ADRIANA GUZMAN OLSEN.doc", "Abrir Documento")</f>
        <v>0</v>
      </c>
      <c r="D17648" t="s">
        <v>23500</v>
      </c>
      <c r="E17648" t="s">
        <v>40123</v>
      </c>
    </row>
    <row r="17649" spans="1:5">
      <c r="A17649" t="s">
        <v>6</v>
      </c>
      <c r="B17649" t="s">
        <v>17654</v>
      </c>
      <c r="C17649">
        <f>HYPERLINK("C:\Users\franc\OneDrive\Documentos\MALENTIN KARIME\BANCO ESTADO\2012 DEPTO ESCRITURAS fata\Dc Simples\2012 DEPTO ESCRITURAS\MANDATO\ESPECIAL\VICTOR TAPIA ROJAS Minuta.doc", "Abrir Documento")</f>
        <v>0</v>
      </c>
      <c r="D17649" t="s">
        <v>23500</v>
      </c>
      <c r="E17649" t="s">
        <v>40124</v>
      </c>
    </row>
    <row r="17650" spans="1:5">
      <c r="A17650" t="s">
        <v>6</v>
      </c>
      <c r="B17650" t="s">
        <v>17655</v>
      </c>
      <c r="C17650">
        <f>HYPERLINK("C:\Users\franc\OneDrive\Documentos\MALENTIN KARIME\BANCO ESTADO\2012 DEPTO ESCRITURAS fata\Dc Simples\2012 DEPTO ESCRITURAS\MANDATO\ESPECIAL\SUCESION JUAN TAPIA MIRANDA.doc", "Abrir Documento")</f>
        <v>0</v>
      </c>
      <c r="D17650" t="s">
        <v>23500</v>
      </c>
      <c r="E17650" t="s">
        <v>40125</v>
      </c>
    </row>
    <row r="17651" spans="1:5">
      <c r="A17651" t="s">
        <v>6</v>
      </c>
      <c r="B17651" t="s">
        <v>17656</v>
      </c>
      <c r="C17651">
        <f>HYPERLINK("C:\Users\franc\OneDrive\Documentos\MALENTIN KARIME\BANCO ESTADO\2012 DEPTO ESCRITURAS fata\Dc Simples\2012 DEPTO ESCRITURAS\MANDATO\ESPECIAL\SUCESION CASTILLO IBACACHE ratificacion.doc", "Abrir Documento")</f>
        <v>0</v>
      </c>
      <c r="D17651" t="s">
        <v>23500</v>
      </c>
      <c r="E17651" t="s">
        <v>40126</v>
      </c>
    </row>
    <row r="17652" spans="1:5">
      <c r="A17652" t="s">
        <v>6</v>
      </c>
      <c r="B17652" t="s">
        <v>17657</v>
      </c>
      <c r="C17652">
        <f>HYPERLINK("C:\Users\franc\OneDrive\Documentos\MALENTIN KARIME\BANCO ESTADO\2012 DEPTO ESCRITURAS fata\Dc Simples\2012 DEPTO ESCRITURAS\MANDATO\ESPECIAL\SUCESION CASTILLO IBACACHE Cheq CAPEL-1.doc", "Abrir Documento")</f>
        <v>0</v>
      </c>
      <c r="D17652" t="s">
        <v>23500</v>
      </c>
      <c r="E17652" t="s">
        <v>40127</v>
      </c>
    </row>
    <row r="17653" spans="1:5">
      <c r="A17653" t="s">
        <v>6</v>
      </c>
      <c r="B17653" t="s">
        <v>17658</v>
      </c>
      <c r="C17653">
        <f>HYPERLINK("C:\Users\franc\OneDrive\Documentos\MALENTIN KARIME\BANCO ESTADO\2012 DEPTO ESCRITURAS fata\Dc Simples\2012 DEPTO ESCRITURAS\MANDATO\ESPECIAL\SUCESION CASTILLO IBACACHE Cheq CAPEL- con maridos y judicial.doc", "Abrir Documento")</f>
        <v>0</v>
      </c>
      <c r="D17653" t="s">
        <v>23500</v>
      </c>
      <c r="E17653" t="s">
        <v>40128</v>
      </c>
    </row>
    <row r="17654" spans="1:5">
      <c r="A17654" t="s">
        <v>6</v>
      </c>
      <c r="B17654" t="s">
        <v>17659</v>
      </c>
      <c r="C17654">
        <f>HYPERLINK("C:\Users\franc\OneDrive\Documentos\MALENTIN KARIME\BANCO ESTADO\2012 DEPTO ESCRITURAS fata\Dc Simples\2012 DEPTO ESCRITURAS\MANDATO\ESPECIAL\SUCESION ARAYA VALDIVIA Capel.doc", "Abrir Documento")</f>
        <v>0</v>
      </c>
      <c r="D17654" t="s">
        <v>23500</v>
      </c>
      <c r="E17654" t="s">
        <v>40129</v>
      </c>
    </row>
    <row r="17655" spans="1:5">
      <c r="A17655" t="s">
        <v>6</v>
      </c>
      <c r="B17655" t="s">
        <v>17660</v>
      </c>
      <c r="C17655">
        <f>HYPERLINK("C:\Users\franc\OneDrive\Documentos\MALENTIN KARIME\BANCO ESTADO\2012 DEPTO ESCRITURAS fata\Dc Simples\2012 DEPTO ESCRITURAS\MANDATO\ESPECIAL\SUCESION ARAYA VALDIVIA Capel ratificacion.doc", "Abrir Documento")</f>
        <v>0</v>
      </c>
      <c r="D17655" t="s">
        <v>23500</v>
      </c>
      <c r="E17655" t="s">
        <v>40130</v>
      </c>
    </row>
    <row r="17656" spans="1:5">
      <c r="A17656" t="s">
        <v>6</v>
      </c>
      <c r="B17656" t="s">
        <v>17661</v>
      </c>
      <c r="C17656">
        <f>HYPERLINK("C:\Users\franc\OneDrive\Documentos\MALENTIN KARIME\BANCO ESTADO\2012 DEPTO ESCRITURAS fata\Dc Simples\2012 DEPTO ESCRITURAS\MANDATO\ESPECIAL\SILVIA PIZARRO CISTERNAS posesion efectiva.doc", "Abrir Documento")</f>
        <v>0</v>
      </c>
      <c r="D17656" t="s">
        <v>23500</v>
      </c>
      <c r="E17656" t="s">
        <v>40131</v>
      </c>
    </row>
    <row r="17657" spans="1:5">
      <c r="A17657" t="s">
        <v>6</v>
      </c>
      <c r="B17657" t="s">
        <v>17662</v>
      </c>
      <c r="C17657">
        <f>HYPERLINK("C:\Users\franc\OneDrive\Documentos\MALENTIN KARIME\BANCO ESTADO\2012 DEPTO ESCRITURAS fata\Dc Simples\2012 DEPTO ESCRITURAS\MANDATO\ESPECIAL\SILVIA FRANCO LOPEZ A ROLANDO FRANCO.doc", "Abrir Documento")</f>
        <v>0</v>
      </c>
      <c r="D17657" t="s">
        <v>23500</v>
      </c>
      <c r="E17657" t="s">
        <v>40132</v>
      </c>
    </row>
    <row r="17658" spans="1:5">
      <c r="A17658" t="s">
        <v>6</v>
      </c>
      <c r="B17658" t="s">
        <v>17663</v>
      </c>
      <c r="C17658">
        <f>HYPERLINK("C:\Users\franc\OneDrive\Documentos\MALENTIN KARIME\BANCO ESTADO\2012 DEPTO ESCRITURAS fata\Dc Simples\2012 DEPTO ESCRITURAS\MANDATO\ESPECIAL\RAQUEL ROJAS MILLA Cheq CAPEL-1.doc", "Abrir Documento")</f>
        <v>0</v>
      </c>
      <c r="D17658" t="s">
        <v>23500</v>
      </c>
      <c r="E17658" t="s">
        <v>40133</v>
      </c>
    </row>
    <row r="17659" spans="1:5">
      <c r="A17659" t="s">
        <v>6</v>
      </c>
      <c r="B17659" t="s">
        <v>17664</v>
      </c>
      <c r="C17659">
        <f>HYPERLINK("C:\Users\franc\OneDrive\Documentos\MALENTIN KARIME\BANCO ESTADO\2012 DEPTO ESCRITURAS fata\Dc Simples\2012 DEPTO ESCRITURAS\MANDATO\ESPECIAL\PETRONILA COLLAO A NORA ROJAS.doc", "Abrir Documento")</f>
        <v>0</v>
      </c>
      <c r="D17659" t="s">
        <v>23500</v>
      </c>
      <c r="E17659" t="s">
        <v>40134</v>
      </c>
    </row>
    <row r="17660" spans="1:5">
      <c r="A17660" t="s">
        <v>6</v>
      </c>
      <c r="B17660" t="s">
        <v>17665</v>
      </c>
      <c r="C17660">
        <f>HYPERLINK("C:\Users\franc\OneDrive\Documentos\MALENTIN KARIME\BANCO ESTADO\2012 DEPTO ESCRITURAS fata\Dc Simples\2012 DEPTO ESCRITURAS\MANDATO\ESPECIAL\PEDRO OLIVARES PEREZ adms.doc", "Abrir Documento")</f>
        <v>0</v>
      </c>
      <c r="D17660" t="s">
        <v>23500</v>
      </c>
      <c r="E17660" t="s">
        <v>40135</v>
      </c>
    </row>
    <row r="17661" spans="1:5">
      <c r="A17661" t="s">
        <v>6</v>
      </c>
      <c r="B17661" t="s">
        <v>17666</v>
      </c>
      <c r="C17661">
        <f>HYPERLINK("C:\Users\franc\OneDrive\Documentos\MALENTIN KARIME\BANCO ESTADO\2012 DEPTO ESCRITURAS fata\Dc Simples\2012 DEPTO ESCRITURAS\MANDATO\ESPECIAL\PABLA FARIAS C. Y OTS. Cheq CAPEL-1.doc", "Abrir Documento")</f>
        <v>0</v>
      </c>
      <c r="D17661" t="s">
        <v>23500</v>
      </c>
      <c r="E17661" t="s">
        <v>40136</v>
      </c>
    </row>
    <row r="17662" spans="1:5">
      <c r="A17662" t="s">
        <v>6</v>
      </c>
      <c r="B17662" t="s">
        <v>17667</v>
      </c>
      <c r="C17662">
        <f>HYPERLINK("C:\Users\franc\OneDrive\Documentos\MALENTIN KARIME\BANCO ESTADO\2012 DEPTO ESCRITURAS fata\Dc Simples\2012 DEPTO ESCRITURAS\MANDATO\ESPECIAL\OLGA PIZARRO TORO A Dabed.doc", "Abrir Documento")</f>
        <v>0</v>
      </c>
      <c r="D17662" t="s">
        <v>23500</v>
      </c>
      <c r="E17662" t="s">
        <v>40137</v>
      </c>
    </row>
    <row r="17663" spans="1:5">
      <c r="A17663" t="s">
        <v>6</v>
      </c>
      <c r="B17663" t="s">
        <v>17668</v>
      </c>
      <c r="C17663">
        <f>HYPERLINK("C:\Users\franc\OneDrive\Documentos\MALENTIN KARIME\BANCO ESTADO\2012 DEPTO ESCRITURAS fata\Dc Simples\2012 DEPTO ESCRITURAS\MANDATO\ESPECIAL\NELSON MORGADO  LEVIPAN.doc", "Abrir Documento")</f>
        <v>0</v>
      </c>
      <c r="D17663" t="s">
        <v>23500</v>
      </c>
      <c r="E17663" t="s">
        <v>40138</v>
      </c>
    </row>
    <row r="17664" spans="1:5">
      <c r="A17664" t="s">
        <v>6</v>
      </c>
      <c r="B17664" t="s">
        <v>17669</v>
      </c>
      <c r="C17664">
        <f>HYPERLINK("C:\Users\franc\OneDrive\Documentos\MALENTIN KARIME\BANCO ESTADO\2012 DEPTO ESCRITURAS fata\Dc Simples\2012 DEPTO ESCRITURAS\MANDATO\ESPECIAL\MODELO MANDATO ESPECIAL capel.doc", "Abrir Documento")</f>
        <v>0</v>
      </c>
      <c r="D17664" t="s">
        <v>23500</v>
      </c>
      <c r="E17664" t="s">
        <v>40139</v>
      </c>
    </row>
    <row r="17665" spans="1:5">
      <c r="A17665" t="s">
        <v>6</v>
      </c>
      <c r="B17665" t="s">
        <v>17670</v>
      </c>
      <c r="C17665">
        <f>HYPERLINK("C:\Users\franc\OneDrive\Documentos\MALENTIN KARIME\BANCO ESTADO\2012 DEPTO ESCRITURAS fata\Dc Simples\2012 DEPTO ESCRITURAS\MANDATO\ESPECIAL\MODELO E.I.R.L.doc", "Abrir Documento")</f>
        <v>0</v>
      </c>
      <c r="D17665" t="s">
        <v>23500</v>
      </c>
      <c r="E17665" t="s">
        <v>40140</v>
      </c>
    </row>
    <row r="17666" spans="1:5">
      <c r="A17666" t="s">
        <v>6</v>
      </c>
      <c r="B17666" t="s">
        <v>17671</v>
      </c>
      <c r="C17666">
        <f>HYPERLINK("C:\Users\franc\OneDrive\Documentos\MALENTIN KARIME\BANCO ESTADO\2012 DEPTO ESCRITURAS fata\Dc Simples\2012 DEPTO ESCRITURAS\MANDATO\ESPECIAL\MIRNA URQUETA PIZARRO Posesion efectiva.doc", "Abrir Documento")</f>
        <v>0</v>
      </c>
      <c r="D17666" t="s">
        <v>23500</v>
      </c>
      <c r="E17666" t="s">
        <v>40141</v>
      </c>
    </row>
    <row r="17667" spans="1:5">
      <c r="A17667" t="s">
        <v>6</v>
      </c>
      <c r="B17667" t="s">
        <v>17672</v>
      </c>
      <c r="C17667">
        <f>HYPERLINK("C:\Users\franc\OneDrive\Documentos\MALENTIN KARIME\BANCO ESTADO\2012 DEPTO ESCRITURAS fata\Dc Simples\2012 DEPTO ESCRITURAS\MANDATO\ESPECIAL\MIRIAM CAMPOS ALFARO y otros.doc", "Abrir Documento")</f>
        <v>0</v>
      </c>
      <c r="D17667" t="s">
        <v>23500</v>
      </c>
      <c r="E17667" t="s">
        <v>40142</v>
      </c>
    </row>
    <row r="17668" spans="1:5">
      <c r="A17668" t="s">
        <v>6</v>
      </c>
      <c r="B17668" t="s">
        <v>17673</v>
      </c>
      <c r="C17668">
        <f>HYPERLINK("C:\Users\franc\OneDrive\Documentos\MALENTIN KARIME\BANCO ESTADO\2012 DEPTO ESCRITURAS fata\Dc Simples\2012 DEPTO ESCRITURAS\MANDATO\ESPECIAL\MIRIAM CAMPOS ALFARO y otros notaria.doc", "Abrir Documento")</f>
        <v>0</v>
      </c>
      <c r="D17668" t="s">
        <v>23500</v>
      </c>
      <c r="E17668" t="s">
        <v>40143</v>
      </c>
    </row>
    <row r="17669" spans="1:5">
      <c r="A17669" t="s">
        <v>6</v>
      </c>
      <c r="B17669" t="s">
        <v>17674</v>
      </c>
      <c r="C17669">
        <f>HYPERLINK("C:\Users\franc\OneDrive\Documentos\MALENTIN KARIME\BANCO ESTADO\2012 DEPTO ESCRITURAS fata\Dc Simples\2012 DEPTO ESCRITURAS\MANDATO\ESPECIAL\MIRIAM CAMPOS ALFARO modelo cliente.doc", "Abrir Documento")</f>
        <v>0</v>
      </c>
      <c r="D17669" t="s">
        <v>23500</v>
      </c>
      <c r="E17669" t="s">
        <v>40144</v>
      </c>
    </row>
    <row r="17670" spans="1:5">
      <c r="A17670" t="s">
        <v>6</v>
      </c>
      <c r="B17670" t="s">
        <v>17675</v>
      </c>
      <c r="C17670">
        <f>HYPERLINK("C:\Users\franc\OneDrive\Documentos\MALENTIN KARIME\BANCO ESTADO\2012 DEPTO ESCRITURAS fata\Dc Simples\2012 DEPTO ESCRITURAS\MANDATO\ESPECIAL\MAURICIO JIMENEZ RIVERA A Ximena Olatate Agosto 13.doc", "Abrir Documento")</f>
        <v>0</v>
      </c>
      <c r="D17670" t="s">
        <v>23500</v>
      </c>
      <c r="E17670" t="s">
        <v>40145</v>
      </c>
    </row>
    <row r="17671" spans="1:5">
      <c r="A17671" t="s">
        <v>6</v>
      </c>
      <c r="B17671" t="s">
        <v>17676</v>
      </c>
      <c r="C17671">
        <f>HYPERLINK("C:\Users\franc\OneDrive\Documentos\MALENTIN KARIME\BANCO ESTADO\2012 DEPTO ESCRITURAS fata\Dc Simples\2012 DEPTO ESCRITURAS\MANDATO\ESPECIAL\MAURICE JEAN BREAT Minuta.doc", "Abrir Documento")</f>
        <v>0</v>
      </c>
      <c r="D17671" t="s">
        <v>23500</v>
      </c>
      <c r="E17671" t="s">
        <v>40146</v>
      </c>
    </row>
    <row r="17672" spans="1:5">
      <c r="A17672" t="s">
        <v>6</v>
      </c>
      <c r="B17672" t="s">
        <v>17677</v>
      </c>
      <c r="C17672">
        <f>HYPERLINK("C:\Users\franc\OneDrive\Documentos\MALENTIN KARIME\BANCO ESTADO\2012 DEPTO ESCRITURAS fata\Dc Simples\2012 DEPTO ESCRITURAS\MANDATO\ESPECIAL\MAURICE JEAN A LUZ OLIVARES.doc", "Abrir Documento")</f>
        <v>0</v>
      </c>
      <c r="D17672" t="s">
        <v>23500</v>
      </c>
      <c r="E17672" t="s">
        <v>40147</v>
      </c>
    </row>
    <row r="17673" spans="1:5">
      <c r="A17673" t="s">
        <v>6</v>
      </c>
      <c r="B17673" t="s">
        <v>17678</v>
      </c>
      <c r="C17673">
        <f>HYPERLINK("C:\Users\franc\OneDrive\Documentos\MALENTIN KARIME\BANCO ESTADO\2012 DEPTO ESCRITURAS fata\Dc Simples\2012 DEPTO ESCRITURAS\MANDATO\ESPECIAL\MARIA ANTONIETA ELORZA VRGARA A Ramón Elorza+ capel.doc", "Abrir Documento")</f>
        <v>0</v>
      </c>
      <c r="D17673" t="s">
        <v>23500</v>
      </c>
      <c r="E17673" t="s">
        <v>40148</v>
      </c>
    </row>
    <row r="17674" spans="1:5">
      <c r="A17674" t="s">
        <v>6</v>
      </c>
      <c r="B17674" t="s">
        <v>17679</v>
      </c>
      <c r="C17674">
        <f>HYPERLINK("C:\Users\franc\OneDrive\Documentos\MALENTIN KARIME\BANCO ESTADO\2012 DEPTO ESCRITURAS fata\Dc Simples\2012 DEPTO ESCRITURAS\MANDATO\ESPECIAL\MARCELA ALVAREZ HENRIQUEZ Minuta.doc", "Abrir Documento")</f>
        <v>0</v>
      </c>
      <c r="D17674" t="s">
        <v>23500</v>
      </c>
      <c r="E17674" t="s">
        <v>40149</v>
      </c>
    </row>
    <row r="17675" spans="1:5">
      <c r="A17675" t="s">
        <v>6</v>
      </c>
      <c r="B17675" t="s">
        <v>17680</v>
      </c>
      <c r="C17675">
        <f>HYPERLINK("C:\Users\franc\OneDrive\Documentos\MALENTIN KARIME\BANCO ESTADO\2012 DEPTO ESCRITURAS fata\Dc Simples\2012 DEPTO ESCRITURAS\MANDATO\ESPECIAL\MANUEL ROCO Adm.doc", "Abrir Documento")</f>
        <v>0</v>
      </c>
      <c r="D17675" t="s">
        <v>23500</v>
      </c>
      <c r="E17675" t="s">
        <v>40150</v>
      </c>
    </row>
    <row r="17676" spans="1:5">
      <c r="A17676" t="s">
        <v>6</v>
      </c>
      <c r="B17676" t="s">
        <v>17681</v>
      </c>
      <c r="C17676">
        <f>HYPERLINK("C:\Users\franc\OneDrive\Documentos\MALENTIN KARIME\BANCO ESTADO\2012 DEPTO ESCRITURAS fata\Dc Simples\2012 DEPTO ESCRITURAS\MANDATO\ESPECIAL\LUIS DIAZ A RAMON DIAZ (MAS COMPLETO).doc", "Abrir Documento")</f>
        <v>0</v>
      </c>
      <c r="D17676" t="s">
        <v>23500</v>
      </c>
      <c r="E17676" t="s">
        <v>40151</v>
      </c>
    </row>
    <row r="17677" spans="1:5">
      <c r="A17677" t="s">
        <v>6</v>
      </c>
      <c r="B17677" t="s">
        <v>17682</v>
      </c>
      <c r="C17677">
        <f>HYPERLINK("C:\Users\franc\OneDrive\Documentos\MALENTIN KARIME\BANCO ESTADO\2012 DEPTO ESCRITURAS fata\Dc Simples\2012 DEPTO ESCRITURAS\MANDATO\ESPECIAL\LEONIDES CORTES A WALDO MICHEA adms.doc", "Abrir Documento")</f>
        <v>0</v>
      </c>
      <c r="D17677" t="s">
        <v>23500</v>
      </c>
      <c r="E17677" t="s">
        <v>40152</v>
      </c>
    </row>
    <row r="17678" spans="1:5">
      <c r="A17678" t="s">
        <v>6</v>
      </c>
      <c r="B17678" t="s">
        <v>17683</v>
      </c>
      <c r="C17678">
        <f>HYPERLINK("C:\Users\franc\OneDrive\Documentos\MALENTIN KARIME\BANCO ESTADO\2012 DEPTO ESCRITURAS fata\Dc Simples\2012 DEPTO ESCRITURAS\MANDATO\ESPECIAL\LEONIDES CORTES A WALDO MICHEA adms FINAL.doc", "Abrir Documento")</f>
        <v>0</v>
      </c>
      <c r="D17678" t="s">
        <v>23500</v>
      </c>
      <c r="E17678" t="s">
        <v>40153</v>
      </c>
    </row>
    <row r="17679" spans="1:5">
      <c r="A17679" t="s">
        <v>6</v>
      </c>
      <c r="B17679" t="s">
        <v>17684</v>
      </c>
      <c r="C17679">
        <f>HYPERLINK("C:\Users\franc\OneDrive\Documentos\MALENTIN KARIME\BANCO ESTADO\2012 DEPTO ESCRITURAS fata\Dc Simples\2012 DEPTO ESCRITURAS\MANDATO\ESPECIAL\JUAN GUILLERMO MILLA Judic.adm.doc", "Abrir Documento")</f>
        <v>0</v>
      </c>
      <c r="D17679" t="s">
        <v>23500</v>
      </c>
      <c r="E17679" t="s">
        <v>40154</v>
      </c>
    </row>
    <row r="17680" spans="1:5">
      <c r="A17680" t="s">
        <v>6</v>
      </c>
      <c r="B17680" t="s">
        <v>17685</v>
      </c>
      <c r="C17680">
        <f>HYPERLINK("C:\Users\franc\OneDrive\Documentos\MALENTIN KARIME\BANCO ESTADO\2012 DEPTO ESCRITURAS fata\Dc Simples\2012 DEPTO ESCRITURAS\MANDATO\ESPECIAL\JUAN BENAVENTE MILLAN minuta.doc", "Abrir Documento")</f>
        <v>0</v>
      </c>
      <c r="D17680" t="s">
        <v>23500</v>
      </c>
      <c r="E17680" t="s">
        <v>40155</v>
      </c>
    </row>
    <row r="17681" spans="1:5">
      <c r="A17681" t="s">
        <v>6</v>
      </c>
      <c r="B17681" t="s">
        <v>17686</v>
      </c>
      <c r="C17681">
        <f>HYPERLINK("C:\Users\franc\OneDrive\Documentos\MALENTIN KARIME\BANCO ESTADO\2012 DEPTO ESCRITURAS fata\Dc Simples\2012 DEPTO ESCRITURAS\MANDATO\ESPECIAL\JUAN ARAYA PEARSON.doc", "Abrir Documento")</f>
        <v>0</v>
      </c>
      <c r="D17681" t="s">
        <v>23500</v>
      </c>
      <c r="E17681" t="s">
        <v>40156</v>
      </c>
    </row>
    <row r="17682" spans="1:5">
      <c r="A17682" t="s">
        <v>6</v>
      </c>
      <c r="B17682" t="s">
        <v>17687</v>
      </c>
      <c r="C17682">
        <f>HYPERLINK("C:\Users\franc\OneDrive\Documentos\MALENTIN KARIME\BANCO ESTADO\2012 DEPTO ESCRITURAS fata\Dc Simples\2012 DEPTO ESCRITURAS\MANDATO\ESPECIAL\JUAN ARAYA PEARSON Amd.doc", "Abrir Documento")</f>
        <v>0</v>
      </c>
      <c r="D17682" t="s">
        <v>23500</v>
      </c>
      <c r="E17682" t="s">
        <v>40157</v>
      </c>
    </row>
    <row r="17683" spans="1:5">
      <c r="A17683" t="s">
        <v>6</v>
      </c>
      <c r="B17683" t="s">
        <v>17688</v>
      </c>
      <c r="C17683">
        <f>HYPERLINK("C:\Users\franc\OneDrive\Documentos\MALENTIN KARIME\BANCO ESTADO\2012 DEPTO ESCRITURAS fata\Dc Simples\2012 DEPTO ESCRITURAS\MANDATO\ESPECIAL\JORGE GARATE ARAYA mandato para liquidar y adjudicar.doc", "Abrir Documento")</f>
        <v>0</v>
      </c>
      <c r="D17683" t="s">
        <v>23500</v>
      </c>
      <c r="E17683" t="s">
        <v>40158</v>
      </c>
    </row>
    <row r="17684" spans="1:5">
      <c r="A17684" t="s">
        <v>6</v>
      </c>
      <c r="B17684" t="s">
        <v>17689</v>
      </c>
      <c r="C17684">
        <f>HYPERLINK("C:\Users\franc\OneDrive\Documentos\MALENTIN KARIME\BANCO ESTADO\2012 DEPTO ESCRITURAS fata\Dc Simples\2012 DEPTO ESCRITURAS\MANDATO\ESPECIAL\INVERSIONES VERDE MAR sociedad.doc", "Abrir Documento")</f>
        <v>0</v>
      </c>
      <c r="D17684" t="s">
        <v>23500</v>
      </c>
      <c r="E17684" t="s">
        <v>40159</v>
      </c>
    </row>
    <row r="17685" spans="1:5">
      <c r="A17685" t="s">
        <v>6</v>
      </c>
      <c r="B17685" t="s">
        <v>17690</v>
      </c>
      <c r="C17685">
        <f>HYPERLINK("C:\Users\franc\OneDrive\Documentos\MALENTIN KARIME\BANCO ESTADO\2012 DEPTO ESCRITURAS fata\Dc Simples\2012 DEPTO ESCRITURAS\MANDATO\ESPECIAL\INGENIERIA Y CONSTRUCCIONES LTA A Dabed.doc", "Abrir Documento")</f>
        <v>0</v>
      </c>
      <c r="D17685" t="s">
        <v>23500</v>
      </c>
      <c r="E17685" t="s">
        <v>40160</v>
      </c>
    </row>
    <row r="17686" spans="1:5">
      <c r="A17686" t="s">
        <v>6</v>
      </c>
      <c r="B17686" t="s">
        <v>17691</v>
      </c>
      <c r="C17686">
        <f>HYPERLINK("C:\Users\franc\OneDrive\Documentos\MALENTIN KARIME\BANCO ESTADO\2012 DEPTO ESCRITURAS fata\Dc Simples\2012 DEPTO ESCRITURAS\MANDATO\ESPECIAL\HERMAN VALLEJOS A Ruth Vallejos.doc", "Abrir Documento")</f>
        <v>0</v>
      </c>
      <c r="D17686" t="s">
        <v>23500</v>
      </c>
      <c r="E17686" t="s">
        <v>40161</v>
      </c>
    </row>
    <row r="17687" spans="1:5">
      <c r="A17687" t="s">
        <v>6</v>
      </c>
      <c r="B17687" t="s">
        <v>17692</v>
      </c>
      <c r="C17687">
        <f>HYPERLINK("C:\Users\franc\OneDrive\Documentos\MALENTIN KARIME\BANCO ESTADO\2012 DEPTO ESCRITURAS fata\Dc Simples\2012 DEPTO ESCRITURAS\MANDATO\ESPECIAL\HECTOR MEDALLA A GILIAN VILLAR Adms.doc", "Abrir Documento")</f>
        <v>0</v>
      </c>
      <c r="D17687" t="s">
        <v>23500</v>
      </c>
      <c r="E17687" t="s">
        <v>40162</v>
      </c>
    </row>
    <row r="17688" spans="1:5">
      <c r="A17688" t="s">
        <v>6</v>
      </c>
      <c r="B17688" t="s">
        <v>17693</v>
      </c>
      <c r="C17688">
        <f>HYPERLINK("C:\Users\franc\OneDrive\Documentos\MALENTIN KARIME\BANCO ESTADO\2012 DEPTO ESCRITURAS fata\Dc Simples\2012 DEPTO ESCRITURAS\MANDATO\ESPECIAL\GERMAN HERRERA REYES Minuta cobrar.doc", "Abrir Documento")</f>
        <v>0</v>
      </c>
      <c r="D17688" t="s">
        <v>23500</v>
      </c>
      <c r="E17688" t="s">
        <v>40163</v>
      </c>
    </row>
    <row r="17689" spans="1:5">
      <c r="A17689" t="s">
        <v>6</v>
      </c>
      <c r="B17689" t="s">
        <v>17694</v>
      </c>
      <c r="C17689">
        <f>HYPERLINK("C:\Users\franc\OneDrive\Documentos\MALENTIN KARIME\BANCO ESTADO\2012 DEPTO ESCRITURAS fata\Dc Simples\2012 DEPTO ESCRITURAS\MANDATO\ESPECIAL\GEMITA CARRASCO MARIN Minuta.doc", "Abrir Documento")</f>
        <v>0</v>
      </c>
      <c r="D17689" t="s">
        <v>23500</v>
      </c>
      <c r="E17689" t="s">
        <v>40164</v>
      </c>
    </row>
    <row r="17690" spans="1:5">
      <c r="A17690" t="s">
        <v>6</v>
      </c>
      <c r="B17690" t="s">
        <v>17695</v>
      </c>
      <c r="C17690">
        <f>HYPERLINK("C:\Users\franc\OneDrive\Documentos\MALENTIN KARIME\BANCO ESTADO\2012 DEPTO ESCRITURAS fata\Dc Simples\2012 DEPTO ESCRITURAS\MANDATO\ESPECIAL\EDUARDO VALLEJOS A Ruth Vallejos.doc", "Abrir Documento")</f>
        <v>0</v>
      </c>
      <c r="D17690" t="s">
        <v>23500</v>
      </c>
      <c r="E17690" t="s">
        <v>40165</v>
      </c>
    </row>
    <row r="17691" spans="1:5">
      <c r="A17691" t="s">
        <v>6</v>
      </c>
      <c r="B17691" t="s">
        <v>17696</v>
      </c>
      <c r="C17691">
        <f>HYPERLINK("C:\Users\franc\OneDrive\Documentos\MALENTIN KARIME\BANCO ESTADO\2012 DEPTO ESCRITURAS fata\Dc Simples\2012 DEPTO ESCRITURAS\MANDATO\ESPECIAL\EDITH PLAZA Minuta.doc", "Abrir Documento")</f>
        <v>0</v>
      </c>
      <c r="D17691" t="s">
        <v>23500</v>
      </c>
      <c r="E17691" t="s">
        <v>40166</v>
      </c>
    </row>
    <row r="17692" spans="1:5">
      <c r="A17692" t="s">
        <v>6</v>
      </c>
      <c r="B17692" t="s">
        <v>17697</v>
      </c>
      <c r="C17692">
        <f>HYPERLINK("C:\Users\franc\OneDrive\Documentos\MALENTIN KARIME\BANCO ESTADO\2012 DEPTO ESCRITURAS fata\Dc Simples\2012 DEPTO ESCRITURAS\MANDATO\ESPECIAL\DELIA DIAZ GARATE Especial.doc", "Abrir Documento")</f>
        <v>0</v>
      </c>
      <c r="D17692" t="s">
        <v>23500</v>
      </c>
      <c r="E17692" t="s">
        <v>40167</v>
      </c>
    </row>
    <row r="17693" spans="1:5">
      <c r="A17693" t="s">
        <v>6</v>
      </c>
      <c r="B17693" t="s">
        <v>17698</v>
      </c>
      <c r="C17693">
        <f>HYPERLINK("C:\Users\franc\OneDrive\Documentos\MALENTIN KARIME\BANCO ESTADO\2012 DEPTO ESCRITURAS fata\Dc Simples\2012 DEPTO ESCRITURAS\MANDATO\ESPECIAL\DARIO ROJAS CARVAJAL Proindiviso.doc", "Abrir Documento")</f>
        <v>0</v>
      </c>
      <c r="D17693" t="s">
        <v>23500</v>
      </c>
      <c r="E17693" t="s">
        <v>40168</v>
      </c>
    </row>
    <row r="17694" spans="1:5">
      <c r="A17694" t="s">
        <v>6</v>
      </c>
      <c r="B17694" t="s">
        <v>17699</v>
      </c>
      <c r="C17694">
        <f>HYPERLINK("C:\Users\franc\OneDrive\Documentos\MALENTIN KARIME\BANCO ESTADO\2012 DEPTO ESCRITURAS fata\Dc Simples\2012 DEPTO ESCRITURAS\MANDATO\ESPECIAL\DANIEL VERCHATSE Administr.doc", "Abrir Documento")</f>
        <v>0</v>
      </c>
      <c r="D17694" t="s">
        <v>23500</v>
      </c>
      <c r="E17694" t="s">
        <v>40169</v>
      </c>
    </row>
    <row r="17695" spans="1:5">
      <c r="A17695" t="s">
        <v>6</v>
      </c>
      <c r="B17695" t="s">
        <v>17700</v>
      </c>
      <c r="C17695">
        <f>HYPERLINK("C:\Users\franc\OneDrive\Documentos\MALENTIN KARIME\BANCO ESTADO\2012 DEPTO ESCRITURAS fata\Dc Simples\2012 DEPTO ESCRITURAS\MANDATO\ESPECIAL\DANIEL CONTRERAS Minuta junta.doc", "Abrir Documento")</f>
        <v>0</v>
      </c>
      <c r="D17695" t="s">
        <v>23500</v>
      </c>
      <c r="E17695" t="s">
        <v>40170</v>
      </c>
    </row>
    <row r="17696" spans="1:5">
      <c r="A17696" t="s">
        <v>6</v>
      </c>
      <c r="B17696" t="s">
        <v>17701</v>
      </c>
      <c r="C17696">
        <f>HYPERLINK("C:\Users\franc\OneDrive\Documentos\MALENTIN KARIME\BANCO ESTADO\2012 DEPTO ESCRITURAS fata\Dc Simples\2012 DEPTO ESCRITURAS\MANDATO\ESPECIAL\COOPERATIVA PESQUERA  EL SALADO.doc", "Abrir Documento")</f>
        <v>0</v>
      </c>
      <c r="D17696" t="s">
        <v>23500</v>
      </c>
      <c r="E17696" t="s">
        <v>40171</v>
      </c>
    </row>
    <row r="17697" spans="1:5">
      <c r="A17697" t="s">
        <v>6</v>
      </c>
      <c r="B17697" t="s">
        <v>17702</v>
      </c>
      <c r="C17697">
        <f>HYPERLINK("C:\Users\franc\OneDrive\Documentos\MALENTIN KARIME\BANCO ESTADO\2012 DEPTO ESCRITURAS fata\Dc Simples\2012 DEPTO ESCRITURAS\MANDATO\ESPECIAL\CARLOS TREVERTON Y OT. a FIDEL TREVERTON Minuta.doc", "Abrir Documento")</f>
        <v>0</v>
      </c>
      <c r="D17697" t="s">
        <v>23500</v>
      </c>
      <c r="E17697" t="s">
        <v>40172</v>
      </c>
    </row>
    <row r="17698" spans="1:5">
      <c r="A17698" t="s">
        <v>6</v>
      </c>
      <c r="B17698" t="s">
        <v>17703</v>
      </c>
      <c r="C17698">
        <f>HYPERLINK("C:\Users\franc\OneDrive\Documentos\MALENTIN KARIME\BANCO ESTADO\2012 DEPTO ESCRITURAS fata\Dc Simples\2012 DEPTO ESCRITURAS\MANDATO\ESPECIAL\BERNARDITA CARVAJAL URQUIETA AFP.doc", "Abrir Documento")</f>
        <v>0</v>
      </c>
      <c r="D17698" t="s">
        <v>23500</v>
      </c>
      <c r="E17698" t="s">
        <v>40173</v>
      </c>
    </row>
    <row r="17699" spans="1:5">
      <c r="A17699" t="s">
        <v>6</v>
      </c>
      <c r="B17699" t="s">
        <v>17704</v>
      </c>
      <c r="C17699">
        <f>HYPERLINK("C:\Users\franc\OneDrive\Documentos\MALENTIN KARIME\BANCO ESTADO\2012 DEPTO ESCRITURAS fata\Dc Simples\2012 DEPTO ESCRITURAS\MANDATO\ESPECIAL\ARNALDO GUERRA AGUILERA Adm.doc", "Abrir Documento")</f>
        <v>0</v>
      </c>
      <c r="D17699" t="s">
        <v>23500</v>
      </c>
      <c r="E17699" t="s">
        <v>40174</v>
      </c>
    </row>
    <row r="17700" spans="1:5">
      <c r="A17700" t="s">
        <v>6</v>
      </c>
      <c r="B17700" t="s">
        <v>17705</v>
      </c>
      <c r="C17700">
        <f>HYPERLINK("C:\Users\franc\OneDrive\Documentos\MALENTIN KARIME\BANCO ESTADO\2012 DEPTO ESCRITURAS fata\Dc Simples\2012 DEPTO ESCRITURAS\MANDATO\ESPECIAL\ARIEL JOFRE GONZALEZ A Walter Jofré.doc", "Abrir Documento")</f>
        <v>0</v>
      </c>
      <c r="D17700" t="s">
        <v>23500</v>
      </c>
      <c r="E17700" t="s">
        <v>40175</v>
      </c>
    </row>
    <row r="17701" spans="1:5">
      <c r="A17701" t="s">
        <v>6</v>
      </c>
      <c r="B17701" t="s">
        <v>17706</v>
      </c>
      <c r="C17701">
        <f>HYPERLINK("C:\Users\franc\OneDrive\Documentos\MALENTIN KARIME\BANCO ESTADO\2012 DEPTO ESCRITURAS fata\Dc Simples\2012 DEPTO ESCRITURAS\MANDATO\ESPECIAL\ANIBAL ASTORGA Y OTROS A MAURICIO ASTORGA (29-07-2013).doc", "Abrir Documento")</f>
        <v>0</v>
      </c>
      <c r="D17701" t="s">
        <v>23500</v>
      </c>
      <c r="E17701" t="s">
        <v>40176</v>
      </c>
    </row>
    <row r="17702" spans="1:5">
      <c r="A17702" t="s">
        <v>6</v>
      </c>
      <c r="B17702" t="s">
        <v>17707</v>
      </c>
      <c r="C17702">
        <f>HYPERLINK("C:\Users\franc\OneDrive\Documentos\MALENTIN KARIME\BANCO ESTADO\2012 DEPTO ESCRITURAS fata\Dc Simples\2012 DEPTO ESCRITURAS\MANDATO\ESPECIAL\ALICIA ALFARO LOPEZ Adjudicacion.doc", "Abrir Documento")</f>
        <v>0</v>
      </c>
      <c r="D17702" t="s">
        <v>23500</v>
      </c>
      <c r="E17702" t="s">
        <v>40177</v>
      </c>
    </row>
    <row r="17703" spans="1:5">
      <c r="A17703" t="s">
        <v>6</v>
      </c>
      <c r="B17703" t="s">
        <v>17708</v>
      </c>
      <c r="C17703">
        <f>HYPERLINK("C:\Users\franc\OneDrive\Documentos\MALENTIN KARIME\BANCO ESTADO\2012 DEPTO ESCRITURAS fata\Dc Simples\2012 DEPTO ESCRITURAS\MANDATO\ESPECIAL\AGROPALQUI retiro documento.doc", "Abrir Documento")</f>
        <v>0</v>
      </c>
      <c r="D17703" t="s">
        <v>23500</v>
      </c>
      <c r="E17703" t="s">
        <v>40178</v>
      </c>
    </row>
    <row r="17704" spans="1:5">
      <c r="A17704" t="s">
        <v>6</v>
      </c>
      <c r="B17704" t="s">
        <v>17709</v>
      </c>
      <c r="C17704">
        <f>HYPERLINK("C:\Users\franc\OneDrive\Documentos\MALENTIN KARIME\BANCO ESTADO\2012 DEPTO ESCRITURAS fata\Dc Simples\2012 DEPTO ESCRITURAS\MANDATO\ESPECIAL\AGROPALQUI A ELIANA LOPEZ.doc", "Abrir Documento")</f>
        <v>0</v>
      </c>
      <c r="D17704" t="s">
        <v>23500</v>
      </c>
      <c r="E17704" t="s">
        <v>40179</v>
      </c>
    </row>
    <row r="17705" spans="1:5">
      <c r="A17705" t="s">
        <v>6</v>
      </c>
      <c r="B17705" t="s">
        <v>17710</v>
      </c>
      <c r="C17705">
        <f>HYPERLINK("C:\Users\franc\OneDrive\Documentos\MALENTIN KARIME\BANCO ESTADO\2012 DEPTO ESCRITURAS fata\Dc Simples\2012 DEPTO ESCRITURAS\MANDATO\ESPECIAL\ADM, VENDER ARREND JUDICIAL.doc", "Abrir Documento")</f>
        <v>0</v>
      </c>
      <c r="D17705" t="s">
        <v>23500</v>
      </c>
      <c r="E17705" t="s">
        <v>40180</v>
      </c>
    </row>
    <row r="17706" spans="1:5">
      <c r="A17706" t="s">
        <v>6</v>
      </c>
      <c r="B17706" t="s">
        <v>17711</v>
      </c>
      <c r="C17706">
        <f>HYPERLINK("C:\Users\franc\OneDrive\Documentos\MALENTIN KARIME\BANCO ESTADO\2012 DEPTO ESCRITURAS fata\Dc Simples\2012 DEPTO ESCRITURAS\MANDATO\COMPRAR\PAULINA GALVEZ.doc", "Abrir Documento")</f>
        <v>0</v>
      </c>
      <c r="D17706" t="s">
        <v>23500</v>
      </c>
      <c r="E17706" t="s">
        <v>40181</v>
      </c>
    </row>
    <row r="17707" spans="1:5">
      <c r="A17707" t="s">
        <v>6</v>
      </c>
      <c r="B17707" t="s">
        <v>17712</v>
      </c>
      <c r="C17707">
        <f>HYPERLINK("C:\Users\franc\OneDrive\Documentos\MALENTIN KARIME\BANCO ESTADO\2012 DEPTO ESCRITURAS fata\Dc Simples\2012 DEPTO ESCRITURAS\MANDATO\COMPRAR\PAULINA GALVEZ Y CIA. LTDA. Banco.doc", "Abrir Documento")</f>
        <v>0</v>
      </c>
      <c r="D17707" t="s">
        <v>23500</v>
      </c>
      <c r="E17707" t="s">
        <v>40182</v>
      </c>
    </row>
    <row r="17708" spans="1:5">
      <c r="A17708" t="s">
        <v>6</v>
      </c>
      <c r="B17708" t="s">
        <v>17713</v>
      </c>
      <c r="C17708">
        <f>HYPERLINK("C:\Users\franc\OneDrive\Documentos\MALENTIN KARIME\BANCO ESTADO\2012 DEPTO ESCRITURAS fata\Dc Simples\2012 DEPTO ESCRITURAS\MANDATO\COMPRAR\PAULINA GALVEZ II.doc", "Abrir Documento")</f>
        <v>0</v>
      </c>
      <c r="D17708" t="s">
        <v>23500</v>
      </c>
      <c r="E17708" t="s">
        <v>40183</v>
      </c>
    </row>
    <row r="17709" spans="1:5">
      <c r="A17709" t="s">
        <v>6</v>
      </c>
      <c r="B17709" t="s">
        <v>17714</v>
      </c>
      <c r="C17709">
        <f>HYPERLINK("C:\Users\franc\OneDrive\Documentos\MALENTIN KARIME\BANCO ESTADO\2012 DEPTO ESCRITURAS fata\Dc Simples\2012 DEPTO ESCRITURAS\MANDATO\COMPRAR\MARISOL MEDINA ZAPATA A Cristian Gallardo FUENTEALBA.doc", "Abrir Documento")</f>
        <v>0</v>
      </c>
      <c r="D17709" t="s">
        <v>23500</v>
      </c>
      <c r="E17709" t="s">
        <v>40184</v>
      </c>
    </row>
    <row r="17710" spans="1:5">
      <c r="A17710" t="s">
        <v>6</v>
      </c>
      <c r="B17710" t="s">
        <v>17715</v>
      </c>
      <c r="C17710">
        <f>HYPERLINK("C:\Users\franc\OneDrive\Documentos\MALENTIN KARIME\BANCO ESTADO\2012 DEPTO ESCRITURAS fata\Dc Simples\2012 DEPTO ESCRITURAS\MANDATO\COMPRAR\GAMAL ROJAS.doc", "Abrir Documento")</f>
        <v>0</v>
      </c>
      <c r="D17710" t="s">
        <v>23500</v>
      </c>
      <c r="E17710" t="s">
        <v>40185</v>
      </c>
    </row>
    <row r="17711" spans="1:5">
      <c r="A17711" t="s">
        <v>6</v>
      </c>
      <c r="B17711" t="s">
        <v>17716</v>
      </c>
      <c r="C17711">
        <f>HYPERLINK("C:\Users\franc\OneDrive\Documentos\MALENTIN KARIME\BANCO ESTADO\2012 DEPTO ESCRITURAS fata\Dc Simples\2012 DEPTO ESCRITURAS\MANDATO\COMPRAR\FRANCO CARRASCO AHUMADA.doc", "Abrir Documento")</f>
        <v>0</v>
      </c>
      <c r="D17711" t="s">
        <v>23500</v>
      </c>
      <c r="E17711" t="s">
        <v>40186</v>
      </c>
    </row>
    <row r="17712" spans="1:5">
      <c r="A17712" t="s">
        <v>6</v>
      </c>
      <c r="B17712" t="s">
        <v>17717</v>
      </c>
      <c r="C17712">
        <f>HYPERLINK("C:\Users\franc\OneDrive\Documentos\MALENTIN KARIME\BANCO ESTADO\2012 DEPTO ESCRITURAS fata\Dc Simples\2012 DEPTO ESCRITURAS\MANDATO\COMPRAR\ALBINA ORELLANA MOLINA.doc", "Abrir Documento")</f>
        <v>0</v>
      </c>
      <c r="D17712" t="s">
        <v>23500</v>
      </c>
      <c r="E17712" t="s">
        <v>40187</v>
      </c>
    </row>
    <row r="17713" spans="1:5">
      <c r="A17713" t="s">
        <v>6</v>
      </c>
      <c r="B17713" t="s">
        <v>17718</v>
      </c>
      <c r="C17713">
        <f>HYPERLINK("C:\Users\franc\OneDrive\Documentos\MALENTIN KARIME\BANCO ESTADO\2012 DEPTO ESCRITURAS fata\Dc Simples\2012 DEPTO ESCRITURAS\MANDATO\BANCARIOS\ZENON ROJO ALVAREZ A HECTOR CASANOVA  Minas.doc", "Abrir Documento")</f>
        <v>0</v>
      </c>
      <c r="D17713" t="s">
        <v>23500</v>
      </c>
      <c r="E17713" t="s">
        <v>40188</v>
      </c>
    </row>
    <row r="17714" spans="1:5">
      <c r="A17714" t="s">
        <v>6</v>
      </c>
      <c r="B17714" t="s">
        <v>17719</v>
      </c>
      <c r="C17714">
        <f>HYPERLINK("C:\Users\franc\OneDrive\Documentos\MALENTIN KARIME\BANCO ESTADO\2012 DEPTO ESCRITURAS fata\Dc Simples\2012 DEPTO ESCRITURAS\MANDATO\BANCARIOS\WILLIAM TABILO ROBLES.doc", "Abrir Documento")</f>
        <v>0</v>
      </c>
      <c r="D17714" t="s">
        <v>23500</v>
      </c>
      <c r="E17714" t="s">
        <v>40189</v>
      </c>
    </row>
    <row r="17715" spans="1:5">
      <c r="A17715" t="s">
        <v>6</v>
      </c>
      <c r="B17715" t="s">
        <v>17720</v>
      </c>
      <c r="C17715">
        <f>HYPERLINK("C:\Users\franc\OneDrive\Documentos\MALENTIN KARIME\BANCO ESTADO\2012 DEPTO ESCRITURAS fata\Dc Simples\2012 DEPTO ESCRITURAS\MANDATO\BANCARIOS\VICTOR ALFREDO CORTES ALFARO A Mabel Ramirez (VALE VISTA).doc", "Abrir Documento")</f>
        <v>0</v>
      </c>
      <c r="D17715" t="s">
        <v>23500</v>
      </c>
      <c r="E17715" t="s">
        <v>40190</v>
      </c>
    </row>
    <row r="17716" spans="1:5">
      <c r="A17716" t="s">
        <v>6</v>
      </c>
      <c r="B17716" t="s">
        <v>17721</v>
      </c>
      <c r="C17716">
        <f>HYPERLINK("C:\Users\franc\OneDrive\Documentos\MALENTIN KARIME\BANCO ESTADO\2012 DEPTO ESCRITURAS fata\Dc Simples\2012 DEPTO ESCRITURAS\MANDATO\BANCARIOS\SORAYA ANICH ALLEL ( CTA.CTE).doc", "Abrir Documento")</f>
        <v>0</v>
      </c>
      <c r="D17716" t="s">
        <v>23500</v>
      </c>
      <c r="E17716" t="s">
        <v>40191</v>
      </c>
    </row>
    <row r="17717" spans="1:5">
      <c r="A17717" t="s">
        <v>6</v>
      </c>
      <c r="B17717" t="s">
        <v>17722</v>
      </c>
      <c r="C17717">
        <f>HYPERLINK("C:\Users\franc\OneDrive\Documentos\MALENTIN KARIME\BANCO ESTADO\2012 DEPTO ESCRITURAS fata\Dc Simples\2012 DEPTO ESCRITURAS\MANDATO\BANCARIOS\SLM ISRAEL ANTONIO I PUNITAQUI (cheques minas).doc", "Abrir Documento")</f>
        <v>0</v>
      </c>
      <c r="D17717" t="s">
        <v>23500</v>
      </c>
      <c r="E17717" t="s">
        <v>40192</v>
      </c>
    </row>
    <row r="17718" spans="1:5">
      <c r="A17718" t="s">
        <v>6</v>
      </c>
      <c r="B17718" t="s">
        <v>17723</v>
      </c>
      <c r="C17718">
        <f>HYPERLINK("C:\Users\franc\OneDrive\Documentos\MALENTIN KARIME\BANCO ESTADO\2012 DEPTO ESCRITURAS fata\Dc Simples\2012 DEPTO ESCRITURAS\MANDATO\BANCARIOS\SANTIAGO VARGAS GALLEGUILLOS 2013.doc", "Abrir Documento")</f>
        <v>0</v>
      </c>
      <c r="D17718" t="s">
        <v>23500</v>
      </c>
      <c r="E17718" t="s">
        <v>40193</v>
      </c>
    </row>
    <row r="17719" spans="1:5">
      <c r="A17719" t="s">
        <v>6</v>
      </c>
      <c r="B17719" t="s">
        <v>17724</v>
      </c>
      <c r="C17719">
        <f>HYPERLINK("C:\Users\franc\OneDrive\Documentos\MALENTIN KARIME\BANCO ESTADO\2012 DEPTO ESCRITURAS fata\Dc Simples\2012 DEPTO ESCRITURAS\MANDATO\BANCARIOS\SANTIAGO VARGAS GALLEGUILLOS 2012.doc", "Abrir Documento")</f>
        <v>0</v>
      </c>
      <c r="D17719" t="s">
        <v>23500</v>
      </c>
      <c r="E17719" t="s">
        <v>40194</v>
      </c>
    </row>
    <row r="17720" spans="1:5">
      <c r="A17720" t="s">
        <v>6</v>
      </c>
      <c r="B17720" t="s">
        <v>17725</v>
      </c>
      <c r="C17720">
        <f>HYPERLINK("C:\Users\franc\OneDrive\Documentos\MALENTIN KARIME\BANCO ESTADO\2012 DEPTO ESCRITURAS fata\Dc Simples\2012 DEPTO ESCRITURAS\MANDATO\BANCARIOS\ROBERTO ROJAS CORTES CTA. CTE..doc", "Abrir Documento")</f>
        <v>0</v>
      </c>
      <c r="D17720" t="s">
        <v>23500</v>
      </c>
      <c r="E17720" t="s">
        <v>40195</v>
      </c>
    </row>
    <row r="17721" spans="1:5">
      <c r="A17721" t="s">
        <v>6</v>
      </c>
      <c r="B17721" t="s">
        <v>17726</v>
      </c>
      <c r="C17721">
        <f>HYPERLINK("C:\Users\franc\OneDrive\Documentos\MALENTIN KARIME\BANCO ESTADO\2012 DEPTO ESCRITURAS fata\Dc Simples\2012 DEPTO ESCRITURAS\MANDATO\BANCARIOS\PEDRO ROJAS RAMIREZ.doc", "Abrir Documento")</f>
        <v>0</v>
      </c>
      <c r="D17721" t="s">
        <v>23500</v>
      </c>
      <c r="E17721" t="s">
        <v>40196</v>
      </c>
    </row>
    <row r="17722" spans="1:5">
      <c r="A17722" t="s">
        <v>6</v>
      </c>
      <c r="B17722" t="s">
        <v>17727</v>
      </c>
      <c r="C17722">
        <f>HYPERLINK("C:\Users\franc\OneDrive\Documentos\MALENTIN KARIME\BANCO ESTADO\2012 DEPTO ESCRITURAS fata\Dc Simples\2012 DEPTO ESCRITURAS\MANDATO\BANCARIOS\PEDRO CASTRO VILLA NUEVEA.doc", "Abrir Documento")</f>
        <v>0</v>
      </c>
      <c r="D17722" t="s">
        <v>23500</v>
      </c>
      <c r="E17722" t="s">
        <v>40197</v>
      </c>
    </row>
    <row r="17723" spans="1:5">
      <c r="A17723" t="s">
        <v>6</v>
      </c>
      <c r="B17723" t="s">
        <v>17728</v>
      </c>
      <c r="C17723">
        <f>HYPERLINK("C:\Users\franc\OneDrive\Documentos\MALENTIN KARIME\BANCO ESTADO\2012 DEPTO ESCRITURAS fata\Dc Simples\2012 DEPTO ESCRITURAS\MANDATO\BANCARIOS\PAOLA ALVAREZ CABEZAS CTA. CTE..doc", "Abrir Documento")</f>
        <v>0</v>
      </c>
      <c r="D17723" t="s">
        <v>23500</v>
      </c>
      <c r="E17723" t="s">
        <v>40198</v>
      </c>
    </row>
    <row r="17724" spans="1:5">
      <c r="A17724" t="s">
        <v>6</v>
      </c>
      <c r="B17724" t="s">
        <v>17729</v>
      </c>
      <c r="C17724">
        <f>HYPERLINK("C:\Users\franc\OneDrive\Documentos\MALENTIN KARIME\BANCO ESTADO\2012 DEPTO ESCRITURAS fata\Dc Simples\2012 DEPTO ESCRITURAS\MANDATO\BANCARIOS\NICOLAS TERUEL Bestado.doc", "Abrir Documento")</f>
        <v>0</v>
      </c>
      <c r="D17724" t="s">
        <v>23500</v>
      </c>
      <c r="E17724" t="s">
        <v>40199</v>
      </c>
    </row>
    <row r="17725" spans="1:5">
      <c r="A17725" t="s">
        <v>6</v>
      </c>
      <c r="B17725" t="s">
        <v>17730</v>
      </c>
      <c r="C17725">
        <f>HYPERLINK("C:\Users\franc\OneDrive\Documentos\MALENTIN KARIME\BANCO ESTADO\2012 DEPTO ESCRITURAS fata\Dc Simples\2012 DEPTO ESCRITURAS\MANDATO\BANCARIOS\modelo CHEQUES.doc", "Abrir Documento")</f>
        <v>0</v>
      </c>
      <c r="D17725" t="s">
        <v>23500</v>
      </c>
      <c r="E17725" t="s">
        <v>40200</v>
      </c>
    </row>
    <row r="17726" spans="1:5">
      <c r="A17726" t="s">
        <v>6</v>
      </c>
      <c r="B17726" t="s">
        <v>17731</v>
      </c>
      <c r="C17726">
        <f>HYPERLINK("C:\Users\franc\OneDrive\Documentos\MALENTIN KARIME\BANCO ESTADO\2012 DEPTO ESCRITURAS fata\Dc Simples\2012 DEPTO ESCRITURAS\MANDATO\BANCARIOS\MARIO CASTILLO.doc", "Abrir Documento")</f>
        <v>0</v>
      </c>
      <c r="D17726" t="s">
        <v>23500</v>
      </c>
      <c r="E17726" t="s">
        <v>40201</v>
      </c>
    </row>
    <row r="17727" spans="1:5">
      <c r="A17727" t="s">
        <v>6</v>
      </c>
      <c r="B17727" t="s">
        <v>17732</v>
      </c>
      <c r="C17727">
        <f>HYPERLINK("C:\Users\franc\OneDrive\Documentos\MALENTIN KARIME\BANCO ESTADO\2012 DEPTO ESCRITURAS fata\Dc Simples\2012 DEPTO ESCRITURAS\MANDATO\BANCARIOS\MARIA ARAGON ( CTA.CTE).doc", "Abrir Documento")</f>
        <v>0</v>
      </c>
      <c r="D17727" t="s">
        <v>23500</v>
      </c>
      <c r="E17727" t="s">
        <v>40202</v>
      </c>
    </row>
    <row r="17728" spans="1:5">
      <c r="A17728" t="s">
        <v>6</v>
      </c>
      <c r="B17728" t="s">
        <v>17733</v>
      </c>
      <c r="C17728">
        <f>HYPERLINK("C:\Users\franc\OneDrive\Documentos\MALENTIN KARIME\BANCO ESTADO\2012 DEPTO ESCRITURAS fata\Dc Simples\2012 DEPTO ESCRITURAS\MANDATO\BANCARIOS\MANUEL MAURIN PIZARRO  A VICTOR ARGANDOÑA ( CTA.CTE).doc", "Abrir Documento")</f>
        <v>0</v>
      </c>
      <c r="D17728" t="s">
        <v>23500</v>
      </c>
      <c r="E17728" t="s">
        <v>40203</v>
      </c>
    </row>
    <row r="17729" spans="1:5">
      <c r="A17729" t="s">
        <v>6</v>
      </c>
      <c r="B17729" t="s">
        <v>17734</v>
      </c>
      <c r="C17729">
        <f>HYPERLINK("C:\Users\franc\OneDrive\Documentos\MALENTIN KARIME\BANCO ESTADO\2012 DEPTO ESCRITURAS fata\Dc Simples\2012 DEPTO ESCRITURAS\MANDATO\BANCARIOS\LOS MAITENES RIO HURTADO.doc", "Abrir Documento")</f>
        <v>0</v>
      </c>
      <c r="D17729" t="s">
        <v>23500</v>
      </c>
      <c r="E17729" t="s">
        <v>40204</v>
      </c>
    </row>
    <row r="17730" spans="1:5">
      <c r="A17730" t="s">
        <v>6</v>
      </c>
      <c r="B17730" t="s">
        <v>17735</v>
      </c>
      <c r="C17730">
        <f>HYPERLINK("C:\Users\franc\OneDrive\Documentos\MALENTIN KARIME\BANCO ESTADO\2012 DEPTO ESCRITURAS fata\Dc Simples\2012 DEPTO ESCRITURAS\MANDATO\BANCARIOS\JUANA CAMPUSANO MIRANDA A CARLOS SEGOVIA.doc", "Abrir Documento")</f>
        <v>0</v>
      </c>
      <c r="D17730" t="s">
        <v>23500</v>
      </c>
      <c r="E17730" t="s">
        <v>40205</v>
      </c>
    </row>
    <row r="17731" spans="1:5">
      <c r="A17731" t="s">
        <v>6</v>
      </c>
      <c r="B17731" t="s">
        <v>17736</v>
      </c>
      <c r="C17731">
        <f>HYPERLINK("C:\Users\franc\OneDrive\Documentos\MALENTIN KARIME\BANCO ESTADO\2012 DEPTO ESCRITURAS fata\Dc Simples\2012 DEPTO ESCRITURAS\MANDATO\BANCARIOS\JORGE MALUENDA.doc", "Abrir Documento")</f>
        <v>0</v>
      </c>
      <c r="D17731" t="s">
        <v>23500</v>
      </c>
      <c r="E17731" t="s">
        <v>40206</v>
      </c>
    </row>
    <row r="17732" spans="1:5">
      <c r="A17732" t="s">
        <v>6</v>
      </c>
      <c r="B17732" t="s">
        <v>17737</v>
      </c>
      <c r="C17732">
        <f>HYPERLINK("C:\Users\franc\OneDrive\Documentos\MALENTIN KARIME\BANCO ESTADO\2012 DEPTO ESCRITURAS fata\Dc Simples\2012 DEPTO ESCRITURAS\MANDATO\BANCARIOS\JINCONG DENG ( CTA.CTE).doc", "Abrir Documento")</f>
        <v>0</v>
      </c>
      <c r="D17732" t="s">
        <v>23500</v>
      </c>
      <c r="E17732" t="s">
        <v>40207</v>
      </c>
    </row>
    <row r="17733" spans="1:5">
      <c r="A17733" t="s">
        <v>6</v>
      </c>
      <c r="B17733" t="s">
        <v>17738</v>
      </c>
      <c r="C17733">
        <f>HYPERLINK("C:\Users\franc\OneDrive\Documentos\MALENTIN KARIME\BANCO ESTADO\2012 DEPTO ESCRITURAS fata\Dc Simples\2012 DEPTO ESCRITURAS\MANDATO\BANCARIOS\JAVIER TABILO Bco.Santander.doc", "Abrir Documento")</f>
        <v>0</v>
      </c>
      <c r="D17733" t="s">
        <v>23500</v>
      </c>
      <c r="E17733" t="s">
        <v>40208</v>
      </c>
    </row>
    <row r="17734" spans="1:5">
      <c r="A17734" t="s">
        <v>6</v>
      </c>
      <c r="B17734" t="s">
        <v>17739</v>
      </c>
      <c r="C17734">
        <f>HYPERLINK("C:\Users\franc\OneDrive\Documentos\MALENTIN KARIME\BANCO ESTADO\2012 DEPTO ESCRITURAS fata\Dc Simples\2012 DEPTO ESCRITURAS\MANDATO\BANCARIOS\JAVIER TABILO Bco. Corpbanca.doc", "Abrir Documento")</f>
        <v>0</v>
      </c>
      <c r="D17734" t="s">
        <v>23500</v>
      </c>
      <c r="E17734" t="s">
        <v>40209</v>
      </c>
    </row>
    <row r="17735" spans="1:5">
      <c r="A17735" t="s">
        <v>6</v>
      </c>
      <c r="B17735" t="s">
        <v>17740</v>
      </c>
      <c r="C17735">
        <f>HYPERLINK("C:\Users\franc\OneDrive\Documentos\MALENTIN KARIME\BANCO ESTADO\2012 DEPTO ESCRITURAS fata\Dc Simples\2012 DEPTO ESCRITURAS\MANDATO\BANCARIOS\HILDA ANJEL CASTILLO.doc", "Abrir Documento")</f>
        <v>0</v>
      </c>
      <c r="D17735" t="s">
        <v>23500</v>
      </c>
      <c r="E17735" t="s">
        <v>40210</v>
      </c>
    </row>
    <row r="17736" spans="1:5">
      <c r="A17736" t="s">
        <v>6</v>
      </c>
      <c r="B17736" t="s">
        <v>17741</v>
      </c>
      <c r="C17736">
        <f>HYPERLINK("C:\Users\franc\OneDrive\Documentos\MALENTIN KARIME\BANCO ESTADO\2012 DEPTO ESCRITURAS fata\Dc Simples\2012 DEPTO ESCRITURAS\MANDATO\BANCARIOS\HERNAN IBACACHE RIVERA Mariana.doc", "Abrir Documento")</f>
        <v>0</v>
      </c>
      <c r="D17736" t="s">
        <v>23500</v>
      </c>
      <c r="E17736" t="s">
        <v>40211</v>
      </c>
    </row>
    <row r="17737" spans="1:5">
      <c r="A17737" t="s">
        <v>6</v>
      </c>
      <c r="B17737" t="s">
        <v>17742</v>
      </c>
      <c r="C17737">
        <f>HYPERLINK("C:\Users\franc\OneDrive\Documentos\MALENTIN KARIME\BANCO ESTADO\2012 DEPTO ESCRITURAS fata\Dc Simples\2012 DEPTO ESCRITURAS\MANDATO\BANCARIOS\HERMOGENES RUBIO - MILENA ZEGARRA.doc", "Abrir Documento")</f>
        <v>0</v>
      </c>
      <c r="D17737" t="s">
        <v>23500</v>
      </c>
      <c r="E17737" t="s">
        <v>40212</v>
      </c>
    </row>
    <row r="17738" spans="1:5">
      <c r="A17738" t="s">
        <v>6</v>
      </c>
      <c r="B17738" t="s">
        <v>17743</v>
      </c>
      <c r="C17738">
        <f>HYPERLINK("C:\Users\franc\OneDrive\Documentos\MALENTIN KARIME\BANCO ESTADO\2012 DEPTO ESCRITURAS fata\Dc Simples\2012 DEPTO ESCRITURAS\MANDATO\BANCARIOS\FRANCISCO CORTES BONILLA.doc", "Abrir Documento")</f>
        <v>0</v>
      </c>
      <c r="D17738" t="s">
        <v>23500</v>
      </c>
      <c r="E17738" t="s">
        <v>40213</v>
      </c>
    </row>
    <row r="17739" spans="1:5">
      <c r="A17739" t="s">
        <v>6</v>
      </c>
      <c r="B17739" t="s">
        <v>17744</v>
      </c>
      <c r="C17739">
        <f>HYPERLINK("C:\Users\franc\OneDrive\Documentos\MALENTIN KARIME\BANCO ESTADO\2012 DEPTO ESCRITURAS fata\Dc Simples\2012 DEPTO ESCRITURAS\MANDATO\BANCARIOS\ESMERALDO VALDIVIA.doc", "Abrir Documento")</f>
        <v>0</v>
      </c>
      <c r="D17739" t="s">
        <v>23500</v>
      </c>
      <c r="E17739" t="s">
        <v>40214</v>
      </c>
    </row>
    <row r="17740" spans="1:5">
      <c r="A17740" t="s">
        <v>6</v>
      </c>
      <c r="B17740" t="s">
        <v>17745</v>
      </c>
      <c r="C17740">
        <f>HYPERLINK("C:\Users\franc\OneDrive\Documentos\MALENTIN KARIME\BANCO ESTADO\2012 DEPTO ESCRITURAS fata\Dc Simples\2012 DEPTO ESCRITURAS\MANDATO\BANCARIOS\DOMINGO TERUEL Corpbanca.doc", "Abrir Documento")</f>
        <v>0</v>
      </c>
      <c r="D17740" t="s">
        <v>23500</v>
      </c>
      <c r="E17740" t="s">
        <v>40215</v>
      </c>
    </row>
    <row r="17741" spans="1:5">
      <c r="A17741" t="s">
        <v>6</v>
      </c>
      <c r="B17741" t="s">
        <v>17746</v>
      </c>
      <c r="C17741">
        <f>HYPERLINK("C:\Users\franc\OneDrive\Documentos\MALENTIN KARIME\BANCO ESTADO\2012 DEPTO ESCRITURAS fata\Dc Simples\2012 DEPTO ESCRITURAS\MANDATO\BANCARIOS\CIRO BERRIOS ROMERO ( CTA.CTE).doc", "Abrir Documento")</f>
        <v>0</v>
      </c>
      <c r="D17741" t="s">
        <v>23500</v>
      </c>
      <c r="E17741" t="s">
        <v>40216</v>
      </c>
    </row>
    <row r="17742" spans="1:5">
      <c r="A17742" t="s">
        <v>6</v>
      </c>
      <c r="B17742" t="s">
        <v>17747</v>
      </c>
      <c r="C17742">
        <f>HYPERLINK("C:\Users\franc\OneDrive\Documentos\MALENTIN KARIME\BANCO ESTADO\2012 DEPTO ESCRITURAS fata\Dc Simples\2012 DEPTO ESCRITURAS\MANDATO\BANCARIOS\CANAL DERIVADO PUNITAQUI ( CTA.CTE).doc", "Abrir Documento")</f>
        <v>0</v>
      </c>
      <c r="D17742" t="s">
        <v>23500</v>
      </c>
      <c r="E17742" t="s">
        <v>40217</v>
      </c>
    </row>
    <row r="17743" spans="1:5">
      <c r="A17743" t="s">
        <v>6</v>
      </c>
      <c r="B17743" t="s">
        <v>17748</v>
      </c>
      <c r="C17743">
        <f>HYPERLINK("C:\Users\franc\OneDrive\Documentos\MALENTIN KARIME\BANCO ESTADO\2012 DEPTO ESCRITURAS fata\Dc Simples\2012 DEPTO ESCRITURAS\MANDATO\BANCARIOS\ARNALDO GUERRA AGUILERA.doc", "Abrir Documento")</f>
        <v>0</v>
      </c>
      <c r="D17743" t="s">
        <v>23500</v>
      </c>
      <c r="E17743" t="s">
        <v>40218</v>
      </c>
    </row>
    <row r="17744" spans="1:5">
      <c r="A17744" t="s">
        <v>6</v>
      </c>
      <c r="B17744" t="s">
        <v>17749</v>
      </c>
      <c r="C17744">
        <f>HYPERLINK("C:\Users\franc\OneDrive\Documentos\MALENTIN KARIME\BANCO ESTADO\2012 DEPTO ESCRITURAS fata\Dc Simples\2012 DEPTO ESCRITURAS\MANDATO\BANCARIOS\ALBERTO NUÑEZ CASTILLO.doc", "Abrir Documento")</f>
        <v>0</v>
      </c>
      <c r="D17744" t="s">
        <v>23500</v>
      </c>
      <c r="E17744" t="s">
        <v>40219</v>
      </c>
    </row>
    <row r="17745" spans="1:5">
      <c r="A17745" t="s">
        <v>6</v>
      </c>
      <c r="B17745" t="s">
        <v>17750</v>
      </c>
      <c r="C17745">
        <f>HYPERLINK("C:\Users\franc\OneDrive\Documentos\MALENTIN KARIME\BANCO ESTADO\2012 DEPTO ESCRITURAS fata\Dc Simples\2012 DEPTO ESCRITURAS\MANDATO\BANCARIOS\AGUILERA BUSTAMANTE Y CIA.( CTA.CTE).doc", "Abrir Documento")</f>
        <v>0</v>
      </c>
      <c r="D17745" t="s">
        <v>23500</v>
      </c>
      <c r="E17745" t="s">
        <v>40220</v>
      </c>
    </row>
    <row r="17746" spans="1:5">
      <c r="A17746" t="s">
        <v>6</v>
      </c>
      <c r="B17746" t="s">
        <v>17751</v>
      </c>
      <c r="C17746">
        <f>HYPERLINK("C:\Users\franc\OneDrive\Documentos\MALENTIN KARIME\BANCO ESTADO\2012 DEPTO ESCRITURAS fata\Dc Simples\2012 DEPTO ESCRITURAS\MANDATO\BANCARIOS\ADOLFO VARVAS VARGAS.doc", "Abrir Documento")</f>
        <v>0</v>
      </c>
      <c r="D17746" t="s">
        <v>23500</v>
      </c>
      <c r="E17746" t="s">
        <v>40221</v>
      </c>
    </row>
    <row r="17747" spans="1:5">
      <c r="A17747" t="s">
        <v>6</v>
      </c>
      <c r="B17747" t="s">
        <v>17752</v>
      </c>
      <c r="C17747">
        <f>HYPERLINK("C:\Users\franc\OneDrive\Documentos\MALENTIN KARIME\BANCO ESTADO\2012 DEPTO ESCRITURAS fata\Dc Simples\2012 DEPTO ESCRITURAS\MANDATO\ARTURO CONTADOR\AGRICOLA SAN ERASMO.doc", "Abrir Documento")</f>
        <v>0</v>
      </c>
      <c r="D17747" t="s">
        <v>23500</v>
      </c>
      <c r="E17747" t="s">
        <v>40222</v>
      </c>
    </row>
    <row r="17748" spans="1:5">
      <c r="A17748" t="s">
        <v>6</v>
      </c>
      <c r="B17748" t="s">
        <v>17753</v>
      </c>
      <c r="C17748">
        <f>HYPERLINK("C:\Users\franc\OneDrive\Documentos\MALENTIN KARIME\BANCO ESTADO\2012 DEPTO ESCRITURAS fata\Dc Simples\2012 DEPTO ESCRITURAS\MANDATO\ARTURO CONTADOR\AGRICOLA RECOLETA DOS.doc", "Abrir Documento")</f>
        <v>0</v>
      </c>
      <c r="D17748" t="s">
        <v>23500</v>
      </c>
      <c r="E17748" t="s">
        <v>40223</v>
      </c>
    </row>
    <row r="17749" spans="1:5">
      <c r="A17749" t="s">
        <v>6</v>
      </c>
      <c r="B17749" t="s">
        <v>17754</v>
      </c>
      <c r="C17749">
        <f>HYPERLINK("C:\Users\franc\OneDrive\Documentos\MALENTIN KARIME\BANCO ESTADO\2012 DEPTO ESCRITURAS fata\Dc Simples\2012 DEPTO ESCRITURAS\MANDATO\ARTURO CONTADOR\AGRICOLA LAS TOTORAS UNO S.A..doc", "Abrir Documento")</f>
        <v>0</v>
      </c>
      <c r="D17749" t="s">
        <v>23500</v>
      </c>
      <c r="E17749" t="s">
        <v>40224</v>
      </c>
    </row>
    <row r="17750" spans="1:5">
      <c r="A17750" t="s">
        <v>6</v>
      </c>
      <c r="B17750" t="s">
        <v>17755</v>
      </c>
      <c r="C17750">
        <f>HYPERLINK("C:\Users\franc\OneDrive\Documentos\MALENTIN KARIME\BANCO ESTADO\2012 DEPTO ESCRITURAS fata\Dc Simples\2012 DEPTO ESCRITURAS\MANDATO\NORTES PEÑALOZA.doc", "Abrir Documento")</f>
        <v>0</v>
      </c>
      <c r="D17750" t="s">
        <v>23500</v>
      </c>
      <c r="E17750" t="s">
        <v>40225</v>
      </c>
    </row>
    <row r="17751" spans="1:5">
      <c r="A17751" t="s">
        <v>6</v>
      </c>
      <c r="B17751" t="s">
        <v>17756</v>
      </c>
      <c r="C17751">
        <f>HYPERLINK("C:\Users\franc\OneDrive\Documentos\MALENTIN KARIME\BANCO ESTADO\2012 DEPTO ESCRITURAS fata\Dc Simples\2012 DEPTO ESCRITURAS\LUIS URQUETA\AGRICOLA LA RECOLETA A RAUL ALVAREZ.doc", "Abrir Documento")</f>
        <v>0</v>
      </c>
      <c r="D17751" t="s">
        <v>23500</v>
      </c>
      <c r="E17751" t="s">
        <v>40226</v>
      </c>
    </row>
    <row r="17752" spans="1:5">
      <c r="A17752" t="s">
        <v>6</v>
      </c>
      <c r="B17752" t="s">
        <v>17757</v>
      </c>
      <c r="C17752">
        <f>HYPERLINK("C:\Users\franc\OneDrive\Documentos\MALENTIN KARIME\BANCO ESTADO\2012 DEPTO ESCRITURAS fata\Dc Simples\2012 DEPTO ESCRITURAS\LUIS GALLARDO\2014\STELLA PERRY A  RICARDO OCARANZA ROBLES cvta.doc", "Abrir Documento")</f>
        <v>0</v>
      </c>
      <c r="D17752" t="s">
        <v>23500</v>
      </c>
      <c r="E17752" t="s">
        <v>40227</v>
      </c>
    </row>
    <row r="17753" spans="1:5">
      <c r="A17753" t="s">
        <v>6</v>
      </c>
      <c r="B17753" t="s">
        <v>17758</v>
      </c>
      <c r="C17753">
        <f>HYPERLINK("C:\Users\franc\OneDrive\Documentos\MALENTIN KARIME\BANCO ESTADO\2012 DEPTO ESCRITURAS fata\Dc Simples\2012 DEPTO ESCRITURAS\LUIS GALLARDO\2014\PEDRO CORTES a HELIO CORTES Compraventa.doc", "Abrir Documento")</f>
        <v>0</v>
      </c>
      <c r="D17753" t="s">
        <v>23500</v>
      </c>
      <c r="E17753" t="s">
        <v>40228</v>
      </c>
    </row>
    <row r="17754" spans="1:5">
      <c r="A17754" t="s">
        <v>6</v>
      </c>
      <c r="B17754" t="s">
        <v>17759</v>
      </c>
      <c r="C17754">
        <f>HYPERLINK("C:\Users\franc\OneDrive\Documentos\MALENTIN KARIME\BANCO ESTADO\2012 DEPTO ESCRITURAS fata\Dc Simples\2012 DEPTO ESCRITURAS\LUIS GALLARDO\2013\VERONICA CERDA MONTENEGRO Aclaracion.doc", "Abrir Documento")</f>
        <v>0</v>
      </c>
      <c r="D17754" t="s">
        <v>23500</v>
      </c>
      <c r="E17754" t="s">
        <v>40229</v>
      </c>
    </row>
    <row r="17755" spans="1:5">
      <c r="A17755" t="s">
        <v>6</v>
      </c>
      <c r="B17755" t="s">
        <v>17760</v>
      </c>
      <c r="C17755">
        <f>HYPERLINK("C:\Users\franc\OneDrive\Documentos\MALENTIN KARIME\BANCO ESTADO\2012 DEPTO ESCRITURAS fata\Dc Simples\2012 DEPTO ESCRITURAS\LUIS GALLARDO\2013\MARIA EUGENIA GONZALEZ A MARCELA GONZALEZ Personal.doc", "Abrir Documento")</f>
        <v>0</v>
      </c>
      <c r="D17755" t="s">
        <v>23500</v>
      </c>
      <c r="E17755" t="s">
        <v>40230</v>
      </c>
    </row>
    <row r="17756" spans="1:5">
      <c r="A17756" t="s">
        <v>6</v>
      </c>
      <c r="B17756" t="s">
        <v>17761</v>
      </c>
      <c r="C17756">
        <f>HYPERLINK("C:\Users\franc\OneDrive\Documentos\MALENTIN KARIME\BANCO ESTADO\2012 DEPTO ESCRITURAS fata\Dc Simples\2012 DEPTO ESCRITURAS\LUIS GALLARDO\2013\LUIS GALLARDO Compl.doc", "Abrir Documento")</f>
        <v>0</v>
      </c>
      <c r="D17756" t="s">
        <v>23500</v>
      </c>
      <c r="E17756" t="s">
        <v>40231</v>
      </c>
    </row>
    <row r="17757" spans="1:5">
      <c r="A17757" t="s">
        <v>6</v>
      </c>
      <c r="B17757" t="s">
        <v>17762</v>
      </c>
      <c r="C17757">
        <f>HYPERLINK("C:\Users\franc\OneDrive\Documentos\MALENTIN KARIME\BANCO ESTADO\2012 DEPTO ESCRITURAS fata\Dc Simples\2012 DEPTO ESCRITURAS\LUIS GALLARDO\2012\VALENTIN CONTRERAS A GABRIEL VELIZ.doc", "Abrir Documento")</f>
        <v>0</v>
      </c>
      <c r="D17757" t="s">
        <v>23500</v>
      </c>
      <c r="E17757" t="s">
        <v>40232</v>
      </c>
    </row>
    <row r="17758" spans="1:5">
      <c r="A17758" t="s">
        <v>6</v>
      </c>
      <c r="B17758" t="s">
        <v>17763</v>
      </c>
      <c r="C17758">
        <f>HYPERLINK("C:\Users\franc\OneDrive\Documentos\MALENTIN KARIME\BANCO ESTADO\2012 DEPTO ESCRITURAS fata\Dc Simples\2012 DEPTO ESCRITURAS\LUIS GALLARDO\2012\SUCESION LOPEZ PASTEN Particion.doc", "Abrir Documento")</f>
        <v>0</v>
      </c>
      <c r="D17758" t="s">
        <v>23500</v>
      </c>
      <c r="E17758" t="s">
        <v>40233</v>
      </c>
    </row>
    <row r="17759" spans="1:5">
      <c r="A17759" t="s">
        <v>6</v>
      </c>
      <c r="B17759" t="s">
        <v>17764</v>
      </c>
      <c r="C17759">
        <f>HYPERLINK("C:\Users\franc\OneDrive\Documentos\MALENTIN KARIME\BANCO ESTADO\2012 DEPTO ESCRITURAS fata\Dc Simples\2012 DEPTO ESCRITURAS\LUIS GALLARDO\2012\LUIS GALLARDO Compl.doc", "Abrir Documento")</f>
        <v>0</v>
      </c>
      <c r="D17759" t="s">
        <v>23500</v>
      </c>
      <c r="E17759" t="s">
        <v>40234</v>
      </c>
    </row>
    <row r="17760" spans="1:5">
      <c r="A17760" t="s">
        <v>6</v>
      </c>
      <c r="B17760" t="s">
        <v>17765</v>
      </c>
      <c r="C17760">
        <f>HYPERLINK("C:\Users\franc\OneDrive\Documentos\MALENTIN KARIME\BANCO ESTADO\2012 DEPTO ESCRITURAS fata\Dc Simples\2012 DEPTO ESCRITURAS\LUIS GALLARDO\2012\LUIS GALLARDO Aclaracion Permuta.doc", "Abrir Documento")</f>
        <v>0</v>
      </c>
      <c r="D17760" t="s">
        <v>23500</v>
      </c>
      <c r="E17760" t="s">
        <v>40235</v>
      </c>
    </row>
    <row r="17761" spans="1:5">
      <c r="A17761" t="s">
        <v>6</v>
      </c>
      <c r="B17761" t="s">
        <v>17766</v>
      </c>
      <c r="C17761">
        <f>HYPERLINK("C:\Users\franc\OneDrive\Documentos\MALENTIN KARIME\BANCO ESTADO\2012 DEPTO ESCRITURAS fata\Dc Simples\2012 DEPTO ESCRITURAS\LUIS GALLARDO\2012\JOSE JIMENEZ A ROBERTO ZULETA Y OTROS Dic 2012.doc", "Abrir Documento")</f>
        <v>0</v>
      </c>
      <c r="D17761" t="s">
        <v>23500</v>
      </c>
      <c r="E17761" t="s">
        <v>40236</v>
      </c>
    </row>
    <row r="17762" spans="1:5">
      <c r="A17762" t="s">
        <v>6</v>
      </c>
      <c r="B17762" t="s">
        <v>17767</v>
      </c>
      <c r="C17762">
        <f>HYPERLINK("C:\Users\franc\OneDrive\Documentos\MALENTIN KARIME\BANCO ESTADO\2012 DEPTO ESCRITURAS fata\Dc Simples\2012 DEPTO ESCRITURAS\LUIS GALLARDO\2012\JORGE CONTADOR Y OTROS.doc", "Abrir Documento")</f>
        <v>0</v>
      </c>
      <c r="D17762" t="s">
        <v>23500</v>
      </c>
      <c r="E17762" t="s">
        <v>40237</v>
      </c>
    </row>
    <row r="17763" spans="1:5">
      <c r="A17763" t="s">
        <v>6</v>
      </c>
      <c r="B17763" t="s">
        <v>17768</v>
      </c>
      <c r="C17763">
        <f>HYPERLINK("C:\Users\franc\OneDrive\Documentos\MALENTIN KARIME\BANCO ESTADO\2012 DEPTO ESCRITURAS fata\Dc Simples\2012 DEPTO ESCRITURAS\LUIS GALLARDO\2012\GUILLERMO PINTO SEGOVIA Acuerdo.doc", "Abrir Documento")</f>
        <v>0</v>
      </c>
      <c r="D17763" t="s">
        <v>23500</v>
      </c>
      <c r="E17763" t="s">
        <v>40238</v>
      </c>
    </row>
    <row r="17764" spans="1:5">
      <c r="A17764" t="s">
        <v>6</v>
      </c>
      <c r="B17764" t="s">
        <v>17769</v>
      </c>
      <c r="C17764">
        <f>HYPERLINK("C:\Users\franc\OneDrive\Documentos\MALENTIN KARIME\BANCO ESTADO\2012 DEPTO ESCRITURAS fata\Dc Simples\2012 DEPTO ESCRITURAS\LUIS GALLARDO\2012\FRESIA LOPEZ A otros CESION DERECHOS PRO INDIVISO.doc", "Abrir Documento")</f>
        <v>0</v>
      </c>
      <c r="D17764" t="s">
        <v>23500</v>
      </c>
      <c r="E17764" t="s">
        <v>40239</v>
      </c>
    </row>
    <row r="17765" spans="1:5">
      <c r="A17765" t="s">
        <v>6</v>
      </c>
      <c r="B17765" t="s">
        <v>17770</v>
      </c>
      <c r="C17765">
        <f>HYPERLINK("C:\Users\franc\OneDrive\Documentos\MALENTIN KARIME\BANCO ESTADO\2012 DEPTO ESCRITURAS fata\Dc Simples\2012 DEPTO ESCRITURAS\LUIS GALLARDO\2012\FRESIA LOPEZ A Clara Lopez CESION Y USUFRUCTO.doc", "Abrir Documento")</f>
        <v>0</v>
      </c>
      <c r="D17765" t="s">
        <v>23500</v>
      </c>
      <c r="E17765" t="s">
        <v>40240</v>
      </c>
    </row>
    <row r="17766" spans="1:5">
      <c r="A17766" t="s">
        <v>6</v>
      </c>
      <c r="B17766" t="s">
        <v>17771</v>
      </c>
      <c r="C17766">
        <f>HYPERLINK("C:\Users\franc\OneDrive\Documentos\MALENTIN KARIME\BANCO ESTADO\2012 DEPTO ESCRITURAS fata\Dc Simples\2012 DEPTO ESCRITURAS\LUIS GALLARDO\2012\FLORIDOR CORTES A TRANSPORTES FULLBUS.doc", "Abrir Documento")</f>
        <v>0</v>
      </c>
      <c r="D17766" t="s">
        <v>23500</v>
      </c>
      <c r="E17766" t="s">
        <v>40241</v>
      </c>
    </row>
    <row r="17767" spans="1:5">
      <c r="A17767" t="s">
        <v>6</v>
      </c>
      <c r="B17767" t="s">
        <v>17772</v>
      </c>
      <c r="C17767">
        <f>HYPERLINK("C:\Users\franc\OneDrive\Documentos\MALENTIN KARIME\BANCO ESTADO\2012 DEPTO ESCRITURAS fata\Dc Simples\2012 DEPTO ESCRITURAS\LUIS GALLARDO\2012\DIAZ BRUNA permuta.doc", "Abrir Documento")</f>
        <v>0</v>
      </c>
      <c r="D17767" t="s">
        <v>23500</v>
      </c>
      <c r="E17767" t="s">
        <v>40242</v>
      </c>
    </row>
    <row r="17768" spans="1:5">
      <c r="A17768" t="s">
        <v>6</v>
      </c>
      <c r="B17768" t="s">
        <v>17773</v>
      </c>
      <c r="C17768">
        <f>HYPERLINK("C:\Users\franc\OneDrive\Documentos\MALENTIN KARIME\BANCO ESTADO\2012 DEPTO ESCRITURAS fata\Dc Simples\2012 DEPTO ESCRITURAS\LUIS GALLARDO\2012\COMUNIDAD AGRICOLA HUAMPULLA.doc", "Abrir Documento")</f>
        <v>0</v>
      </c>
      <c r="D17768" t="s">
        <v>23500</v>
      </c>
      <c r="E17768" t="s">
        <v>40243</v>
      </c>
    </row>
    <row r="17769" spans="1:5">
      <c r="A17769" t="s">
        <v>6</v>
      </c>
      <c r="B17769" t="s">
        <v>17774</v>
      </c>
      <c r="C17769">
        <f>HYPERLINK("C:\Users\franc\OneDrive\Documentos\MALENTIN KARIME\BANCO ESTADO\2012 DEPTO ESCRITURAS fata\Dc Simples\2012 DEPTO ESCRITURAS\LUIS GALLARDO\2012\CARMEN GONZALEZ VILLARROEL A OSVALDO SAAVEDRA Cvta..doc", "Abrir Documento")</f>
        <v>0</v>
      </c>
      <c r="D17769" t="s">
        <v>23500</v>
      </c>
      <c r="E17769" t="s">
        <v>40244</v>
      </c>
    </row>
    <row r="17770" spans="1:5">
      <c r="A17770" t="s">
        <v>6</v>
      </c>
      <c r="B17770" t="s">
        <v>17775</v>
      </c>
      <c r="C17770">
        <f>HYPERLINK("C:\Users\franc\OneDrive\Documentos\MALENTIN KARIME\BANCO ESTADO\2012 DEPTO ESCRITURAS fata\Dc Simples\2012 DEPTO ESCRITURAS\LUIS GALLARDO\2012\BERNABE HENRIQUEZ A JAIME ZEPEDA.doc", "Abrir Documento")</f>
        <v>0</v>
      </c>
      <c r="D17770" t="s">
        <v>23500</v>
      </c>
      <c r="E17770" t="s">
        <v>40245</v>
      </c>
    </row>
    <row r="17771" spans="1:5">
      <c r="A17771" t="s">
        <v>6</v>
      </c>
      <c r="B17771" t="s">
        <v>17776</v>
      </c>
      <c r="C17771">
        <f>HYPERLINK("C:\Users\franc\OneDrive\Documentos\MALENTIN KARIME\BANCO ESTADO\2012 DEPTO ESCRITURAS fata\Dc Simples\2012 DEPTO ESCRITURAS\LUIS GALLARDO\2012\BENEDICTO CAMPOS PASTEN Mandato vender.doc", "Abrir Documento")</f>
        <v>0</v>
      </c>
      <c r="D17771" t="s">
        <v>23500</v>
      </c>
      <c r="E17771" t="s">
        <v>40246</v>
      </c>
    </row>
    <row r="17772" spans="1:5">
      <c r="A17772" t="s">
        <v>6</v>
      </c>
      <c r="B17772" t="s">
        <v>17777</v>
      </c>
      <c r="C17772">
        <f>HYPERLINK("C:\Users\franc\OneDrive\Documentos\MALENTIN KARIME\BANCO ESTADO\2012 DEPTO ESCRITURAS fata\Dc Simples\2012 DEPTO ESCRITURAS\LUIS GALLARDO\2011\Victoria Salazar Aravena.doc", "Abrir Documento")</f>
        <v>0</v>
      </c>
      <c r="D17772" t="s">
        <v>23500</v>
      </c>
      <c r="E17772" t="s">
        <v>40247</v>
      </c>
    </row>
    <row r="17773" spans="1:5">
      <c r="A17773" t="s">
        <v>6</v>
      </c>
      <c r="B17773" t="s">
        <v>17778</v>
      </c>
      <c r="C17773">
        <f>HYPERLINK("C:\Users\franc\OneDrive\Documentos\MALENTIN KARIME\BANCO ESTADO\2012 DEPTO ESCRITURAS fata\Dc Simples\2012 DEPTO ESCRITURAS\LUIS GALLARDO\2011\Samuel Gonzalez a Cecilia Gonzalez JUNIO 2011.doc", "Abrir Documento")</f>
        <v>0</v>
      </c>
      <c r="D17773" t="s">
        <v>23500</v>
      </c>
      <c r="E17773" t="s">
        <v>40248</v>
      </c>
    </row>
    <row r="17774" spans="1:5">
      <c r="A17774" t="s">
        <v>6</v>
      </c>
      <c r="B17774" t="s">
        <v>17779</v>
      </c>
      <c r="C17774">
        <f>HYPERLINK("C:\Users\franc\OneDrive\Documentos\MALENTIN KARIME\BANCO ESTADO\2012 DEPTO ESCRITURAS fata\Dc Simples\2012 DEPTO ESCRITURAS\LUIS GALLARDO\2011\REBECA ROSADO TIRADO A Marta Tapia Cortes Junio 2011.doc", "Abrir Documento")</f>
        <v>0</v>
      </c>
      <c r="D17774" t="s">
        <v>23500</v>
      </c>
      <c r="E17774" t="s">
        <v>40249</v>
      </c>
    </row>
    <row r="17775" spans="1:5">
      <c r="A17775" t="s">
        <v>6</v>
      </c>
      <c r="B17775" t="s">
        <v>17780</v>
      </c>
      <c r="C17775">
        <f>HYPERLINK("C:\Users\franc\OneDrive\Documentos\MALENTIN KARIME\BANCO ESTADO\2012 DEPTO ESCRITURAS fata\Dc Simples\2012 DEPTO ESCRITURAS\LUIS GALLARDO\2011\RAMON FUENTE GOMEZ A Yaritza Fuentes Geraldo.doc", "Abrir Documento")</f>
        <v>0</v>
      </c>
      <c r="D17775" t="s">
        <v>23500</v>
      </c>
      <c r="E17775" t="s">
        <v>40250</v>
      </c>
    </row>
    <row r="17776" spans="1:5">
      <c r="A17776" t="s">
        <v>6</v>
      </c>
      <c r="B17776" t="s">
        <v>17781</v>
      </c>
      <c r="C17776">
        <f>HYPERLINK("C:\Users\franc\OneDrive\Documentos\MALENTIN KARIME\BANCO ESTADO\2012 DEPTO ESCRITURAS fata\Dc Simples\2012 DEPTO ESCRITURAS\LUIS GALLARDO\2011\NELSON ADAOS JERALDO Declaracion.doc", "Abrir Documento")</f>
        <v>0</v>
      </c>
      <c r="D17776" t="s">
        <v>23500</v>
      </c>
      <c r="E17776" t="s">
        <v>40251</v>
      </c>
    </row>
    <row r="17777" spans="1:5">
      <c r="A17777" t="s">
        <v>6</v>
      </c>
      <c r="B17777" t="s">
        <v>17782</v>
      </c>
      <c r="C17777">
        <f>HYPERLINK("C:\Users\franc\OneDrive\Documentos\MALENTIN KARIME\BANCO ESTADO\2012 DEPTO ESCRITURAS fata\Dc Simples\2012 DEPTO ESCRITURAS\LUIS GALLARDO\2011\MARY TEMPLEMAN Mandato.doc", "Abrir Documento")</f>
        <v>0</v>
      </c>
      <c r="D17777" t="s">
        <v>23500</v>
      </c>
      <c r="E17777" t="s">
        <v>40252</v>
      </c>
    </row>
    <row r="17778" spans="1:5">
      <c r="A17778" t="s">
        <v>6</v>
      </c>
      <c r="B17778" t="s">
        <v>17783</v>
      </c>
      <c r="C17778">
        <f>HYPERLINK("C:\Users\franc\OneDrive\Documentos\MALENTIN KARIME\BANCO ESTADO\2012 DEPTO ESCRITURAS fata\Dc Simples\2012 DEPTO ESCRITURAS\LUIS GALLARDO\2011\MARIA HERNRIQUEZ CARVAJAL Y OTROS Transaccion y Servidumbre.doc", "Abrir Documento")</f>
        <v>0</v>
      </c>
      <c r="D17778" t="s">
        <v>23500</v>
      </c>
      <c r="E17778" t="s">
        <v>40253</v>
      </c>
    </row>
    <row r="17779" spans="1:5">
      <c r="A17779" t="s">
        <v>6</v>
      </c>
      <c r="B17779" t="s">
        <v>17784</v>
      </c>
      <c r="C17779">
        <f>HYPERLINK("C:\Users\franc\OneDrive\Documentos\MALENTIN KARIME\BANCO ESTADO\2012 DEPTO ESCRITURAS fata\Dc Simples\2012 DEPTO ESCRITURAS\LUIS GALLARDO\2011\LUIS GALLARDO Complementaria Nov.doc", "Abrir Documento")</f>
        <v>0</v>
      </c>
      <c r="D17779" t="s">
        <v>23500</v>
      </c>
      <c r="E17779" t="s">
        <v>40254</v>
      </c>
    </row>
    <row r="17780" spans="1:5">
      <c r="A17780" t="s">
        <v>6</v>
      </c>
      <c r="B17780" t="s">
        <v>17785</v>
      </c>
      <c r="C17780">
        <f>HYPERLINK("C:\Users\franc\OneDrive\Documentos\MALENTIN KARIME\BANCO ESTADO\2012 DEPTO ESCRITURAS fata\Dc Simples\2012 DEPTO ESCRITURAS\LUIS GALLARDO\2011\JUAN ASCENCIO CASTILLO Mandato.doc", "Abrir Documento")</f>
        <v>0</v>
      </c>
      <c r="D17780" t="s">
        <v>23500</v>
      </c>
      <c r="E17780" t="s">
        <v>40255</v>
      </c>
    </row>
    <row r="17781" spans="1:5">
      <c r="A17781" t="s">
        <v>6</v>
      </c>
      <c r="B17781" t="s">
        <v>17786</v>
      </c>
      <c r="C17781">
        <f>HYPERLINK("C:\Users\franc\OneDrive\Documentos\MALENTIN KARIME\BANCO ESTADO\2012 DEPTO ESCRITURAS fata\Dc Simples\2012 DEPTO ESCRITURAS\LUIS GALLARDO\2011\HILDA OVALLE HIDALGO Rectificatoria.doc", "Abrir Documento")</f>
        <v>0</v>
      </c>
      <c r="D17781" t="s">
        <v>23500</v>
      </c>
      <c r="E17781" t="s">
        <v>40256</v>
      </c>
    </row>
    <row r="17782" spans="1:5">
      <c r="A17782" t="s">
        <v>6</v>
      </c>
      <c r="B17782" t="s">
        <v>17787</v>
      </c>
      <c r="C17782">
        <f>HYPERLINK("C:\Users\franc\OneDrive\Documentos\MALENTIN KARIME\BANCO ESTADO\2012 DEPTO ESCRITURAS fata\Dc Simples\2012 DEPTO ESCRITURAS\LUIS GALLARDO\2011\HILDA OVALLE HIDALGO Rectificatoria por Luis Gallardo.doc", "Abrir Documento")</f>
        <v>0</v>
      </c>
      <c r="D17782" t="s">
        <v>23500</v>
      </c>
      <c r="E17782" t="s">
        <v>40257</v>
      </c>
    </row>
    <row r="17783" spans="1:5">
      <c r="A17783" t="s">
        <v>6</v>
      </c>
      <c r="B17783" t="s">
        <v>17788</v>
      </c>
      <c r="C17783">
        <f>HYPERLINK("C:\Users\franc\OneDrive\Documentos\MALENTIN KARIME\BANCO ESTADO\2012 DEPTO ESCRITURAS fata\Dc Simples\2012 DEPTO ESCRITURAS\LUIS GALLARDO\2011\COMPRAVENTA_REBECA_ROSADO_PIZARRO[1].doc", "Abrir Documento")</f>
        <v>0</v>
      </c>
      <c r="D17783" t="s">
        <v>23500</v>
      </c>
      <c r="E17783" t="s">
        <v>40258</v>
      </c>
    </row>
    <row r="17784" spans="1:5">
      <c r="A17784" t="s">
        <v>6</v>
      </c>
      <c r="B17784" t="s">
        <v>17789</v>
      </c>
      <c r="C17784">
        <f>HYPERLINK("C:\Users\franc\OneDrive\Documentos\MALENTIN KARIME\BANCO ESTADO\2012 DEPTO ESCRITURAS fata\Dc Simples\2012 DEPTO ESCRITURAS\LUIS GALLARDO\2011\ABRAHAM GALLARDO RIVERA A Luis Gallardo.doc", "Abrir Documento")</f>
        <v>0</v>
      </c>
      <c r="D17784" t="s">
        <v>23500</v>
      </c>
      <c r="E17784" t="s">
        <v>40259</v>
      </c>
    </row>
    <row r="17785" spans="1:5">
      <c r="A17785" t="s">
        <v>6</v>
      </c>
      <c r="B17785" t="s">
        <v>17790</v>
      </c>
      <c r="C17785">
        <f>HYPERLINK("C:\Users\franc\OneDrive\Documentos\MALENTIN KARIME\BANCO ESTADO\2012 DEPTO ESCRITURAS fata\Dc Simples\2012 DEPTO ESCRITURAS\LUIS GALLARDO\2011\ABRAHAM GALLARDO RIVERA A Luis Gallardo corregida.doc", "Abrir Documento")</f>
        <v>0</v>
      </c>
      <c r="D17785" t="s">
        <v>23500</v>
      </c>
      <c r="E17785" t="s">
        <v>40260</v>
      </c>
    </row>
    <row r="17786" spans="1:5">
      <c r="A17786" t="s">
        <v>6</v>
      </c>
      <c r="B17786" t="s">
        <v>17791</v>
      </c>
      <c r="C17786">
        <f>HYPERLINK("C:\Users\franc\OneDrive\Documentos\MALENTIN KARIME\BANCO ESTADO\2012 DEPTO ESCRITURAS fata\Dc Simples\2012 DEPTO ESCRITURAS\LUIS GALLARDO\TURISMO LAGUNAS.doc", "Abrir Documento")</f>
        <v>0</v>
      </c>
      <c r="D17786" t="s">
        <v>23500</v>
      </c>
      <c r="E17786" t="s">
        <v>40261</v>
      </c>
    </row>
    <row r="17787" spans="1:5">
      <c r="A17787" t="s">
        <v>6</v>
      </c>
      <c r="B17787" t="s">
        <v>17792</v>
      </c>
      <c r="C17787">
        <f>HYPERLINK("C:\Users\franc\OneDrive\Documentos\MALENTIN KARIME\BANCO ESTADO\2012 DEPTO ESCRITURAS fata\Dc Simples\2012 DEPTO ESCRITURAS\LUIS GALLARDO\STELLA PERRY A LORENZO VERGARA.doc", "Abrir Documento")</f>
        <v>0</v>
      </c>
      <c r="D17787" t="s">
        <v>23500</v>
      </c>
      <c r="E17787" t="s">
        <v>40262</v>
      </c>
    </row>
    <row r="17788" spans="1:5">
      <c r="A17788" t="s">
        <v>6</v>
      </c>
      <c r="B17788" t="s">
        <v>17793</v>
      </c>
      <c r="C17788">
        <f>HYPERLINK("C:\Users\franc\OneDrive\Documentos\MALENTIN KARIME\BANCO ESTADO\2012 DEPTO ESCRITURAS fata\Dc Simples\2012 DEPTO ESCRITURAS\LUIS GALLARDO\STELLA PERRY A JUANA RODRIGUEZ.doc", "Abrir Documento")</f>
        <v>0</v>
      </c>
      <c r="D17788" t="s">
        <v>23500</v>
      </c>
      <c r="E17788" t="s">
        <v>40263</v>
      </c>
    </row>
    <row r="17789" spans="1:5">
      <c r="A17789" t="s">
        <v>6</v>
      </c>
      <c r="B17789" t="s">
        <v>17794</v>
      </c>
      <c r="C17789">
        <f>HYPERLINK("C:\Users\franc\OneDrive\Documentos\MALENTIN KARIME\BANCO ESTADO\2012 DEPTO ESCRITURAS fata\Dc Simples\2012 DEPTO ESCRITURAS\LUIS GALLARDO\STELLA PERRY A CARMEN URQUETA.doc", "Abrir Documento")</f>
        <v>0</v>
      </c>
      <c r="D17789" t="s">
        <v>23500</v>
      </c>
      <c r="E17789" t="s">
        <v>40264</v>
      </c>
    </row>
    <row r="17790" spans="1:5">
      <c r="A17790" t="s">
        <v>6</v>
      </c>
      <c r="B17790" t="s">
        <v>17795</v>
      </c>
      <c r="C17790">
        <f>HYPERLINK("C:\Users\franc\OneDrive\Documentos\MALENTIN KARIME\BANCO ESTADO\2012 DEPTO ESCRITURAS fata\Dc Simples\2012 DEPTO ESCRITURAS\LUIS GALLARDO\SOCIEDAD AGRICOLA LOS NISÑILES Mandato.doc", "Abrir Documento")</f>
        <v>0</v>
      </c>
      <c r="D17790" t="s">
        <v>23500</v>
      </c>
      <c r="E17790" t="s">
        <v>40265</v>
      </c>
    </row>
    <row r="17791" spans="1:5">
      <c r="A17791" t="s">
        <v>6</v>
      </c>
      <c r="B17791" t="s">
        <v>17796</v>
      </c>
      <c r="C17791">
        <f>HYPERLINK("C:\Users\franc\OneDrive\Documentos\MALENTIN KARIME\BANCO ESTADO\2012 DEPTO ESCRITURAS fata\Dc Simples\2012 DEPTO ESCRITURAS\LUIS GALLARDO\SILVIA DIAZ DIAZ Renuncia gananciales.doc", "Abrir Documento")</f>
        <v>0</v>
      </c>
      <c r="D17791" t="s">
        <v>23500</v>
      </c>
      <c r="E17791" t="s">
        <v>40266</v>
      </c>
    </row>
    <row r="17792" spans="1:5">
      <c r="A17792" t="s">
        <v>6</v>
      </c>
      <c r="B17792" t="s">
        <v>17797</v>
      </c>
      <c r="C17792">
        <f>HYPERLINK("C:\Users\franc\OneDrive\Documentos\MALENTIN KARIME\BANCO ESTADO\2012 DEPTO ESCRITURAS fata\Dc Simples\2012 DEPTO ESCRITURAS\LUIS GALLARDO\RAMON PEREZ BARRAZA Adjudicacion remate.doc", "Abrir Documento")</f>
        <v>0</v>
      </c>
      <c r="D17792" t="s">
        <v>23500</v>
      </c>
      <c r="E17792" t="s">
        <v>40267</v>
      </c>
    </row>
    <row r="17793" spans="1:5">
      <c r="A17793" t="s">
        <v>6</v>
      </c>
      <c r="B17793" t="s">
        <v>17798</v>
      </c>
      <c r="C17793">
        <f>HYPERLINK("C:\Users\franc\OneDrive\Documentos\MALENTIN KARIME\BANCO ESTADO\2012 DEPTO ESCRITURAS fata\Dc Simples\2012 DEPTO ESCRITURAS\LUIS GALLARDO\RAMON PEREZ BARRAZA Adjudicacion remate CORREJIDA.doc", "Abrir Documento")</f>
        <v>0</v>
      </c>
      <c r="D17793" t="s">
        <v>23500</v>
      </c>
      <c r="E17793" t="s">
        <v>40268</v>
      </c>
    </row>
    <row r="17794" spans="1:5">
      <c r="A17794" t="s">
        <v>6</v>
      </c>
      <c r="B17794" t="s">
        <v>17799</v>
      </c>
      <c r="C17794">
        <f>HYPERLINK("C:\Users\franc\OneDrive\Documentos\MALENTIN KARIME\BANCO ESTADO\2012 DEPTO ESCRITURAS fata\Dc Simples\2012 DEPTO ESCRITURAS\LUIS GALLARDO\RADIO SERGIO CANIHUANTE E.I.R.L.doc", "Abrir Documento")</f>
        <v>0</v>
      </c>
      <c r="D17794" t="s">
        <v>23500</v>
      </c>
      <c r="E17794" t="s">
        <v>40269</v>
      </c>
    </row>
    <row r="17795" spans="1:5">
      <c r="A17795" t="s">
        <v>6</v>
      </c>
      <c r="B17795" t="s">
        <v>17800</v>
      </c>
      <c r="C17795">
        <f>HYPERLINK("C:\Users\franc\OneDrive\Documentos\MALENTIN KARIME\BANCO ESTADO\2012 DEPTO ESCRITURAS fata\Dc Simples\2012 DEPTO ESCRITURAS\LUIS GALLARDO\MANUEL RIVERA CASTILLO Declaracion.doc", "Abrir Documento")</f>
        <v>0</v>
      </c>
      <c r="D17795" t="s">
        <v>23500</v>
      </c>
      <c r="E17795" t="s">
        <v>40270</v>
      </c>
    </row>
    <row r="17796" spans="1:5">
      <c r="A17796" t="s">
        <v>6</v>
      </c>
      <c r="B17796" t="s">
        <v>17801</v>
      </c>
      <c r="C17796">
        <f>HYPERLINK("C:\Users\franc\OneDrive\Documentos\MALENTIN KARIME\BANCO ESTADO\2012 DEPTO ESCRITURAS fata\Dc Simples\2012 DEPTO ESCRITURAS\LUIS GALLARDO\LUISA JOSEFINA LETELIER Compraventa.doc", "Abrir Documento")</f>
        <v>0</v>
      </c>
      <c r="D17796" t="s">
        <v>23500</v>
      </c>
      <c r="E17796" t="s">
        <v>40271</v>
      </c>
    </row>
    <row r="17797" spans="1:5">
      <c r="A17797" t="s">
        <v>6</v>
      </c>
      <c r="B17797" t="s">
        <v>17802</v>
      </c>
      <c r="C17797">
        <f>HYPERLINK("C:\Users\franc\OneDrive\Documentos\MALENTIN KARIME\BANCO ESTADO\2012 DEPTO ESCRITURAS fata\Dc Simples\2012 DEPTO ESCRITURAS\LUIS GALLARDO\Luis Gallardo M Judicial.doc", "Abrir Documento")</f>
        <v>0</v>
      </c>
      <c r="D17797" t="s">
        <v>23500</v>
      </c>
      <c r="E17797" t="s">
        <v>40272</v>
      </c>
    </row>
    <row r="17798" spans="1:5">
      <c r="A17798" t="s">
        <v>6</v>
      </c>
      <c r="B17798" t="s">
        <v>17803</v>
      </c>
      <c r="C17798">
        <f>HYPERLINK("C:\Users\franc\OneDrive\Documentos\MALENTIN KARIME\BANCO ESTADO\2012 DEPTO ESCRITURAS fata\Dc Simples\2012 DEPTO ESCRITURAS\LUIS GALLARDO\LOS ÑISNILES modificacion.doc", "Abrir Documento")</f>
        <v>0</v>
      </c>
      <c r="D17798" t="s">
        <v>23500</v>
      </c>
      <c r="E17798" t="s">
        <v>40273</v>
      </c>
    </row>
    <row r="17799" spans="1:5">
      <c r="A17799" t="s">
        <v>6</v>
      </c>
      <c r="B17799" t="s">
        <v>17804</v>
      </c>
      <c r="C17799">
        <f>HYPERLINK("C:\Users\franc\OneDrive\Documentos\MALENTIN KARIME\BANCO ESTADO\2012 DEPTO ESCRITURAS fata\Dc Simples\2012 DEPTO ESCRITURAS\LUIS GALLARDO\LOS NISÑILES Y CAMPOS CAMPOS.doc", "Abrir Documento")</f>
        <v>0</v>
      </c>
      <c r="D17799" t="s">
        <v>23500</v>
      </c>
      <c r="E17799" t="s">
        <v>40274</v>
      </c>
    </row>
    <row r="17800" spans="1:5">
      <c r="A17800" t="s">
        <v>6</v>
      </c>
      <c r="B17800" t="s">
        <v>17805</v>
      </c>
      <c r="C17800">
        <f>HYPERLINK("C:\Users\franc\OneDrive\Documentos\MALENTIN KARIME\BANCO ESTADO\2012 DEPTO ESCRITURAS fata\Dc Simples\2012 DEPTO ESCRITURAS\LUIS GALLARDO\LOS NISÑILES Y CAMPOS CAMPOS version final.doc", "Abrir Documento")</f>
        <v>0</v>
      </c>
      <c r="D17800" t="s">
        <v>23500</v>
      </c>
      <c r="E17800" t="s">
        <v>40275</v>
      </c>
    </row>
    <row r="17801" spans="1:5">
      <c r="A17801" t="s">
        <v>6</v>
      </c>
      <c r="B17801" t="s">
        <v>17806</v>
      </c>
      <c r="C17801">
        <f>HYPERLINK("C:\Users\franc\OneDrive\Documentos\MALENTIN KARIME\BANCO ESTADO\2012 DEPTO ESCRITURAS fata\Dc Simples\2012 DEPTO ESCRITURAS\LUIS GALLARDO\LOS NISÑILES Rectificatoria.doc", "Abrir Documento")</f>
        <v>0</v>
      </c>
      <c r="D17801" t="s">
        <v>23500</v>
      </c>
      <c r="E17801" t="s">
        <v>40276</v>
      </c>
    </row>
    <row r="17802" spans="1:5">
      <c r="A17802" t="s">
        <v>6</v>
      </c>
      <c r="B17802" t="s">
        <v>17807</v>
      </c>
      <c r="C17802">
        <f>HYPERLINK("C:\Users\franc\OneDrive\Documentos\MALENTIN KARIME\BANCO ESTADO\2012 DEPTO ESCRITURAS fata\Dc Simples\2012 DEPTO ESCRITURAS\LUIS GALLARDO\LEONARDO PLAZA A OTILIA GONZALEZ compraventa.doc", "Abrir Documento")</f>
        <v>0</v>
      </c>
      <c r="D17802" t="s">
        <v>23500</v>
      </c>
      <c r="E17802" t="s">
        <v>40277</v>
      </c>
    </row>
    <row r="17803" spans="1:5">
      <c r="A17803" t="s">
        <v>6</v>
      </c>
      <c r="B17803" t="s">
        <v>17808</v>
      </c>
      <c r="C17803">
        <f>HYPERLINK("C:\Users\franc\OneDrive\Documentos\MALENTIN KARIME\BANCO ESTADO\2012 DEPTO ESCRITURAS fata\Dc Simples\2012 DEPTO ESCRITURAS\LUIS GALLARDO\JUAN LUIS JARA con DRAGO FRANETOVIC complementación Luis Gallardo.doc", "Abrir Documento")</f>
        <v>0</v>
      </c>
      <c r="D17803" t="s">
        <v>23500</v>
      </c>
      <c r="E17803" t="s">
        <v>40278</v>
      </c>
    </row>
    <row r="17804" spans="1:5">
      <c r="A17804" t="s">
        <v>6</v>
      </c>
      <c r="B17804" t="s">
        <v>17809</v>
      </c>
      <c r="C17804">
        <f>HYPERLINK("C:\Users\franc\OneDrive\Documentos\MALENTIN KARIME\BANCO ESTADO\2012 DEPTO ESCRITURAS fata\Dc Simples\2012 DEPTO ESCRITURAS\LUIS GALLARDO\JOSE MIGUEL ZEPEDA CARMONA reconocimiento.doc", "Abrir Documento")</f>
        <v>0</v>
      </c>
      <c r="D17804" t="s">
        <v>23500</v>
      </c>
      <c r="E17804" t="s">
        <v>40279</v>
      </c>
    </row>
    <row r="17805" spans="1:5">
      <c r="A17805" t="s">
        <v>6</v>
      </c>
      <c r="B17805" t="s">
        <v>17810</v>
      </c>
      <c r="C17805">
        <f>HYPERLINK("C:\Users\franc\OneDrive\Documentos\MALENTIN KARIME\BANCO ESTADO\2012 DEPTO ESCRITURAS fata\Dc Simples\2012 DEPTO ESCRITURAS\LUIS GALLARDO\JOSE MIGUEL ZEPEDA CARMONA reconocimiento versión II.doc", "Abrir Documento")</f>
        <v>0</v>
      </c>
      <c r="D17805" t="s">
        <v>23500</v>
      </c>
      <c r="E17805" t="s">
        <v>40280</v>
      </c>
    </row>
    <row r="17806" spans="1:5">
      <c r="A17806" t="s">
        <v>6</v>
      </c>
      <c r="B17806" t="s">
        <v>17811</v>
      </c>
      <c r="C17806">
        <f>HYPERLINK("C:\Users\franc\OneDrive\Documentos\MALENTIN KARIME\BANCO ESTADO\2012 DEPTO ESCRITURAS fata\Dc Simples\2012 DEPTO ESCRITURAS\LUIS GALLARDO\INMOBILIARIA SPANO.doc", "Abrir Documento")</f>
        <v>0</v>
      </c>
      <c r="D17806" t="s">
        <v>23500</v>
      </c>
      <c r="E17806" t="s">
        <v>40281</v>
      </c>
    </row>
    <row r="17807" spans="1:5">
      <c r="A17807" t="s">
        <v>6</v>
      </c>
      <c r="B17807" t="s">
        <v>17812</v>
      </c>
      <c r="C17807">
        <f>HYPERLINK("C:\Users\franc\OneDrive\Documentos\MALENTIN KARIME\BANCO ESTADO\2012 DEPTO ESCRITURAS fata\Dc Simples\2012 DEPTO ESCRITURAS\LUIS GALLARDO\HILDA DEL CARMEN TELLO HONORES MJudicial Abril 13.doc", "Abrir Documento")</f>
        <v>0</v>
      </c>
      <c r="D17807" t="s">
        <v>23500</v>
      </c>
      <c r="E17807" t="s">
        <v>40282</v>
      </c>
    </row>
    <row r="17808" spans="1:5">
      <c r="A17808" t="s">
        <v>6</v>
      </c>
      <c r="B17808" t="s">
        <v>17813</v>
      </c>
      <c r="C17808">
        <f>HYPERLINK("C:\Users\franc\OneDrive\Documentos\MALENTIN KARIME\BANCO ESTADO\2012 DEPTO ESCRITURAS fata\Dc Simples\2012 DEPTO ESCRITURAS\LUIS GALLARDO\GUILLERMO FLORESA MIGUEL GODOY Escritura.doc", "Abrir Documento")</f>
        <v>0</v>
      </c>
      <c r="D17808" t="s">
        <v>23500</v>
      </c>
      <c r="E17808" t="s">
        <v>40283</v>
      </c>
    </row>
    <row r="17809" spans="1:5">
      <c r="A17809" t="s">
        <v>6</v>
      </c>
      <c r="B17809" t="s">
        <v>17814</v>
      </c>
      <c r="C17809">
        <f>HYPERLINK("C:\Users\franc\OneDrive\Documentos\MALENTIN KARIME\BANCO ESTADO\2012 DEPTO ESCRITURAS fata\Dc Simples\2012 DEPTO ESCRITURAS\LUIS GALLARDO\GUILLERMO FLORESA MIGUEL GODOY Compraventa lunes 22.doc", "Abrir Documento")</f>
        <v>0</v>
      </c>
      <c r="D17809" t="s">
        <v>23500</v>
      </c>
      <c r="E17809" t="s">
        <v>40284</v>
      </c>
    </row>
    <row r="17810" spans="1:5">
      <c r="A17810" t="s">
        <v>6</v>
      </c>
      <c r="B17810" t="s">
        <v>17815</v>
      </c>
      <c r="C17810">
        <f>HYPERLINK("C:\Users\franc\OneDrive\Documentos\MALENTIN KARIME\BANCO ESTADO\2012 DEPTO ESCRITURAS fata\Dc Simples\2012 DEPTO ESCRITURAS\LUIS GALLARDO\FLORIDOR CORTES.doc", "Abrir Documento")</f>
        <v>0</v>
      </c>
      <c r="D17810" t="s">
        <v>23500</v>
      </c>
      <c r="E17810" t="s">
        <v>40285</v>
      </c>
    </row>
    <row r="17811" spans="1:5">
      <c r="A17811" t="s">
        <v>6</v>
      </c>
      <c r="B17811" t="s">
        <v>17816</v>
      </c>
      <c r="C17811">
        <f>HYPERLINK("C:\Users\franc\OneDrive\Documentos\MALENTIN KARIME\BANCO ESTADO\2012 DEPTO ESCRITURAS fata\Dc Simples\2012 DEPTO ESCRITURAS\LUIS GALLARDO\FLORIDOR CORTES Mandato.doc", "Abrir Documento")</f>
        <v>0</v>
      </c>
      <c r="D17811" t="s">
        <v>23500</v>
      </c>
      <c r="E17811" t="s">
        <v>40286</v>
      </c>
    </row>
    <row r="17812" spans="1:5">
      <c r="A17812" t="s">
        <v>6</v>
      </c>
      <c r="B17812" t="s">
        <v>17817</v>
      </c>
      <c r="C17812">
        <f>HYPERLINK("C:\Users\franc\OneDrive\Documentos\MALENTIN KARIME\BANCO ESTADO\2012 DEPTO ESCRITURAS fata\Dc Simples\2012 DEPTO ESCRITURAS\LUIS GALLARDO\EUGENIO ARACENA ARAYA Mandato General.doc", "Abrir Documento")</f>
        <v>0</v>
      </c>
      <c r="D17812" t="s">
        <v>23500</v>
      </c>
      <c r="E17812" t="s">
        <v>40287</v>
      </c>
    </row>
    <row r="17813" spans="1:5">
      <c r="A17813" t="s">
        <v>6</v>
      </c>
      <c r="B17813" t="s">
        <v>17818</v>
      </c>
      <c r="C17813">
        <f>HYPERLINK("C:\Users\franc\OneDrive\Documentos\MALENTIN KARIME\BANCO ESTADO\2012 DEPTO ESCRITURAS fata\Dc Simples\2012 DEPTO ESCRITURAS\LUIS GALLARDO\ELIANA CORTES Y OTROS A Luis Gallardo.doc", "Abrir Documento")</f>
        <v>0</v>
      </c>
      <c r="D17813" t="s">
        <v>23500</v>
      </c>
      <c r="E17813" t="s">
        <v>40288</v>
      </c>
    </row>
    <row r="17814" spans="1:5">
      <c r="A17814" t="s">
        <v>6</v>
      </c>
      <c r="B17814" t="s">
        <v>17819</v>
      </c>
      <c r="C17814">
        <f>HYPERLINK("C:\Users\franc\OneDrive\Documentos\MALENTIN KARIME\BANCO ESTADO\2012 DEPTO ESCRITURAS fata\Dc Simples\2012 DEPTO ESCRITURAS\LUIS GALLARDO\ELIANA CORTES Partición.doc", "Abrir Documento")</f>
        <v>0</v>
      </c>
      <c r="D17814" t="s">
        <v>23500</v>
      </c>
      <c r="E17814" t="s">
        <v>40289</v>
      </c>
    </row>
    <row r="17815" spans="1:5">
      <c r="A17815" t="s">
        <v>6</v>
      </c>
      <c r="B17815" t="s">
        <v>17820</v>
      </c>
      <c r="C17815">
        <f>HYPERLINK("C:\Users\franc\OneDrive\Documentos\MALENTIN KARIME\BANCO ESTADO\2012 DEPTO ESCRITURAS fata\Dc Simples\2012 DEPTO ESCRITURAS\LUIS GALLARDO\DOCUMENTOS CEMENTERIO PUNITAQUI protocolizcion.doc", "Abrir Documento")</f>
        <v>0</v>
      </c>
      <c r="D17815" t="s">
        <v>23500</v>
      </c>
      <c r="E17815" t="s">
        <v>40290</v>
      </c>
    </row>
    <row r="17816" spans="1:5">
      <c r="A17816" t="s">
        <v>6</v>
      </c>
      <c r="B17816" t="s">
        <v>17821</v>
      </c>
      <c r="C17816">
        <f>HYPERLINK("C:\Users\franc\OneDrive\Documentos\MALENTIN KARIME\BANCO ESTADO\2012 DEPTO ESCRITURAS fata\Dc Simples\2012 DEPTO ESCRITURAS\LUIS GALLARDO\CORINA MARIN A RAUL POSTIGO Cvta..doc", "Abrir Documento")</f>
        <v>0</v>
      </c>
      <c r="D17816" t="s">
        <v>23500</v>
      </c>
      <c r="E17816" t="s">
        <v>40291</v>
      </c>
    </row>
    <row r="17817" spans="1:5">
      <c r="A17817" t="s">
        <v>6</v>
      </c>
      <c r="B17817" t="s">
        <v>17822</v>
      </c>
      <c r="C17817">
        <f>HYPERLINK("C:\Users\franc\OneDrive\Documentos\MALENTIN KARIME\BANCO ESTADO\2012 DEPTO ESCRITURAS fata\Dc Simples\2012 DEPTO ESCRITURAS\LUIS GALLARDO\COMUNIDAD AGRICOLA EL POTRERRO DE HUATULAME.doc", "Abrir Documento")</f>
        <v>0</v>
      </c>
      <c r="D17817" t="s">
        <v>23500</v>
      </c>
      <c r="E17817" t="s">
        <v>40292</v>
      </c>
    </row>
    <row r="17818" spans="1:5">
      <c r="A17818" t="s">
        <v>6</v>
      </c>
      <c r="B17818" t="s">
        <v>17823</v>
      </c>
      <c r="C17818">
        <f>HYPERLINK("C:\Users\franc\OneDrive\Documentos\MALENTIN KARIME\BANCO ESTADO\2012 DEPTO ESCRITURAS fata\Dc Simples\2012 DEPTO ESCRITURAS\LUIS GALLARDO\Complementación SERGIO GALLEGUILLOS.doc", "Abrir Documento")</f>
        <v>0</v>
      </c>
      <c r="D17818" t="s">
        <v>23500</v>
      </c>
      <c r="E17818" t="s">
        <v>40293</v>
      </c>
    </row>
    <row r="17819" spans="1:5">
      <c r="A17819" t="s">
        <v>6</v>
      </c>
      <c r="B17819" t="s">
        <v>17824</v>
      </c>
      <c r="C17819">
        <f>HYPERLINK("C:\Users\franc\OneDrive\Documentos\MALENTIN KARIME\BANCO ESTADO\2012 DEPTO ESCRITURAS fata\Dc Simples\2012 DEPTO ESCRITURAS\LUIS GALLARDO\CARTA INSTRUCCIONES AL NOTARIO PUBLICO SEÑOR RODRIGO CABRERA ALBARRAN.doc", "Abrir Documento")</f>
        <v>0</v>
      </c>
      <c r="D17819" t="s">
        <v>23500</v>
      </c>
      <c r="E17819" t="s">
        <v>40294</v>
      </c>
    </row>
    <row r="17820" spans="1:5">
      <c r="A17820" t="s">
        <v>6</v>
      </c>
      <c r="B17820" t="s">
        <v>17825</v>
      </c>
      <c r="C17820">
        <f>HYPERLINK("C:\Users\franc\OneDrive\Documentos\MALENTIN KARIME\BANCO ESTADO\2012 DEPTO ESCRITURAS fata\Dc Simples\2012 DEPTO ESCRITURAS\LUIS GALLARDO\CARLOS GONZALEZ CANTUARIAS Nuda propiedad.doc", "Abrir Documento")</f>
        <v>0</v>
      </c>
      <c r="D17820" t="s">
        <v>23500</v>
      </c>
      <c r="E17820" t="s">
        <v>40295</v>
      </c>
    </row>
    <row r="17821" spans="1:5">
      <c r="A17821" t="s">
        <v>6</v>
      </c>
      <c r="B17821" t="s">
        <v>17826</v>
      </c>
      <c r="C17821">
        <f>HYPERLINK("C:\Users\franc\OneDrive\Documentos\MALENTIN KARIME\BANCO ESTADO\2012 DEPTO ESCRITURAS fata\Dc Simples\2012 DEPTO ESCRITURAS\LUIS GALLARDO\Autorizo la firma.doc", "Abrir Documento")</f>
        <v>0</v>
      </c>
      <c r="D17821" t="s">
        <v>23500</v>
      </c>
      <c r="E17821" t="s">
        <v>40296</v>
      </c>
    </row>
    <row r="17822" spans="1:5">
      <c r="A17822" t="s">
        <v>6</v>
      </c>
      <c r="B17822" t="s">
        <v>17827</v>
      </c>
      <c r="C17822">
        <f>HYPERLINK("C:\Users\franc\OneDrive\Documentos\MALENTIN KARIME\BANCO ESTADO\2012 DEPTO ESCRITURAS fata\Dc Simples\2012 DEPTO ESCRITURAS\LUIS GALLARDO\AUTORIZACION HERRERO GARRIDO.doc", "Abrir Documento")</f>
        <v>0</v>
      </c>
      <c r="D17822" t="s">
        <v>23500</v>
      </c>
      <c r="E17822" t="s">
        <v>40297</v>
      </c>
    </row>
    <row r="17823" spans="1:5">
      <c r="A17823" t="s">
        <v>6</v>
      </c>
      <c r="B17823" t="s">
        <v>17828</v>
      </c>
      <c r="C17823">
        <f>HYPERLINK("C:\Users\franc\OneDrive\Documentos\MALENTIN KARIME\BANCO ESTADO\2012 DEPTO ESCRITURAS fata\Dc Simples\2012 DEPTO ESCRITURAS\LUIS GALLARDO\AUTORIZACION HERRERO GARRIDO 2.doc", "Abrir Documento")</f>
        <v>0</v>
      </c>
      <c r="D17823" t="s">
        <v>23500</v>
      </c>
      <c r="E17823" t="s">
        <v>40298</v>
      </c>
    </row>
    <row r="17824" spans="1:5">
      <c r="A17824" t="s">
        <v>6</v>
      </c>
      <c r="B17824" t="s">
        <v>17829</v>
      </c>
      <c r="C17824">
        <f>HYPERLINK("C:\Users\franc\OneDrive\Documentos\MALENTIN KARIME\BANCO ESTADO\2012 DEPTO ESCRITURAS fata\Dc Simples\2012 DEPTO ESCRITURAS\LOGROS\VRIL E.IR.L..doc", "Abrir Documento")</f>
        <v>0</v>
      </c>
      <c r="D17824" t="s">
        <v>23500</v>
      </c>
      <c r="E17824" t="s">
        <v>40299</v>
      </c>
    </row>
    <row r="17825" spans="1:5">
      <c r="A17825" t="s">
        <v>6</v>
      </c>
      <c r="B17825" t="s">
        <v>17830</v>
      </c>
      <c r="C17825">
        <f>HYPERLINK("C:\Users\franc\OneDrive\Documentos\MALENTIN KARIME\BANCO ESTADO\2012 DEPTO ESCRITURAS fata\Dc Simples\2012 DEPTO ESCRITURAS\LOGROS\RAUL JOFRE CANIVILO.doc", "Abrir Documento")</f>
        <v>0</v>
      </c>
      <c r="D17825" t="s">
        <v>23500</v>
      </c>
      <c r="E17825" t="s">
        <v>40300</v>
      </c>
    </row>
    <row r="17826" spans="1:5">
      <c r="A17826" t="s">
        <v>6</v>
      </c>
      <c r="B17826" t="s">
        <v>17831</v>
      </c>
      <c r="C17826">
        <f>HYPERLINK("C:\Users\franc\OneDrive\Documentos\MALENTIN KARIME\BANCO ESTADO\2012 DEPTO ESCRITURAS fata\Dc Simples\2012 DEPTO ESCRITURAS\LOGROS\RAMON PARDO VASQUEZ.doc", "Abrir Documento")</f>
        <v>0</v>
      </c>
      <c r="D17826" t="s">
        <v>23500</v>
      </c>
      <c r="E17826" t="s">
        <v>40301</v>
      </c>
    </row>
    <row r="17827" spans="1:5">
      <c r="A17827" t="s">
        <v>6</v>
      </c>
      <c r="B17827" t="s">
        <v>17832</v>
      </c>
      <c r="C17827">
        <f>HYPERLINK("C:\Users\franc\OneDrive\Documentos\MALENTIN KARIME\BANCO ESTADO\2012 DEPTO ESCRITURAS fata\Dc Simples\2012 DEPTO ESCRITURAS\LOGROS\MODELO FACTORING.doc", "Abrir Documento")</f>
        <v>0</v>
      </c>
      <c r="D17827" t="s">
        <v>23500</v>
      </c>
      <c r="E17827" t="s">
        <v>40302</v>
      </c>
    </row>
    <row r="17828" spans="1:5">
      <c r="A17828" t="s">
        <v>6</v>
      </c>
      <c r="B17828" t="s">
        <v>17833</v>
      </c>
      <c r="C17828">
        <f>HYPERLINK("C:\Users\franc\OneDrive\Documentos\MALENTIN KARIME\BANCO ESTADO\2012 DEPTO ESCRITURAS fata\Dc Simples\2012 DEPTO ESCRITURAS\LOGROS\JUAN CARLOS DIAZ MERELLO.doc", "Abrir Documento")</f>
        <v>0</v>
      </c>
      <c r="D17828" t="s">
        <v>23500</v>
      </c>
      <c r="E17828" t="s">
        <v>40303</v>
      </c>
    </row>
    <row r="17829" spans="1:5">
      <c r="A17829" t="s">
        <v>6</v>
      </c>
      <c r="B17829" t="s">
        <v>17834</v>
      </c>
      <c r="C17829">
        <f>HYPERLINK("C:\Users\franc\OneDrive\Documentos\MALENTIN KARIME\BANCO ESTADO\2012 DEPTO ESCRITURAS fata\Dc Simples\2012 DEPTO ESCRITURAS\LOGROS\JOSE OSSA HUENOLAF Agosto.doc", "Abrir Documento")</f>
        <v>0</v>
      </c>
      <c r="D17829" t="s">
        <v>23500</v>
      </c>
      <c r="E17829" t="s">
        <v>40304</v>
      </c>
    </row>
    <row r="17830" spans="1:5">
      <c r="A17830" t="s">
        <v>6</v>
      </c>
      <c r="B17830" t="s">
        <v>17835</v>
      </c>
      <c r="C17830">
        <f>HYPERLINK("C:\Users\franc\OneDrive\Documentos\MALENTIN KARIME\BANCO ESTADO\2012 DEPTO ESCRITURAS fata\Dc Simples\2012 DEPTO ESCRITURAS\LOGROS\JIMENA CERDA ZENTENO.doc", "Abrir Documento")</f>
        <v>0</v>
      </c>
      <c r="D17830" t="s">
        <v>23500</v>
      </c>
      <c r="E17830" t="s">
        <v>40305</v>
      </c>
    </row>
    <row r="17831" spans="1:5">
      <c r="A17831" t="s">
        <v>6</v>
      </c>
      <c r="B17831" t="s">
        <v>17836</v>
      </c>
      <c r="C17831">
        <f>HYPERLINK("C:\Users\franc\OneDrive\Documentos\MALENTIN KARIME\BANCO ESTADO\2012 DEPTO ESCRITURAS fata\Dc Simples\2012 DEPTO ESCRITURAS\LOGROS\HECTOR ELGUEDA VILLEGAS.doc", "Abrir Documento")</f>
        <v>0</v>
      </c>
      <c r="D17831" t="s">
        <v>23500</v>
      </c>
      <c r="E17831" t="s">
        <v>40306</v>
      </c>
    </row>
    <row r="17832" spans="1:5">
      <c r="A17832" t="s">
        <v>6</v>
      </c>
      <c r="B17832" t="s">
        <v>17837</v>
      </c>
      <c r="C17832">
        <f>HYPERLINK("C:\Users\franc\OneDrive\Documentos\MALENTIN KARIME\BANCO ESTADO\2012 DEPTO ESCRITURAS fata\Dc Simples\2012 DEPTO ESCRITURAS\LOGROS\ELDA OLIVARES MARIN.doc", "Abrir Documento")</f>
        <v>0</v>
      </c>
      <c r="D17832" t="s">
        <v>23500</v>
      </c>
      <c r="E17832" t="s">
        <v>40307</v>
      </c>
    </row>
    <row r="17833" spans="1:5">
      <c r="A17833" t="s">
        <v>6</v>
      </c>
      <c r="B17833" t="s">
        <v>17838</v>
      </c>
      <c r="C17833">
        <f>HYPERLINK("C:\Users\franc\OneDrive\Documentos\MALENTIN KARIME\BANCO ESTADO\2012 DEPTO ESCRITURAS fata\Dc Simples\2012 DEPTO ESCRITURAS\LOGROS\CRISTIAN GALVEZ DARRIGRANDE.doc", "Abrir Documento")</f>
        <v>0</v>
      </c>
      <c r="D17833" t="s">
        <v>23500</v>
      </c>
      <c r="E17833" t="s">
        <v>40308</v>
      </c>
    </row>
    <row r="17834" spans="1:5">
      <c r="A17834" t="s">
        <v>6</v>
      </c>
      <c r="B17834" t="s">
        <v>17839</v>
      </c>
      <c r="C17834">
        <f>HYPERLINK("C:\Users\franc\OneDrive\Documentos\MALENTIN KARIME\BANCO ESTADO\2012 DEPTO ESCRITURAS fata\Dc Simples\2012 DEPTO ESCRITURAS\LOGROS\CRISTIAN CACERES CARO Agosto.doc", "Abrir Documento")</f>
        <v>0</v>
      </c>
      <c r="D17834" t="s">
        <v>23500</v>
      </c>
      <c r="E17834" t="s">
        <v>40309</v>
      </c>
    </row>
    <row r="17835" spans="1:5">
      <c r="A17835" t="s">
        <v>6</v>
      </c>
      <c r="B17835" t="s">
        <v>17840</v>
      </c>
      <c r="C17835">
        <f>HYPERLINK("C:\Users\franc\OneDrive\Documentos\MALENTIN KARIME\BANCO ESTADO\2012 DEPTO ESCRITURAS fata\Dc Simples\2012 DEPTO ESCRITURAS\LOGROS\CARLOS TELLO CARVAJAL.doc", "Abrir Documento")</f>
        <v>0</v>
      </c>
      <c r="D17835" t="s">
        <v>23500</v>
      </c>
      <c r="E17835" t="s">
        <v>40310</v>
      </c>
    </row>
    <row r="17836" spans="1:5">
      <c r="A17836" t="s">
        <v>6</v>
      </c>
      <c r="B17836" t="s">
        <v>17841</v>
      </c>
      <c r="C17836">
        <f>HYPERLINK("C:\Users\franc\OneDrive\Documentos\MALENTIN KARIME\BANCO ESTADO\2012 DEPTO ESCRITURAS fata\Dc Simples\2012 DEPTO ESCRITURAS\LOGROS\BRUNILDA TAPIA GAMBOA Enero 20014.doc", "Abrir Documento")</f>
        <v>0</v>
      </c>
      <c r="D17836" t="s">
        <v>23500</v>
      </c>
      <c r="E17836" t="s">
        <v>40311</v>
      </c>
    </row>
    <row r="17837" spans="1:5">
      <c r="A17837" t="s">
        <v>6</v>
      </c>
      <c r="B17837" t="s">
        <v>17842</v>
      </c>
      <c r="C17837">
        <f>HYPERLINK("C:\Users\franc\OneDrive\Documentos\MALENTIN KARIME\BANCO ESTADO\2012 DEPTO ESCRITURAS fata\Dc Simples\2012 DEPTO ESCRITURAS\LOGROS\BRUNILDA TAPIA GAMBOA Ago 20013.doc", "Abrir Documento")</f>
        <v>0</v>
      </c>
      <c r="D17837" t="s">
        <v>23500</v>
      </c>
      <c r="E17837" t="s">
        <v>40312</v>
      </c>
    </row>
    <row r="17838" spans="1:5">
      <c r="A17838" t="s">
        <v>6</v>
      </c>
      <c r="B17838" t="s">
        <v>17843</v>
      </c>
      <c r="C17838">
        <f>HYPERLINK("C:\Users\franc\OneDrive\Documentos\MALENTIN KARIME\BANCO ESTADO\2012 DEPTO ESCRITURAS fata\Dc Simples\2012 DEPTO ESCRITURAS\LOGROS\BRUNILDA TAPIA GAMBOA Ago 20013 correjido.doc", "Abrir Documento")</f>
        <v>0</v>
      </c>
      <c r="D17838" t="s">
        <v>23500</v>
      </c>
      <c r="E17838" t="s">
        <v>40313</v>
      </c>
    </row>
    <row r="17839" spans="1:5">
      <c r="A17839" t="s">
        <v>6</v>
      </c>
      <c r="B17839" t="s">
        <v>17844</v>
      </c>
      <c r="C17839">
        <f>HYPERLINK("C:\Users\franc\OneDrive\Documentos\MALENTIN KARIME\BANCO ESTADO\2012 DEPTO ESCRITURAS fata\Dc Simples\2012 DEPTO ESCRITURAS\LOGROS\ANTONIO BOU SAPIAIN.doc", "Abrir Documento")</f>
        <v>0</v>
      </c>
      <c r="D17839" t="s">
        <v>23500</v>
      </c>
      <c r="E17839" t="s">
        <v>40314</v>
      </c>
    </row>
    <row r="17840" spans="1:5">
      <c r="A17840" t="s">
        <v>6</v>
      </c>
      <c r="B17840" t="s">
        <v>17845</v>
      </c>
      <c r="C17840">
        <f>HYPERLINK("C:\Users\franc\OneDrive\Documentos\MALENTIN KARIME\BANCO ESTADO\2012 DEPTO ESCRITURAS fata\Dc Simples\2012 DEPTO ESCRITURAS\JULIO POLOkarime\JULIO POLO ANA LUISA\LUIS TORREJON OVALLE.doc", "Abrir Documento")</f>
        <v>0</v>
      </c>
      <c r="D17840" t="s">
        <v>23500</v>
      </c>
      <c r="E17840" t="s">
        <v>40315</v>
      </c>
    </row>
    <row r="17841" spans="1:5">
      <c r="A17841" t="s">
        <v>6</v>
      </c>
      <c r="B17841" t="s">
        <v>17846</v>
      </c>
      <c r="C17841">
        <f>HYPERLINK("C:\Users\franc\OneDrive\Documentos\MALENTIN KARIME\BANCO ESTADO\2012 DEPTO ESCRITURAS fata\Dc Simples\2012 DEPTO ESCRITURAS\JULIO POLOkarime\JULIO POLO ANA LUISA\LUIS BRAVO.doc", "Abrir Documento")</f>
        <v>0</v>
      </c>
      <c r="D17841" t="s">
        <v>23500</v>
      </c>
      <c r="E17841" t="s">
        <v>40316</v>
      </c>
    </row>
    <row r="17842" spans="1:5">
      <c r="A17842" t="s">
        <v>6</v>
      </c>
      <c r="B17842" t="s">
        <v>17847</v>
      </c>
      <c r="C17842">
        <f>HYPERLINK("C:\Users\franc\OneDrive\Documentos\MALENTIN KARIME\BANCO ESTADO\2012 DEPTO ESCRITURAS fata\Dc Simples\2012 DEPTO ESCRITURAS\JULIO POLOkarime\JULIO POLO ANA LUISA\COM. EL POTRERO A SOLEDAD ZEPEDA - LOTE 2 B.doc", "Abrir Documento")</f>
        <v>0</v>
      </c>
      <c r="D17842" t="s">
        <v>23500</v>
      </c>
      <c r="E17842" t="s">
        <v>40317</v>
      </c>
    </row>
    <row r="17843" spans="1:5">
      <c r="A17843" t="s">
        <v>6</v>
      </c>
      <c r="B17843" t="s">
        <v>17848</v>
      </c>
      <c r="C17843">
        <f>HYPERLINK("C:\Users\franc\OneDrive\Documentos\MALENTIN KARIME\BANCO ESTADO\2012 DEPTO ESCRITURAS fata\Dc Simples\2012 DEPTO ESCRITURAS\JULIO POLOkarime\JULIO POLO ANA LUISA\COM. EL POTRERO A MARIA CARMONA - LOTE 3.doc", "Abrir Documento")</f>
        <v>0</v>
      </c>
      <c r="D17843" t="s">
        <v>23500</v>
      </c>
      <c r="E17843" t="s">
        <v>40318</v>
      </c>
    </row>
    <row r="17844" spans="1:5">
      <c r="A17844" t="s">
        <v>6</v>
      </c>
      <c r="B17844" t="s">
        <v>17849</v>
      </c>
      <c r="C17844">
        <f>HYPERLINK("C:\Users\franc\OneDrive\Documentos\MALENTIN KARIME\BANCO ESTADO\2012 DEPTO ESCRITURAS fata\Dc Simples\2012 DEPTO ESCRITURAS\JULIO POLOkarime\JULIO POLO ANA LUISA\COM. EL POTRERO A MARIA CARMONA - LOTE 1 A.doc", "Abrir Documento")</f>
        <v>0</v>
      </c>
      <c r="D17844" t="s">
        <v>23500</v>
      </c>
      <c r="E17844" t="s">
        <v>40319</v>
      </c>
    </row>
    <row r="17845" spans="1:5">
      <c r="A17845" t="s">
        <v>6</v>
      </c>
      <c r="B17845" t="s">
        <v>17850</v>
      </c>
      <c r="C17845">
        <f>HYPERLINK("C:\Users\franc\OneDrive\Documentos\MALENTIN KARIME\BANCO ESTADO\2012 DEPTO ESCRITURAS fata\Dc Simples\2012 DEPTO ESCRITURAS\JULIO POLOkarime\JULIO POLO ANA LUISA\COM. EL POTRERO A MA. GABRIELA ZEPEDA - LOTE 2 C.doc", "Abrir Documento")</f>
        <v>0</v>
      </c>
      <c r="D17845" t="s">
        <v>23500</v>
      </c>
      <c r="E17845" t="s">
        <v>40320</v>
      </c>
    </row>
    <row r="17846" spans="1:5">
      <c r="A17846" t="s">
        <v>6</v>
      </c>
      <c r="B17846" t="s">
        <v>17851</v>
      </c>
      <c r="C17846">
        <f>HYPERLINK("C:\Users\franc\OneDrive\Documentos\MALENTIN KARIME\BANCO ESTADO\2012 DEPTO ESCRITURAS fata\Dc Simples\2012 DEPTO ESCRITURAS\JULIO POLOkarime\JULIO POLO ANA LUISA\COM. EL POTRERO A JOSE MIGUEL ZEPEDA - LOTE 1 C.doc", "Abrir Documento")</f>
        <v>0</v>
      </c>
      <c r="D17846" t="s">
        <v>23500</v>
      </c>
      <c r="E17846" t="s">
        <v>40321</v>
      </c>
    </row>
    <row r="17847" spans="1:5">
      <c r="A17847" t="s">
        <v>6</v>
      </c>
      <c r="B17847" t="s">
        <v>17852</v>
      </c>
      <c r="C17847">
        <f>HYPERLINK("C:\Users\franc\OneDrive\Documentos\MALENTIN KARIME\BANCO ESTADO\2012 DEPTO ESCRITURAS fata\Dc Simples\2012 DEPTO ESCRITURAS\JULIO POLOkarime\JULIO POLO ANA LUISA\COM. EL POTRERO A JOSE MIGUEL ZEPEDA - LOTE 1 B.doc", "Abrir Documento")</f>
        <v>0</v>
      </c>
      <c r="D17847" t="s">
        <v>23500</v>
      </c>
      <c r="E17847" t="s">
        <v>40322</v>
      </c>
    </row>
    <row r="17848" spans="1:5">
      <c r="A17848" t="s">
        <v>6</v>
      </c>
      <c r="B17848" t="s">
        <v>17853</v>
      </c>
      <c r="C17848">
        <f>HYPERLINK("C:\Users\franc\OneDrive\Documentos\MALENTIN KARIME\BANCO ESTADO\2012 DEPTO ESCRITURAS fata\Dc Simples\2012 DEPTO ESCRITURAS\JULIO POLOkarime\JULIO POLO ANA LUISA\COM. EL POTRERO A GONZALO ZEPEDA - LOTE 2 A.doc", "Abrir Documento")</f>
        <v>0</v>
      </c>
      <c r="D17848" t="s">
        <v>23500</v>
      </c>
      <c r="E17848" t="s">
        <v>40323</v>
      </c>
    </row>
    <row r="17849" spans="1:5">
      <c r="A17849" t="s">
        <v>6</v>
      </c>
      <c r="B17849" t="s">
        <v>17854</v>
      </c>
      <c r="C17849">
        <f>HYPERLINK("C:\Users\franc\OneDrive\Documentos\MALENTIN KARIME\BANCO ESTADO\2012 DEPTO ESCRITURAS fata\Dc Simples\2012 DEPTO ESCRITURAS\JULIO POLOkarime\JULIO POLO ANA LUISA\clausula para SEGREGACIONES.docx", "Abrir Documento")</f>
        <v>0</v>
      </c>
      <c r="D17849" t="s">
        <v>23501</v>
      </c>
      <c r="E17849" t="s">
        <v>40324</v>
      </c>
    </row>
    <row r="17850" spans="1:5">
      <c r="A17850" t="s">
        <v>6</v>
      </c>
      <c r="B17850" t="s">
        <v>17855</v>
      </c>
      <c r="C17850">
        <f>HYPERLINK("C:\Users\franc\OneDrive\Documentos\MALENTIN KARIME\BANCO ESTADO\2012 DEPTO ESCRITURAS fata\Dc Simples\2012 DEPTO ESCRITURAS\JULIO POLOkarime\LUIS TORREJON OVALLE.doc", "Abrir Documento")</f>
        <v>0</v>
      </c>
      <c r="D17850" t="s">
        <v>23500</v>
      </c>
      <c r="E17850" t="s">
        <v>40325</v>
      </c>
    </row>
    <row r="17851" spans="1:5">
      <c r="A17851" t="s">
        <v>6</v>
      </c>
      <c r="B17851" t="s">
        <v>17856</v>
      </c>
      <c r="C17851">
        <f>HYPERLINK("C:\Users\franc\OneDrive\Documentos\MALENTIN KARIME\BANCO ESTADO\2012 DEPTO ESCRITURAS fata\Dc Simples\2012 DEPTO ESCRITURAS\JULIO POLOkarime\LUIS BRAVO.doc", "Abrir Documento")</f>
        <v>0</v>
      </c>
      <c r="D17851" t="s">
        <v>23500</v>
      </c>
      <c r="E17851" t="s">
        <v>40326</v>
      </c>
    </row>
    <row r="17852" spans="1:5">
      <c r="A17852" t="s">
        <v>6</v>
      </c>
      <c r="B17852" t="s">
        <v>17857</v>
      </c>
      <c r="C17852">
        <f>HYPERLINK("C:\Users\franc\OneDrive\Documentos\MALENTIN KARIME\BANCO ESTADO\2012 DEPTO ESCRITURAS fata\Dc Simples\2012 DEPTO ESCRITURAS\JULIO POLOkarime\LOTE 1B CORREGIDO.doc", "Abrir Documento")</f>
        <v>0</v>
      </c>
      <c r="D17852" t="s">
        <v>23500</v>
      </c>
      <c r="E17852" t="s">
        <v>40327</v>
      </c>
    </row>
    <row r="17853" spans="1:5">
      <c r="A17853" t="s">
        <v>6</v>
      </c>
      <c r="B17853" t="s">
        <v>17858</v>
      </c>
      <c r="C17853">
        <f>HYPERLINK("C:\Users\franc\OneDrive\Documentos\MALENTIN KARIME\BANCO ESTADO\2012 DEPTO ESCRITURAS fata\Dc Simples\2012 DEPTO ESCRITURAS\JULIO POLOkarime\COM. EL POTRERO A SOLEDAD ZEPEDA - LOTE 2 B.doc", "Abrir Documento")</f>
        <v>0</v>
      </c>
      <c r="D17853" t="s">
        <v>23500</v>
      </c>
      <c r="E17853" t="s">
        <v>40328</v>
      </c>
    </row>
    <row r="17854" spans="1:5">
      <c r="A17854" t="s">
        <v>6</v>
      </c>
      <c r="B17854" t="s">
        <v>17859</v>
      </c>
      <c r="C17854">
        <f>HYPERLINK("C:\Users\franc\OneDrive\Documentos\MALENTIN KARIME\BANCO ESTADO\2012 DEPTO ESCRITURAS fata\Dc Simples\2012 DEPTO ESCRITURAS\JULIO POLOkarime\COM. EL POTRERO A MARIA CARMONA - LOTE 3.doc", "Abrir Documento")</f>
        <v>0</v>
      </c>
      <c r="D17854" t="s">
        <v>23500</v>
      </c>
      <c r="E17854" t="s">
        <v>40329</v>
      </c>
    </row>
    <row r="17855" spans="1:5">
      <c r="A17855" t="s">
        <v>6</v>
      </c>
      <c r="B17855" t="s">
        <v>17860</v>
      </c>
      <c r="C17855">
        <f>HYPERLINK("C:\Users\franc\OneDrive\Documentos\MALENTIN KARIME\BANCO ESTADO\2012 DEPTO ESCRITURAS fata\Dc Simples\2012 DEPTO ESCRITURAS\JULIO POLOkarime\COM. EL POTRERO A MARIA CARMONA - LOTE 1 A.doc", "Abrir Documento")</f>
        <v>0</v>
      </c>
      <c r="D17855" t="s">
        <v>23500</v>
      </c>
      <c r="E17855" t="s">
        <v>40330</v>
      </c>
    </row>
    <row r="17856" spans="1:5">
      <c r="A17856" t="s">
        <v>6</v>
      </c>
      <c r="B17856" t="s">
        <v>17861</v>
      </c>
      <c r="C17856">
        <f>HYPERLINK("C:\Users\franc\OneDrive\Documentos\MALENTIN KARIME\BANCO ESTADO\2012 DEPTO ESCRITURAS fata\Dc Simples\2012 DEPTO ESCRITURAS\JULIO POLOkarime\COM. EL POTRERO A MA. GABRIELA ZEPEDA - LOTE 2 C.doc", "Abrir Documento")</f>
        <v>0</v>
      </c>
      <c r="D17856" t="s">
        <v>23500</v>
      </c>
      <c r="E17856" t="s">
        <v>40331</v>
      </c>
    </row>
    <row r="17857" spans="1:5">
      <c r="A17857" t="s">
        <v>6</v>
      </c>
      <c r="B17857" t="s">
        <v>17862</v>
      </c>
      <c r="C17857">
        <f>HYPERLINK("C:\Users\franc\OneDrive\Documentos\MALENTIN KARIME\BANCO ESTADO\2012 DEPTO ESCRITURAS fata\Dc Simples\2012 DEPTO ESCRITURAS\JULIO POLOkarime\COM. EL POTRERO A JOSE MIGUEL ZEPEDA - LOTE 1 C.doc", "Abrir Documento")</f>
        <v>0</v>
      </c>
      <c r="D17857" t="s">
        <v>23500</v>
      </c>
      <c r="E17857" t="s">
        <v>40332</v>
      </c>
    </row>
    <row r="17858" spans="1:5">
      <c r="A17858" t="s">
        <v>6</v>
      </c>
      <c r="B17858" t="s">
        <v>17863</v>
      </c>
      <c r="C17858">
        <f>HYPERLINK("C:\Users\franc\OneDrive\Documentos\MALENTIN KARIME\BANCO ESTADO\2012 DEPTO ESCRITURAS fata\Dc Simples\2012 DEPTO ESCRITURAS\JULIO POLOkarime\COM. EL POTRERO A JOSE MIGUEL ZEPEDA - LOTE 1 B.doc", "Abrir Documento")</f>
        <v>0</v>
      </c>
      <c r="D17858" t="s">
        <v>23500</v>
      </c>
      <c r="E17858" t="s">
        <v>40333</v>
      </c>
    </row>
    <row r="17859" spans="1:5">
      <c r="A17859" t="s">
        <v>6</v>
      </c>
      <c r="B17859" t="s">
        <v>17864</v>
      </c>
      <c r="C17859">
        <f>HYPERLINK("C:\Users\franc\OneDrive\Documentos\MALENTIN KARIME\BANCO ESTADO\2012 DEPTO ESCRITURAS fata\Dc Simples\2012 DEPTO ESCRITURAS\JULIO POLOkarime\COM. EL POTRERO A GONZALO ZEPEDA - LOTE 2 A.doc", "Abrir Documento")</f>
        <v>0</v>
      </c>
      <c r="D17859" t="s">
        <v>23500</v>
      </c>
      <c r="E17859" t="s">
        <v>40334</v>
      </c>
    </row>
    <row r="17860" spans="1:5">
      <c r="A17860" t="s">
        <v>6</v>
      </c>
      <c r="B17860" t="s">
        <v>17865</v>
      </c>
      <c r="C17860">
        <f>HYPERLINK("C:\Users\franc\OneDrive\Documentos\MALENTIN KARIME\BANCO ESTADO\2012 DEPTO ESCRITURAS fata\Dc Simples\2012 DEPTO ESCRITURAS\JULIO POLOkarime\clausula para SEGREGACIONES.docx", "Abrir Documento")</f>
        <v>0</v>
      </c>
      <c r="D17860" t="s">
        <v>23501</v>
      </c>
      <c r="E17860" t="s">
        <v>40335</v>
      </c>
    </row>
    <row r="17861" spans="1:5">
      <c r="A17861" t="s">
        <v>6</v>
      </c>
      <c r="B17861" t="s">
        <v>17866</v>
      </c>
      <c r="C17861">
        <f>HYPERLINK("C:\Users\franc\OneDrive\Documentos\MALENTIN KARIME\BANCO ESTADO\2012 DEPTO ESCRITURAS fata\Dc Simples\2012 DEPTO ESCRITURAS\JULIO POLOkarime\1900.doc", "Abrir Documento")</f>
        <v>0</v>
      </c>
      <c r="D17861" t="s">
        <v>23500</v>
      </c>
      <c r="E17861" t="s">
        <v>40336</v>
      </c>
    </row>
    <row r="17862" spans="1:5">
      <c r="A17862" t="s">
        <v>6</v>
      </c>
      <c r="B17862" t="s">
        <v>17867</v>
      </c>
      <c r="C17862">
        <f>HYPERLINK("C:\Users\franc\OneDrive\Documentos\MALENTIN KARIME\BANCO ESTADO\2012 DEPTO ESCRITURAS fata\Dc Simples\2012 DEPTO ESCRITURAS\JULIO POLOkarime\1899.doc", "Abrir Documento")</f>
        <v>0</v>
      </c>
      <c r="D17862" t="s">
        <v>23500</v>
      </c>
      <c r="E17862" t="s">
        <v>40337</v>
      </c>
    </row>
    <row r="17863" spans="1:5">
      <c r="A17863" t="s">
        <v>6</v>
      </c>
      <c r="B17863" t="s">
        <v>17868</v>
      </c>
      <c r="C17863">
        <f>HYPERLINK("C:\Users\franc\OneDrive\Documentos\MALENTIN KARIME\BANCO ESTADO\2012 DEPTO ESCRITURAS fata\Dc Simples\2012 DEPTO ESCRITURAS\JULIO POLOkarime\1898.doc", "Abrir Documento")</f>
        <v>0</v>
      </c>
      <c r="D17863" t="s">
        <v>23500</v>
      </c>
      <c r="E17863" t="s">
        <v>40338</v>
      </c>
    </row>
    <row r="17864" spans="1:5">
      <c r="A17864" t="s">
        <v>6</v>
      </c>
      <c r="B17864" t="s">
        <v>17869</v>
      </c>
      <c r="C17864">
        <f>HYPERLINK("C:\Users\franc\OneDrive\Documentos\MALENTIN KARIME\BANCO ESTADO\2012 DEPTO ESCRITURAS fata\Dc Simples\2012 DEPTO ESCRITURAS\JULIO POLOkarime\1897.doc", "Abrir Documento")</f>
        <v>0</v>
      </c>
      <c r="D17864" t="s">
        <v>23500</v>
      </c>
      <c r="E17864" t="s">
        <v>40339</v>
      </c>
    </row>
    <row r="17865" spans="1:5">
      <c r="A17865" t="s">
        <v>6</v>
      </c>
      <c r="B17865" t="s">
        <v>17870</v>
      </c>
      <c r="C17865">
        <f>HYPERLINK("C:\Users\franc\OneDrive\Documentos\MALENTIN KARIME\BANCO ESTADO\2012 DEPTO ESCRITURAS fata\Dc Simples\2012 DEPTO ESCRITURAS\JULIO POLOkarime\1896.doc", "Abrir Documento")</f>
        <v>0</v>
      </c>
      <c r="D17865" t="s">
        <v>23500</v>
      </c>
      <c r="E17865" t="s">
        <v>40340</v>
      </c>
    </row>
    <row r="17866" spans="1:5">
      <c r="A17866" t="s">
        <v>6</v>
      </c>
      <c r="B17866" t="s">
        <v>17871</v>
      </c>
      <c r="C17866">
        <f>HYPERLINK("C:\Users\franc\OneDrive\Documentos\MALENTIN KARIME\BANCO ESTADO\2012 DEPTO ESCRITURAS fata\Dc Simples\2012 DEPTO ESCRITURAS\JULIO POLOkarime\1895.doc", "Abrir Documento")</f>
        <v>0</v>
      </c>
      <c r="D17866" t="s">
        <v>23500</v>
      </c>
      <c r="E17866" t="s">
        <v>40341</v>
      </c>
    </row>
    <row r="17867" spans="1:5">
      <c r="A17867" t="s">
        <v>6</v>
      </c>
      <c r="B17867" t="s">
        <v>17872</v>
      </c>
      <c r="C17867">
        <f>HYPERLINK("C:\Users\franc\OneDrive\Documentos\MALENTIN KARIME\BANCO ESTADO\2012 DEPTO ESCRITURAS fata\Dc Simples\2012 DEPTO ESCRITURAS\JULIO POLOkarime\1894.doc", "Abrir Documento")</f>
        <v>0</v>
      </c>
      <c r="D17867" t="s">
        <v>23500</v>
      </c>
      <c r="E17867" t="s">
        <v>40342</v>
      </c>
    </row>
    <row r="17868" spans="1:5">
      <c r="A17868" t="s">
        <v>6</v>
      </c>
      <c r="B17868" t="s">
        <v>17873</v>
      </c>
      <c r="C17868">
        <f>HYPERLINK("C:\Users\franc\OneDrive\Documentos\MALENTIN KARIME\BANCO ESTADO\2012 DEPTO ESCRITURAS fata\Dc Simples\2012 DEPTO ESCRITURAS\JOSE TABILO GOMILA\Cristian Zepeda Rodriguez Comple.doc", "Abrir Documento")</f>
        <v>0</v>
      </c>
      <c r="D17868" t="s">
        <v>23500</v>
      </c>
      <c r="E17868" t="s">
        <v>40343</v>
      </c>
    </row>
    <row r="17869" spans="1:5">
      <c r="A17869" t="s">
        <v>6</v>
      </c>
      <c r="B17869" t="s">
        <v>17874</v>
      </c>
      <c r="C17869">
        <f>HYPERLINK("C:\Users\franc\OneDrive\Documentos\MALENTIN KARIME\BANCO ESTADO\2012 DEPTO ESCRITURAS fata\Dc Simples\2012 DEPTO ESCRITURAS\INMOB SANTA EMMA\INSTRUCCIONES   NOTARIALES.doc", "Abrir Documento")</f>
        <v>0</v>
      </c>
      <c r="D17869" t="s">
        <v>23500</v>
      </c>
      <c r="E17869" t="s">
        <v>40344</v>
      </c>
    </row>
    <row r="17870" spans="1:5">
      <c r="A17870" t="s">
        <v>6</v>
      </c>
      <c r="B17870" t="s">
        <v>17875</v>
      </c>
      <c r="C17870">
        <f>HYPERLINK("C:\Users\franc\OneDrive\Documentos\MALENTIN KARIME\BANCO ESTADO\2012 DEPTO ESCRITURAS fata\Dc Simples\2012 DEPTO ESCRITURAS\INMOB SANTA EMMA\CONFERR.doc", "Abrir Documento")</f>
        <v>0</v>
      </c>
      <c r="D17870" t="s">
        <v>23500</v>
      </c>
      <c r="E17870" t="s">
        <v>40345</v>
      </c>
    </row>
    <row r="17871" spans="1:5">
      <c r="A17871" t="s">
        <v>6</v>
      </c>
      <c r="B17871" t="s">
        <v>17876</v>
      </c>
      <c r="C17871">
        <f>HYPERLINK("C:\Users\franc\OneDrive\Documentos\MALENTIN KARIME\BANCO ESTADO\2012 DEPTO ESCRITURAS fata\Dc Simples\2012 DEPTO ESCRITURAS\HIPOTECA\SERGIO TORO VARGAS A FRUTEXPORT Prenda.doc", "Abrir Documento")</f>
        <v>0</v>
      </c>
      <c r="D17871" t="s">
        <v>23500</v>
      </c>
      <c r="E17871" t="s">
        <v>40346</v>
      </c>
    </row>
    <row r="17872" spans="1:5">
      <c r="A17872" t="s">
        <v>6</v>
      </c>
      <c r="B17872" t="s">
        <v>17877</v>
      </c>
      <c r="C17872">
        <f>HYPERLINK("C:\Users\franc\OneDrive\Documentos\MALENTIN KARIME\BANCO ESTADO\2012 DEPTO ESCRITURAS fata\Dc Simples\2012 DEPTO ESCRITURAS\HIPOTECA\SERGIO TORO VARGAS A FRUTEXPORT Hipoteca.doc", "Abrir Documento")</f>
        <v>0</v>
      </c>
      <c r="D17872" t="s">
        <v>23500</v>
      </c>
      <c r="E17872" t="s">
        <v>40347</v>
      </c>
    </row>
    <row r="17873" spans="1:5">
      <c r="A17873" t="s">
        <v>6</v>
      </c>
      <c r="B17873" t="s">
        <v>17878</v>
      </c>
      <c r="C17873">
        <f>HYPERLINK("C:\Users\franc\OneDrive\Documentos\MALENTIN KARIME\BANCO ESTADO\2012 DEPTO ESCRITURAS fata\Dc Simples\2012 DEPTO ESCRITURAS\HIPOTECA\PAGARÉ  SERGIO TORO VARGAS.doc", "Abrir Documento")</f>
        <v>0</v>
      </c>
      <c r="D17873" t="s">
        <v>23500</v>
      </c>
      <c r="E17873" t="s">
        <v>40348</v>
      </c>
    </row>
    <row r="17874" spans="1:5">
      <c r="A17874" t="s">
        <v>6</v>
      </c>
      <c r="B17874" t="s">
        <v>17879</v>
      </c>
      <c r="C17874">
        <f>HYPERLINK("C:\Users\franc\OneDrive\Documentos\MALENTIN KARIME\BANCO ESTADO\2012 DEPTO ESCRITURAS fata\Dc Simples\2012 DEPTO ESCRITURAS\HIPOTECA\PAGARÉ  A LA ORDEN.doc", "Abrir Documento")</f>
        <v>0</v>
      </c>
      <c r="D17874" t="s">
        <v>23500</v>
      </c>
      <c r="E17874" t="s">
        <v>40349</v>
      </c>
    </row>
    <row r="17875" spans="1:5">
      <c r="A17875" t="s">
        <v>6</v>
      </c>
      <c r="B17875" t="s">
        <v>17880</v>
      </c>
      <c r="C17875">
        <f>HYPERLINK("C:\Users\franc\OneDrive\Documentos\MALENTIN KARIME\BANCO ESTADO\2012 DEPTO ESCRITURAS fata\Dc Simples\2012 DEPTO ESCRITURAS\HIPOTECA\PAGARÉ  A LA ORDEN -NOVACIÓN.doc", "Abrir Documento")</f>
        <v>0</v>
      </c>
      <c r="D17875" t="s">
        <v>23500</v>
      </c>
      <c r="E17875" t="s">
        <v>40350</v>
      </c>
    </row>
    <row r="17876" spans="1:5">
      <c r="A17876" t="s">
        <v>6</v>
      </c>
      <c r="B17876" t="s">
        <v>17881</v>
      </c>
      <c r="C17876">
        <f>HYPERLINK("C:\Users\franc\OneDrive\Documentos\MALENTIN KARIME\BANCO ESTADO\2012 DEPTO ESCRITURAS fata\Dc Simples\2012 DEPTO ESCRITURAS\HIPOTECA\JUAN LAGUNAS FLORES Hipoteca.doc", "Abrir Documento")</f>
        <v>0</v>
      </c>
      <c r="D17876" t="s">
        <v>23500</v>
      </c>
      <c r="E17876" t="s">
        <v>40351</v>
      </c>
    </row>
    <row r="17877" spans="1:5">
      <c r="A17877" t="s">
        <v>6</v>
      </c>
      <c r="B17877" t="s">
        <v>17882</v>
      </c>
      <c r="C17877">
        <f>HYPERLINK("C:\Users\franc\OneDrive\Documentos\MALENTIN KARIME\BANCO ESTADO\2012 DEPTO ESCRITURAS fata\Dc Simples\2012 DEPTO ESCRITURAS\HIPOTECA\JUAN LAGUNAS FLORES Hipoteca Final.doc", "Abrir Documento")</f>
        <v>0</v>
      </c>
      <c r="D17877" t="s">
        <v>23500</v>
      </c>
      <c r="E17877" t="s">
        <v>40352</v>
      </c>
    </row>
    <row r="17878" spans="1:5">
      <c r="A17878" t="s">
        <v>6</v>
      </c>
      <c r="B17878" t="s">
        <v>17883</v>
      </c>
      <c r="C17878">
        <f>HYPERLINK("C:\Users\franc\OneDrive\Documentos\MALENTIN KARIME\BANCO ESTADO\2012 DEPTO ESCRITURAS fata\Dc Simples\2012 DEPTO ESCRITURAS\HIPOTECA\JUAN LAGUNAS FLORES A EXPORTADORA FRUTEXPORT.doc", "Abrir Documento")</f>
        <v>0</v>
      </c>
      <c r="D17878" t="s">
        <v>23500</v>
      </c>
      <c r="E17878" t="s">
        <v>40353</v>
      </c>
    </row>
    <row r="17879" spans="1:5">
      <c r="A17879" t="s">
        <v>6</v>
      </c>
      <c r="B17879" t="s">
        <v>17884</v>
      </c>
      <c r="C17879">
        <f>HYPERLINK("C:\Users\franc\OneDrive\Documentos\MALENTIN KARIME\BANCO ESTADO\2012 DEPTO ESCRITURAS fata\Dc Simples\2012 DEPTO ESCRITURAS\HIPOTECA\JUAN BARRAZA JOFRE A FRUTEXPORT.doc", "Abrir Documento")</f>
        <v>0</v>
      </c>
      <c r="D17879" t="s">
        <v>23500</v>
      </c>
      <c r="E17879" t="s">
        <v>40354</v>
      </c>
    </row>
    <row r="17880" spans="1:5">
      <c r="A17880" t="s">
        <v>6</v>
      </c>
      <c r="B17880" t="s">
        <v>17885</v>
      </c>
      <c r="C17880">
        <f>HYPERLINK("C:\Users\franc\OneDrive\Documentos\MALENTIN KARIME\BANCO ESTADO\2012 DEPTO ESCRITURAS fata\Dc Simples\2012 DEPTO ESCRITURAS\HIPOTECA\FRUTEXPORT Novacion.doc", "Abrir Documento")</f>
        <v>0</v>
      </c>
      <c r="D17880" t="s">
        <v>23500</v>
      </c>
      <c r="E17880" t="s">
        <v>40355</v>
      </c>
    </row>
    <row r="17881" spans="1:5">
      <c r="A17881" t="s">
        <v>6</v>
      </c>
      <c r="B17881" t="s">
        <v>17886</v>
      </c>
      <c r="C17881">
        <f>HYPERLINK("C:\Users\franc\OneDrive\Documentos\MALENTIN KARIME\BANCO ESTADO\2012 DEPTO ESCRITURAS fata\Dc Simples\2012 DEPTO ESCRITURAS\HIPOTECA\F 24 5.doc", "Abrir Documento")</f>
        <v>0</v>
      </c>
      <c r="D17881" t="s">
        <v>23500</v>
      </c>
      <c r="E17881" t="s">
        <v>40356</v>
      </c>
    </row>
    <row r="17882" spans="1:5">
      <c r="A17882" t="s">
        <v>6</v>
      </c>
      <c r="B17882" t="s">
        <v>17887</v>
      </c>
      <c r="C17882">
        <f>HYPERLINK("C:\Users\franc\OneDrive\Documentos\MALENTIN KARIME\BANCO ESTADO\2012 DEPTO ESCRITURAS fata\Dc Simples\2012 DEPTO ESCRITURAS\HIPOTECA\F 24 2.doc", "Abrir Documento")</f>
        <v>0</v>
      </c>
      <c r="D17882" t="s">
        <v>23500</v>
      </c>
      <c r="E17882" t="s">
        <v>40357</v>
      </c>
    </row>
    <row r="17883" spans="1:5">
      <c r="A17883" t="s">
        <v>6</v>
      </c>
      <c r="B17883" t="s">
        <v>17888</v>
      </c>
      <c r="C17883">
        <f>HYPERLINK("C:\Users\franc\OneDrive\Documentos\MALENTIN KARIME\BANCO ESTADO\2012 DEPTO ESCRITURAS fata\Dc Simples\2012 DEPTO ESCRITURAS\HIPOTECA\DIOMEDES CRUZ SOLORZANO A MASAVAL SAGR.doc", "Abrir Documento")</f>
        <v>0</v>
      </c>
      <c r="D17883" t="s">
        <v>23500</v>
      </c>
      <c r="E17883" t="s">
        <v>40358</v>
      </c>
    </row>
    <row r="17884" spans="1:5">
      <c r="A17884" t="s">
        <v>6</v>
      </c>
      <c r="B17884" t="s">
        <v>17889</v>
      </c>
      <c r="C17884">
        <f>HYPERLINK("C:\Users\franc\OneDrive\Documentos\MALENTIN KARIME\BANCO ESTADO\2012 DEPTO ESCRITURAS fata\Dc Simples\2012 DEPTO ESCRITURAS\HIPOTECA\CONTRATO DE HIPOTECA.doc", "Abrir Documento")</f>
        <v>0</v>
      </c>
      <c r="D17884" t="s">
        <v>23500</v>
      </c>
      <c r="E17884" t="s">
        <v>40359</v>
      </c>
    </row>
    <row r="17885" spans="1:5">
      <c r="A17885" t="s">
        <v>6</v>
      </c>
      <c r="B17885" t="s">
        <v>17890</v>
      </c>
      <c r="C17885">
        <f>HYPERLINK("C:\Users\franc\OneDrive\Documentos\MALENTIN KARIME\BANCO ESTADO\2012 DEPTO ESCRITURAS fata\Dc Simples\2012 DEPTO ESCRITURAS\FACTORONE\2014\FRANCISCO CORTES PIZARRO.doc", "Abrir Documento")</f>
        <v>0</v>
      </c>
      <c r="D17885" t="s">
        <v>23500</v>
      </c>
      <c r="E17885" t="s">
        <v>40360</v>
      </c>
    </row>
    <row r="17886" spans="1:5">
      <c r="A17886" t="s">
        <v>6</v>
      </c>
      <c r="B17886" t="s">
        <v>17891</v>
      </c>
      <c r="C17886">
        <f>HYPERLINK("C:\Users\franc\OneDrive\Documentos\MALENTIN KARIME\BANCO ESTADO\2012 DEPTO ESCRITURAS fata\Dc Simples\2012 DEPTO ESCRITURAS\FACTORONE\2014\CAROLINA MONTECINOS GUZMAN.doc", "Abrir Documento")</f>
        <v>0</v>
      </c>
      <c r="D17886" t="s">
        <v>23500</v>
      </c>
      <c r="E17886" t="s">
        <v>40361</v>
      </c>
    </row>
    <row r="17887" spans="1:5">
      <c r="A17887" t="s">
        <v>6</v>
      </c>
      <c r="B17887" t="s">
        <v>17892</v>
      </c>
      <c r="C17887">
        <f>HYPERLINK("C:\Users\franc\OneDrive\Documentos\MALENTIN KARIME\BANCO ESTADO\2012 DEPTO ESCRITURAS fata\Dc Simples\2012 DEPTO ESCRITURAS\FACTORONE\YERKO TABILO ROBLES.doc", "Abrir Documento")</f>
        <v>0</v>
      </c>
      <c r="D17887" t="s">
        <v>23500</v>
      </c>
      <c r="E17887" t="s">
        <v>40362</v>
      </c>
    </row>
    <row r="17888" spans="1:5">
      <c r="A17888" t="s">
        <v>6</v>
      </c>
      <c r="B17888" t="s">
        <v>17893</v>
      </c>
      <c r="C17888">
        <f>HYPERLINK("C:\Users\franc\OneDrive\Documentos\MALENTIN KARIME\BANCO ESTADO\2012 DEPTO ESCRITURAS fata\Dc Simples\2012 DEPTO ESCRITURAS\FACTORONE\VITAL GONZALEZ.doc", "Abrir Documento")</f>
        <v>0</v>
      </c>
      <c r="D17888" t="s">
        <v>23500</v>
      </c>
      <c r="E17888" t="s">
        <v>40363</v>
      </c>
    </row>
    <row r="17889" spans="1:5">
      <c r="A17889" t="s">
        <v>6</v>
      </c>
      <c r="B17889" t="s">
        <v>17894</v>
      </c>
      <c r="C17889">
        <f>HYPERLINK("C:\Users\franc\OneDrive\Documentos\MALENTIN KARIME\BANCO ESTADO\2012 DEPTO ESCRITURAS fata\Dc Simples\2012 DEPTO ESCRITURAS\FACTORONE\VIDAL VERGARA LIMITADA.doc", "Abrir Documento")</f>
        <v>0</v>
      </c>
      <c r="D17889" t="s">
        <v>23500</v>
      </c>
      <c r="E17889" t="s">
        <v>40364</v>
      </c>
    </row>
    <row r="17890" spans="1:5">
      <c r="A17890" t="s">
        <v>6</v>
      </c>
      <c r="B17890" t="s">
        <v>17895</v>
      </c>
      <c r="C17890">
        <f>HYPERLINK("C:\Users\franc\OneDrive\Documentos\MALENTIN KARIME\BANCO ESTADO\2012 DEPTO ESCRITURAS fata\Dc Simples\2012 DEPTO ESCRITURAS\FACTORONE\STEVE LEDEZMA.doc", "Abrir Documento")</f>
        <v>0</v>
      </c>
      <c r="D17890" t="s">
        <v>23500</v>
      </c>
      <c r="E17890" t="s">
        <v>40365</v>
      </c>
    </row>
    <row r="17891" spans="1:5">
      <c r="A17891" t="s">
        <v>6</v>
      </c>
      <c r="B17891" t="s">
        <v>17896</v>
      </c>
      <c r="C17891">
        <f>HYPERLINK("C:\Users\franc\OneDrive\Documentos\MALENTIN KARIME\BANCO ESTADO\2012 DEPTO ESCRITURAS fata\Dc Simples\2012 DEPTO ESCRITURAS\FACTORONE\SOBRE.doc", "Abrir Documento")</f>
        <v>0</v>
      </c>
      <c r="D17891" t="s">
        <v>23500</v>
      </c>
      <c r="E17891" t="s">
        <v>40366</v>
      </c>
    </row>
    <row r="17892" spans="1:5">
      <c r="A17892" t="s">
        <v>6</v>
      </c>
      <c r="B17892" t="s">
        <v>17897</v>
      </c>
      <c r="C17892">
        <f>HYPERLINK("C:\Users\franc\OneDrive\Documentos\MALENTIN KARIME\BANCO ESTADO\2012 DEPTO ESCRITURAS fata\Dc Simples\2012 DEPTO ESCRITURAS\FACTORONE\SOBRE medio.doc", "Abrir Documento")</f>
        <v>0</v>
      </c>
      <c r="D17892" t="s">
        <v>23500</v>
      </c>
      <c r="E17892" t="s">
        <v>40367</v>
      </c>
    </row>
    <row r="17893" spans="1:5">
      <c r="A17893" t="s">
        <v>6</v>
      </c>
      <c r="B17893" t="s">
        <v>17898</v>
      </c>
      <c r="C17893">
        <f>HYPERLINK("C:\Users\franc\OneDrive\Documentos\MALENTIN KARIME\BANCO ESTADO\2012 DEPTO ESCRITURAS fata\Dc Simples\2012 DEPTO ESCRITURAS\FACTORONE\SERGIO ANDRADE ARAYA Abril.doc", "Abrir Documento")</f>
        <v>0</v>
      </c>
      <c r="D17893" t="s">
        <v>23500</v>
      </c>
      <c r="E17893" t="s">
        <v>40368</v>
      </c>
    </row>
    <row r="17894" spans="1:5">
      <c r="A17894" t="s">
        <v>6</v>
      </c>
      <c r="B17894" t="s">
        <v>17899</v>
      </c>
      <c r="C17894">
        <f>HYPERLINK("C:\Users\franc\OneDrive\Documentos\MALENTIN KARIME\BANCO ESTADO\2012 DEPTO ESCRITURAS fata\Dc Simples\2012 DEPTO ESCRITURAS\FACTORONE\RODRIGO CORTES OLIVARES.doc", "Abrir Documento")</f>
        <v>0</v>
      </c>
      <c r="D17894" t="s">
        <v>23500</v>
      </c>
      <c r="E17894" t="s">
        <v>40369</v>
      </c>
    </row>
    <row r="17895" spans="1:5">
      <c r="A17895" t="s">
        <v>6</v>
      </c>
      <c r="B17895" t="s">
        <v>17900</v>
      </c>
      <c r="C17895">
        <f>HYPERLINK("C:\Users\franc\OneDrive\Documentos\MALENTIN KARIME\BANCO ESTADO\2012 DEPTO ESCRITURAS fata\Dc Simples\2012 DEPTO ESCRITURAS\FACTORONE\RICARDO ROJAS ARAYA Hipoteca.doc", "Abrir Documento")</f>
        <v>0</v>
      </c>
      <c r="D17895" t="s">
        <v>23500</v>
      </c>
      <c r="E17895" t="s">
        <v>40370</v>
      </c>
    </row>
    <row r="17896" spans="1:5">
      <c r="A17896" t="s">
        <v>6</v>
      </c>
      <c r="B17896" t="s">
        <v>17901</v>
      </c>
      <c r="C17896">
        <f>HYPERLINK("C:\Users\franc\OneDrive\Documentos\MALENTIN KARIME\BANCO ESTADO\2012 DEPTO ESCRITURAS fata\Dc Simples\2012 DEPTO ESCRITURAS\FACTORONE\RAUL VIVANCO TOLEDO.doc", "Abrir Documento")</f>
        <v>0</v>
      </c>
      <c r="D17896" t="s">
        <v>23500</v>
      </c>
      <c r="E17896" t="s">
        <v>40371</v>
      </c>
    </row>
    <row r="17897" spans="1:5">
      <c r="A17897" t="s">
        <v>6</v>
      </c>
      <c r="B17897" t="s">
        <v>17902</v>
      </c>
      <c r="C17897">
        <f>HYPERLINK("C:\Users\franc\OneDrive\Documentos\MALENTIN KARIME\BANCO ESTADO\2012 DEPTO ESCRITURAS fata\Dc Simples\2012 DEPTO ESCRITURAS\FACTORONE\RAUL VIVANCO Marzo 2013.doc", "Abrir Documento")</f>
        <v>0</v>
      </c>
      <c r="D17897" t="s">
        <v>23500</v>
      </c>
      <c r="E17897" t="s">
        <v>40372</v>
      </c>
    </row>
    <row r="17898" spans="1:5">
      <c r="A17898" t="s">
        <v>6</v>
      </c>
      <c r="B17898" t="s">
        <v>17903</v>
      </c>
      <c r="C17898">
        <f>HYPERLINK("C:\Users\franc\OneDrive\Documentos\MALENTIN KARIME\BANCO ESTADO\2012 DEPTO ESCRITURAS fata\Dc Simples\2012 DEPTO ESCRITURAS\FACTORONE\notificacion.doc", "Abrir Documento")</f>
        <v>0</v>
      </c>
      <c r="D17898" t="s">
        <v>23500</v>
      </c>
      <c r="E17898" t="s">
        <v>40373</v>
      </c>
    </row>
    <row r="17899" spans="1:5">
      <c r="A17899" t="s">
        <v>6</v>
      </c>
      <c r="B17899" t="s">
        <v>17904</v>
      </c>
      <c r="C17899">
        <f>HYPERLINK("C:\Users\franc\OneDrive\Documentos\MALENTIN KARIME\BANCO ESTADO\2012 DEPTO ESCRITURAS fata\Dc Simples\2012 DEPTO ESCRITURAS\FACTORONE\MARIA PAZ MEDINA HARRIS.doc", "Abrir Documento")</f>
        <v>0</v>
      </c>
      <c r="D17899" t="s">
        <v>23500</v>
      </c>
      <c r="E17899" t="s">
        <v>40374</v>
      </c>
    </row>
    <row r="17900" spans="1:5">
      <c r="A17900" t="s">
        <v>6</v>
      </c>
      <c r="B17900" t="s">
        <v>17905</v>
      </c>
      <c r="C17900">
        <f>HYPERLINK("C:\Users\franc\OneDrive\Documentos\MALENTIN KARIME\BANCO ESTADO\2012 DEPTO ESCRITURAS fata\Dc Simples\2012 DEPTO ESCRITURAS\FACTORONE\LUIS CARVAJAL CORTES Factoring.doc", "Abrir Documento")</f>
        <v>0</v>
      </c>
      <c r="D17900" t="s">
        <v>23500</v>
      </c>
      <c r="E17900" t="s">
        <v>40375</v>
      </c>
    </row>
    <row r="17901" spans="1:5">
      <c r="A17901" t="s">
        <v>6</v>
      </c>
      <c r="B17901" t="s">
        <v>17906</v>
      </c>
      <c r="C17901">
        <f>HYPERLINK("C:\Users\franc\OneDrive\Documentos\MALENTIN KARIME\BANCO ESTADO\2012 DEPTO ESCRITURAS fata\Dc Simples\2012 DEPTO ESCRITURAS\FACTORONE\JULIO BARRERA OLIVARES.doc", "Abrir Documento")</f>
        <v>0</v>
      </c>
      <c r="D17901" t="s">
        <v>23500</v>
      </c>
      <c r="E17901" t="s">
        <v>40376</v>
      </c>
    </row>
    <row r="17902" spans="1:5">
      <c r="A17902" t="s">
        <v>6</v>
      </c>
      <c r="B17902" t="s">
        <v>17907</v>
      </c>
      <c r="C17902">
        <f>HYPERLINK("C:\Users\franc\OneDrive\Documentos\MALENTIN KARIME\BANCO ESTADO\2012 DEPTO ESCRITURAS fata\Dc Simples\2012 DEPTO ESCRITURAS\FACTORONE\JULIO BARRERA OLIVARES MODELO Fact.doc", "Abrir Documento")</f>
        <v>0</v>
      </c>
      <c r="D17902" t="s">
        <v>23500</v>
      </c>
      <c r="E17902" t="s">
        <v>40377</v>
      </c>
    </row>
    <row r="17903" spans="1:5">
      <c r="A17903" t="s">
        <v>6</v>
      </c>
      <c r="B17903" t="s">
        <v>17908</v>
      </c>
      <c r="C17903">
        <f>HYPERLINK("C:\Users\franc\OneDrive\Documentos\MALENTIN KARIME\BANCO ESTADO\2012 DEPTO ESCRITURAS fata\Dc Simples\2012 DEPTO ESCRITURAS\FACTORONE\JUAN CARLOS ALUCEMA GODOY.doc", "Abrir Documento")</f>
        <v>0</v>
      </c>
      <c r="D17903" t="s">
        <v>23500</v>
      </c>
      <c r="E17903" t="s">
        <v>40378</v>
      </c>
    </row>
    <row r="17904" spans="1:5">
      <c r="A17904" t="s">
        <v>6</v>
      </c>
      <c r="B17904" t="s">
        <v>17909</v>
      </c>
      <c r="C17904">
        <f>HYPERLINK("C:\Users\franc\OneDrive\Documentos\MALENTIN KARIME\BANCO ESTADO\2012 DEPTO ESCRITURAS fata\Dc Simples\2012 DEPTO ESCRITURAS\FACTORONE\JUAN ANDRADE TELLO Y Factorone.doc", "Abrir Documento")</f>
        <v>0</v>
      </c>
      <c r="D17904" t="s">
        <v>23500</v>
      </c>
      <c r="E17904" t="s">
        <v>40379</v>
      </c>
    </row>
    <row r="17905" spans="1:5">
      <c r="A17905" t="s">
        <v>6</v>
      </c>
      <c r="B17905" t="s">
        <v>17910</v>
      </c>
      <c r="C17905">
        <f>HYPERLINK("C:\Users\franc\OneDrive\Documentos\MALENTIN KARIME\BANCO ESTADO\2012 DEPTO ESCRITURAS fata\Dc Simples\2012 DEPTO ESCRITURAS\FACTORONE\JORGE CARVAJAL CORTES.doc", "Abrir Documento")</f>
        <v>0</v>
      </c>
      <c r="D17905" t="s">
        <v>23500</v>
      </c>
      <c r="E17905" t="s">
        <v>40380</v>
      </c>
    </row>
    <row r="17906" spans="1:5">
      <c r="A17906" t="s">
        <v>6</v>
      </c>
      <c r="B17906" t="s">
        <v>17911</v>
      </c>
      <c r="C17906">
        <f>HYPERLINK("C:\Users\franc\OneDrive\Documentos\MALENTIN KARIME\BANCO ESTADO\2012 DEPTO ESCRITURAS fata\Dc Simples\2012 DEPTO ESCRITURAS\FACTORONE\JAVIER TABILO RIVERA.doc", "Abrir Documento")</f>
        <v>0</v>
      </c>
      <c r="D17906" t="s">
        <v>23500</v>
      </c>
      <c r="E17906" t="s">
        <v>40381</v>
      </c>
    </row>
    <row r="17907" spans="1:5">
      <c r="A17907" t="s">
        <v>6</v>
      </c>
      <c r="B17907" t="s">
        <v>17912</v>
      </c>
      <c r="C17907">
        <f>HYPERLINK("C:\Users\franc\OneDrive\Documentos\MALENTIN KARIME\BANCO ESTADO\2012 DEPTO ESCRITURAS fata\Dc Simples\2012 DEPTO ESCRITURAS\FACTORONE\GASTON ALFARO ALFARO 2013.doc", "Abrir Documento")</f>
        <v>0</v>
      </c>
      <c r="D17907" t="s">
        <v>23500</v>
      </c>
      <c r="E17907" t="s">
        <v>40382</v>
      </c>
    </row>
    <row r="17908" spans="1:5">
      <c r="A17908" t="s">
        <v>6</v>
      </c>
      <c r="B17908" t="s">
        <v>17913</v>
      </c>
      <c r="C17908">
        <f>HYPERLINK("C:\Users\franc\OneDrive\Documentos\MALENTIN KARIME\BANCO ESTADO\2012 DEPTO ESCRITURAS fata\Dc Simples\2012 DEPTO ESCRITURAS\FACTORONE\FRANCISCO CORTES PIZARRO.doc", "Abrir Documento")</f>
        <v>0</v>
      </c>
      <c r="D17908" t="s">
        <v>23500</v>
      </c>
      <c r="E17908" t="s">
        <v>40383</v>
      </c>
    </row>
    <row r="17909" spans="1:5">
      <c r="A17909" t="s">
        <v>6</v>
      </c>
      <c r="B17909" t="s">
        <v>17914</v>
      </c>
      <c r="C17909">
        <f>HYPERLINK("C:\Users\franc\OneDrive\Documentos\MALENTIN KARIME\BANCO ESTADO\2012 DEPTO ESCRITURAS fata\Dc Simples\2012 DEPTO ESCRITURAS\FACTORONE\Ctt. Benjamin Cortés Cortés.doc", "Abrir Documento")</f>
        <v>0</v>
      </c>
      <c r="D17909" t="s">
        <v>23500</v>
      </c>
      <c r="E17909" t="s">
        <v>40384</v>
      </c>
    </row>
    <row r="17910" spans="1:5">
      <c r="A17910" t="s">
        <v>6</v>
      </c>
      <c r="B17910" t="s">
        <v>17915</v>
      </c>
      <c r="C17910">
        <f>HYPERLINK("C:\Users\franc\OneDrive\Documentos\MALENTIN KARIME\BANCO ESTADO\2012 DEPTO ESCRITURAS fata\Dc Simples\2012 DEPTO ESCRITURAS\FACTORONE\Ctt. Benjamin Cortés Cortés-1.doc", "Abrir Documento")</f>
        <v>0</v>
      </c>
      <c r="D17910" t="s">
        <v>23500</v>
      </c>
      <c r="E17910" t="s">
        <v>40385</v>
      </c>
    </row>
    <row r="17911" spans="1:5">
      <c r="A17911" t="s">
        <v>6</v>
      </c>
      <c r="B17911" t="s">
        <v>17916</v>
      </c>
      <c r="C17911">
        <f>HYPERLINK("C:\Users\franc\OneDrive\Documentos\MALENTIN KARIME\BANCO ESTADO\2012 DEPTO ESCRITURAS fata\Dc Simples\2012 DEPTO ESCRITURAS\FACTORONE\CONSTRUCTORA M &amp; Y.doc", "Abrir Documento")</f>
        <v>0</v>
      </c>
      <c r="D17911" t="s">
        <v>23500</v>
      </c>
      <c r="E17911" t="s">
        <v>40386</v>
      </c>
    </row>
    <row r="17912" spans="1:5">
      <c r="A17912" t="s">
        <v>6</v>
      </c>
      <c r="B17912" t="s">
        <v>17917</v>
      </c>
      <c r="C17912">
        <f>HYPERLINK("C:\Users\franc\OneDrive\Documentos\MALENTIN KARIME\BANCO ESTADO\2012 DEPTO ESCRITURAS fata\Dc Simples\2012 DEPTO ESCRITURAS\FACTORONE\COMERCIAL PRAD.doc", "Abrir Documento")</f>
        <v>0</v>
      </c>
      <c r="D17912" t="s">
        <v>23500</v>
      </c>
      <c r="E17912" t="s">
        <v>40387</v>
      </c>
    </row>
    <row r="17913" spans="1:5">
      <c r="A17913" t="s">
        <v>6</v>
      </c>
      <c r="B17913" t="s">
        <v>17918</v>
      </c>
      <c r="C17913">
        <f>HYPERLINK("C:\Users\franc\OneDrive\Documentos\MALENTIN KARIME\BANCO ESTADO\2012 DEPTO ESCRITURAS fata\Dc Simples\2012 DEPTO ESCRITURAS\FACTORONE\COMERCIAL PRAD II.doc", "Abrir Documento")</f>
        <v>0</v>
      </c>
      <c r="D17913" t="s">
        <v>23500</v>
      </c>
      <c r="E17913" t="s">
        <v>40388</v>
      </c>
    </row>
    <row r="17914" spans="1:5">
      <c r="A17914" t="s">
        <v>6</v>
      </c>
      <c r="B17914" t="s">
        <v>17919</v>
      </c>
      <c r="C17914">
        <f>HYPERLINK("C:\Users\franc\OneDrive\Documentos\MALENTIN KARIME\BANCO ESTADO\2012 DEPTO ESCRITURAS fata\Dc Simples\2012 DEPTO ESCRITURAS\FACTORONE\CESAR DIAZ CORTES E.I.R.L.doc", "Abrir Documento")</f>
        <v>0</v>
      </c>
      <c r="D17914" t="s">
        <v>23500</v>
      </c>
      <c r="E17914" t="s">
        <v>40389</v>
      </c>
    </row>
    <row r="17915" spans="1:5">
      <c r="A17915" t="s">
        <v>6</v>
      </c>
      <c r="B17915" t="s">
        <v>17920</v>
      </c>
      <c r="C17915">
        <f>HYPERLINK("C:\Users\franc\OneDrive\Documentos\MALENTIN KARIME\BANCO ESTADO\2012 DEPTO ESCRITURAS fata\Dc Simples\2012 DEPTO ESCRITURAS\FACTORONE\CERTIFICO.doc", "Abrir Documento")</f>
        <v>0</v>
      </c>
      <c r="D17915" t="s">
        <v>23500</v>
      </c>
      <c r="E17915" t="s">
        <v>40390</v>
      </c>
    </row>
    <row r="17916" spans="1:5">
      <c r="A17916" t="s">
        <v>6</v>
      </c>
      <c r="B17916" t="s">
        <v>17921</v>
      </c>
      <c r="C17916">
        <f>HYPERLINK("C:\Users\franc\OneDrive\Documentos\MALENTIN KARIME\BANCO ESTADO\2012 DEPTO ESCRITURAS fata\Dc Simples\2012 DEPTO ESCRITURAS\FACTORONE\Autorizo la firma.doc", "Abrir Documento")</f>
        <v>0</v>
      </c>
      <c r="D17916" t="s">
        <v>23500</v>
      </c>
      <c r="E17916" t="s">
        <v>40391</v>
      </c>
    </row>
    <row r="17917" spans="1:5">
      <c r="A17917" t="s">
        <v>6</v>
      </c>
      <c r="B17917" t="s">
        <v>17922</v>
      </c>
      <c r="C17917">
        <f>HYPERLINK("C:\Users\franc\OneDrive\Documentos\MALENTIN KARIME\BANCO ESTADO\2012 DEPTO ESCRITURAS fata\Dc Simples\2012 DEPTO ESCRITURAS\FACTORONE\ANA MALUENDA LEDEZMA.doc", "Abrir Documento")</f>
        <v>0</v>
      </c>
      <c r="D17917" t="s">
        <v>23500</v>
      </c>
      <c r="E17917" t="s">
        <v>40392</v>
      </c>
    </row>
    <row r="17918" spans="1:5">
      <c r="A17918" t="s">
        <v>6</v>
      </c>
      <c r="B17918" t="s">
        <v>17923</v>
      </c>
      <c r="C17918">
        <f>HYPERLINK("C:\Users\franc\OneDrive\Documentos\MALENTIN KARIME\BANCO ESTADO\2012 DEPTO ESCRITURAS fata\Dc Simples\2012 DEPTO ESCRITURAS\FACTORONE\ANA AGUILERA SALAZAR Julio 2013.doc", "Abrir Documento")</f>
        <v>0</v>
      </c>
      <c r="D17918" t="s">
        <v>23500</v>
      </c>
      <c r="E17918" t="s">
        <v>40393</v>
      </c>
    </row>
    <row r="17919" spans="1:5">
      <c r="A17919" t="s">
        <v>6</v>
      </c>
      <c r="B17919" t="s">
        <v>17924</v>
      </c>
      <c r="C17919">
        <f>HYPERLINK("C:\Users\franc\OneDrive\Documentos\MALENTIN KARIME\BANCO ESTADO\2012 DEPTO ESCRITURAS fata\Dc Simples\2012 DEPTO ESCRITURAS\FACTORONE\ALEX BRICEÑO LORCA Septbre 13.doc", "Abrir Documento")</f>
        <v>0</v>
      </c>
      <c r="D17919" t="s">
        <v>23500</v>
      </c>
      <c r="E17919" t="s">
        <v>40394</v>
      </c>
    </row>
    <row r="17920" spans="1:5">
      <c r="A17920" t="s">
        <v>6</v>
      </c>
      <c r="B17920" t="s">
        <v>17925</v>
      </c>
      <c r="C17920">
        <f>HYPERLINK("C:\Users\franc\OneDrive\Documentos\MALENTIN KARIME\BANCO ESTADO\2012 DEPTO ESCRITURAS fata\Dc Simples\2012 DEPTO ESCRITURAS\FACTORONE\ALEX BRICEÑO LORCA Octubre 13.doc", "Abrir Documento")</f>
        <v>0</v>
      </c>
      <c r="D17920" t="s">
        <v>23500</v>
      </c>
      <c r="E17920" t="s">
        <v>40395</v>
      </c>
    </row>
    <row r="17921" spans="1:5">
      <c r="A17921" t="s">
        <v>6</v>
      </c>
      <c r="B17921" t="s">
        <v>17926</v>
      </c>
      <c r="C17921">
        <f>HYPERLINK("C:\Users\franc\OneDrive\Documentos\MALENTIN KARIME\BANCO ESTADO\2012 DEPTO ESCRITURAS fata\Dc Simples\2012 DEPTO ESCRITURAS\FACTORONE\ALEJANDRO PINILLA Alz Prenda.doc", "Abrir Documento")</f>
        <v>0</v>
      </c>
      <c r="D17921" t="s">
        <v>23500</v>
      </c>
      <c r="E17921" t="s">
        <v>40396</v>
      </c>
    </row>
    <row r="17922" spans="1:5">
      <c r="A17922" t="s">
        <v>6</v>
      </c>
      <c r="B17922" t="s">
        <v>17927</v>
      </c>
      <c r="C17922">
        <f>HYPERLINK("C:\Users\franc\OneDrive\Documentos\MALENTIN KARIME\BANCO ESTADO\2012 DEPTO ESCRITURAS fata\Dc Simples\2012 DEPTO ESCRITURAS\FACTORONE\ALEJANDRO ALVAREZ BARAHONA.doc", "Abrir Documento")</f>
        <v>0</v>
      </c>
      <c r="D17922" t="s">
        <v>23500</v>
      </c>
      <c r="E17922" t="s">
        <v>40397</v>
      </c>
    </row>
    <row r="17923" spans="1:5">
      <c r="A17923" t="s">
        <v>6</v>
      </c>
      <c r="B17923" t="s">
        <v>17928</v>
      </c>
      <c r="C17923">
        <f>HYPERLINK("C:\Users\franc\OneDrive\Documentos\MALENTIN KARIME\BANCO ESTADO\2012 DEPTO ESCRITURAS fata\Dc Simples\2012 DEPTO ESCRITURAS\ESTUDIO S y R\WALDO GUERRERO A MARINA AGUILERA.doc", "Abrir Documento")</f>
        <v>0</v>
      </c>
      <c r="D17923" t="s">
        <v>23500</v>
      </c>
      <c r="E17923" t="s">
        <v>40398</v>
      </c>
    </row>
    <row r="17924" spans="1:5">
      <c r="A17924" t="s">
        <v>6</v>
      </c>
      <c r="B17924" t="s">
        <v>17929</v>
      </c>
      <c r="C17924">
        <f>HYPERLINK("C:\Users\franc\OneDrive\Documentos\MALENTIN KARIME\BANCO ESTADO\2012 DEPTO ESCRITURAS fata\Dc Simples\2012 DEPTO ESCRITURAS\ESTUDIO S y R\SOCIEDAD AGRICOLA SANTA TERESA Ltda..doc", "Abrir Documento")</f>
        <v>0</v>
      </c>
      <c r="D17924" t="s">
        <v>23500</v>
      </c>
      <c r="E17924" t="s">
        <v>40399</v>
      </c>
    </row>
    <row r="17925" spans="1:5">
      <c r="A17925" t="s">
        <v>6</v>
      </c>
      <c r="B17925" t="s">
        <v>17930</v>
      </c>
      <c r="C17925">
        <f>HYPERLINK("C:\Users\franc\OneDrive\Documentos\MALENTIN KARIME\BANCO ESTADO\2012 DEPTO ESCRITURAS fata\Dc Simples\2012 DEPTO ESCRITURAS\ESTUDIO S y R\REYNALDO RETAMAL A SANDRA YAÑEZ.doc", "Abrir Documento")</f>
        <v>0</v>
      </c>
      <c r="D17925" t="s">
        <v>23500</v>
      </c>
      <c r="E17925" t="s">
        <v>40400</v>
      </c>
    </row>
    <row r="17926" spans="1:5">
      <c r="A17926" t="s">
        <v>6</v>
      </c>
      <c r="B17926" t="s">
        <v>17931</v>
      </c>
      <c r="C17926">
        <f>HYPERLINK("C:\Users\franc\OneDrive\Documentos\MALENTIN KARIME\BANCO ESTADO\2012 DEPTO ESCRITURAS fata\Dc Simples\2012 DEPTO ESCRITURAS\ESTUDIO S y R\MARY RIVERA A SOCIEDAD CORDERO.doc", "Abrir Documento")</f>
        <v>0</v>
      </c>
      <c r="D17926" t="s">
        <v>23500</v>
      </c>
      <c r="E17926" t="s">
        <v>40401</v>
      </c>
    </row>
    <row r="17927" spans="1:5">
      <c r="A17927" t="s">
        <v>6</v>
      </c>
      <c r="B17927" t="s">
        <v>17932</v>
      </c>
      <c r="C17927">
        <f>HYPERLINK("C:\Users\franc\OneDrive\Documentos\MALENTIN KARIME\BANCO ESTADO\2012 DEPTO ESCRITURAS fata\Dc Simples\2012 DEPTO ESCRITURAS\ESTUDIO S y R\MARIA PIZARRO A JUAN PIZARRO.doc", "Abrir Documento")</f>
        <v>0</v>
      </c>
      <c r="D17927" t="s">
        <v>23500</v>
      </c>
      <c r="E17927" t="s">
        <v>40402</v>
      </c>
    </row>
    <row r="17928" spans="1:5">
      <c r="A17928" t="s">
        <v>6</v>
      </c>
      <c r="B17928" t="s">
        <v>17933</v>
      </c>
      <c r="C17928">
        <f>HYPERLINK("C:\Users\franc\OneDrive\Documentos\MALENTIN KARIME\BANCO ESTADO\2012 DEPTO ESCRITURAS fata\Dc Simples\2012 DEPTO ESCRITURAS\ESTUDIO S y R\MARIA PIZARRO A JUAN PIZARRO Escritura.doc", "Abrir Documento")</f>
        <v>0</v>
      </c>
      <c r="D17928" t="s">
        <v>23500</v>
      </c>
      <c r="E17928" t="s">
        <v>40403</v>
      </c>
    </row>
    <row r="17929" spans="1:5">
      <c r="A17929" t="s">
        <v>6</v>
      </c>
      <c r="B17929" t="s">
        <v>17934</v>
      </c>
      <c r="C17929">
        <f>HYPERLINK("C:\Users\franc\OneDrive\Documentos\MALENTIN KARIME\BANCO ESTADO\2012 DEPTO ESCRITURAS fata\Dc Simples\2012 DEPTO ESCRITURAS\ESTUDIO S y R\LUIS CLODOMIRO ARAYA ROJAS.doc", "Abrir Documento")</f>
        <v>0</v>
      </c>
      <c r="D17929" t="s">
        <v>23500</v>
      </c>
      <c r="E17929" t="s">
        <v>40404</v>
      </c>
    </row>
    <row r="17930" spans="1:5">
      <c r="A17930" t="s">
        <v>6</v>
      </c>
      <c r="B17930" t="s">
        <v>17935</v>
      </c>
      <c r="C17930">
        <f>HYPERLINK("C:\Users\franc\OneDrive\Documentos\MALENTIN KARIME\BANCO ESTADO\2012 DEPTO ESCRITURAS fata\Dc Simples\2012 DEPTO ESCRITURAS\ESTUDIO S y R\LUCINDA ARAYA TELLO A INGRID CORTES.doc", "Abrir Documento")</f>
        <v>0</v>
      </c>
      <c r="D17930" t="s">
        <v>23500</v>
      </c>
      <c r="E17930" t="s">
        <v>40405</v>
      </c>
    </row>
    <row r="17931" spans="1:5">
      <c r="A17931" t="s">
        <v>6</v>
      </c>
      <c r="B17931" t="s">
        <v>17936</v>
      </c>
      <c r="C17931">
        <f>HYPERLINK("C:\Users\franc\OneDrive\Documentos\MALENTIN KARIME\BANCO ESTADO\2012 DEPTO ESCRITURAS fata\Dc Simples\2012 DEPTO ESCRITURAS\ESTUDIO S y R\JUAN BRAVO CALDERON Cuidado P.doc", "Abrir Documento")</f>
        <v>0</v>
      </c>
      <c r="D17931" t="s">
        <v>23500</v>
      </c>
      <c r="E17931" t="s">
        <v>40406</v>
      </c>
    </row>
    <row r="17932" spans="1:5">
      <c r="A17932" t="s">
        <v>6</v>
      </c>
      <c r="B17932" t="s">
        <v>17937</v>
      </c>
      <c r="C17932">
        <f>HYPERLINK("C:\Users\franc\OneDrive\Documentos\MALENTIN KARIME\BANCO ESTADO\2012 DEPTO ESCRITURAS fata\Dc Simples\2012 DEPTO ESCRITURAS\ESTUDIO S y R\HORACIO LISERA RODRIGUEZ A ANA BAUDILLIA CASTILLO Adjudicacion.doc", "Abrir Documento")</f>
        <v>0</v>
      </c>
      <c r="D17932" t="s">
        <v>23500</v>
      </c>
      <c r="E17932" t="s">
        <v>40407</v>
      </c>
    </row>
    <row r="17933" spans="1:5">
      <c r="A17933" t="s">
        <v>6</v>
      </c>
      <c r="B17933" t="s">
        <v>17938</v>
      </c>
      <c r="C17933">
        <f>HYPERLINK("C:\Users\franc\OneDrive\Documentos\MALENTIN KARIME\BANCO ESTADO\2012 DEPTO ESCRITURAS fata\Dc Simples\2012 DEPTO ESCRITURAS\ESTUDIO S y R\GOURMET TORO Y CARMONA LIMITADA.doc", "Abrir Documento")</f>
        <v>0</v>
      </c>
      <c r="D17933" t="s">
        <v>23500</v>
      </c>
      <c r="E17933" t="s">
        <v>40408</v>
      </c>
    </row>
    <row r="17934" spans="1:5">
      <c r="A17934" t="s">
        <v>6</v>
      </c>
      <c r="B17934" t="s">
        <v>17939</v>
      </c>
      <c r="C17934">
        <f>HYPERLINK("C:\Users\franc\OneDrive\Documentos\MALENTIN KARIME\BANCO ESTADO\2012 DEPTO ESCRITURAS fata\Dc Simples\2012 DEPTO ESCRITURAS\ESTUDIO S y R\GABRIEL RODRIGUEZ Inventario Otto.doc", "Abrir Documento")</f>
        <v>0</v>
      </c>
      <c r="D17934" t="s">
        <v>23500</v>
      </c>
      <c r="E17934" t="s">
        <v>40409</v>
      </c>
    </row>
    <row r="17935" spans="1:5">
      <c r="A17935" t="s">
        <v>6</v>
      </c>
      <c r="B17935" t="s">
        <v>17940</v>
      </c>
      <c r="C17935">
        <f>HYPERLINK("C:\Users\franc\OneDrive\Documentos\MALENTIN KARIME\BANCO ESTADO\2012 DEPTO ESCRITURAS fata\Dc Simples\2012 DEPTO ESCRITURAS\ESTUDIO S y R\GABRIEL RODRIGUEZ Inventario Nolasco.doc", "Abrir Documento")</f>
        <v>0</v>
      </c>
      <c r="D17935" t="s">
        <v>23500</v>
      </c>
      <c r="E17935" t="s">
        <v>40410</v>
      </c>
    </row>
    <row r="17936" spans="1:5">
      <c r="A17936" t="s">
        <v>6</v>
      </c>
      <c r="B17936" t="s">
        <v>17941</v>
      </c>
      <c r="C17936">
        <f>HYPERLINK("C:\Users\franc\OneDrive\Documentos\MALENTIN KARIME\BANCO ESTADO\2012 DEPTO ESCRITURAS fata\Dc Simples\2012 DEPTO ESCRITURAS\ESTUDIO S y R\GABRIEL RODRIGUEZ Inventario Cirilo.doc", "Abrir Documento")</f>
        <v>0</v>
      </c>
      <c r="D17936" t="s">
        <v>23500</v>
      </c>
      <c r="E17936" t="s">
        <v>40411</v>
      </c>
    </row>
    <row r="17937" spans="1:5">
      <c r="A17937" t="s">
        <v>6</v>
      </c>
      <c r="B17937" t="s">
        <v>17942</v>
      </c>
      <c r="C17937">
        <f>HYPERLINK("C:\Users\franc\OneDrive\Documentos\MALENTIN KARIME\BANCO ESTADO\2012 DEPTO ESCRITURAS fata\Dc Simples\2012 DEPTO ESCRITURAS\ESTUDIO S y R\EXTRACTO TORO Y CARMONA LIMITADA.doc", "Abrir Documento")</f>
        <v>0</v>
      </c>
      <c r="D17937" t="s">
        <v>23500</v>
      </c>
      <c r="E17937" t="s">
        <v>40412</v>
      </c>
    </row>
    <row r="17938" spans="1:5">
      <c r="A17938" t="s">
        <v>6</v>
      </c>
      <c r="B17938" t="s">
        <v>17943</v>
      </c>
      <c r="C17938">
        <f>HYPERLINK("C:\Users\franc\OneDrive\Documentos\MALENTIN KARIME\BANCO ESTADO\2012 DEPTO ESCRITURAS fata\Dc Simples\2012 DEPTO ESCRITURAS\ESTUDIO S y R\EXTRACTO SOCIEDAD CORDERO Y VEGA LTDA.doc", "Abrir Documento")</f>
        <v>0</v>
      </c>
      <c r="D17938" t="s">
        <v>23500</v>
      </c>
      <c r="E17938" t="s">
        <v>40413</v>
      </c>
    </row>
    <row r="17939" spans="1:5">
      <c r="A17939" t="s">
        <v>6</v>
      </c>
      <c r="B17939" t="s">
        <v>17944</v>
      </c>
      <c r="C17939">
        <f>HYPERLINK("C:\Users\franc\OneDrive\Documentos\MALENTIN KARIME\BANCO ESTADO\2012 DEPTO ESCRITURAS fata\Dc Simples\2012 DEPTO ESCRITURAS\ESTUDIO S y R\EXTRACTO MUEBLES LAR EIRL.doc", "Abrir Documento")</f>
        <v>0</v>
      </c>
      <c r="D17939" t="s">
        <v>23500</v>
      </c>
      <c r="E17939" t="s">
        <v>40414</v>
      </c>
    </row>
    <row r="17940" spans="1:5">
      <c r="A17940" t="s">
        <v>6</v>
      </c>
      <c r="B17940" t="s">
        <v>17945</v>
      </c>
      <c r="C17940">
        <f>HYPERLINK("C:\Users\franc\OneDrive\Documentos\MALENTIN KARIME\BANCO ESTADO\2012 DEPTO ESCRITURAS fata\Dc Simples\2012 DEPTO ESCRITURAS\ESTUDIO S y R\EXTRACTO Buenaventura Ltda..doc", "Abrir Documento")</f>
        <v>0</v>
      </c>
      <c r="D17940" t="s">
        <v>23500</v>
      </c>
      <c r="E17940" t="s">
        <v>40415</v>
      </c>
    </row>
    <row r="17941" spans="1:5">
      <c r="A17941" t="s">
        <v>6</v>
      </c>
      <c r="B17941" t="s">
        <v>17946</v>
      </c>
      <c r="C17941">
        <f>HYPERLINK("C:\Users\franc\OneDrive\Documentos\MALENTIN KARIME\BANCO ESTADO\2012 DEPTO ESCRITURAS fata\Dc Simples\2012 DEPTO ESCRITURAS\ESTUDIO S y R\EVA PEREIRA VEGA A SANDRA PEREIRA TAPIA.doc", "Abrir Documento")</f>
        <v>0</v>
      </c>
      <c r="D17941" t="s">
        <v>23500</v>
      </c>
      <c r="E17941" t="s">
        <v>40416</v>
      </c>
    </row>
    <row r="17942" spans="1:5">
      <c r="A17942" t="s">
        <v>6</v>
      </c>
      <c r="B17942" t="s">
        <v>17947</v>
      </c>
      <c r="C17942">
        <f>HYPERLINK("C:\Users\franc\OneDrive\Documentos\MALENTIN KARIME\BANCO ESTADO\2012 DEPTO ESCRITURAS fata\Dc Simples\2012 DEPTO ESCRITURAS\ESTUDIO S y R\ESCRITURA MUEBLES LAR EIRL.doc", "Abrir Documento")</f>
        <v>0</v>
      </c>
      <c r="D17942" t="s">
        <v>23500</v>
      </c>
      <c r="E17942" t="s">
        <v>40417</v>
      </c>
    </row>
    <row r="17943" spans="1:5">
      <c r="A17943" t="s">
        <v>6</v>
      </c>
      <c r="B17943" t="s">
        <v>17948</v>
      </c>
      <c r="C17943">
        <f>HYPERLINK("C:\Users\franc\OneDrive\Documentos\MALENTIN KARIME\BANCO ESTADO\2012 DEPTO ESCRITURAS fata\Dc Simples\2012 DEPTO ESCRITURAS\ESTUDIO S y R\EL MALL DEL AUTOMOVIL.doc", "Abrir Documento")</f>
        <v>0</v>
      </c>
      <c r="D17943" t="s">
        <v>23500</v>
      </c>
      <c r="E17943" t="s">
        <v>40418</v>
      </c>
    </row>
    <row r="17944" spans="1:5">
      <c r="A17944" t="s">
        <v>6</v>
      </c>
      <c r="B17944" t="s">
        <v>17949</v>
      </c>
      <c r="C17944">
        <f>HYPERLINK("C:\Users\franc\OneDrive\Documentos\MALENTIN KARIME\BANCO ESTADO\2012 DEPTO ESCRITURAS fata\Dc Simples\2012 DEPTO ESCRITURAS\ESTUDIO S y R\DORIS PEREZ, mandato judicial divorcio.doc", "Abrir Documento")</f>
        <v>0</v>
      </c>
      <c r="D17944" t="s">
        <v>23500</v>
      </c>
      <c r="E17944" t="s">
        <v>40419</v>
      </c>
    </row>
    <row r="17945" spans="1:5">
      <c r="A17945" t="s">
        <v>6</v>
      </c>
      <c r="B17945" t="s">
        <v>17950</v>
      </c>
      <c r="C17945">
        <f>HYPERLINK("C:\Users\franc\OneDrive\Documentos\MALENTIN KARIME\BANCO ESTADO\2012 DEPTO ESCRITURAS fata\Dc Simples\2012 DEPTO ESCRITURAS\ESTUDIO S y R\Carolina Alvarado Rectificacion.doc", "Abrir Documento")</f>
        <v>0</v>
      </c>
      <c r="D17945" t="s">
        <v>23500</v>
      </c>
      <c r="E17945" t="s">
        <v>40420</v>
      </c>
    </row>
    <row r="17946" spans="1:5">
      <c r="A17946" t="s">
        <v>6</v>
      </c>
      <c r="B17946" t="s">
        <v>17951</v>
      </c>
      <c r="C17946">
        <f>HYPERLINK("C:\Users\franc\OneDrive\Documentos\MALENTIN KARIME\BANCO ESTADO\2012 DEPTO ESCRITURAS fata\Dc Simples\2012 DEPTO ESCRITURAS\ESTUDIO S y R\Carolina Alvarado Alvarado cvta.doc", "Abrir Documento")</f>
        <v>0</v>
      </c>
      <c r="D17946" t="s">
        <v>23500</v>
      </c>
      <c r="E17946" t="s">
        <v>40421</v>
      </c>
    </row>
    <row r="17947" spans="1:5">
      <c r="A17947" t="s">
        <v>6</v>
      </c>
      <c r="B17947" t="s">
        <v>17952</v>
      </c>
      <c r="C17947">
        <f>HYPERLINK("C:\Users\franc\OneDrive\Documentos\MALENTIN KARIME\BANCO ESTADO\2012 DEPTO ESCRITURAS fata\Dc Simples\2012 DEPTO ESCRITURAS\ESTUDIO S y R\ANA BAUDILIA CASTILLO Adjudicacion Abril.doc", "Abrir Documento")</f>
        <v>0</v>
      </c>
      <c r="D17947" t="s">
        <v>23500</v>
      </c>
      <c r="E17947" t="s">
        <v>40422</v>
      </c>
    </row>
    <row r="17948" spans="1:5">
      <c r="A17948" t="s">
        <v>6</v>
      </c>
      <c r="B17948" t="s">
        <v>17953</v>
      </c>
      <c r="C17948">
        <f>HYPERLINK("C:\Users\franc\OneDrive\Documentos\MALENTIN KARIME\BANCO ESTADO\2012 DEPTO ESCRITURAS fata\Dc Simples\2012 DEPTO ESCRITURAS\E.I.R.L\PATRICIA ARAYA PIZARRO.doc", "Abrir Documento")</f>
        <v>0</v>
      </c>
      <c r="D17948" t="s">
        <v>23500</v>
      </c>
      <c r="E17948" t="s">
        <v>40423</v>
      </c>
    </row>
    <row r="17949" spans="1:5">
      <c r="A17949" t="s">
        <v>6</v>
      </c>
      <c r="B17949" t="s">
        <v>17954</v>
      </c>
      <c r="C17949">
        <f>HYPERLINK("C:\Users\franc\OneDrive\Documentos\MALENTIN KARIME\BANCO ESTADO\2012 DEPTO ESCRITURAS fata\Dc Simples\2012 DEPTO ESCRITURAS\E.I.R.L\PATRICIA ARAYA Extracto.doc", "Abrir Documento")</f>
        <v>0</v>
      </c>
      <c r="D17949" t="s">
        <v>23500</v>
      </c>
      <c r="E17949" t="s">
        <v>40424</v>
      </c>
    </row>
    <row r="17950" spans="1:5">
      <c r="A17950" t="s">
        <v>6</v>
      </c>
      <c r="B17950" t="s">
        <v>17955</v>
      </c>
      <c r="C17950">
        <f>HYPERLINK("C:\Users\franc\OneDrive\Documentos\MALENTIN KARIME\BANCO ESTADO\2012 DEPTO ESCRITURAS fata\Dc Simples\2012 DEPTO ESCRITURAS\E.I.R.L\MARISA ALVAREZ CHANDIA eirl.doc", "Abrir Documento")</f>
        <v>0</v>
      </c>
      <c r="D17950" t="s">
        <v>23500</v>
      </c>
      <c r="E17950" t="s">
        <v>40425</v>
      </c>
    </row>
    <row r="17951" spans="1:5">
      <c r="A17951" t="s">
        <v>6</v>
      </c>
      <c r="B17951" t="s">
        <v>17956</v>
      </c>
      <c r="C17951">
        <f>HYPERLINK("C:\Users\franc\OneDrive\Documentos\MALENTIN KARIME\BANCO ESTADO\2012 DEPTO ESCRITURAS fata\Dc Simples\2012 DEPTO ESCRITURAS\E.I.R.L\LARRAIN HUNEEUS Extracto.doc", "Abrir Documento")</f>
        <v>0</v>
      </c>
      <c r="D17951" t="s">
        <v>23500</v>
      </c>
      <c r="E17951" t="s">
        <v>40426</v>
      </c>
    </row>
    <row r="17952" spans="1:5">
      <c r="A17952" t="s">
        <v>6</v>
      </c>
      <c r="B17952" t="s">
        <v>17957</v>
      </c>
      <c r="C17952">
        <f>HYPERLINK("C:\Users\franc\OneDrive\Documentos\MALENTIN KARIME\BANCO ESTADO\2012 DEPTO ESCRITURAS fata\Dc Simples\2012 DEPTO ESCRITURAS\E.I.R.L\LARRAIN HUNEEUS E.I.R.L.doc", "Abrir Documento")</f>
        <v>0</v>
      </c>
      <c r="D17952" t="s">
        <v>23500</v>
      </c>
      <c r="E17952" t="s">
        <v>40427</v>
      </c>
    </row>
    <row r="17953" spans="1:5">
      <c r="A17953" t="s">
        <v>6</v>
      </c>
      <c r="B17953" t="s">
        <v>17958</v>
      </c>
      <c r="C17953">
        <f>HYPERLINK("C:\Users\franc\OneDrive\Documentos\MALENTIN KARIME\BANCO ESTADO\2012 DEPTO ESCRITURAS fata\Dc Simples\2012 DEPTO ESCRITURAS\E.I.R.L\JAIME GARCIA GALLEGUILLOS Extracto.doc", "Abrir Documento")</f>
        <v>0</v>
      </c>
      <c r="D17953" t="s">
        <v>23500</v>
      </c>
      <c r="E17953" t="s">
        <v>40428</v>
      </c>
    </row>
    <row r="17954" spans="1:5">
      <c r="A17954" t="s">
        <v>6</v>
      </c>
      <c r="B17954" t="s">
        <v>17959</v>
      </c>
      <c r="C17954">
        <f>HYPERLINK("C:\Users\franc\OneDrive\Documentos\MALENTIN KARIME\BANCO ESTADO\2012 DEPTO ESCRITURAS fata\Dc Simples\2012 DEPTO ESCRITURAS\E.I.R.L\JAIME GARCIA GALLEGUILLOS E.I.R.L.doc", "Abrir Documento")</f>
        <v>0</v>
      </c>
      <c r="D17954" t="s">
        <v>23500</v>
      </c>
      <c r="E17954" t="s">
        <v>40429</v>
      </c>
    </row>
    <row r="17955" spans="1:5">
      <c r="A17955" t="s">
        <v>6</v>
      </c>
      <c r="B17955" t="s">
        <v>17960</v>
      </c>
      <c r="C17955">
        <f>HYPERLINK("C:\Users\franc\OneDrive\Documentos\MALENTIN KARIME\BANCO ESTADO\2012 DEPTO ESCRITURAS fata\Dc Simples\2012 DEPTO ESCRITURAS\E.I.R.L\GLORIA CASTRO LAZCANO.doc", "Abrir Documento")</f>
        <v>0</v>
      </c>
      <c r="D17955" t="s">
        <v>23500</v>
      </c>
      <c r="E17955" t="s">
        <v>40430</v>
      </c>
    </row>
    <row r="17956" spans="1:5">
      <c r="A17956" t="s">
        <v>6</v>
      </c>
      <c r="B17956" t="s">
        <v>17961</v>
      </c>
      <c r="C17956">
        <f>HYPERLINK("C:\Users\franc\OneDrive\Documentos\MALENTIN KARIME\BANCO ESTADO\2012 DEPTO ESCRITURAS fata\Dc Simples\2012 DEPTO ESCRITURAS\E.I.R.L\GABRIELA DICCTER.doc", "Abrir Documento")</f>
        <v>0</v>
      </c>
      <c r="D17956" t="s">
        <v>23500</v>
      </c>
      <c r="E17956" t="s">
        <v>40431</v>
      </c>
    </row>
    <row r="17957" spans="1:5">
      <c r="A17957" t="s">
        <v>6</v>
      </c>
      <c r="B17957" t="s">
        <v>17962</v>
      </c>
      <c r="C17957">
        <f>HYPERLINK("C:\Users\franc\OneDrive\Documentos\MALENTIN KARIME\BANCO ESTADO\2012 DEPTO ESCRITURAS fata\Dc Simples\2012 DEPTO ESCRITURAS\E.I.R.L\GABRIELA DICCTER Extracto.doc", "Abrir Documento")</f>
        <v>0</v>
      </c>
      <c r="D17957" t="s">
        <v>23500</v>
      </c>
      <c r="E17957" t="s">
        <v>40432</v>
      </c>
    </row>
    <row r="17958" spans="1:5">
      <c r="A17958" t="s">
        <v>6</v>
      </c>
      <c r="B17958" t="s">
        <v>17963</v>
      </c>
      <c r="C17958">
        <f>HYPERLINK("C:\Users\franc\OneDrive\Documentos\MALENTIN KARIME\BANCO ESTADO\2012 DEPTO ESCRITURAS fata\Dc Simples\2012 DEPTO ESCRITURAS\E.I.R.L\FUENTE DE SODA MARISA Extracto.doc", "Abrir Documento")</f>
        <v>0</v>
      </c>
      <c r="D17958" t="s">
        <v>23500</v>
      </c>
      <c r="E17958" t="s">
        <v>40433</v>
      </c>
    </row>
    <row r="17959" spans="1:5">
      <c r="A17959" t="s">
        <v>6</v>
      </c>
      <c r="B17959" t="s">
        <v>17964</v>
      </c>
      <c r="C17959">
        <f>HYPERLINK("C:\Users\franc\OneDrive\Documentos\MALENTIN KARIME\BANCO ESTADO\2012 DEPTO ESCRITURAS fata\Dc Simples\2012 DEPTO ESCRITURAS\E.I.R.L\FELIPE TELLO GALLARDO.doc", "Abrir Documento")</f>
        <v>0</v>
      </c>
      <c r="D17959" t="s">
        <v>23500</v>
      </c>
      <c r="E17959" t="s">
        <v>40434</v>
      </c>
    </row>
    <row r="17960" spans="1:5">
      <c r="A17960" t="s">
        <v>6</v>
      </c>
      <c r="B17960" t="s">
        <v>17965</v>
      </c>
      <c r="C17960">
        <f>HYPERLINK("C:\Users\franc\OneDrive\Documentos\MALENTIN KARIME\BANCO ESTADO\2012 DEPTO ESCRITURAS fata\Dc Simples\2012 DEPTO ESCRITURAS\E.I.R.L\FELIPE TELLO GALLARDO Extracto.doc", "Abrir Documento")</f>
        <v>0</v>
      </c>
      <c r="D17960" t="s">
        <v>23500</v>
      </c>
      <c r="E17960" t="s">
        <v>40435</v>
      </c>
    </row>
    <row r="17961" spans="1:5">
      <c r="A17961" t="s">
        <v>6</v>
      </c>
      <c r="B17961" t="s">
        <v>17966</v>
      </c>
      <c r="C17961">
        <f>HYPERLINK("C:\Users\franc\OneDrive\Documentos\MALENTIN KARIME\BANCO ESTADO\2012 DEPTO ESCRITURAS fata\Dc Simples\2012 DEPTO ESCRITURAS\E.I.R.L\Extracto FELIPE.doc", "Abrir Documento")</f>
        <v>0</v>
      </c>
      <c r="D17961" t="s">
        <v>23500</v>
      </c>
      <c r="E17961" t="s">
        <v>40436</v>
      </c>
    </row>
    <row r="17962" spans="1:5">
      <c r="A17962" t="s">
        <v>6</v>
      </c>
      <c r="B17962" t="s">
        <v>17967</v>
      </c>
      <c r="C17962">
        <f>HYPERLINK("C:\Users\franc\OneDrive\Documentos\MALENTIN KARIME\BANCO ESTADO\2012 DEPTO ESCRITURAS fata\Dc Simples\2012 DEPTO ESCRITURAS\E.I.R.L\Extracto Comercial Julian Galleguillos E.I.R.L..doc", "Abrir Documento")</f>
        <v>0</v>
      </c>
      <c r="D17962" t="s">
        <v>23500</v>
      </c>
      <c r="E17962" t="s">
        <v>40437</v>
      </c>
    </row>
    <row r="17963" spans="1:5">
      <c r="A17963" t="s">
        <v>6</v>
      </c>
      <c r="B17963" t="s">
        <v>17968</v>
      </c>
      <c r="C17963">
        <f>HYPERLINK("C:\Users\franc\OneDrive\Documentos\MALENTIN KARIME\BANCO ESTADO\2012 DEPTO ESCRITURAS fata\Dc Simples\2012 DEPTO ESCRITURAS\E.I.R.L\Extracto Comercial e Inversiones Miranda E.I.R.L..doc", "Abrir Documento")</f>
        <v>0</v>
      </c>
      <c r="D17963" t="s">
        <v>23500</v>
      </c>
      <c r="E17963" t="s">
        <v>40438</v>
      </c>
    </row>
    <row r="17964" spans="1:5">
      <c r="A17964" t="s">
        <v>6</v>
      </c>
      <c r="B17964" t="s">
        <v>17969</v>
      </c>
      <c r="C17964">
        <f>HYPERLINK("C:\Users\franc\OneDrive\Documentos\MALENTIN KARIME\BANCO ESTADO\2012 DEPTO ESCRITURAS fata\Dc Simples\2012 DEPTO ESCRITURAS\E.I.R.L\EDUARDO GODOY Extracto.doc", "Abrir Documento")</f>
        <v>0</v>
      </c>
      <c r="D17964" t="s">
        <v>23500</v>
      </c>
      <c r="E17964" t="s">
        <v>40439</v>
      </c>
    </row>
    <row r="17965" spans="1:5">
      <c r="A17965" t="s">
        <v>6</v>
      </c>
      <c r="B17965" t="s">
        <v>17970</v>
      </c>
      <c r="C17965">
        <f>HYPERLINK("C:\Users\franc\OneDrive\Documentos\MALENTIN KARIME\BANCO ESTADO\2012 DEPTO ESCRITURAS fata\Dc Simples\2012 DEPTO ESCRITURAS\E.I.R.L\E  X  T  R  A  C  T  O Gloria Castro.doc", "Abrir Documento")</f>
        <v>0</v>
      </c>
      <c r="D17965" t="s">
        <v>23500</v>
      </c>
      <c r="E17965" t="s">
        <v>40440</v>
      </c>
    </row>
    <row r="17966" spans="1:5">
      <c r="A17966" t="s">
        <v>6</v>
      </c>
      <c r="B17966" t="s">
        <v>17971</v>
      </c>
      <c r="C17966">
        <f>HYPERLINK("C:\Users\franc\OneDrive\Documentos\MALENTIN KARIME\BANCO ESTADO\2012 DEPTO ESCRITURAS fata\Dc Simples\2012 DEPTO ESCRITURAS\E.I.R.L\COMERCIAL modelo.doc", "Abrir Documento")</f>
        <v>0</v>
      </c>
      <c r="D17966" t="s">
        <v>23500</v>
      </c>
      <c r="E17966" t="s">
        <v>40441</v>
      </c>
    </row>
    <row r="17967" spans="1:5">
      <c r="A17967" t="s">
        <v>6</v>
      </c>
      <c r="B17967" t="s">
        <v>17972</v>
      </c>
      <c r="C17967">
        <f>HYPERLINK("C:\Users\franc\OneDrive\Documentos\MALENTIN KARIME\BANCO ESTADO\2012 DEPTO ESCRITURAS fata\Dc Simples\2012 DEPTO ESCRITURAS\E.I.R.L\COMERCIAL JUAN CARLOS MEDALLA.doc", "Abrir Documento")</f>
        <v>0</v>
      </c>
      <c r="D17967" t="s">
        <v>23500</v>
      </c>
      <c r="E17967" t="s">
        <v>40442</v>
      </c>
    </row>
    <row r="17968" spans="1:5">
      <c r="A17968" t="s">
        <v>6</v>
      </c>
      <c r="B17968" t="s">
        <v>17973</v>
      </c>
      <c r="C17968">
        <f>HYPERLINK("C:\Users\franc\OneDrive\Documentos\MALENTIN KARIME\BANCO ESTADO\2012 DEPTO ESCRITURAS fata\Dc Simples\2012 DEPTO ESCRITURAS\E.I.R.L\COMERCIAL JUAN C FLORES MExtracto.doc", "Abrir Documento")</f>
        <v>0</v>
      </c>
      <c r="D17968" t="s">
        <v>23500</v>
      </c>
      <c r="E17968" t="s">
        <v>40443</v>
      </c>
    </row>
    <row r="17969" spans="1:5">
      <c r="A17969" t="s">
        <v>6</v>
      </c>
      <c r="B17969" t="s">
        <v>17974</v>
      </c>
      <c r="C17969">
        <f>HYPERLINK("C:\Users\franc\OneDrive\Documentos\MALENTIN KARIME\BANCO ESTADO\2012 DEPTO ESCRITURAS fata\Dc Simples\2012 DEPTO ESCRITURAS\E.I.R.L\CESAR CARVAJAL TORRES EIRL.doc", "Abrir Documento")</f>
        <v>0</v>
      </c>
      <c r="D17969" t="s">
        <v>23500</v>
      </c>
      <c r="E17969" t="s">
        <v>40444</v>
      </c>
    </row>
    <row r="17970" spans="1:5">
      <c r="A17970" t="s">
        <v>6</v>
      </c>
      <c r="B17970" t="s">
        <v>17975</v>
      </c>
      <c r="C17970">
        <f>HYPERLINK("C:\Users\franc\OneDrive\Documentos\MALENTIN KARIME\BANCO ESTADO\2012 DEPTO ESCRITURAS fata\Dc Simples\2012 DEPTO ESCRITURAS\E.I.R.L\BAR CAFE E.I.R.L,.doc", "Abrir Documento")</f>
        <v>0</v>
      </c>
      <c r="D17970" t="s">
        <v>23500</v>
      </c>
      <c r="E17970" t="s">
        <v>40445</v>
      </c>
    </row>
    <row r="17971" spans="1:5">
      <c r="A17971" t="s">
        <v>6</v>
      </c>
      <c r="B17971" t="s">
        <v>17976</v>
      </c>
      <c r="C17971">
        <f>HYPERLINK("C:\Users\franc\OneDrive\Documentos\MALENTIN KARIME\BANCO ESTADO\2012 DEPTO ESCRITURAS fata\Dc Simples\2012 DEPTO ESCRITURAS\E.I.R.L\AMELIA MRANDA ROJAS E.I.R.L.doc", "Abrir Documento")</f>
        <v>0</v>
      </c>
      <c r="D17971" t="s">
        <v>23500</v>
      </c>
      <c r="E17971" t="s">
        <v>40446</v>
      </c>
    </row>
    <row r="17972" spans="1:5">
      <c r="A17972" t="s">
        <v>6</v>
      </c>
      <c r="B17972" t="s">
        <v>17977</v>
      </c>
      <c r="C17972">
        <f>HYPERLINK("C:\Users\franc\OneDrive\Documentos\MALENTIN KARIME\BANCO ESTADO\2012 DEPTO ESCRITURAS fata\Dc Simples\2012 DEPTO ESCRITURAS\E.I.R.L\ALFONSO JULIAN COMERCIAL E.I.RL..doc", "Abrir Documento")</f>
        <v>0</v>
      </c>
      <c r="D17972" t="s">
        <v>23500</v>
      </c>
      <c r="E17972" t="s">
        <v>40447</v>
      </c>
    </row>
    <row r="17973" spans="1:5">
      <c r="A17973" t="s">
        <v>6</v>
      </c>
      <c r="B17973" t="s">
        <v>17978</v>
      </c>
      <c r="C17973">
        <f>HYPERLINK("C:\Users\franc\OneDrive\Documentos\MALENTIN KARIME\BANCO ESTADO\2012 DEPTO ESCRITURAS fata\Dc Simples\2012 DEPTO ESCRITURAS\E.I.R.L\AGROTRANS GUERRERO.doc", "Abrir Documento")</f>
        <v>0</v>
      </c>
      <c r="D17973" t="s">
        <v>23500</v>
      </c>
      <c r="E17973" t="s">
        <v>40448</v>
      </c>
    </row>
    <row r="17974" spans="1:5">
      <c r="A17974" t="s">
        <v>6</v>
      </c>
      <c r="B17974" t="s">
        <v>17979</v>
      </c>
      <c r="C17974">
        <f>HYPERLINK("C:\Users\franc\OneDrive\Documentos\MALENTIN KARIME\BANCO ESTADO\2012 DEPTO ESCRITURAS fata\Dc Simples\2012 DEPTO ESCRITURAS\E.I.R.L\AGROTRANS GUERRERO VERSION CORREJIDA Extracto.doc", "Abrir Documento")</f>
        <v>0</v>
      </c>
      <c r="D17974" t="s">
        <v>23500</v>
      </c>
      <c r="E17974" t="s">
        <v>40449</v>
      </c>
    </row>
    <row r="17975" spans="1:5">
      <c r="A17975" t="s">
        <v>6</v>
      </c>
      <c r="B17975" t="s">
        <v>17980</v>
      </c>
      <c r="C17975">
        <f>HYPERLINK("C:\Users\franc\OneDrive\Documentos\MALENTIN KARIME\BANCO ESTADO\2012 DEPTO ESCRITURAS fata\Dc Simples\2012 DEPTO ESCRITURAS\E.I.R.L\AGROTRANS GUERRERO Extracto.doc", "Abrir Documento")</f>
        <v>0</v>
      </c>
      <c r="D17975" t="s">
        <v>23500</v>
      </c>
      <c r="E17975" t="s">
        <v>40450</v>
      </c>
    </row>
    <row r="17976" spans="1:5">
      <c r="A17976" t="s">
        <v>6</v>
      </c>
      <c r="B17976" t="s">
        <v>17981</v>
      </c>
      <c r="C17976">
        <f>HYPERLINK("C:\Users\franc\OneDrive\Documentos\MALENTIN KARIME\BANCO ESTADO\2012 DEPTO ESCRITURAS fata\Dc Simples\2012 DEPTO ESCRITURAS\DOBLE M\REGLAMENTO.doc", "Abrir Documento")</f>
        <v>0</v>
      </c>
      <c r="D17976" t="s">
        <v>23500</v>
      </c>
      <c r="E17976" t="s">
        <v>40451</v>
      </c>
    </row>
    <row r="17977" spans="1:5">
      <c r="A17977" t="s">
        <v>6</v>
      </c>
      <c r="B17977" t="s">
        <v>17982</v>
      </c>
      <c r="C17977">
        <f>HYPERLINK("C:\Users\franc\OneDrive\Documentos\MALENTIN KARIME\BANCO ESTADO\2012 DEPTO ESCRITURAS fata\Dc Simples\2012 DEPTO ESCRITURAS\DOBLE M\REGLAMENTO CO PROPIEDAD Junio 2011.doc", "Abrir Documento")</f>
        <v>0</v>
      </c>
      <c r="D17977" t="s">
        <v>23500</v>
      </c>
      <c r="E17977" t="s">
        <v>40452</v>
      </c>
    </row>
    <row r="17978" spans="1:5">
      <c r="A17978" t="s">
        <v>6</v>
      </c>
      <c r="B17978" t="s">
        <v>17983</v>
      </c>
      <c r="C17978">
        <f>HYPERLINK("C:\Users\franc\OneDrive\Documentos\MALENTIN KARIME\BANCO ESTADO\2012 DEPTO ESCRITURAS fata\Dc Simples\2012 DEPTO ESCRITURAS\DOBLE M\REDUCCION ACTA  30 ABRIL 11.doc", "Abrir Documento")</f>
        <v>0</v>
      </c>
      <c r="D17978" t="s">
        <v>23500</v>
      </c>
      <c r="E17978" t="s">
        <v>40453</v>
      </c>
    </row>
    <row r="17979" spans="1:5">
      <c r="A17979" t="s">
        <v>6</v>
      </c>
      <c r="B17979" t="s">
        <v>17984</v>
      </c>
      <c r="C17979">
        <f>HYPERLINK("C:\Users\franc\OneDrive\Documentos\MALENTIN KARIME\BANCO ESTADO\2012 DEPTO ESCRITURAS fata\Dc Simples\2012 DEPTO ESCRITURAS\DOBLE M\OSVALDO GONZALEZ Cibergestion.doc", "Abrir Documento")</f>
        <v>0</v>
      </c>
      <c r="D17979" t="s">
        <v>23500</v>
      </c>
      <c r="E17979" t="s">
        <v>40454</v>
      </c>
    </row>
    <row r="17980" spans="1:5">
      <c r="A17980" t="s">
        <v>6</v>
      </c>
      <c r="B17980" t="s">
        <v>17985</v>
      </c>
      <c r="C17980">
        <f>HYPERLINK("C:\Users\franc\OneDrive\Documentos\MALENTIN KARIME\BANCO ESTADO\2012 DEPTO ESCRITURAS fata\Dc Simples\2012 DEPTO ESCRITURAS\DOBLE M\MODIFICACION REGLAMENTO DE COPROPIEDAD.doc", "Abrir Documento")</f>
        <v>0</v>
      </c>
      <c r="D17980" t="s">
        <v>23500</v>
      </c>
      <c r="E17980" t="s">
        <v>40455</v>
      </c>
    </row>
    <row r="17981" spans="1:5">
      <c r="A17981" t="s">
        <v>6</v>
      </c>
      <c r="B17981" t="s">
        <v>17986</v>
      </c>
      <c r="C17981">
        <f>HYPERLINK("C:\Users\franc\OneDrive\Documentos\MALENTIN KARIME\BANCO ESTADO\2012 DEPTO ESCRITURAS fata\Dc Simples\2012 DEPTO ESCRITURAS\DOBLE M\MANUEL VALENCIA JOFRE Promesa.doc", "Abrir Documento")</f>
        <v>0</v>
      </c>
      <c r="D17981" t="s">
        <v>23500</v>
      </c>
      <c r="E17981" t="s">
        <v>40456</v>
      </c>
    </row>
    <row r="17982" spans="1:5">
      <c r="A17982" t="s">
        <v>6</v>
      </c>
      <c r="B17982" t="s">
        <v>17987</v>
      </c>
      <c r="C17982">
        <f>HYPERLINK("C:\Users\franc\OneDrive\Documentos\MALENTIN KARIME\BANCO ESTADO\2012 DEPTO ESCRITURAS fata\Dc Simples\2012 DEPTO ESCRITURAS\DOBLE M\ISABEL ARAYA MORALES Promesa.doc", "Abrir Documento")</f>
        <v>0</v>
      </c>
      <c r="D17982" t="s">
        <v>23500</v>
      </c>
      <c r="E17982" t="s">
        <v>40457</v>
      </c>
    </row>
    <row r="17983" spans="1:5">
      <c r="A17983" t="s">
        <v>6</v>
      </c>
      <c r="B17983" t="s">
        <v>17988</v>
      </c>
      <c r="C17983">
        <f>HYPERLINK("C:\Users\franc\OneDrive\Documentos\MALENTIN KARIME\BANCO ESTADO\2012 DEPTO ESCRITURAS fata\Dc Simples\2012 DEPTO ESCRITURAS\DOBLE M\INSTRUCCIONES Daysi Godoy.doc", "Abrir Documento")</f>
        <v>0</v>
      </c>
      <c r="D17983" t="s">
        <v>23500</v>
      </c>
      <c r="E17983" t="s">
        <v>40458</v>
      </c>
    </row>
    <row r="17984" spans="1:5">
      <c r="A17984" t="s">
        <v>6</v>
      </c>
      <c r="B17984" t="s">
        <v>17989</v>
      </c>
      <c r="C17984">
        <f>HYPERLINK("C:\Users\franc\OneDrive\Documentos\MALENTIN KARIME\BANCO ESTADO\2012 DEPTO ESCRITURAS fata\Dc Simples\2012 DEPTO ESCRITURAS\DOBLE M\DEYSI GODOY con DOBLE M.doc", "Abrir Documento")</f>
        <v>0</v>
      </c>
      <c r="D17984" t="s">
        <v>23500</v>
      </c>
      <c r="E17984" t="s">
        <v>40459</v>
      </c>
    </row>
    <row r="17985" spans="1:5">
      <c r="A17985" t="s">
        <v>6</v>
      </c>
      <c r="B17985" t="s">
        <v>17990</v>
      </c>
      <c r="C17985">
        <f>HYPERLINK("C:\Users\franc\OneDrive\Documentos\MALENTIN KARIME\BANCO ESTADO\2012 DEPTO ESCRITURAS fata\Dc Simples\2012 DEPTO ESCRITURAS\DOBLE M\CVTA PARTICULAR OJO I.ETAPA.doc", "Abrir Documento")</f>
        <v>0</v>
      </c>
      <c r="D17985" t="s">
        <v>23500</v>
      </c>
      <c r="E17985" t="s">
        <v>40460</v>
      </c>
    </row>
    <row r="17986" spans="1:5">
      <c r="A17986" t="s">
        <v>6</v>
      </c>
      <c r="B17986" t="s">
        <v>17991</v>
      </c>
      <c r="C17986">
        <f>HYPERLINK("C:\Users\franc\OneDrive\Documentos\MALENTIN KARIME\BANCO ESTADO\2012 DEPTO ESCRITURAS fata\Dc Simples\2012 DEPTO ESCRITURAS\DOBLE M\ACTA.doc", "Abrir Documento")</f>
        <v>0</v>
      </c>
      <c r="D17986" t="s">
        <v>23500</v>
      </c>
      <c r="E17986" t="s">
        <v>40461</v>
      </c>
    </row>
    <row r="17987" spans="1:5">
      <c r="A17987" t="s">
        <v>6</v>
      </c>
      <c r="B17987" t="s">
        <v>17992</v>
      </c>
      <c r="C17987">
        <f>HYPERLINK("C:\Users\franc\OneDrive\Documentos\MALENTIN KARIME\BANCO ESTADO\2012 DEPTO ESCRITURAS fata\Dc Simples\2012 DEPTO ESCRITURAS\DOBLE M\ACTA reduccion.doc", "Abrir Documento")</f>
        <v>0</v>
      </c>
      <c r="D17987" t="s">
        <v>23500</v>
      </c>
      <c r="E17987" t="s">
        <v>40462</v>
      </c>
    </row>
    <row r="17988" spans="1:5">
      <c r="A17988" t="s">
        <v>6</v>
      </c>
      <c r="B17988" t="s">
        <v>17993</v>
      </c>
      <c r="C17988">
        <f>HYPERLINK("C:\Users\franc\OneDrive\Documentos\MALENTIN KARIME\BANCO ESTADO\2012 DEPTO ESCRITURAS fata\Dc Simples\2012 DEPTO ESCRITURAS\DERECHOS\PEDRO CAMPUSANO A PEDRO CAMPUSANO ALVARADO.doc", "Abrir Documento")</f>
        <v>0</v>
      </c>
      <c r="D17988" t="s">
        <v>23500</v>
      </c>
      <c r="E17988" t="s">
        <v>40463</v>
      </c>
    </row>
    <row r="17989" spans="1:5">
      <c r="A17989" t="s">
        <v>6</v>
      </c>
      <c r="B17989" t="s">
        <v>17994</v>
      </c>
      <c r="C17989">
        <f>HYPERLINK("C:\Users\franc\OneDrive\Documentos\MALENTIN KARIME\BANCO ESTADO\2012 DEPTO ESCRITURAS fata\Dc Simples\2012 DEPTO ESCRITURAS\DERECHOS\ELIANA PIZARRO A CARLOS ALQUINTA.doc", "Abrir Documento")</f>
        <v>0</v>
      </c>
      <c r="D17989" t="s">
        <v>23500</v>
      </c>
      <c r="E17989" t="s">
        <v>40464</v>
      </c>
    </row>
    <row r="17990" spans="1:5">
      <c r="A17990" t="s">
        <v>6</v>
      </c>
      <c r="B17990" t="s">
        <v>17995</v>
      </c>
      <c r="C17990">
        <f>HYPERLINK("C:\Users\franc\OneDrive\Documentos\MALENTIN KARIME\BANCO ESTADO\2012 DEPTO ESCRITURAS fata\Dc Simples\2012 DEPTO ESCRITURAS\DERECHO USO\VIVIANA VELASQUEZdec.jurada derecho real de uso.doc", "Abrir Documento")</f>
        <v>0</v>
      </c>
      <c r="D17990" t="s">
        <v>23500</v>
      </c>
      <c r="E17990" t="s">
        <v>40465</v>
      </c>
    </row>
    <row r="17991" spans="1:5">
      <c r="A17991" t="s">
        <v>6</v>
      </c>
      <c r="B17991" t="s">
        <v>17996</v>
      </c>
      <c r="C17991">
        <f>HYPERLINK("C:\Users\franc\OneDrive\Documentos\MALENTIN KARIME\BANCO ESTADO\2012 DEPTO ESCRITURAS fata\Dc Simples\2012 DEPTO ESCRITURAS\DERECHO USO\Tomás Elgueta Pizarro a Laura Elgueta.doc", "Abrir Documento")</f>
        <v>0</v>
      </c>
      <c r="D17991" t="s">
        <v>23500</v>
      </c>
      <c r="E17991" t="s">
        <v>40466</v>
      </c>
    </row>
    <row r="17992" spans="1:5">
      <c r="A17992" t="s">
        <v>6</v>
      </c>
      <c r="B17992" t="s">
        <v>17997</v>
      </c>
      <c r="C17992">
        <f>HYPERLINK("C:\Users\franc\OneDrive\Documentos\MALENTIN KARIME\BANCO ESTADO\2012 DEPTO ESCRITURAS fata\Dc Simples\2012 DEPTO ESCRITURAS\DERECHO USO\LUZ PASTEN OLIVARES A CLAUDIO ANGEL.doc", "Abrir Documento")</f>
        <v>0</v>
      </c>
      <c r="D17992" t="s">
        <v>23500</v>
      </c>
      <c r="E17992" t="s">
        <v>40467</v>
      </c>
    </row>
    <row r="17993" spans="1:5">
      <c r="A17993" t="s">
        <v>6</v>
      </c>
      <c r="B17993" t="s">
        <v>17998</v>
      </c>
      <c r="C17993">
        <f>HYPERLINK("C:\Users\franc\OneDrive\Documentos\MALENTIN KARIME\BANCO ESTADO\2012 DEPTO ESCRITURAS fata\Dc Simples\2012 DEPTO ESCRITURAS\DERECHO USO\FRANCISCO ANDRADE CORTES A JUANA CORTES COLLOA.doc", "Abrir Documento")</f>
        <v>0</v>
      </c>
      <c r="D17993" t="s">
        <v>23500</v>
      </c>
      <c r="E17993" t="s">
        <v>40468</v>
      </c>
    </row>
    <row r="17994" spans="1:5">
      <c r="A17994" t="s">
        <v>6</v>
      </c>
      <c r="B17994" t="s">
        <v>17999</v>
      </c>
      <c r="C17994">
        <f>HYPERLINK("C:\Users\franc\OneDrive\Documentos\MALENTIN KARIME\BANCO ESTADO\2012 DEPTO ESCRITURAS fata\Dc Simples\2012 DEPTO ESCRITURAS\DERECHO USO\dec.jurada derecho real de uso.doc", "Abrir Documento")</f>
        <v>0</v>
      </c>
      <c r="D17994" t="s">
        <v>23500</v>
      </c>
      <c r="E17994" t="s">
        <v>40469</v>
      </c>
    </row>
    <row r="17995" spans="1:5">
      <c r="A17995" t="s">
        <v>6</v>
      </c>
      <c r="B17995" t="s">
        <v>18000</v>
      </c>
      <c r="C17995">
        <f>HYPERLINK("C:\Users\franc\OneDrive\Documentos\MALENTIN KARIME\BANCO ESTADO\2012 DEPTO ESCRITURAS fata\Dc Simples\2012 DEPTO ESCRITURAS\DERECHO USO\CAROLA ARAYA A NARDA ARAYA.doc", "Abrir Documento")</f>
        <v>0</v>
      </c>
      <c r="D17995" t="s">
        <v>23500</v>
      </c>
      <c r="E17995" t="s">
        <v>40470</v>
      </c>
    </row>
    <row r="17996" spans="1:5">
      <c r="A17996" t="s">
        <v>6</v>
      </c>
      <c r="B17996" t="s">
        <v>18001</v>
      </c>
      <c r="C17996">
        <f>HYPERLINK("C:\Users\franc\OneDrive\Documentos\MALENTIN KARIME\BANCO ESTADO\2012 DEPTO ESCRITURAS fata\Dc Simples\2012 DEPTO ESCRITURAS\declaracion drogas\VICTOR BARRIOS.doc", "Abrir Documento")</f>
        <v>0</v>
      </c>
      <c r="D17996" t="s">
        <v>23500</v>
      </c>
      <c r="E17996" t="s">
        <v>40471</v>
      </c>
    </row>
    <row r="17997" spans="1:5">
      <c r="A17997" t="s">
        <v>6</v>
      </c>
      <c r="B17997" t="s">
        <v>18002</v>
      </c>
      <c r="C17997">
        <f>HYPERLINK("C:\Users\franc\OneDrive\Documentos\MALENTIN KARIME\BANCO ESTADO\2012 DEPTO ESCRITURAS fata\Dc Simples\2012 DEPTO ESCRITURAS\declaracion drogas\SILVIA PIZARRO drogas.doc", "Abrir Documento")</f>
        <v>0</v>
      </c>
      <c r="D17997" t="s">
        <v>23500</v>
      </c>
      <c r="E17997" t="s">
        <v>40472</v>
      </c>
    </row>
    <row r="17998" spans="1:5">
      <c r="A17998" t="s">
        <v>6</v>
      </c>
      <c r="B17998" t="s">
        <v>18003</v>
      </c>
      <c r="C17998">
        <f>HYPERLINK("C:\Users\franc\OneDrive\Documentos\MALENTIN KARIME\BANCO ESTADO\2012 DEPTO ESCRITURAS fata\Dc Simples\2012 DEPTO ESCRITURAS\declaracion drogas\PATRICIO JORQUERA drogas.doc", "Abrir Documento")</f>
        <v>0</v>
      </c>
      <c r="D17998" t="s">
        <v>23500</v>
      </c>
      <c r="E17998" t="s">
        <v>40473</v>
      </c>
    </row>
    <row r="17999" spans="1:5">
      <c r="A17999" t="s">
        <v>6</v>
      </c>
      <c r="B17999" t="s">
        <v>18004</v>
      </c>
      <c r="C17999">
        <f>HYPERLINK("C:\Users\franc\OneDrive\Documentos\MALENTIN KARIME\BANCO ESTADO\2012 DEPTO ESCRITURAS fata\Dc Simples\2012 DEPTO ESCRITURAS\declaracion drogas\PAOLA AGUILERA  G. drogas.doc", "Abrir Documento")</f>
        <v>0</v>
      </c>
      <c r="D17999" t="s">
        <v>23500</v>
      </c>
      <c r="E17999" t="s">
        <v>40474</v>
      </c>
    </row>
    <row r="18000" spans="1:5">
      <c r="A18000" t="s">
        <v>6</v>
      </c>
      <c r="B18000" t="s">
        <v>18005</v>
      </c>
      <c r="C18000">
        <f>HYPERLINK("C:\Users\franc\OneDrive\Documentos\MALENTIN KARIME\BANCO ESTADO\2012 DEPTO ESCRITURAS fata\Dc Simples\2012 DEPTO ESCRITURAS\declaracion drogas\MARCO CONTADOR. drogas.doc", "Abrir Documento")</f>
        <v>0</v>
      </c>
      <c r="D18000" t="s">
        <v>23500</v>
      </c>
      <c r="E18000" t="s">
        <v>40475</v>
      </c>
    </row>
    <row r="18001" spans="1:5">
      <c r="A18001" t="s">
        <v>6</v>
      </c>
      <c r="B18001" t="s">
        <v>18006</v>
      </c>
      <c r="C18001">
        <f>HYPERLINK("C:\Users\franc\OneDrive\Documentos\MALENTIN KARIME\BANCO ESTADO\2012 DEPTO ESCRITURAS fata\Dc Simples\2012 DEPTO ESCRITURAS\declaracion drogas\GONZALO PASTEN VILLARROELdrogas.doc", "Abrir Documento")</f>
        <v>0</v>
      </c>
      <c r="D18001" t="s">
        <v>23500</v>
      </c>
      <c r="E18001" t="s">
        <v>40476</v>
      </c>
    </row>
    <row r="18002" spans="1:5">
      <c r="A18002" t="s">
        <v>6</v>
      </c>
      <c r="B18002" t="s">
        <v>18007</v>
      </c>
      <c r="C18002">
        <f>HYPERLINK("C:\Users\franc\OneDrive\Documentos\MALENTIN KARIME\BANCO ESTADO\2012 DEPTO ESCRITURAS fata\Dc Simples\2012 DEPTO ESCRITURAS\declaracion drogas\FRANCISCO ACUÑA drogas.doc", "Abrir Documento")</f>
        <v>0</v>
      </c>
      <c r="D18002" t="s">
        <v>23500</v>
      </c>
      <c r="E18002" t="s">
        <v>40477</v>
      </c>
    </row>
    <row r="18003" spans="1:5">
      <c r="A18003" t="s">
        <v>6</v>
      </c>
      <c r="B18003" t="s">
        <v>18008</v>
      </c>
      <c r="C18003">
        <f>HYPERLINK("C:\Users\franc\OneDrive\Documentos\MALENTIN KARIME\BANCO ESTADO\2012 DEPTO ESCRITURAS fata\Dc Simples\2012 DEPTO ESCRITURAS\declaracion drogas\CLAUDIO QUEVEDO. drogas.doc", "Abrir Documento")</f>
        <v>0</v>
      </c>
      <c r="D18003" t="s">
        <v>23500</v>
      </c>
      <c r="E18003" t="s">
        <v>40478</v>
      </c>
    </row>
    <row r="18004" spans="1:5">
      <c r="A18004" t="s">
        <v>6</v>
      </c>
      <c r="B18004" t="s">
        <v>18009</v>
      </c>
      <c r="C18004">
        <f>HYPERLINK("C:\Users\franc\OneDrive\Documentos\MALENTIN KARIME\BANCO ESTADO\2012 DEPTO ESCRITURAS fata\Dc Simples\2012 DEPTO ESCRITURAS\declaracion drogas\CAROLA ARACENA G. drogas.doc", "Abrir Documento")</f>
        <v>0</v>
      </c>
      <c r="D18004" t="s">
        <v>23500</v>
      </c>
      <c r="E18004" t="s">
        <v>40479</v>
      </c>
    </row>
    <row r="18005" spans="1:5">
      <c r="A18005" t="s">
        <v>6</v>
      </c>
      <c r="B18005" t="s">
        <v>18010</v>
      </c>
      <c r="C18005">
        <f>HYPERLINK("C:\Users\franc\OneDrive\Documentos\MALENTIN KARIME\BANCO ESTADO\2012 DEPTO ESCRITURAS fata\Dc Simples\2012 DEPTO ESCRITURAS\declaracion drogas\CARMEN CORTES INFANTE drogas.doc", "Abrir Documento")</f>
        <v>0</v>
      </c>
      <c r="D18005" t="s">
        <v>23500</v>
      </c>
      <c r="E18005" t="s">
        <v>40480</v>
      </c>
    </row>
    <row r="18006" spans="1:5">
      <c r="A18006" t="s">
        <v>6</v>
      </c>
      <c r="B18006" t="s">
        <v>18011</v>
      </c>
      <c r="C18006">
        <f>HYPERLINK("C:\Users\franc\OneDrive\Documentos\MALENTIN KARIME\BANCO ESTADO\2012 DEPTO ESCRITURAS fata\Dc Simples\2012 DEPTO ESCRITURAS\cvta protocolizadas\YERKA ORTIZ.doc", "Abrir Documento")</f>
        <v>0</v>
      </c>
      <c r="D18006" t="s">
        <v>23500</v>
      </c>
      <c r="E18006" t="s">
        <v>40481</v>
      </c>
    </row>
    <row r="18007" spans="1:5">
      <c r="A18007" t="s">
        <v>6</v>
      </c>
      <c r="B18007" t="s">
        <v>18012</v>
      </c>
      <c r="C18007">
        <f>HYPERLINK("C:\Users\franc\OneDrive\Documentos\MALENTIN KARIME\BANCO ESTADO\2012 DEPTO ESCRITURAS fata\Dc Simples\2012 DEPTO ESCRITURAS\cvta protocolizadas\YENNY ORREGO CASTILLO.doc", "Abrir Documento")</f>
        <v>0</v>
      </c>
      <c r="D18007" t="s">
        <v>23500</v>
      </c>
      <c r="E18007" t="s">
        <v>40482</v>
      </c>
    </row>
    <row r="18008" spans="1:5">
      <c r="A18008" t="s">
        <v>6</v>
      </c>
      <c r="B18008" t="s">
        <v>18013</v>
      </c>
      <c r="C18008">
        <f>HYPERLINK("C:\Users\franc\OneDrive\Documentos\MALENTIN KARIME\BANCO ESTADO\2012 DEPTO ESCRITURAS fata\Dc Simples\2012 DEPTO ESCRITURAS\cvta protocolizadas\YARTIZA BARRIENTOS Andrea.doc", "Abrir Documento")</f>
        <v>0</v>
      </c>
      <c r="D18008" t="s">
        <v>23500</v>
      </c>
      <c r="E18008" t="s">
        <v>40483</v>
      </c>
    </row>
    <row r="18009" spans="1:5">
      <c r="A18009" t="s">
        <v>6</v>
      </c>
      <c r="B18009" t="s">
        <v>18014</v>
      </c>
      <c r="C18009">
        <f>HYPERLINK("C:\Users\franc\OneDrive\Documentos\MALENTIN KARIME\BANCO ESTADO\2012 DEPTO ESCRITURAS fata\Dc Simples\2012 DEPTO ESCRITURAS\cvta protocolizadas\WALDEMAR AGUIRRE.doc", "Abrir Documento")</f>
        <v>0</v>
      </c>
      <c r="D18009" t="s">
        <v>23500</v>
      </c>
      <c r="E18009" t="s">
        <v>40484</v>
      </c>
    </row>
    <row r="18010" spans="1:5">
      <c r="A18010" t="s">
        <v>6</v>
      </c>
      <c r="B18010" t="s">
        <v>18015</v>
      </c>
      <c r="C18010">
        <f>HYPERLINK("C:\Users\franc\OneDrive\Documentos\MALENTIN KARIME\BANCO ESTADO\2012 DEPTO ESCRITURAS fata\Dc Simples\2012 DEPTO ESCRITURAS\cvta protocolizadas\VITAL PASTEN PASTEN a VERONICA ARAYA ALVAREZ (Ovalle).doc", "Abrir Documento")</f>
        <v>0</v>
      </c>
      <c r="D18010" t="s">
        <v>23500</v>
      </c>
      <c r="E18010" t="s">
        <v>40485</v>
      </c>
    </row>
    <row r="18011" spans="1:5">
      <c r="A18011" t="s">
        <v>6</v>
      </c>
      <c r="B18011" t="s">
        <v>18016</v>
      </c>
      <c r="C18011">
        <f>HYPERLINK("C:\Users\franc\OneDrive\Documentos\MALENTIN KARIME\BANCO ESTADO\2012 DEPTO ESCRITURAS fata\Dc Simples\2012 DEPTO ESCRITURAS\cvta protocolizadas\VERONICA ARAYA.doc", "Abrir Documento")</f>
        <v>0</v>
      </c>
      <c r="D18011" t="s">
        <v>23500</v>
      </c>
      <c r="E18011" t="s">
        <v>40486</v>
      </c>
    </row>
    <row r="18012" spans="1:5">
      <c r="A18012" t="s">
        <v>6</v>
      </c>
      <c r="B18012" t="s">
        <v>18017</v>
      </c>
      <c r="C18012">
        <f>HYPERLINK("C:\Users\franc\OneDrive\Documentos\MALENTIN KARIME\BANCO ESTADO\2012 DEPTO ESCRITURAS fata\Dc Simples\2012 DEPTO ESCRITURAS\cvta protocolizadas\SONIA VASQUEZ ROJAS a ANGELICA MUNDACA JOFRE (Ovalle).doc", "Abrir Documento")</f>
        <v>0</v>
      </c>
      <c r="D18012" t="s">
        <v>23500</v>
      </c>
      <c r="E18012" t="s">
        <v>40487</v>
      </c>
    </row>
    <row r="18013" spans="1:5">
      <c r="A18013" t="s">
        <v>6</v>
      </c>
      <c r="B18013" t="s">
        <v>18018</v>
      </c>
      <c r="C18013">
        <f>HYPERLINK("C:\Users\franc\OneDrive\Documentos\MALENTIN KARIME\BANCO ESTADO\2012 DEPTO ESCRITURAS fata\Dc Simples\2012 DEPTO ESCRITURAS\cvta protocolizadas\SONIA JOFRE Rodrigo.doc", "Abrir Documento")</f>
        <v>0</v>
      </c>
      <c r="D18013" t="s">
        <v>23500</v>
      </c>
      <c r="E18013" t="s">
        <v>40488</v>
      </c>
    </row>
    <row r="18014" spans="1:5">
      <c r="A18014" t="s">
        <v>6</v>
      </c>
      <c r="B18014" t="s">
        <v>18019</v>
      </c>
      <c r="C18014">
        <f>HYPERLINK("C:\Users\franc\OneDrive\Documentos\MALENTIN KARIME\BANCO ESTADO\2012 DEPTO ESCRITURAS fata\Dc Simples\2012 DEPTO ESCRITURAS\cvta protocolizadas\SOFIA VELIZ Patty.doc", "Abrir Documento")</f>
        <v>0</v>
      </c>
      <c r="D18014" t="s">
        <v>23500</v>
      </c>
      <c r="E18014" t="s">
        <v>40489</v>
      </c>
    </row>
    <row r="18015" spans="1:5">
      <c r="A18015" t="s">
        <v>6</v>
      </c>
      <c r="B18015" t="s">
        <v>18020</v>
      </c>
      <c r="C18015">
        <f>HYPERLINK("C:\Users\franc\OneDrive\Documentos\MALENTIN KARIME\BANCO ESTADO\2012 DEPTO ESCRITURAS fata\Dc Simples\2012 DEPTO ESCRITURAS\cvta protocolizadas\ROSA AMINTA MUÑOZ.doc", "Abrir Documento")</f>
        <v>0</v>
      </c>
      <c r="D18015" t="s">
        <v>23500</v>
      </c>
      <c r="E18015" t="s">
        <v>40490</v>
      </c>
    </row>
    <row r="18016" spans="1:5">
      <c r="A18016" t="s">
        <v>6</v>
      </c>
      <c r="B18016" t="s">
        <v>18021</v>
      </c>
      <c r="C18016">
        <f>HYPERLINK("C:\Users\franc\OneDrive\Documentos\MALENTIN KARIME\BANCO ESTADO\2012 DEPTO ESCRITURAS fata\Dc Simples\2012 DEPTO ESCRITURAS\cvta protocolizadas\RICARDO CORTES VIDELA.doc", "Abrir Documento")</f>
        <v>0</v>
      </c>
      <c r="D18016" t="s">
        <v>23500</v>
      </c>
      <c r="E18016" t="s">
        <v>40491</v>
      </c>
    </row>
    <row r="18017" spans="1:5">
      <c r="A18017" t="s">
        <v>6</v>
      </c>
      <c r="B18017" t="s">
        <v>18022</v>
      </c>
      <c r="C18017">
        <f>HYPERLINK("C:\Users\franc\OneDrive\Documentos\MALENTIN KARIME\BANCO ESTADO\2012 DEPTO ESCRITURAS fata\Dc Simples\2012 DEPTO ESCRITURAS\cvta protocolizadas\PERLA ARAYA Suplen.doc", "Abrir Documento")</f>
        <v>0</v>
      </c>
      <c r="D18017" t="s">
        <v>23500</v>
      </c>
      <c r="E18017" t="s">
        <v>40492</v>
      </c>
    </row>
    <row r="18018" spans="1:5">
      <c r="A18018" t="s">
        <v>6</v>
      </c>
      <c r="B18018" t="s">
        <v>18023</v>
      </c>
      <c r="C18018">
        <f>HYPERLINK("C:\Users\franc\OneDrive\Documentos\MALENTIN KARIME\BANCO ESTADO\2012 DEPTO ESCRITURAS fata\Dc Simples\2012 DEPTO ESCRITURAS\cvta protocolizadas\PAOLA VICUÑA Suplen.doc", "Abrir Documento")</f>
        <v>0</v>
      </c>
      <c r="D18018" t="s">
        <v>23500</v>
      </c>
      <c r="E18018" t="s">
        <v>40493</v>
      </c>
    </row>
    <row r="18019" spans="1:5">
      <c r="A18019" t="s">
        <v>6</v>
      </c>
      <c r="B18019" t="s">
        <v>18024</v>
      </c>
      <c r="C18019">
        <f>HYPERLINK("C:\Users\franc\OneDrive\Documentos\MALENTIN KARIME\BANCO ESTADO\2012 DEPTO ESCRITURAS fata\Dc Simples\2012 DEPTO ESCRITURAS\cvta protocolizadas\PAOLA CASTRO BONILLA.doc", "Abrir Documento")</f>
        <v>0</v>
      </c>
      <c r="D18019" t="s">
        <v>23500</v>
      </c>
      <c r="E18019" t="s">
        <v>40494</v>
      </c>
    </row>
    <row r="18020" spans="1:5">
      <c r="A18020" t="s">
        <v>6</v>
      </c>
      <c r="B18020" t="s">
        <v>18025</v>
      </c>
      <c r="C18020">
        <f>HYPERLINK("C:\Users\franc\OneDrive\Documentos\MALENTIN KARIME\BANCO ESTADO\2012 DEPTO ESCRITURAS fata\Dc Simples\2012 DEPTO ESCRITURAS\cvta protocolizadas\oriana villarroel.doc", "Abrir Documento")</f>
        <v>0</v>
      </c>
      <c r="D18020" t="s">
        <v>23500</v>
      </c>
      <c r="E18020" t="s">
        <v>40495</v>
      </c>
    </row>
    <row r="18021" spans="1:5">
      <c r="A18021" t="s">
        <v>6</v>
      </c>
      <c r="B18021" t="s">
        <v>18026</v>
      </c>
      <c r="C18021">
        <f>HYPERLINK("C:\Users\franc\OneDrive\Documentos\MALENTIN KARIME\BANCO ESTADO\2012 DEPTO ESCRITURAS fata\Dc Simples\2012 DEPTO ESCRITURAS\cvta protocolizadas\NISENKAREN SANCHEZ SANCHEZ.doc", "Abrir Documento")</f>
        <v>0</v>
      </c>
      <c r="D18021" t="s">
        <v>23500</v>
      </c>
      <c r="E18021" t="s">
        <v>40496</v>
      </c>
    </row>
    <row r="18022" spans="1:5">
      <c r="A18022" t="s">
        <v>6</v>
      </c>
      <c r="B18022" t="s">
        <v>18027</v>
      </c>
      <c r="C18022">
        <f>HYPERLINK("C:\Users\franc\OneDrive\Documentos\MALENTIN KARIME\BANCO ESTADO\2012 DEPTO ESCRITURAS fata\Dc Simples\2012 DEPTO ESCRITURAS\cvta protocolizadas\MIGUEL ANGEL SALINAS BAHAMONDES a PERLA ARAYA ROBLES Abril 13.doc", "Abrir Documento")</f>
        <v>0</v>
      </c>
      <c r="D18022" t="s">
        <v>23500</v>
      </c>
      <c r="E18022" t="s">
        <v>40497</v>
      </c>
    </row>
    <row r="18023" spans="1:5">
      <c r="A18023" t="s">
        <v>6</v>
      </c>
      <c r="B18023" t="s">
        <v>18028</v>
      </c>
      <c r="C18023">
        <f>HYPERLINK("C:\Users\franc\OneDrive\Documentos\MALENTIN KARIME\BANCO ESTADO\2012 DEPTO ESCRITURAS fata\Dc Simples\2012 DEPTO ESCRITURAS\cvta protocolizadas\MARJORIE ARAYA.doc", "Abrir Documento")</f>
        <v>0</v>
      </c>
      <c r="D18023" t="s">
        <v>23500</v>
      </c>
      <c r="E18023" t="s">
        <v>40498</v>
      </c>
    </row>
    <row r="18024" spans="1:5">
      <c r="A18024" t="s">
        <v>6</v>
      </c>
      <c r="B18024" t="s">
        <v>18029</v>
      </c>
      <c r="C18024">
        <f>HYPERLINK("C:\Users\franc\OneDrive\Documentos\MALENTIN KARIME\BANCO ESTADO\2012 DEPTO ESCRITURAS fata\Dc Simples\2012 DEPTO ESCRITURAS\cvta protocolizadas\MARICEL RAMIREZ.doc", "Abrir Documento")</f>
        <v>0</v>
      </c>
      <c r="D18024" t="s">
        <v>23500</v>
      </c>
      <c r="E18024" t="s">
        <v>40499</v>
      </c>
    </row>
    <row r="18025" spans="1:5">
      <c r="A18025" t="s">
        <v>6</v>
      </c>
      <c r="B18025" t="s">
        <v>18030</v>
      </c>
      <c r="C18025">
        <f>HYPERLINK("C:\Users\franc\OneDrive\Documentos\MALENTIN KARIME\BANCO ESTADO\2012 DEPTO ESCRITURAS fata\Dc Simples\2012 DEPTO ESCRITURAS\cvta protocolizadas\MARIANA MUÑOZ ALVAREZ a SONIA JOFRE JOFRE (Ovalle).doc", "Abrir Documento")</f>
        <v>0</v>
      </c>
      <c r="D18025" t="s">
        <v>23500</v>
      </c>
      <c r="E18025" t="s">
        <v>40500</v>
      </c>
    </row>
    <row r="18026" spans="1:5">
      <c r="A18026" t="s">
        <v>6</v>
      </c>
      <c r="B18026" t="s">
        <v>18031</v>
      </c>
      <c r="C18026">
        <f>HYPERLINK("C:\Users\franc\OneDrive\Documentos\MALENTIN KARIME\BANCO ESTADO\2012 DEPTO ESCRITURAS fata\Dc Simples\2012 DEPTO ESCRITURAS\cvta protocolizadas\MARIA TAPIA TRONCOSO Rc.doc", "Abrir Documento")</f>
        <v>0</v>
      </c>
      <c r="D18026" t="s">
        <v>23500</v>
      </c>
      <c r="E18026" t="s">
        <v>40501</v>
      </c>
    </row>
    <row r="18027" spans="1:5">
      <c r="A18027" t="s">
        <v>6</v>
      </c>
      <c r="B18027" t="s">
        <v>18032</v>
      </c>
      <c r="C18027">
        <f>HYPERLINK("C:\Users\franc\OneDrive\Documentos\MALENTIN KARIME\BANCO ESTADO\2012 DEPTO ESCRITURAS fata\Dc Simples\2012 DEPTO ESCRITURAS\cvta protocolizadas\MARIA TABILO RODRIGUEZ a ALEJANDRINA ANDRADE GALLARDO (Ovalle).doc", "Abrir Documento")</f>
        <v>0</v>
      </c>
      <c r="D18027" t="s">
        <v>23500</v>
      </c>
      <c r="E18027" t="s">
        <v>40502</v>
      </c>
    </row>
    <row r="18028" spans="1:5">
      <c r="A18028" t="s">
        <v>6</v>
      </c>
      <c r="B18028" t="s">
        <v>18033</v>
      </c>
      <c r="C18028">
        <f>HYPERLINK("C:\Users\franc\OneDrive\Documentos\MALENTIN KARIME\BANCO ESTADO\2012 DEPTO ESCRITURAS fata\Dc Simples\2012 DEPTO ESCRITURAS\cvta protocolizadas\MARIA RAMIREZ SEGURA a MARICEL RAMIREZ DIAZ (Ovalle)DIC.doc", "Abrir Documento")</f>
        <v>0</v>
      </c>
      <c r="D18028" t="s">
        <v>23500</v>
      </c>
      <c r="E18028" t="s">
        <v>40503</v>
      </c>
    </row>
    <row r="18029" spans="1:5">
      <c r="A18029" t="s">
        <v>6</v>
      </c>
      <c r="B18029" t="s">
        <v>18034</v>
      </c>
      <c r="C18029">
        <f>HYPERLINK("C:\Users\franc\OneDrive\Documentos\MALENTIN KARIME\BANCO ESTADO\2012 DEPTO ESCRITURAS fata\Dc Simples\2012 DEPTO ESCRITURAS\cvta protocolizadas\MARIA JOFRE ARIAS.doc", "Abrir Documento")</f>
        <v>0</v>
      </c>
      <c r="D18029" t="s">
        <v>23500</v>
      </c>
      <c r="E18029" t="s">
        <v>40504</v>
      </c>
    </row>
    <row r="18030" spans="1:5">
      <c r="A18030" t="s">
        <v>6</v>
      </c>
      <c r="B18030" t="s">
        <v>18035</v>
      </c>
      <c r="C18030">
        <f>HYPERLINK("C:\Users\franc\OneDrive\Documentos\MALENTIN KARIME\BANCO ESTADO\2012 DEPTO ESCRITURAS fata\Dc Simples\2012 DEPTO ESCRITURAS\cvta protocolizadas\MARIA CARVAJAL GUERRERO a GLORIA BLANCO BUGUEÑO (Ovalle).doc", "Abrir Documento")</f>
        <v>0</v>
      </c>
      <c r="D18030" t="s">
        <v>23500</v>
      </c>
      <c r="E18030" t="s">
        <v>40505</v>
      </c>
    </row>
    <row r="18031" spans="1:5">
      <c r="A18031" t="s">
        <v>6</v>
      </c>
      <c r="B18031" t="s">
        <v>18036</v>
      </c>
      <c r="C18031">
        <f>HYPERLINK("C:\Users\franc\OneDrive\Documentos\MALENTIN KARIME\BANCO ESTADO\2012 DEPTO ESCRITURAS fata\Dc Simples\2012 DEPTO ESCRITURAS\cvta protocolizadas\MARIA ANTONIETA NAVARRO TAPIA a PAOLA CASTRO BONILLA (Agostole).doc", "Abrir Documento")</f>
        <v>0</v>
      </c>
      <c r="D18031" t="s">
        <v>23500</v>
      </c>
      <c r="E18031" t="s">
        <v>40506</v>
      </c>
    </row>
    <row r="18032" spans="1:5">
      <c r="A18032" t="s">
        <v>6</v>
      </c>
      <c r="B18032" t="s">
        <v>18037</v>
      </c>
      <c r="C18032">
        <f>HYPERLINK("C:\Users\franc\OneDrive\Documentos\MALENTIN KARIME\BANCO ESTADO\2012 DEPTO ESCRITURAS fata\Dc Simples\2012 DEPTO ESCRITURAS\cvta protocolizadas\MARCO ANTONIO ADAOS POZO a YERKA ORTIZ MALUENDA (Ovalle).doc", "Abrir Documento")</f>
        <v>0</v>
      </c>
      <c r="D18032" t="s">
        <v>23500</v>
      </c>
      <c r="E18032" t="s">
        <v>40507</v>
      </c>
    </row>
    <row r="18033" spans="1:5">
      <c r="A18033" t="s">
        <v>6</v>
      </c>
      <c r="B18033" t="s">
        <v>18038</v>
      </c>
      <c r="C18033">
        <f>HYPERLINK("C:\Users\franc\OneDrive\Documentos\MALENTIN KARIME\BANCO ESTADO\2012 DEPTO ESCRITURAS fata\Dc Simples\2012 DEPTO ESCRITURAS\cvta protocolizadas\MARCIA LOPEZ LOPEZ a MARJORIE ARAYA ROBLES (Ovalle).doc", "Abrir Documento")</f>
        <v>0</v>
      </c>
      <c r="D18033" t="s">
        <v>23500</v>
      </c>
      <c r="E18033" t="s">
        <v>40508</v>
      </c>
    </row>
    <row r="18034" spans="1:5">
      <c r="A18034" t="s">
        <v>6</v>
      </c>
      <c r="B18034" t="s">
        <v>18039</v>
      </c>
      <c r="C18034">
        <f>HYPERLINK("C:\Users\franc\OneDrive\Documentos\MALENTIN KARIME\BANCO ESTADO\2012 DEPTO ESCRITURAS fata\Dc Simples\2012 DEPTO ESCRITURAS\cvta protocolizadas\MARCELA GARCIA ARAYA.doc", "Abrir Documento")</f>
        <v>0</v>
      </c>
      <c r="D18034" t="s">
        <v>23500</v>
      </c>
      <c r="E18034" t="s">
        <v>40509</v>
      </c>
    </row>
    <row r="18035" spans="1:5">
      <c r="A18035" t="s">
        <v>6</v>
      </c>
      <c r="B18035" t="s">
        <v>18040</v>
      </c>
      <c r="C18035">
        <f>HYPERLINK("C:\Users\franc\OneDrive\Documentos\MALENTIN KARIME\BANCO ESTADO\2012 DEPTO ESCRITURAS fata\Dc Simples\2012 DEPTO ESCRITURAS\cvta protocolizadas\LUISA JOSEFINA.doc", "Abrir Documento")</f>
        <v>0</v>
      </c>
      <c r="D18035" t="s">
        <v>23500</v>
      </c>
      <c r="E18035" t="s">
        <v>40510</v>
      </c>
    </row>
    <row r="18036" spans="1:5">
      <c r="A18036" t="s">
        <v>6</v>
      </c>
      <c r="B18036" t="s">
        <v>18041</v>
      </c>
      <c r="C18036">
        <f>HYPERLINK("C:\Users\franc\OneDrive\Documentos\MALENTIN KARIME\BANCO ESTADO\2012 DEPTO ESCRITURAS fata\Dc Simples\2012 DEPTO ESCRITURAS\cvta protocolizadas\LUISA JOSEFINA LETELIER a WILLIAM CARMONA SANCHEZ (Ovalle).doc", "Abrir Documento")</f>
        <v>0</v>
      </c>
      <c r="D18036" t="s">
        <v>23500</v>
      </c>
      <c r="E18036" t="s">
        <v>40511</v>
      </c>
    </row>
    <row r="18037" spans="1:5">
      <c r="A18037" t="s">
        <v>6</v>
      </c>
      <c r="B18037" t="s">
        <v>18042</v>
      </c>
      <c r="C18037">
        <f>HYPERLINK("C:\Users\franc\OneDrive\Documentos\MALENTIN KARIME\BANCO ESTADO\2012 DEPTO ESCRITURAS fata\Dc Simples\2012 DEPTO ESCRITURAS\cvta protocolizadas\LUIS MIRANDA VEGA.doc", "Abrir Documento")</f>
        <v>0</v>
      </c>
      <c r="D18037" t="s">
        <v>23500</v>
      </c>
      <c r="E18037" t="s">
        <v>40512</v>
      </c>
    </row>
    <row r="18038" spans="1:5">
      <c r="A18038" t="s">
        <v>6</v>
      </c>
      <c r="B18038" t="s">
        <v>18043</v>
      </c>
      <c r="C18038">
        <f>HYPERLINK("C:\Users\franc\OneDrive\Documentos\MALENTIN KARIME\BANCO ESTADO\2012 DEPTO ESCRITURAS fata\Dc Simples\2012 DEPTO ESCRITURAS\cvta protocolizadas\LUCINDA BEATRIZ ROJAS ROJAS a ESTER PAULINA LOPEZ GONZALEZ(Ovalle).doc", "Abrir Documento")</f>
        <v>0</v>
      </c>
      <c r="D18038" t="s">
        <v>23500</v>
      </c>
      <c r="E18038" t="s">
        <v>40513</v>
      </c>
    </row>
    <row r="18039" spans="1:5">
      <c r="A18039" t="s">
        <v>6</v>
      </c>
      <c r="B18039" t="s">
        <v>18044</v>
      </c>
      <c r="C18039">
        <f>HYPERLINK("C:\Users\franc\OneDrive\Documentos\MALENTIN KARIME\BANCO ESTADO\2012 DEPTO ESCRITURAS fata\Dc Simples\2012 DEPTO ESCRITURAS\cvta protocolizadas\LORENA ARAYA.doc", "Abrir Documento")</f>
        <v>0</v>
      </c>
      <c r="D18039" t="s">
        <v>23500</v>
      </c>
      <c r="E18039" t="s">
        <v>40514</v>
      </c>
    </row>
    <row r="18040" spans="1:5">
      <c r="A18040" t="s">
        <v>6</v>
      </c>
      <c r="B18040" t="s">
        <v>18045</v>
      </c>
      <c r="C18040">
        <f>HYPERLINK("C:\Users\franc\OneDrive\Documentos\MALENTIN KARIME\BANCO ESTADO\2012 DEPTO ESCRITURAS fata\Dc Simples\2012 DEPTO ESCRITURAS\cvta protocolizadas\JUAN CARLOS PAYEROS CASTRO a BRAULIO JUICA ESTAY (OVALLE).doc", "Abrir Documento")</f>
        <v>0</v>
      </c>
      <c r="D18040" t="s">
        <v>23500</v>
      </c>
      <c r="E18040" t="s">
        <v>40515</v>
      </c>
    </row>
    <row r="18041" spans="1:5">
      <c r="A18041" t="s">
        <v>6</v>
      </c>
      <c r="B18041" t="s">
        <v>18046</v>
      </c>
      <c r="C18041">
        <f>HYPERLINK("C:\Users\franc\OneDrive\Documentos\MALENTIN KARIME\BANCO ESTADO\2012 DEPTO ESCRITURAS fata\Dc Simples\2012 DEPTO ESCRITURAS\cvta protocolizadas\JOSELITO CORTES PIÑONES a PAMELA CASTRO MIRANDA (OVALLE-divorciado).doc", "Abrir Documento")</f>
        <v>0</v>
      </c>
      <c r="D18041" t="s">
        <v>23500</v>
      </c>
      <c r="E18041" t="s">
        <v>40516</v>
      </c>
    </row>
    <row r="18042" spans="1:5">
      <c r="A18042" t="s">
        <v>6</v>
      </c>
      <c r="B18042" t="s">
        <v>18047</v>
      </c>
      <c r="C18042">
        <f>HYPERLINK("C:\Users\franc\OneDrive\Documentos\MALENTIN KARIME\BANCO ESTADO\2012 DEPTO ESCRITURAS fata\Dc Simples\2012 DEPTO ESCRITURAS\cvta protocolizadas\JOSELITO CORTES  Suplente Patty.doc", "Abrir Documento")</f>
        <v>0</v>
      </c>
      <c r="D18042" t="s">
        <v>23500</v>
      </c>
      <c r="E18042" t="s">
        <v>40517</v>
      </c>
    </row>
    <row r="18043" spans="1:5">
      <c r="A18043" t="s">
        <v>6</v>
      </c>
      <c r="B18043" t="s">
        <v>18048</v>
      </c>
      <c r="C18043">
        <f>HYPERLINK("C:\Users\franc\OneDrive\Documentos\MALENTIN KARIME\BANCO ESTADO\2012 DEPTO ESCRITURAS fata\Dc Simples\2012 DEPTO ESCRITURAS\cvta protocolizadas\JOSE ARAYA RAMIREZ a ROSA MUÑOZ ARAYA (Ovalle).doc", "Abrir Documento")</f>
        <v>0</v>
      </c>
      <c r="D18043" t="s">
        <v>23500</v>
      </c>
      <c r="E18043" t="s">
        <v>40518</v>
      </c>
    </row>
    <row r="18044" spans="1:5">
      <c r="A18044" t="s">
        <v>6</v>
      </c>
      <c r="B18044" t="s">
        <v>18049</v>
      </c>
      <c r="C18044">
        <f>HYPERLINK("C:\Users\franc\OneDrive\Documentos\MALENTIN KARIME\BANCO ESTADO\2012 DEPTO ESCRITURAS fata\Dc Simples\2012 DEPTO ESCRITURAS\cvta protocolizadas\JOHANA FLORS.doc", "Abrir Documento")</f>
        <v>0</v>
      </c>
      <c r="D18044" t="s">
        <v>23500</v>
      </c>
      <c r="E18044" t="s">
        <v>40519</v>
      </c>
    </row>
    <row r="18045" spans="1:5">
      <c r="A18045" t="s">
        <v>6</v>
      </c>
      <c r="B18045" t="s">
        <v>18050</v>
      </c>
      <c r="C18045">
        <f>HYPERLINK("C:\Users\franc\OneDrive\Documentos\MALENTIN KARIME\BANCO ESTADO\2012 DEPTO ESCRITURAS fata\Dc Simples\2012 DEPTO ESCRITURAS\cvta protocolizadas\JESSICA JOPIA VALDES.doc", "Abrir Documento")</f>
        <v>0</v>
      </c>
      <c r="D18045" t="s">
        <v>23500</v>
      </c>
      <c r="E18045" t="s">
        <v>40520</v>
      </c>
    </row>
    <row r="18046" spans="1:5">
      <c r="A18046" t="s">
        <v>6</v>
      </c>
      <c r="B18046" t="s">
        <v>18051</v>
      </c>
      <c r="C18046">
        <f>HYPERLINK("C:\Users\franc\OneDrive\Documentos\MALENTIN KARIME\BANCO ESTADO\2012 DEPTO ESCRITURAS fata\Dc Simples\2012 DEPTO ESCRITURAS\cvta protocolizadas\JESSICA AROSTICA Rodrigo.doc", "Abrir Documento")</f>
        <v>0</v>
      </c>
      <c r="D18046" t="s">
        <v>23500</v>
      </c>
      <c r="E18046" t="s">
        <v>40521</v>
      </c>
    </row>
    <row r="18047" spans="1:5">
      <c r="A18047" t="s">
        <v>6</v>
      </c>
      <c r="B18047" t="s">
        <v>18052</v>
      </c>
      <c r="C18047">
        <f>HYPERLINK("C:\Users\franc\OneDrive\Documentos\MALENTIN KARIME\BANCO ESTADO\2012 DEPTO ESCRITURAS fata\Dc Simples\2012 DEPTO ESCRITURAS\cvta protocolizadas\JENNY VEGA OSSANDON a NISSEN SANCHEZ SANCHEZ (Agosto).doc", "Abrir Documento")</f>
        <v>0</v>
      </c>
      <c r="D18047" t="s">
        <v>23500</v>
      </c>
      <c r="E18047" t="s">
        <v>40522</v>
      </c>
    </row>
    <row r="18048" spans="1:5">
      <c r="A18048" t="s">
        <v>6</v>
      </c>
      <c r="B18048" t="s">
        <v>18053</v>
      </c>
      <c r="C18048">
        <f>HYPERLINK("C:\Users\franc\OneDrive\Documentos\MALENTIN KARIME\BANCO ESTADO\2012 DEPTO ESCRITURAS fata\Dc Simples\2012 DEPTO ESCRITURAS\cvta protocolizadas\JEIMY TERESA PONCE CONTRERAS poder extr.doc", "Abrir Documento")</f>
        <v>0</v>
      </c>
      <c r="D18048" t="s">
        <v>23500</v>
      </c>
      <c r="E18048" t="s">
        <v>40523</v>
      </c>
    </row>
    <row r="18049" spans="1:5">
      <c r="A18049" t="s">
        <v>6</v>
      </c>
      <c r="B18049" t="s">
        <v>18054</v>
      </c>
      <c r="C18049">
        <f>HYPERLINK("C:\Users\franc\OneDrive\Documentos\MALENTIN KARIME\BANCO ESTADO\2012 DEPTO ESCRITURAS fata\Dc Simples\2012 DEPTO ESCRITURAS\cvta protocolizadas\JEIMY PONCE.doc", "Abrir Documento")</f>
        <v>0</v>
      </c>
      <c r="D18049" t="s">
        <v>23500</v>
      </c>
      <c r="E18049" t="s">
        <v>40524</v>
      </c>
    </row>
    <row r="18050" spans="1:5">
      <c r="A18050" t="s">
        <v>6</v>
      </c>
      <c r="B18050" t="s">
        <v>18055</v>
      </c>
      <c r="C18050">
        <f>HYPERLINK("C:\Users\franc\OneDrive\Documentos\MALENTIN KARIME\BANCO ESTADO\2012 DEPTO ESCRITURAS fata\Dc Simples\2012 DEPTO ESCRITURAS\cvta protocolizadas\JACQUELINE JOFRE GONZALEZ a CLAUDIO CASANGA ARAYA (Ovalle).doc", "Abrir Documento")</f>
        <v>0</v>
      </c>
      <c r="D18050" t="s">
        <v>23500</v>
      </c>
      <c r="E18050" t="s">
        <v>40525</v>
      </c>
    </row>
    <row r="18051" spans="1:5">
      <c r="A18051" t="s">
        <v>6</v>
      </c>
      <c r="B18051" t="s">
        <v>18056</v>
      </c>
      <c r="C18051">
        <f>HYPERLINK("C:\Users\franc\OneDrive\Documentos\MALENTIN KARIME\BANCO ESTADO\2012 DEPTO ESCRITURAS fata\Dc Simples\2012 DEPTO ESCRITURAS\cvta protocolizadas\IDOLIA TAPIA VALDIVIA a JESSICA AROSTICA VEGA (Agosto).doc", "Abrir Documento")</f>
        <v>0</v>
      </c>
      <c r="D18051" t="s">
        <v>23500</v>
      </c>
      <c r="E18051" t="s">
        <v>40526</v>
      </c>
    </row>
    <row r="18052" spans="1:5">
      <c r="A18052" t="s">
        <v>6</v>
      </c>
      <c r="B18052" t="s">
        <v>18057</v>
      </c>
      <c r="C18052">
        <f>HYPERLINK("C:\Users\franc\OneDrive\Documentos\MALENTIN KARIME\BANCO ESTADO\2012 DEPTO ESCRITURAS fata\Dc Simples\2012 DEPTO ESCRITURAS\cvta protocolizadas\HERNAN ANTONIO ALFARO HIDALGO a JEIMY TERESA PONCE CONTRERAS (Ovalle).doc", "Abrir Documento")</f>
        <v>0</v>
      </c>
      <c r="D18052" t="s">
        <v>23500</v>
      </c>
      <c r="E18052" t="s">
        <v>40527</v>
      </c>
    </row>
    <row r="18053" spans="1:5">
      <c r="A18053" t="s">
        <v>6</v>
      </c>
      <c r="B18053" t="s">
        <v>18058</v>
      </c>
      <c r="C18053">
        <f>HYPERLINK("C:\Users\franc\OneDrive\Documentos\MALENTIN KARIME\BANCO ESTADO\2012 DEPTO ESCRITURAS fata\Dc Simples\2012 DEPTO ESCRITURAS\cvta protocolizadas\GLORIA B LANCO.doc", "Abrir Documento")</f>
        <v>0</v>
      </c>
      <c r="D18053" t="s">
        <v>23500</v>
      </c>
      <c r="E18053" t="s">
        <v>40528</v>
      </c>
    </row>
    <row r="18054" spans="1:5">
      <c r="A18054" t="s">
        <v>6</v>
      </c>
      <c r="B18054" t="s">
        <v>18059</v>
      </c>
      <c r="C18054">
        <f>HYPERLINK("C:\Users\franc\OneDrive\Documentos\MALENTIN KARIME\BANCO ESTADO\2012 DEPTO ESCRITURAS fata\Dc Simples\2012 DEPTO ESCRITURAS\cvta protocolizadas\FRESIA ARAYA RAMOS A MARIA TAPIA (Ovalle).doc", "Abrir Documento")</f>
        <v>0</v>
      </c>
      <c r="D18054" t="s">
        <v>23500</v>
      </c>
      <c r="E18054" t="s">
        <v>40529</v>
      </c>
    </row>
    <row r="18055" spans="1:5">
      <c r="A18055" t="s">
        <v>6</v>
      </c>
      <c r="B18055" t="s">
        <v>18060</v>
      </c>
      <c r="C18055">
        <f>HYPERLINK("C:\Users\franc\OneDrive\Documentos\MALENTIN KARIME\BANCO ESTADO\2012 DEPTO ESCRITURAS fata\Dc Simples\2012 DEPTO ESCRITURAS\cvta protocolizadas\FRANCIS HORMAZABAL.doc", "Abrir Documento")</f>
        <v>0</v>
      </c>
      <c r="D18055" t="s">
        <v>23500</v>
      </c>
      <c r="E18055" t="s">
        <v>40530</v>
      </c>
    </row>
    <row r="18056" spans="1:5">
      <c r="A18056" t="s">
        <v>6</v>
      </c>
      <c r="B18056" t="s">
        <v>18061</v>
      </c>
      <c r="C18056">
        <f>HYPERLINK("C:\Users\franc\OneDrive\Documentos\MALENTIN KARIME\BANCO ESTADO\2012 DEPTO ESCRITURAS fata\Dc Simples\2012 DEPTO ESCRITURAS\cvta protocolizadas\firma.doc", "Abrir Documento")</f>
        <v>0</v>
      </c>
      <c r="D18056" t="s">
        <v>23500</v>
      </c>
      <c r="E18056" t="s">
        <v>40531</v>
      </c>
    </row>
    <row r="18057" spans="1:5">
      <c r="A18057" t="s">
        <v>6</v>
      </c>
      <c r="B18057" t="s">
        <v>18062</v>
      </c>
      <c r="C18057">
        <f>HYPERLINK("C:\Users\franc\OneDrive\Documentos\MALENTIN KARIME\BANCO ESTADO\2012 DEPTO ESCRITURAS fata\Dc Simples\2012 DEPTO ESCRITURAS\cvta protocolizadas\FERNANDO VEGA VIGORENA a CLAUDIA MALUENDA CARVAJAL (Ovalle) ART.150.doc", "Abrir Documento")</f>
        <v>0</v>
      </c>
      <c r="D18057" t="s">
        <v>23500</v>
      </c>
      <c r="E18057" t="s">
        <v>40532</v>
      </c>
    </row>
    <row r="18058" spans="1:5">
      <c r="A18058" t="s">
        <v>6</v>
      </c>
      <c r="B18058" t="s">
        <v>18063</v>
      </c>
      <c r="C18058">
        <f>HYPERLINK("C:\Users\franc\OneDrive\Documentos\MALENTIN KARIME\BANCO ESTADO\2012 DEPTO ESCRITURAS fata\Dc Simples\2012 DEPTO ESCRITURAS\cvta protocolizadas\EVELYN VEGA GONZÁLEZ.doc", "Abrir Documento")</f>
        <v>0</v>
      </c>
      <c r="D18058" t="s">
        <v>23500</v>
      </c>
      <c r="E18058" t="s">
        <v>40533</v>
      </c>
    </row>
    <row r="18059" spans="1:5">
      <c r="A18059" t="s">
        <v>6</v>
      </c>
      <c r="B18059" t="s">
        <v>18064</v>
      </c>
      <c r="C18059">
        <f>HYPERLINK("C:\Users\franc\OneDrive\Documentos\MALENTIN KARIME\BANCO ESTADO\2012 DEPTO ESCRITURAS fata\Dc Simples\2012 DEPTO ESCRITURAS\cvta protocolizadas\ESTER SEGOVIA ORTIZ a MARIA JOFRE ARIAS (OVALLE-separada 150).doc", "Abrir Documento")</f>
        <v>0</v>
      </c>
      <c r="D18059" t="s">
        <v>23500</v>
      </c>
      <c r="E18059" t="s">
        <v>40534</v>
      </c>
    </row>
    <row r="18060" spans="1:5">
      <c r="A18060" t="s">
        <v>6</v>
      </c>
      <c r="B18060" t="s">
        <v>18065</v>
      </c>
      <c r="C18060">
        <f>HYPERLINK("C:\Users\franc\OneDrive\Documentos\MALENTIN KARIME\BANCO ESTADO\2012 DEPTO ESCRITURAS fata\Dc Simples\2012 DEPTO ESCRITURAS\cvta protocolizadas\ESTER LOPEZ GONZALEZ.doc", "Abrir Documento")</f>
        <v>0</v>
      </c>
      <c r="D18060" t="s">
        <v>23500</v>
      </c>
      <c r="E18060" t="s">
        <v>40535</v>
      </c>
    </row>
    <row r="18061" spans="1:5">
      <c r="A18061" t="s">
        <v>6</v>
      </c>
      <c r="B18061" t="s">
        <v>18066</v>
      </c>
      <c r="C18061">
        <f>HYPERLINK("C:\Users\franc\OneDrive\Documentos\MALENTIN KARIME\BANCO ESTADO\2012 DEPTO ESCRITURAS fata\Dc Simples\2012 DEPTO ESCRITURAS\cvta protocolizadas\ELIZABETH TAPIA SARRIA a PAOLA VICUÑA CORTES (OVALLE- autorizacion cónyuge).doc", "Abrir Documento")</f>
        <v>0</v>
      </c>
      <c r="D18061" t="s">
        <v>23500</v>
      </c>
      <c r="E18061" t="s">
        <v>40536</v>
      </c>
    </row>
    <row r="18062" spans="1:5">
      <c r="A18062" t="s">
        <v>6</v>
      </c>
      <c r="B18062" t="s">
        <v>18067</v>
      </c>
      <c r="C18062">
        <f>HYPERLINK("C:\Users\franc\OneDrive\Documentos\MALENTIN KARIME\BANCO ESTADO\2012 DEPTO ESCRITURAS fata\Dc Simples\2012 DEPTO ESCRITURAS\cvta protocolizadas\DANIEL ALFONSO CORTES PEREZ a YARITZA BARRIENTOS DINAMARCA (OVALLE-divorciado).doc", "Abrir Documento")</f>
        <v>0</v>
      </c>
      <c r="D18062" t="s">
        <v>23500</v>
      </c>
      <c r="E18062" t="s">
        <v>40537</v>
      </c>
    </row>
    <row r="18063" spans="1:5">
      <c r="A18063" t="s">
        <v>6</v>
      </c>
      <c r="B18063" t="s">
        <v>18068</v>
      </c>
      <c r="C18063">
        <f>HYPERLINK("C:\Users\franc\OneDrive\Documentos\MALENTIN KARIME\BANCO ESTADO\2012 DEPTO ESCRITURAS fata\Dc Simples\2012 DEPTO ESCRITURAS\cvta protocolizadas\CRISTIAN MICHEA CASTRO a YENNY ORREGO CASTILLO (COQUIMBO-CASADO).doc", "Abrir Documento")</f>
        <v>0</v>
      </c>
      <c r="D18063" t="s">
        <v>23500</v>
      </c>
      <c r="E18063" t="s">
        <v>40538</v>
      </c>
    </row>
    <row r="18064" spans="1:5">
      <c r="A18064" t="s">
        <v>6</v>
      </c>
      <c r="B18064" t="s">
        <v>18069</v>
      </c>
      <c r="C18064">
        <f>HYPERLINK("C:\Users\franc\OneDrive\Documentos\MALENTIN KARIME\BANCO ESTADO\2012 DEPTO ESCRITURAS fata\Dc Simples\2012 DEPTO ESCRITURAS\cvta protocolizadas\COMPRAVENTA PAOLA VEGA DS Nº1 SUBSIDIO sergio galleguillos.doc", "Abrir Documento")</f>
        <v>0</v>
      </c>
      <c r="D18064" t="s">
        <v>23500</v>
      </c>
      <c r="E18064" t="s">
        <v>40539</v>
      </c>
    </row>
    <row r="18065" spans="1:5">
      <c r="A18065" t="s">
        <v>6</v>
      </c>
      <c r="B18065" t="s">
        <v>18070</v>
      </c>
      <c r="C18065">
        <f>HYPERLINK("C:\Users\franc\OneDrive\Documentos\MALENTIN KARIME\BANCO ESTADO\2012 DEPTO ESCRITURAS fata\Dc Simples\2012 DEPTO ESCRITURAS\cvta protocolizadas\CLAUDIO CASANGA ARAYA.doc", "Abrir Documento")</f>
        <v>0</v>
      </c>
      <c r="D18065" t="s">
        <v>23500</v>
      </c>
      <c r="E18065" t="s">
        <v>40540</v>
      </c>
    </row>
    <row r="18066" spans="1:5">
      <c r="A18066" t="s">
        <v>6</v>
      </c>
      <c r="B18066" t="s">
        <v>18071</v>
      </c>
      <c r="C18066">
        <f>HYPERLINK("C:\Users\franc\OneDrive\Documentos\MALENTIN KARIME\BANCO ESTADO\2012 DEPTO ESCRITURAS fata\Dc Simples\2012 DEPTO ESCRITURAS\cvta protocolizadas\CLAUDIA MALUENDA.doc", "Abrir Documento")</f>
        <v>0</v>
      </c>
      <c r="D18066" t="s">
        <v>23500</v>
      </c>
      <c r="E18066" t="s">
        <v>40541</v>
      </c>
    </row>
    <row r="18067" spans="1:5">
      <c r="A18067" t="s">
        <v>6</v>
      </c>
      <c r="B18067" t="s">
        <v>18072</v>
      </c>
      <c r="C18067">
        <f>HYPERLINK("C:\Users\franc\OneDrive\Documentos\MALENTIN KARIME\BANCO ESTADO\2012 DEPTO ESCRITURAS fata\Dc Simples\2012 DEPTO ESCRITURAS\cvta protocolizadas\CHRISTIAN ROBLES ARAYA a JOHANA FLORES ROBLES (Ovalle).doc", "Abrir Documento")</f>
        <v>0</v>
      </c>
      <c r="D18067" t="s">
        <v>23500</v>
      </c>
      <c r="E18067" t="s">
        <v>40542</v>
      </c>
    </row>
    <row r="18068" spans="1:5">
      <c r="A18068" t="s">
        <v>6</v>
      </c>
      <c r="B18068" t="s">
        <v>18073</v>
      </c>
      <c r="C18068">
        <f>HYPERLINK("C:\Users\franc\OneDrive\Documentos\MALENTIN KARIME\BANCO ESTADO\2012 DEPTO ESCRITURAS fata\Dc Simples\2012 DEPTO ESCRITURAS\cvta protocolizadas\CECILIA ALBURQUENQUE ARAYA a LUIS MIRANDA VEGA Abril 13.doc", "Abrir Documento")</f>
        <v>0</v>
      </c>
      <c r="D18068" t="s">
        <v>23500</v>
      </c>
      <c r="E18068" t="s">
        <v>40543</v>
      </c>
    </row>
    <row r="18069" spans="1:5">
      <c r="A18069" t="s">
        <v>6</v>
      </c>
      <c r="B18069" t="s">
        <v>18074</v>
      </c>
      <c r="C18069">
        <f>HYPERLINK("C:\Users\franc\OneDrive\Documentos\MALENTIN KARIME\BANCO ESTADO\2012 DEPTO ESCRITURAS fata\Dc Simples\2012 DEPTO ESCRITURAS\cvta protocolizadas\BRAULIO JUICA ESTAY.doc", "Abrir Documento")</f>
        <v>0</v>
      </c>
      <c r="D18069" t="s">
        <v>23500</v>
      </c>
      <c r="E18069" t="s">
        <v>40544</v>
      </c>
    </row>
    <row r="18070" spans="1:5">
      <c r="A18070" t="s">
        <v>6</v>
      </c>
      <c r="B18070" t="s">
        <v>18075</v>
      </c>
      <c r="C18070">
        <f>HYPERLINK("C:\Users\franc\OneDrive\Documentos\MALENTIN KARIME\BANCO ESTADO\2012 DEPTO ESCRITURAS fata\Dc Simples\2012 DEPTO ESCRITURAS\cvta protocolizadas\Aut. firmas.doc", "Abrir Documento")</f>
        <v>0</v>
      </c>
      <c r="D18070" t="s">
        <v>23500</v>
      </c>
      <c r="E18070" t="s">
        <v>40545</v>
      </c>
    </row>
    <row r="18071" spans="1:5">
      <c r="A18071" t="s">
        <v>6</v>
      </c>
      <c r="B18071" t="s">
        <v>18076</v>
      </c>
      <c r="C18071">
        <f>HYPERLINK("C:\Users\franc\OneDrive\Documentos\MALENTIN KARIME\BANCO ESTADO\2012 DEPTO ESCRITURAS fata\Dc Simples\2012 DEPTO ESCRITURAS\cvta protocolizadas\ANGELICA MUNDACA JOFRE.doc", "Abrir Documento")</f>
        <v>0</v>
      </c>
      <c r="D18071" t="s">
        <v>23500</v>
      </c>
      <c r="E18071" t="s">
        <v>40546</v>
      </c>
    </row>
    <row r="18072" spans="1:5">
      <c r="A18072" t="s">
        <v>6</v>
      </c>
      <c r="B18072" t="s">
        <v>18077</v>
      </c>
      <c r="C18072">
        <f>HYPERLINK("C:\Users\franc\OneDrive\Documentos\MALENTIN KARIME\BANCO ESTADO\2012 DEPTO ESCRITURAS fata\Dc Simples\2012 DEPTO ESCRITURAS\cvta protocolizadas\ANA MARIA OLIVARES TICUNA.doc", "Abrir Documento")</f>
        <v>0</v>
      </c>
      <c r="D18072" t="s">
        <v>23500</v>
      </c>
      <c r="E18072" t="s">
        <v>40547</v>
      </c>
    </row>
    <row r="18073" spans="1:5">
      <c r="A18073" t="s">
        <v>6</v>
      </c>
      <c r="B18073" t="s">
        <v>18078</v>
      </c>
      <c r="C18073">
        <f>HYPERLINK("C:\Users\franc\OneDrive\Documentos\MALENTIN KARIME\BANCO ESTADO\2012 DEPTO ESCRITURAS fata\Dc Simples\2012 DEPTO ESCRITURAS\cvta protocolizadas\ALEX ASTORGA VALENZUELA a FRANCIS LORENA HORMAZABAL CIFUENTES (Ovalle).doc", "Abrir Documento")</f>
        <v>0</v>
      </c>
      <c r="D18073" t="s">
        <v>23500</v>
      </c>
      <c r="E18073" t="s">
        <v>40548</v>
      </c>
    </row>
    <row r="18074" spans="1:5">
      <c r="A18074" t="s">
        <v>6</v>
      </c>
      <c r="B18074" t="s">
        <v>18079</v>
      </c>
      <c r="C18074">
        <f>HYPERLINK("C:\Users\franc\OneDrive\Documentos\MALENTIN KARIME\BANCO ESTADO\2012 DEPTO ESCRITURAS fata\Dc Simples\2012 DEPTO ESCRITURAS\cvta protocolizadas\ALEJANDRINA ANDRADE.doc", "Abrir Documento")</f>
        <v>0</v>
      </c>
      <c r="D18074" t="s">
        <v>23500</v>
      </c>
      <c r="E18074" t="s">
        <v>40549</v>
      </c>
    </row>
    <row r="18075" spans="1:5">
      <c r="A18075" t="s">
        <v>6</v>
      </c>
      <c r="B18075" t="s">
        <v>18080</v>
      </c>
      <c r="C18075">
        <f>HYPERLINK("C:\Users\franc\OneDrive\Documentos\MALENTIN KARIME\BANCO ESTADO\2012 DEPTO ESCRITURAS fata\Dc Simples\2012 DEPTO ESCRITURAS\COOPEUCH\RODRIGO ARAYA TABILO.doc", "Abrir Documento")</f>
        <v>0</v>
      </c>
      <c r="D18075" t="s">
        <v>23500</v>
      </c>
      <c r="E18075" t="s">
        <v>40550</v>
      </c>
    </row>
    <row r="18076" spans="1:5">
      <c r="A18076" t="s">
        <v>6</v>
      </c>
      <c r="B18076" t="s">
        <v>18081</v>
      </c>
      <c r="C18076">
        <f>HYPERLINK("C:\Users\franc\OneDrive\Documentos\MALENTIN KARIME\BANCO ESTADO\2012 DEPTO ESCRITURAS fata\Dc Simples\2012 DEPTO ESCRITURAS\COOPEUCH\RODRIGO ARAYA TABILO definitiva.doc", "Abrir Documento")</f>
        <v>0</v>
      </c>
      <c r="D18076" t="s">
        <v>23500</v>
      </c>
      <c r="E18076" t="s">
        <v>40551</v>
      </c>
    </row>
    <row r="18077" spans="1:5">
      <c r="A18077" t="s">
        <v>6</v>
      </c>
      <c r="B18077" t="s">
        <v>18082</v>
      </c>
      <c r="C18077">
        <f>HYPERLINK("C:\Users\franc\OneDrive\Documentos\MALENTIN KARIME\BANCO ESTADO\2012 DEPTO ESCRITURAS fata\Dc Simples\2012 DEPTO ESCRITURAS\COOPEUCH\RODRIGO ARAYA TABILO definitiva CON CORRECCIONES.doc", "Abrir Documento")</f>
        <v>0</v>
      </c>
      <c r="D18077" t="s">
        <v>23500</v>
      </c>
      <c r="E18077" t="s">
        <v>40552</v>
      </c>
    </row>
    <row r="18078" spans="1:5">
      <c r="A18078" t="s">
        <v>6</v>
      </c>
      <c r="B18078" t="s">
        <v>18083</v>
      </c>
      <c r="C18078">
        <f>HYPERLINK("C:\Users\franc\OneDrive\Documentos\MALENTIN KARIME\BANCO ESTADO\2012 DEPTO ESCRITURAS fata\Dc Simples\2012 DEPTO ESCRITURAS\COOPEUCH\RODRIGO ANDRES ARAYA TABILO.doc", "Abrir Documento")</f>
        <v>0</v>
      </c>
      <c r="D18078" t="s">
        <v>23500</v>
      </c>
      <c r="E18078" t="s">
        <v>40553</v>
      </c>
    </row>
    <row r="18079" spans="1:5">
      <c r="A18079" t="s">
        <v>6</v>
      </c>
      <c r="B18079" t="s">
        <v>18084</v>
      </c>
      <c r="C18079">
        <f>HYPERLINK("C:\Users\franc\OneDrive\Documentos\MALENTIN KARIME\BANCO ESTADO\2012 DEPTO ESCRITURAS fata\Dc Simples\2012 DEPTO ESCRITURAS\COOPEUCH\PAOLA HORMAZABAL a ANA PIZARRO GOMEZ.doc", "Abrir Documento")</f>
        <v>0</v>
      </c>
      <c r="D18079" t="s">
        <v>23500</v>
      </c>
      <c r="E18079" t="s">
        <v>40554</v>
      </c>
    </row>
    <row r="18080" spans="1:5">
      <c r="A18080" t="s">
        <v>6</v>
      </c>
      <c r="B18080" t="s">
        <v>18085</v>
      </c>
      <c r="C18080">
        <f>HYPERLINK("C:\Users\franc\OneDrive\Documentos\MALENTIN KARIME\BANCO ESTADO\2012 DEPTO ESCRITURAS fata\Dc Simples\2012 DEPTO ESCRITURAS\COOPEUCH\PAOLA HORMAZABAL a ANA PIZARRO GOMEZ visto bueno.doc", "Abrir Documento")</f>
        <v>0</v>
      </c>
      <c r="D18080" t="s">
        <v>23500</v>
      </c>
      <c r="E18080" t="s">
        <v>40555</v>
      </c>
    </row>
    <row r="18081" spans="1:5">
      <c r="A18081" t="s">
        <v>6</v>
      </c>
      <c r="B18081" t="s">
        <v>18086</v>
      </c>
      <c r="C18081">
        <f>HYPERLINK("C:\Users\franc\OneDrive\Documentos\MALENTIN KARIME\BANCO ESTADO\2012 DEPTO ESCRITURAS fata\Dc Simples\2012 DEPTO ESCRITURAS\COOPEUCH\MIRIAN VIDAL ZEPEDA Dic 13.doc", "Abrir Documento")</f>
        <v>0</v>
      </c>
      <c r="D18081" t="s">
        <v>23500</v>
      </c>
      <c r="E18081" t="s">
        <v>40556</v>
      </c>
    </row>
    <row r="18082" spans="1:5">
      <c r="A18082" t="s">
        <v>6</v>
      </c>
      <c r="B18082" t="s">
        <v>18087</v>
      </c>
      <c r="C18082">
        <f>HYPERLINK("C:\Users\franc\OneDrive\Documentos\MALENTIN KARIME\BANCO ESTADO\2012 DEPTO ESCRITURAS fata\Dc Simples\2012 DEPTO ESCRITURAS\COOPEUCH\MIRIAN VIDAL ZEPEDA Dic 13 visto bueno.doc", "Abrir Documento")</f>
        <v>0</v>
      </c>
      <c r="D18082" t="s">
        <v>23500</v>
      </c>
      <c r="E18082" t="s">
        <v>40557</v>
      </c>
    </row>
    <row r="18083" spans="1:5">
      <c r="A18083" t="s">
        <v>6</v>
      </c>
      <c r="B18083" t="s">
        <v>18088</v>
      </c>
      <c r="C18083">
        <f>HYPERLINK("C:\Users\franc\OneDrive\Documentos\MALENTIN KARIME\BANCO ESTADO\2012 DEPTO ESCRITURAS fata\Dc Simples\2012 DEPTO ESCRITURAS\COOPEUCH\MARITZA FLORES NAVARRO Febr 2013.doc", "Abrir Documento")</f>
        <v>0</v>
      </c>
      <c r="D18083" t="s">
        <v>23500</v>
      </c>
      <c r="E18083" t="s">
        <v>40558</v>
      </c>
    </row>
    <row r="18084" spans="1:5">
      <c r="A18084" t="s">
        <v>6</v>
      </c>
      <c r="B18084" t="s">
        <v>18089</v>
      </c>
      <c r="C18084">
        <f>HYPERLINK("C:\Users\franc\OneDrive\Documentos\MALENTIN KARIME\BANCO ESTADO\2012 DEPTO ESCRITURAS fata\Dc Simples\2012 DEPTO ESCRITURAS\COOPEUCH\MARITZA FLORES NAVARRO Febr 2013 VISTO BUENO.doc", "Abrir Documento")</f>
        <v>0</v>
      </c>
      <c r="D18084" t="s">
        <v>23500</v>
      </c>
      <c r="E18084" t="s">
        <v>40559</v>
      </c>
    </row>
    <row r="18085" spans="1:5">
      <c r="A18085" t="s">
        <v>6</v>
      </c>
      <c r="B18085" t="s">
        <v>18090</v>
      </c>
      <c r="C18085">
        <f>HYPERLINK("C:\Users\franc\OneDrive\Documentos\MALENTIN KARIME\BANCO ESTADO\2012 DEPTO ESCRITURAS fata\Dc Simples\2012 DEPTO ESCRITURAS\COOPEUCH\MARCELO HERRERA  Y JUAN AGUILERA SAAVEDRA Dic. 2012.doc", "Abrir Documento")</f>
        <v>0</v>
      </c>
      <c r="D18085" t="s">
        <v>23500</v>
      </c>
      <c r="E18085" t="s">
        <v>40560</v>
      </c>
    </row>
    <row r="18086" spans="1:5">
      <c r="A18086" t="s">
        <v>6</v>
      </c>
      <c r="B18086" t="s">
        <v>18091</v>
      </c>
      <c r="C18086">
        <f>HYPERLINK("C:\Users\franc\OneDrive\Documentos\MALENTIN KARIME\BANCO ESTADO\2012 DEPTO ESCRITURAS fata\Dc Simples\2012 DEPTO ESCRITURAS\COOPEUCH\JUANA MILES GALLARDO Dic..doc", "Abrir Documento")</f>
        <v>0</v>
      </c>
      <c r="D18086" t="s">
        <v>23500</v>
      </c>
      <c r="E18086" t="s">
        <v>40561</v>
      </c>
    </row>
    <row r="18087" spans="1:5">
      <c r="A18087" t="s">
        <v>6</v>
      </c>
      <c r="B18087" t="s">
        <v>18092</v>
      </c>
      <c r="C18087">
        <f>HYPERLINK("C:\Users\franc\OneDrive\Documentos\MALENTIN KARIME\BANCO ESTADO\2012 DEPTO ESCRITURAS fata\Dc Simples\2012 DEPTO ESCRITURAS\COOPEUCH\JOSE VICENCIO RIVERA Revision.doc", "Abrir Documento")</f>
        <v>0</v>
      </c>
      <c r="D18087" t="s">
        <v>23500</v>
      </c>
      <c r="E18087" t="s">
        <v>40562</v>
      </c>
    </row>
    <row r="18088" spans="1:5">
      <c r="A18088" t="s">
        <v>6</v>
      </c>
      <c r="B18088" t="s">
        <v>18093</v>
      </c>
      <c r="C18088">
        <f>HYPERLINK("C:\Users\franc\OneDrive\Documentos\MALENTIN KARIME\BANCO ESTADO\2012 DEPTO ESCRITURAS fata\Dc Simples\2012 DEPTO ESCRITURAS\COOPEUCH\JOSE VICENCIO RIVERA Febrero de 14.doc", "Abrir Documento")</f>
        <v>0</v>
      </c>
      <c r="D18088" t="s">
        <v>23500</v>
      </c>
      <c r="E18088" t="s">
        <v>40563</v>
      </c>
    </row>
    <row r="18089" spans="1:5">
      <c r="A18089" t="s">
        <v>6</v>
      </c>
      <c r="B18089" t="s">
        <v>18094</v>
      </c>
      <c r="C18089">
        <f>HYPERLINK("C:\Users\franc\OneDrive\Documentos\MALENTIN KARIME\BANCO ESTADO\2012 DEPTO ESCRITURAS fata\Dc Simples\2012 DEPTO ESCRITURAS\COOPEUCH\ERNESTO LOPEZ TABILO visto bueno.doc", "Abrir Documento")</f>
        <v>0</v>
      </c>
      <c r="D18089" t="s">
        <v>23500</v>
      </c>
      <c r="E18089" t="s">
        <v>40564</v>
      </c>
    </row>
    <row r="18090" spans="1:5">
      <c r="A18090" t="s">
        <v>6</v>
      </c>
      <c r="B18090" t="s">
        <v>18095</v>
      </c>
      <c r="C18090">
        <f>HYPERLINK("C:\Users\franc\OneDrive\Documentos\MALENTIN KARIME\BANCO ESTADO\2012 DEPTO ESCRITURAS fata\Dc Simples\2012 DEPTO ESCRITURAS\COOPEUCH\ERNESTO LOPEZ TABILO Sept 13.doc", "Abrir Documento")</f>
        <v>0</v>
      </c>
      <c r="D18090" t="s">
        <v>23500</v>
      </c>
      <c r="E18090" t="s">
        <v>40565</v>
      </c>
    </row>
    <row r="18091" spans="1:5">
      <c r="A18091" t="s">
        <v>6</v>
      </c>
      <c r="B18091" t="s">
        <v>18096</v>
      </c>
      <c r="C18091">
        <f>HYPERLINK("C:\Users\franc\OneDrive\Documentos\MALENTIN KARIME\BANCO ESTADO\2012 DEPTO ESCRITURAS fata\Dc Simples\2012 DEPTO ESCRITURAS\COOPEUCH\DOMINGO ROJAS ARAYA Y JUANA MILES GALLARDO Dic..doc", "Abrir Documento")</f>
        <v>0</v>
      </c>
      <c r="D18091" t="s">
        <v>23500</v>
      </c>
      <c r="E18091" t="s">
        <v>40566</v>
      </c>
    </row>
    <row r="18092" spans="1:5">
      <c r="A18092" t="s">
        <v>6</v>
      </c>
      <c r="B18092" t="s">
        <v>18097</v>
      </c>
      <c r="C18092">
        <f>HYPERLINK("C:\Users\franc\OneDrive\Documentos\MALENTIN KARIME\BANCO ESTADO\2012 DEPTO ESCRITURAS fata\Dc Simples\2012 DEPTO ESCRITURAS\COOPEUCH\DOMINGO ROJAS ARAYA Y JUANA MILES GALLARDO  VISTO BUENO.doc", "Abrir Documento")</f>
        <v>0</v>
      </c>
      <c r="D18092" t="s">
        <v>23500</v>
      </c>
      <c r="E18092" t="s">
        <v>40567</v>
      </c>
    </row>
    <row r="18093" spans="1:5">
      <c r="A18093" t="s">
        <v>6</v>
      </c>
      <c r="B18093" t="s">
        <v>18098</v>
      </c>
      <c r="C18093">
        <f>HYPERLINK("C:\Users\franc\OneDrive\Documentos\MALENTIN KARIME\BANCO ESTADO\2012 DEPTO ESCRITURAS fata\Dc Simples\2012 DEPTO ESCRITURAS\COOPEUCH\carta resguardo.doc", "Abrir Documento")</f>
        <v>0</v>
      </c>
      <c r="D18093" t="s">
        <v>23500</v>
      </c>
      <c r="E18093" t="s">
        <v>40568</v>
      </c>
    </row>
    <row r="18094" spans="1:5">
      <c r="A18094" t="s">
        <v>6</v>
      </c>
      <c r="B18094" t="s">
        <v>18099</v>
      </c>
      <c r="C18094">
        <f>HYPERLINK("C:\Users\franc\OneDrive\Documentos\MALENTIN KARIME\BANCO ESTADO\2012 DEPTO ESCRITURAS fata\Dc Simples\2012 DEPTO ESCRITURAS\COOPEUCH\carta resguardo iii.doc", "Abrir Documento")</f>
        <v>0</v>
      </c>
      <c r="D18094" t="s">
        <v>23500</v>
      </c>
      <c r="E18094" t="s">
        <v>40569</v>
      </c>
    </row>
    <row r="18095" spans="1:5">
      <c r="A18095" t="s">
        <v>6</v>
      </c>
      <c r="B18095" t="s">
        <v>18100</v>
      </c>
      <c r="C18095">
        <f>HYPERLINK("C:\Users\franc\OneDrive\Documentos\MALENTIN KARIME\BANCO ESTADO\2012 DEPTO ESCRITURAS fata\Dc Simples\2012 DEPTO ESCRITURAS\COOPEUCH\carta resguardo ii.doc", "Abrir Documento")</f>
        <v>0</v>
      </c>
      <c r="D18095" t="s">
        <v>23500</v>
      </c>
      <c r="E18095" t="s">
        <v>40570</v>
      </c>
    </row>
    <row r="18096" spans="1:5">
      <c r="A18096" t="s">
        <v>6</v>
      </c>
      <c r="B18096" t="s">
        <v>18101</v>
      </c>
      <c r="C18096">
        <f>HYPERLINK("C:\Users\franc\OneDrive\Documentos\MALENTIN KARIME\BANCO ESTADO\2012 DEPTO ESCRITURAS fata\Dc Simples\2012 DEPTO ESCRITURAS\COOPEUCH\CAROLINA VIGORENA Y VICTOR COFRE.doc", "Abrir Documento")</f>
        <v>0</v>
      </c>
      <c r="D18096" t="s">
        <v>23500</v>
      </c>
      <c r="E18096" t="s">
        <v>40571</v>
      </c>
    </row>
    <row r="18097" spans="1:5">
      <c r="A18097" t="s">
        <v>6</v>
      </c>
      <c r="B18097" t="s">
        <v>18102</v>
      </c>
      <c r="C18097">
        <f>HYPERLINK("C:\Users\franc\OneDrive\Documentos\MALENTIN KARIME\BANCO ESTADO\2012 DEPTO ESCRITURAS fata\Dc Simples\2012 DEPTO ESCRITURAS\COOPEUCH\CAROLINA VIGORENA Y VICTOR COFRE II.doc", "Abrir Documento")</f>
        <v>0</v>
      </c>
      <c r="D18097" t="s">
        <v>23500</v>
      </c>
      <c r="E18097" t="s">
        <v>40572</v>
      </c>
    </row>
    <row r="18098" spans="1:5">
      <c r="A18098" t="s">
        <v>6</v>
      </c>
      <c r="B18098" t="s">
        <v>18103</v>
      </c>
      <c r="C18098">
        <f>HYPERLINK("C:\Users\franc\OneDrive\Documentos\MALENTIN KARIME\BANCO ESTADO\2012 DEPTO ESCRITURAS fata\Dc Simples\2012 DEPTO ESCRITURAS\Contrato de UVA\SOCIEDAD AGRICOLA LOS NOGALES Y MAL PASO Contrato uva.doc", "Abrir Documento")</f>
        <v>0</v>
      </c>
      <c r="D18098" t="s">
        <v>23500</v>
      </c>
      <c r="E18098" t="s">
        <v>40573</v>
      </c>
    </row>
    <row r="18099" spans="1:5">
      <c r="A18099" t="s">
        <v>6</v>
      </c>
      <c r="B18099" t="s">
        <v>18104</v>
      </c>
      <c r="C18099">
        <f>HYPERLINK("C:\Users\franc\OneDrive\Documentos\MALENTIN KARIME\BANCO ESTADO\2012 DEPTO ESCRITURAS fata\Dc Simples\2012 DEPTO ESCRITURAS\Contrato de UVA\SERGIO RIVERA  Y AGRICOLA MAL PASO Contrato uva.doc", "Abrir Documento")</f>
        <v>0</v>
      </c>
      <c r="D18099" t="s">
        <v>23500</v>
      </c>
      <c r="E18099" t="s">
        <v>40574</v>
      </c>
    </row>
    <row r="18100" spans="1:5">
      <c r="A18100" t="s">
        <v>6</v>
      </c>
      <c r="B18100" t="s">
        <v>18105</v>
      </c>
      <c r="C18100">
        <f>HYPERLINK("C:\Users\franc\OneDrive\Documentos\MALENTIN KARIME\BANCO ESTADO\2012 DEPTO ESCRITURAS fata\Dc Simples\2012 DEPTO ESCRITURAS\Contrato de UVA\Pagaré Sergio Rivera 2014.doc", "Abrir Documento")</f>
        <v>0</v>
      </c>
      <c r="D18100" t="s">
        <v>23500</v>
      </c>
      <c r="E18100" t="s">
        <v>40575</v>
      </c>
    </row>
    <row r="18101" spans="1:5">
      <c r="A18101" t="s">
        <v>6</v>
      </c>
      <c r="B18101" t="s">
        <v>18106</v>
      </c>
      <c r="C18101">
        <f>HYPERLINK("C:\Users\franc\OneDrive\Documentos\MALENTIN KARIME\BANCO ESTADO\2012 DEPTO ESCRITURAS fata\Dc Simples\2012 DEPTO ESCRITURAS\Contrato de UVA\Exportadora SENEL A Hacienda MAL PASO.doc", "Abrir Documento")</f>
        <v>0</v>
      </c>
      <c r="D18101" t="s">
        <v>23500</v>
      </c>
      <c r="E18101" t="s">
        <v>40576</v>
      </c>
    </row>
    <row r="18102" spans="1:5">
      <c r="A18102" t="s">
        <v>6</v>
      </c>
      <c r="B18102" t="s">
        <v>18107</v>
      </c>
      <c r="C18102">
        <f>HYPERLINK("C:\Users\franc\OneDrive\Documentos\MALENTIN KARIME\BANCO ESTADO\2012 DEPTO ESCRITURAS fata\Dc Simples\2012 DEPTO ESCRITURAS\COMPLEMETA\VICTOR ARAYA SILVA Compl. Proh. Legal.doc", "Abrir Documento")</f>
        <v>0</v>
      </c>
      <c r="D18102" t="s">
        <v>23500</v>
      </c>
      <c r="E18102" t="s">
        <v>40577</v>
      </c>
    </row>
    <row r="18103" spans="1:5">
      <c r="A18103" t="s">
        <v>6</v>
      </c>
      <c r="B18103" t="s">
        <v>18108</v>
      </c>
      <c r="C18103">
        <f>HYPERLINK("C:\Users\franc\OneDrive\Documentos\MALENTIN KARIME\BANCO ESTADO\2012 DEPTO ESCRITURAS fata\Dc Simples\2012 DEPTO ESCRITURAS\COMPLEMETA\VALENTIN CONTRERAS A GABRIEL VELIZ.doc", "Abrir Documento")</f>
        <v>0</v>
      </c>
      <c r="D18103" t="s">
        <v>23500</v>
      </c>
      <c r="E18103" t="s">
        <v>40578</v>
      </c>
    </row>
    <row r="18104" spans="1:5">
      <c r="A18104" t="s">
        <v>6</v>
      </c>
      <c r="B18104" t="s">
        <v>18109</v>
      </c>
      <c r="C18104">
        <f>HYPERLINK("C:\Users\franc\OneDrive\Documentos\MALENTIN KARIME\BANCO ESTADO\2012 DEPTO ESCRITURAS fata\Dc Simples\2012 DEPTO ESCRITURAS\COMPLEMETA\SOFIA OLIVARES Abogado.doc", "Abrir Documento")</f>
        <v>0</v>
      </c>
      <c r="D18104" t="s">
        <v>23500</v>
      </c>
      <c r="E18104" t="s">
        <v>40579</v>
      </c>
    </row>
    <row r="18105" spans="1:5">
      <c r="A18105" t="s">
        <v>6</v>
      </c>
      <c r="B18105" t="s">
        <v>18110</v>
      </c>
      <c r="C18105">
        <f>HYPERLINK("C:\Users\franc\OneDrive\Documentos\MALENTIN KARIME\BANCO ESTADO\2012 DEPTO ESCRITURAS fata\Dc Simples\2012 DEPTO ESCRITURAS\COMPLEMETA\OSCAR ANGEL GONZALEZ Compl. Proh. Legal.doc", "Abrir Documento")</f>
        <v>0</v>
      </c>
      <c r="D18105" t="s">
        <v>23500</v>
      </c>
      <c r="E18105" t="s">
        <v>40580</v>
      </c>
    </row>
    <row r="18106" spans="1:5">
      <c r="A18106" t="s">
        <v>6</v>
      </c>
      <c r="B18106" t="s">
        <v>18111</v>
      </c>
      <c r="C18106">
        <f>HYPERLINK("C:\Users\franc\OneDrive\Documentos\MALENTIN KARIME\BANCO ESTADO\2012 DEPTO ESCRITURAS fata\Dc Simples\2012 DEPTO ESCRITURAS\COMPLEMETA\LUIS GALLARDO OSORIO.doc", "Abrir Documento")</f>
        <v>0</v>
      </c>
      <c r="D18106" t="s">
        <v>23500</v>
      </c>
      <c r="E18106" t="s">
        <v>40581</v>
      </c>
    </row>
    <row r="18107" spans="1:5">
      <c r="A18107" t="s">
        <v>6</v>
      </c>
      <c r="B18107" t="s">
        <v>18112</v>
      </c>
      <c r="C18107">
        <f>HYPERLINK("C:\Users\franc\OneDrive\Documentos\MALENTIN KARIME\BANCO ESTADO\2012 DEPTO ESCRITURAS fata\Dc Simples\2012 DEPTO ESCRITURAS\COMPLEMETA\DILIA CARVAJAL OLIVARES Complementacion Promesa.doc", "Abrir Documento")</f>
        <v>0</v>
      </c>
      <c r="D18107" t="s">
        <v>23500</v>
      </c>
      <c r="E18107" t="s">
        <v>40582</v>
      </c>
    </row>
    <row r="18108" spans="1:5">
      <c r="A18108" t="s">
        <v>6</v>
      </c>
      <c r="B18108" t="s">
        <v>18113</v>
      </c>
      <c r="C18108">
        <f>HYPERLINK("C:\Users\franc\OneDrive\Documentos\MALENTIN KARIME\BANCO ESTADO\2012 DEPTO ESCRITURAS fata\Dc Simples\2012 DEPTO ESCRITURAS\COMPLEMETA\CHRISTIAN CLAVERIA Y JUAN GODOY Soledad Farr.doc", "Abrir Documento")</f>
        <v>0</v>
      </c>
      <c r="D18108" t="s">
        <v>23500</v>
      </c>
      <c r="E18108" t="s">
        <v>40583</v>
      </c>
    </row>
    <row r="18109" spans="1:5">
      <c r="A18109" t="s">
        <v>6</v>
      </c>
      <c r="B18109" t="s">
        <v>18114</v>
      </c>
      <c r="C18109">
        <f>HYPERLINK("C:\Users\franc\OneDrive\Documentos\MALENTIN KARIME\BANCO ESTADO\2012 DEPTO ESCRITURAS fata\Dc Simples\2012 DEPTO ESCRITURAS\COMPLEMETA\CARMEN ALFARO ROCO.doc", "Abrir Documento")</f>
        <v>0</v>
      </c>
      <c r="D18109" t="s">
        <v>23500</v>
      </c>
      <c r="E18109" t="s">
        <v>40584</v>
      </c>
    </row>
    <row r="18110" spans="1:5">
      <c r="A18110" t="s">
        <v>6</v>
      </c>
      <c r="B18110" t="s">
        <v>18115</v>
      </c>
      <c r="C18110">
        <f>HYPERLINK("C:\Users\franc\OneDrive\Documentos\MALENTIN KARIME\BANCO ESTADO\2012 DEPTO ESCRITURAS fata\Dc Simples\2012 DEPTO ESCRITURAS\COMPLEMETA\ARSEN GRIGORIAN Deslindes.doc", "Abrir Documento")</f>
        <v>0</v>
      </c>
      <c r="D18110" t="s">
        <v>23500</v>
      </c>
      <c r="E18110" t="s">
        <v>40585</v>
      </c>
    </row>
    <row r="18111" spans="1:5">
      <c r="A18111" t="s">
        <v>6</v>
      </c>
      <c r="B18111" t="s">
        <v>18116</v>
      </c>
      <c r="C18111">
        <f>HYPERLINK("C:\Users\franc\OneDrive\Documentos\MALENTIN KARIME\BANCO ESTADO\2012 DEPTO ESCRITURAS fata\Dc Simples\2012 DEPTO ESCRITURAS\COMODATO\LILANA ALFARO A  CLUB CONDOR HUALLILLINGA.doc", "Abrir Documento")</f>
        <v>0</v>
      </c>
      <c r="D18111" t="s">
        <v>23500</v>
      </c>
      <c r="E18111" t="s">
        <v>40586</v>
      </c>
    </row>
    <row r="18112" spans="1:5">
      <c r="A18112" t="s">
        <v>6</v>
      </c>
      <c r="B18112" t="s">
        <v>18117</v>
      </c>
      <c r="C18112">
        <f>HYPERLINK("C:\Users\franc\OneDrive\Documentos\MALENTIN KARIME\BANCO ESTADO\2012 DEPTO ESCRITURAS fata\Dc Simples\2012 DEPTO ESCRITURAS\COMODATO\FLORENCIO ALAYAN BRICEÑO Minuta.doc", "Abrir Documento")</f>
        <v>0</v>
      </c>
      <c r="D18112" t="s">
        <v>23500</v>
      </c>
      <c r="E18112" t="s">
        <v>40587</v>
      </c>
    </row>
    <row r="18113" spans="1:5">
      <c r="A18113" t="s">
        <v>6</v>
      </c>
      <c r="B18113" t="s">
        <v>18118</v>
      </c>
      <c r="C18113">
        <f>HYPERLINK("C:\Users\franc\OneDrive\Documentos\MALENTIN KARIME\BANCO ESTADO\2012 DEPTO ESCRITURAS fata\Dc Simples\2012 DEPTO ESCRITURAS\COMODATO\comodato CLUB CONDOR HUALLILLINGA.doc", "Abrir Documento")</f>
        <v>0</v>
      </c>
      <c r="D18113" t="s">
        <v>23500</v>
      </c>
      <c r="E18113" t="s">
        <v>40588</v>
      </c>
    </row>
    <row r="18114" spans="1:5">
      <c r="A18114" t="s">
        <v>6</v>
      </c>
      <c r="B18114" t="s">
        <v>18119</v>
      </c>
      <c r="C18114">
        <f>HYPERLINK("C:\Users\franc\OneDrive\Documentos\MALENTIN KARIME\BANCO ESTADO\2012 DEPTO ESCRITURAS fata\Dc Simples\2012 DEPTO ESCRITURAS\COMODATO\comodato CLUB CONDOR HUALLILLINGA I.doc", "Abrir Documento")</f>
        <v>0</v>
      </c>
      <c r="D18114" t="s">
        <v>23500</v>
      </c>
      <c r="E18114" t="s">
        <v>40589</v>
      </c>
    </row>
    <row r="18115" spans="1:5">
      <c r="A18115" t="s">
        <v>6</v>
      </c>
      <c r="B18115" t="s">
        <v>18120</v>
      </c>
      <c r="C18115">
        <f>HYPERLINK("C:\Users\franc\OneDrive\Documentos\MALENTIN KARIME\BANCO ESTADO\2012 DEPTO ESCRITURAS fata\Dc Simples\2012 DEPTO ESCRITURAS\COLOMBRES\PROMESAS\Autorizo las firmas de don PEDRO LUIS RICALDE BORBOLLA.doc", "Abrir Documento")</f>
        <v>0</v>
      </c>
      <c r="D18115" t="s">
        <v>23500</v>
      </c>
      <c r="E18115" t="s">
        <v>40590</v>
      </c>
    </row>
    <row r="18116" spans="1:5">
      <c r="A18116" t="s">
        <v>6</v>
      </c>
      <c r="B18116" t="s">
        <v>18121</v>
      </c>
      <c r="C18116">
        <f>HYPERLINK("C:\Users\franc\OneDrive\Documentos\MALENTIN KARIME\BANCO ESTADO\2012 DEPTO ESCRITURAS fata\Dc Simples\2012 DEPTO ESCRITURAS\COLOMBRES\LA RECOLETA\LUISA ESPINOZA SOTO katty.doc", "Abrir Documento")</f>
        <v>0</v>
      </c>
      <c r="D18116" t="s">
        <v>23500</v>
      </c>
      <c r="E18116" t="s">
        <v>40591</v>
      </c>
    </row>
    <row r="18117" spans="1:5">
      <c r="A18117" t="s">
        <v>6</v>
      </c>
      <c r="B18117" t="s">
        <v>18122</v>
      </c>
      <c r="C18117">
        <f>HYPERLINK("C:\Users\franc\OneDrive\Documentos\MALENTIN KARIME\BANCO ESTADO\2012 DEPTO ESCRITURAS fata\Dc Simples\2012 DEPTO ESCRITURAS\COLOMBRES\LA RECOLETA\Escritura Borrador Luisa Espinosa.doc", "Abrir Documento")</f>
        <v>0</v>
      </c>
      <c r="D18117" t="s">
        <v>23500</v>
      </c>
      <c r="E18117" t="s">
        <v>40592</v>
      </c>
    </row>
    <row r="18118" spans="1:5">
      <c r="A18118" t="s">
        <v>6</v>
      </c>
      <c r="B18118" t="s">
        <v>18123</v>
      </c>
      <c r="C18118">
        <f>HYPERLINK("C:\Users\franc\OneDrive\Documentos\MALENTIN KARIME\BANCO ESTADO\2012 DEPTO ESCRITURAS fata\Dc Simples\2012 DEPTO ESCRITURAS\COLOMBRES\LA RECOLETA\CLAUDIA ESPINOSA SOTO.doc", "Abrir Documento")</f>
        <v>0</v>
      </c>
      <c r="D18118" t="s">
        <v>23500</v>
      </c>
      <c r="E18118" t="s">
        <v>40593</v>
      </c>
    </row>
    <row r="18119" spans="1:5">
      <c r="A18119" t="s">
        <v>6</v>
      </c>
      <c r="B18119" t="s">
        <v>18124</v>
      </c>
      <c r="C18119">
        <f>HYPERLINK("C:\Users\franc\OneDrive\Documentos\MALENTIN KARIME\BANCO ESTADO\2012 DEPTO ESCRITURAS fata\Dc Simples\2012 DEPTO ESCRITURAS\COLOMBRES\SOCIEDAD AGRICOLA Y MOLINERA SANTA MARIA Cancelación precio ovalle.doc", "Abrir Documento")</f>
        <v>0</v>
      </c>
      <c r="D18119" t="s">
        <v>23500</v>
      </c>
      <c r="E18119" t="s">
        <v>40594</v>
      </c>
    </row>
    <row r="18120" spans="1:5">
      <c r="A18120" t="s">
        <v>6</v>
      </c>
      <c r="B18120" t="s">
        <v>18125</v>
      </c>
      <c r="C18120">
        <f>HYPERLINK("C:\Users\franc\OneDrive\Documentos\MALENTIN KARIME\BANCO ESTADO\2012 DEPTO ESCRITURAS fata\Dc Simples\2012 DEPTO ESCRITURAS\COLOMBRES\ORIEL ROBLES VICENCIO (CVTA MUTUO)-1.doc", "Abrir Documento")</f>
        <v>0</v>
      </c>
      <c r="D18120" t="s">
        <v>23500</v>
      </c>
      <c r="E18120" t="s">
        <v>40595</v>
      </c>
    </row>
    <row r="18121" spans="1:5">
      <c r="A18121" t="s">
        <v>6</v>
      </c>
      <c r="B18121" t="s">
        <v>18126</v>
      </c>
      <c r="C18121">
        <f>HYPERLINK("C:\Users\franc\OneDrive\Documentos\MALENTIN KARIME\BANCO ESTADO\2012 DEPTO ESCRITURAS fata\Dc Simples\2012 DEPTO ESCRITURAS\COLOMBRES\instrucciones3.doc", "Abrir Documento")</f>
        <v>0</v>
      </c>
      <c r="D18121" t="s">
        <v>23500</v>
      </c>
      <c r="E18121" t="s">
        <v>40596</v>
      </c>
    </row>
    <row r="18122" spans="1:5">
      <c r="A18122" t="s">
        <v>6</v>
      </c>
      <c r="B18122" t="s">
        <v>18127</v>
      </c>
      <c r="C18122">
        <f>HYPERLINK("C:\Users\franc\OneDrive\Documentos\MALENTIN KARIME\BANCO ESTADO\2012 DEPTO ESCRITURAS fata\Dc Simples\2012 DEPTO ESCRITURAS\COLOMBRES\instrucciones2.doc", "Abrir Documento")</f>
        <v>0</v>
      </c>
      <c r="D18122" t="s">
        <v>23500</v>
      </c>
      <c r="E18122" t="s">
        <v>40597</v>
      </c>
    </row>
    <row r="18123" spans="1:5">
      <c r="A18123" t="s">
        <v>6</v>
      </c>
      <c r="B18123" t="s">
        <v>18128</v>
      </c>
      <c r="C18123">
        <f>HYPERLINK("C:\Users\franc\OneDrive\Documentos\MALENTIN KARIME\BANCO ESTADO\2012 DEPTO ESCRITURAS fata\Dc Simples\2012 DEPTO ESCRITURAS\COLOMBRES\instrucciones.doc", "Abrir Documento")</f>
        <v>0</v>
      </c>
      <c r="D18123" t="s">
        <v>23500</v>
      </c>
      <c r="E18123" t="s">
        <v>40598</v>
      </c>
    </row>
    <row r="18124" spans="1:5">
      <c r="A18124" t="s">
        <v>6</v>
      </c>
      <c r="B18124" t="s">
        <v>18129</v>
      </c>
      <c r="C18124">
        <f>HYPERLINK("C:\Users\franc\OneDrive\Documentos\MALENTIN KARIME\BANCO ESTADO\2012 DEPTO ESCRITURAS fata\Dc Simples\2012 DEPTO ESCRITURAS\COLOMBRES\GABRIELMESQUIDA A RODRIGO RICALDE.doc", "Abrir Documento")</f>
        <v>0</v>
      </c>
      <c r="D18124" t="s">
        <v>23500</v>
      </c>
      <c r="E18124" t="s">
        <v>40599</v>
      </c>
    </row>
    <row r="18125" spans="1:5">
      <c r="A18125" t="s">
        <v>6</v>
      </c>
      <c r="B18125" t="s">
        <v>18130</v>
      </c>
      <c r="C18125">
        <f>HYPERLINK("C:\Users\franc\OneDrive\Documentos\MALENTIN KARIME\BANCO ESTADO\2012 DEPTO ESCRITURAS fata\Dc Simples\2012 DEPTO ESCRITURAS\COLOMBRES\DECLARACION JURADA.doc", "Abrir Documento")</f>
        <v>0</v>
      </c>
      <c r="D18125" t="s">
        <v>23500</v>
      </c>
      <c r="E18125" t="s">
        <v>40600</v>
      </c>
    </row>
    <row r="18126" spans="1:5">
      <c r="A18126" t="s">
        <v>6</v>
      </c>
      <c r="B18126" t="s">
        <v>18131</v>
      </c>
      <c r="C18126">
        <f>HYPERLINK("C:\Users\franc\OneDrive\Documentos\MALENTIN KARIME\BANCO ESTADO\2012 DEPTO ESCRITURAS fata\Dc Simples\2012 DEPTO ESCRITURAS\COLOMBRES\CERTIFICADO RECEP FINAL.doc", "Abrir Documento")</f>
        <v>0</v>
      </c>
      <c r="D18126" t="s">
        <v>23500</v>
      </c>
      <c r="E18126" t="s">
        <v>40601</v>
      </c>
    </row>
    <row r="18127" spans="1:5">
      <c r="A18127" t="s">
        <v>6</v>
      </c>
      <c r="B18127" t="s">
        <v>18132</v>
      </c>
      <c r="C18127">
        <f>HYPERLINK("C:\Users\franc\OneDrive\Documentos\MALENTIN KARIME\BANCO ESTADO\2012 DEPTO ESCRITURAS fata\Dc Simples\2012 DEPTO ESCRITURAS\CLAUDIO CASTILLO\RUBEN GOTTREEUX A MARIA BARRAZA.doc", "Abrir Documento")</f>
        <v>0</v>
      </c>
      <c r="D18127" t="s">
        <v>23500</v>
      </c>
      <c r="E18127" t="s">
        <v>40602</v>
      </c>
    </row>
    <row r="18128" spans="1:5">
      <c r="A18128" t="s">
        <v>6</v>
      </c>
      <c r="B18128" t="s">
        <v>18133</v>
      </c>
      <c r="C18128">
        <f>HYPERLINK("C:\Users\franc\OneDrive\Documentos\MALENTIN KARIME\BANCO ESTADO\2012 DEPTO ESCRITURAS fata\Dc Simples\2012 DEPTO ESCRITURAS\CLAUDIO CASTILLO\PEDRO OLIVARES Y Silvia Romero Transaccion.doc", "Abrir Documento")</f>
        <v>0</v>
      </c>
      <c r="D18128" t="s">
        <v>23500</v>
      </c>
      <c r="E18128" t="s">
        <v>40603</v>
      </c>
    </row>
    <row r="18129" spans="1:5">
      <c r="A18129" t="s">
        <v>6</v>
      </c>
      <c r="B18129" t="s">
        <v>18134</v>
      </c>
      <c r="C18129">
        <f>HYPERLINK("C:\Users\franc\OneDrive\Documentos\MALENTIN KARIME\BANCO ESTADO\2012 DEPTO ESCRITURAS fata\Dc Simples\2012 DEPTO ESCRITURAS\CLAUDIO CASTILLO\Patricio_Araya_Godoy_a_Erwin_Rojas_Bolados[1].doc", "Abrir Documento")</f>
        <v>0</v>
      </c>
      <c r="D18129" t="s">
        <v>23500</v>
      </c>
      <c r="E18129" t="s">
        <v>40604</v>
      </c>
    </row>
    <row r="18130" spans="1:5">
      <c r="A18130" t="s">
        <v>6</v>
      </c>
      <c r="B18130" t="s">
        <v>18135</v>
      </c>
      <c r="C18130">
        <f>HYPERLINK("C:\Users\franc\OneDrive\Documentos\MALENTIN KARIME\BANCO ESTADO\2012 DEPTO ESCRITURAS fata\Dc Simples\2012 DEPTO ESCRITURAS\CLAUDIO CASTILLO\MARIA LUISA BARRAZA OLIVARES Instrucciones.doc", "Abrir Documento")</f>
        <v>0</v>
      </c>
      <c r="D18130" t="s">
        <v>23500</v>
      </c>
      <c r="E18130" t="s">
        <v>40605</v>
      </c>
    </row>
    <row r="18131" spans="1:5">
      <c r="A18131" t="s">
        <v>6</v>
      </c>
      <c r="B18131" t="s">
        <v>18136</v>
      </c>
      <c r="C18131">
        <f>HYPERLINK("C:\Users\franc\OneDrive\Documentos\MALENTIN KARIME\BANCO ESTADO\2012 DEPTO ESCRITURAS fata\Dc Simples\2012 DEPTO ESCRITURAS\CLAUDIO CASTILLO\MARIA BARRIOS ROJAS A PAMELA GUTIERREZ.doc", "Abrir Documento")</f>
        <v>0</v>
      </c>
      <c r="D18131" t="s">
        <v>23500</v>
      </c>
      <c r="E18131" t="s">
        <v>40606</v>
      </c>
    </row>
    <row r="18132" spans="1:5">
      <c r="A18132" t="s">
        <v>6</v>
      </c>
      <c r="B18132" t="s">
        <v>18137</v>
      </c>
      <c r="C18132">
        <f>HYPERLINK("C:\Users\franc\OneDrive\Documentos\MALENTIN KARIME\BANCO ESTADO\2012 DEPTO ESCRITURAS fata\Dc Simples\2012 DEPTO ESCRITURAS\CLAUDIO CASTILLO\JAIME CASTILLO A MARIZA ARAYA Pendiente.doc", "Abrir Documento")</f>
        <v>0</v>
      </c>
      <c r="D18132" t="s">
        <v>23500</v>
      </c>
      <c r="E18132" t="s">
        <v>40607</v>
      </c>
    </row>
    <row r="18133" spans="1:5">
      <c r="A18133" t="s">
        <v>6</v>
      </c>
      <c r="B18133" t="s">
        <v>18138</v>
      </c>
      <c r="C18133">
        <f>HYPERLINK("C:\Users\franc\OneDrive\Documentos\MALENTIN KARIME\BANCO ESTADO\2012 DEPTO ESCRITURAS fata\Dc Simples\2012 DEPTO ESCRITURAS\CLAUDIO CASTILLO\compraventa con divorcio.doc", "Abrir Documento")</f>
        <v>0</v>
      </c>
      <c r="D18133" t="s">
        <v>23500</v>
      </c>
      <c r="E18133" t="s">
        <v>40608</v>
      </c>
    </row>
    <row r="18134" spans="1:5">
      <c r="A18134" t="s">
        <v>6</v>
      </c>
      <c r="B18134" t="s">
        <v>18139</v>
      </c>
      <c r="C18134">
        <f>HYPERLINK("C:\Users\franc\OneDrive\Documentos\MALENTIN KARIME\BANCO ESTADO\2012 DEPTO ESCRITURAS fata\Dc Simples\2012 DEPTO ESCRITURAS\CLAUDIO CASTILLO\ANA ROJAS BRITO A ROBERTO MUÑOZ ROJAS.doc", "Abrir Documento")</f>
        <v>0</v>
      </c>
      <c r="D18134" t="s">
        <v>23500</v>
      </c>
      <c r="E18134" t="s">
        <v>40609</v>
      </c>
    </row>
    <row r="18135" spans="1:5">
      <c r="A18135" t="s">
        <v>6</v>
      </c>
      <c r="B18135" t="s">
        <v>18140</v>
      </c>
      <c r="C18135">
        <f>HYPERLINK("C:\Users\franc\OneDrive\Documentos\MALENTIN KARIME\BANCO ESTADO\2012 DEPTO ESCRITURAS fata\Dc Simples\2012 DEPTO ESCRITURAS\CLAUDIO CASTILLO\ANA ROJAS BRITO A ANA MUÑOZ.doc", "Abrir Documento")</f>
        <v>0</v>
      </c>
      <c r="D18135" t="s">
        <v>23500</v>
      </c>
      <c r="E18135" t="s">
        <v>40610</v>
      </c>
    </row>
    <row r="18136" spans="1:5">
      <c r="A18136" t="s">
        <v>6</v>
      </c>
      <c r="B18136" t="s">
        <v>18141</v>
      </c>
      <c r="C18136">
        <f>HYPERLINK("C:\Users\franc\OneDrive\Documentos\MALENTIN KARIME\BANCO ESTADO\2012 DEPTO ESCRITURAS fata\Dc Simples\2012 DEPTO ESCRITURAS\CLAUDIO ARDILES\VERONICA MORGADO Y EDITH MORALES.doc", "Abrir Documento")</f>
        <v>0</v>
      </c>
      <c r="D18136" t="s">
        <v>23500</v>
      </c>
      <c r="E18136" t="s">
        <v>40611</v>
      </c>
    </row>
    <row r="18137" spans="1:5">
      <c r="A18137" t="s">
        <v>6</v>
      </c>
      <c r="B18137" t="s">
        <v>18142</v>
      </c>
      <c r="C18137">
        <f>HYPERLINK("C:\Users\franc\OneDrive\Documentos\MALENTIN KARIME\BANCO ESTADO\2012 DEPTO ESCRITURAS fata\Dc Simples\2012 DEPTO ESCRITURAS\CLAUDIO ARDILES\TELLCOR A ALVARO MAYA.doc", "Abrir Documento")</f>
        <v>0</v>
      </c>
      <c r="D18137" t="s">
        <v>23500</v>
      </c>
      <c r="E18137" t="s">
        <v>40612</v>
      </c>
    </row>
    <row r="18138" spans="1:5">
      <c r="A18138" t="s">
        <v>6</v>
      </c>
      <c r="B18138" t="s">
        <v>18143</v>
      </c>
      <c r="C18138">
        <f>HYPERLINK("C:\Users\franc\OneDrive\Documentos\MALENTIN KARIME\BANCO ESTADO\2012 DEPTO ESCRITURAS fata\Dc Simples\2012 DEPTO ESCRITURAS\CLAUDIO ARDILES\Sociedad SANTA ROSA.doc", "Abrir Documento")</f>
        <v>0</v>
      </c>
      <c r="D18138" t="s">
        <v>23500</v>
      </c>
      <c r="E18138" t="s">
        <v>40613</v>
      </c>
    </row>
    <row r="18139" spans="1:5">
      <c r="A18139" t="s">
        <v>6</v>
      </c>
      <c r="B18139" t="s">
        <v>18144</v>
      </c>
      <c r="C18139">
        <f>HYPERLINK("C:\Users\franc\OneDrive\Documentos\MALENTIN KARIME\BANCO ESTADO\2012 DEPTO ESCRITURAS fata\Dc Simples\2012 DEPTO ESCRITURAS\CLAUDIO ARDILES\SANTA ROSA LTDA. Extracto.doc", "Abrir Documento")</f>
        <v>0</v>
      </c>
      <c r="D18139" t="s">
        <v>23500</v>
      </c>
      <c r="E18139" t="s">
        <v>40614</v>
      </c>
    </row>
    <row r="18140" spans="1:5">
      <c r="A18140" t="s">
        <v>6</v>
      </c>
      <c r="B18140" t="s">
        <v>18145</v>
      </c>
      <c r="C18140">
        <f>HYPERLINK("C:\Users\franc\OneDrive\Documentos\MALENTIN KARIME\BANCO ESTADO\2012 DEPTO ESCRITURAS fata\Dc Simples\2012 DEPTO ESCRITURAS\CLAUDIO ARDILES\PEDRO TIRADO Y Eduardo Miranda cvta pacto.doc", "Abrir Documento")</f>
        <v>0</v>
      </c>
      <c r="D18140" t="s">
        <v>23500</v>
      </c>
      <c r="E18140" t="s">
        <v>40615</v>
      </c>
    </row>
    <row r="18141" spans="1:5">
      <c r="A18141" t="s">
        <v>6</v>
      </c>
      <c r="B18141" t="s">
        <v>18146</v>
      </c>
      <c r="C18141">
        <f>HYPERLINK("C:\Users\franc\OneDrive\Documentos\MALENTIN KARIME\BANCO ESTADO\2012 DEPTO ESCRITURAS fata\Dc Simples\2012 DEPTO ESCRITURAS\CLAUDIO ARDILES\PEDRO TIRADO A EDO. MIRANDA Promesa privada.doc", "Abrir Documento")</f>
        <v>0</v>
      </c>
      <c r="D18141" t="s">
        <v>23500</v>
      </c>
      <c r="E18141" t="s">
        <v>40616</v>
      </c>
    </row>
    <row r="18142" spans="1:5">
      <c r="A18142" t="s">
        <v>6</v>
      </c>
      <c r="B18142" t="s">
        <v>18147</v>
      </c>
      <c r="C18142">
        <f>HYPERLINK("C:\Users\franc\OneDrive\Documentos\MALENTIN KARIME\BANCO ESTADO\2012 DEPTO ESCRITURAS fata\Dc Simples\2012 DEPTO ESCRITURAS\CLAUDIO ARDILES\MARISA ALVAREZ CHANDIA mandato general.doc", "Abrir Documento")</f>
        <v>0</v>
      </c>
      <c r="D18142" t="s">
        <v>23500</v>
      </c>
      <c r="E18142" t="s">
        <v>40617</v>
      </c>
    </row>
    <row r="18143" spans="1:5">
      <c r="A18143" t="s">
        <v>6</v>
      </c>
      <c r="B18143" t="s">
        <v>18148</v>
      </c>
      <c r="C18143">
        <f>HYPERLINK("C:\Users\franc\OneDrive\Documentos\MALENTIN KARIME\BANCO ESTADO\2012 DEPTO ESCRITURAS fata\Dc Simples\2012 DEPTO ESCRITURAS\CLAUDIO ARDILES\MARCIAL MELLADO Y OTROS A Agricola Norteandino.doc", "Abrir Documento")</f>
        <v>0</v>
      </c>
      <c r="D18143" t="s">
        <v>23500</v>
      </c>
      <c r="E18143" t="s">
        <v>40618</v>
      </c>
    </row>
    <row r="18144" spans="1:5">
      <c r="A18144" t="s">
        <v>6</v>
      </c>
      <c r="B18144" t="s">
        <v>18149</v>
      </c>
      <c r="C18144">
        <f>HYPERLINK("C:\Users\franc\OneDrive\Documentos\MALENTIN KARIME\BANCO ESTADO\2012 DEPTO ESCRITURAS fata\Dc Simples\2012 DEPTO ESCRITURAS\CLAUDIO ARDILES\MARCIAL MELLADO MALUENDA A Agrícola Norteandino.doc", "Abrir Documento")</f>
        <v>0</v>
      </c>
      <c r="D18144" t="s">
        <v>23500</v>
      </c>
      <c r="E18144" t="s">
        <v>40619</v>
      </c>
    </row>
    <row r="18145" spans="1:5">
      <c r="A18145" t="s">
        <v>6</v>
      </c>
      <c r="B18145" t="s">
        <v>18150</v>
      </c>
      <c r="C18145">
        <f>HYPERLINK("C:\Users\franc\OneDrive\Documentos\MALENTIN KARIME\BANCO ESTADO\2012 DEPTO ESCRITURAS fata\Dc Simples\2012 DEPTO ESCRITURAS\CLAUDIO ARDILES\MACARENA TAPIA GALLEGUILLOS Cvta.doc", "Abrir Documento")</f>
        <v>0</v>
      </c>
      <c r="D18145" t="s">
        <v>23500</v>
      </c>
      <c r="E18145" t="s">
        <v>40620</v>
      </c>
    </row>
    <row r="18146" spans="1:5">
      <c r="A18146" t="s">
        <v>6</v>
      </c>
      <c r="B18146" t="s">
        <v>18151</v>
      </c>
      <c r="C18146">
        <f>HYPERLINK("C:\Users\franc\OneDrive\Documentos\MALENTIN KARIME\BANCO ESTADO\2012 DEPTO ESCRITURAS fata\Dc Simples\2012 DEPTO ESCRITURAS\CLAUDIO ARDILES\JORGE CONTRERAS HERRERA A CRISTIAN LATORRE Rectificacion.doc", "Abrir Documento")</f>
        <v>0</v>
      </c>
      <c r="D18146" t="s">
        <v>23500</v>
      </c>
      <c r="E18146" t="s">
        <v>40621</v>
      </c>
    </row>
    <row r="18147" spans="1:5">
      <c r="A18147" t="s">
        <v>6</v>
      </c>
      <c r="B18147" t="s">
        <v>18152</v>
      </c>
      <c r="C18147">
        <f>HYPERLINK("C:\Users\franc\OneDrive\Documentos\MALENTIN KARIME\BANCO ESTADO\2012 DEPTO ESCRITURAS fata\Dc Simples\2012 DEPTO ESCRITURAS\CLAUDIO ARDILES\JORGE CONTRERAS HERRERA A CRISTIAN LATORRE CVTA.doc", "Abrir Documento")</f>
        <v>0</v>
      </c>
      <c r="D18147" t="s">
        <v>23500</v>
      </c>
      <c r="E18147" t="s">
        <v>40622</v>
      </c>
    </row>
    <row r="18148" spans="1:5">
      <c r="A18148" t="s">
        <v>6</v>
      </c>
      <c r="B18148" t="s">
        <v>18153</v>
      </c>
      <c r="C18148">
        <f>HYPERLINK("C:\Users\franc\OneDrive\Documentos\MALENTIN KARIME\BANCO ESTADO\2012 DEPTO ESCRITURAS fata\Dc Simples\2012 DEPTO ESCRITURAS\CLAUDIO ARDILES\JAIME CASTILLO  Cesion derechos.doc", "Abrir Documento")</f>
        <v>0</v>
      </c>
      <c r="D18148" t="s">
        <v>23500</v>
      </c>
      <c r="E18148" t="s">
        <v>40623</v>
      </c>
    </row>
    <row r="18149" spans="1:5">
      <c r="A18149" t="s">
        <v>6</v>
      </c>
      <c r="B18149" t="s">
        <v>18154</v>
      </c>
      <c r="C18149">
        <f>HYPERLINK("C:\Users\franc\OneDrive\Documentos\MALENTIN KARIME\BANCO ESTADO\2012 DEPTO ESCRITURAS fata\Dc Simples\2012 DEPTO ESCRITURAS\CLAUDIO ARDILES\Extracto ASESORIAS CERRO BLANCO.doc", "Abrir Documento")</f>
        <v>0</v>
      </c>
      <c r="D18149" t="s">
        <v>23500</v>
      </c>
      <c r="E18149" t="s">
        <v>40624</v>
      </c>
    </row>
    <row r="18150" spans="1:5">
      <c r="A18150" t="s">
        <v>6</v>
      </c>
      <c r="B18150" t="s">
        <v>18155</v>
      </c>
      <c r="C18150">
        <f>HYPERLINK("C:\Users\franc\OneDrive\Documentos\MALENTIN KARIME\BANCO ESTADO\2012 DEPTO ESCRITURAS fata\Dc Simples\2012 DEPTO ESCRITURAS\CLAUDIO ARDILES\EDUARDO YAGNAN A DIANA FLORES.doc", "Abrir Documento")</f>
        <v>0</v>
      </c>
      <c r="D18150" t="s">
        <v>23500</v>
      </c>
      <c r="E18150" t="s">
        <v>40625</v>
      </c>
    </row>
    <row r="18151" spans="1:5">
      <c r="A18151" t="s">
        <v>6</v>
      </c>
      <c r="B18151" t="s">
        <v>18156</v>
      </c>
      <c r="C18151">
        <f>HYPERLINK("C:\Users\franc\OneDrive\Documentos\MALENTIN KARIME\BANCO ESTADO\2012 DEPTO ESCRITURAS fata\Dc Simples\2012 DEPTO ESCRITURAS\CLAUDIO ARDILES\derecho real de uso NORTEANDINO.doc", "Abrir Documento")</f>
        <v>0</v>
      </c>
      <c r="D18151" t="s">
        <v>23500</v>
      </c>
      <c r="E18151" t="s">
        <v>40626</v>
      </c>
    </row>
    <row r="18152" spans="1:5">
      <c r="A18152" t="s">
        <v>6</v>
      </c>
      <c r="B18152" t="s">
        <v>18157</v>
      </c>
      <c r="C18152">
        <f>HYPERLINK("C:\Users\franc\OneDrive\Documentos\MALENTIN KARIME\BANCO ESTADO\2012 DEPTO ESCRITURAS fata\Dc Simples\2012 DEPTO ESCRITURAS\CLAUDIO ARDILES\Daniela Huerta DECLARACION.doc", "Abrir Documento")</f>
        <v>0</v>
      </c>
      <c r="D18152" t="s">
        <v>23500</v>
      </c>
      <c r="E18152" t="s">
        <v>40627</v>
      </c>
    </row>
    <row r="18153" spans="1:5">
      <c r="A18153" t="s">
        <v>6</v>
      </c>
      <c r="B18153" t="s">
        <v>18158</v>
      </c>
      <c r="C18153">
        <f>HYPERLINK("C:\Users\franc\OneDrive\Documentos\MALENTIN KARIME\BANCO ESTADO\2012 DEPTO ESCRITURAS fata\Dc Simples\2012 DEPTO ESCRITURAS\CLAUDIO ARDILES\cvta 825.doc", "Abrir Documento")</f>
        <v>0</v>
      </c>
      <c r="D18153" t="s">
        <v>23500</v>
      </c>
      <c r="E18153" t="s">
        <v>40628</v>
      </c>
    </row>
    <row r="18154" spans="1:5">
      <c r="A18154" t="s">
        <v>6</v>
      </c>
      <c r="B18154" t="s">
        <v>18159</v>
      </c>
      <c r="C18154">
        <f>HYPERLINK("C:\Users\franc\OneDrive\Documentos\MALENTIN KARIME\BANCO ESTADO\2012 DEPTO ESCRITURAS fata\Dc Simples\2012 DEPTO ESCRITURAS\CLAUDIO ARDILES\CRISTIAN LATORRE MORALES A Claudia Herrera.doc", "Abrir Documento")</f>
        <v>0</v>
      </c>
      <c r="D18154" t="s">
        <v>23500</v>
      </c>
      <c r="E18154" t="s">
        <v>40629</v>
      </c>
    </row>
    <row r="18155" spans="1:5">
      <c r="A18155" t="s">
        <v>6</v>
      </c>
      <c r="B18155" t="s">
        <v>18160</v>
      </c>
      <c r="C18155">
        <f>HYPERLINK("C:\Users\franc\OneDrive\Documentos\MALENTIN KARIME\BANCO ESTADO\2012 DEPTO ESCRITURAS fata\Dc Simples\2012 DEPTO ESCRITURAS\CLAUDIO ARDILES\CRISTIAN LATORRE CON GENESIS LATORRE.doc", "Abrir Documento")</f>
        <v>0</v>
      </c>
      <c r="D18155" t="s">
        <v>23500</v>
      </c>
      <c r="E18155" t="s">
        <v>40630</v>
      </c>
    </row>
    <row r="18156" spans="1:5">
      <c r="A18156" t="s">
        <v>6</v>
      </c>
      <c r="B18156" t="s">
        <v>18161</v>
      </c>
      <c r="C18156">
        <f>HYPERLINK("C:\Users\franc\OneDrive\Documentos\MALENTIN KARIME\BANCO ESTADO\2012 DEPTO ESCRITURAS fata\Dc Simples\2012 DEPTO ESCRITURAS\CLAUDIO ARDILES\COMODATO B SANTANDER.doc", "Abrir Documento")</f>
        <v>0</v>
      </c>
      <c r="D18156" t="s">
        <v>23500</v>
      </c>
      <c r="E18156" t="s">
        <v>40631</v>
      </c>
    </row>
    <row r="18157" spans="1:5">
      <c r="A18157" t="s">
        <v>6</v>
      </c>
      <c r="B18157" t="s">
        <v>18162</v>
      </c>
      <c r="C18157">
        <f>HYPERLINK("C:\Users\franc\OneDrive\Documentos\MALENTIN KARIME\BANCO ESTADO\2012 DEPTO ESCRITURAS fata\Dc Simples\2012 DEPTO ESCRITURAS\CLAUDIO ARDILES\CERRO BLANCO Saneamiento.doc", "Abrir Documento")</f>
        <v>0</v>
      </c>
      <c r="D18157" t="s">
        <v>23500</v>
      </c>
      <c r="E18157" t="s">
        <v>40632</v>
      </c>
    </row>
    <row r="18158" spans="1:5">
      <c r="A18158" t="s">
        <v>6</v>
      </c>
      <c r="B18158" t="s">
        <v>18163</v>
      </c>
      <c r="C18158">
        <f>HYPERLINK("C:\Users\franc\OneDrive\Documentos\MALENTIN KARIME\BANCO ESTADO\2012 DEPTO ESCRITURAS fata\Dc Simples\2012 DEPTO ESCRITURAS\CLAUDIO ARDILES\CARTA TERMINO ADMINISTRACION.doc", "Abrir Documento")</f>
        <v>0</v>
      </c>
      <c r="D18158" t="s">
        <v>23500</v>
      </c>
      <c r="E18158" t="s">
        <v>40633</v>
      </c>
    </row>
    <row r="18159" spans="1:5">
      <c r="A18159" t="s">
        <v>6</v>
      </c>
      <c r="B18159" t="s">
        <v>18164</v>
      </c>
      <c r="C18159">
        <f>HYPERLINK("C:\Users\franc\OneDrive\Documentos\MALENTIN KARIME\BANCO ESTADO\2012 DEPTO ESCRITURAS fata\Dc Simples\2012 DEPTO ESCRITURAS\CLAUDIO ARDILES\CARLOS PERINES ALVAREZ Y OTROS 2.doc", "Abrir Documento")</f>
        <v>0</v>
      </c>
      <c r="D18159" t="s">
        <v>23500</v>
      </c>
      <c r="E18159" t="s">
        <v>40634</v>
      </c>
    </row>
    <row r="18160" spans="1:5">
      <c r="A18160" t="s">
        <v>6</v>
      </c>
      <c r="B18160" t="s">
        <v>18165</v>
      </c>
      <c r="C18160">
        <f>HYPERLINK("C:\Users\franc\OneDrive\Documentos\MALENTIN KARIME\BANCO ESTADO\2012 DEPTO ESCRITURAS fata\Dc Simples\2012 DEPTO ESCRITURAS\CLAUDIO ARDILES\CARLOS PERINES ALVAREZ Y OTROS 2 abogado.doc", "Abrir Documento")</f>
        <v>0</v>
      </c>
      <c r="D18160" t="s">
        <v>23500</v>
      </c>
      <c r="E18160" t="s">
        <v>40635</v>
      </c>
    </row>
    <row r="18161" spans="1:5">
      <c r="A18161" t="s">
        <v>6</v>
      </c>
      <c r="B18161" t="s">
        <v>18166</v>
      </c>
      <c r="C18161">
        <f>HYPERLINK("C:\Users\franc\OneDrive\Documentos\MALENTIN KARIME\BANCO ESTADO\2012 DEPTO ESCRITURAS fata\Dc Simples\2012 DEPTO ESCRITURAS\CLAUDIO ARDILES\CARLOS PERINES ALVAREZ Y OTROS 1.doc", "Abrir Documento")</f>
        <v>0</v>
      </c>
      <c r="D18161" t="s">
        <v>23500</v>
      </c>
      <c r="E18161" t="s">
        <v>40636</v>
      </c>
    </row>
    <row r="18162" spans="1:5">
      <c r="A18162" t="s">
        <v>6</v>
      </c>
      <c r="B18162" t="s">
        <v>18167</v>
      </c>
      <c r="C18162">
        <f>HYPERLINK("C:\Users\franc\OneDrive\Documentos\MALENTIN KARIME\BANCO ESTADO\2012 DEPTO ESCRITURAS fata\Dc Simples\2012 DEPTO ESCRITURAS\CLAUDIO ARDILES\CARLOS PERINES ALVAREZ Y OTROS 1 abogado.doc", "Abrir Documento")</f>
        <v>0</v>
      </c>
      <c r="D18162" t="s">
        <v>23500</v>
      </c>
      <c r="E18162" t="s">
        <v>40637</v>
      </c>
    </row>
    <row r="18163" spans="1:5">
      <c r="A18163" t="s">
        <v>6</v>
      </c>
      <c r="B18163" t="s">
        <v>18168</v>
      </c>
      <c r="C18163">
        <f>HYPERLINK("C:\Users\franc\OneDrive\Documentos\MALENTIN KARIME\BANCO ESTADO\2012 DEPTO ESCRITURAS fata\Dc Simples\2012 DEPTO ESCRITURAS\CLAUDIO ARDILES\ANEXO MELLADO - NORTEANDINO.doc", "Abrir Documento")</f>
        <v>0</v>
      </c>
      <c r="D18163" t="s">
        <v>23500</v>
      </c>
      <c r="E18163" t="s">
        <v>40638</v>
      </c>
    </row>
    <row r="18164" spans="1:5">
      <c r="A18164" t="s">
        <v>6</v>
      </c>
      <c r="B18164" t="s">
        <v>18169</v>
      </c>
      <c r="C18164">
        <f>HYPERLINK("C:\Users\franc\OneDrive\Documentos\MALENTIN KARIME\BANCO ESTADO\2012 DEPTO ESCRITURAS fata\Dc Simples\2012 DEPTO ESCRITURAS\CLAUDIO ARAYA\tectificatoria compra con subsidio.doc", "Abrir Documento")</f>
        <v>0</v>
      </c>
      <c r="D18164" t="s">
        <v>23500</v>
      </c>
      <c r="E18164" t="s">
        <v>40639</v>
      </c>
    </row>
    <row r="18165" spans="1:5">
      <c r="A18165" t="s">
        <v>6</v>
      </c>
      <c r="B18165" t="s">
        <v>18170</v>
      </c>
      <c r="C18165">
        <f>HYPERLINK("C:\Users\franc\OneDrive\Documentos\MALENTIN KARIME\BANCO ESTADO\2012 DEPTO ESCRITURAS fata\Dc Simples\2012 DEPTO ESCRITURAS\CLAUDIO ARAYA\SOCIEDAD MINERA HJ.doc", "Abrir Documento")</f>
        <v>0</v>
      </c>
      <c r="D18165" t="s">
        <v>23500</v>
      </c>
      <c r="E18165" t="s">
        <v>40640</v>
      </c>
    </row>
    <row r="18166" spans="1:5">
      <c r="A18166" t="s">
        <v>6</v>
      </c>
      <c r="B18166" t="s">
        <v>18171</v>
      </c>
      <c r="C18166">
        <f>HYPERLINK("C:\Users\franc\OneDrive\Documentos\MALENTIN KARIME\BANCO ESTADO\2012 DEPTO ESCRITURAS fata\Dc Simples\2012 DEPTO ESCRITURAS\CLAUDIO ARAYA\SOCIEDAD MINERA HJ SCM Resciliacion.doc", "Abrir Documento")</f>
        <v>0</v>
      </c>
      <c r="D18166" t="s">
        <v>23500</v>
      </c>
      <c r="E18166" t="s">
        <v>40641</v>
      </c>
    </row>
    <row r="18167" spans="1:5">
      <c r="A18167" t="s">
        <v>6</v>
      </c>
      <c r="B18167" t="s">
        <v>18172</v>
      </c>
      <c r="C18167">
        <f>HYPERLINK("C:\Users\franc\OneDrive\Documentos\MALENTIN KARIME\BANCO ESTADO\2012 DEPTO ESCRITURAS fata\Dc Simples\2012 DEPTO ESCRITURAS\CLAUDIO ARAYA\ROSA PINTO RAMOS Test.doc", "Abrir Documento")</f>
        <v>0</v>
      </c>
      <c r="D18167" t="s">
        <v>23500</v>
      </c>
      <c r="E18167" t="s">
        <v>40642</v>
      </c>
    </row>
    <row r="18168" spans="1:5">
      <c r="A18168" t="s">
        <v>6</v>
      </c>
      <c r="B18168" t="s">
        <v>18173</v>
      </c>
      <c r="C18168">
        <f>HYPERLINK("C:\Users\franc\OneDrive\Documentos\MALENTIN KARIME\BANCO ESTADO\2012 DEPTO ESCRITURAS fata\Dc Simples\2012 DEPTO ESCRITURAS\CLAUDIO ARAYA\RECIBO DE DINERO.doc", "Abrir Documento")</f>
        <v>0</v>
      </c>
      <c r="D18168" t="s">
        <v>23500</v>
      </c>
      <c r="E18168" t="s">
        <v>40643</v>
      </c>
    </row>
    <row r="18169" spans="1:5">
      <c r="A18169" t="s">
        <v>6</v>
      </c>
      <c r="B18169" t="s">
        <v>18174</v>
      </c>
      <c r="C18169">
        <f>HYPERLINK("C:\Users\franc\OneDrive\Documentos\MALENTIN KARIME\BANCO ESTADO\2012 DEPTO ESCRITURAS fata\Dc Simples\2012 DEPTO ESCRITURAS\CLAUDIO ARAYA\JUAN CARVAJAL y JAVIER ARAYA cvta serviu.doc", "Abrir Documento")</f>
        <v>0</v>
      </c>
      <c r="D18169" t="s">
        <v>23500</v>
      </c>
      <c r="E18169" t="s">
        <v>40644</v>
      </c>
    </row>
    <row r="18170" spans="1:5">
      <c r="A18170" t="s">
        <v>6</v>
      </c>
      <c r="B18170" t="s">
        <v>18175</v>
      </c>
      <c r="C18170">
        <f>HYPERLINK("C:\Users\franc\OneDrive\Documentos\MALENTIN KARIME\BANCO ESTADO\2012 DEPTO ESCRITURAS fata\Dc Simples\2012 DEPTO ESCRITURAS\CLAUDIO ARAYA\JAVIER ARAYA TALAMILLA Protocoliza.doc", "Abrir Documento")</f>
        <v>0</v>
      </c>
      <c r="D18170" t="s">
        <v>23500</v>
      </c>
      <c r="E18170" t="s">
        <v>40645</v>
      </c>
    </row>
    <row r="18171" spans="1:5">
      <c r="A18171" t="s">
        <v>6</v>
      </c>
      <c r="B18171" t="s">
        <v>18176</v>
      </c>
      <c r="C18171">
        <f>HYPERLINK("C:\Users\franc\OneDrive\Documentos\MALENTIN KARIME\BANCO ESTADO\2012 DEPTO ESCRITURAS fata\Dc Simples\2012 DEPTO ESCRITURAS\CLAUDIO ARAYA\JAVIER ARAYA TALAMILLA Prot.doc", "Abrir Documento")</f>
        <v>0</v>
      </c>
      <c r="D18171" t="s">
        <v>23500</v>
      </c>
      <c r="E18171" t="s">
        <v>40646</v>
      </c>
    </row>
    <row r="18172" spans="1:5">
      <c r="A18172" t="s">
        <v>6</v>
      </c>
      <c r="B18172" t="s">
        <v>18177</v>
      </c>
      <c r="C18172">
        <f>HYPERLINK("C:\Users\franc\OneDrive\Documentos\MALENTIN KARIME\BANCO ESTADO\2012 DEPTO ESCRITURAS fata\Dc Simples\2012 DEPTO ESCRITURAS\CLAUDIO ARAYA\JAVIER ARAYA TALAMILLA Prot Rectifica.doc", "Abrir Documento")</f>
        <v>0</v>
      </c>
      <c r="D18172" t="s">
        <v>23500</v>
      </c>
      <c r="E18172" t="s">
        <v>40647</v>
      </c>
    </row>
    <row r="18173" spans="1:5">
      <c r="A18173" t="s">
        <v>6</v>
      </c>
      <c r="B18173" t="s">
        <v>18178</v>
      </c>
      <c r="C18173">
        <f>HYPERLINK("C:\Users\franc\OneDrive\Documentos\MALENTIN KARIME\BANCO ESTADO\2012 DEPTO ESCRITURAS fata\Dc Simples\2012 DEPTO ESCRITURAS\CLAUDIO ARAYA\JAVIER ARAYA TALAMILLA Prot Complementa.doc", "Abrir Documento")</f>
        <v>0</v>
      </c>
      <c r="D18173" t="s">
        <v>23500</v>
      </c>
      <c r="E18173" t="s">
        <v>40648</v>
      </c>
    </row>
    <row r="18174" spans="1:5">
      <c r="A18174" t="s">
        <v>6</v>
      </c>
      <c r="B18174" t="s">
        <v>18179</v>
      </c>
      <c r="C18174">
        <f>HYPERLINK("C:\Users\franc\OneDrive\Documentos\MALENTIN KARIME\BANCO ESTADO\2012 DEPTO ESCRITURAS fata\Dc Simples\2012 DEPTO ESCRITURAS\CLAUDIO ARAYA\Instrucciones Escobar, Claudia - Salamanca, Carmen y Otros.doc", "Abrir Documento")</f>
        <v>0</v>
      </c>
      <c r="D18174" t="s">
        <v>23500</v>
      </c>
      <c r="E18174" t="s">
        <v>40649</v>
      </c>
    </row>
    <row r="18175" spans="1:5">
      <c r="A18175" t="s">
        <v>6</v>
      </c>
      <c r="B18175" t="s">
        <v>18180</v>
      </c>
      <c r="C18175">
        <f>HYPERLINK("C:\Users\franc\OneDrive\Documentos\MALENTIN KARIME\BANCO ESTADO\2012 DEPTO ESCRITURAS fata\Dc Simples\2012 DEPTO ESCRITURAS\CLAUDIO ARAYA\HECTOR VELOZO A JAIME URQUIETA Dacion Febr.doc", "Abrir Documento")</f>
        <v>0</v>
      </c>
      <c r="D18175" t="s">
        <v>23500</v>
      </c>
      <c r="E18175" t="s">
        <v>40650</v>
      </c>
    </row>
    <row r="18176" spans="1:5">
      <c r="A18176" t="s">
        <v>6</v>
      </c>
      <c r="B18176" t="s">
        <v>18181</v>
      </c>
      <c r="C18176">
        <f>HYPERLINK("C:\Users\franc\OneDrive\Documentos\MALENTIN KARIME\BANCO ESTADO\2012 DEPTO ESCRITURAS fata\Dc Simples\2012 DEPTO ESCRITURAS\CLAUDIO ARAYA\FREDDY PINTO RAMOS Test.doc", "Abrir Documento")</f>
        <v>0</v>
      </c>
      <c r="D18176" t="s">
        <v>23500</v>
      </c>
      <c r="E18176" t="s">
        <v>40651</v>
      </c>
    </row>
    <row r="18177" spans="1:5">
      <c r="A18177" t="s">
        <v>6</v>
      </c>
      <c r="B18177" t="s">
        <v>18182</v>
      </c>
      <c r="C18177">
        <f>HYPERLINK("C:\Users\franc\OneDrive\Documentos\MALENTIN KARIME\BANCO ESTADO\2012 DEPTO ESCRITURAS fata\Dc Simples\2012 DEPTO ESCRITURAS\CLAUDIO ARAYA\FELIPE JOFRE TAPIA A CARLOS JOFRE Agosto 13.doc", "Abrir Documento")</f>
        <v>0</v>
      </c>
      <c r="D18177" t="s">
        <v>23500</v>
      </c>
      <c r="E18177" t="s">
        <v>40652</v>
      </c>
    </row>
    <row r="18178" spans="1:5">
      <c r="A18178" t="s">
        <v>6</v>
      </c>
      <c r="B18178" t="s">
        <v>18183</v>
      </c>
      <c r="C18178">
        <f>HYPERLINK("C:\Users\franc\OneDrive\Documentos\MALENTIN KARIME\BANCO ESTADO\2012 DEPTO ESCRITURAS fata\Dc Simples\2012 DEPTO ESCRITURAS\CLAUDIO ARAYA\FELIPE JOFRE A Claudio Jofre y otro.doc", "Abrir Documento")</f>
        <v>0</v>
      </c>
      <c r="D18178" t="s">
        <v>23500</v>
      </c>
      <c r="E18178" t="s">
        <v>40653</v>
      </c>
    </row>
    <row r="18179" spans="1:5">
      <c r="A18179" t="s">
        <v>6</v>
      </c>
      <c r="B18179" t="s">
        <v>18184</v>
      </c>
      <c r="C18179">
        <f>HYPERLINK("C:\Users\franc\OneDrive\Documentos\MALENTIN KARIME\BANCO ESTADO\2012 DEPTO ESCRITURAS fata\Dc Simples\2012 DEPTO ESCRITURAS\CLAUDIO ARAYA\Extracto.doc", "Abrir Documento")</f>
        <v>0</v>
      </c>
      <c r="D18179" t="s">
        <v>23500</v>
      </c>
      <c r="E18179" t="s">
        <v>40654</v>
      </c>
    </row>
    <row r="18180" spans="1:5">
      <c r="A18180" t="s">
        <v>6</v>
      </c>
      <c r="B18180" t="s">
        <v>18185</v>
      </c>
      <c r="C18180">
        <f>HYPERLINK("C:\Users\franc\OneDrive\Documentos\MALENTIN KARIME\BANCO ESTADO\2012 DEPTO ESCRITURAS fata\Dc Simples\2012 DEPTO ESCRITURAS\CLAUDIO ARAYA\EVELYN VEGA GONZÁLEZ.doc", "Abrir Documento")</f>
        <v>0</v>
      </c>
      <c r="D18180" t="s">
        <v>23500</v>
      </c>
      <c r="E18180" t="s">
        <v>40655</v>
      </c>
    </row>
    <row r="18181" spans="1:5">
      <c r="A18181" t="s">
        <v>6</v>
      </c>
      <c r="B18181" t="s">
        <v>18186</v>
      </c>
      <c r="C18181">
        <f>HYPERLINK("C:\Users\franc\OneDrive\Documentos\MALENTIN KARIME\BANCO ESTADO\2012 DEPTO ESCRITURAS fata\Dc Simples\2012 DEPTO ESCRITURAS\CLAUDIO ARAYA\EVELYN VEGA GONZÁLEZ rectifca.doc", "Abrir Documento")</f>
        <v>0</v>
      </c>
      <c r="D18181" t="s">
        <v>23500</v>
      </c>
      <c r="E18181" t="s">
        <v>40656</v>
      </c>
    </row>
    <row r="18182" spans="1:5">
      <c r="A18182" t="s">
        <v>6</v>
      </c>
      <c r="B18182" t="s">
        <v>18187</v>
      </c>
      <c r="C18182">
        <f>HYPERLINK("C:\Users\franc\OneDrive\Documentos\MALENTIN KARIME\BANCO ESTADO\2012 DEPTO ESCRITURAS fata\Dc Simples\2012 DEPTO ESCRITURAS\CLAUDIO ARAYA\EVELYN VEGA GONZALEZRectificatoria compra con subsidio.doc", "Abrir Documento")</f>
        <v>0</v>
      </c>
      <c r="D18182" t="s">
        <v>23500</v>
      </c>
      <c r="E18182" t="s">
        <v>40657</v>
      </c>
    </row>
    <row r="18183" spans="1:5">
      <c r="A18183" t="s">
        <v>6</v>
      </c>
      <c r="B18183" t="s">
        <v>18188</v>
      </c>
      <c r="C18183">
        <f>HYPERLINK("C:\Users\franc\OneDrive\Documentos\MALENTIN KARIME\BANCO ESTADO\2012 DEPTO ESCRITURAS fata\Dc Simples\2012 DEPTO ESCRITURAS\CLAUDIO ARAYA\EDUARDO GODOY E.I.R.L..doc", "Abrir Documento")</f>
        <v>0</v>
      </c>
      <c r="D18183" t="s">
        <v>23500</v>
      </c>
      <c r="E18183" t="s">
        <v>40658</v>
      </c>
    </row>
    <row r="18184" spans="1:5">
      <c r="A18184" t="s">
        <v>6</v>
      </c>
      <c r="B18184" t="s">
        <v>18189</v>
      </c>
      <c r="C18184">
        <f>HYPERLINK("C:\Users\franc\OneDrive\Documentos\MALENTIN KARIME\BANCO ESTADO\2012 DEPTO ESCRITURAS fata\Dc Simples\2012 DEPTO ESCRITURAS\CLAUDIO ARAYA\EDIO GARCIA Y EVELYN VEGA cvta serviu.doc", "Abrir Documento")</f>
        <v>0</v>
      </c>
      <c r="D18184" t="s">
        <v>23500</v>
      </c>
      <c r="E18184" t="s">
        <v>40659</v>
      </c>
    </row>
    <row r="18185" spans="1:5">
      <c r="A18185" t="s">
        <v>6</v>
      </c>
      <c r="B18185" t="s">
        <v>18190</v>
      </c>
      <c r="C18185">
        <f>HYPERLINK("C:\Users\franc\OneDrive\Documentos\MALENTIN KARIME\BANCO ESTADO\2012 DEPTO ESCRITURAS fata\Dc Simples\2012 DEPTO ESCRITURAS\CLAUDIO ARAYA\DOLLY TABILO CARVAJAL A NANCY MERCADO.doc", "Abrir Documento")</f>
        <v>0</v>
      </c>
      <c r="D18185" t="s">
        <v>23500</v>
      </c>
      <c r="E18185" t="s">
        <v>40660</v>
      </c>
    </row>
    <row r="18186" spans="1:5">
      <c r="A18186" t="s">
        <v>6</v>
      </c>
      <c r="B18186" t="s">
        <v>18191</v>
      </c>
      <c r="C18186">
        <f>HYPERLINK("C:\Users\franc\OneDrive\Documentos\MALENTIN KARIME\BANCO ESTADO\2012 DEPTO ESCRITURAS fata\Dc Simples\2012 DEPTO ESCRITURAS\CLAUDIO ARAYA\CRISTINA PINTO Test.doc", "Abrir Documento")</f>
        <v>0</v>
      </c>
      <c r="D18186" t="s">
        <v>23500</v>
      </c>
      <c r="E18186" t="s">
        <v>40661</v>
      </c>
    </row>
    <row r="18187" spans="1:5">
      <c r="A18187" t="s">
        <v>6</v>
      </c>
      <c r="B18187" t="s">
        <v>18192</v>
      </c>
      <c r="C18187">
        <f>HYPERLINK("C:\Users\franc\OneDrive\Documentos\MALENTIN KARIME\BANCO ESTADO\2012 DEPTO ESCRITURAS fata\Dc Simples\2012 DEPTO ESCRITURAS\CLAUDIO ARAYA\CRISTINA PINTO RAMOS testamento.doc", "Abrir Documento")</f>
        <v>0</v>
      </c>
      <c r="D18187" t="s">
        <v>23500</v>
      </c>
      <c r="E18187" t="s">
        <v>40662</v>
      </c>
    </row>
    <row r="18188" spans="1:5">
      <c r="A18188" t="s">
        <v>6</v>
      </c>
      <c r="B18188" t="s">
        <v>18193</v>
      </c>
      <c r="C18188">
        <f>HYPERLINK("C:\Users\franc\OneDrive\Documentos\MALENTIN KARIME\BANCO ESTADO\2012 DEPTO ESCRITURAS fata\Dc Simples\2012 DEPTO ESCRITURAS\CLAUDIO ARAYA\COMPRAVENTA CON USUFRUCTO.doc", "Abrir Documento")</f>
        <v>0</v>
      </c>
      <c r="D18188" t="s">
        <v>23500</v>
      </c>
      <c r="E18188" t="s">
        <v>40663</v>
      </c>
    </row>
    <row r="18189" spans="1:5">
      <c r="A18189" t="s">
        <v>6</v>
      </c>
      <c r="B18189" t="s">
        <v>18194</v>
      </c>
      <c r="C18189">
        <f>HYPERLINK("C:\Users\franc\OneDrive\Documentos\MALENTIN KARIME\BANCO ESTADO\2012 DEPTO ESCRITURAS fata\Dc Simples\2012 DEPTO ESCRITURAS\CLAUDIO ARAYA\COMPRAVENTA AHUMADA CON MARIETTA.doc", "Abrir Documento")</f>
        <v>0</v>
      </c>
      <c r="D18189" t="s">
        <v>23500</v>
      </c>
      <c r="E18189" t="s">
        <v>40664</v>
      </c>
    </row>
    <row r="18190" spans="1:5">
      <c r="A18190" t="s">
        <v>6</v>
      </c>
      <c r="B18190" t="s">
        <v>18195</v>
      </c>
      <c r="C18190">
        <f>HYPERLINK("C:\Users\franc\OneDrive\Documentos\MALENTIN KARIME\BANCO ESTADO\2012 DEPTO ESCRITURAS fata\Dc Simples\2012 DEPTO ESCRITURAS\CLAUDIO ARAYA\Complementaria compra con subsidio II Parte.doc", "Abrir Documento")</f>
        <v>0</v>
      </c>
      <c r="D18190" t="s">
        <v>23500</v>
      </c>
      <c r="E18190" t="s">
        <v>40665</v>
      </c>
    </row>
    <row r="18191" spans="1:5">
      <c r="A18191" t="s">
        <v>6</v>
      </c>
      <c r="B18191" t="s">
        <v>18196</v>
      </c>
      <c r="C18191">
        <f>HYPERLINK("C:\Users\franc\OneDrive\Documentos\MALENTIN KARIME\BANCO ESTADO\2012 DEPTO ESCRITURAS fata\Dc Simples\2012 DEPTO ESCRITURAS\CLAUDIO ARAYA\CARMEN SALAMANCA Y OTROS A CLAUDIA ESCOBAR.doc", "Abrir Documento")</f>
        <v>0</v>
      </c>
      <c r="D18191" t="s">
        <v>23500</v>
      </c>
      <c r="E18191" t="s">
        <v>40666</v>
      </c>
    </row>
    <row r="18192" spans="1:5">
      <c r="A18192" t="s">
        <v>6</v>
      </c>
      <c r="B18192" t="s">
        <v>18197</v>
      </c>
      <c r="C18192">
        <f>HYPERLINK("C:\Users\franc\OneDrive\Documentos\MALENTIN KARIME\BANCO ESTADO\2012 DEPTO ESCRITURAS fata\Dc Simples\2012 DEPTO ESCRITURAS\CLAUDIO ARAYA\CARMEN SALAMANCA Y OTROS A CLAUDIA ESCOBAR  2.doc", "Abrir Documento")</f>
        <v>0</v>
      </c>
      <c r="D18192" t="s">
        <v>23500</v>
      </c>
      <c r="E18192" t="s">
        <v>40667</v>
      </c>
    </row>
    <row r="18193" spans="1:5">
      <c r="A18193" t="s">
        <v>6</v>
      </c>
      <c r="B18193" t="s">
        <v>18198</v>
      </c>
      <c r="C18193">
        <f>HYPERLINK("C:\Users\franc\OneDrive\Documentos\MALENTIN KARIME\BANCO ESTADO\2012 DEPTO ESCRITURAS fata\Dc Simples\2012 DEPTO ESCRITURAS\CLAUDIO ARAYA\ASIMYA A ANA VALDERRAMA.doc", "Abrir Documento")</f>
        <v>0</v>
      </c>
      <c r="D18193" t="s">
        <v>23500</v>
      </c>
      <c r="E18193" t="s">
        <v>40668</v>
      </c>
    </row>
    <row r="18194" spans="1:5">
      <c r="A18194" t="s">
        <v>6</v>
      </c>
      <c r="B18194" t="s">
        <v>18199</v>
      </c>
      <c r="C18194">
        <f>HYPERLINK("C:\Users\franc\OneDrive\Documentos\MALENTIN KARIME\BANCO ESTADO\2012 DEPTO ESCRITURAS fata\Dc Simples\2012 DEPTO ESCRITURAS\CLAUDIO ARAYA\ASIMYA A ANA VALDERRAMA Final.doc", "Abrir Documento")</f>
        <v>0</v>
      </c>
      <c r="D18194" t="s">
        <v>23500</v>
      </c>
      <c r="E18194" t="s">
        <v>40669</v>
      </c>
    </row>
    <row r="18195" spans="1:5">
      <c r="A18195" t="s">
        <v>6</v>
      </c>
      <c r="B18195" t="s">
        <v>18200</v>
      </c>
      <c r="C18195">
        <f>HYPERLINK("C:\Users\franc\OneDrive\Documentos\MALENTIN KARIME\BANCO ESTADO\2012 DEPTO ESCRITURAS fata\Dc Simples\2012 DEPTO ESCRITURAS\CLAUDIO ARAYA\arriendo minero.doc", "Abrir Documento")</f>
        <v>0</v>
      </c>
      <c r="D18195" t="s">
        <v>23500</v>
      </c>
      <c r="E18195" t="s">
        <v>40670</v>
      </c>
    </row>
    <row r="18196" spans="1:5">
      <c r="A18196" t="s">
        <v>6</v>
      </c>
      <c r="B18196" t="s">
        <v>18201</v>
      </c>
      <c r="C18196">
        <f>HYPERLINK("C:\Users\franc\OneDrive\Documentos\MALENTIN KARIME\BANCO ESTADO\2012 DEPTO ESCRITURAS fata\Dc Simples\2012 DEPTO ESCRITURAS\CLAUDIO ARAYA\ALZAMIENTO DL 2695.doc", "Abrir Documento")</f>
        <v>0</v>
      </c>
      <c r="D18196" t="s">
        <v>23500</v>
      </c>
      <c r="E18196" t="s">
        <v>40671</v>
      </c>
    </row>
    <row r="18197" spans="1:5">
      <c r="A18197" t="s">
        <v>6</v>
      </c>
      <c r="B18197" t="s">
        <v>18202</v>
      </c>
      <c r="C18197">
        <f>HYPERLINK("C:\Users\franc\OneDrive\Documentos\MALENTIN KARIME\BANCO ESTADO\2012 DEPTO ESCRITURAS fata\Dc Simples\2012 DEPTO ESCRITURAS\CLAUDIO ARAYA\ALZAMIENTO DL 2695 julio 2013.doc", "Abrir Documento")</f>
        <v>0</v>
      </c>
      <c r="D18197" t="s">
        <v>23500</v>
      </c>
      <c r="E18197" t="s">
        <v>40672</v>
      </c>
    </row>
    <row r="18198" spans="1:5">
      <c r="A18198" t="s">
        <v>6</v>
      </c>
      <c r="B18198" t="s">
        <v>18203</v>
      </c>
      <c r="C18198">
        <f>HYPERLINK("C:\Users\franc\OneDrive\Documentos\MALENTIN KARIME\BANCO ESTADO\2012 DEPTO ESCRITURAS fata\Dc Simples\2012 DEPTO ESCRITURAS\CESION\HEREDITARIOS\WILFREDO VALENCIA GODOY A Jovina Valencia Agosto 13.doc", "Abrir Documento")</f>
        <v>0</v>
      </c>
      <c r="D18198" t="s">
        <v>23500</v>
      </c>
      <c r="E18198" t="s">
        <v>40673</v>
      </c>
    </row>
    <row r="18199" spans="1:5">
      <c r="A18199" t="s">
        <v>6</v>
      </c>
      <c r="B18199" t="s">
        <v>18204</v>
      </c>
      <c r="C18199">
        <f>HYPERLINK("C:\Users\franc\OneDrive\Documentos\MALENTIN KARIME\BANCO ESTADO\2012 DEPTO ESCRITURAS fata\Dc Simples\2012 DEPTO ESCRITURAS\CESION\HEREDITARIOS\sucesion JUVENALIA MAITA.doc", "Abrir Documento")</f>
        <v>0</v>
      </c>
      <c r="D18199" t="s">
        <v>23500</v>
      </c>
      <c r="E18199" t="s">
        <v>40674</v>
      </c>
    </row>
    <row r="18200" spans="1:5">
      <c r="A18200" t="s">
        <v>6</v>
      </c>
      <c r="B18200" t="s">
        <v>18205</v>
      </c>
      <c r="C18200">
        <f>HYPERLINK("C:\Users\franc\OneDrive\Documentos\MALENTIN KARIME\BANCO ESTADO\2012 DEPTO ESCRITURAS fata\Dc Simples\2012 DEPTO ESCRITURAS\CESION\HEREDITARIOS\RUTH PARRA MARIN.doc", "Abrir Documento")</f>
        <v>0</v>
      </c>
      <c r="D18200" t="s">
        <v>23500</v>
      </c>
      <c r="E18200" t="s">
        <v>40675</v>
      </c>
    </row>
    <row r="18201" spans="1:5">
      <c r="A18201" t="s">
        <v>6</v>
      </c>
      <c r="B18201" t="s">
        <v>18206</v>
      </c>
      <c r="C18201">
        <f>HYPERLINK("C:\Users\franc\OneDrive\Documentos\MALENTIN KARIME\BANCO ESTADO\2012 DEPTO ESCRITURAS fata\Dc Simples\2012 DEPTO ESCRITURAS\CESION\HEREDITARIOS\OSCAR CASTILLO ESPINOSA.doc", "Abrir Documento")</f>
        <v>0</v>
      </c>
      <c r="D18201" t="s">
        <v>23500</v>
      </c>
      <c r="E18201" t="s">
        <v>40676</v>
      </c>
    </row>
    <row r="18202" spans="1:5">
      <c r="A18202" t="s">
        <v>6</v>
      </c>
      <c r="B18202" t="s">
        <v>18207</v>
      </c>
      <c r="C18202">
        <f>HYPERLINK("C:\Users\franc\OneDrive\Documentos\MALENTIN KARIME\BANCO ESTADO\2012 DEPTO ESCRITURAS fata\Dc Simples\2012 DEPTO ESCRITURAS\CESION\HEREDITARIOS\MARTA DIGNA SAGUA CORTES.doc", "Abrir Documento")</f>
        <v>0</v>
      </c>
      <c r="D18202" t="s">
        <v>23500</v>
      </c>
      <c r="E18202" t="s">
        <v>40677</v>
      </c>
    </row>
    <row r="18203" spans="1:5">
      <c r="A18203" t="s">
        <v>6</v>
      </c>
      <c r="B18203" t="s">
        <v>18208</v>
      </c>
      <c r="C18203">
        <f>HYPERLINK("C:\Users\franc\OneDrive\Documentos\MALENTIN KARIME\BANCO ESTADO\2012 DEPTO ESCRITURAS fata\Dc Simples\2012 DEPTO ESCRITURAS\CESION\HEREDITARIOS\LUISA CORTES VALENZUELA Minuta C. Ardiles.doc", "Abrir Documento")</f>
        <v>0</v>
      </c>
      <c r="D18203" t="s">
        <v>23500</v>
      </c>
      <c r="E18203" t="s">
        <v>40678</v>
      </c>
    </row>
    <row r="18204" spans="1:5">
      <c r="A18204" t="s">
        <v>6</v>
      </c>
      <c r="B18204" t="s">
        <v>18209</v>
      </c>
      <c r="C18204">
        <f>HYPERLINK("C:\Users\franc\OneDrive\Documentos\MALENTIN KARIME\BANCO ESTADO\2012 DEPTO ESCRITURAS fata\Dc Simples\2012 DEPTO ESCRITURAS\CESION\HEREDITARIOS\CRUZ PIZARRO VEGA A JULIO GALLEGUILLOS.doc", "Abrir Documento")</f>
        <v>0</v>
      </c>
      <c r="D18204" t="s">
        <v>23500</v>
      </c>
      <c r="E18204" t="s">
        <v>40679</v>
      </c>
    </row>
    <row r="18205" spans="1:5">
      <c r="A18205" t="s">
        <v>6</v>
      </c>
      <c r="B18205" t="s">
        <v>18210</v>
      </c>
      <c r="C18205">
        <f>HYPERLINK("C:\Users\franc\OneDrive\Documentos\MALENTIN KARIME\BANCO ESTADO\2012 DEPTO ESCRITURAS fata\Dc Simples\2012 DEPTO ESCRITURAS\CESION\HEREDITARIOS\ANA CORTES CORTES.doc", "Abrir Documento")</f>
        <v>0</v>
      </c>
      <c r="D18205" t="s">
        <v>23500</v>
      </c>
      <c r="E18205" t="s">
        <v>40680</v>
      </c>
    </row>
    <row r="18206" spans="1:5">
      <c r="A18206" t="s">
        <v>6</v>
      </c>
      <c r="B18206" t="s">
        <v>18211</v>
      </c>
      <c r="C18206">
        <f>HYPERLINK("C:\Users\franc\OneDrive\Documentos\MALENTIN KARIME\BANCO ESTADO\2012 DEPTO ESCRITURAS fata\Dc Simples\2012 DEPTO ESCRITURAS\CESION\CDAD\SILVIA PIZARRO BURROES.doc", "Abrir Documento")</f>
        <v>0</v>
      </c>
      <c r="D18206" t="s">
        <v>23500</v>
      </c>
      <c r="E18206" t="s">
        <v>40681</v>
      </c>
    </row>
    <row r="18207" spans="1:5">
      <c r="A18207" t="s">
        <v>6</v>
      </c>
      <c r="B18207" t="s">
        <v>18212</v>
      </c>
      <c r="C18207">
        <f>HYPERLINK("C:\Users\franc\OneDrive\Documentos\MALENTIN KARIME\BANCO ESTADO\2012 DEPTO ESCRITURAS fata\Dc Simples\2012 DEPTO ESCRITURAS\CESION\CDAD\JERMAN ACUÑA A JAVIER AROS.doc", "Abrir Documento")</f>
        <v>0</v>
      </c>
      <c r="D18207" t="s">
        <v>23500</v>
      </c>
      <c r="E18207" t="s">
        <v>40682</v>
      </c>
    </row>
    <row r="18208" spans="1:5">
      <c r="A18208" t="s">
        <v>6</v>
      </c>
      <c r="B18208" t="s">
        <v>18213</v>
      </c>
      <c r="C18208">
        <f>HYPERLINK("C:\Users\franc\OneDrive\Documentos\MALENTIN KARIME\BANCO ESTADO\2012 DEPTO ESCRITURAS fata\Dc Simples\2012 DEPTO ESCRITURAS\CESION\PEDRO TORRES A RUBEN SIERRA.doc", "Abrir Documento")</f>
        <v>0</v>
      </c>
      <c r="D18208" t="s">
        <v>23500</v>
      </c>
      <c r="E18208" t="s">
        <v>40683</v>
      </c>
    </row>
    <row r="18209" spans="1:5">
      <c r="A18209" t="s">
        <v>6</v>
      </c>
      <c r="B18209" t="s">
        <v>18214</v>
      </c>
      <c r="C18209">
        <f>HYPERLINK("C:\Users\franc\OneDrive\Documentos\MALENTIN KARIME\BANCO ESTADO\2012 DEPTO ESCRITURAS fata\Dc Simples\2012 DEPTO ESCRITURAS\CESION\PEDRO TORRES A RUBEN SIERRA Mandato.doc", "Abrir Documento")</f>
        <v>0</v>
      </c>
      <c r="D18209" t="s">
        <v>23500</v>
      </c>
      <c r="E18209" t="s">
        <v>40684</v>
      </c>
    </row>
    <row r="18210" spans="1:5">
      <c r="A18210" t="s">
        <v>6</v>
      </c>
      <c r="B18210" t="s">
        <v>18215</v>
      </c>
      <c r="C18210">
        <f>HYPERLINK("C:\Users\franc\OneDrive\Documentos\MALENTIN KARIME\BANCO ESTADO\2012 DEPTO ESCRITURAS fata\Dc Simples\2012 DEPTO ESCRITURAS\CESION\PEDRO TORRES A RUBEN SIERRA Durruty.doc", "Abrir Documento")</f>
        <v>0</v>
      </c>
      <c r="D18210" t="s">
        <v>23500</v>
      </c>
      <c r="E18210" t="s">
        <v>40685</v>
      </c>
    </row>
    <row r="18211" spans="1:5">
      <c r="A18211" t="s">
        <v>6</v>
      </c>
      <c r="B18211" t="s">
        <v>18216</v>
      </c>
      <c r="C18211">
        <f>HYPERLINK("C:\Users\franc\OneDrive\Documentos\MALENTIN KARIME\BANCO ESTADO\2012 DEPTO ESCRITURAS fata\Dc Simples\2012 DEPTO ESCRITURAS\CESION\GUILLERMO TORREALBA.doc", "Abrir Documento")</f>
        <v>0</v>
      </c>
      <c r="D18211" t="s">
        <v>23500</v>
      </c>
      <c r="E18211" t="s">
        <v>40686</v>
      </c>
    </row>
    <row r="18212" spans="1:5">
      <c r="A18212" t="s">
        <v>6</v>
      </c>
      <c r="B18212" t="s">
        <v>18217</v>
      </c>
      <c r="C18212">
        <f>HYPERLINK("C:\Users\franc\OneDrive\Documentos\MALENTIN KARIME\BANCO ESTADO\2012 DEPTO ESCRITURAS fata\Dc Simples\2012 DEPTO ESCRITURAS\CDAD HUATULAME\MIRTO CORTES ROBLES.doc", "Abrir Documento")</f>
        <v>0</v>
      </c>
      <c r="D18212" t="s">
        <v>23500</v>
      </c>
      <c r="E18212" t="s">
        <v>40687</v>
      </c>
    </row>
    <row r="18213" spans="1:5">
      <c r="A18213" t="s">
        <v>6</v>
      </c>
      <c r="B18213" t="s">
        <v>18218</v>
      </c>
      <c r="C18213">
        <f>HYPERLINK("C:\Users\franc\OneDrive\Documentos\MALENTIN KARIME\BANCO ESTADO\2012 DEPTO ESCRITURAS fata\Dc Simples\2012 DEPTO ESCRITURAS\CANCELACION\SOCIEDAD AGRICOLA DIOGENES ROJAS Y CIA.doc", "Abrir Documento")</f>
        <v>0</v>
      </c>
      <c r="D18213" t="s">
        <v>23500</v>
      </c>
      <c r="E18213" t="s">
        <v>40688</v>
      </c>
    </row>
    <row r="18214" spans="1:5">
      <c r="A18214" t="s">
        <v>6</v>
      </c>
      <c r="B18214" t="s">
        <v>18219</v>
      </c>
      <c r="C18214">
        <f>HYPERLINK("C:\Users\franc\OneDrive\Documentos\MALENTIN KARIME\BANCO ESTADO\2012 DEPTO ESCRITURAS fata\Dc Simples\2012 DEPTO ESCRITURAS\CANCELACION\RODRIGO ALCAYAGA ROMERO Cancelacion.doc", "Abrir Documento")</f>
        <v>0</v>
      </c>
      <c r="D18214" t="s">
        <v>23500</v>
      </c>
      <c r="E18214" t="s">
        <v>40689</v>
      </c>
    </row>
    <row r="18215" spans="1:5">
      <c r="A18215" t="s">
        <v>6</v>
      </c>
      <c r="B18215" t="s">
        <v>18220</v>
      </c>
      <c r="C18215">
        <f>HYPERLINK("C:\Users\franc\OneDrive\Documentos\MALENTIN KARIME\BANCO ESTADO\2012 DEPTO ESCRITURAS fata\Dc Simples\2012 DEPTO ESCRITURAS\CANCELACION\RENATO PEÑAFIEL OLIVARES.doc", "Abrir Documento")</f>
        <v>0</v>
      </c>
      <c r="D18215" t="s">
        <v>23500</v>
      </c>
      <c r="E18215" t="s">
        <v>40690</v>
      </c>
    </row>
    <row r="18216" spans="1:5">
      <c r="A18216" t="s">
        <v>6</v>
      </c>
      <c r="B18216" t="s">
        <v>18221</v>
      </c>
      <c r="C18216">
        <f>HYPERLINK("C:\Users\franc\OneDrive\Documentos\MALENTIN KARIME\BANCO ESTADO\2012 DEPTO ESCRITURAS fata\Dc Simples\2012 DEPTO ESCRITURAS\CANCELACION\PRISCILA ARAYA NARANJO.doc", "Abrir Documento")</f>
        <v>0</v>
      </c>
      <c r="D18216" t="s">
        <v>23500</v>
      </c>
      <c r="E18216" t="s">
        <v>40691</v>
      </c>
    </row>
    <row r="18217" spans="1:5">
      <c r="A18217" t="s">
        <v>6</v>
      </c>
      <c r="B18217" t="s">
        <v>18222</v>
      </c>
      <c r="C18217">
        <f>HYPERLINK("C:\Users\franc\OneDrive\Documentos\MALENTIN KARIME\BANCO ESTADO\2012 DEPTO ESCRITURAS fata\Dc Simples\2012 DEPTO ESCRITURAS\CANCELACION\NOLVIA ALVARADO CORTES Cancelacion.doc", "Abrir Documento")</f>
        <v>0</v>
      </c>
      <c r="D18217" t="s">
        <v>23500</v>
      </c>
      <c r="E18217" t="s">
        <v>40692</v>
      </c>
    </row>
    <row r="18218" spans="1:5">
      <c r="A18218" t="s">
        <v>6</v>
      </c>
      <c r="B18218" t="s">
        <v>18223</v>
      </c>
      <c r="C18218">
        <f>HYPERLINK("C:\Users\franc\OneDrive\Documentos\MALENTIN KARIME\BANCO ESTADO\2012 DEPTO ESCRITURAS fata\Dc Simples\2012 DEPTO ESCRITURAS\CANCELACION\MOISES VARAS RAMIREZ Cancelacion.doc", "Abrir Documento")</f>
        <v>0</v>
      </c>
      <c r="D18218" t="s">
        <v>23500</v>
      </c>
      <c r="E18218" t="s">
        <v>40693</v>
      </c>
    </row>
    <row r="18219" spans="1:5">
      <c r="A18219" t="s">
        <v>6</v>
      </c>
      <c r="B18219" t="s">
        <v>18224</v>
      </c>
      <c r="C18219">
        <f>HYPERLINK("C:\Users\franc\OneDrive\Documentos\MALENTIN KARIME\BANCO ESTADO\2012 DEPTO ESCRITURAS fata\Dc Simples\2012 DEPTO ESCRITURAS\CANCELACION\MARIA ROJAS A PATRICIO CORTES.doc", "Abrir Documento")</f>
        <v>0</v>
      </c>
      <c r="D18219" t="s">
        <v>23500</v>
      </c>
      <c r="E18219" t="s">
        <v>40694</v>
      </c>
    </row>
    <row r="18220" spans="1:5">
      <c r="A18220" t="s">
        <v>6</v>
      </c>
      <c r="B18220" t="s">
        <v>18225</v>
      </c>
      <c r="C18220">
        <f>HYPERLINK("C:\Users\franc\OneDrive\Documentos\MALENTIN KARIME\BANCO ESTADO\2012 DEPTO ESCRITURAS fata\Dc Simples\2012 DEPTO ESCRITURAS\CANCELACION\MARIA ANGELICA CLAUSSEN RODRIGUEZ.doc", "Abrir Documento")</f>
        <v>0</v>
      </c>
      <c r="D18220" t="s">
        <v>23500</v>
      </c>
      <c r="E18220" t="s">
        <v>40695</v>
      </c>
    </row>
    <row r="18221" spans="1:5">
      <c r="A18221" t="s">
        <v>6</v>
      </c>
      <c r="B18221" t="s">
        <v>18226</v>
      </c>
      <c r="C18221">
        <f>HYPERLINK("C:\Users\franc\OneDrive\Documentos\MALENTIN KARIME\BANCO ESTADO\2012 DEPTO ESCRITURAS fata\Dc Simples\2012 DEPTO ESCRITURAS\CANCELACION\MARIA ANGEL ARTAL Cancelacion.doc", "Abrir Documento")</f>
        <v>0</v>
      </c>
      <c r="D18221" t="s">
        <v>23500</v>
      </c>
      <c r="E18221" t="s">
        <v>40696</v>
      </c>
    </row>
    <row r="18222" spans="1:5">
      <c r="A18222" t="s">
        <v>6</v>
      </c>
      <c r="B18222" t="s">
        <v>18227</v>
      </c>
      <c r="C18222">
        <f>HYPERLINK("C:\Users\franc\OneDrive\Documentos\MALENTIN KARIME\BANCO ESTADO\2012 DEPTO ESCRITURAS fata\Dc Simples\2012 DEPTO ESCRITURAS\CANCELACION\MANUEL ROBLES ARAYA.doc", "Abrir Documento")</f>
        <v>0</v>
      </c>
      <c r="D18222" t="s">
        <v>23500</v>
      </c>
      <c r="E18222" t="s">
        <v>40697</v>
      </c>
    </row>
    <row r="18223" spans="1:5">
      <c r="A18223" t="s">
        <v>6</v>
      </c>
      <c r="B18223" t="s">
        <v>18228</v>
      </c>
      <c r="C18223">
        <f>HYPERLINK("C:\Users\franc\OneDrive\Documentos\MALENTIN KARIME\BANCO ESTADO\2012 DEPTO ESCRITURAS fata\Dc Simples\2012 DEPTO ESCRITURAS\CANCELACION\JUAN SEGUNDO GONZALEZ ASENSI Cancelacion.doc", "Abrir Documento")</f>
        <v>0</v>
      </c>
      <c r="D18223" t="s">
        <v>23500</v>
      </c>
      <c r="E18223" t="s">
        <v>40698</v>
      </c>
    </row>
    <row r="18224" spans="1:5">
      <c r="A18224" t="s">
        <v>6</v>
      </c>
      <c r="B18224" t="s">
        <v>18229</v>
      </c>
      <c r="C18224">
        <f>HYPERLINK("C:\Users\franc\OneDrive\Documentos\MALENTIN KARIME\BANCO ESTADO\2012 DEPTO ESCRITURAS fata\Dc Simples\2012 DEPTO ESCRITURAS\CANCELACION\JUAN ANTONIO ACUÑA CASTRO.doc", "Abrir Documento")</f>
        <v>0</v>
      </c>
      <c r="D18224" t="s">
        <v>23500</v>
      </c>
      <c r="E18224" t="s">
        <v>40699</v>
      </c>
    </row>
    <row r="18225" spans="1:5">
      <c r="A18225" t="s">
        <v>6</v>
      </c>
      <c r="B18225" t="s">
        <v>18230</v>
      </c>
      <c r="C18225">
        <f>HYPERLINK("C:\Users\franc\OneDrive\Documentos\MALENTIN KARIME\BANCO ESTADO\2012 DEPTO ESCRITURAS fata\Dc Simples\2012 DEPTO ESCRITURAS\CANCELACION\ARNOLDO ARAYA PINOÑEZ Cancelacion.doc", "Abrir Documento")</f>
        <v>0</v>
      </c>
      <c r="D18225" t="s">
        <v>23500</v>
      </c>
      <c r="E18225" t="s">
        <v>40700</v>
      </c>
    </row>
    <row r="18226" spans="1:5">
      <c r="A18226" t="s">
        <v>6</v>
      </c>
      <c r="B18226" t="s">
        <v>18231</v>
      </c>
      <c r="C18226">
        <f>HYPERLINK("C:\Users\franc\OneDrive\Documentos\MALENTIN KARIME\BANCO ESTADO\2012 DEPTO ESCRITURAS fata\Dc Simples\2012 DEPTO ESCRITURAS\CANCELACION\ANGELO CARVAJAL CARVAJAL.doc", "Abrir Documento")</f>
        <v>0</v>
      </c>
      <c r="D18226" t="s">
        <v>23500</v>
      </c>
      <c r="E18226" t="s">
        <v>40701</v>
      </c>
    </row>
    <row r="18227" spans="1:5">
      <c r="A18227" t="s">
        <v>6</v>
      </c>
      <c r="B18227" t="s">
        <v>18232</v>
      </c>
      <c r="C18227">
        <f>HYPERLINK("C:\Users\franc\OneDrive\Documentos\MALENTIN KARIME\BANCO ESTADO\2012 DEPTO ESCRITURAS fata\Dc Simples\2012 DEPTO ESCRITURAS\CAJudicial\YASNA CORTES LEMUS Octu 13.docx", "Abrir Documento")</f>
        <v>0</v>
      </c>
      <c r="D18227" t="s">
        <v>23501</v>
      </c>
      <c r="E18227" t="s">
        <v>40702</v>
      </c>
    </row>
    <row r="18228" spans="1:5">
      <c r="A18228" t="s">
        <v>6</v>
      </c>
      <c r="B18228" t="s">
        <v>18233</v>
      </c>
      <c r="C18228">
        <f>HYPERLINK("C:\Users\franc\OneDrive\Documentos\MALENTIN KARIME\BANCO ESTADO\2012 DEPTO ESCRITURAS fata\Dc Simples\2012 DEPTO ESCRITURAS\CAJudicial\ROSA CONTRERAS CUELLO.doc", "Abrir Documento")</f>
        <v>0</v>
      </c>
      <c r="D18228" t="s">
        <v>23500</v>
      </c>
      <c r="E18228" t="s">
        <v>40703</v>
      </c>
    </row>
    <row r="18229" spans="1:5">
      <c r="A18229" t="s">
        <v>6</v>
      </c>
      <c r="B18229" t="s">
        <v>18234</v>
      </c>
      <c r="C18229">
        <f>HYPERLINK("C:\Users\franc\OneDrive\Documentos\MALENTIN KARIME\BANCO ESTADO\2012 DEPTO ESCRITURAS fata\Dc Simples\2012 DEPTO ESCRITURAS\CAJudicial\RODRIGO PAYEROS.doc", "Abrir Documento")</f>
        <v>0</v>
      </c>
      <c r="D18229" t="s">
        <v>23500</v>
      </c>
      <c r="E18229" t="s">
        <v>40704</v>
      </c>
    </row>
    <row r="18230" spans="1:5">
      <c r="A18230" t="s">
        <v>6</v>
      </c>
      <c r="B18230" t="s">
        <v>18235</v>
      </c>
      <c r="C18230">
        <f>HYPERLINK("C:\Users\franc\OneDrive\Documentos\MALENTIN KARIME\BANCO ESTADO\2012 DEPTO ESCRITURAS fata\Dc Simples\2012 DEPTO ESCRITURAS\CAJudicial\RODRIGO CASTILLO Mandato judicial.doc", "Abrir Documento")</f>
        <v>0</v>
      </c>
      <c r="D18230" t="s">
        <v>23500</v>
      </c>
      <c r="E18230" t="s">
        <v>40705</v>
      </c>
    </row>
    <row r="18231" spans="1:5">
      <c r="A18231" t="s">
        <v>6</v>
      </c>
      <c r="B18231" t="s">
        <v>18236</v>
      </c>
      <c r="C18231">
        <f>HYPERLINK("C:\Users\franc\OneDrive\Documentos\MALENTIN KARIME\BANCO ESTADO\2012 DEPTO ESCRITURAS fata\Dc Simples\2012 DEPTO ESCRITURAS\CAJudicial\RICARDO ACOSTA Agosto 13.doc", "Abrir Documento")</f>
        <v>0</v>
      </c>
      <c r="D18231" t="s">
        <v>23500</v>
      </c>
      <c r="E18231" t="s">
        <v>40706</v>
      </c>
    </row>
    <row r="18232" spans="1:5">
      <c r="A18232" t="s">
        <v>6</v>
      </c>
      <c r="B18232" t="s">
        <v>18237</v>
      </c>
      <c r="C18232">
        <f>HYPERLINK("C:\Users\franc\OneDrive\Documentos\MALENTIN KARIME\BANCO ESTADO\2012 DEPTO ESCRITURAS fata\Dc Simples\2012 DEPTO ESCRITURAS\CAJudicial\Renuncia Ganacialies georgina ramírez-1.doc", "Abrir Documento")</f>
        <v>0</v>
      </c>
      <c r="D18232" t="s">
        <v>23500</v>
      </c>
      <c r="E18232" t="s">
        <v>40707</v>
      </c>
    </row>
    <row r="18233" spans="1:5">
      <c r="A18233" t="s">
        <v>6</v>
      </c>
      <c r="B18233" t="s">
        <v>18238</v>
      </c>
      <c r="C18233">
        <f>HYPERLINK("C:\Users\franc\OneDrive\Documentos\MALENTIN KARIME\BANCO ESTADO\2012 DEPTO ESCRITURAS fata\Dc Simples\2012 DEPTO ESCRITURAS\CAJudicial\NOLFA MARAMBIO CAYO  Liquidacion DIc 13.doc", "Abrir Documento")</f>
        <v>0</v>
      </c>
      <c r="D18233" t="s">
        <v>23500</v>
      </c>
      <c r="E18233" t="s">
        <v>40708</v>
      </c>
    </row>
    <row r="18234" spans="1:5">
      <c r="A18234" t="s">
        <v>6</v>
      </c>
      <c r="B18234" t="s">
        <v>18239</v>
      </c>
      <c r="C18234">
        <f>HYPERLINK("C:\Users\franc\OneDrive\Documentos\MALENTIN KARIME\BANCO ESTADO\2012 DEPTO ESCRITURAS fata\Dc Simples\2012 DEPTO ESCRITURAS\CAJudicial\NANCY VALENCIA GUERRERO.doc", "Abrir Documento")</f>
        <v>0</v>
      </c>
      <c r="D18234" t="s">
        <v>23500</v>
      </c>
      <c r="E18234" t="s">
        <v>40709</v>
      </c>
    </row>
    <row r="18235" spans="1:5">
      <c r="A18235" t="s">
        <v>6</v>
      </c>
      <c r="B18235" t="s">
        <v>18240</v>
      </c>
      <c r="C18235">
        <f>HYPERLINK("C:\Users\franc\OneDrive\Documentos\MALENTIN KARIME\BANCO ESTADO\2012 DEPTO ESCRITURAS fata\Dc Simples\2012 DEPTO ESCRITURAS\CAJudicial\MARICELA CASTILLO ROJAS Mandato Dic..doc", "Abrir Documento")</f>
        <v>0</v>
      </c>
      <c r="D18235" t="s">
        <v>23500</v>
      </c>
      <c r="E18235" t="s">
        <v>40710</v>
      </c>
    </row>
    <row r="18236" spans="1:5">
      <c r="A18236" t="s">
        <v>6</v>
      </c>
      <c r="B18236" t="s">
        <v>18241</v>
      </c>
      <c r="C18236">
        <f>HYPERLINK("C:\Users\franc\OneDrive\Documentos\MALENTIN KARIME\BANCO ESTADO\2012 DEPTO ESCRITURAS fata\Dc Simples\2012 DEPTO ESCRITURAS\CAJudicial\MAGALY VALDIVIA VARAS.doc", "Abrir Documento")</f>
        <v>0</v>
      </c>
      <c r="D18236" t="s">
        <v>23500</v>
      </c>
      <c r="E18236" t="s">
        <v>40711</v>
      </c>
    </row>
    <row r="18237" spans="1:5">
      <c r="A18237" t="s">
        <v>6</v>
      </c>
      <c r="B18237" t="s">
        <v>18242</v>
      </c>
      <c r="C18237">
        <f>HYPERLINK("C:\Users\franc\OneDrive\Documentos\MALENTIN KARIME\BANCO ESTADO\2012 DEPTO ESCRITURAS fata\Dc Simples\2012 DEPTO ESCRITURAS\CAJudicial\LUIS TABILO y Sandra Contreras Liquidacion Feb 14.doc", "Abrir Documento")</f>
        <v>0</v>
      </c>
      <c r="D18237" t="s">
        <v>23500</v>
      </c>
      <c r="E18237" t="s">
        <v>40712</v>
      </c>
    </row>
    <row r="18238" spans="1:5">
      <c r="A18238" t="s">
        <v>6</v>
      </c>
      <c r="B18238" t="s">
        <v>18243</v>
      </c>
      <c r="C18238">
        <f>HYPERLINK("C:\Users\franc\OneDrive\Documentos\MALENTIN KARIME\BANCO ESTADO\2012 DEPTO ESCRITURAS fata\Dc Simples\2012 DEPTO ESCRITURAS\CAJudicial\LUCY PIZARRO GONZALEZ.doc", "Abrir Documento")</f>
        <v>0</v>
      </c>
      <c r="D18238" t="s">
        <v>23500</v>
      </c>
      <c r="E18238" t="s">
        <v>40713</v>
      </c>
    </row>
    <row r="18239" spans="1:5">
      <c r="A18239" t="s">
        <v>6</v>
      </c>
      <c r="B18239" t="s">
        <v>18244</v>
      </c>
      <c r="C18239">
        <f>HYPERLINK("C:\Users\franc\OneDrive\Documentos\MALENTIN KARIME\BANCO ESTADO\2012 DEPTO ESCRITURAS fata\Dc Simples\2012 DEPTO ESCRITURAS\CAJudicial\Liquidacion sociedad conyugal sandra contreras alvarez corregida.doc", "Abrir Documento")</f>
        <v>0</v>
      </c>
      <c r="D18239" t="s">
        <v>23500</v>
      </c>
      <c r="E18239" t="s">
        <v>40714</v>
      </c>
    </row>
    <row r="18240" spans="1:5">
      <c r="A18240" t="s">
        <v>6</v>
      </c>
      <c r="B18240" t="s">
        <v>18245</v>
      </c>
      <c r="C18240">
        <f>HYPERLINK("C:\Users\franc\OneDrive\Documentos\MALENTIN KARIME\BANCO ESTADO\2012 DEPTO ESCRITURAS fata\Dc Simples\2012 DEPTO ESCRITURAS\CAJudicial\JACINTA ARAYA A NELSON MUÑOZ.doc", "Abrir Documento")</f>
        <v>0</v>
      </c>
      <c r="D18240" t="s">
        <v>23500</v>
      </c>
      <c r="E18240" t="s">
        <v>40715</v>
      </c>
    </row>
    <row r="18241" spans="1:5">
      <c r="A18241" t="s">
        <v>6</v>
      </c>
      <c r="B18241" t="s">
        <v>18246</v>
      </c>
      <c r="C18241">
        <f>HYPERLINK("C:\Users\franc\OneDrive\Documentos\MALENTIN KARIME\BANCO ESTADO\2012 DEPTO ESCRITURAS fata\Dc Simples\2012 DEPTO ESCRITURAS\CAJudicial\GRINELDO TAPIA CANGANA Cesion Octubre 13.doc", "Abrir Documento")</f>
        <v>0</v>
      </c>
      <c r="D18241" t="s">
        <v>23500</v>
      </c>
      <c r="E18241" t="s">
        <v>40716</v>
      </c>
    </row>
    <row r="18242" spans="1:5">
      <c r="A18242" t="s">
        <v>6</v>
      </c>
      <c r="B18242" t="s">
        <v>18247</v>
      </c>
      <c r="C18242">
        <f>HYPERLINK("C:\Users\franc\OneDrive\Documentos\MALENTIN KARIME\BANCO ESTADO\2012 DEPTO ESCRITURAS fata\Dc Simples\2012 DEPTO ESCRITURAS\CAJudicial\GEORGINA RAMIREZRenuncia Ganacialies.doc", "Abrir Documento")</f>
        <v>0</v>
      </c>
      <c r="D18242" t="s">
        <v>23500</v>
      </c>
      <c r="E18242" t="s">
        <v>40717</v>
      </c>
    </row>
    <row r="18243" spans="1:5">
      <c r="A18243" t="s">
        <v>6</v>
      </c>
      <c r="B18243" t="s">
        <v>18248</v>
      </c>
      <c r="C18243">
        <f>HYPERLINK("C:\Users\franc\OneDrive\Documentos\MALENTIN KARIME\BANCO ESTADO\2012 DEPTO ESCRITURAS fata\Dc Simples\2012 DEPTO ESCRITURAS\CAJudicial\ELVIS ALFARO GOMEZ Mandato Julio 2013.doc", "Abrir Documento")</f>
        <v>0</v>
      </c>
      <c r="D18243" t="s">
        <v>23500</v>
      </c>
      <c r="E18243" t="s">
        <v>40718</v>
      </c>
    </row>
    <row r="18244" spans="1:5">
      <c r="A18244" t="s">
        <v>6</v>
      </c>
      <c r="B18244" t="s">
        <v>18249</v>
      </c>
      <c r="C18244">
        <f>HYPERLINK("C:\Users\franc\OneDrive\Documentos\MALENTIN KARIME\BANCO ESTADO\2012 DEPTO ESCRITURAS fata\Dc Simples\2012 DEPTO ESCRITURAS\CAJudicial\DAYSI ROJAS ROAJS.doc", "Abrir Documento")</f>
        <v>0</v>
      </c>
      <c r="D18244" t="s">
        <v>23500</v>
      </c>
      <c r="E18244" t="s">
        <v>40719</v>
      </c>
    </row>
    <row r="18245" spans="1:5">
      <c r="A18245" t="s">
        <v>6</v>
      </c>
      <c r="B18245" t="s">
        <v>18250</v>
      </c>
      <c r="C18245">
        <f>HYPERLINK("C:\Users\franc\OneDrive\Documentos\MALENTIN KARIME\BANCO ESTADO\2012 DEPTO ESCRITURAS fata\Dc Simples\2012 DEPTO ESCRITURAS\CAJudicial\CESAR ESPINOSA PEÑA mandato Dic 13.doc", "Abrir Documento")</f>
        <v>0</v>
      </c>
      <c r="D18245" t="s">
        <v>23500</v>
      </c>
      <c r="E18245" t="s">
        <v>40720</v>
      </c>
    </row>
    <row r="18246" spans="1:5">
      <c r="A18246" t="s">
        <v>6</v>
      </c>
      <c r="B18246" t="s">
        <v>18251</v>
      </c>
      <c r="C18246">
        <f>HYPERLINK("C:\Users\franc\OneDrive\Documentos\MALENTIN KARIME\BANCO ESTADO\2012 DEPTO ESCRITURAS fata\Dc Simples\2012 DEPTO ESCRITURAS\CAJudicial\CELINDA JERALDO ROJAS Agosto 13.doc", "Abrir Documento")</f>
        <v>0</v>
      </c>
      <c r="D18246" t="s">
        <v>23500</v>
      </c>
      <c r="E18246" t="s">
        <v>40721</v>
      </c>
    </row>
    <row r="18247" spans="1:5">
      <c r="A18247" t="s">
        <v>6</v>
      </c>
      <c r="B18247" t="s">
        <v>18252</v>
      </c>
      <c r="C18247">
        <f>HYPERLINK("C:\Users\franc\OneDrive\Documentos\MALENTIN KARIME\BANCO ESTADO\2012 DEPTO ESCRITURAS fata\Dc Simples\2012 DEPTO ESCRITURAS\CAJudicial\CELINDA JERALDO ROJAS Agosto 13 correjido.doc", "Abrir Documento")</f>
        <v>0</v>
      </c>
      <c r="D18247" t="s">
        <v>23500</v>
      </c>
      <c r="E18247" t="s">
        <v>40722</v>
      </c>
    </row>
    <row r="18248" spans="1:5">
      <c r="A18248" t="s">
        <v>6</v>
      </c>
      <c r="B18248" t="s">
        <v>18253</v>
      </c>
      <c r="C18248">
        <f>HYPERLINK("C:\Users\franc\OneDrive\Documentos\MALENTIN KARIME\BANCO ESTADO\2012 DEPTO ESCRITURAS fata\Dc Simples\2012 DEPTO ESCRITURAS\CAJudicial\CARLOS TAPIA CANGANA Cesion Octubre 13.doc", "Abrir Documento")</f>
        <v>0</v>
      </c>
      <c r="D18248" t="s">
        <v>23500</v>
      </c>
      <c r="E18248" t="s">
        <v>40723</v>
      </c>
    </row>
    <row r="18249" spans="1:5">
      <c r="A18249" t="s">
        <v>6</v>
      </c>
      <c r="B18249" t="s">
        <v>18254</v>
      </c>
      <c r="C18249">
        <f>HYPERLINK("C:\Users\franc\OneDrive\Documentos\MALENTIN KARIME\BANCO ESTADO\2012 DEPTO ESCRITURAS fata\Dc Simples\2012 DEPTO ESCRITURAS\CAJudicial\BERTA GUERRERO AGUILERA.doc", "Abrir Documento")</f>
        <v>0</v>
      </c>
      <c r="D18249" t="s">
        <v>23500</v>
      </c>
      <c r="E18249" t="s">
        <v>40724</v>
      </c>
    </row>
    <row r="18250" spans="1:5">
      <c r="A18250" t="s">
        <v>6</v>
      </c>
      <c r="B18250" t="s">
        <v>18255</v>
      </c>
      <c r="C18250">
        <f>HYPERLINK("C:\Users\franc\OneDrive\Documentos\MALENTIN KARIME\BANCO ESTADO\2012 DEPTO ESCRITURAS fata\Dc Simples\2012 DEPTO ESCRITURAS\CAJudicial\BENJAMIN ANGEL ROMERO.doc", "Abrir Documento")</f>
        <v>0</v>
      </c>
      <c r="D18250" t="s">
        <v>23500</v>
      </c>
      <c r="E18250" t="s">
        <v>40725</v>
      </c>
    </row>
    <row r="18251" spans="1:5">
      <c r="A18251" t="s">
        <v>6</v>
      </c>
      <c r="B18251" t="s">
        <v>18256</v>
      </c>
      <c r="C18251">
        <f>HYPERLINK("C:\Users\franc\OneDrive\Documentos\MALENTIN KARIME\BANCO ESTADO\2012 DEPTO ESCRITURAS fata\Dc Simples\2012 DEPTO ESCRITURAS\BOMBEROS\BOMBEROS 8º COMPAÑIA OVALLE  FS 82 v.doc", "Abrir Documento")</f>
        <v>0</v>
      </c>
      <c r="D18251" t="s">
        <v>23500</v>
      </c>
      <c r="E18251" t="s">
        <v>40726</v>
      </c>
    </row>
    <row r="18252" spans="1:5">
      <c r="A18252" t="s">
        <v>6</v>
      </c>
      <c r="B18252" t="s">
        <v>18257</v>
      </c>
      <c r="C18252">
        <f>HYPERLINK("C:\Users\franc\OneDrive\Documentos\MALENTIN KARIME\BANCO ESTADO\2012 DEPTO ESCRITURAS fata\Dc Simples\2012 DEPTO ESCRITURAS\BOMBEROS\BOMBEROS 7º COMPAÑIA OVALLE  FS 89 v.doc", "Abrir Documento")</f>
        <v>0</v>
      </c>
      <c r="D18252" t="s">
        <v>23500</v>
      </c>
      <c r="E18252" t="s">
        <v>40727</v>
      </c>
    </row>
    <row r="18253" spans="1:5">
      <c r="A18253" t="s">
        <v>6</v>
      </c>
      <c r="B18253" t="s">
        <v>18258</v>
      </c>
      <c r="C18253">
        <f>HYPERLINK("C:\Users\franc\OneDrive\Documentos\MALENTIN KARIME\BANCO ESTADO\2012 DEPTO ESCRITURAS fata\Dc Simples\2012 DEPTO ESCRITURAS\BOMBEROS\AUTORIZA COPIA.doc", "Abrir Documento")</f>
        <v>0</v>
      </c>
      <c r="D18253" t="s">
        <v>23500</v>
      </c>
      <c r="E18253" t="s">
        <v>40728</v>
      </c>
    </row>
    <row r="18254" spans="1:5">
      <c r="A18254" t="s">
        <v>6</v>
      </c>
      <c r="B18254" t="s">
        <v>18259</v>
      </c>
      <c r="C18254">
        <f>HYPERLINK("C:\Users\franc\OneDrive\Documentos\MALENTIN KARIME\BANCO ESTADO\2012 DEPTO ESCRITURAS fata\Dc Simples\2012 DEPTO ESCRITURAS\BANCO SCOTIABANK\BIENES MUEBLES\SILVIA CERDA MADRID a FRANCISCO TORREJON Bienes Muebles.doc", "Abrir Documento")</f>
        <v>0</v>
      </c>
      <c r="D18254" t="s">
        <v>23500</v>
      </c>
      <c r="E18254" t="s">
        <v>40729</v>
      </c>
    </row>
    <row r="18255" spans="1:5">
      <c r="A18255" t="s">
        <v>6</v>
      </c>
      <c r="B18255" t="s">
        <v>18260</v>
      </c>
      <c r="C18255">
        <f>HYPERLINK("C:\Users\franc\OneDrive\Documentos\MALENTIN KARIME\BANCO ESTADO\2012 DEPTO ESCRITURAS fata\Dc Simples\2012 DEPTO ESCRITURAS\BANCO SCOTIABANK\BIENES MUEBLES\Inventario[1].doc", "Abrir Documento")</f>
        <v>0</v>
      </c>
      <c r="D18255" t="s">
        <v>23500</v>
      </c>
      <c r="E18255" t="s">
        <v>40730</v>
      </c>
    </row>
    <row r="18256" spans="1:5">
      <c r="A18256" t="s">
        <v>6</v>
      </c>
      <c r="B18256" t="s">
        <v>18261</v>
      </c>
      <c r="C18256">
        <f>HYPERLINK("C:\Users\franc\OneDrive\Documentos\MALENTIN KARIME\BANCO ESTADO\2012 DEPTO ESCRITURAS fata\Dc Simples\2012 DEPTO ESCRITURAS\BANCO SCOTIABANK\BIENES MUEBLES\INVENTARIO MENAJE DE FAMILIA DEL SOLAR.doc", "Abrir Documento")</f>
        <v>0</v>
      </c>
      <c r="D18256" t="s">
        <v>23500</v>
      </c>
      <c r="E18256" t="s">
        <v>40731</v>
      </c>
    </row>
    <row r="18257" spans="1:5">
      <c r="A18257" t="s">
        <v>6</v>
      </c>
      <c r="B18257" t="s">
        <v>18262</v>
      </c>
      <c r="C18257">
        <f>HYPERLINK("C:\Users\franc\OneDrive\Documentos\MALENTIN KARIME\BANCO ESTADO\2012 DEPTO ESCRITURAS fata\Dc Simples\2012 DEPTO ESCRITURAS\BANCO SCOTIABANK\BIENES MUEBLES\EDUARDO SELEME con Leonardo Fredes.doc", "Abrir Documento")</f>
        <v>0</v>
      </c>
      <c r="D18257" t="s">
        <v>23500</v>
      </c>
      <c r="E18257" t="s">
        <v>40732</v>
      </c>
    </row>
    <row r="18258" spans="1:5">
      <c r="A18258" t="s">
        <v>6</v>
      </c>
      <c r="B18258" t="s">
        <v>18263</v>
      </c>
      <c r="C18258">
        <f>HYPERLINK("C:\Users\franc\OneDrive\Documentos\MALENTIN KARIME\BANCO ESTADO\2012 DEPTO ESCRITURAS fata\Dc Simples\2012 DEPTO ESCRITURAS\BANCO SCOTIABANK\BIENES MUEBLES\CRISTINA FUENTES A LUCY CORTES.doc", "Abrir Documento")</f>
        <v>0</v>
      </c>
      <c r="D18258" t="s">
        <v>23500</v>
      </c>
      <c r="E18258" t="s">
        <v>40733</v>
      </c>
    </row>
    <row r="18259" spans="1:5">
      <c r="A18259" t="s">
        <v>6</v>
      </c>
      <c r="B18259" t="s">
        <v>18264</v>
      </c>
      <c r="C18259">
        <f>HYPERLINK("C:\Users\franc\OneDrive\Documentos\MALENTIN KARIME\BANCO ESTADO\2012 DEPTO ESCRITURAS fata\Dc Simples\2012 DEPTO ESCRITURAS\BANCO SCOTIABANK\BIENES MUEBLES\ARTURO LAGUNA A ANGELINA GUZMAN.doc", "Abrir Documento")</f>
        <v>0</v>
      </c>
      <c r="D18259" t="s">
        <v>23500</v>
      </c>
      <c r="E18259" t="s">
        <v>40734</v>
      </c>
    </row>
    <row r="18260" spans="1:5">
      <c r="A18260" t="s">
        <v>6</v>
      </c>
      <c r="B18260" t="s">
        <v>18265</v>
      </c>
      <c r="C18260">
        <f>HYPERLINK("C:\Users\franc\OneDrive\Documentos\MALENTIN KARIME\BANCO ESTADO\2012 DEPTO ESCRITURAS fata\Dc Simples\2012 DEPTO ESCRITURAS\BANCO SCOTIABANK\AREA LEASING\CORMAR LTDA..doc", "Abrir Documento")</f>
        <v>0</v>
      </c>
      <c r="D18260" t="s">
        <v>23500</v>
      </c>
      <c r="E18260" t="s">
        <v>40735</v>
      </c>
    </row>
    <row r="18261" spans="1:5">
      <c r="A18261" t="s">
        <v>6</v>
      </c>
      <c r="B18261" t="s">
        <v>18266</v>
      </c>
      <c r="C18261">
        <f>HYPERLINK("C:\Users\franc\OneDrive\Documentos\MALENTIN KARIME\BANCO ESTADO\2012 DEPTO ESCRITURAS fata\Dc Simples\2012 DEPTO ESCRITURAS\BANCO SCOTIABANK\VALLE TULAHUEN Prenda.doc", "Abrir Documento")</f>
        <v>0</v>
      </c>
      <c r="D18261" t="s">
        <v>23500</v>
      </c>
      <c r="E18261" t="s">
        <v>40736</v>
      </c>
    </row>
    <row r="18262" spans="1:5">
      <c r="A18262" t="s">
        <v>6</v>
      </c>
      <c r="B18262" t="s">
        <v>18267</v>
      </c>
      <c r="C18262">
        <f>HYPERLINK("C:\Users\franc\OneDrive\Documentos\MALENTIN KARIME\BANCO ESTADO\2012 DEPTO ESCRITURAS fata\Dc Simples\2012 DEPTO ESCRITURAS\BANCO SCOTIABANK\TADEO CASTAÑON Alzamiento.doc", "Abrir Documento")</f>
        <v>0</v>
      </c>
      <c r="D18262" t="s">
        <v>23500</v>
      </c>
      <c r="E18262" t="s">
        <v>40737</v>
      </c>
    </row>
    <row r="18263" spans="1:5">
      <c r="A18263" t="s">
        <v>6</v>
      </c>
      <c r="B18263" t="s">
        <v>18268</v>
      </c>
      <c r="C18263">
        <f>HYPERLINK("C:\Users\franc\OneDrive\Documentos\MALENTIN KARIME\BANCO ESTADO\2012 DEPTO ESCRITURAS fata\Dc Simples\2012 DEPTO ESCRITURAS\BANCO SCOTIABANK\SALVADOR CASTILLO HONORES Prenda Marzo.doc", "Abrir Documento")</f>
        <v>0</v>
      </c>
      <c r="D18263" t="s">
        <v>23500</v>
      </c>
      <c r="E18263" t="s">
        <v>40738</v>
      </c>
    </row>
    <row r="18264" spans="1:5">
      <c r="A18264" t="s">
        <v>6</v>
      </c>
      <c r="B18264" t="s">
        <v>18269</v>
      </c>
      <c r="C18264">
        <f>HYPERLINK("C:\Users\franc\OneDrive\Documentos\MALENTIN KARIME\BANCO ESTADO\2012 DEPTO ESCRITURAS fata\Dc Simples\2012 DEPTO ESCRITURAS\BANCO SCOTIABANK\Pedro Muñoz Cisternas y otra.doc", "Abrir Documento")</f>
        <v>0</v>
      </c>
      <c r="D18264" t="s">
        <v>23500</v>
      </c>
      <c r="E18264" t="s">
        <v>40739</v>
      </c>
    </row>
    <row r="18265" spans="1:5">
      <c r="A18265" t="s">
        <v>6</v>
      </c>
      <c r="B18265" t="s">
        <v>18270</v>
      </c>
      <c r="C18265">
        <f>HYPERLINK("C:\Users\franc\OneDrive\Documentos\MALENTIN KARIME\BANCO ESTADO\2012 DEPTO ESCRITURAS fata\Dc Simples\2012 DEPTO ESCRITURAS\BANCO SCOTIABANK\Pedro Muñoz Cisternas y otra C RESGUARDO.doc", "Abrir Documento")</f>
        <v>0</v>
      </c>
      <c r="D18265" t="s">
        <v>23500</v>
      </c>
      <c r="E18265" t="s">
        <v>40740</v>
      </c>
    </row>
    <row r="18266" spans="1:5">
      <c r="A18266" t="s">
        <v>6</v>
      </c>
      <c r="B18266" t="s">
        <v>18271</v>
      </c>
      <c r="C18266">
        <f>HYPERLINK("C:\Users\franc\OneDrive\Documentos\MALENTIN KARIME\BANCO ESTADO\2012 DEPTO ESCRITURAS fata\Dc Simples\2012 DEPTO ESCRITURAS\BANCO SCOTIABANK\PABLO CORRAL RIVEROS.doc", "Abrir Documento")</f>
        <v>0</v>
      </c>
      <c r="D18266" t="s">
        <v>23500</v>
      </c>
      <c r="E18266" t="s">
        <v>40741</v>
      </c>
    </row>
    <row r="18267" spans="1:5">
      <c r="A18267" t="s">
        <v>6</v>
      </c>
      <c r="B18267" t="s">
        <v>18272</v>
      </c>
      <c r="C18267">
        <f>HYPERLINK("C:\Users\franc\OneDrive\Documentos\MALENTIN KARIME\BANCO ESTADO\2012 DEPTO ESCRITURAS fata\Dc Simples\2012 DEPTO ESCRITURAS\BANCO SCOTIABANK\OGUER CAMPUSANO PINTO Prenda.doc", "Abrir Documento")</f>
        <v>0</v>
      </c>
      <c r="D18267" t="s">
        <v>23500</v>
      </c>
      <c r="E18267" t="s">
        <v>40742</v>
      </c>
    </row>
    <row r="18268" spans="1:5">
      <c r="A18268" t="s">
        <v>6</v>
      </c>
      <c r="B18268" t="s">
        <v>18273</v>
      </c>
      <c r="C18268">
        <f>HYPERLINK("C:\Users\franc\OneDrive\Documentos\MALENTIN KARIME\BANCO ESTADO\2012 DEPTO ESCRITURAS fata\Dc Simples\2012 DEPTO ESCRITURAS\BANCO SCOTIABANK\modelo ALZAMIENTO 2013.doc", "Abrir Documento")</f>
        <v>0</v>
      </c>
      <c r="D18268" t="s">
        <v>23500</v>
      </c>
      <c r="E18268" t="s">
        <v>40743</v>
      </c>
    </row>
    <row r="18269" spans="1:5">
      <c r="A18269" t="s">
        <v>6</v>
      </c>
      <c r="B18269" t="s">
        <v>18274</v>
      </c>
      <c r="C18269">
        <f>HYPERLINK("C:\Users\franc\OneDrive\Documentos\MALENTIN KARIME\BANCO ESTADO\2012 DEPTO ESCRITURAS fata\Dc Simples\2012 DEPTO ESCRITURAS\BANCO SCOTIABANK\MARIA HERNANDEZ ORELLANA Alza.doc", "Abrir Documento")</f>
        <v>0</v>
      </c>
      <c r="D18269" t="s">
        <v>23500</v>
      </c>
      <c r="E18269" t="s">
        <v>40744</v>
      </c>
    </row>
    <row r="18270" spans="1:5">
      <c r="A18270" t="s">
        <v>6</v>
      </c>
      <c r="B18270" t="s">
        <v>18275</v>
      </c>
      <c r="C18270">
        <f>HYPERLINK("C:\Users\franc\OneDrive\Documentos\MALENTIN KARIME\BANCO ESTADO\2012 DEPTO ESCRITURAS fata\Dc Simples\2012 DEPTO ESCRITURAS\BANCO SCOTIABANK\JUAN DIAZ BUGUEÑO Alzamiento.doc", "Abrir Documento")</f>
        <v>0</v>
      </c>
      <c r="D18270" t="s">
        <v>23500</v>
      </c>
      <c r="E18270" t="s">
        <v>40745</v>
      </c>
    </row>
    <row r="18271" spans="1:5">
      <c r="A18271" t="s">
        <v>6</v>
      </c>
      <c r="B18271" t="s">
        <v>18276</v>
      </c>
      <c r="C18271">
        <f>HYPERLINK("C:\Users\franc\OneDrive\Documentos\MALENTIN KARIME\BANCO ESTADO\2012 DEPTO ESCRITURAS fata\Dc Simples\2012 DEPTO ESCRITURAS\BANCO SCOTIABANK\GABRIEL JIMENEZ ROJAS.doc", "Abrir Documento")</f>
        <v>0</v>
      </c>
      <c r="D18271" t="s">
        <v>23500</v>
      </c>
      <c r="E18271" t="s">
        <v>40746</v>
      </c>
    </row>
    <row r="18272" spans="1:5">
      <c r="A18272" t="s">
        <v>6</v>
      </c>
      <c r="B18272" t="s">
        <v>18277</v>
      </c>
      <c r="C18272">
        <f>HYPERLINK("C:\Users\franc\OneDrive\Documentos\MALENTIN KARIME\BANCO ESTADO\2012 DEPTO ESCRITURAS fata\Dc Simples\2012 DEPTO ESCRITURAS\BANCO SCOTIABANK\GABRIEL JIMENEZ ROJAS carta Resguardo.doc", "Abrir Documento")</f>
        <v>0</v>
      </c>
      <c r="D18272" t="s">
        <v>23500</v>
      </c>
      <c r="E18272" t="s">
        <v>40747</v>
      </c>
    </row>
    <row r="18273" spans="1:5">
      <c r="A18273" t="s">
        <v>6</v>
      </c>
      <c r="B18273" t="s">
        <v>18278</v>
      </c>
      <c r="C18273">
        <f>HYPERLINK("C:\Users\franc\OneDrive\Documentos\MALENTIN KARIME\BANCO ESTADO\2012 DEPTO ESCRITURAS fata\Dc Simples\2012 DEPTO ESCRITURAS\BANCO SCOTIABANK\FITO MENDEZ Alzamiento.doc", "Abrir Documento")</f>
        <v>0</v>
      </c>
      <c r="D18273" t="s">
        <v>23500</v>
      </c>
      <c r="E18273" t="s">
        <v>40748</v>
      </c>
    </row>
    <row r="18274" spans="1:5">
      <c r="A18274" t="s">
        <v>6</v>
      </c>
      <c r="B18274" t="s">
        <v>18279</v>
      </c>
      <c r="C18274">
        <f>HYPERLINK("C:\Users\franc\OneDrive\Documentos\MALENTIN KARIME\BANCO ESTADO\2012 DEPTO ESCRITURAS fata\Dc Simples\2012 DEPTO ESCRITURAS\BANCO SCOTIABANK\F 24BRIAN RIVAS.doc", "Abrir Documento")</f>
        <v>0</v>
      </c>
      <c r="D18274" t="s">
        <v>23500</v>
      </c>
      <c r="E18274" t="s">
        <v>40749</v>
      </c>
    </row>
    <row r="18275" spans="1:5">
      <c r="A18275" t="s">
        <v>6</v>
      </c>
      <c r="B18275" t="s">
        <v>18280</v>
      </c>
      <c r="C18275">
        <f>HYPERLINK("C:\Users\franc\OneDrive\Documentos\MALENTIN KARIME\BANCO ESTADO\2012 DEPTO ESCRITURAS fata\Dc Simples\2012 DEPTO ESCRITURAS\BANCO SCOTIABANK\F 24 GABRIEL JIMENEZ.doc", "Abrir Documento")</f>
        <v>0</v>
      </c>
      <c r="D18275" t="s">
        <v>23500</v>
      </c>
      <c r="E18275" t="s">
        <v>40750</v>
      </c>
    </row>
    <row r="18276" spans="1:5">
      <c r="A18276" t="s">
        <v>6</v>
      </c>
      <c r="B18276" t="s">
        <v>18281</v>
      </c>
      <c r="C18276">
        <f>HYPERLINK("C:\Users\franc\OneDrive\Documentos\MALENTIN KARIME\BANCO ESTADO\2012 DEPTO ESCRITURAS fata\Dc Simples\2012 DEPTO ESCRITURAS\BANCO SCOTIABANK\DOBLE M Y PEDRO MUNOZ Y OTRA.doc", "Abrir Documento")</f>
        <v>0</v>
      </c>
      <c r="D18276" t="s">
        <v>23500</v>
      </c>
      <c r="E18276" t="s">
        <v>40751</v>
      </c>
    </row>
    <row r="18277" spans="1:5">
      <c r="A18277" t="s">
        <v>6</v>
      </c>
      <c r="B18277" t="s">
        <v>18282</v>
      </c>
      <c r="C18277">
        <f>HYPERLINK("C:\Users\franc\OneDrive\Documentos\MALENTIN KARIME\BANCO ESTADO\2012 DEPTO ESCRITURAS fata\Dc Simples\2012 DEPTO ESCRITURAS\BANCO SCOTIABANK\CRISTINA BARRAZA FLORES Prenda.doc", "Abrir Documento")</f>
        <v>0</v>
      </c>
      <c r="D18277" t="s">
        <v>23500</v>
      </c>
      <c r="E18277" t="s">
        <v>40752</v>
      </c>
    </row>
    <row r="18278" spans="1:5">
      <c r="A18278" t="s">
        <v>6</v>
      </c>
      <c r="B18278" t="s">
        <v>18283</v>
      </c>
      <c r="C18278">
        <f>HYPERLINK("C:\Users\franc\OneDrive\Documentos\MALENTIN KARIME\BANCO ESTADO\2012 DEPTO ESCRITURAS fata\Dc Simples\2012 DEPTO ESCRITURAS\BANCO SCOTIABANK\CONSTRUCCIONES Y RIEGO S.A..doc", "Abrir Documento")</f>
        <v>0</v>
      </c>
      <c r="D18278" t="s">
        <v>23500</v>
      </c>
      <c r="E18278" t="s">
        <v>40753</v>
      </c>
    </row>
    <row r="18279" spans="1:5">
      <c r="A18279" t="s">
        <v>6</v>
      </c>
      <c r="B18279" t="s">
        <v>18284</v>
      </c>
      <c r="C18279">
        <f>HYPERLINK("C:\Users\franc\OneDrive\Documentos\MALENTIN KARIME\BANCO ESTADO\2012 DEPTO ESCRITURAS fata\Dc Simples\2012 DEPTO ESCRITURAS\BANCO SCOTIABANK\CLARA CONEJEROS ROMERO Alza.doc", "Abrir Documento")</f>
        <v>0</v>
      </c>
      <c r="D18279" t="s">
        <v>23500</v>
      </c>
      <c r="E18279" t="s">
        <v>40754</v>
      </c>
    </row>
    <row r="18280" spans="1:5">
      <c r="A18280" t="s">
        <v>6</v>
      </c>
      <c r="B18280" t="s">
        <v>18285</v>
      </c>
      <c r="C18280">
        <f>HYPERLINK("C:\Users\franc\OneDrive\Documentos\MALENTIN KARIME\BANCO ESTADO\2012 DEPTO ESCRITURAS fata\Dc Simples\2012 DEPTO ESCRITURAS\BANCO SCOTIABANK\ALICIA GALLEGUILLOS.doc", "Abrir Documento")</f>
        <v>0</v>
      </c>
      <c r="D18280" t="s">
        <v>23500</v>
      </c>
      <c r="E18280" t="s">
        <v>40755</v>
      </c>
    </row>
    <row r="18281" spans="1:5">
      <c r="A18281" t="s">
        <v>6</v>
      </c>
      <c r="B18281" t="s">
        <v>18286</v>
      </c>
      <c r="C18281">
        <f>HYPERLINK("C:\Users\franc\OneDrive\Documentos\MALENTIN KARIME\BANCO ESTADO\2012 DEPTO ESCRITURAS fata\Dc Simples\2012 DEPTO ESCRITURAS\BANCO SCOTIABANK\AGROIND Y COMERC ALBERTO AGUIRRE Alzam.doc", "Abrir Documento")</f>
        <v>0</v>
      </c>
      <c r="D18281" t="s">
        <v>23500</v>
      </c>
      <c r="E18281" t="s">
        <v>40756</v>
      </c>
    </row>
    <row r="18282" spans="1:5">
      <c r="A18282" t="s">
        <v>6</v>
      </c>
      <c r="B18282" t="s">
        <v>18287</v>
      </c>
      <c r="C18282">
        <f>HYPERLINK("C:\Users\franc\OneDrive\Documentos\MALENTIN KARIME\BANCO ESTADO\2012 DEPTO ESCRITURAS fata\Dc Simples\2012 DEPTO ESCRITURAS\BANCO SCOTIABANK\ABIGAIL SEGOVIA MIRANDA.doc", "Abrir Documento")</f>
        <v>0</v>
      </c>
      <c r="D18282" t="s">
        <v>23500</v>
      </c>
      <c r="E18282" t="s">
        <v>40757</v>
      </c>
    </row>
    <row r="18283" spans="1:5">
      <c r="A18283" t="s">
        <v>6</v>
      </c>
      <c r="B18283" t="s">
        <v>18288</v>
      </c>
      <c r="C18283">
        <f>HYPERLINK("C:\Users\franc\OneDrive\Documentos\MALENTIN KARIME\BANCO ESTADO\2012 DEPTO ESCRITURAS fata\Dc Simples\2012 DEPTO ESCRITURAS\BANCO SANTANDER\William Escobar FIANZA Y CODEUDA SOLIDARIA.doc", "Abrir Documento")</f>
        <v>0</v>
      </c>
      <c r="D18283" t="s">
        <v>23500</v>
      </c>
      <c r="E18283" t="s">
        <v>40758</v>
      </c>
    </row>
    <row r="18284" spans="1:5">
      <c r="A18284" t="s">
        <v>6</v>
      </c>
      <c r="B18284" t="s">
        <v>18289</v>
      </c>
      <c r="C18284">
        <f>HYPERLINK("C:\Users\franc\OneDrive\Documentos\MALENTIN KARIME\BANCO ESTADO\2012 DEPTO ESCRITURAS fata\Dc Simples\2012 DEPTO ESCRITURAS\BANCO SANTANDER\ROBERTO VEGA ALCAYAGA Fianza Oct 13.doc", "Abrir Documento")</f>
        <v>0</v>
      </c>
      <c r="D18284" t="s">
        <v>23500</v>
      </c>
      <c r="E18284" t="s">
        <v>40759</v>
      </c>
    </row>
    <row r="18285" spans="1:5">
      <c r="A18285" t="s">
        <v>6</v>
      </c>
      <c r="B18285" t="s">
        <v>18290</v>
      </c>
      <c r="C18285">
        <f>HYPERLINK("C:\Users\franc\OneDrive\Documentos\MALENTIN KARIME\BANCO ESTADO\2012 DEPTO ESCRITURAS fata\Dc Simples\2012 DEPTO ESCRITURAS\BANCO SANTANDER\PERSONERIAS BCI OVALLE 2012.doc", "Abrir Documento")</f>
        <v>0</v>
      </c>
      <c r="D18285" t="s">
        <v>23500</v>
      </c>
      <c r="E18285" t="s">
        <v>40760</v>
      </c>
    </row>
    <row r="18286" spans="1:5">
      <c r="A18286" t="s">
        <v>6</v>
      </c>
      <c r="B18286" t="s">
        <v>18291</v>
      </c>
      <c r="C18286">
        <f>HYPERLINK("C:\Users\franc\OneDrive\Documentos\MALENTIN KARIME\BANCO ESTADO\2012 DEPTO ESCRITURAS fata\Dc Simples\2012 DEPTO ESCRITURAS\BANCO SANTANDER\Personeria Banco Santander.doc", "Abrir Documento")</f>
        <v>0</v>
      </c>
      <c r="D18286" t="s">
        <v>23500</v>
      </c>
      <c r="E18286" t="s">
        <v>40761</v>
      </c>
    </row>
    <row r="18287" spans="1:5">
      <c r="A18287" t="s">
        <v>6</v>
      </c>
      <c r="B18287" t="s">
        <v>18292</v>
      </c>
      <c r="C18287">
        <f>HYPERLINK("C:\Users\franc\OneDrive\Documentos\MALENTIN KARIME\BANCO ESTADO\2012 DEPTO ESCRITURAS fata\Dc Simples\2012 DEPTO ESCRITURAS\BANCO SANTANDER\PATRICIA ARAYA PIZARRO Fianza.doc", "Abrir Documento")</f>
        <v>0</v>
      </c>
      <c r="D18287" t="s">
        <v>23500</v>
      </c>
      <c r="E18287" t="s">
        <v>40762</v>
      </c>
    </row>
    <row r="18288" spans="1:5">
      <c r="A18288" t="s">
        <v>6</v>
      </c>
      <c r="B18288" t="s">
        <v>18293</v>
      </c>
      <c r="C18288">
        <f>HYPERLINK("C:\Users\franc\OneDrive\Documentos\MALENTIN KARIME\BANCO ESTADO\2012 DEPTO ESCRITURAS fata\Dc Simples\2012 DEPTO ESCRITURAS\BANCO SANTANDER\minuta.doc", "Abrir Documento")</f>
        <v>0</v>
      </c>
      <c r="D18288" t="s">
        <v>23500</v>
      </c>
      <c r="E18288" t="s">
        <v>40763</v>
      </c>
    </row>
    <row r="18289" spans="1:5">
      <c r="A18289" t="s">
        <v>6</v>
      </c>
      <c r="B18289" t="s">
        <v>18294</v>
      </c>
      <c r="C18289">
        <f>HYPERLINK("C:\Users\franc\OneDrive\Documentos\MALENTIN KARIME\BANCO ESTADO\2012 DEPTO ESCRITURAS fata\Dc Simples\2012 DEPTO ESCRITURAS\BANCO SANTANDER\MARIA INES Complementacion.doc", "Abrir Documento")</f>
        <v>0</v>
      </c>
      <c r="D18289" t="s">
        <v>23500</v>
      </c>
      <c r="E18289" t="s">
        <v>40764</v>
      </c>
    </row>
    <row r="18290" spans="1:5">
      <c r="A18290" t="s">
        <v>6</v>
      </c>
      <c r="B18290" t="s">
        <v>18295</v>
      </c>
      <c r="C18290">
        <f>HYPERLINK("C:\Users\franc\OneDrive\Documentos\MALENTIN KARIME\BANCO ESTADO\2012 DEPTO ESCRITURAS fata\Dc Simples\2012 DEPTO ESCRITURAS\BANCO SANTANDER\MARIA INES Aclaracion Arriendo.doc", "Abrir Documento")</f>
        <v>0</v>
      </c>
      <c r="D18290" t="s">
        <v>23500</v>
      </c>
      <c r="E18290" t="s">
        <v>40765</v>
      </c>
    </row>
    <row r="18291" spans="1:5">
      <c r="A18291" t="s">
        <v>6</v>
      </c>
      <c r="B18291" t="s">
        <v>18296</v>
      </c>
      <c r="C18291">
        <f>HYPERLINK("C:\Users\franc\OneDrive\Documentos\MALENTIN KARIME\BANCO ESTADO\2012 DEPTO ESCRITURAS fata\Dc Simples\2012 DEPTO ESCRITURAS\BANCO SANTANDER\JACQUELINE CASTRO Aclaracion M Ines.doc", "Abrir Documento")</f>
        <v>0</v>
      </c>
      <c r="D18291" t="s">
        <v>23500</v>
      </c>
      <c r="E18291" t="s">
        <v>40766</v>
      </c>
    </row>
    <row r="18292" spans="1:5">
      <c r="A18292" t="s">
        <v>6</v>
      </c>
      <c r="B18292" t="s">
        <v>18297</v>
      </c>
      <c r="C18292">
        <f>HYPERLINK("C:\Users\franc\OneDrive\Documentos\MALENTIN KARIME\BANCO ESTADO\2012 DEPTO ESCRITURAS fata\Dc Simples\2012 DEPTO ESCRITURAS\BANCO SANTANDER\HUGO CORDOVA OYABAN HIPOTECA  visto bueno.doc", "Abrir Documento")</f>
        <v>0</v>
      </c>
      <c r="D18292" t="s">
        <v>23500</v>
      </c>
      <c r="E18292" t="s">
        <v>40767</v>
      </c>
    </row>
    <row r="18293" spans="1:5">
      <c r="A18293" t="s">
        <v>6</v>
      </c>
      <c r="B18293" t="s">
        <v>18298</v>
      </c>
      <c r="C18293">
        <f>HYPERLINK("C:\Users\franc\OneDrive\Documentos\MALENTIN KARIME\BANCO ESTADO\2012 DEPTO ESCRITURAS fata\Dc Simples\2012 DEPTO ESCRITURAS\BANCO SANTANDER\HUGO CORDOVA OYABAN HIPOTECA  16.09.13.doc", "Abrir Documento")</f>
        <v>0</v>
      </c>
      <c r="D18293" t="s">
        <v>23500</v>
      </c>
      <c r="E18293" t="s">
        <v>40768</v>
      </c>
    </row>
    <row r="18294" spans="1:5">
      <c r="A18294" t="s">
        <v>6</v>
      </c>
      <c r="B18294" t="s">
        <v>18299</v>
      </c>
      <c r="C18294">
        <f>HYPERLINK("C:\Users\franc\OneDrive\Documentos\MALENTIN KARIME\BANCO ESTADO\2012 DEPTO ESCRITURAS fata\Dc Simples\2012 DEPTO ESCRITURAS\BANCO SANTANDER\HIPOTECA  16.09.13.doc", "Abrir Documento")</f>
        <v>0</v>
      </c>
      <c r="D18294" t="s">
        <v>23500</v>
      </c>
      <c r="E18294" t="s">
        <v>40769</v>
      </c>
    </row>
    <row r="18295" spans="1:5">
      <c r="A18295" t="s">
        <v>6</v>
      </c>
      <c r="B18295" t="s">
        <v>18300</v>
      </c>
      <c r="C18295">
        <f>HYPERLINK("C:\Users\franc\OneDrive\Documentos\MALENTIN KARIME\BANCO ESTADO\2012 DEPTO ESCRITURAS fata\Dc Simples\2012 DEPTO ESCRITURAS\BANCO SANTANDER\FRANCISCO RODRIGUEZ RODRIGUEZ.doc", "Abrir Documento")</f>
        <v>0</v>
      </c>
      <c r="D18295" t="s">
        <v>23500</v>
      </c>
      <c r="E18295" t="s">
        <v>40770</v>
      </c>
    </row>
    <row r="18296" spans="1:5">
      <c r="A18296" t="s">
        <v>6</v>
      </c>
      <c r="B18296" t="s">
        <v>18301</v>
      </c>
      <c r="C18296">
        <f>HYPERLINK("C:\Users\franc\OneDrive\Documentos\MALENTIN KARIME\BANCO ESTADO\2012 DEPTO ESCRITURAS fata\Dc Simples\2012 DEPTO ESCRITURAS\BANCO SANTANDER\FRANCISCO JAVIER UBILLA MARTINEZ_FIANZA_Y_CODEUDA_SOLIDARIA (1)fnal.doc", "Abrir Documento")</f>
        <v>0</v>
      </c>
      <c r="D18296" t="s">
        <v>23500</v>
      </c>
      <c r="E18296" t="s">
        <v>40771</v>
      </c>
    </row>
    <row r="18297" spans="1:5">
      <c r="A18297" t="s">
        <v>6</v>
      </c>
      <c r="B18297" t="s">
        <v>18302</v>
      </c>
      <c r="C18297">
        <f>HYPERLINK("C:\Users\franc\OneDrive\Documentos\MALENTIN KARIME\BANCO ESTADO\2012 DEPTO ESCRITURAS fata\Dc Simples\2012 DEPTO ESCRITURAS\BANCO SANTANDER\FRANCISCO JAVIER UBILLA MARTINEZ_FIANZA_Y_CODEUDA_SOLIDARIA (1)fnal revision.doc", "Abrir Documento")</f>
        <v>0</v>
      </c>
      <c r="D18297" t="s">
        <v>23500</v>
      </c>
      <c r="E18297" t="s">
        <v>40772</v>
      </c>
    </row>
    <row r="18298" spans="1:5">
      <c r="A18298" t="s">
        <v>6</v>
      </c>
      <c r="B18298" t="s">
        <v>18303</v>
      </c>
      <c r="C18298">
        <f>HYPERLINK("C:\Users\franc\OneDrive\Documentos\MALENTIN KARIME\BANCO ESTADO\2012 DEPTO ESCRITURAS fata\Dc Simples\2012 DEPTO ESCRITURAS\BANCO SANTANDER\FRANCISCO JAVIER UBILLA MARTINEZ_FIANZA_Y_CODEUDA_SOLIDARIA (1).doc", "Abrir Documento")</f>
        <v>0</v>
      </c>
      <c r="D18298" t="s">
        <v>23500</v>
      </c>
      <c r="E18298" t="s">
        <v>40773</v>
      </c>
    </row>
    <row r="18299" spans="1:5">
      <c r="A18299" t="s">
        <v>6</v>
      </c>
      <c r="B18299" t="s">
        <v>18304</v>
      </c>
      <c r="C18299">
        <f>HYPERLINK("C:\Users\franc\OneDrive\Documentos\MALENTIN KARIME\BANCO ESTADO\2012 DEPTO ESCRITURAS fata\Dc Simples\2012 DEPTO ESCRITURAS\BANCO SANTANDER\FIANZA Y CODEUDA SOLIDARIA 30.09.13.doc", "Abrir Documento")</f>
        <v>0</v>
      </c>
      <c r="D18299" t="s">
        <v>23500</v>
      </c>
      <c r="E18299" t="s">
        <v>40774</v>
      </c>
    </row>
    <row r="18300" spans="1:5">
      <c r="A18300" t="s">
        <v>6</v>
      </c>
      <c r="B18300" t="s">
        <v>18305</v>
      </c>
      <c r="C18300">
        <f>HYPERLINK("C:\Users\franc\OneDrive\Documentos\MALENTIN KARIME\BANCO ESTADO\2012 DEPTO ESCRITURAS fata\Dc Simples\2012 DEPTO ESCRITURAS\BANCO SANTANDER\CONSTANZA DE LOS ANGELES eirl.doc", "Abrir Documento")</f>
        <v>0</v>
      </c>
      <c r="D18300" t="s">
        <v>23500</v>
      </c>
      <c r="E18300" t="s">
        <v>40775</v>
      </c>
    </row>
    <row r="18301" spans="1:5">
      <c r="A18301" t="s">
        <v>6</v>
      </c>
      <c r="B18301" t="s">
        <v>18306</v>
      </c>
      <c r="C18301">
        <f>HYPERLINK("C:\Users\franc\OneDrive\Documentos\MALENTIN KARIME\BANCO ESTADO\2012 DEPTO ESCRITURAS fata\Dc Simples\2012 DEPTO ESCRITURAS\BANCO SANTANDER\CLAUDIO CONTRERAS RAMIREZ Fianza.doc", "Abrir Documento")</f>
        <v>0</v>
      </c>
      <c r="D18301" t="s">
        <v>23500</v>
      </c>
      <c r="E18301" t="s">
        <v>40776</v>
      </c>
    </row>
    <row r="18302" spans="1:5">
      <c r="A18302" t="s">
        <v>6</v>
      </c>
      <c r="B18302" t="s">
        <v>18307</v>
      </c>
      <c r="C18302">
        <f>HYPERLINK("C:\Users\franc\OneDrive\Documentos\MALENTIN KARIME\BANCO ESTADO\2012 DEPTO ESCRITURAS fata\Dc Simples\2012 DEPTO ESCRITURAS\BANCO SANTANDER\AGRICOLA Y FRIGORIFICO SANTA ADRIANA prenda.doc", "Abrir Documento")</f>
        <v>0</v>
      </c>
      <c r="D18302" t="s">
        <v>23500</v>
      </c>
      <c r="E18302" t="s">
        <v>40777</v>
      </c>
    </row>
    <row r="18303" spans="1:5">
      <c r="A18303" t="s">
        <v>6</v>
      </c>
      <c r="B18303" t="s">
        <v>18308</v>
      </c>
      <c r="C18303">
        <f>HYPERLINK("C:\Users\franc\OneDrive\Documentos\MALENTIN KARIME\BANCO ESTADO\2012 DEPTO ESCRITURAS fata\Dc Simples\2012 DEPTO ESCRITURAS\BANCO SANTANDER\AGRICOLA Y FRIGORIFICO SANTA ADRIANA instrucciones.doc", "Abrir Documento")</f>
        <v>0</v>
      </c>
      <c r="D18303" t="s">
        <v>23500</v>
      </c>
      <c r="E18303" t="s">
        <v>40778</v>
      </c>
    </row>
    <row r="18304" spans="1:5">
      <c r="A18304" t="s">
        <v>6</v>
      </c>
      <c r="B18304" t="s">
        <v>18309</v>
      </c>
      <c r="C18304">
        <f>HYPERLINK("C:\Users\franc\OneDrive\Documentos\MALENTIN KARIME\BANCO ESTADO\2012 DEPTO ESCRITURAS fata\Dc Simples\2012 DEPTO ESCRITURAS\BANCO SANTANDER\AGRICOLA Y FRIGORIFICO SANTA ADRIANA Hipoteca.doc", "Abrir Documento")</f>
        <v>0</v>
      </c>
      <c r="D18304" t="s">
        <v>23500</v>
      </c>
      <c r="E18304" t="s">
        <v>40779</v>
      </c>
    </row>
    <row r="18305" spans="1:5">
      <c r="A18305" t="s">
        <v>6</v>
      </c>
      <c r="B18305" t="s">
        <v>18310</v>
      </c>
      <c r="C18305">
        <f>HYPERLINK("C:\Users\franc\OneDrive\Documentos\MALENTIN KARIME\BANCO ESTADO\2012 DEPTO ESCRITURAS fata\Dc Simples\2012 DEPTO ESCRITURAS\BANCO SANTANDER\AGRICOLA Y FRIGORIFICO SANTA ADRIANA Hipoteca Aclaracion.doc", "Abrir Documento")</f>
        <v>0</v>
      </c>
      <c r="D18305" t="s">
        <v>23500</v>
      </c>
      <c r="E18305" t="s">
        <v>40780</v>
      </c>
    </row>
    <row r="18306" spans="1:5">
      <c r="A18306" t="s">
        <v>6</v>
      </c>
      <c r="B18306" t="s">
        <v>18311</v>
      </c>
      <c r="C18306">
        <f>HYPERLINK("C:\Users\franc\OneDrive\Documentos\MALENTIN KARIME\BANCO ESTADO\2012 DEPTO ESCRITURAS fata\Dc Simples\2012 DEPTO ESCRITURAS\BANCO ESTADO\ALZAMIENTO\LILIAN MIRANDA H.doc", "Abrir Documento")</f>
        <v>0</v>
      </c>
      <c r="D18306" t="s">
        <v>23500</v>
      </c>
      <c r="E18306" t="s">
        <v>40781</v>
      </c>
    </row>
    <row r="18307" spans="1:5">
      <c r="A18307" t="s">
        <v>6</v>
      </c>
      <c r="B18307" t="s">
        <v>18312</v>
      </c>
      <c r="C18307">
        <f>HYPERLINK("C:\Users\franc\OneDrive\Documentos\MALENTIN KARIME\BANCO ESTADO\2012 DEPTO ESCRITURAS fata\Dc Simples\2012 DEPTO ESCRITURAS\BANCO ESTADO\ALZAMIENTO\ALINA ARDILES.doc", "Abrir Documento")</f>
        <v>0</v>
      </c>
      <c r="D18307" t="s">
        <v>23500</v>
      </c>
      <c r="E18307" t="s">
        <v>40782</v>
      </c>
    </row>
    <row r="18308" spans="1:5">
      <c r="A18308" t="s">
        <v>6</v>
      </c>
      <c r="B18308" t="s">
        <v>18313</v>
      </c>
      <c r="C18308">
        <f>HYPERLINK("C:\Users\franc\OneDrive\Documentos\MALENTIN KARIME\BANCO ESTADO\2012 DEPTO ESCRITURAS fata\Dc Simples\2012 DEPTO ESCRITURAS\BANCO ESTADO\YOLANDA VEGA PIZARRO  A Angelina Lopez.doc", "Abrir Documento")</f>
        <v>0</v>
      </c>
      <c r="D18308" t="s">
        <v>23500</v>
      </c>
      <c r="E18308" t="s">
        <v>40783</v>
      </c>
    </row>
    <row r="18309" spans="1:5">
      <c r="A18309" t="s">
        <v>6</v>
      </c>
      <c r="B18309" t="s">
        <v>18314</v>
      </c>
      <c r="C18309">
        <f>HYPERLINK("C:\Users\franc\OneDrive\Documentos\MALENTIN KARIME\BANCO ESTADO\2012 DEPTO ESCRITURAS fata\Dc Simples\2012 DEPTO ESCRITURAS\BANCO ESTADO\VIGESIMO QUINTO.doc", "Abrir Documento")</f>
        <v>0</v>
      </c>
      <c r="D18309" t="s">
        <v>23500</v>
      </c>
      <c r="E18309" t="s">
        <v>40784</v>
      </c>
    </row>
    <row r="18310" spans="1:5">
      <c r="A18310" t="s">
        <v>6</v>
      </c>
      <c r="B18310" t="s">
        <v>18315</v>
      </c>
      <c r="C18310">
        <f>HYPERLINK("C:\Users\franc\OneDrive\Documentos\MALENTIN KARIME\BANCO ESTADO\2012 DEPTO ESCRITURAS fata\Dc Simples\2012 DEPTO ESCRITURAS\BANCO ESTADO\SEGUNDO MARTINEZ ROJAS Y BANCO ESTADO Cvta Mutuo.doc", "Abrir Documento")</f>
        <v>0</v>
      </c>
      <c r="D18310" t="s">
        <v>23500</v>
      </c>
      <c r="E18310" t="s">
        <v>40785</v>
      </c>
    </row>
    <row r="18311" spans="1:5">
      <c r="A18311" t="s">
        <v>6</v>
      </c>
      <c r="B18311" t="s">
        <v>18316</v>
      </c>
      <c r="C18311">
        <f>HYPERLINK("C:\Users\franc\OneDrive\Documentos\MALENTIN KARIME\BANCO ESTADO\2012 DEPTO ESCRITURAS fata\Dc Simples\2012 DEPTO ESCRITURAS\BANCO ESTADO\RODRIGO TORRES CISTERNAS y OTRA (Doble M - Del Atardecer 3º Etapa) - Banco Chile.doc", "Abrir Documento")</f>
        <v>0</v>
      </c>
      <c r="D18311" t="s">
        <v>23500</v>
      </c>
      <c r="E18311" t="s">
        <v>40786</v>
      </c>
    </row>
    <row r="18312" spans="1:5">
      <c r="A18312" t="s">
        <v>6</v>
      </c>
      <c r="B18312" t="s">
        <v>18317</v>
      </c>
      <c r="C18312">
        <f>HYPERLINK("C:\Users\franc\OneDrive\Documentos\MALENTIN KARIME\BANCO ESTADO\2012 DEPTO ESCRITURAS fata\Dc Simples\2012 DEPTO ESCRITURAS\BANCO ESTADO\ORLANDA SANTANDER SIERRA A IVAN LEON GONZALEZ Dic Sucesion.doc", "Abrir Documento")</f>
        <v>0</v>
      </c>
      <c r="D18312" t="s">
        <v>23500</v>
      </c>
      <c r="E18312" t="s">
        <v>40787</v>
      </c>
    </row>
    <row r="18313" spans="1:5">
      <c r="A18313" t="s">
        <v>6</v>
      </c>
      <c r="B18313" t="s">
        <v>18318</v>
      </c>
      <c r="C18313">
        <f>HYPERLINK("C:\Users\franc\OneDrive\Documentos\MALENTIN KARIME\BANCO ESTADO\2012 DEPTO ESCRITURAS fata\Dc Simples\2012 DEPTO ESCRITURAS\BANCO ESTADO\NELSON MIRANDA Carta resguardo.doc", "Abrir Documento")</f>
        <v>0</v>
      </c>
      <c r="D18313" t="s">
        <v>23500</v>
      </c>
      <c r="E18313" t="s">
        <v>40788</v>
      </c>
    </row>
    <row r="18314" spans="1:5">
      <c r="A18314" t="s">
        <v>6</v>
      </c>
      <c r="B18314" t="s">
        <v>18319</v>
      </c>
      <c r="C18314">
        <f>HYPERLINK("C:\Users\franc\OneDrive\Documentos\MALENTIN KARIME\BANCO ESTADO\2012 DEPTO ESCRITURAS fata\Dc Simples\2012 DEPTO ESCRITURAS\BANCO ESTADO\NELSON MIRANDA CACERES Y DOBLE M.doc", "Abrir Documento")</f>
        <v>0</v>
      </c>
      <c r="D18314" t="s">
        <v>23500</v>
      </c>
      <c r="E18314" t="s">
        <v>40789</v>
      </c>
    </row>
    <row r="18315" spans="1:5">
      <c r="A18315" t="s">
        <v>6</v>
      </c>
      <c r="B18315" t="s">
        <v>18320</v>
      </c>
      <c r="C18315">
        <f>HYPERLINK("C:\Users\franc\OneDrive\Documentos\MALENTIN KARIME\BANCO ESTADO\2012 DEPTO ESCRITURAS fata\Dc Simples\2012 DEPTO ESCRITURAS\BANCO ESTADO\MIRTA CACERES TAPJIA diciembre.doc", "Abrir Documento")</f>
        <v>0</v>
      </c>
      <c r="D18315" t="s">
        <v>23500</v>
      </c>
      <c r="E18315" t="s">
        <v>40790</v>
      </c>
    </row>
    <row r="18316" spans="1:5">
      <c r="A18316" t="s">
        <v>6</v>
      </c>
      <c r="B18316" t="s">
        <v>18321</v>
      </c>
      <c r="C18316">
        <f>HYPERLINK("C:\Users\franc\OneDrive\Documentos\MALENTIN KARIME\BANCO ESTADO\2012 DEPTO ESCRITURAS fata\Dc Simples\2012 DEPTO ESCRITURAS\BANCO ESTADO\MIRTA CACERES TAPJIA diciembre ejecutivo.doc", "Abrir Documento")</f>
        <v>0</v>
      </c>
      <c r="D18316" t="s">
        <v>23500</v>
      </c>
      <c r="E18316" t="s">
        <v>40791</v>
      </c>
    </row>
    <row r="18317" spans="1:5">
      <c r="A18317" t="s">
        <v>6</v>
      </c>
      <c r="B18317" t="s">
        <v>18322</v>
      </c>
      <c r="C18317">
        <f>HYPERLINK("C:\Users\franc\OneDrive\Documentos\MALENTIN KARIME\BANCO ESTADO\2012 DEPTO ESCRITURAS fata\Dc Simples\2012 DEPTO ESCRITURAS\BANCO ESTADO\JUSEF ARAYA LUNA  Y Doble M.doc", "Abrir Documento")</f>
        <v>0</v>
      </c>
      <c r="D18317" t="s">
        <v>23500</v>
      </c>
      <c r="E18317" t="s">
        <v>40792</v>
      </c>
    </row>
    <row r="18318" spans="1:5">
      <c r="A18318" t="s">
        <v>6</v>
      </c>
      <c r="B18318" t="s">
        <v>18323</v>
      </c>
      <c r="C18318">
        <f>HYPERLINK("C:\Users\franc\OneDrive\Documentos\MALENTIN KARIME\BANCO ESTADO\2012 DEPTO ESCRITURAS fata\Dc Simples\2012 DEPTO ESCRITURAS\BANCO ESTADO\JUSEF ARAYA LUNA  Carta Resguardo.doc", "Abrir Documento")</f>
        <v>0</v>
      </c>
      <c r="D18318" t="s">
        <v>23500</v>
      </c>
      <c r="E18318" t="s">
        <v>40793</v>
      </c>
    </row>
    <row r="18319" spans="1:5">
      <c r="A18319" t="s">
        <v>6</v>
      </c>
      <c r="B18319" t="s">
        <v>18324</v>
      </c>
      <c r="C18319">
        <f>HYPERLINK("C:\Users\franc\OneDrive\Documentos\MALENTIN KARIME\BANCO ESTADO\2012 DEPTO ESCRITURAS fata\Dc Simples\2012 DEPTO ESCRITURAS\BANCO ESTADO\JOSUE COFRE NAVARRO Carta Resguardo.doc", "Abrir Documento")</f>
        <v>0</v>
      </c>
      <c r="D18319" t="s">
        <v>23500</v>
      </c>
      <c r="E18319" t="s">
        <v>40794</v>
      </c>
    </row>
    <row r="18320" spans="1:5">
      <c r="A18320" t="s">
        <v>6</v>
      </c>
      <c r="B18320" t="s">
        <v>18325</v>
      </c>
      <c r="C18320">
        <f>HYPERLINK("C:\Users\franc\OneDrive\Documentos\MALENTIN KARIME\BANCO ESTADO\2012 DEPTO ESCRITURAS fata\Dc Simples\2012 DEPTO ESCRITURAS\BANCO ESTADO\GONZALO CACERES IRIARTE.doc", "Abrir Documento")</f>
        <v>0</v>
      </c>
      <c r="D18320" t="s">
        <v>23500</v>
      </c>
      <c r="E18320" t="s">
        <v>40795</v>
      </c>
    </row>
    <row r="18321" spans="1:5">
      <c r="A18321" t="s">
        <v>6</v>
      </c>
      <c r="B18321" t="s">
        <v>18326</v>
      </c>
      <c r="C18321">
        <f>HYPERLINK("C:\Users\franc\OneDrive\Documentos\MALENTIN KARIME\BANCO ESTADO\2012 DEPTO ESCRITURAS fata\Dc Simples\2012 DEPTO ESCRITURAS\BANCO ESTADO\GONZALO CACERES Carta resguardo.doc", "Abrir Documento")</f>
        <v>0</v>
      </c>
      <c r="D18321" t="s">
        <v>23500</v>
      </c>
      <c r="E18321" t="s">
        <v>40796</v>
      </c>
    </row>
    <row r="18322" spans="1:5">
      <c r="A18322" t="s">
        <v>6</v>
      </c>
      <c r="B18322" t="s">
        <v>18327</v>
      </c>
      <c r="C18322">
        <f>HYPERLINK("C:\Users\franc\OneDrive\Documentos\MALENTIN KARIME\BANCO ESTADO\2012 DEPTO ESCRITURAS fata\Dc Simples\2012 DEPTO ESCRITURAS\BANCO ESTADO\F 24 YOLANDA VEGA 22.doc", "Abrir Documento")</f>
        <v>0</v>
      </c>
      <c r="D18322" t="s">
        <v>23500</v>
      </c>
      <c r="E18322" t="s">
        <v>40797</v>
      </c>
    </row>
    <row r="18323" spans="1:5">
      <c r="A18323" t="s">
        <v>6</v>
      </c>
      <c r="B18323" t="s">
        <v>18328</v>
      </c>
      <c r="C18323">
        <f>HYPERLINK("C:\Users\franc\OneDrive\Documentos\MALENTIN KARIME\BANCO ESTADO\2012 DEPTO ESCRITURAS fata\Dc Simples\2012 DEPTO ESCRITURAS\BANCO ESTADO\F 24 RODRIGO TORRES.doc", "Abrir Documento")</f>
        <v>0</v>
      </c>
      <c r="D18323" t="s">
        <v>23500</v>
      </c>
      <c r="E18323" t="s">
        <v>40798</v>
      </c>
    </row>
    <row r="18324" spans="1:5">
      <c r="A18324" t="s">
        <v>6</v>
      </c>
      <c r="B18324" t="s">
        <v>18329</v>
      </c>
      <c r="C18324">
        <f>HYPERLINK("C:\Users\franc\OneDrive\Documentos\MALENTIN KARIME\BANCO ESTADO\2012 DEPTO ESCRITURAS fata\Dc Simples\2012 DEPTO ESCRITURAS\BANCO ESTADO\F 24 RODRIGO TORRES 22.doc", "Abrir Documento")</f>
        <v>0</v>
      </c>
      <c r="D18324" t="s">
        <v>23500</v>
      </c>
      <c r="E18324" t="s">
        <v>40799</v>
      </c>
    </row>
    <row r="18325" spans="1:5">
      <c r="A18325" t="s">
        <v>6</v>
      </c>
      <c r="B18325" t="s">
        <v>18330</v>
      </c>
      <c r="C18325">
        <f>HYPERLINK("C:\Users\franc\OneDrive\Documentos\MALENTIN KARIME\BANCO ESTADO\2012 DEPTO ESCRITURAS fata\Dc Simples\2012 DEPTO ESCRITURAS\BANCO ESTADO\F 24 PEDRO MUÑOZ 22.doc", "Abrir Documento")</f>
        <v>0</v>
      </c>
      <c r="D18325" t="s">
        <v>23500</v>
      </c>
      <c r="E18325" t="s">
        <v>40800</v>
      </c>
    </row>
    <row r="18326" spans="1:5">
      <c r="A18326" t="s">
        <v>6</v>
      </c>
      <c r="B18326" t="s">
        <v>18331</v>
      </c>
      <c r="C18326">
        <f>HYPERLINK("C:\Users\franc\OneDrive\Documentos\MALENTIN KARIME\BANCO ESTADO\2012 DEPTO ESCRITURAS fata\Dc Simples\2012 DEPTO ESCRITURAS\BANCO ESTADO\F 24 Nelson Miranda Cáceres.doc", "Abrir Documento")</f>
        <v>0</v>
      </c>
      <c r="D18326" t="s">
        <v>23500</v>
      </c>
      <c r="E18326" t="s">
        <v>40801</v>
      </c>
    </row>
    <row r="18327" spans="1:5">
      <c r="A18327" t="s">
        <v>6</v>
      </c>
      <c r="B18327" t="s">
        <v>18332</v>
      </c>
      <c r="C18327">
        <f>HYPERLINK("C:\Users\franc\OneDrive\Documentos\MALENTIN KARIME\BANCO ESTADO\2012 DEPTO ESCRITURAS fata\Dc Simples\2012 DEPTO ESCRITURAS\BANCO ESTADO\F 24 MIRTA CACERES.doc", "Abrir Documento")</f>
        <v>0</v>
      </c>
      <c r="D18327" t="s">
        <v>23500</v>
      </c>
      <c r="E18327" t="s">
        <v>40802</v>
      </c>
    </row>
    <row r="18328" spans="1:5">
      <c r="A18328" t="s">
        <v>6</v>
      </c>
      <c r="B18328" t="s">
        <v>18333</v>
      </c>
      <c r="C18328">
        <f>HYPERLINK("C:\Users\franc\OneDrive\Documentos\MALENTIN KARIME\BANCO ESTADO\2012 DEPTO ESCRITURAS fata\Dc Simples\2012 DEPTO ESCRITURAS\BANCO ESTADO\F 24 LUIS TOREJON.doc", "Abrir Documento")</f>
        <v>0</v>
      </c>
      <c r="D18328" t="s">
        <v>23500</v>
      </c>
      <c r="E18328" t="s">
        <v>40803</v>
      </c>
    </row>
    <row r="18329" spans="1:5">
      <c r="A18329" t="s">
        <v>6</v>
      </c>
      <c r="B18329" t="s">
        <v>18334</v>
      </c>
      <c r="C18329">
        <f>HYPERLINK("C:\Users\franc\OneDrive\Documentos\MALENTIN KARIME\BANCO ESTADO\2012 DEPTO ESCRITURAS fata\Dc Simples\2012 DEPTO ESCRITURAS\BANCO ESTADO\F 24 JOSUE COFRE.doc", "Abrir Documento")</f>
        <v>0</v>
      </c>
      <c r="D18329" t="s">
        <v>23500</v>
      </c>
      <c r="E18329" t="s">
        <v>40804</v>
      </c>
    </row>
    <row r="18330" spans="1:5">
      <c r="A18330" t="s">
        <v>6</v>
      </c>
      <c r="B18330" t="s">
        <v>18335</v>
      </c>
      <c r="C18330">
        <f>HYPERLINK("C:\Users\franc\OneDrive\Documentos\MALENTIN KARIME\BANCO ESTADO\2012 DEPTO ESCRITURAS fata\Dc Simples\2012 DEPTO ESCRITURAS\BANCO ESTADO\F 24 IVAN LEON.doc", "Abrir Documento")</f>
        <v>0</v>
      </c>
      <c r="D18330" t="s">
        <v>23500</v>
      </c>
      <c r="E18330" t="s">
        <v>40805</v>
      </c>
    </row>
    <row r="18331" spans="1:5">
      <c r="A18331" t="s">
        <v>6</v>
      </c>
      <c r="B18331" t="s">
        <v>18336</v>
      </c>
      <c r="C18331">
        <f>HYPERLINK("C:\Users\franc\OneDrive\Documentos\MALENTIN KARIME\BANCO ESTADO\2012 DEPTO ESCRITURAS fata\Dc Simples\2012 DEPTO ESCRITURAS\BANCO ESTADO\F 24 GONZALO CACERES.doc", "Abrir Documento")</f>
        <v>0</v>
      </c>
      <c r="D18331" t="s">
        <v>23500</v>
      </c>
      <c r="E18331" t="s">
        <v>40806</v>
      </c>
    </row>
    <row r="18332" spans="1:5">
      <c r="A18332" t="s">
        <v>6</v>
      </c>
      <c r="B18332" t="s">
        <v>18337</v>
      </c>
      <c r="C18332">
        <f>HYPERLINK("C:\Users\franc\OneDrive\Documentos\MALENTIN KARIME\BANCO ESTADO\2012 DEPTO ESCRITURAS fata\Dc Simples\2012 DEPTO ESCRITURAS\BANCO ESTADO\F 24 DANIEL CONTRERAS.doc", "Abrir Documento")</f>
        <v>0</v>
      </c>
      <c r="D18332" t="s">
        <v>23500</v>
      </c>
      <c r="E18332" t="s">
        <v>40807</v>
      </c>
    </row>
    <row r="18333" spans="1:5">
      <c r="A18333" t="s">
        <v>6</v>
      </c>
      <c r="B18333" t="s">
        <v>18338</v>
      </c>
      <c r="C18333">
        <f>HYPERLINK("C:\Users\franc\OneDrive\Documentos\MALENTIN KARIME\BANCO ESTADO\2012 DEPTO ESCRITURAS fata\Dc Simples\2012 DEPTO ESCRITURAS\BANCO ESTADO\F 24 CRISTIAN CORTES.doc", "Abrir Documento")</f>
        <v>0</v>
      </c>
      <c r="D18333" t="s">
        <v>23500</v>
      </c>
      <c r="E18333" t="s">
        <v>40808</v>
      </c>
    </row>
    <row r="18334" spans="1:5">
      <c r="A18334" t="s">
        <v>6</v>
      </c>
      <c r="B18334" t="s">
        <v>18339</v>
      </c>
      <c r="C18334">
        <f>HYPERLINK("C:\Users\franc\OneDrive\Documentos\MALENTIN KARIME\BANCO ESTADO\2012 DEPTO ESCRITURAS fata\Dc Simples\2012 DEPTO ESCRITURAS\BANCO ESTADO\F 24 BORIS JIMENEZ.doc", "Abrir Documento")</f>
        <v>0</v>
      </c>
      <c r="D18334" t="s">
        <v>23500</v>
      </c>
      <c r="E18334" t="s">
        <v>40809</v>
      </c>
    </row>
    <row r="18335" spans="1:5">
      <c r="A18335" t="s">
        <v>6</v>
      </c>
      <c r="B18335" t="s">
        <v>18340</v>
      </c>
      <c r="C18335">
        <f>HYPERLINK("C:\Users\franc\OneDrive\Documentos\MALENTIN KARIME\BANCO ESTADO\2012 DEPTO ESCRITURAS fata\Dc Simples\2012 DEPTO ESCRITURAS\BANCO ESTADO\DOBLE M A RODRIGO TORRES.doc", "Abrir Documento")</f>
        <v>0</v>
      </c>
      <c r="D18335" t="s">
        <v>23500</v>
      </c>
      <c r="E18335" t="s">
        <v>40810</v>
      </c>
    </row>
    <row r="18336" spans="1:5">
      <c r="A18336" t="s">
        <v>6</v>
      </c>
      <c r="B18336" t="s">
        <v>18341</v>
      </c>
      <c r="C18336">
        <f>HYPERLINK("C:\Users\franc\OneDrive\Documentos\MALENTIN KARIME\BANCO ESTADO\2012 DEPTO ESCRITURAS fata\Dc Simples\2012 DEPTO ESCRITURAS\BANCO ESTADO\DOBLE M A RODRIGO TORRES definitiva.doc", "Abrir Documento")</f>
        <v>0</v>
      </c>
      <c r="D18336" t="s">
        <v>23500</v>
      </c>
      <c r="E18336" t="s">
        <v>40811</v>
      </c>
    </row>
    <row r="18337" spans="1:5">
      <c r="A18337" t="s">
        <v>6</v>
      </c>
      <c r="B18337" t="s">
        <v>18342</v>
      </c>
      <c r="C18337">
        <f>HYPERLINK("C:\Users\franc\OneDrive\Documentos\MALENTIN KARIME\BANCO ESTADO\2012 DEPTO ESCRITURAS fata\Dc Simples\2012 DEPTO ESCRITURAS\BANCO ESTADO\DOBLE M A JOSUE COFRE definitiva.doc", "Abrir Documento")</f>
        <v>0</v>
      </c>
      <c r="D18337" t="s">
        <v>23500</v>
      </c>
      <c r="E18337" t="s">
        <v>40812</v>
      </c>
    </row>
    <row r="18338" spans="1:5">
      <c r="A18338" t="s">
        <v>6</v>
      </c>
      <c r="B18338" t="s">
        <v>18343</v>
      </c>
      <c r="C18338">
        <f>HYPERLINK("C:\Users\franc\OneDrive\Documentos\MALENTIN KARIME\BANCO ESTADO\2012 DEPTO ESCRITURAS fata\Dc Simples\2012 DEPTO ESCRITURAS\BANCO ESTADO\DANIEL CONTRERAS UBILLO Carta Resguardo.doc", "Abrir Documento")</f>
        <v>0</v>
      </c>
      <c r="D18338" t="s">
        <v>23500</v>
      </c>
      <c r="E18338" t="s">
        <v>40813</v>
      </c>
    </row>
    <row r="18339" spans="1:5">
      <c r="A18339" t="s">
        <v>6</v>
      </c>
      <c r="B18339" t="s">
        <v>18344</v>
      </c>
      <c r="C18339">
        <f>HYPERLINK("C:\Users\franc\OneDrive\Documentos\MALENTIN KARIME\BANCO ESTADO\2012 DEPTO ESCRITURAS fata\Dc Simples\2012 DEPTO ESCRITURAS\BANCO ESTADO\DANIEL CONTRERAS UBILLO  A DOBLE M.doc", "Abrir Documento")</f>
        <v>0</v>
      </c>
      <c r="D18339" t="s">
        <v>23500</v>
      </c>
      <c r="E18339" t="s">
        <v>40814</v>
      </c>
    </row>
    <row r="18340" spans="1:5">
      <c r="A18340" t="s">
        <v>6</v>
      </c>
      <c r="B18340" t="s">
        <v>18345</v>
      </c>
      <c r="C18340">
        <f>HYPERLINK("C:\Users\franc\OneDrive\Documentos\MALENTIN KARIME\BANCO ESTADO\2012 DEPTO ESCRITURAS fata\Dc Simples\2012 DEPTO ESCRITURAS\BANCO ESTADO\CVMUTU~2.DOC", "Abrir Documento")</f>
        <v>0</v>
      </c>
      <c r="D18340" t="s">
        <v>23500</v>
      </c>
      <c r="E18340" t="s">
        <v>40815</v>
      </c>
    </row>
    <row r="18341" spans="1:5">
      <c r="A18341" t="s">
        <v>6</v>
      </c>
      <c r="B18341" t="s">
        <v>18346</v>
      </c>
      <c r="C18341">
        <f>HYPERLINK("C:\Users\franc\OneDrive\Documentos\MALENTIN KARIME\BANCO ESTADO\2012 DEPTO ESCRITURAS fata\Dc Simples\2012 DEPTO ESCRITURAS\BANCO ESTADO\CV Mutuo Hipotecario (Doble M - Del Crepúculo) DANIEL CONTRERAS UBILLO - Febrero (2).doc", "Abrir Documento")</f>
        <v>0</v>
      </c>
      <c r="D18341" t="s">
        <v>23500</v>
      </c>
      <c r="E18341" t="s">
        <v>40816</v>
      </c>
    </row>
    <row r="18342" spans="1:5">
      <c r="A18342" t="s">
        <v>6</v>
      </c>
      <c r="B18342" t="s">
        <v>18347</v>
      </c>
      <c r="C18342">
        <f>HYPERLINK("C:\Users\franc\OneDrive\Documentos\MALENTIN KARIME\BANCO ESTADO\2012 DEPTO ESCRITURAS fata\Dc Simples\2012 DEPTO ESCRITURAS\BANCO ESTADO\CRISTIAN CORTES PINTO Y DOBLE M.doc", "Abrir Documento")</f>
        <v>0</v>
      </c>
      <c r="D18342" t="s">
        <v>23500</v>
      </c>
      <c r="E18342" t="s">
        <v>40817</v>
      </c>
    </row>
    <row r="18343" spans="1:5">
      <c r="A18343" t="s">
        <v>6</v>
      </c>
      <c r="B18343" t="s">
        <v>18348</v>
      </c>
      <c r="C18343">
        <f>HYPERLINK("C:\Users\franc\OneDrive\Documentos\MALENTIN KARIME\BANCO ESTADO\2012 DEPTO ESCRITURAS fata\Dc Simples\2012 DEPTO ESCRITURAS\BANCO ESTADO\CRISTIAN CORTES PINTO Y DOBLE M 2.doc", "Abrir Documento")</f>
        <v>0</v>
      </c>
      <c r="D18343" t="s">
        <v>23500</v>
      </c>
      <c r="E18343" t="s">
        <v>40818</v>
      </c>
    </row>
    <row r="18344" spans="1:5">
      <c r="A18344" t="s">
        <v>6</v>
      </c>
      <c r="B18344" t="s">
        <v>18349</v>
      </c>
      <c r="C18344">
        <f>HYPERLINK("C:\Users\franc\OneDrive\Documentos\MALENTIN KARIME\BANCO ESTADO\2012 DEPTO ESCRITURAS fata\Dc Simples\2012 DEPTO ESCRITURAS\BANCO ESTADO\CRISTIAN CORTES PINTO (Doble M - Del Atardecer 3º Etapa) - Banco Chile.doc", "Abrir Documento")</f>
        <v>0</v>
      </c>
      <c r="D18344" t="s">
        <v>23500</v>
      </c>
      <c r="E18344" t="s">
        <v>40819</v>
      </c>
    </row>
    <row r="18345" spans="1:5">
      <c r="A18345" t="s">
        <v>6</v>
      </c>
      <c r="B18345" t="s">
        <v>18350</v>
      </c>
      <c r="C18345">
        <f>HYPERLINK("C:\Users\franc\OneDrive\Documentos\MALENTIN KARIME\BANCO ESTADO\2012 DEPTO ESCRITURAS fata\Dc Simples\2012 DEPTO ESCRITURAS\BANCO ESTADO\CRISTIAN CORTES PINTO (Doble M - Del Atardecer 3º Etapa) - Banco Chile(2) CARTA RESGUARDO 2.doc", "Abrir Documento")</f>
        <v>0</v>
      </c>
      <c r="D18345" t="s">
        <v>23500</v>
      </c>
      <c r="E18345" t="s">
        <v>40820</v>
      </c>
    </row>
    <row r="18346" spans="1:5">
      <c r="A18346" t="s">
        <v>6</v>
      </c>
      <c r="B18346" t="s">
        <v>18351</v>
      </c>
      <c r="C18346">
        <f>HYPERLINK("C:\Users\franc\OneDrive\Documentos\MALENTIN KARIME\BANCO ESTADO\2012 DEPTO ESCRITURAS fata\Dc Simples\2012 DEPTO ESCRITURAS\BANCO ESTADO\CARTA.doc", "Abrir Documento")</f>
        <v>0</v>
      </c>
      <c r="D18346" t="s">
        <v>23500</v>
      </c>
      <c r="E18346" t="s">
        <v>40821</v>
      </c>
    </row>
    <row r="18347" spans="1:5">
      <c r="A18347" t="s">
        <v>6</v>
      </c>
      <c r="B18347" t="s">
        <v>18352</v>
      </c>
      <c r="C18347">
        <f>HYPERLINK("C:\Users\franc\OneDrive\Documentos\MALENTIN KARIME\BANCO ESTADO\2012 DEPTO ESCRITURAS fata\Dc Simples\2012 DEPTO ESCRITURAS\BANCO ESTADO\BORIS JIMENEZ BORQUEZ (Doble M - Del Crepúsculo) - Banco Chile.doc", "Abrir Documento")</f>
        <v>0</v>
      </c>
      <c r="D18347" t="s">
        <v>23500</v>
      </c>
      <c r="E18347" t="s">
        <v>40822</v>
      </c>
    </row>
    <row r="18348" spans="1:5">
      <c r="A18348" t="s">
        <v>6</v>
      </c>
      <c r="B18348" t="s">
        <v>18353</v>
      </c>
      <c r="C18348">
        <f>HYPERLINK("C:\Users\franc\OneDrive\Documentos\MALENTIN KARIME\BANCO ESTADO\2012 DEPTO ESCRITURAS fata\Dc Simples\2012 DEPTO ESCRITURAS\BANCO ESTADO\BORIS JIMENEZ BORQUEZ  A DOBLE M.doc", "Abrir Documento")</f>
        <v>0</v>
      </c>
      <c r="D18348" t="s">
        <v>23500</v>
      </c>
      <c r="E18348" t="s">
        <v>40823</v>
      </c>
    </row>
    <row r="18349" spans="1:5">
      <c r="A18349" t="s">
        <v>6</v>
      </c>
      <c r="B18349" t="s">
        <v>18354</v>
      </c>
      <c r="C18349">
        <f>HYPERLINK("C:\Users\franc\OneDrive\Documentos\MALENTIN KARIME\BANCO ESTADO\2012 DEPTO ESCRITURAS fata\Dc Simples\2012 DEPTO ESCRITURAS\BANCO ESTADO\BORIS JIMENEZ  Complementacion.doc", "Abrir Documento")</f>
        <v>0</v>
      </c>
      <c r="D18349" t="s">
        <v>23500</v>
      </c>
      <c r="E18349" t="s">
        <v>40824</v>
      </c>
    </row>
    <row r="18350" spans="1:5">
      <c r="A18350" t="s">
        <v>6</v>
      </c>
      <c r="B18350" t="s">
        <v>18355</v>
      </c>
      <c r="C18350">
        <f>HYPERLINK("C:\Users\franc\OneDrive\Documentos\MALENTIN KARIME\BANCO ESTADO\2012 DEPTO ESCRITURAS fata\Dc Simples\2012 DEPTO ESCRITURAS\BANCO CORPBANCA\LEASING\Tabla_de_factores_Los_primos(1).xls", "Abrir Documento")</f>
        <v>0</v>
      </c>
      <c r="D18350" t="s">
        <v>23500</v>
      </c>
      <c r="E18350" t="s">
        <v>40825</v>
      </c>
    </row>
    <row r="18351" spans="1:5">
      <c r="A18351" t="s">
        <v>6</v>
      </c>
      <c r="B18351" t="s">
        <v>18356</v>
      </c>
      <c r="C18351">
        <f>HYPERLINK("C:\Users\franc\OneDrive\Documentos\MALENTIN KARIME\BANCO ESTADO\2012 DEPTO ESCRITURAS fata\Dc Simples\2012 DEPTO ESCRITURAS\BANCO CORPBANCA\LEASING\Tabla de Factores - Agricola El Recreo 27-04-2012.pdf", "Abrir Documento")</f>
        <v>0</v>
      </c>
      <c r="D18351" t="s">
        <v>23501</v>
      </c>
      <c r="E18351" t="s">
        <v>40826</v>
      </c>
    </row>
    <row r="18352" spans="1:5">
      <c r="A18352" t="s">
        <v>6</v>
      </c>
      <c r="B18352" t="s">
        <v>18357</v>
      </c>
      <c r="C18352">
        <f>HYPERLINK("C:\Users\franc\OneDrive\Documentos\MALENTIN KARIME\BANCO ESTADO\2012 DEPTO ESCRITURAS fata\Dc Simples\2012 DEPTO ESCRITURAS\BANCO CORPBANCA\LEASING\Tabla de Factores - Agricola El Recreo 27-04-2012-1.pdf", "Abrir Documento")</f>
        <v>0</v>
      </c>
      <c r="D18352" t="s">
        <v>23501</v>
      </c>
      <c r="E18352" t="s">
        <v>40827</v>
      </c>
    </row>
    <row r="18353" spans="1:5">
      <c r="A18353" t="s">
        <v>6</v>
      </c>
      <c r="B18353" t="s">
        <v>18358</v>
      </c>
      <c r="C18353">
        <f>HYPERLINK("C:\Users\franc\OneDrive\Documentos\MALENTIN KARIME\BANCO ESTADO\2012 DEPTO ESCRITURAS fata\Dc Simples\2012 DEPTO ESCRITURAS\BANCO CORPBANCA\LEASING\SOC AGRICOLA EL RECREO 2009184.doc", "Abrir Documento")</f>
        <v>0</v>
      </c>
      <c r="D18353" t="s">
        <v>23500</v>
      </c>
      <c r="E18353" t="s">
        <v>40828</v>
      </c>
    </row>
    <row r="18354" spans="1:5">
      <c r="A18354" t="s">
        <v>6</v>
      </c>
      <c r="B18354" t="s">
        <v>18359</v>
      </c>
      <c r="C18354">
        <f>HYPERLINK("C:\Users\franc\OneDrive\Documentos\MALENTIN KARIME\BANCO ESTADO\2012 DEPTO ESCRITURAS fata\Dc Simples\2012 DEPTO ESCRITURAS\BANCO CORPBANCA\LEASING\Scaner inv. talquilla.doc", "Abrir Documento")</f>
        <v>0</v>
      </c>
      <c r="D18354" t="s">
        <v>23500</v>
      </c>
      <c r="E18354" t="s">
        <v>40829</v>
      </c>
    </row>
    <row r="18355" spans="1:5">
      <c r="A18355" t="s">
        <v>6</v>
      </c>
      <c r="B18355" t="s">
        <v>18360</v>
      </c>
      <c r="C18355">
        <f>HYPERLINK("C:\Users\franc\OneDrive\Documentos\MALENTIN KARIME\BANCO ESTADO\2012 DEPTO ESCRITURAS fata\Dc Simples\2012 DEPTO ESCRITURAS\BANCO CORPBANCA\LEASING\OSIEL VEGA E.I.R.L.doc", "Abrir Documento")</f>
        <v>0</v>
      </c>
      <c r="D18355" t="s">
        <v>23500</v>
      </c>
      <c r="E18355" t="s">
        <v>40830</v>
      </c>
    </row>
    <row r="18356" spans="1:5">
      <c r="A18356" t="s">
        <v>6</v>
      </c>
      <c r="B18356" t="s">
        <v>18361</v>
      </c>
      <c r="C18356">
        <f>HYPERLINK("C:\Users\franc\OneDrive\Documentos\MALENTIN KARIME\BANCO ESTADO\2012 DEPTO ESCRITURAS fata\Dc Simples\2012 DEPTO ESCRITURAS\BANCO CORPBANCA\LEASING\MINERA EL RELOJ  2009363.doc", "Abrir Documento")</f>
        <v>0</v>
      </c>
      <c r="D18356" t="s">
        <v>23500</v>
      </c>
      <c r="E18356" t="s">
        <v>40831</v>
      </c>
    </row>
    <row r="18357" spans="1:5">
      <c r="A18357" t="s">
        <v>6</v>
      </c>
      <c r="B18357" t="s">
        <v>18362</v>
      </c>
      <c r="C18357">
        <f>HYPERLINK("C:\Users\franc\OneDrive\Documentos\MALENTIN KARIME\BANCO ESTADO\2012 DEPTO ESCRITURAS fata\Dc Simples\2012 DEPTO ESCRITURAS\BANCO CORPBANCA\LEASING\MINERA EL RELOJ  2009362.doc", "Abrir Documento")</f>
        <v>0</v>
      </c>
      <c r="D18357" t="s">
        <v>23500</v>
      </c>
      <c r="E18357" t="s">
        <v>40832</v>
      </c>
    </row>
    <row r="18358" spans="1:5">
      <c r="A18358" t="s">
        <v>6</v>
      </c>
      <c r="B18358" t="s">
        <v>18363</v>
      </c>
      <c r="C18358">
        <f>HYPERLINK("C:\Users\franc\OneDrive\Documentos\MALENTIN KARIME\BANCO ESTADO\2012 DEPTO ESCRITURAS fata\Dc Simples\2012 DEPTO ESCRITURAS\BANCO CORPBANCA\LEASING\MINERA EL RELOJ  2009259.doc", "Abrir Documento")</f>
        <v>0</v>
      </c>
      <c r="D18358" t="s">
        <v>23500</v>
      </c>
      <c r="E18358" t="s">
        <v>40833</v>
      </c>
    </row>
    <row r="18359" spans="1:5">
      <c r="A18359" t="s">
        <v>6</v>
      </c>
      <c r="B18359" t="s">
        <v>18364</v>
      </c>
      <c r="C18359">
        <f>HYPERLINK("C:\Users\franc\OneDrive\Documentos\MALENTIN KARIME\BANCO ESTADO\2012 DEPTO ESCRITURAS fata\Dc Simples\2012 DEPTO ESCRITURAS\BANCO CORPBANCA\LEASING\MINERA EL RELOJ  2009258.doc", "Abrir Documento")</f>
        <v>0</v>
      </c>
      <c r="D18359" t="s">
        <v>23500</v>
      </c>
      <c r="E18359" t="s">
        <v>40834</v>
      </c>
    </row>
    <row r="18360" spans="1:5">
      <c r="A18360" t="s">
        <v>6</v>
      </c>
      <c r="B18360" t="s">
        <v>18365</v>
      </c>
      <c r="C18360">
        <f>HYPERLINK("C:\Users\franc\OneDrive\Documentos\MALENTIN KARIME\BANCO ESTADO\2012 DEPTO ESCRITURAS fata\Dc Simples\2012 DEPTO ESCRITURAS\BANCO CORPBANCA\LEASING\LUIS CLAUDIO MARIN EIRL.doc", "Abrir Documento")</f>
        <v>0</v>
      </c>
      <c r="D18360" t="s">
        <v>23500</v>
      </c>
      <c r="E18360" t="s">
        <v>40835</v>
      </c>
    </row>
    <row r="18361" spans="1:5">
      <c r="A18361" t="s">
        <v>6</v>
      </c>
      <c r="B18361" t="s">
        <v>18366</v>
      </c>
      <c r="C18361">
        <f>HYPERLINK("C:\Users\franc\OneDrive\Documentos\MALENTIN KARIME\BANCO ESTADO\2012 DEPTO ESCRITURAS fata\Dc Simples\2012 DEPTO ESCRITURAS\BANCO CORPBANCA\LEASING\KONG FRANZ CONFECCIONES 2009820.doc", "Abrir Documento")</f>
        <v>0</v>
      </c>
      <c r="D18361" t="s">
        <v>23500</v>
      </c>
      <c r="E18361" t="s">
        <v>40836</v>
      </c>
    </row>
    <row r="18362" spans="1:5">
      <c r="A18362" t="s">
        <v>6</v>
      </c>
      <c r="B18362" t="s">
        <v>18367</v>
      </c>
      <c r="C18362">
        <f>HYPERLINK("C:\Users\franc\OneDrive\Documentos\MALENTIN KARIME\BANCO ESTADO\2012 DEPTO ESCRITURAS fata\Dc Simples\2012 DEPTO ESCRITURAS\BANCO CORPBANCA\LEASING\INVERSIONES TALQUILLA   2009258 Julio.doc", "Abrir Documento")</f>
        <v>0</v>
      </c>
      <c r="D18362" t="s">
        <v>23500</v>
      </c>
      <c r="E18362" t="s">
        <v>40837</v>
      </c>
    </row>
    <row r="18363" spans="1:5">
      <c r="A18363" t="s">
        <v>6</v>
      </c>
      <c r="B18363" t="s">
        <v>18368</v>
      </c>
      <c r="C18363">
        <f>HYPERLINK("C:\Users\franc\OneDrive\Documentos\MALENTIN KARIME\BANCO ESTADO\2012 DEPTO ESCRITURAS fata\Dc Simples\2012 DEPTO ESCRITURAS\BANCO CORPBANCA\LEASING\HERMAN TELLO MARIN Oct 13.doc", "Abrir Documento")</f>
        <v>0</v>
      </c>
      <c r="D18363" t="s">
        <v>23500</v>
      </c>
      <c r="E18363" t="s">
        <v>40838</v>
      </c>
    </row>
    <row r="18364" spans="1:5">
      <c r="A18364" t="s">
        <v>6</v>
      </c>
      <c r="B18364" t="s">
        <v>18369</v>
      </c>
      <c r="C18364">
        <f>HYPERLINK("C:\Users\franc\OneDrive\Documentos\MALENTIN KARIME\BANCO ESTADO\2012 DEPTO ESCRITURAS fata\Dc Simples\2012 DEPTO ESCRITURAS\BANCO CORPBANCA\LEASING\FCO GONZALEZ Matrimonio.pdf", "Abrir Documento")</f>
        <v>0</v>
      </c>
      <c r="D18364" t="s">
        <v>23501</v>
      </c>
      <c r="E18364" t="s">
        <v>40839</v>
      </c>
    </row>
    <row r="18365" spans="1:5">
      <c r="A18365" t="s">
        <v>6</v>
      </c>
      <c r="B18365" t="s">
        <v>18370</v>
      </c>
      <c r="C18365">
        <f>HYPERLINK("C:\Users\franc\OneDrive\Documentos\MALENTIN KARIME\BANCO ESTADO\2012 DEPTO ESCRITURAS fata\Dc Simples\2012 DEPTO ESCRITURAS\BANCO CORPBANCA\LEASING\CONFECCIONES KONG-FRANZ.doc", "Abrir Documento")</f>
        <v>0</v>
      </c>
      <c r="D18365" t="s">
        <v>23500</v>
      </c>
      <c r="E18365" t="s">
        <v>40840</v>
      </c>
    </row>
    <row r="18366" spans="1:5">
      <c r="A18366" t="s">
        <v>6</v>
      </c>
      <c r="B18366" t="s">
        <v>18371</v>
      </c>
      <c r="C18366">
        <f>HYPERLINK("C:\Users\franc\OneDrive\Documentos\MALENTIN KARIME\BANCO ESTADO\2012 DEPTO ESCRITURAS fata\Dc Simples\2012 DEPTO ESCRITURAS\BANCO CORPBANCA\LEASING\CONFECCIONES KONG-FRANZ OCTUBRE 2012.doc", "Abrir Documento")</f>
        <v>0</v>
      </c>
      <c r="D18366" t="s">
        <v>23500</v>
      </c>
      <c r="E18366" t="s">
        <v>40841</v>
      </c>
    </row>
    <row r="18367" spans="1:5">
      <c r="A18367" t="s">
        <v>6</v>
      </c>
      <c r="B18367" t="s">
        <v>18372</v>
      </c>
      <c r="C18367">
        <f>HYPERLINK("C:\Users\franc\OneDrive\Documentos\MALENTIN KARIME\BANCO ESTADO\2012 DEPTO ESCRITURAS fata\Dc Simples\2012 DEPTO ESCRITURAS\BANCO CORPBANCA\LEASING\ALTOVALSOL LTDA. Modificacion1.doc", "Abrir Documento")</f>
        <v>0</v>
      </c>
      <c r="D18367" t="s">
        <v>23500</v>
      </c>
      <c r="E18367" t="s">
        <v>40842</v>
      </c>
    </row>
    <row r="18368" spans="1:5">
      <c r="A18368" t="s">
        <v>6</v>
      </c>
      <c r="B18368" t="s">
        <v>18373</v>
      </c>
      <c r="C18368">
        <f>HYPERLINK("C:\Users\franc\OneDrive\Documentos\MALENTIN KARIME\BANCO ESTADO\2012 DEPTO ESCRITURAS fata\Dc Simples\2012 DEPTO ESCRITURAS\BANCO CORPBANCA\LEASING\ALTOVALSOL LTDA. 2009337.doc", "Abrir Documento")</f>
        <v>0</v>
      </c>
      <c r="D18368" t="s">
        <v>23500</v>
      </c>
      <c r="E18368" t="s">
        <v>40843</v>
      </c>
    </row>
    <row r="18369" spans="1:5">
      <c r="A18369" t="s">
        <v>6</v>
      </c>
      <c r="B18369" t="s">
        <v>18374</v>
      </c>
      <c r="C18369">
        <f>HYPERLINK("C:\Users\franc\OneDrive\Documentos\MALENTIN KARIME\BANCO ESTADO\2012 DEPTO ESCRITURAS fata\Dc Simples\2012 DEPTO ESCRITURAS\BANCO CORPBANCA\LEASING\ALFONSO ARTIGUES.doc", "Abrir Documento")</f>
        <v>0</v>
      </c>
      <c r="D18369" t="s">
        <v>23500</v>
      </c>
      <c r="E18369" t="s">
        <v>40844</v>
      </c>
    </row>
    <row r="18370" spans="1:5">
      <c r="A18370" t="s">
        <v>6</v>
      </c>
      <c r="B18370" t="s">
        <v>18375</v>
      </c>
      <c r="C18370">
        <f>HYPERLINK("C:\Users\franc\OneDrive\Documentos\MALENTIN KARIME\BANCO ESTADO\2012 DEPTO ESCRITURAS fata\Dc Simples\2012 DEPTO ESCRITURAS\BANCO CORPBANCA\LEASING\AGRICOLA EL RECREO LTDA.doc", "Abrir Documento")</f>
        <v>0</v>
      </c>
      <c r="D18370" t="s">
        <v>23500</v>
      </c>
      <c r="E18370" t="s">
        <v>40845</v>
      </c>
    </row>
    <row r="18371" spans="1:5">
      <c r="A18371" t="s">
        <v>6</v>
      </c>
      <c r="B18371" t="s">
        <v>18376</v>
      </c>
      <c r="C18371">
        <f>HYPERLINK("C:\Users\franc\OneDrive\Documentos\MALENTIN KARIME\BANCO ESTADO\2012 DEPTO ESCRITURAS fata\Dc Simples\2012 DEPTO ESCRITURAS\BANCO CORPBANCA\LEASING\AGRICOLA CANTA RANA.doc", "Abrir Documento")</f>
        <v>0</v>
      </c>
      <c r="D18371" t="s">
        <v>23500</v>
      </c>
      <c r="E18371" t="s">
        <v>40846</v>
      </c>
    </row>
    <row r="18372" spans="1:5">
      <c r="A18372" t="s">
        <v>6</v>
      </c>
      <c r="B18372" t="s">
        <v>18377</v>
      </c>
      <c r="C18372">
        <f>HYPERLINK("C:\Users\franc\OneDrive\Documentos\MALENTIN KARIME\BANCO ESTADO\2012 DEPTO ESCRITURAS fata\Dc Simples\2012 DEPTO ESCRITURAS\BANCO CORPBANCA\LEASING\2010743 Kong-Frang Confecciones Limitada (Instrumento Privado).doc", "Abrir Documento")</f>
        <v>0</v>
      </c>
      <c r="D18372" t="s">
        <v>23500</v>
      </c>
      <c r="E18372" t="s">
        <v>40847</v>
      </c>
    </row>
    <row r="18373" spans="1:5">
      <c r="A18373" t="s">
        <v>6</v>
      </c>
      <c r="B18373" t="s">
        <v>18378</v>
      </c>
      <c r="C18373">
        <f>HYPERLINK("C:\Users\franc\OneDrive\Documentos\MALENTIN KARIME\BANCO ESTADO\2012 DEPTO ESCRITURAS fata\Dc Simples\2012 DEPTO ESCRITURAS\BANCO CORPBANCA\LEASING\200977~1.DOC", "Abrir Documento")</f>
        <v>0</v>
      </c>
      <c r="D18373" t="s">
        <v>23500</v>
      </c>
      <c r="E18373" t="s">
        <v>40848</v>
      </c>
    </row>
    <row r="18374" spans="1:5">
      <c r="A18374" t="s">
        <v>6</v>
      </c>
      <c r="B18374" t="s">
        <v>18379</v>
      </c>
      <c r="C18374">
        <f>HYPERLINK("C:\Users\franc\OneDrive\Documentos\MALENTIN KARIME\BANCO ESTADO\2012 DEPTO ESCRITURAS fata\Dc Simples\2012 DEPTO ESCRITURAS\BANCO CORPBANCA\CANTA RANA\2012887 Agricola Canta RAna S.A..doc", "Abrir Documento")</f>
        <v>0</v>
      </c>
      <c r="D18374" t="s">
        <v>23500</v>
      </c>
      <c r="E18374" t="s">
        <v>40849</v>
      </c>
    </row>
    <row r="18375" spans="1:5">
      <c r="A18375" t="s">
        <v>6</v>
      </c>
      <c r="B18375" t="s">
        <v>18380</v>
      </c>
      <c r="C18375">
        <f>HYPERLINK("C:\Users\franc\OneDrive\Documentos\MALENTIN KARIME\BANCO ESTADO\2012 DEPTO ESCRITURAS fata\Dc Simples\2012 DEPTO ESCRITURAS\BANCO CORPBANCA\CANTA RANA\2012881 Agricola Canta RAna S.A..doc", "Abrir Documento")</f>
        <v>0</v>
      </c>
      <c r="D18375" t="s">
        <v>23500</v>
      </c>
      <c r="E18375" t="s">
        <v>40850</v>
      </c>
    </row>
    <row r="18376" spans="1:5">
      <c r="A18376" t="s">
        <v>6</v>
      </c>
      <c r="B18376" t="s">
        <v>18381</v>
      </c>
      <c r="C18376">
        <f>HYPERLINK("C:\Users\franc\OneDrive\Documentos\MALENTIN KARIME\BANCO ESTADO\2012 DEPTO ESCRITURAS fata\Dc Simples\2012 DEPTO ESCRITURAS\BANCO CORPBANCA\CANTA RANA\2012880 Agricola Canta RAna S.A..doc", "Abrir Documento")</f>
        <v>0</v>
      </c>
      <c r="D18376" t="s">
        <v>23500</v>
      </c>
      <c r="E18376" t="s">
        <v>40851</v>
      </c>
    </row>
    <row r="18377" spans="1:5">
      <c r="A18377" t="s">
        <v>6</v>
      </c>
      <c r="B18377" t="s">
        <v>18382</v>
      </c>
      <c r="C18377">
        <f>HYPERLINK("C:\Users\franc\OneDrive\Documentos\MALENTIN KARIME\BANCO ESTADO\2012 DEPTO ESCRITURAS fata\Dc Simples\2012 DEPTO ESCRITURAS\BANCO CORPBANCA\CANTA RANA\2012879 Agricola Canta RAna S.A..doc", "Abrir Documento")</f>
        <v>0</v>
      </c>
      <c r="D18377" t="s">
        <v>23500</v>
      </c>
      <c r="E18377" t="s">
        <v>40852</v>
      </c>
    </row>
    <row r="18378" spans="1:5">
      <c r="A18378" t="s">
        <v>6</v>
      </c>
      <c r="B18378" t="s">
        <v>18383</v>
      </c>
      <c r="C18378">
        <f>HYPERLINK("C:\Users\franc\OneDrive\Documentos\MALENTIN KARIME\BANCO ESTADO\2012 DEPTO ESCRITURAS fata\Dc Simples\2012 DEPTO ESCRITURAS\BANCO CORPBANCA\SERVICIO COMBUSTIBLE Alzamiento.doc", "Abrir Documento")</f>
        <v>0</v>
      </c>
      <c r="D18378" t="s">
        <v>23500</v>
      </c>
      <c r="E18378" t="s">
        <v>40853</v>
      </c>
    </row>
    <row r="18379" spans="1:5">
      <c r="A18379" t="s">
        <v>6</v>
      </c>
      <c r="B18379" t="s">
        <v>18384</v>
      </c>
      <c r="C18379">
        <f>HYPERLINK("C:\Users\franc\OneDrive\Documentos\MALENTIN KARIME\BANCO ESTADO\2012 DEPTO ESCRITURAS fata\Dc Simples\2012 DEPTO ESCRITURAS\BANCO CORPBANCA\SERVICIO COMBUSTIBLE Alzamiento Prenda.doc", "Abrir Documento")</f>
        <v>0</v>
      </c>
      <c r="D18379" t="s">
        <v>23500</v>
      </c>
      <c r="E18379" t="s">
        <v>40854</v>
      </c>
    </row>
    <row r="18380" spans="1:5">
      <c r="A18380" t="s">
        <v>6</v>
      </c>
      <c r="B18380" t="s">
        <v>18385</v>
      </c>
      <c r="C18380">
        <f>HYPERLINK("C:\Users\franc\OneDrive\Documentos\MALENTIN KARIME\BANCO ESTADO\2012 DEPTO ESCRITURAS fata\Dc Simples\2012 DEPTO ESCRITURAS\BANCO CORPBANCA\ROBERTO TORRES DIAZ.doc", "Abrir Documento")</f>
        <v>0</v>
      </c>
      <c r="D18380" t="s">
        <v>23500</v>
      </c>
      <c r="E18380" t="s">
        <v>40855</v>
      </c>
    </row>
    <row r="18381" spans="1:5">
      <c r="A18381" t="s">
        <v>6</v>
      </c>
      <c r="B18381" t="s">
        <v>18386</v>
      </c>
      <c r="C18381">
        <f>HYPERLINK("C:\Users\franc\OneDrive\Documentos\MALENTIN KARIME\BANCO ESTADO\2012 DEPTO ESCRITURAS fata\Dc Simples\2012 DEPTO ESCRITURAS\BANCO CORPBANCA\Roberto Torres Diaz C RESGUARDO.doc", "Abrir Documento")</f>
        <v>0</v>
      </c>
      <c r="D18381" t="s">
        <v>23500</v>
      </c>
      <c r="E18381" t="s">
        <v>40856</v>
      </c>
    </row>
    <row r="18382" spans="1:5">
      <c r="A18382" t="s">
        <v>6</v>
      </c>
      <c r="B18382" t="s">
        <v>18387</v>
      </c>
      <c r="C18382">
        <f>HYPERLINK("C:\Users\franc\OneDrive\Documentos\MALENTIN KARIME\BANCO ESTADO\2012 DEPTO ESCRITURAS fata\Dc Simples\2012 DEPTO ESCRITURAS\BANCO CORPBANCA\PEDRO BARRIOS RESTOVIC Dic. Mutuo.doc", "Abrir Documento")</f>
        <v>0</v>
      </c>
      <c r="D18382" t="s">
        <v>23500</v>
      </c>
      <c r="E18382" t="s">
        <v>40857</v>
      </c>
    </row>
    <row r="18383" spans="1:5">
      <c r="A18383" t="s">
        <v>6</v>
      </c>
      <c r="B18383" t="s">
        <v>18388</v>
      </c>
      <c r="C18383">
        <f>HYPERLINK("C:\Users\franc\OneDrive\Documentos\MALENTIN KARIME\BANCO ESTADO\2012 DEPTO ESCRITURAS fata\Dc Simples\2012 DEPTO ESCRITURAS\BANCO CORPBANCA\OSVALDO TOLEDO SAN MARTIN.doc", "Abrir Documento")</f>
        <v>0</v>
      </c>
      <c r="D18383" t="s">
        <v>23500</v>
      </c>
      <c r="E18383" t="s">
        <v>40858</v>
      </c>
    </row>
    <row r="18384" spans="1:5">
      <c r="A18384" t="s">
        <v>6</v>
      </c>
      <c r="B18384" t="s">
        <v>18389</v>
      </c>
      <c r="C18384">
        <f>HYPERLINK("C:\Users\franc\OneDrive\Documentos\MALENTIN KARIME\BANCO ESTADO\2012 DEPTO ESCRITURAS fata\Dc Simples\2012 DEPTO ESCRITURAS\BANCO CORPBANCA\LUIS ALFARO ARAYA Y CORPBANCA Arrendam.doc", "Abrir Documento")</f>
        <v>0</v>
      </c>
      <c r="D18384" t="s">
        <v>23500</v>
      </c>
      <c r="E18384" t="s">
        <v>40859</v>
      </c>
    </row>
    <row r="18385" spans="1:5">
      <c r="A18385" t="s">
        <v>6</v>
      </c>
      <c r="B18385" t="s">
        <v>18390</v>
      </c>
      <c r="C18385">
        <f>HYPERLINK("C:\Users\franc\OneDrive\Documentos\MALENTIN KARIME\BANCO ESTADO\2012 DEPTO ESCRITURAS fata\Dc Simples\2012 DEPTO ESCRITURAS\BANCO CORPBANCA\Karen Alfaro López CARTA RESGUARDO.doc", "Abrir Documento")</f>
        <v>0</v>
      </c>
      <c r="D18385" t="s">
        <v>23500</v>
      </c>
      <c r="E18385" t="s">
        <v>40860</v>
      </c>
    </row>
    <row r="18386" spans="1:5">
      <c r="A18386" t="s">
        <v>6</v>
      </c>
      <c r="B18386" t="s">
        <v>18391</v>
      </c>
      <c r="C18386">
        <f>HYPERLINK("C:\Users\franc\OneDrive\Documentos\MALENTIN KARIME\BANCO ESTADO\2012 DEPTO ESCRITURAS fata\Dc Simples\2012 DEPTO ESCRITURAS\BANCO CORPBANCA\KAREN ALFARO LOPEZ Cvta Mutuo.doc", "Abrir Documento")</f>
        <v>0</v>
      </c>
      <c r="D18386" t="s">
        <v>23500</v>
      </c>
      <c r="E18386" t="s">
        <v>40861</v>
      </c>
    </row>
    <row r="18387" spans="1:5">
      <c r="A18387" t="s">
        <v>6</v>
      </c>
      <c r="B18387" t="s">
        <v>18392</v>
      </c>
      <c r="C18387">
        <f>HYPERLINK("C:\Users\franc\OneDrive\Documentos\MALENTIN KARIME\BANCO ESTADO\2012 DEPTO ESCRITURAS fata\Dc Simples\2012 DEPTO ESCRITURAS\BANCO CORPBANCA\KAREN ALFARO LOPEZ Cvta Mutuo ABOGADO.doc", "Abrir Documento")</f>
        <v>0</v>
      </c>
      <c r="D18387" t="s">
        <v>23500</v>
      </c>
      <c r="E18387" t="s">
        <v>40862</v>
      </c>
    </row>
    <row r="18388" spans="1:5">
      <c r="A18388" t="s">
        <v>6</v>
      </c>
      <c r="B18388" t="s">
        <v>18393</v>
      </c>
      <c r="C18388">
        <f>HYPERLINK("C:\Users\franc\OneDrive\Documentos\MALENTIN KARIME\BANCO ESTADO\2012 DEPTO ESCRITURAS fata\Dc Simples\2012 DEPTO ESCRITURAS\BANCO CORPBANCA\JAVIER VILLARROEL CON Inmobiliaria Rio Limari.doc", "Abrir Documento")</f>
        <v>0</v>
      </c>
      <c r="D18388" t="s">
        <v>23500</v>
      </c>
      <c r="E18388" t="s">
        <v>40863</v>
      </c>
    </row>
    <row r="18389" spans="1:5">
      <c r="A18389" t="s">
        <v>6</v>
      </c>
      <c r="B18389" t="s">
        <v>18394</v>
      </c>
      <c r="C18389">
        <f>HYPERLINK("C:\Users\franc\OneDrive\Documentos\MALENTIN KARIME\BANCO ESTADO\2012 DEPTO ESCRITURAS fata\Dc Simples\2012 DEPTO ESCRITURAS\BANCO CORPBANCA\INVERSIONES TALQUILLA.doc", "Abrir Documento")</f>
        <v>0</v>
      </c>
      <c r="D18389" t="s">
        <v>23500</v>
      </c>
      <c r="E18389" t="s">
        <v>40864</v>
      </c>
    </row>
    <row r="18390" spans="1:5">
      <c r="A18390" t="s">
        <v>6</v>
      </c>
      <c r="B18390" t="s">
        <v>18395</v>
      </c>
      <c r="C18390">
        <f>HYPERLINK("C:\Users\franc\OneDrive\Documentos\MALENTIN KARIME\BANCO ESTADO\2012 DEPTO ESCRITURAS fata\Dc Simples\2012 DEPTO ESCRITURAS\BANCO CORPBANCA\INVERSIONES TALQUILLA Aclara.doc", "Abrir Documento")</f>
        <v>0</v>
      </c>
      <c r="D18390" t="s">
        <v>23500</v>
      </c>
      <c r="E18390" t="s">
        <v>40865</v>
      </c>
    </row>
    <row r="18391" spans="1:5">
      <c r="A18391" t="s">
        <v>6</v>
      </c>
      <c r="B18391" t="s">
        <v>18396</v>
      </c>
      <c r="C18391">
        <f>HYPERLINK("C:\Users\franc\OneDrive\Documentos\MALENTIN KARIME\BANCO ESTADO\2012 DEPTO ESCRITURAS fata\Dc Simples\2012 DEPTO ESCRITURAS\BANCO CORPBANCA\INSTRUCCIONES sta magdalena Biran Ormeño.doc", "Abrir Documento")</f>
        <v>0</v>
      </c>
      <c r="D18391" t="s">
        <v>23500</v>
      </c>
      <c r="E18391" t="s">
        <v>40866</v>
      </c>
    </row>
    <row r="18392" spans="1:5">
      <c r="A18392" t="s">
        <v>6</v>
      </c>
      <c r="B18392" t="s">
        <v>18397</v>
      </c>
      <c r="C18392">
        <f>HYPERLINK("C:\Users\franc\OneDrive\Documentos\MALENTIN KARIME\BANCO ESTADO\2012 DEPTO ESCRITURAS fata\Dc Simples\2012 DEPTO ESCRITURAS\BANCO CORPBANCA\HERNAN ARAYA ARACENA Hipoteca.doc", "Abrir Documento")</f>
        <v>0</v>
      </c>
      <c r="D18392" t="s">
        <v>23500</v>
      </c>
      <c r="E18392" t="s">
        <v>40867</v>
      </c>
    </row>
    <row r="18393" spans="1:5">
      <c r="A18393" t="s">
        <v>6</v>
      </c>
      <c r="B18393" t="s">
        <v>18398</v>
      </c>
      <c r="C18393">
        <f>HYPERLINK("C:\Users\franc\OneDrive\Documentos\MALENTIN KARIME\BANCO ESTADO\2012 DEPTO ESCRITURAS fata\Dc Simples\2012 DEPTO ESCRITURAS\BANCO CORPBANCA\HERNAN ARAVENA C Resguardo.doc", "Abrir Documento")</f>
        <v>0</v>
      </c>
      <c r="D18393" t="s">
        <v>23500</v>
      </c>
      <c r="E18393" t="s">
        <v>40868</v>
      </c>
    </row>
    <row r="18394" spans="1:5">
      <c r="A18394" t="s">
        <v>6</v>
      </c>
      <c r="B18394" t="s">
        <v>18399</v>
      </c>
      <c r="C18394">
        <f>HYPERLINK("C:\Users\franc\OneDrive\Documentos\MALENTIN KARIME\BANCO ESTADO\2012 DEPTO ESCRITURAS fata\Dc Simples\2012 DEPTO ESCRITURAS\BANCO CORPBANCA\HERMES_DIAZ_RIVERA_Cv._e_Hip.[1].doc", "Abrir Documento")</f>
        <v>0</v>
      </c>
      <c r="D18394" t="s">
        <v>23500</v>
      </c>
      <c r="E18394" t="s">
        <v>40869</v>
      </c>
    </row>
    <row r="18395" spans="1:5">
      <c r="A18395" t="s">
        <v>6</v>
      </c>
      <c r="B18395" t="s">
        <v>18400</v>
      </c>
      <c r="C18395">
        <f>HYPERLINK("C:\Users\franc\OneDrive\Documentos\MALENTIN KARIME\BANCO ESTADO\2012 DEPTO ESCRITURAS fata\Dc Simples\2012 DEPTO ESCRITURAS\BANCO CORPBANCA\FIANZA 2009259 LEASING.doc", "Abrir Documento")</f>
        <v>0</v>
      </c>
      <c r="D18395" t="s">
        <v>23500</v>
      </c>
      <c r="E18395" t="s">
        <v>40870</v>
      </c>
    </row>
    <row r="18396" spans="1:5">
      <c r="A18396" t="s">
        <v>6</v>
      </c>
      <c r="B18396" t="s">
        <v>18401</v>
      </c>
      <c r="C18396">
        <f>HYPERLINK("C:\Users\franc\OneDrive\Documentos\MALENTIN KARIME\BANCO ESTADO\2012 DEPTO ESCRITURAS fata\Dc Simples\2012 DEPTO ESCRITURAS\BANCO CORPBANCA\FIANZA 2005298 LEASING.doc", "Abrir Documento")</f>
        <v>0</v>
      </c>
      <c r="D18396" t="s">
        <v>23500</v>
      </c>
      <c r="E18396" t="s">
        <v>40871</v>
      </c>
    </row>
    <row r="18397" spans="1:5">
      <c r="A18397" t="s">
        <v>6</v>
      </c>
      <c r="B18397" t="s">
        <v>18402</v>
      </c>
      <c r="C18397">
        <f>HYPERLINK("C:\Users\franc\OneDrive\Documentos\MALENTIN KARIME\BANCO ESTADO\2012 DEPTO ESCRITURAS fata\Dc Simples\2012 DEPTO ESCRITURAS\BANCO CORPBANCA\F 24EDSON GUZMAN 22.doc", "Abrir Documento")</f>
        <v>0</v>
      </c>
      <c r="D18397" t="s">
        <v>23500</v>
      </c>
      <c r="E18397" t="s">
        <v>40872</v>
      </c>
    </row>
    <row r="18398" spans="1:5">
      <c r="A18398" t="s">
        <v>6</v>
      </c>
      <c r="B18398" t="s">
        <v>18403</v>
      </c>
      <c r="C18398">
        <f>HYPERLINK("C:\Users\franc\OneDrive\Documentos\MALENTIN KARIME\BANCO ESTADO\2012 DEPTO ESCRITURAS fata\Dc Simples\2012 DEPTO ESCRITURAS\BANCO CORPBANCA\F 24BRIAN RIVAS.doc", "Abrir Documento")</f>
        <v>0</v>
      </c>
      <c r="D18398" t="s">
        <v>23500</v>
      </c>
      <c r="E18398" t="s">
        <v>40873</v>
      </c>
    </row>
    <row r="18399" spans="1:5">
      <c r="A18399" t="s">
        <v>6</v>
      </c>
      <c r="B18399" t="s">
        <v>18404</v>
      </c>
      <c r="C18399">
        <f>HYPERLINK("C:\Users\franc\OneDrive\Documentos\MALENTIN KARIME\BANCO ESTADO\2012 DEPTO ESCRITURAS fata\Dc Simples\2012 DEPTO ESCRITURAS\BANCO CORPBANCA\F 24 KAREN ALFARO.doc", "Abrir Documento")</f>
        <v>0</v>
      </c>
      <c r="D18399" t="s">
        <v>23500</v>
      </c>
      <c r="E18399" t="s">
        <v>40874</v>
      </c>
    </row>
    <row r="18400" spans="1:5">
      <c r="A18400" t="s">
        <v>6</v>
      </c>
      <c r="B18400" t="s">
        <v>18405</v>
      </c>
      <c r="C18400">
        <f>HYPERLINK("C:\Users\franc\OneDrive\Documentos\MALENTIN KARIME\BANCO ESTADO\2012 DEPTO ESCRITURAS fata\Dc Simples\2012 DEPTO ESCRITURAS\BANCO CORPBANCA\F 24 CARMEN PENNA.doc", "Abrir Documento")</f>
        <v>0</v>
      </c>
      <c r="D18400" t="s">
        <v>23500</v>
      </c>
      <c r="E18400" t="s">
        <v>40875</v>
      </c>
    </row>
    <row r="18401" spans="1:5">
      <c r="A18401" t="s">
        <v>6</v>
      </c>
      <c r="B18401" t="s">
        <v>18406</v>
      </c>
      <c r="C18401">
        <f>HYPERLINK("C:\Users\franc\OneDrive\Documentos\MALENTIN KARIME\BANCO ESTADO\2012 DEPTO ESCRITURAS fata\Dc Simples\2012 DEPTO ESCRITURAS\BANCO CORPBANCA\F 24 CARLOS SALFATE.doc", "Abrir Documento")</f>
        <v>0</v>
      </c>
      <c r="D18401" t="s">
        <v>23500</v>
      </c>
      <c r="E18401" t="s">
        <v>40876</v>
      </c>
    </row>
    <row r="18402" spans="1:5">
      <c r="A18402" t="s">
        <v>6</v>
      </c>
      <c r="B18402" t="s">
        <v>18407</v>
      </c>
      <c r="C18402">
        <f>HYPERLINK("C:\Users\franc\OneDrive\Documentos\MALENTIN KARIME\BANCO ESTADO\2012 DEPTO ESCRITURAS fata\Dc Simples\2012 DEPTO ESCRITURAS\BANCO CORPBANCA\F 24 ALFREDO MILLA.doc", "Abrir Documento")</f>
        <v>0</v>
      </c>
      <c r="D18402" t="s">
        <v>23500</v>
      </c>
      <c r="E18402" t="s">
        <v>40877</v>
      </c>
    </row>
    <row r="18403" spans="1:5">
      <c r="A18403" t="s">
        <v>6</v>
      </c>
      <c r="B18403" t="s">
        <v>18408</v>
      </c>
      <c r="C18403">
        <f>HYPERLINK("C:\Users\franc\OneDrive\Documentos\MALENTIN KARIME\BANCO ESTADO\2012 DEPTO ESCRITURAS fata\Dc Simples\2012 DEPTO ESCRITURAS\BANCO CORPBANCA\Edson Guzmán Guzman y otra C RESGUARDO.doc", "Abrir Documento")</f>
        <v>0</v>
      </c>
      <c r="D18403" t="s">
        <v>23500</v>
      </c>
      <c r="E18403" t="s">
        <v>40878</v>
      </c>
    </row>
    <row r="18404" spans="1:5">
      <c r="A18404" t="s">
        <v>6</v>
      </c>
      <c r="B18404" t="s">
        <v>18409</v>
      </c>
      <c r="C18404">
        <f>HYPERLINK("C:\Users\franc\OneDrive\Documentos\MALENTIN KARIME\BANCO ESTADO\2012 DEPTO ESCRITURAS fata\Dc Simples\2012 DEPTO ESCRITURAS\BANCO CORPBANCA\Edson Guzmán Guzman y otra C RESGUARDO 2.doc", "Abrir Documento")</f>
        <v>0</v>
      </c>
      <c r="D18404" t="s">
        <v>23500</v>
      </c>
      <c r="E18404" t="s">
        <v>40879</v>
      </c>
    </row>
    <row r="18405" spans="1:5">
      <c r="A18405" t="s">
        <v>6</v>
      </c>
      <c r="B18405" t="s">
        <v>18410</v>
      </c>
      <c r="C18405">
        <f>HYPERLINK("C:\Users\franc\OneDrive\Documentos\MALENTIN KARIME\BANCO ESTADO\2012 DEPTO ESCRITURAS fata\Dc Simples\2012 DEPTO ESCRITURAS\BANCO CORPBANCA\EDSON GUZMAN  Y OTRA A CORPBANCA.doc", "Abrir Documento")</f>
        <v>0</v>
      </c>
      <c r="D18405" t="s">
        <v>23500</v>
      </c>
      <c r="E18405" t="s">
        <v>40880</v>
      </c>
    </row>
    <row r="18406" spans="1:5">
      <c r="A18406" t="s">
        <v>6</v>
      </c>
      <c r="B18406" t="s">
        <v>18411</v>
      </c>
      <c r="C18406">
        <f>HYPERLINK("C:\Users\franc\OneDrive\Documentos\MALENTIN KARIME\BANCO ESTADO\2012 DEPTO ESCRITURAS fata\Dc Simples\2012 DEPTO ESCRITURAS\BANCO CORPBANCA\EDSON GUZMAN  Y OTRA A CORPBANCA con modificaciones.doc", "Abrir Documento")</f>
        <v>0</v>
      </c>
      <c r="D18406" t="s">
        <v>23500</v>
      </c>
      <c r="E18406" t="s">
        <v>40881</v>
      </c>
    </row>
    <row r="18407" spans="1:5">
      <c r="A18407" t="s">
        <v>6</v>
      </c>
      <c r="B18407" t="s">
        <v>18412</v>
      </c>
      <c r="C18407">
        <f>HYPERLINK("C:\Users\franc\OneDrive\Documentos\MALENTIN KARIME\BANCO ESTADO\2012 DEPTO ESCRITURAS fata\Dc Simples\2012 DEPTO ESCRITURAS\BANCO CORPBANCA\EDSON GUZMAN  26º.doc", "Abrir Documento")</f>
        <v>0</v>
      </c>
      <c r="D18407" t="s">
        <v>23500</v>
      </c>
      <c r="E18407" t="s">
        <v>40882</v>
      </c>
    </row>
    <row r="18408" spans="1:5">
      <c r="A18408" t="s">
        <v>6</v>
      </c>
      <c r="B18408" t="s">
        <v>18413</v>
      </c>
      <c r="C18408">
        <f>HYPERLINK("C:\Users\franc\OneDrive\Documentos\MALENTIN KARIME\BANCO ESTADO\2012 DEPTO ESCRITURAS fata\Dc Simples\2012 DEPTO ESCRITURAS\BANCO CORPBANCA\CUADRO DE PAGO.doc", "Abrir Documento")</f>
        <v>0</v>
      </c>
      <c r="D18408" t="s">
        <v>23500</v>
      </c>
      <c r="E18408" t="s">
        <v>40883</v>
      </c>
    </row>
    <row r="18409" spans="1:5">
      <c r="A18409" t="s">
        <v>6</v>
      </c>
      <c r="B18409" t="s">
        <v>18414</v>
      </c>
      <c r="C18409">
        <f>HYPERLINK("C:\Users\franc\OneDrive\Documentos\MALENTIN KARIME\BANCO ESTADO\2012 DEPTO ESCRITURAS fata\Dc Simples\2012 DEPTO ESCRITURAS\BANCO CORPBANCA\CORPBANCA INSTRUCCIONES.doc", "Abrir Documento")</f>
        <v>0</v>
      </c>
      <c r="D18409" t="s">
        <v>23500</v>
      </c>
      <c r="E18409" t="s">
        <v>40884</v>
      </c>
    </row>
    <row r="18410" spans="1:5">
      <c r="A18410" t="s">
        <v>6</v>
      </c>
      <c r="B18410" t="s">
        <v>18415</v>
      </c>
      <c r="C18410">
        <f>HYPERLINK("C:\Users\franc\OneDrive\Documentos\MALENTIN KARIME\BANCO ESTADO\2012 DEPTO ESCRITURAS fata\Dc Simples\2012 DEPTO ESCRITURAS\BANCO CORPBANCA\COMERCIAL Y FARMACEUTICA PRAD.doc", "Abrir Documento")</f>
        <v>0</v>
      </c>
      <c r="D18410" t="s">
        <v>23500</v>
      </c>
      <c r="E18410" t="s">
        <v>40885</v>
      </c>
    </row>
    <row r="18411" spans="1:5">
      <c r="A18411" t="s">
        <v>6</v>
      </c>
      <c r="B18411" t="s">
        <v>18416</v>
      </c>
      <c r="C18411">
        <f>HYPERLINK("C:\Users\franc\OneDrive\Documentos\MALENTIN KARIME\BANCO ESTADO\2012 DEPTO ESCRITURAS fata\Dc Simples\2012 DEPTO ESCRITURAS\BANCO CORPBANCA\COMBUSTIBLE Y CARGO Hipoteca.doc", "Abrir Documento")</f>
        <v>0</v>
      </c>
      <c r="D18411" t="s">
        <v>23500</v>
      </c>
      <c r="E18411" t="s">
        <v>40886</v>
      </c>
    </row>
    <row r="18412" spans="1:5">
      <c r="A18412" t="s">
        <v>6</v>
      </c>
      <c r="B18412" t="s">
        <v>18417</v>
      </c>
      <c r="C18412">
        <f>HYPERLINK("C:\Users\franc\OneDrive\Documentos\MALENTIN KARIME\BANCO ESTADO\2012 DEPTO ESCRITURAS fata\Dc Simples\2012 DEPTO ESCRITURAS\BANCO CORPBANCA\COMBUSTIBLE CARGO S.A. Prenda.doc", "Abrir Documento")</f>
        <v>0</v>
      </c>
      <c r="D18412" t="s">
        <v>23500</v>
      </c>
      <c r="E18412" t="s">
        <v>40887</v>
      </c>
    </row>
    <row r="18413" spans="1:5">
      <c r="A18413" t="s">
        <v>6</v>
      </c>
      <c r="B18413" t="s">
        <v>18418</v>
      </c>
      <c r="C18413">
        <f>HYPERLINK("C:\Users\franc\OneDrive\Documentos\MALENTIN KARIME\BANCO ESTADO\2012 DEPTO ESCRITURAS fata\Dc Simples\2012 DEPTO ESCRITURAS\BANCO CORPBANCA\CARMEN PENNA.doc", "Abrir Documento")</f>
        <v>0</v>
      </c>
      <c r="D18413" t="s">
        <v>23500</v>
      </c>
      <c r="E18413" t="s">
        <v>40888</v>
      </c>
    </row>
    <row r="18414" spans="1:5">
      <c r="A18414" t="s">
        <v>6</v>
      </c>
      <c r="B18414" t="s">
        <v>18419</v>
      </c>
      <c r="C18414">
        <f>HYPERLINK("C:\Users\franc\OneDrive\Documentos\MALENTIN KARIME\BANCO ESTADO\2012 DEPTO ESCRITURAS fata\Dc Simples\2012 DEPTO ESCRITURAS\BANCO CORPBANCA\Carmen Luz Penna Owens.doc", "Abrir Documento")</f>
        <v>0</v>
      </c>
      <c r="D18414" t="s">
        <v>23500</v>
      </c>
      <c r="E18414" t="s">
        <v>40889</v>
      </c>
    </row>
    <row r="18415" spans="1:5">
      <c r="A18415" t="s">
        <v>6</v>
      </c>
      <c r="B18415" t="s">
        <v>18420</v>
      </c>
      <c r="C18415">
        <f>HYPERLINK("C:\Users\franc\OneDrive\Documentos\MALENTIN KARIME\BANCO ESTADO\2012 DEPTO ESCRITURAS fata\Dc Simples\2012 DEPTO ESCRITURAS\BANCO CORPBANCA\CARLOS VARGAS ROJAS.doc", "Abrir Documento")</f>
        <v>0</v>
      </c>
      <c r="D18415" t="s">
        <v>23500</v>
      </c>
      <c r="E18415" t="s">
        <v>40890</v>
      </c>
    </row>
    <row r="18416" spans="1:5">
      <c r="A18416" t="s">
        <v>6</v>
      </c>
      <c r="B18416" t="s">
        <v>18421</v>
      </c>
      <c r="C18416">
        <f>HYPERLINK("C:\Users\franc\OneDrive\Documentos\MALENTIN KARIME\BANCO ESTADO\2012 DEPTO ESCRITURAS fata\Dc Simples\2012 DEPTO ESCRITURAS\BANCO CORPBANCA\BRIAN RIVAS ORMEÑO Cvta Mutuo.doc", "Abrir Documento")</f>
        <v>0</v>
      </c>
      <c r="D18416" t="s">
        <v>23500</v>
      </c>
      <c r="E18416" t="s">
        <v>40891</v>
      </c>
    </row>
    <row r="18417" spans="1:5">
      <c r="A18417" t="s">
        <v>6</v>
      </c>
      <c r="B18417" t="s">
        <v>18422</v>
      </c>
      <c r="C18417">
        <f>HYPERLINK("C:\Users\franc\OneDrive\Documentos\MALENTIN KARIME\BANCO ESTADO\2012 DEPTO ESCRITURAS fata\Dc Simples\2012 DEPTO ESCRITURAS\BANCO CORPBANCA\BRIAN RIVAS ORMEÑO Cvta Mutuo VERSION FINAL.doc", "Abrir Documento")</f>
        <v>0</v>
      </c>
      <c r="D18417" t="s">
        <v>23500</v>
      </c>
      <c r="E18417" t="s">
        <v>40892</v>
      </c>
    </row>
    <row r="18418" spans="1:5">
      <c r="A18418" t="s">
        <v>6</v>
      </c>
      <c r="B18418" t="s">
        <v>18423</v>
      </c>
      <c r="C18418">
        <f>HYPERLINK("C:\Users\franc\OneDrive\Documentos\MALENTIN KARIME\BANCO ESTADO\2012 DEPTO ESCRITURAS fata\Dc Simples\2012 DEPTO ESCRITURAS\BANCO CORPBANCA\BRENDA GUZMAN.doc", "Abrir Documento")</f>
        <v>0</v>
      </c>
      <c r="D18418" t="s">
        <v>23500</v>
      </c>
      <c r="E18418" t="s">
        <v>40893</v>
      </c>
    </row>
    <row r="18419" spans="1:5">
      <c r="A18419" t="s">
        <v>6</v>
      </c>
      <c r="B18419" t="s">
        <v>18424</v>
      </c>
      <c r="C18419">
        <f>HYPERLINK("C:\Users\franc\OneDrive\Documentos\MALENTIN KARIME\BANCO ESTADO\2012 DEPTO ESCRITURAS fata\Dc Simples\2012 DEPTO ESCRITURAS\BANCO CORPBANCA\BODEGA DEL LIMARI S.A. Prenda.doc", "Abrir Documento")</f>
        <v>0</v>
      </c>
      <c r="D18419" t="s">
        <v>23500</v>
      </c>
      <c r="E18419" t="s">
        <v>40894</v>
      </c>
    </row>
    <row r="18420" spans="1:5">
      <c r="A18420" t="s">
        <v>6</v>
      </c>
      <c r="B18420" t="s">
        <v>18425</v>
      </c>
      <c r="C18420">
        <f>HYPERLINK("C:\Users\franc\OneDrive\Documentos\MALENTIN KARIME\BANCO ESTADO\2012 DEPTO ESCRITURAS fata\Dc Simples\2012 DEPTO ESCRITURAS\BANCO CORPBANCA\ARSEN GREGORIAM.doc", "Abrir Documento")</f>
        <v>0</v>
      </c>
      <c r="D18420" t="s">
        <v>23500</v>
      </c>
      <c r="E18420" t="s">
        <v>40895</v>
      </c>
    </row>
    <row r="18421" spans="1:5">
      <c r="A18421" t="s">
        <v>6</v>
      </c>
      <c r="B18421" t="s">
        <v>18426</v>
      </c>
      <c r="C18421">
        <f>HYPERLINK("C:\Users\franc\OneDrive\Documentos\MALENTIN KARIME\BANCO ESTADO\2012 DEPTO ESCRITURAS fata\Dc Simples\2012 DEPTO ESCRITURAS\BANCO CHILE\VINKA MARTINIC Alzamiento.doc", "Abrir Documento")</f>
        <v>0</v>
      </c>
      <c r="D18421" t="s">
        <v>23500</v>
      </c>
      <c r="E18421" t="s">
        <v>40896</v>
      </c>
    </row>
    <row r="18422" spans="1:5">
      <c r="A18422" t="s">
        <v>6</v>
      </c>
      <c r="B18422" t="s">
        <v>18427</v>
      </c>
      <c r="C18422">
        <f>HYPERLINK("C:\Users\franc\OneDrive\Documentos\MALENTIN KARIME\BANCO ESTADO\2012 DEPTO ESCRITURAS fata\Dc Simples\2012 DEPTO ESCRITURAS\BANCO CHILE\TRANSPORTES GUAYACAN Y CIA Alzamiento.doc", "Abrir Documento")</f>
        <v>0</v>
      </c>
      <c r="D18422" t="s">
        <v>23500</v>
      </c>
      <c r="E18422" t="s">
        <v>40897</v>
      </c>
    </row>
    <row r="18423" spans="1:5">
      <c r="A18423" t="s">
        <v>6</v>
      </c>
      <c r="B18423" t="s">
        <v>18428</v>
      </c>
      <c r="C18423">
        <f>HYPERLINK("C:\Users\franc\OneDrive\Documentos\MALENTIN KARIME\BANCO ESTADO\2012 DEPTO ESCRITURAS fata\Dc Simples\2012 DEPTO ESCRITURAS\BANCO CHILE\SOCIEDAD CARNES LOMA LARGA.doc", "Abrir Documento")</f>
        <v>0</v>
      </c>
      <c r="D18423" t="s">
        <v>23500</v>
      </c>
      <c r="E18423" t="s">
        <v>40898</v>
      </c>
    </row>
    <row r="18424" spans="1:5">
      <c r="A18424" t="s">
        <v>6</v>
      </c>
      <c r="B18424" t="s">
        <v>18429</v>
      </c>
      <c r="C18424">
        <f>HYPERLINK("C:\Users\franc\OneDrive\Documentos\MALENTIN KARIME\BANCO ESTADO\2012 DEPTO ESCRITURAS fata\Dc Simples\2012 DEPTO ESCRITURAS\BANCO CHILE\SAMUEL GARCIA ROJAS Alzamiento Abril.doc", "Abrir Documento")</f>
        <v>0</v>
      </c>
      <c r="D18424" t="s">
        <v>23500</v>
      </c>
      <c r="E18424" t="s">
        <v>40899</v>
      </c>
    </row>
    <row r="18425" spans="1:5">
      <c r="A18425" t="s">
        <v>6</v>
      </c>
      <c r="B18425" t="s">
        <v>18430</v>
      </c>
      <c r="C18425">
        <f>HYPERLINK("C:\Users\franc\OneDrive\Documentos\MALENTIN KARIME\BANCO ESTADO\2012 DEPTO ESCRITURAS fata\Dc Simples\2012 DEPTO ESCRITURAS\BANCO CHILE\RUDELIO ARAYA MIRANDA.doc", "Abrir Documento")</f>
        <v>0</v>
      </c>
      <c r="D18425" t="s">
        <v>23500</v>
      </c>
      <c r="E18425" t="s">
        <v>40900</v>
      </c>
    </row>
    <row r="18426" spans="1:5">
      <c r="A18426" t="s">
        <v>6</v>
      </c>
      <c r="B18426" t="s">
        <v>18431</v>
      </c>
      <c r="C18426">
        <f>HYPERLINK("C:\Users\franc\OneDrive\Documentos\MALENTIN KARIME\BANCO ESTADO\2012 DEPTO ESCRITURAS fata\Dc Simples\2012 DEPTO ESCRITURAS\BANCO CHILE\ROMANO DALBOSCO  Hipoteca Dic.doc", "Abrir Documento")</f>
        <v>0</v>
      </c>
      <c r="D18426" t="s">
        <v>23500</v>
      </c>
      <c r="E18426" t="s">
        <v>40901</v>
      </c>
    </row>
    <row r="18427" spans="1:5">
      <c r="A18427" t="s">
        <v>6</v>
      </c>
      <c r="B18427" t="s">
        <v>18432</v>
      </c>
      <c r="C18427">
        <f>HYPERLINK("C:\Users\franc\OneDrive\Documentos\MALENTIN KARIME\BANCO ESTADO\2012 DEPTO ESCRITURAS fata\Dc Simples\2012 DEPTO ESCRITURAS\BANCO CHILE\RIENZI MEDALLA OROS.doc", "Abrir Documento")</f>
        <v>0</v>
      </c>
      <c r="D18427" t="s">
        <v>23500</v>
      </c>
      <c r="E18427" t="s">
        <v>40902</v>
      </c>
    </row>
    <row r="18428" spans="1:5">
      <c r="A18428" t="s">
        <v>6</v>
      </c>
      <c r="B18428" t="s">
        <v>18433</v>
      </c>
      <c r="C18428">
        <f>HYPERLINK("C:\Users\franc\OneDrive\Documentos\MALENTIN KARIME\BANCO ESTADO\2012 DEPTO ESCRITURAS fata\Dc Simples\2012 DEPTO ESCRITURAS\BANCO CHILE\RIENZI MEDALLA OROS Escritura.doc", "Abrir Documento")</f>
        <v>0</v>
      </c>
      <c r="D18428" t="s">
        <v>23500</v>
      </c>
      <c r="E18428" t="s">
        <v>40903</v>
      </c>
    </row>
    <row r="18429" spans="1:5">
      <c r="A18429" t="s">
        <v>6</v>
      </c>
      <c r="B18429" t="s">
        <v>18434</v>
      </c>
      <c r="C18429">
        <f>HYPERLINK("C:\Users\franc\OneDrive\Documentos\MALENTIN KARIME\BANCO ESTADO\2012 DEPTO ESCRITURAS fata\Dc Simples\2012 DEPTO ESCRITURAS\BANCO CHILE\pers. BANCO CHILE.doc", "Abrir Documento")</f>
        <v>0</v>
      </c>
      <c r="D18429" t="s">
        <v>23500</v>
      </c>
      <c r="E18429" t="s">
        <v>40904</v>
      </c>
    </row>
    <row r="18430" spans="1:5">
      <c r="A18430" t="s">
        <v>6</v>
      </c>
      <c r="B18430" t="s">
        <v>18435</v>
      </c>
      <c r="C18430">
        <f>HYPERLINK("C:\Users\franc\OneDrive\Documentos\MALENTIN KARIME\BANCO ESTADO\2012 DEPTO ESCRITURAS fata\Dc Simples\2012 DEPTO ESCRITURAS\BANCO CHILE\PEDRO SANTANDER ROJAS.doc", "Abrir Documento")</f>
        <v>0</v>
      </c>
      <c r="D18430" t="s">
        <v>23500</v>
      </c>
      <c r="E18430" t="s">
        <v>40905</v>
      </c>
    </row>
    <row r="18431" spans="1:5">
      <c r="A18431" t="s">
        <v>6</v>
      </c>
      <c r="B18431" t="s">
        <v>18436</v>
      </c>
      <c r="C18431">
        <f>HYPERLINK("C:\Users\franc\OneDrive\Documentos\MALENTIN KARIME\BANCO ESTADO\2012 DEPTO ESCRITURAS fata\Dc Simples\2012 DEPTO ESCRITURAS\BANCO CHILE\PATRICIO PINTO VILLAR A HECTOR PAZ.doc", "Abrir Documento")</f>
        <v>0</v>
      </c>
      <c r="D18431" t="s">
        <v>23500</v>
      </c>
      <c r="E18431" t="s">
        <v>40906</v>
      </c>
    </row>
    <row r="18432" spans="1:5">
      <c r="A18432" t="s">
        <v>6</v>
      </c>
      <c r="B18432" t="s">
        <v>18437</v>
      </c>
      <c r="C18432">
        <f>HYPERLINK("C:\Users\franc\OneDrive\Documentos\MALENTIN KARIME\BANCO ESTADO\2012 DEPTO ESCRITURAS fata\Dc Simples\2012 DEPTO ESCRITURAS\BANCO CHILE\Oscar Rojas PRENDA.doc", "Abrir Documento")</f>
        <v>0</v>
      </c>
      <c r="D18432" t="s">
        <v>23500</v>
      </c>
      <c r="E18432" t="s">
        <v>40907</v>
      </c>
    </row>
    <row r="18433" spans="1:5">
      <c r="A18433" t="s">
        <v>6</v>
      </c>
      <c r="B18433" t="s">
        <v>18438</v>
      </c>
      <c r="C18433">
        <f>HYPERLINK("C:\Users\franc\OneDrive\Documentos\MALENTIN KARIME\BANCO ESTADO\2012 DEPTO ESCRITURAS fata\Dc Simples\2012 DEPTO ESCRITURAS\BANCO CHILE\OSCAR ROJAS HIDALGO Prenda.doc", "Abrir Documento")</f>
        <v>0</v>
      </c>
      <c r="D18433" t="s">
        <v>23500</v>
      </c>
      <c r="E18433" t="s">
        <v>40908</v>
      </c>
    </row>
    <row r="18434" spans="1:5">
      <c r="A18434" t="s">
        <v>6</v>
      </c>
      <c r="B18434" t="s">
        <v>18439</v>
      </c>
      <c r="C18434">
        <f>HYPERLINK("C:\Users\franc\OneDrive\Documentos\MALENTIN KARIME\BANCO ESTADO\2012 DEPTO ESCRITURAS fata\Dc Simples\2012 DEPTO ESCRITURAS\BANCO CHILE\MARIA OCHOA  URQUETA Cvta Mutuo.doc", "Abrir Documento")</f>
        <v>0</v>
      </c>
      <c r="D18434" t="s">
        <v>23500</v>
      </c>
      <c r="E18434" t="s">
        <v>40909</v>
      </c>
    </row>
    <row r="18435" spans="1:5">
      <c r="A18435" t="s">
        <v>6</v>
      </c>
      <c r="B18435" t="s">
        <v>18440</v>
      </c>
      <c r="C18435">
        <f>HYPERLINK("C:\Users\franc\OneDrive\Documentos\MALENTIN KARIME\BANCO ESTADO\2012 DEPTO ESCRITURAS fata\Dc Simples\2012 DEPTO ESCRITURAS\BANCO CHILE\MARIA BAHAMONDES VELASQUEZ.doc", "Abrir Documento")</f>
        <v>0</v>
      </c>
      <c r="D18435" t="s">
        <v>23500</v>
      </c>
      <c r="E18435" t="s">
        <v>40910</v>
      </c>
    </row>
    <row r="18436" spans="1:5">
      <c r="A18436" t="s">
        <v>6</v>
      </c>
      <c r="B18436" t="s">
        <v>18441</v>
      </c>
      <c r="C18436">
        <f>HYPERLINK("C:\Users\franc\OneDrive\Documentos\MALENTIN KARIME\BANCO ESTADO\2012 DEPTO ESCRITURAS fata\Dc Simples\2012 DEPTO ESCRITURAS\BANCO CHILE\MANUEL PEÑAFIEL E HIJOS.doc", "Abrir Documento")</f>
        <v>0</v>
      </c>
      <c r="D18436" t="s">
        <v>23500</v>
      </c>
      <c r="E18436" t="s">
        <v>40911</v>
      </c>
    </row>
    <row r="18437" spans="1:5">
      <c r="A18437" t="s">
        <v>6</v>
      </c>
      <c r="B18437" t="s">
        <v>18442</v>
      </c>
      <c r="C18437">
        <f>HYPERLINK("C:\Users\franc\OneDrive\Documentos\MALENTIN KARIME\BANCO ESTADO\2012 DEPTO ESCRITURAS fata\Dc Simples\2012 DEPTO ESCRITURAS\BANCO CHILE\LUIS ASTUDILLO CAMPOS.doc", "Abrir Documento")</f>
        <v>0</v>
      </c>
      <c r="D18437" t="s">
        <v>23500</v>
      </c>
      <c r="E18437" t="s">
        <v>40912</v>
      </c>
    </row>
    <row r="18438" spans="1:5">
      <c r="A18438" t="s">
        <v>6</v>
      </c>
      <c r="B18438" t="s">
        <v>18443</v>
      </c>
      <c r="C18438">
        <f>HYPERLINK("C:\Users\franc\OneDrive\Documentos\MALENTIN KARIME\BANCO ESTADO\2012 DEPTO ESCRITURAS fata\Dc Simples\2012 DEPTO ESCRITURAS\BANCO CHILE\JUAN JULIA F24.doc", "Abrir Documento")</f>
        <v>0</v>
      </c>
      <c r="D18438" t="s">
        <v>23500</v>
      </c>
      <c r="E18438" t="s">
        <v>40913</v>
      </c>
    </row>
    <row r="18439" spans="1:5">
      <c r="A18439" t="s">
        <v>6</v>
      </c>
      <c r="B18439" t="s">
        <v>18444</v>
      </c>
      <c r="C18439">
        <f>HYPERLINK("C:\Users\franc\OneDrive\Documentos\MALENTIN KARIME\BANCO ESTADO\2012 DEPTO ESCRITURAS fata\Dc Simples\2012 DEPTO ESCRITURAS\BANCO CHILE\JUAN CARLOS JULIA.doc", "Abrir Documento")</f>
        <v>0</v>
      </c>
      <c r="D18439" t="s">
        <v>23500</v>
      </c>
      <c r="E18439" t="s">
        <v>40914</v>
      </c>
    </row>
    <row r="18440" spans="1:5">
      <c r="A18440" t="s">
        <v>6</v>
      </c>
      <c r="B18440" t="s">
        <v>18445</v>
      </c>
      <c r="C18440">
        <f>HYPERLINK("C:\Users\franc\OneDrive\Documentos\MALENTIN KARIME\BANCO ESTADO\2012 DEPTO ESCRITURAS fata\Dc Simples\2012 DEPTO ESCRITURAS\BANCO CHILE\JOSE ARAYA A Hernan Alaniz.doc", "Abrir Documento")</f>
        <v>0</v>
      </c>
      <c r="D18440" t="s">
        <v>23500</v>
      </c>
      <c r="E18440" t="s">
        <v>40915</v>
      </c>
    </row>
    <row r="18441" spans="1:5">
      <c r="A18441" t="s">
        <v>6</v>
      </c>
      <c r="B18441" t="s">
        <v>18446</v>
      </c>
      <c r="C18441">
        <f>HYPERLINK("C:\Users\franc\OneDrive\Documentos\MALENTIN KARIME\BANCO ESTADO\2012 DEPTO ESCRITURAS fata\Dc Simples\2012 DEPTO ESCRITURAS\BANCO CHILE\JORGE HERNANDEZ AGUIRRE Finiquito de Contrato de Trabajo  y dación en pago.doc", "Abrir Documento")</f>
        <v>0</v>
      </c>
      <c r="D18441" t="s">
        <v>23500</v>
      </c>
      <c r="E18441" t="s">
        <v>40916</v>
      </c>
    </row>
    <row r="18442" spans="1:5">
      <c r="A18442" t="s">
        <v>6</v>
      </c>
      <c r="B18442" t="s">
        <v>18447</v>
      </c>
      <c r="C18442">
        <f>HYPERLINK("C:\Users\franc\OneDrive\Documentos\MALENTIN KARIME\BANCO ESTADO\2012 DEPTO ESCRITURAS fata\Dc Simples\2012 DEPTO ESCRITURAS\BANCO CHILE\Instrucciones_Loma_Larga.doc", "Abrir Documento")</f>
        <v>0</v>
      </c>
      <c r="D18442" t="s">
        <v>23500</v>
      </c>
      <c r="E18442" t="s">
        <v>40917</v>
      </c>
    </row>
    <row r="18443" spans="1:5">
      <c r="A18443" t="s">
        <v>6</v>
      </c>
      <c r="B18443" t="s">
        <v>18448</v>
      </c>
      <c r="C18443">
        <f>HYPERLINK("C:\Users\franc\OneDrive\Documentos\MALENTIN KARIME\BANCO ESTADO\2012 DEPTO ESCRITURAS fata\Dc Simples\2012 DEPTO ESCRITURAS\BANCO CHILE\INMOBILIARIA DOBLE M Alzamiento.doc", "Abrir Documento")</f>
        <v>0</v>
      </c>
      <c r="D18443" t="s">
        <v>23500</v>
      </c>
      <c r="E18443" t="s">
        <v>40918</v>
      </c>
    </row>
    <row r="18444" spans="1:5">
      <c r="A18444" t="s">
        <v>6</v>
      </c>
      <c r="B18444" t="s">
        <v>18449</v>
      </c>
      <c r="C18444">
        <f>HYPERLINK("C:\Users\franc\OneDrive\Documentos\MALENTIN KARIME\BANCO ESTADO\2012 DEPTO ESCRITURAS fata\Dc Simples\2012 DEPTO ESCRITURAS\BANCO CHILE\Hernan Alanis F24.doc", "Abrir Documento")</f>
        <v>0</v>
      </c>
      <c r="D18444" t="s">
        <v>23500</v>
      </c>
      <c r="E18444" t="s">
        <v>40919</v>
      </c>
    </row>
    <row r="18445" spans="1:5">
      <c r="A18445" t="s">
        <v>6</v>
      </c>
      <c r="B18445" t="s">
        <v>18450</v>
      </c>
      <c r="C18445">
        <f>HYPERLINK("C:\Users\franc\OneDrive\Documentos\MALENTIN KARIME\BANCO ESTADO\2012 DEPTO ESCRITURAS fata\Dc Simples\2012 DEPTO ESCRITURAS\BANCO CHILE\GAMAL ROJAS Recti.doc", "Abrir Documento")</f>
        <v>0</v>
      </c>
      <c r="D18445" t="s">
        <v>23500</v>
      </c>
      <c r="E18445" t="s">
        <v>40920</v>
      </c>
    </row>
    <row r="18446" spans="1:5">
      <c r="A18446" t="s">
        <v>6</v>
      </c>
      <c r="B18446" t="s">
        <v>18451</v>
      </c>
      <c r="C18446">
        <f>HYPERLINK("C:\Users\franc\OneDrive\Documentos\MALENTIN KARIME\BANCO ESTADO\2012 DEPTO ESCRITURAS fata\Dc Simples\2012 DEPTO ESCRITURAS\BANCO CHILE\GAMAL ROJAS PEREZ F24.doc", "Abrir Documento")</f>
        <v>0</v>
      </c>
      <c r="D18446" t="s">
        <v>23500</v>
      </c>
      <c r="E18446" t="s">
        <v>40921</v>
      </c>
    </row>
    <row r="18447" spans="1:5">
      <c r="A18447" t="s">
        <v>6</v>
      </c>
      <c r="B18447" t="s">
        <v>18452</v>
      </c>
      <c r="C18447">
        <f>HYPERLINK("C:\Users\franc\OneDrive\Documentos\MALENTIN KARIME\BANCO ESTADO\2012 DEPTO ESCRITURAS fata\Dc Simples\2012 DEPTO ESCRITURAS\BANCO CHILE\Gamal Rojas e Isabel Jamett,Notaria.doc", "Abrir Documento")</f>
        <v>0</v>
      </c>
      <c r="D18447" t="s">
        <v>23500</v>
      </c>
      <c r="E18447" t="s">
        <v>40922</v>
      </c>
    </row>
    <row r="18448" spans="1:5">
      <c r="A18448" t="s">
        <v>6</v>
      </c>
      <c r="B18448" t="s">
        <v>18453</v>
      </c>
      <c r="C18448">
        <f>HYPERLINK("C:\Users\franc\OneDrive\Documentos\MALENTIN KARIME\BANCO ESTADO\2012 DEPTO ESCRITURAS fata\Dc Simples\2012 DEPTO ESCRITURAS\BANCO CHILE\GAMAL EDUARDO ROJAS PEREZ.doc", "Abrir Documento")</f>
        <v>0</v>
      </c>
      <c r="D18448" t="s">
        <v>23500</v>
      </c>
      <c r="E18448" t="s">
        <v>40923</v>
      </c>
    </row>
    <row r="18449" spans="1:5">
      <c r="A18449" t="s">
        <v>6</v>
      </c>
      <c r="B18449" t="s">
        <v>18454</v>
      </c>
      <c r="C18449">
        <f>HYPERLINK("C:\Users\franc\OneDrive\Documentos\MALENTIN KARIME\BANCO ESTADO\2012 DEPTO ESCRITURAS fata\Dc Simples\2012 DEPTO ESCRITURAS\BANCO CHILE\GAMAL EDUARDO ROJAS PEREZ visto bueno.doc", "Abrir Documento")</f>
        <v>0</v>
      </c>
      <c r="D18449" t="s">
        <v>23500</v>
      </c>
      <c r="E18449" t="s">
        <v>40924</v>
      </c>
    </row>
    <row r="18450" spans="1:5">
      <c r="A18450" t="s">
        <v>6</v>
      </c>
      <c r="B18450" t="s">
        <v>18455</v>
      </c>
      <c r="C18450">
        <f>HYPERLINK("C:\Users\franc\OneDrive\Documentos\MALENTIN KARIME\BANCO ESTADO\2012 DEPTO ESCRITURAS fata\Dc Simples\2012 DEPTO ESCRITURAS\BANCO CHILE\FERNANDO PEÑAFIEL SALAS Alzam.doc", "Abrir Documento")</f>
        <v>0</v>
      </c>
      <c r="D18450" t="s">
        <v>23500</v>
      </c>
      <c r="E18450" t="s">
        <v>40925</v>
      </c>
    </row>
    <row r="18451" spans="1:5">
      <c r="A18451" t="s">
        <v>6</v>
      </c>
      <c r="B18451" t="s">
        <v>18456</v>
      </c>
      <c r="C18451">
        <f>HYPERLINK("C:\Users\franc\OneDrive\Documentos\MALENTIN KARIME\BANCO ESTADO\2012 DEPTO ESCRITURAS fata\Dc Simples\2012 DEPTO ESCRITURAS\BANCO CHILE\F 24 VERONICA BAHAM.doc", "Abrir Documento")</f>
        <v>0</v>
      </c>
      <c r="D18451" t="s">
        <v>23500</v>
      </c>
      <c r="E18451" t="s">
        <v>40926</v>
      </c>
    </row>
    <row r="18452" spans="1:5">
      <c r="A18452" t="s">
        <v>6</v>
      </c>
      <c r="B18452" t="s">
        <v>18457</v>
      </c>
      <c r="C18452">
        <f>HYPERLINK("C:\Users\franc\OneDrive\Documentos\MALENTIN KARIME\BANCO ESTADO\2012 DEPTO ESCRITURAS fata\Dc Simples\2012 DEPTO ESCRITURAS\BANCO CHILE\F 24 Rudelio  Araya.doc", "Abrir Documento")</f>
        <v>0</v>
      </c>
      <c r="D18452" t="s">
        <v>23500</v>
      </c>
      <c r="E18452" t="s">
        <v>40927</v>
      </c>
    </row>
    <row r="18453" spans="1:5">
      <c r="A18453" t="s">
        <v>6</v>
      </c>
      <c r="B18453" t="s">
        <v>18458</v>
      </c>
      <c r="C18453">
        <f>HYPERLINK("C:\Users\franc\OneDrive\Documentos\MALENTIN KARIME\BANCO ESTADO\2012 DEPTO ESCRITURAS fata\Dc Simples\2012 DEPTO ESCRITURAS\BANCO CHILE\F 24 Rienzi Medalla.doc", "Abrir Documento")</f>
        <v>0</v>
      </c>
      <c r="D18453" t="s">
        <v>23500</v>
      </c>
      <c r="E18453" t="s">
        <v>40928</v>
      </c>
    </row>
    <row r="18454" spans="1:5">
      <c r="A18454" t="s">
        <v>6</v>
      </c>
      <c r="B18454" t="s">
        <v>18459</v>
      </c>
      <c r="C18454">
        <f>HYPERLINK("C:\Users\franc\OneDrive\Documentos\MALENTIN KARIME\BANCO ESTADO\2012 DEPTO ESCRITURAS fata\Dc Simples\2012 DEPTO ESCRITURAS\BANCO CHILE\F 24 Mauricio Hurtado.doc", "Abrir Documento")</f>
        <v>0</v>
      </c>
      <c r="D18454" t="s">
        <v>23500</v>
      </c>
      <c r="E18454" t="s">
        <v>40929</v>
      </c>
    </row>
    <row r="18455" spans="1:5">
      <c r="A18455" t="s">
        <v>6</v>
      </c>
      <c r="B18455" t="s">
        <v>18460</v>
      </c>
      <c r="C18455">
        <f>HYPERLINK("C:\Users\franc\OneDrive\Documentos\MALENTIN KARIME\BANCO ESTADO\2012 DEPTO ESCRITURAS fata\Dc Simples\2012 DEPTO ESCRITURAS\BANCO CHILE\F 24 María Ochoa.doc", "Abrir Documento")</f>
        <v>0</v>
      </c>
      <c r="D18455" t="s">
        <v>23500</v>
      </c>
      <c r="E18455" t="s">
        <v>40930</v>
      </c>
    </row>
    <row r="18456" spans="1:5">
      <c r="A18456" t="s">
        <v>6</v>
      </c>
      <c r="B18456" t="s">
        <v>18461</v>
      </c>
      <c r="C18456">
        <f>HYPERLINK("C:\Users\franc\OneDrive\Documentos\MALENTIN KARIME\BANCO ESTADO\2012 DEPTO ESCRITURAS fata\Dc Simples\2012 DEPTO ESCRITURAS\BANCO CHILE\F 24 MARIA OCHOA.doc", "Abrir Documento")</f>
        <v>0</v>
      </c>
      <c r="D18456" t="s">
        <v>23500</v>
      </c>
      <c r="E18456" t="s">
        <v>40931</v>
      </c>
    </row>
    <row r="18457" spans="1:5">
      <c r="A18457" t="s">
        <v>6</v>
      </c>
      <c r="B18457" t="s">
        <v>18462</v>
      </c>
      <c r="C18457">
        <f>HYPERLINK("C:\Users\franc\OneDrive\Documentos\MALENTIN KARIME\BANCO ESTADO\2012 DEPTO ESCRITURAS fata\Dc Simples\2012 DEPTO ESCRITURAS\BANCO CHILE\F 24 Luis Astudillo.doc", "Abrir Documento")</f>
        <v>0</v>
      </c>
      <c r="D18457" t="s">
        <v>23500</v>
      </c>
      <c r="E18457" t="s">
        <v>40932</v>
      </c>
    </row>
    <row r="18458" spans="1:5">
      <c r="A18458" t="s">
        <v>6</v>
      </c>
      <c r="B18458" t="s">
        <v>18463</v>
      </c>
      <c r="C18458">
        <f>HYPERLINK("C:\Users\franc\OneDrive\Documentos\MALENTIN KARIME\BANCO ESTADO\2012 DEPTO ESCRITURAS fata\Dc Simples\2012 DEPTO ESCRITURAS\BANCO CHILE\F 24 Loma Larga.doc", "Abrir Documento")</f>
        <v>0</v>
      </c>
      <c r="D18458" t="s">
        <v>23500</v>
      </c>
      <c r="E18458" t="s">
        <v>40933</v>
      </c>
    </row>
    <row r="18459" spans="1:5">
      <c r="A18459" t="s">
        <v>6</v>
      </c>
      <c r="B18459" t="s">
        <v>18464</v>
      </c>
      <c r="C18459">
        <f>HYPERLINK("C:\Users\franc\OneDrive\Documentos\MALENTIN KARIME\BANCO ESTADO\2012 DEPTO ESCRITURAS fata\Dc Simples\2012 DEPTO ESCRITURAS\BANCO CHILE\F 24 Hector Paz.doc", "Abrir Documento")</f>
        <v>0</v>
      </c>
      <c r="D18459" t="s">
        <v>23500</v>
      </c>
      <c r="E18459" t="s">
        <v>40934</v>
      </c>
    </row>
    <row r="18460" spans="1:5">
      <c r="A18460" t="s">
        <v>6</v>
      </c>
      <c r="B18460" t="s">
        <v>18465</v>
      </c>
      <c r="C18460">
        <f>HYPERLINK("C:\Users\franc\OneDrive\Documentos\MALENTIN KARIME\BANCO ESTADO\2012 DEPTO ESCRITURAS fata\Dc Simples\2012 DEPTO ESCRITURAS\BANCO CHILE\F 24 FCO. OGALDE.doc", "Abrir Documento")</f>
        <v>0</v>
      </c>
      <c r="D18460" t="s">
        <v>23500</v>
      </c>
      <c r="E18460" t="s">
        <v>40935</v>
      </c>
    </row>
    <row r="18461" spans="1:5">
      <c r="A18461" t="s">
        <v>6</v>
      </c>
      <c r="B18461" t="s">
        <v>18466</v>
      </c>
      <c r="C18461">
        <f>HYPERLINK("C:\Users\franc\OneDrive\Documentos\MALENTIN KARIME\BANCO ESTADO\2012 DEPTO ESCRITURAS fata\Dc Simples\2012 DEPTO ESCRITURAS\BANCO CHILE\F 24 Eduardo Rojas.doc", "Abrir Documento")</f>
        <v>0</v>
      </c>
      <c r="D18461" t="s">
        <v>23500</v>
      </c>
      <c r="E18461" t="s">
        <v>40936</v>
      </c>
    </row>
    <row r="18462" spans="1:5">
      <c r="A18462" t="s">
        <v>6</v>
      </c>
      <c r="B18462" t="s">
        <v>18467</v>
      </c>
      <c r="C18462">
        <f>HYPERLINK("C:\Users\franc\OneDrive\Documentos\MALENTIN KARIME\BANCO ESTADO\2012 DEPTO ESCRITURAS fata\Dc Simples\2012 DEPTO ESCRITURAS\BANCO CHILE\EMMA CHELEN A RUBEN TABILO Dic.doc", "Abrir Documento")</f>
        <v>0</v>
      </c>
      <c r="D18462" t="s">
        <v>23500</v>
      </c>
      <c r="E18462" t="s">
        <v>40937</v>
      </c>
    </row>
    <row r="18463" spans="1:5">
      <c r="A18463" t="s">
        <v>6</v>
      </c>
      <c r="B18463" t="s">
        <v>18468</v>
      </c>
      <c r="C18463">
        <f>HYPERLINK("C:\Users\franc\OneDrive\Documentos\MALENTIN KARIME\BANCO ESTADO\2012 DEPTO ESCRITURAS fata\Dc Simples\2012 DEPTO ESCRITURAS\BANCO CHILE\EDUARDO ROJAS ROJAS Y Hector Castillo.doc", "Abrir Documento")</f>
        <v>0</v>
      </c>
      <c r="D18463" t="s">
        <v>23500</v>
      </c>
      <c r="E18463" t="s">
        <v>40938</v>
      </c>
    </row>
    <row r="18464" spans="1:5">
      <c r="A18464" t="s">
        <v>6</v>
      </c>
      <c r="B18464" t="s">
        <v>18469</v>
      </c>
      <c r="C18464">
        <f>HYPERLINK("C:\Users\franc\OneDrive\Documentos\MALENTIN KARIME\BANCO ESTADO\2012 DEPTO ESCRITURAS fata\Dc Simples\2012 DEPTO ESCRITURAS\BANCO CHILE\DOBLE M Y FCO. OGALDE.doc", "Abrir Documento")</f>
        <v>0</v>
      </c>
      <c r="D18464" t="s">
        <v>23500</v>
      </c>
      <c r="E18464" t="s">
        <v>40939</v>
      </c>
    </row>
    <row r="18465" spans="1:5">
      <c r="A18465" t="s">
        <v>6</v>
      </c>
      <c r="B18465" t="s">
        <v>18470</v>
      </c>
      <c r="C18465">
        <f>HYPERLINK("C:\Users\franc\OneDrive\Documentos\MALENTIN KARIME\BANCO ESTADO\2012 DEPTO ESCRITURAS fata\Dc Simples\2012 DEPTO ESCRITURAS\BANCO CHILE\DOBLE M Y Elena Carvajal.doc", "Abrir Documento")</f>
        <v>0</v>
      </c>
      <c r="D18465" t="s">
        <v>23500</v>
      </c>
      <c r="E18465" t="s">
        <v>40940</v>
      </c>
    </row>
    <row r="18466" spans="1:5">
      <c r="A18466" t="s">
        <v>6</v>
      </c>
      <c r="B18466" t="s">
        <v>18471</v>
      </c>
      <c r="C18466">
        <f>HYPERLINK("C:\Users\franc\OneDrive\Documentos\MALENTIN KARIME\BANCO ESTADO\2012 DEPTO ESCRITURAS fata\Dc Simples\2012 DEPTO ESCRITURAS\BANCO CHILE\DANIEL ULLA Factoring.doc", "Abrir Documento")</f>
        <v>0</v>
      </c>
      <c r="D18466" t="s">
        <v>23500</v>
      </c>
      <c r="E18466" t="s">
        <v>40941</v>
      </c>
    </row>
    <row r="18467" spans="1:5">
      <c r="A18467" t="s">
        <v>6</v>
      </c>
      <c r="B18467" t="s">
        <v>18472</v>
      </c>
      <c r="C18467">
        <f>HYPERLINK("C:\Users\franc\OneDrive\Documentos\MALENTIN KARIME\BANCO ESTADO\2012 DEPTO ESCRITURAS fata\Dc Simples\2012 DEPTO ESCRITURAS\BANCO CHILE\DANIEL MICHEA  A OSCAR ROJAS HIDALGO Dic.doc", "Abrir Documento")</f>
        <v>0</v>
      </c>
      <c r="D18467" t="s">
        <v>23500</v>
      </c>
      <c r="E18467" t="s">
        <v>40942</v>
      </c>
    </row>
    <row r="18468" spans="1:5">
      <c r="A18468" t="s">
        <v>6</v>
      </c>
      <c r="B18468" t="s">
        <v>18473</v>
      </c>
      <c r="C18468">
        <f>HYPERLINK("C:\Users\franc\OneDrive\Documentos\MALENTIN KARIME\BANCO ESTADO\2012 DEPTO ESCRITURAS fata\Dc Simples\2012 DEPTO ESCRITURAS\BANCO CHILE\CRISTIAN MIRANDA A RAMIRO SEPULVEDA (compraventa).doc", "Abrir Documento")</f>
        <v>0</v>
      </c>
      <c r="D18468" t="s">
        <v>23500</v>
      </c>
      <c r="E18468" t="s">
        <v>40943</v>
      </c>
    </row>
    <row r="18469" spans="1:5">
      <c r="A18469" t="s">
        <v>6</v>
      </c>
      <c r="B18469" t="s">
        <v>18474</v>
      </c>
      <c r="C18469">
        <f>HYPERLINK("C:\Users\franc\OneDrive\Documentos\MALENTIN KARIME\BANCO ESTADO\2012 DEPTO ESCRITURAS fata\Dc Simples\2012 DEPTO ESCRITURAS\BANCO CHILE\CARLOS CUELLAR A ROXANA VALDES Çcompraventa griiss.doc", "Abrir Documento")</f>
        <v>0</v>
      </c>
      <c r="D18469" t="s">
        <v>23500</v>
      </c>
      <c r="E18469" t="s">
        <v>40944</v>
      </c>
    </row>
    <row r="18470" spans="1:5">
      <c r="A18470" t="s">
        <v>6</v>
      </c>
      <c r="B18470" t="s">
        <v>18475</v>
      </c>
      <c r="C18470">
        <f>HYPERLINK("C:\Users\franc\OneDrive\Documentos\MALENTIN KARIME\BANCO ESTADO\2012 DEPTO ESCRITURAS fata\Dc Simples\2012 DEPTO ESCRITURAS\BANCO CHILE\BRENDA VIGORENA Y MAURICIO HURTADO Abril 2013.doc", "Abrir Documento")</f>
        <v>0</v>
      </c>
      <c r="D18470" t="s">
        <v>23500</v>
      </c>
      <c r="E18470" t="s">
        <v>40945</v>
      </c>
    </row>
    <row r="18471" spans="1:5">
      <c r="A18471" t="s">
        <v>6</v>
      </c>
      <c r="B18471" t="s">
        <v>18476</v>
      </c>
      <c r="C18471">
        <f>HYPERLINK("C:\Users\franc\OneDrive\Documentos\MALENTIN KARIME\BANCO ESTADO\2012 DEPTO ESCRITURAS fata\Dc Simples\2012 DEPTO ESCRITURAS\BANCO CHILE\BRENDA VIGORENA Y MAURICIO HURTADO Abril 2013 NUEVO AGente.doc", "Abrir Documento")</f>
        <v>0</v>
      </c>
      <c r="D18471" t="s">
        <v>23500</v>
      </c>
      <c r="E18471" t="s">
        <v>40946</v>
      </c>
    </row>
    <row r="18472" spans="1:5">
      <c r="A18472" t="s">
        <v>6</v>
      </c>
      <c r="B18472" t="s">
        <v>18477</v>
      </c>
      <c r="C18472">
        <f>HYPERLINK("C:\Users\franc\OneDrive\Documentos\MALENTIN KARIME\BANCO ESTADO\2012 DEPTO ESCRITURAS fata\Dc Simples\2012 DEPTO ESCRITURAS\BANCO CHILE\BERNARDO GALLEGUILLOS FERRER Febr 14.doc", "Abrir Documento")</f>
        <v>0</v>
      </c>
      <c r="D18472" t="s">
        <v>23500</v>
      </c>
      <c r="E18472" t="s">
        <v>40947</v>
      </c>
    </row>
    <row r="18473" spans="1:5">
      <c r="A18473" t="s">
        <v>6</v>
      </c>
      <c r="B18473" t="s">
        <v>18478</v>
      </c>
      <c r="C18473">
        <f>HYPERLINK("C:\Users\franc\OneDrive\Documentos\MALENTIN KARIME\BANCO ESTADO\2012 DEPTO ESCRITURAS fata\Dc Simples\2012 DEPTO ESCRITURAS\BANCO CHILE\ANA MUÑOZ CABALLERO Alzamiento.doc", "Abrir Documento")</f>
        <v>0</v>
      </c>
      <c r="D18473" t="s">
        <v>23500</v>
      </c>
      <c r="E18473" t="s">
        <v>40948</v>
      </c>
    </row>
    <row r="18474" spans="1:5">
      <c r="A18474" t="s">
        <v>6</v>
      </c>
      <c r="B18474" t="s">
        <v>18479</v>
      </c>
      <c r="C18474">
        <f>HYPERLINK("C:\Users\franc\OneDrive\Documentos\MALENTIN KARIME\BANCO ESTADO\2012 DEPTO ESCRITURAS fata\Dc Simples\2012 DEPTO ESCRITURAS\BANCO CHILE\ANA ARELLANO A BANCO DE CHILE.doc", "Abrir Documento")</f>
        <v>0</v>
      </c>
      <c r="D18474" t="s">
        <v>23500</v>
      </c>
      <c r="E18474" t="s">
        <v>40949</v>
      </c>
    </row>
    <row r="18475" spans="1:5">
      <c r="A18475" t="s">
        <v>6</v>
      </c>
      <c r="B18475" t="s">
        <v>18480</v>
      </c>
      <c r="C18475">
        <f>HYPERLINK("C:\Users\franc\OneDrive\Documentos\MALENTIN KARIME\BANCO ESTADO\2012 DEPTO ESCRITURAS fata\Dc Simples\2012 DEPTO ESCRITURAS\BANCO BBVA\BANCO CREDITO\SOCIEDAD COMERCIAL EL RELOJ Leasing.doc", "Abrir Documento")</f>
        <v>0</v>
      </c>
      <c r="D18475" t="s">
        <v>23500</v>
      </c>
      <c r="E18475" t="s">
        <v>40950</v>
      </c>
    </row>
    <row r="18476" spans="1:5">
      <c r="A18476" t="s">
        <v>6</v>
      </c>
      <c r="B18476" t="s">
        <v>18481</v>
      </c>
      <c r="C18476">
        <f>HYPERLINK("C:\Users\franc\OneDrive\Documentos\MALENTIN KARIME\BANCO ESTADO\2012 DEPTO ESCRITURAS fata\Dc Simples\2012 DEPTO ESCRITURAS\BANCO BBVA\BANCO CREDITO\PERSONERIAS_BCI_OVALLE_2012[1].doc", "Abrir Documento")</f>
        <v>0</v>
      </c>
      <c r="D18476" t="s">
        <v>23500</v>
      </c>
      <c r="E18476" t="s">
        <v>40951</v>
      </c>
    </row>
    <row r="18477" spans="1:5">
      <c r="A18477" t="s">
        <v>6</v>
      </c>
      <c r="B18477" t="s">
        <v>18482</v>
      </c>
      <c r="C18477">
        <f>HYPERLINK("C:\Users\franc\OneDrive\Documentos\MALENTIN KARIME\BANCO ESTADO\2012 DEPTO ESCRITURAS fata\Dc Simples\2012 DEPTO ESCRITURAS\BANCO BBVA\BANCO CREDITO\MANUEL RUBINA Y DOBLE M.doc", "Abrir Documento")</f>
        <v>0</v>
      </c>
      <c r="D18477" t="s">
        <v>23500</v>
      </c>
      <c r="E18477" t="s">
        <v>40952</v>
      </c>
    </row>
    <row r="18478" spans="1:5">
      <c r="A18478" t="s">
        <v>6</v>
      </c>
      <c r="B18478" t="s">
        <v>18483</v>
      </c>
      <c r="C18478">
        <f>HYPERLINK("C:\Users\franc\OneDrive\Documentos\MALENTIN KARIME\BANCO ESTADO\2012 DEPTO ESCRITURAS fata\Dc Simples\2012 DEPTO ESCRITURAS\BANCO BBVA\BANCO CREDITO\LEANDRO ORELLANA DONOSO.doc", "Abrir Documento")</f>
        <v>0</v>
      </c>
      <c r="D18478" t="s">
        <v>23500</v>
      </c>
      <c r="E18478" t="s">
        <v>40953</v>
      </c>
    </row>
    <row r="18479" spans="1:5">
      <c r="A18479" t="s">
        <v>6</v>
      </c>
      <c r="B18479" t="s">
        <v>18484</v>
      </c>
      <c r="C18479">
        <f>HYPERLINK("C:\Users\franc\OneDrive\Documentos\MALENTIN KARIME\BANCO ESTADO\2012 DEPTO ESCRITURAS fata\Dc Simples\2012 DEPTO ESCRITURAS\BANCO BBVA\BANCO CREDITO\INMOBILIARIA RIO LIMARI A PATRICIO ROCO.doc", "Abrir Documento")</f>
        <v>0</v>
      </c>
      <c r="D18479" t="s">
        <v>23500</v>
      </c>
      <c r="E18479" t="s">
        <v>40954</v>
      </c>
    </row>
    <row r="18480" spans="1:5">
      <c r="A18480" t="s">
        <v>6</v>
      </c>
      <c r="B18480" t="s">
        <v>18485</v>
      </c>
      <c r="C18480">
        <f>HYPERLINK("C:\Users\franc\OneDrive\Documentos\MALENTIN KARIME\BANCO ESTADO\2012 DEPTO ESCRITURAS fata\Dc Simples\2012 DEPTO ESCRITURAS\BANCO BBVA\BANCO CREDITO\INMOBILIARIA RIO LIMARI A KARINKA VALENZUELA.doc", "Abrir Documento")</f>
        <v>0</v>
      </c>
      <c r="D18480" t="s">
        <v>23500</v>
      </c>
      <c r="E18480" t="s">
        <v>40955</v>
      </c>
    </row>
    <row r="18481" spans="1:5">
      <c r="A18481" t="s">
        <v>6</v>
      </c>
      <c r="B18481" t="s">
        <v>18486</v>
      </c>
      <c r="C18481">
        <f>HYPERLINK("C:\Users\franc\OneDrive\Documentos\MALENTIN KARIME\BANCO ESTADO\2012 DEPTO ESCRITURAS fata\Dc Simples\2012 DEPTO ESCRITURAS\BANCO BBVA\BANCO CREDITO\F 24 MANUELR UBINA.doc", "Abrir Documento")</f>
        <v>0</v>
      </c>
      <c r="D18481" t="s">
        <v>23500</v>
      </c>
      <c r="E18481" t="s">
        <v>40956</v>
      </c>
    </row>
    <row r="18482" spans="1:5">
      <c r="A18482" t="s">
        <v>6</v>
      </c>
      <c r="B18482" t="s">
        <v>18487</v>
      </c>
      <c r="C18482">
        <f>HYPERLINK("C:\Users\franc\OneDrive\Documentos\MALENTIN KARIME\BANCO ESTADO\2012 DEPTO ESCRITURAS fata\Dc Simples\2012 DEPTO ESCRITURAS\BANCO BBVA\BANCO CREDITO\F 24 LEANDRO ORELLANA.doc", "Abrir Documento")</f>
        <v>0</v>
      </c>
      <c r="D18482" t="s">
        <v>23500</v>
      </c>
      <c r="E18482" t="s">
        <v>40957</v>
      </c>
    </row>
    <row r="18483" spans="1:5">
      <c r="A18483" t="s">
        <v>6</v>
      </c>
      <c r="B18483" t="s">
        <v>18488</v>
      </c>
      <c r="C18483">
        <f>HYPERLINK("C:\Users\franc\OneDrive\Documentos\MALENTIN KARIME\BANCO ESTADO\2012 DEPTO ESCRITURAS fata\Dc Simples\2012 DEPTO ESCRITURAS\BANCO BBVA\BANCO CREDITO\carta resguardo MANUEL RUBINA Y DOBLE M.doc", "Abrir Documento")</f>
        <v>0</v>
      </c>
      <c r="D18483" t="s">
        <v>23500</v>
      </c>
      <c r="E18483" t="s">
        <v>40958</v>
      </c>
    </row>
    <row r="18484" spans="1:5">
      <c r="A18484" t="s">
        <v>6</v>
      </c>
      <c r="B18484" t="s">
        <v>18489</v>
      </c>
      <c r="C18484">
        <f>HYPERLINK("C:\Users\franc\OneDrive\Documentos\MALENTIN KARIME\BANCO ESTADO\2012 DEPTO ESCRITURAS fata\Dc Simples\2012 DEPTO ESCRITURAS\BANCO BBVA\VLADIMIR FERNANDEZ.doc", "Abrir Documento")</f>
        <v>0</v>
      </c>
      <c r="D18484" t="s">
        <v>23500</v>
      </c>
      <c r="E18484" t="s">
        <v>40959</v>
      </c>
    </row>
    <row r="18485" spans="1:5">
      <c r="A18485" t="s">
        <v>6</v>
      </c>
      <c r="B18485" t="s">
        <v>18490</v>
      </c>
      <c r="C18485">
        <f>HYPERLINK("C:\Users\franc\OneDrive\Documentos\MALENTIN KARIME\BANCO ESTADO\2012 DEPTO ESCRITURAS fata\Dc Simples\2012 DEPTO ESCRITURAS\BANCO BBVA\LUIS CARVAJAL E.I.R.L.doc", "Abrir Documento")</f>
        <v>0</v>
      </c>
      <c r="D18485" t="s">
        <v>23500</v>
      </c>
      <c r="E18485" t="s">
        <v>40960</v>
      </c>
    </row>
    <row r="18486" spans="1:5">
      <c r="A18486" t="s">
        <v>6</v>
      </c>
      <c r="B18486" t="s">
        <v>18491</v>
      </c>
      <c r="C18486">
        <f>HYPERLINK("C:\Users\franc\OneDrive\Documentos\MALENTIN KARIME\BANCO ESTADO\2012 DEPTO ESCRITURAS fata\Dc Simples\2012 DEPTO ESCRITURAS\BANCO BBVA\JAVIER PIZARRO - CV DOBLE M.doc", "Abrir Documento")</f>
        <v>0</v>
      </c>
      <c r="D18486" t="s">
        <v>23500</v>
      </c>
      <c r="E18486" t="s">
        <v>40961</v>
      </c>
    </row>
    <row r="18487" spans="1:5">
      <c r="A18487" t="s">
        <v>6</v>
      </c>
      <c r="B18487" t="s">
        <v>18492</v>
      </c>
      <c r="C18487">
        <f>HYPERLINK("C:\Users\franc\OneDrive\Documentos\MALENTIN KARIME\BANCO ESTADO\2012 DEPTO ESCRITURAS fata\Dc Simples\2012 DEPTO ESCRITURAS\BANCO BBVA\F 24 WLADIMIR FERNANDEZ CABRERA.doc", "Abrir Documento")</f>
        <v>0</v>
      </c>
      <c r="D18487" t="s">
        <v>23500</v>
      </c>
      <c r="E18487" t="s">
        <v>40962</v>
      </c>
    </row>
    <row r="18488" spans="1:5">
      <c r="A18488" t="s">
        <v>6</v>
      </c>
      <c r="B18488" t="s">
        <v>18493</v>
      </c>
      <c r="C18488">
        <f>HYPERLINK("C:\Users\franc\OneDrive\Documentos\MALENTIN KARIME\BANCO ESTADO\2012 DEPTO ESCRITURAS fata\Dc Simples\2012 DEPTO ESCRITURAS\BANCO BBVA\Christian González Cerezo CRESGUARDO.doc", "Abrir Documento")</f>
        <v>0</v>
      </c>
      <c r="D18488" t="s">
        <v>23500</v>
      </c>
      <c r="E18488" t="s">
        <v>40963</v>
      </c>
    </row>
    <row r="18489" spans="1:5">
      <c r="A18489" t="s">
        <v>6</v>
      </c>
      <c r="B18489" t="s">
        <v>18494</v>
      </c>
      <c r="C18489">
        <f>HYPERLINK("C:\Users\franc\OneDrive\Documentos\MALENTIN KARIME\BANCO ESTADO\2012 DEPTO ESCRITURAS fata\Dc Simples\2012 DEPTO ESCRITURAS\BANCO BBVA\AMADIEL ALVAREZ CAMPUSANO Dic 13.doc", "Abrir Documento")</f>
        <v>0</v>
      </c>
      <c r="D18489" t="s">
        <v>23500</v>
      </c>
      <c r="E18489" t="s">
        <v>40964</v>
      </c>
    </row>
    <row r="18490" spans="1:5">
      <c r="A18490" t="s">
        <v>6</v>
      </c>
      <c r="B18490" t="s">
        <v>18495</v>
      </c>
      <c r="C18490">
        <f>HYPERLINK("C:\Users\franc\OneDrive\Documentos\MALENTIN KARIME\BANCO ESTADO\2012 DEPTO ESCRITURAS fata\Dc Simples\2012 DEPTO ESCRITURAS\Aut firmas\ROBERTO VEGA Contratos.doc", "Abrir Documento")</f>
        <v>0</v>
      </c>
      <c r="D18490" t="s">
        <v>23500</v>
      </c>
      <c r="E18490" t="s">
        <v>40965</v>
      </c>
    </row>
    <row r="18491" spans="1:5">
      <c r="A18491" t="s">
        <v>6</v>
      </c>
      <c r="B18491" t="s">
        <v>18496</v>
      </c>
      <c r="C18491">
        <f>HYPERLINK("C:\Users\franc\OneDrive\Documentos\MALENTIN KARIME\BANCO ESTADO\2012 DEPTO ESCRITURAS fata\Dc Simples\2012 DEPTO ESCRITURAS\ARRIENDOS Y SERV\TELEFONICA MOVIL S.A. A JACINTO LABARCA CORTES.doc", "Abrir Documento")</f>
        <v>0</v>
      </c>
      <c r="D18491" t="s">
        <v>23500</v>
      </c>
      <c r="E18491" t="s">
        <v>40966</v>
      </c>
    </row>
    <row r="18492" spans="1:5">
      <c r="A18492" t="s">
        <v>6</v>
      </c>
      <c r="B18492" t="s">
        <v>18497</v>
      </c>
      <c r="C18492">
        <f>HYPERLINK("C:\Users\franc\OneDrive\Documentos\MALENTIN KARIME\BANCO ESTADO\2012 DEPTO ESCRITURAS fata\Dc Simples\2012 DEPTO ESCRITURAS\ARRIENDOS Y SERV\TELEFONICA MOVIL S.A. A COMUNIDAD AGRICOLA MONTE PATRIA.doc", "Abrir Documento")</f>
        <v>0</v>
      </c>
      <c r="D18492" t="s">
        <v>23500</v>
      </c>
      <c r="E18492" t="s">
        <v>40967</v>
      </c>
    </row>
    <row r="18493" spans="1:5">
      <c r="A18493" t="s">
        <v>6</v>
      </c>
      <c r="B18493" t="s">
        <v>18498</v>
      </c>
      <c r="C18493">
        <f>HYPERLINK("C:\Users\franc\OneDrive\Documentos\MALENTIN KARIME\BANCO ESTADO\2012 DEPTO ESCRITURAS fata\Dc Simples\2012 DEPTO ESCRITURAS\ARRIENDOS Y SERV\TELEFONICA MOVIL S.A. A  ANDRES ARANCIBIA Y OTRO.doc", "Abrir Documento")</f>
        <v>0</v>
      </c>
      <c r="D18493" t="s">
        <v>23500</v>
      </c>
      <c r="E18493" t="s">
        <v>40968</v>
      </c>
    </row>
    <row r="18494" spans="1:5">
      <c r="A18494" t="s">
        <v>6</v>
      </c>
      <c r="B18494" t="s">
        <v>18499</v>
      </c>
      <c r="C18494">
        <f>HYPERLINK("C:\Users\franc\OneDrive\Documentos\MALENTIN KARIME\BANCO ESTADO\2012 DEPTO ESCRITURAS fata\Dc Simples\2012 DEPTO ESCRITURAS\ARRIENDOS Y SERV\Saga y CRISTIAN SMITMANS Privado.doc", "Abrir Documento")</f>
        <v>0</v>
      </c>
      <c r="D18494" t="s">
        <v>23500</v>
      </c>
      <c r="E18494" t="s">
        <v>40969</v>
      </c>
    </row>
    <row r="18495" spans="1:5">
      <c r="A18495" t="s">
        <v>6</v>
      </c>
      <c r="B18495" t="s">
        <v>18500</v>
      </c>
      <c r="C18495">
        <f>HYPERLINK("C:\Users\franc\OneDrive\Documentos\MALENTIN KARIME\BANCO ESTADO\2012 DEPTO ESCRITURAS fata\Dc Simples\2012 DEPTO ESCRITURAS\ARRIENDOS Y SERV\Saga y CRISTIAN SMITMANS Inventario.doc", "Abrir Documento")</f>
        <v>0</v>
      </c>
      <c r="D18495" t="s">
        <v>23500</v>
      </c>
      <c r="E18495" t="s">
        <v>40970</v>
      </c>
    </row>
    <row r="18496" spans="1:5">
      <c r="A18496" t="s">
        <v>6</v>
      </c>
      <c r="B18496" t="s">
        <v>18501</v>
      </c>
      <c r="C18496">
        <f>HYPERLINK("C:\Users\franc\OneDrive\Documentos\MALENTIN KARIME\BANCO ESTADO\2012 DEPTO ESCRITURAS fata\Dc Simples\2012 DEPTO ESCRITURAS\ARRIENDOS Y SERV\Saga y Constructora M&amp;Y EIRL.doc", "Abrir Documento")</f>
        <v>0</v>
      </c>
      <c r="D18496" t="s">
        <v>23500</v>
      </c>
      <c r="E18496" t="s">
        <v>40971</v>
      </c>
    </row>
    <row r="18497" spans="1:5">
      <c r="A18497" t="s">
        <v>6</v>
      </c>
      <c r="B18497" t="s">
        <v>18502</v>
      </c>
      <c r="C18497">
        <f>HYPERLINK("C:\Users\franc\OneDrive\Documentos\MALENTIN KARIME\BANCO ESTADO\2012 DEPTO ESCRITURAS fata\Dc Simples\2012 DEPTO ESCRITURAS\ARRIENDOS Y SERV\ROSA CASTILLO GENERAL A MIGUEL GODOY Minuta Luis gallardo.doc", "Abrir Documento")</f>
        <v>0</v>
      </c>
      <c r="D18497" t="s">
        <v>23500</v>
      </c>
      <c r="E18497" t="s">
        <v>40972</v>
      </c>
    </row>
    <row r="18498" spans="1:5">
      <c r="A18498" t="s">
        <v>6</v>
      </c>
      <c r="B18498" t="s">
        <v>18503</v>
      </c>
      <c r="C18498">
        <f>HYPERLINK("C:\Users\franc\OneDrive\Documentos\MALENTIN KARIME\BANCO ESTADO\2012 DEPTO ESCRITURAS fata\Dc Simples\2012 DEPTO ESCRITURAS\ARRIENDOS Y SERV\PICHASCA INMOBILIARIA EIRL.doc", "Abrir Documento")</f>
        <v>0</v>
      </c>
      <c r="D18498" t="s">
        <v>23500</v>
      </c>
      <c r="E18498" t="s">
        <v>40973</v>
      </c>
    </row>
    <row r="18499" spans="1:5">
      <c r="A18499" t="s">
        <v>6</v>
      </c>
      <c r="B18499" t="s">
        <v>18504</v>
      </c>
      <c r="C18499">
        <f>HYPERLINK("C:\Users\franc\OneDrive\Documentos\MALENTIN KARIME\BANCO ESTADO\2012 DEPTO ESCRITURAS fata\Dc Simples\2012 DEPTO ESCRITURAS\ARRIENDOS Y SERV\OSCAR GODODY y MARIA PAZ CONSTRUCTORA.doc", "Abrir Documento")</f>
        <v>0</v>
      </c>
      <c r="D18499" t="s">
        <v>23500</v>
      </c>
      <c r="E18499" t="s">
        <v>40974</v>
      </c>
    </row>
    <row r="18500" spans="1:5">
      <c r="A18500" t="s">
        <v>6</v>
      </c>
      <c r="B18500" t="s">
        <v>18505</v>
      </c>
      <c r="C18500">
        <f>HYPERLINK("C:\Users\franc\OneDrive\Documentos\MALENTIN KARIME\BANCO ESTADO\2012 DEPTO ESCRITURAS fata\Dc Simples\2012 DEPTO ESCRITURAS\ARRIENDOS Y SERV\MORGADO Y VILCHES A NEWEN.doc", "Abrir Documento")</f>
        <v>0</v>
      </c>
      <c r="D18500" t="s">
        <v>23500</v>
      </c>
      <c r="E18500" t="s">
        <v>40975</v>
      </c>
    </row>
    <row r="18501" spans="1:5">
      <c r="A18501" t="s">
        <v>6</v>
      </c>
      <c r="B18501" t="s">
        <v>18506</v>
      </c>
      <c r="C18501">
        <f>HYPERLINK("C:\Users\franc\OneDrive\Documentos\MALENTIN KARIME\BANCO ESTADO\2012 DEPTO ESCRITURAS fata\Dc Simples\2012 DEPTO ESCRITURAS\ARRIENDOS Y SERV\MODFICIACIONCONTRATOARRIENDO-CASANOVA&amp;PIZARRO.doc", "Abrir Documento")</f>
        <v>0</v>
      </c>
      <c r="D18501" t="s">
        <v>23500</v>
      </c>
      <c r="E18501" t="s">
        <v>40976</v>
      </c>
    </row>
    <row r="18502" spans="1:5">
      <c r="A18502" t="s">
        <v>6</v>
      </c>
      <c r="B18502" t="s">
        <v>18507</v>
      </c>
      <c r="C18502">
        <f>HYPERLINK("C:\Users\franc\OneDrive\Documentos\MALENTIN KARIME\BANCO ESTADO\2012 DEPTO ESCRITURAS fata\Dc Simples\2012 DEPTO ESCRITURAS\ARRIENDOS Y SERV\LUIS VARAS Y JOSE MOLINA Término.doc", "Abrir Documento")</f>
        <v>0</v>
      </c>
      <c r="D18502" t="s">
        <v>23500</v>
      </c>
      <c r="E18502" t="s">
        <v>40977</v>
      </c>
    </row>
    <row r="18503" spans="1:5">
      <c r="A18503" t="s">
        <v>6</v>
      </c>
      <c r="B18503" t="s">
        <v>18508</v>
      </c>
      <c r="C18503">
        <f>HYPERLINK("C:\Users\franc\OneDrive\Documentos\MALENTIN KARIME\BANCO ESTADO\2012 DEPTO ESCRITURAS fata\Dc Simples\2012 DEPTO ESCRITURAS\ARRIENDOS Y SERV\LOS AROMOS Y Norteandino.doc", "Abrir Documento")</f>
        <v>0</v>
      </c>
      <c r="D18503" t="s">
        <v>23500</v>
      </c>
      <c r="E18503" t="s">
        <v>40978</v>
      </c>
    </row>
    <row r="18504" spans="1:5">
      <c r="A18504" t="s">
        <v>6</v>
      </c>
      <c r="B18504" t="s">
        <v>18509</v>
      </c>
      <c r="C18504">
        <f>HYPERLINK("C:\Users\franc\OneDrive\Documentos\MALENTIN KARIME\BANCO ESTADO\2012 DEPTO ESCRITURAS fata\Dc Simples\2012 DEPTO ESCRITURAS\ARRIENDOS Y SERV\LILIANA ALFARO LAGUNAS.doc", "Abrir Documento")</f>
        <v>0</v>
      </c>
      <c r="D18504" t="s">
        <v>23500</v>
      </c>
      <c r="E18504" t="s">
        <v>40979</v>
      </c>
    </row>
    <row r="18505" spans="1:5">
      <c r="A18505" t="s">
        <v>6</v>
      </c>
      <c r="B18505" t="s">
        <v>18510</v>
      </c>
      <c r="C18505">
        <f>HYPERLINK("C:\Users\franc\OneDrive\Documentos\MALENTIN KARIME\BANCO ESTADO\2012 DEPTO ESCRITURAS fata\Dc Simples\2012 DEPTO ESCRITURAS\ARRIENDOS Y SERV\LILIANA ALFARO LAGUNAS minuta.doc", "Abrir Documento")</f>
        <v>0</v>
      </c>
      <c r="D18505" t="s">
        <v>23500</v>
      </c>
      <c r="E18505" t="s">
        <v>40980</v>
      </c>
    </row>
    <row r="18506" spans="1:5">
      <c r="A18506" t="s">
        <v>6</v>
      </c>
      <c r="B18506" t="s">
        <v>18511</v>
      </c>
      <c r="C18506">
        <f>HYPERLINK("C:\Users\franc\OneDrive\Documentos\MALENTIN KARIME\BANCO ESTADO\2012 DEPTO ESCRITURAS fata\Dc Simples\2012 DEPTO ESCRITURAS\ARRIENDOS Y SERV\LILIANA ALFARO LAGUNAS minuta II.doc", "Abrir Documento")</f>
        <v>0</v>
      </c>
      <c r="D18506" t="s">
        <v>23500</v>
      </c>
      <c r="E18506" t="s">
        <v>40981</v>
      </c>
    </row>
    <row r="18507" spans="1:5">
      <c r="A18507" t="s">
        <v>6</v>
      </c>
      <c r="B18507" t="s">
        <v>18512</v>
      </c>
      <c r="C18507">
        <f>HYPERLINK("C:\Users\franc\OneDrive\Documentos\MALENTIN KARIME\BANCO ESTADO\2012 DEPTO ESCRITURAS fata\Dc Simples\2012 DEPTO ESCRITURAS\ARRIENDOS Y SERV\JOSE ARGANDOÑA A NIBALD OLIVARES Minuta O.Gallardo.doc", "Abrir Documento")</f>
        <v>0</v>
      </c>
      <c r="D18507" t="s">
        <v>23500</v>
      </c>
      <c r="E18507" t="s">
        <v>40982</v>
      </c>
    </row>
    <row r="18508" spans="1:5">
      <c r="A18508" t="s">
        <v>6</v>
      </c>
      <c r="B18508" t="s">
        <v>18513</v>
      </c>
      <c r="C18508">
        <f>HYPERLINK("C:\Users\franc\OneDrive\Documentos\MALENTIN KARIME\BANCO ESTADO\2012 DEPTO ESCRITURAS fata\Dc Simples\2012 DEPTO ESCRITURAS\ARRIENDOS Y SERV\INES CASANOVA A NELLY PIZARRO Privado.doc", "Abrir Documento")</f>
        <v>0</v>
      </c>
      <c r="D18508" t="s">
        <v>23500</v>
      </c>
      <c r="E18508" t="s">
        <v>40983</v>
      </c>
    </row>
    <row r="18509" spans="1:5">
      <c r="A18509" t="s">
        <v>6</v>
      </c>
      <c r="B18509" t="s">
        <v>18514</v>
      </c>
      <c r="C18509">
        <f>HYPERLINK("C:\Users\franc\OneDrive\Documentos\MALENTIN KARIME\BANCO ESTADO\2012 DEPTO ESCRITURAS fata\Dc Simples\2012 DEPTO ESCRITURAS\ARRIENDOS Y SERV\HUGO ARAYA A Agricola Elqui.doc", "Abrir Documento")</f>
        <v>0</v>
      </c>
      <c r="D18509" t="s">
        <v>23500</v>
      </c>
      <c r="E18509" t="s">
        <v>40984</v>
      </c>
    </row>
    <row r="18510" spans="1:5">
      <c r="A18510" t="s">
        <v>6</v>
      </c>
      <c r="B18510" t="s">
        <v>18515</v>
      </c>
      <c r="C18510">
        <f>HYPERLINK("C:\Users\franc\OneDrive\Documentos\MALENTIN KARIME\BANCO ESTADO\2012 DEPTO ESCRITURAS fata\Dc Simples\2012 DEPTO ESCRITURAS\ARRIENDOS Y SERV\GABRIELA BRAVO A Waldo Elgueta.doc", "Abrir Documento")</f>
        <v>0</v>
      </c>
      <c r="D18510" t="s">
        <v>23500</v>
      </c>
      <c r="E18510" t="s">
        <v>40985</v>
      </c>
    </row>
    <row r="18511" spans="1:5">
      <c r="A18511" t="s">
        <v>6</v>
      </c>
      <c r="B18511" t="s">
        <v>18516</v>
      </c>
      <c r="C18511">
        <f>HYPERLINK("C:\Users\franc\OneDrive\Documentos\MALENTIN KARIME\BANCO ESTADO\2012 DEPTO ESCRITURAS fata\Dc Simples\2012 DEPTO ESCRITURAS\ARRIENDOS Y SERV\GABRIELA BRAVO A Waldo Elgueta ii.doc", "Abrir Documento")</f>
        <v>0</v>
      </c>
      <c r="D18511" t="s">
        <v>23500</v>
      </c>
      <c r="E18511" t="s">
        <v>40986</v>
      </c>
    </row>
    <row r="18512" spans="1:5">
      <c r="A18512" t="s">
        <v>6</v>
      </c>
      <c r="B18512" t="s">
        <v>18517</v>
      </c>
      <c r="C18512">
        <f>HYPERLINK("C:\Users\franc\OneDrive\Documentos\MALENTIN KARIME\BANCO ESTADO\2012 DEPTO ESCRITURAS fata\Dc Simples\2012 DEPTO ESCRITURAS\ARRIENDOS Y SERV\EDUARDO GALLEGUILLOS CONTRERAS.doc", "Abrir Documento")</f>
        <v>0</v>
      </c>
      <c r="D18512" t="s">
        <v>23500</v>
      </c>
      <c r="E18512" t="s">
        <v>40987</v>
      </c>
    </row>
    <row r="18513" spans="1:5">
      <c r="A18513" t="s">
        <v>6</v>
      </c>
      <c r="B18513" t="s">
        <v>18518</v>
      </c>
      <c r="C18513">
        <f>HYPERLINK("C:\Users\franc\OneDrive\Documentos\MALENTIN KARIME\BANCO ESTADO\2012 DEPTO ESCRITURAS fata\Dc Simples\2012 DEPTO ESCRITURAS\ARRIENDOS Y SERV\Don TITO BUGUEÑO BUGUEÑO.doc", "Abrir Documento")</f>
        <v>0</v>
      </c>
      <c r="D18513" t="s">
        <v>23500</v>
      </c>
      <c r="E18513" t="s">
        <v>40988</v>
      </c>
    </row>
    <row r="18514" spans="1:5">
      <c r="A18514" t="s">
        <v>6</v>
      </c>
      <c r="B18514" t="s">
        <v>18519</v>
      </c>
      <c r="C18514">
        <f>HYPERLINK("C:\Users\franc\OneDrive\Documentos\MALENTIN KARIME\BANCO ESTADO\2012 DEPTO ESCRITURAS fata\Dc Simples\2012 DEPTO ESCRITURAS\ARRIENDOS Y SERV\contrato de arrendamiento LOS AROMOS S.A. a AGRICOLA NORTEANDINO LIMITADA.doc", "Abrir Documento")</f>
        <v>0</v>
      </c>
      <c r="D18514" t="s">
        <v>23500</v>
      </c>
      <c r="E18514" t="s">
        <v>40989</v>
      </c>
    </row>
    <row r="18515" spans="1:5">
      <c r="A18515" t="s">
        <v>6</v>
      </c>
      <c r="B18515" t="s">
        <v>18520</v>
      </c>
      <c r="C18515">
        <f>HYPERLINK("C:\Users\franc\OneDrive\Documentos\MALENTIN KARIME\BANCO ESTADO\2012 DEPTO ESCRITURAS fata\Dc Simples\2012 DEPTO ESCRITURAS\ARRIENDOS Y SERV\COLOMBRE Y ULISES ROBLES EGAÑA.doc", "Abrir Documento")</f>
        <v>0</v>
      </c>
      <c r="D18515" t="s">
        <v>23500</v>
      </c>
      <c r="E18515" t="s">
        <v>40990</v>
      </c>
    </row>
    <row r="18516" spans="1:5">
      <c r="A18516" t="s">
        <v>6</v>
      </c>
      <c r="B18516" t="s">
        <v>18521</v>
      </c>
      <c r="C18516">
        <f>HYPERLINK("C:\Users\franc\OneDrive\Documentos\MALENTIN KARIME\BANCO ESTADO\2012 DEPTO ESCRITURAS fata\Dc Simples\2012 DEPTO ESCRITURAS\ARRIENDOS Y SERV\budget, ren a car EIRL.doc", "Abrir Documento")</f>
        <v>0</v>
      </c>
      <c r="D18516" t="s">
        <v>23500</v>
      </c>
      <c r="E18516" t="s">
        <v>40991</v>
      </c>
    </row>
    <row r="18517" spans="1:5">
      <c r="A18517" t="s">
        <v>6</v>
      </c>
      <c r="B18517" t="s">
        <v>18522</v>
      </c>
      <c r="C18517">
        <f>HYPERLINK("C:\Users\franc\OneDrive\Documentos\MALENTIN KARIME\BANCO ESTADO\2012 DEPTO ESCRITURAS fata\Dc Simples\2012 DEPTO ESCRITURAS\ARRIENDOS Y SERV\ATC SITIOS Y CDAD INGA PICHASCA.doc", "Abrir Documento")</f>
        <v>0</v>
      </c>
      <c r="D18517" t="s">
        <v>23500</v>
      </c>
      <c r="E18517" t="s">
        <v>40992</v>
      </c>
    </row>
    <row r="18518" spans="1:5">
      <c r="A18518" t="s">
        <v>6</v>
      </c>
      <c r="B18518" t="s">
        <v>18523</v>
      </c>
      <c r="C18518">
        <f>HYPERLINK("C:\Users\franc\OneDrive\Documentos\MALENTIN KARIME\BANCO ESTADO\2012 DEPTO ESCRITURAS fata\Dc Simples\2012 DEPTO ESCRITURAS\ARRIENDOS Y SERV\ANGOSTURA 2.doc", "Abrir Documento")</f>
        <v>0</v>
      </c>
      <c r="D18518" t="s">
        <v>23500</v>
      </c>
      <c r="E18518" t="s">
        <v>40993</v>
      </c>
    </row>
    <row r="18519" spans="1:5">
      <c r="A18519" t="s">
        <v>6</v>
      </c>
      <c r="B18519" t="s">
        <v>18524</v>
      </c>
      <c r="C18519">
        <f>HYPERLINK("C:\Users\franc\OneDrive\Documentos\MALENTIN KARIME\BANCO ESTADO\2012 DEPTO ESCRITURAS fata\Dc Simples\2012 DEPTO ESCRITURAS\ARRIENDOS Y SERV\ANGOSTURA 1.doc", "Abrir Documento")</f>
        <v>0</v>
      </c>
      <c r="D18519" t="s">
        <v>23500</v>
      </c>
      <c r="E18519" t="s">
        <v>40994</v>
      </c>
    </row>
    <row r="18520" spans="1:5">
      <c r="A18520" t="s">
        <v>6</v>
      </c>
      <c r="B18520" t="s">
        <v>18525</v>
      </c>
      <c r="C18520">
        <f>HYPERLINK("C:\Users\franc\OneDrive\Documentos\MALENTIN KARIME\BANCO ESTADO\2012 DEPTO ESCRITURAS fata\Dc Simples\2012 DEPTO ESCRITURAS\ARRIENDOS Y SERV\ANGOSTURA  a GUSTAVINA PALACIOS.doc", "Abrir Documento")</f>
        <v>0</v>
      </c>
      <c r="D18520" t="s">
        <v>23500</v>
      </c>
      <c r="E18520" t="s">
        <v>40995</v>
      </c>
    </row>
    <row r="18521" spans="1:5">
      <c r="A18521" t="s">
        <v>6</v>
      </c>
      <c r="B18521" t="s">
        <v>18526</v>
      </c>
      <c r="C18521">
        <f>HYPERLINK("C:\Users\franc\OneDrive\Documentos\MALENTIN KARIME\BANCO ESTADO\2012 DEPTO ESCRITURAS fata\Dc Simples\2012 DEPTO ESCRITURAS\APR\PEDRO ALFARO Y OTROS A Comité Agua Potable Rural SONORA.doc", "Abrir Documento")</f>
        <v>0</v>
      </c>
      <c r="D18521" t="s">
        <v>23500</v>
      </c>
      <c r="E18521" t="s">
        <v>40996</v>
      </c>
    </row>
    <row r="18522" spans="1:5">
      <c r="A18522" t="s">
        <v>6</v>
      </c>
      <c r="B18522" t="s">
        <v>18527</v>
      </c>
      <c r="C18522">
        <f>HYPERLINK("C:\Users\franc\OneDrive\Documentos\MALENTIN KARIME\BANCO ESTADO\2012 DEPTO ESCRITURAS fata\Dc Simples\2012 DEPTO ESCRITURAS\APR\ORIEL JERALDO TIRADO.doc", "Abrir Documento")</f>
        <v>0</v>
      </c>
      <c r="D18522" t="s">
        <v>23500</v>
      </c>
      <c r="E18522" t="s">
        <v>40997</v>
      </c>
    </row>
    <row r="18523" spans="1:5">
      <c r="A18523" t="s">
        <v>6</v>
      </c>
      <c r="B18523" t="s">
        <v>18528</v>
      </c>
      <c r="C18523">
        <f>HYPERLINK("C:\Users\franc\OneDrive\Documentos\MALENTIN KARIME\BANCO ESTADO\2012 DEPTO ESCRITURAS fata\Dc Simples\2012 DEPTO ESCRITURAS\APR\CDAD BARRAZA Comodato.doc", "Abrir Documento")</f>
        <v>0</v>
      </c>
      <c r="D18523" t="s">
        <v>23500</v>
      </c>
      <c r="E18523" t="s">
        <v>40998</v>
      </c>
    </row>
    <row r="18524" spans="1:5">
      <c r="A18524" t="s">
        <v>6</v>
      </c>
      <c r="B18524" t="s">
        <v>18529</v>
      </c>
      <c r="C18524">
        <f>HYPERLINK("C:\Users\franc\OneDrive\Documentos\MALENTIN KARIME\BANCO ESTADO\2012 DEPTO ESCRITURAS fata\Dc Simples\2012 DEPTO ESCRITURAS\APR\APR LOS NOGALES.doc", "Abrir Documento")</f>
        <v>0</v>
      </c>
      <c r="D18524" t="s">
        <v>23500</v>
      </c>
      <c r="E18524" t="s">
        <v>40999</v>
      </c>
    </row>
    <row r="18525" spans="1:5">
      <c r="A18525" t="s">
        <v>6</v>
      </c>
      <c r="B18525" t="s">
        <v>18530</v>
      </c>
      <c r="C18525">
        <f>HYPERLINK("C:\Users\franc\OneDrive\Documentos\MALENTIN KARIME\BANCO ESTADO\2012 DEPTO ESCRITURAS fata\Dc Simples\2012 DEPTO ESCRITURAS\APR\APR LOS CLONQUIS.doc", "Abrir Documento")</f>
        <v>0</v>
      </c>
      <c r="D18525" t="s">
        <v>23500</v>
      </c>
      <c r="E18525" t="s">
        <v>41000</v>
      </c>
    </row>
    <row r="18526" spans="1:5">
      <c r="A18526" t="s">
        <v>6</v>
      </c>
      <c r="B18526" t="s">
        <v>18531</v>
      </c>
      <c r="C18526">
        <f>HYPERLINK("C:\Users\franc\OneDrive\Documentos\MALENTIN KARIME\BANCO ESTADO\2012 DEPTO ESCRITURAS fata\Dc Simples\2012 DEPTO ESCRITURAS\ALTOS PUNITAQUI\SILVIA IBACACHE CODOCEO Aguas.doc", "Abrir Documento")</f>
        <v>0</v>
      </c>
      <c r="D18526" t="s">
        <v>23500</v>
      </c>
      <c r="E18526" t="s">
        <v>41001</v>
      </c>
    </row>
    <row r="18527" spans="1:5">
      <c r="A18527" t="s">
        <v>6</v>
      </c>
      <c r="B18527" t="s">
        <v>18532</v>
      </c>
      <c r="C18527">
        <f>HYPERLINK("C:\Users\franc\OneDrive\Documentos\MALENTIN KARIME\BANCO ESTADO\2012 DEPTO ESCRITURAS fata\Dc Simples\2012 DEPTO ESCRITURAS\ALTOS PUNITAQUI\REDUCCIÓN E.P. TRANSACCIÓN MINERA ALTOS DE PUNITAQUI VERSION NOTARIA.doc", "Abrir Documento")</f>
        <v>0</v>
      </c>
      <c r="D18527" t="s">
        <v>23500</v>
      </c>
      <c r="E18527" t="s">
        <v>41002</v>
      </c>
    </row>
    <row r="18528" spans="1:5">
      <c r="A18528" t="s">
        <v>6</v>
      </c>
      <c r="B18528" t="s">
        <v>18533</v>
      </c>
      <c r="C18528">
        <f>HYPERLINK("C:\Users\franc\OneDrive\Documentos\MALENTIN KARIME\BANCO ESTADO\2012 DEPTO ESCRITURAS fata\Dc Simples\2012 DEPTO ESCRITURAS\ALTOS PUNITAQUI\MINERA PUNITAQUI Y CONAFE Transaccion I.doc", "Abrir Documento")</f>
        <v>0</v>
      </c>
      <c r="D18528" t="s">
        <v>23500</v>
      </c>
      <c r="E18528" t="s">
        <v>41003</v>
      </c>
    </row>
    <row r="18529" spans="1:5">
      <c r="A18529" t="s">
        <v>6</v>
      </c>
      <c r="B18529" t="s">
        <v>18534</v>
      </c>
      <c r="C18529">
        <f>HYPERLINK("C:\Users\franc\OneDrive\Documentos\MALENTIN KARIME\BANCO ESTADO\2012 DEPTO ESCRITURAS fata\Dc Simples\2012 DEPTO ESCRITURAS\ALTOS PUNITAQUI\MINERA ALTOS DE PUNITAQUI A Soledad Farr mandato.doc", "Abrir Documento")</f>
        <v>0</v>
      </c>
      <c r="D18529" t="s">
        <v>23500</v>
      </c>
      <c r="E18529" t="s">
        <v>41004</v>
      </c>
    </row>
    <row r="18530" spans="1:5">
      <c r="A18530" t="s">
        <v>6</v>
      </c>
      <c r="B18530" t="s">
        <v>18535</v>
      </c>
      <c r="C18530">
        <f>HYPERLINK("C:\Users\franc\OneDrive\Documentos\MALENTIN KARIME\BANCO ESTADO\2012 DEPTO ESCRITURAS fata\Dc Simples\2012 DEPTO ESCRITURAS\ALTOS PUNITAQUI\LAUTARO MANRIQUEZ A SOLEDAD FARR.doc", "Abrir Documento")</f>
        <v>0</v>
      </c>
      <c r="D18530" t="s">
        <v>23500</v>
      </c>
      <c r="E18530" t="s">
        <v>41005</v>
      </c>
    </row>
    <row r="18531" spans="1:5">
      <c r="A18531" t="s">
        <v>6</v>
      </c>
      <c r="B18531" t="s">
        <v>18536</v>
      </c>
      <c r="C18531">
        <f>HYPERLINK("C:\Users\franc\OneDrive\Documentos\MALENTIN KARIME\BANCO ESTADO\2012 DEPTO ESCRITURAS fata\Dc Simples\2012 DEPTO ESCRITURAS\ALTOS PUNITAQUI\LAUTARO MANRIQUEZ A SOLEDAD FARR 2017.doc", "Abrir Documento")</f>
        <v>0</v>
      </c>
      <c r="D18531" t="s">
        <v>23500</v>
      </c>
      <c r="E18531" t="s">
        <v>41006</v>
      </c>
    </row>
    <row r="18532" spans="1:5">
      <c r="A18532" t="s">
        <v>6</v>
      </c>
      <c r="B18532" t="s">
        <v>18537</v>
      </c>
      <c r="C18532">
        <f>HYPERLINK("C:\Users\franc\OneDrive\Documentos\MALENTIN KARIME\BANCO ESTADO\2012 DEPTO ESCRITURAS fata\Dc Simples\2012 DEPTO ESCRITURAS\ALTOS PUNITAQUI\Contrato de Suministro con Garantía Cinabrio julio 2012 versión notaria.doc", "Abrir Documento")</f>
        <v>0</v>
      </c>
      <c r="D18532" t="s">
        <v>23500</v>
      </c>
      <c r="E18532" t="s">
        <v>41007</v>
      </c>
    </row>
    <row r="18533" spans="1:5">
      <c r="A18533" t="s">
        <v>6</v>
      </c>
      <c r="B18533" t="s">
        <v>18538</v>
      </c>
      <c r="C18533">
        <f>HYPERLINK("C:\Users\franc\OneDrive\Documentos\MALENTIN KARIME\BANCO ESTADO\2012 DEPTO ESCRITURAS fata\Dc Simples\2012 DEPTO ESCRITURAS\ALTOS PUNITAQUI\Autorizo la firma de don LAUTARO ROBERTO MANRIQUEZ CALLEJAS.doc", "Abrir Documento")</f>
        <v>0</v>
      </c>
      <c r="D18533" t="s">
        <v>23500</v>
      </c>
      <c r="E18533" t="s">
        <v>41008</v>
      </c>
    </row>
    <row r="18534" spans="1:5">
      <c r="A18534" t="s">
        <v>6</v>
      </c>
      <c r="B18534" t="s">
        <v>18539</v>
      </c>
      <c r="C18534">
        <f>HYPERLINK("C:\Users\franc\OneDrive\Documentos\MALENTIN KARIME\BANCO ESTADO\2012 DEPTO ESCRITURAS fata\Dc Simples\2012 DEPTO ESCRITURAS\AGUAS\ADOLFO LAY\MARIA IRIBARREN MUÑOZ.doc", "Abrir Documento")</f>
        <v>0</v>
      </c>
      <c r="D18534" t="s">
        <v>23500</v>
      </c>
      <c r="E18534" t="s">
        <v>41009</v>
      </c>
    </row>
    <row r="18535" spans="1:5">
      <c r="A18535" t="s">
        <v>6</v>
      </c>
      <c r="B18535" t="s">
        <v>18540</v>
      </c>
      <c r="C18535">
        <f>HYPERLINK("C:\Users\franc\OneDrive\Documentos\MALENTIN KARIME\BANCO ESTADO\2012 DEPTO ESCRITURAS fata\Dc Simples\2012 DEPTO ESCRITURAS\AGUAS\ADOLFO LAY\COMERCIAL AUTOTEC.doc", "Abrir Documento")</f>
        <v>0</v>
      </c>
      <c r="D18535" t="s">
        <v>23500</v>
      </c>
      <c r="E18535" t="s">
        <v>41010</v>
      </c>
    </row>
    <row r="18536" spans="1:5">
      <c r="A18536" t="s">
        <v>6</v>
      </c>
      <c r="B18536" t="s">
        <v>18541</v>
      </c>
      <c r="C18536">
        <f>HYPERLINK("C:\Users\franc\OneDrive\Documentos\MALENTIN KARIME\BANCO ESTADO\2012 DEPTO ESCRITURAS fata\Dc Simples\2012 DEPTO ESCRITURAS\AGUAS\2014\SOCIEDAD SANTA CATALINA A Agrícola Vespucio.doc", "Abrir Documento")</f>
        <v>0</v>
      </c>
      <c r="D18536" t="s">
        <v>23500</v>
      </c>
      <c r="E18536" t="s">
        <v>41011</v>
      </c>
    </row>
    <row r="18537" spans="1:5">
      <c r="A18537" t="s">
        <v>6</v>
      </c>
      <c r="B18537" t="s">
        <v>18542</v>
      </c>
      <c r="C18537">
        <f>HYPERLINK("C:\Users\franc\OneDrive\Documentos\MALENTIN KARIME\BANCO ESTADO\2012 DEPTO ESCRITURAS fata\Dc Simples\2012 DEPTO ESCRITURAS\AGUAS\2014\JOSE MIGUEL MUNIZAGA TORO a Alfonso Montenegro.doc", "Abrir Documento")</f>
        <v>0</v>
      </c>
      <c r="D18537" t="s">
        <v>23500</v>
      </c>
      <c r="E18537" t="s">
        <v>41012</v>
      </c>
    </row>
    <row r="18538" spans="1:5">
      <c r="A18538" t="s">
        <v>6</v>
      </c>
      <c r="B18538" t="s">
        <v>18543</v>
      </c>
      <c r="C18538">
        <f>HYPERLINK("C:\Users\franc\OneDrive\Documentos\MALENTIN KARIME\BANCO ESTADO\2012 DEPTO ESCRITURAS fata\Dc Simples\2012 DEPTO ESCRITURAS\AGUAS\2014\INSTRUCCIONESS  Munizaga 2.doc", "Abrir Documento")</f>
        <v>0</v>
      </c>
      <c r="D18538" t="s">
        <v>23500</v>
      </c>
      <c r="E18538" t="s">
        <v>41013</v>
      </c>
    </row>
    <row r="18539" spans="1:5">
      <c r="A18539" t="s">
        <v>6</v>
      </c>
      <c r="B18539" t="s">
        <v>18544</v>
      </c>
      <c r="C18539">
        <f>HYPERLINK("C:\Users\franc\OneDrive\Documentos\MALENTIN KARIME\BANCO ESTADO\2012 DEPTO ESCRITURAS fata\Dc Simples\2012 DEPTO ESCRITURAS\AGUAS\2014\FRUTICOLA RIO COPIAPO A Saraswati Harris.doc", "Abrir Documento")</f>
        <v>0</v>
      </c>
      <c r="D18539" t="s">
        <v>23500</v>
      </c>
      <c r="E18539" t="s">
        <v>41014</v>
      </c>
    </row>
    <row r="18540" spans="1:5">
      <c r="A18540" t="s">
        <v>6</v>
      </c>
      <c r="B18540" t="s">
        <v>18545</v>
      </c>
      <c r="C18540">
        <f>HYPERLINK("C:\Users\franc\OneDrive\Documentos\MALENTIN KARIME\BANCO ESTADO\2012 DEPTO ESCRITURAS fata\Dc Simples\2012 DEPTO ESCRITURAS\AGUAS\2014\FRUTICOLA RIO COPIAPO A Inversiones Juan Pablo.doc", "Abrir Documento")</f>
        <v>0</v>
      </c>
      <c r="D18540" t="s">
        <v>23500</v>
      </c>
      <c r="E18540" t="s">
        <v>41015</v>
      </c>
    </row>
    <row r="18541" spans="1:5">
      <c r="A18541" t="s">
        <v>6</v>
      </c>
      <c r="B18541" t="s">
        <v>18546</v>
      </c>
      <c r="C18541">
        <f>HYPERLINK("C:\Users\franc\OneDrive\Documentos\MALENTIN KARIME\BANCO ESTADO\2012 DEPTO ESCRITURAS fata\Dc Simples\2012 DEPTO ESCRITURAS\AGUAS\2014\FRUTICOLA RIO COPIAPO A Inversiones Juan Pablo formato.doc", "Abrir Documento")</f>
        <v>0</v>
      </c>
      <c r="D18541" t="s">
        <v>23500</v>
      </c>
      <c r="E18541" t="s">
        <v>41016</v>
      </c>
    </row>
    <row r="18542" spans="1:5">
      <c r="A18542" t="s">
        <v>6</v>
      </c>
      <c r="B18542" t="s">
        <v>18547</v>
      </c>
      <c r="C18542">
        <f>HYPERLINK("C:\Users\franc\OneDrive\Documentos\MALENTIN KARIME\BANCO ESTADO\2012 DEPTO ESCRITURAS fata\Dc Simples\2012 DEPTO ESCRITURAS\AGUAS\2014\FRUTICOLA RIO COPIAPO A Angostura.doc", "Abrir Documento")</f>
        <v>0</v>
      </c>
      <c r="D18542" t="s">
        <v>23500</v>
      </c>
      <c r="E18542" t="s">
        <v>41017</v>
      </c>
    </row>
    <row r="18543" spans="1:5">
      <c r="A18543" t="s">
        <v>6</v>
      </c>
      <c r="B18543" t="s">
        <v>18548</v>
      </c>
      <c r="C18543">
        <f>HYPERLINK("C:\Users\franc\OneDrive\Documentos\MALENTIN KARIME\BANCO ESTADO\2012 DEPTO ESCRITURAS fata\Dc Simples\2012 DEPTO ESCRITURAS\AGUAS\2014\FRUTICOLA RIO COPIAPO A Angostura formato.doc", "Abrir Documento")</f>
        <v>0</v>
      </c>
      <c r="D18543" t="s">
        <v>23500</v>
      </c>
      <c r="E18543" t="s">
        <v>41018</v>
      </c>
    </row>
    <row r="18544" spans="1:5">
      <c r="A18544" t="s">
        <v>6</v>
      </c>
      <c r="B18544" t="s">
        <v>18549</v>
      </c>
      <c r="C18544">
        <f>HYPERLINK("C:\Users\franc\OneDrive\Documentos\MALENTIN KARIME\BANCO ESTADO\2012 DEPTO ESCRITURAS fata\Dc Simples\2012 DEPTO ESCRITURAS\AGUAS\2014\FRUTICOLA RIO COPIAPO A  Mario Alfaro.doc", "Abrir Documento")</f>
        <v>0</v>
      </c>
      <c r="D18544" t="s">
        <v>23500</v>
      </c>
      <c r="E18544" t="s">
        <v>41019</v>
      </c>
    </row>
    <row r="18545" spans="1:5">
      <c r="A18545" t="s">
        <v>6</v>
      </c>
      <c r="B18545" t="s">
        <v>18550</v>
      </c>
      <c r="C18545">
        <f>HYPERLINK("C:\Users\franc\OneDrive\Documentos\MALENTIN KARIME\BANCO ESTADO\2012 DEPTO ESCRITURAS fata\Dc Simples\2012 DEPTO ESCRITURAS\AGUAS\2014\FRUTICOLA RIO COPIAPO A  Juan Carlos Julia.doc", "Abrir Documento")</f>
        <v>0</v>
      </c>
      <c r="D18545" t="s">
        <v>23500</v>
      </c>
      <c r="E18545" t="s">
        <v>41020</v>
      </c>
    </row>
    <row r="18546" spans="1:5">
      <c r="A18546" t="s">
        <v>6</v>
      </c>
      <c r="B18546" t="s">
        <v>18551</v>
      </c>
      <c r="C18546">
        <f>HYPERLINK("C:\Users\franc\OneDrive\Documentos\MALENTIN KARIME\BANCO ESTADO\2012 DEPTO ESCRITURAS fata\Dc Simples\2012 DEPTO ESCRITURAS\AGUAS\2014\FRUTICOLA RIO COPIAPO A  Agricola Valle del Limar Spa.doc", "Abrir Documento")</f>
        <v>0</v>
      </c>
      <c r="D18546" t="s">
        <v>23500</v>
      </c>
      <c r="E18546" t="s">
        <v>41021</v>
      </c>
    </row>
    <row r="18547" spans="1:5">
      <c r="A18547" t="s">
        <v>6</v>
      </c>
      <c r="B18547" t="s">
        <v>18552</v>
      </c>
      <c r="C18547">
        <f>HYPERLINK("C:\Users\franc\OneDrive\Documentos\MALENTIN KARIME\BANCO ESTADO\2012 DEPTO ESCRITURAS fata\Dc Simples\2012 DEPTO ESCRITURAS\AGUAS\2014\AGRICOLA Sicor a San Clemente.doc", "Abrir Documento")</f>
        <v>0</v>
      </c>
      <c r="D18547" t="s">
        <v>23500</v>
      </c>
      <c r="E18547" t="s">
        <v>41022</v>
      </c>
    </row>
    <row r="18548" spans="1:5">
      <c r="A18548" t="s">
        <v>6</v>
      </c>
      <c r="B18548" t="s">
        <v>18553</v>
      </c>
      <c r="C18548">
        <f>HYPERLINK("C:\Users\franc\OneDrive\Documentos\MALENTIN KARIME\BANCO ESTADO\2012 DEPTO ESCRITURAS fata\Dc Simples\2012 DEPTO ESCRITURAS\AGUAS\2014\AGRICOLA Sicor a San Clemente privado.doc", "Abrir Documento")</f>
        <v>0</v>
      </c>
      <c r="D18548" t="s">
        <v>23500</v>
      </c>
      <c r="E18548" t="s">
        <v>41023</v>
      </c>
    </row>
    <row r="18549" spans="1:5">
      <c r="A18549" t="s">
        <v>6</v>
      </c>
      <c r="B18549" t="s">
        <v>18554</v>
      </c>
      <c r="C18549">
        <f>HYPERLINK("C:\Users\franc\OneDrive\Documentos\MALENTIN KARIME\BANCO ESTADO\2012 DEPTO ESCRITURAS fata\Dc Simples\2012 DEPTO ESCRITURAS\AGUAS\WALTER JOFRE MONTERO Arriendo Aguas.doc", "Abrir Documento")</f>
        <v>0</v>
      </c>
      <c r="D18549" t="s">
        <v>23500</v>
      </c>
      <c r="E18549" t="s">
        <v>41024</v>
      </c>
    </row>
    <row r="18550" spans="1:5">
      <c r="A18550" t="s">
        <v>6</v>
      </c>
      <c r="B18550" t="s">
        <v>18555</v>
      </c>
      <c r="C18550">
        <f>HYPERLINK("C:\Users\franc\OneDrive\Documentos\MALENTIN KARIME\BANCO ESTADO\2012 DEPTO ESCRITURAS fata\Dc Simples\2012 DEPTO ESCRITURAS\AGUAS\VIÑA SUTIL Arriendo Aguas.doc", "Abrir Documento")</f>
        <v>0</v>
      </c>
      <c r="D18550" t="s">
        <v>23500</v>
      </c>
      <c r="E18550" t="s">
        <v>41025</v>
      </c>
    </row>
    <row r="18551" spans="1:5">
      <c r="A18551" t="s">
        <v>6</v>
      </c>
      <c r="B18551" t="s">
        <v>18556</v>
      </c>
      <c r="C18551">
        <f>HYPERLINK("C:\Users\franc\OneDrive\Documentos\MALENTIN KARIME\BANCO ESTADO\2012 DEPTO ESCRITURAS fata\Dc Simples\2012 DEPTO ESCRITURAS\AGUAS\VIÑA SUTIL  A Nibaldo Flores Arriendo Aguas.doc", "Abrir Documento")</f>
        <v>0</v>
      </c>
      <c r="D18551" t="s">
        <v>23500</v>
      </c>
      <c r="E18551" t="s">
        <v>41026</v>
      </c>
    </row>
    <row r="18552" spans="1:5">
      <c r="A18552" t="s">
        <v>6</v>
      </c>
      <c r="B18552" t="s">
        <v>18557</v>
      </c>
      <c r="C18552">
        <f>HYPERLINK("C:\Users\franc\OneDrive\Documentos\MALENTIN KARIME\BANCO ESTADO\2012 DEPTO ESCRITURAS fata\Dc Simples\2012 DEPTO ESCRITURAS\AGUAS\VIÑA SUTIL  A LUCIA CORRAL Aguas.doc", "Abrir Documento")</f>
        <v>0</v>
      </c>
      <c r="D18552" t="s">
        <v>23500</v>
      </c>
      <c r="E18552" t="s">
        <v>41027</v>
      </c>
    </row>
    <row r="18553" spans="1:5">
      <c r="A18553" t="s">
        <v>6</v>
      </c>
      <c r="B18553" t="s">
        <v>18558</v>
      </c>
      <c r="C18553">
        <f>HYPERLINK("C:\Users\franc\OneDrive\Documentos\MALENTIN KARIME\BANCO ESTADO\2012 DEPTO ESCRITURAS fata\Dc Simples\2012 DEPTO ESCRITURAS\AGUAS\VIÑA SUTIL  A GABY MORENO VEGA Aguas.doc", "Abrir Documento")</f>
        <v>0</v>
      </c>
      <c r="D18553" t="s">
        <v>23500</v>
      </c>
      <c r="E18553" t="s">
        <v>41028</v>
      </c>
    </row>
    <row r="18554" spans="1:5">
      <c r="A18554" t="s">
        <v>6</v>
      </c>
      <c r="B18554" t="s">
        <v>18559</v>
      </c>
      <c r="C18554">
        <f>HYPERLINK("C:\Users\franc\OneDrive\Documentos\MALENTIN KARIME\BANCO ESTADO\2012 DEPTO ESCRITURAS fata\Dc Simples\2012 DEPTO ESCRITURAS\AGUAS\VIÑA SUTIL  A CLAUDIA BOLADOS Aguas.doc", "Abrir Documento")</f>
        <v>0</v>
      </c>
      <c r="D18554" t="s">
        <v>23500</v>
      </c>
      <c r="E18554" t="s">
        <v>41029</v>
      </c>
    </row>
    <row r="18555" spans="1:5">
      <c r="A18555" t="s">
        <v>6</v>
      </c>
      <c r="B18555" t="s">
        <v>18560</v>
      </c>
      <c r="C18555">
        <f>HYPERLINK("C:\Users\franc\OneDrive\Documentos\MALENTIN KARIME\BANCO ESTADO\2012 DEPTO ESCRITURAS fata\Dc Simples\2012 DEPTO ESCRITURAS\AGUAS\VIÑA SUTIL  A ANIBAL ASTORGA Rectifica.doc", "Abrir Documento")</f>
        <v>0</v>
      </c>
      <c r="D18555" t="s">
        <v>23500</v>
      </c>
      <c r="E18555" t="s">
        <v>41030</v>
      </c>
    </row>
    <row r="18556" spans="1:5">
      <c r="A18556" t="s">
        <v>6</v>
      </c>
      <c r="B18556" t="s">
        <v>18561</v>
      </c>
      <c r="C18556">
        <f>HYPERLINK("C:\Users\franc\OneDrive\Documentos\MALENTIN KARIME\BANCO ESTADO\2012 DEPTO ESCRITURAS fata\Dc Simples\2012 DEPTO ESCRITURAS\AGUAS\VIÑA SUTIL  A ANIBAL ASTORGA Aguas.doc", "Abrir Documento")</f>
        <v>0</v>
      </c>
      <c r="D18556" t="s">
        <v>23500</v>
      </c>
      <c r="E18556" t="s">
        <v>41031</v>
      </c>
    </row>
    <row r="18557" spans="1:5">
      <c r="A18557" t="s">
        <v>6</v>
      </c>
      <c r="B18557" t="s">
        <v>18562</v>
      </c>
      <c r="C18557">
        <f>HYPERLINK("C:\Users\franc\OneDrive\Documentos\MALENTIN KARIME\BANCO ESTADO\2012 DEPTO ESCRITURAS fata\Dc Simples\2012 DEPTO ESCRITURAS\AGUAS\SYLVIA ELENA ALVAREZ A RODRIGO ALCAYAGA.doc", "Abrir Documento")</f>
        <v>0</v>
      </c>
      <c r="D18557" t="s">
        <v>23500</v>
      </c>
      <c r="E18557" t="s">
        <v>41032</v>
      </c>
    </row>
    <row r="18558" spans="1:5">
      <c r="A18558" t="s">
        <v>6</v>
      </c>
      <c r="B18558" t="s">
        <v>18563</v>
      </c>
      <c r="C18558">
        <f>HYPERLINK("C:\Users\franc\OneDrive\Documentos\MALENTIN KARIME\BANCO ESTADO\2012 DEPTO ESCRITURAS fata\Dc Simples\2012 DEPTO ESCRITURAS\AGUAS\SUCESION Carvajal Aguilera.doc", "Abrir Documento")</f>
        <v>0</v>
      </c>
      <c r="D18558" t="s">
        <v>23500</v>
      </c>
      <c r="E18558" t="s">
        <v>41033</v>
      </c>
    </row>
    <row r="18559" spans="1:5">
      <c r="A18559" t="s">
        <v>6</v>
      </c>
      <c r="B18559" t="s">
        <v>18564</v>
      </c>
      <c r="C18559">
        <f>HYPERLINK("C:\Users\franc\OneDrive\Documentos\MALENTIN KARIME\BANCO ESTADO\2012 DEPTO ESCRITURAS fata\Dc Simples\2012 DEPTO ESCRITURAS\AGUAS\SOBRE DIRECTOR  GENERAL    DE AGUAS.doc", "Abrir Documento")</f>
        <v>0</v>
      </c>
      <c r="D18559" t="s">
        <v>23500</v>
      </c>
      <c r="E18559" t="s">
        <v>41034</v>
      </c>
    </row>
    <row r="18560" spans="1:5">
      <c r="A18560" t="s">
        <v>6</v>
      </c>
      <c r="B18560" t="s">
        <v>18565</v>
      </c>
      <c r="C18560">
        <f>HYPERLINK("C:\Users\franc\OneDrive\Documentos\MALENTIN KARIME\BANCO ESTADO\2012 DEPTO ESCRITURAS fata\Dc Simples\2012 DEPTO ESCRITURAS\AGUAS\PLANILLA DIRECCION GENERAL DE AGUAS.doc", "Abrir Documento")</f>
        <v>0</v>
      </c>
      <c r="D18560" t="s">
        <v>23500</v>
      </c>
      <c r="E18560" t="s">
        <v>41035</v>
      </c>
    </row>
    <row r="18561" spans="1:5">
      <c r="A18561" t="s">
        <v>6</v>
      </c>
      <c r="B18561" t="s">
        <v>18566</v>
      </c>
      <c r="C18561">
        <f>HYPERLINK("C:\Users\franc\OneDrive\Documentos\MALENTIN KARIME\BANCO ESTADO\2012 DEPTO ESCRITURAS fata\Dc Simples\2012 DEPTO ESCRITURAS\AGUAS\PATRICIO PINTO A Fruticola Copiapo.doc", "Abrir Documento")</f>
        <v>0</v>
      </c>
      <c r="D18561" t="s">
        <v>23500</v>
      </c>
      <c r="E18561" t="s">
        <v>41036</v>
      </c>
    </row>
    <row r="18562" spans="1:5">
      <c r="A18562" t="s">
        <v>6</v>
      </c>
      <c r="B18562" t="s">
        <v>18567</v>
      </c>
      <c r="C18562">
        <f>HYPERLINK("C:\Users\franc\OneDrive\Documentos\MALENTIN KARIME\BANCO ESTADO\2012 DEPTO ESCRITURAS fata\Dc Simples\2012 DEPTO ESCRITURAS\AGUAS\PATRICIO PINTO A Fruticola Copiapo INSTRUCCIONES.doc", "Abrir Documento")</f>
        <v>0</v>
      </c>
      <c r="D18562" t="s">
        <v>23500</v>
      </c>
      <c r="E18562" t="s">
        <v>41037</v>
      </c>
    </row>
    <row r="18563" spans="1:5">
      <c r="A18563" t="s">
        <v>6</v>
      </c>
      <c r="B18563" t="s">
        <v>18568</v>
      </c>
      <c r="C18563">
        <f>HYPERLINK("C:\Users\franc\OneDrive\Documentos\MALENTIN KARIME\BANCO ESTADO\2012 DEPTO ESCRITURAS fata\Dc Simples\2012 DEPTO ESCRITURAS\AGUAS\PAGARÉ Alegría-1.doc", "Abrir Documento")</f>
        <v>0</v>
      </c>
      <c r="D18563" t="s">
        <v>23500</v>
      </c>
      <c r="E18563" t="s">
        <v>41038</v>
      </c>
    </row>
    <row r="18564" spans="1:5">
      <c r="A18564" t="s">
        <v>6</v>
      </c>
      <c r="B18564" t="s">
        <v>18569</v>
      </c>
      <c r="C18564">
        <f>HYPERLINK("C:\Users\franc\OneDrive\Documentos\MALENTIN KARIME\BANCO ESTADO\2012 DEPTO ESCRITURAS fata\Dc Simples\2012 DEPTO ESCRITURAS\AGUAS\OFICIO AGUAS.doc", "Abrir Documento")</f>
        <v>0</v>
      </c>
      <c r="D18564" t="s">
        <v>23500</v>
      </c>
      <c r="E18564" t="s">
        <v>41039</v>
      </c>
    </row>
    <row r="18565" spans="1:5">
      <c r="A18565" t="s">
        <v>6</v>
      </c>
      <c r="B18565" t="s">
        <v>18570</v>
      </c>
      <c r="C18565">
        <f>HYPERLINK("C:\Users\franc\OneDrive\Documentos\MALENTIN KARIME\BANCO ESTADO\2012 DEPTO ESCRITURAS fata\Dc Simples\2012 DEPTO ESCRITURAS\AGUAS\MARIA CLAUSSEN A Cerro Campanario.doc", "Abrir Documento")</f>
        <v>0</v>
      </c>
      <c r="D18565" t="s">
        <v>23500</v>
      </c>
      <c r="E18565" t="s">
        <v>41040</v>
      </c>
    </row>
    <row r="18566" spans="1:5">
      <c r="A18566" t="s">
        <v>6</v>
      </c>
      <c r="B18566" t="s">
        <v>18571</v>
      </c>
      <c r="C18566">
        <f>HYPERLINK("C:\Users\franc\OneDrive\Documentos\MALENTIN KARIME\BANCO ESTADO\2012 DEPTO ESCRITURAS fata\Dc Simples\2012 DEPTO ESCRITURAS\AGUAS\MARIA AGUIRRE A PETRONILA VELASQUEZ.doc", "Abrir Documento")</f>
        <v>0</v>
      </c>
      <c r="D18566" t="s">
        <v>23500</v>
      </c>
      <c r="E18566" t="s">
        <v>41041</v>
      </c>
    </row>
    <row r="18567" spans="1:5">
      <c r="A18567" t="s">
        <v>6</v>
      </c>
      <c r="B18567" t="s">
        <v>18572</v>
      </c>
      <c r="C18567">
        <f>HYPERLINK("C:\Users\franc\OneDrive\Documentos\MALENTIN KARIME\BANCO ESTADO\2012 DEPTO ESCRITURAS fata\Dc Simples\2012 DEPTO ESCRITURAS\AGUAS\MANUEL ANTONIO LEON  A larrinson leon.doc", "Abrir Documento")</f>
        <v>0</v>
      </c>
      <c r="D18567" t="s">
        <v>23500</v>
      </c>
      <c r="E18567" t="s">
        <v>41042</v>
      </c>
    </row>
    <row r="18568" spans="1:5">
      <c r="A18568" t="s">
        <v>6</v>
      </c>
      <c r="B18568" t="s">
        <v>18573</v>
      </c>
      <c r="C18568">
        <f>HYPERLINK("C:\Users\franc\OneDrive\Documentos\MALENTIN KARIME\BANCO ESTADO\2012 DEPTO ESCRITURAS fata\Dc Simples\2012 DEPTO ESCRITURAS\AGUAS\MANUEL ANTONIO LEON  A CRISTINA S.doc", "Abrir Documento")</f>
        <v>0</v>
      </c>
      <c r="D18568" t="s">
        <v>23500</v>
      </c>
      <c r="E18568" t="s">
        <v>41043</v>
      </c>
    </row>
    <row r="18569" spans="1:5">
      <c r="A18569" t="s">
        <v>6</v>
      </c>
      <c r="B18569" t="s">
        <v>18574</v>
      </c>
      <c r="C18569">
        <f>HYPERLINK("C:\Users\franc\OneDrive\Documentos\MALENTIN KARIME\BANCO ESTADO\2012 DEPTO ESCRITURAS fata\Dc Simples\2012 DEPTO ESCRITURAS\AGUAS\JULIO LUTTGUES A VIVIANA ARAYA HIDALGO.doc", "Abrir Documento")</f>
        <v>0</v>
      </c>
      <c r="D18569" t="s">
        <v>23500</v>
      </c>
      <c r="E18569" t="s">
        <v>41044</v>
      </c>
    </row>
    <row r="18570" spans="1:5">
      <c r="A18570" t="s">
        <v>6</v>
      </c>
      <c r="B18570" t="s">
        <v>18575</v>
      </c>
      <c r="C18570">
        <f>HYPERLINK("C:\Users\franc\OneDrive\Documentos\MALENTIN KARIME\BANCO ESTADO\2012 DEPTO ESCRITURAS fata\Dc Simples\2012 DEPTO ESCRITURAS\AGUAS\JULIO LUTTGUES A JUAN ARAYA.doc", "Abrir Documento")</f>
        <v>0</v>
      </c>
      <c r="D18570" t="s">
        <v>23500</v>
      </c>
      <c r="E18570" t="s">
        <v>41045</v>
      </c>
    </row>
    <row r="18571" spans="1:5">
      <c r="A18571" t="s">
        <v>6</v>
      </c>
      <c r="B18571" t="s">
        <v>18576</v>
      </c>
      <c r="C18571">
        <f>HYPERLINK("C:\Users\franc\OneDrive\Documentos\MALENTIN KARIME\BANCO ESTADO\2012 DEPTO ESCRITURAS fata\Dc Simples\2012 DEPTO ESCRITURAS\AGUAS\JUAN CARLOS JULIA CV AGUAS Tranque El Uno (3000 m3).doc", "Abrir Documento")</f>
        <v>0</v>
      </c>
      <c r="D18571" t="s">
        <v>23500</v>
      </c>
      <c r="E18571" t="s">
        <v>41046</v>
      </c>
    </row>
    <row r="18572" spans="1:5">
      <c r="A18572" t="s">
        <v>6</v>
      </c>
      <c r="B18572" t="s">
        <v>18577</v>
      </c>
      <c r="C18572">
        <f>HYPERLINK("C:\Users\franc\OneDrive\Documentos\MALENTIN KARIME\BANCO ESTADO\2012 DEPTO ESCRITURAS fata\Dc Simples\2012 DEPTO ESCRITURAS\AGUAS\JUAN BOLADOS PIZARRO A ESTER SEGOVIA.doc", "Abrir Documento")</f>
        <v>0</v>
      </c>
      <c r="D18572" t="s">
        <v>23500</v>
      </c>
      <c r="E18572" t="s">
        <v>41047</v>
      </c>
    </row>
    <row r="18573" spans="1:5">
      <c r="A18573" t="s">
        <v>6</v>
      </c>
      <c r="B18573" t="s">
        <v>18578</v>
      </c>
      <c r="C18573">
        <f>HYPERLINK("C:\Users\franc\OneDrive\Documentos\MALENTIN KARIME\BANCO ESTADO\2012 DEPTO ESCRITURAS fata\Dc Simples\2012 DEPTO ESCRITURAS\AGUAS\JOSE MIGUEL MUNIZAGA TORO.doc", "Abrir Documento")</f>
        <v>0</v>
      </c>
      <c r="D18573" t="s">
        <v>23500</v>
      </c>
      <c r="E18573" t="s">
        <v>41048</v>
      </c>
    </row>
    <row r="18574" spans="1:5">
      <c r="A18574" t="s">
        <v>6</v>
      </c>
      <c r="B18574" t="s">
        <v>18579</v>
      </c>
      <c r="C18574">
        <f>HYPERLINK("C:\Users\franc\OneDrive\Documentos\MALENTIN KARIME\BANCO ESTADO\2012 DEPTO ESCRITURAS fata\Dc Simples\2012 DEPTO ESCRITURAS\AGUAS\JOSE MIGUEL MUNIZAGA TORO a BALDEMAR DEL CARMEN.doc", "Abrir Documento")</f>
        <v>0</v>
      </c>
      <c r="D18574" t="s">
        <v>23500</v>
      </c>
      <c r="E18574" t="s">
        <v>41049</v>
      </c>
    </row>
    <row r="18575" spans="1:5">
      <c r="A18575" t="s">
        <v>6</v>
      </c>
      <c r="B18575" t="s">
        <v>18580</v>
      </c>
      <c r="C18575">
        <f>HYPERLINK("C:\Users\franc\OneDrive\Documentos\MALENTIN KARIME\BANCO ESTADO\2012 DEPTO ESCRITURAS fata\Dc Simples\2012 DEPTO ESCRITURAS\AGUAS\JOSE MIGUEL MUNIZAGA TORO a ABRAHAM GALLARDO.doc", "Abrir Documento")</f>
        <v>0</v>
      </c>
      <c r="D18575" t="s">
        <v>23500</v>
      </c>
      <c r="E18575" t="s">
        <v>41050</v>
      </c>
    </row>
    <row r="18576" spans="1:5">
      <c r="A18576" t="s">
        <v>6</v>
      </c>
      <c r="B18576" t="s">
        <v>18581</v>
      </c>
      <c r="C18576">
        <f>HYPERLINK("C:\Users\franc\OneDrive\Documentos\MALENTIN KARIME\BANCO ESTADO\2012 DEPTO ESCRITURAS fata\Dc Simples\2012 DEPTO ESCRITURAS\AGUAS\JOSE MAXIMO CHACON VALLEJOS.doc", "Abrir Documento")</f>
        <v>0</v>
      </c>
      <c r="D18576" t="s">
        <v>23500</v>
      </c>
      <c r="E18576" t="s">
        <v>41051</v>
      </c>
    </row>
    <row r="18577" spans="1:5">
      <c r="A18577" t="s">
        <v>6</v>
      </c>
      <c r="B18577" t="s">
        <v>18582</v>
      </c>
      <c r="C18577">
        <f>HYPERLINK("C:\Users\franc\OneDrive\Documentos\MALENTIN KARIME\BANCO ESTADO\2012 DEPTO ESCRITURAS fata\Dc Simples\2012 DEPTO ESCRITURAS\AGUAS\JOSE CAIMANQUE CASTILLO.doc", "Abrir Documento")</f>
        <v>0</v>
      </c>
      <c r="D18577" t="s">
        <v>23500</v>
      </c>
      <c r="E18577" t="s">
        <v>41052</v>
      </c>
    </row>
    <row r="18578" spans="1:5">
      <c r="A18578" t="s">
        <v>6</v>
      </c>
      <c r="B18578" t="s">
        <v>18583</v>
      </c>
      <c r="C18578">
        <f>HYPERLINK("C:\Users\franc\OneDrive\Documentos\MALENTIN KARIME\BANCO ESTADO\2012 DEPTO ESCRITURAS fata\Dc Simples\2012 DEPTO ESCRITURAS\AGUAS\INSTRUCCIONESS  Munizaga.doc", "Abrir Documento")</f>
        <v>0</v>
      </c>
      <c r="D18578" t="s">
        <v>23500</v>
      </c>
      <c r="E18578" t="s">
        <v>41053</v>
      </c>
    </row>
    <row r="18579" spans="1:5">
      <c r="A18579" t="s">
        <v>6</v>
      </c>
      <c r="B18579" t="s">
        <v>18584</v>
      </c>
      <c r="C18579">
        <f>HYPERLINK("C:\Users\franc\OneDrive\Documentos\MALENTIN KARIME\BANCO ESTADO\2012 DEPTO ESCRITURAS fata\Dc Simples\2012 DEPTO ESCRITURAS\AGUAS\INSTRUCCIONES.doc", "Abrir Documento")</f>
        <v>0</v>
      </c>
      <c r="D18579" t="s">
        <v>23500</v>
      </c>
      <c r="E18579" t="s">
        <v>41054</v>
      </c>
    </row>
    <row r="18580" spans="1:5">
      <c r="A18580" t="s">
        <v>6</v>
      </c>
      <c r="B18580" t="s">
        <v>18585</v>
      </c>
      <c r="C18580">
        <f>HYPERLINK("C:\Users\franc\OneDrive\Documentos\MALENTIN KARIME\BANCO ESTADO\2012 DEPTO ESCRITURAS fata\Dc Simples\2012 DEPTO ESCRITURAS\AGUAS\instrucciones arbolito.doc", "Abrir Documento")</f>
        <v>0</v>
      </c>
      <c r="D18580" t="s">
        <v>23500</v>
      </c>
      <c r="E18580" t="s">
        <v>41055</v>
      </c>
    </row>
    <row r="18581" spans="1:5">
      <c r="A18581" t="s">
        <v>6</v>
      </c>
      <c r="B18581" t="s">
        <v>18586</v>
      </c>
      <c r="C18581">
        <f>HYPERLINK("C:\Users\franc\OneDrive\Documentos\MALENTIN KARIME\BANCO ESTADO\2012 DEPTO ESCRITURAS fata\Dc Simples\2012 DEPTO ESCRITURAS\AGUAS\INMOBILIARIA LOS ALERCES A Luis Tapia Rojas.doc", "Abrir Documento")</f>
        <v>0</v>
      </c>
      <c r="D18581" t="s">
        <v>23500</v>
      </c>
      <c r="E18581" t="s">
        <v>41056</v>
      </c>
    </row>
    <row r="18582" spans="1:5">
      <c r="A18582" t="s">
        <v>6</v>
      </c>
      <c r="B18582" t="s">
        <v>18587</v>
      </c>
      <c r="C18582">
        <f>HYPERLINK("C:\Users\franc\OneDrive\Documentos\MALENTIN KARIME\BANCO ESTADO\2012 DEPTO ESCRITURAS fata\Dc Simples\2012 DEPTO ESCRITURAS\AGUAS\INMOBILIARIA LOS ALERCES A Luis Tapia Rojas para abogado.doc", "Abrir Documento")</f>
        <v>0</v>
      </c>
      <c r="D18582" t="s">
        <v>23500</v>
      </c>
      <c r="E18582" t="s">
        <v>41057</v>
      </c>
    </row>
    <row r="18583" spans="1:5">
      <c r="A18583" t="s">
        <v>6</v>
      </c>
      <c r="B18583" t="s">
        <v>18588</v>
      </c>
      <c r="C18583">
        <f>HYPERLINK("C:\Users\franc\OneDrive\Documentos\MALENTIN KARIME\BANCO ESTADO\2012 DEPTO ESCRITURAS fata\Dc Simples\2012 DEPTO ESCRITURAS\AGUAS\INMOBILIARIA LOS ALERCES A Luis Tapia Rojas final.doc", "Abrir Documento")</f>
        <v>0</v>
      </c>
      <c r="D18583" t="s">
        <v>23500</v>
      </c>
      <c r="E18583" t="s">
        <v>41058</v>
      </c>
    </row>
    <row r="18584" spans="1:5">
      <c r="A18584" t="s">
        <v>6</v>
      </c>
      <c r="B18584" t="s">
        <v>18589</v>
      </c>
      <c r="C18584">
        <f>HYPERLINK("C:\Users\franc\OneDrive\Documentos\MALENTIN KARIME\BANCO ESTADO\2012 DEPTO ESCRITURAS fata\Dc Simples\2012 DEPTO ESCRITURAS\AGUAS\HUGO BUGUEÑO CORTES A Victoria Bugueño.doc", "Abrir Documento")</f>
        <v>0</v>
      </c>
      <c r="D18584" t="s">
        <v>23500</v>
      </c>
      <c r="E18584" t="s">
        <v>41059</v>
      </c>
    </row>
    <row r="18585" spans="1:5">
      <c r="A18585" t="s">
        <v>6</v>
      </c>
      <c r="B18585" t="s">
        <v>18590</v>
      </c>
      <c r="C18585">
        <f>HYPERLINK("C:\Users\franc\OneDrive\Documentos\MALENTIN KARIME\BANCO ESTADO\2012 DEPTO ESCRITURAS fata\Dc Simples\2012 DEPTO ESCRITURAS\AGUAS\FRUTÍCOLA COPIAPO A Oscar Vicuña Urqueta.doc", "Abrir Documento")</f>
        <v>0</v>
      </c>
      <c r="D18585" t="s">
        <v>23500</v>
      </c>
      <c r="E18585" t="s">
        <v>41060</v>
      </c>
    </row>
    <row r="18586" spans="1:5">
      <c r="A18586" t="s">
        <v>6</v>
      </c>
      <c r="B18586" t="s">
        <v>18591</v>
      </c>
      <c r="C18586">
        <f>HYPERLINK("C:\Users\franc\OneDrive\Documentos\MALENTIN KARIME\BANCO ESTADO\2012 DEPTO ESCRITURAS fata\Dc Simples\2012 DEPTO ESCRITURAS\AGUAS\FRUTÍCOLA COPIAPO A María Vega Barraza Agosto 13.doc", "Abrir Documento")</f>
        <v>0</v>
      </c>
      <c r="D18586" t="s">
        <v>23500</v>
      </c>
      <c r="E18586" t="s">
        <v>41061</v>
      </c>
    </row>
    <row r="18587" spans="1:5">
      <c r="A18587" t="s">
        <v>6</v>
      </c>
      <c r="B18587" t="s">
        <v>18592</v>
      </c>
      <c r="C18587">
        <f>HYPERLINK("C:\Users\franc\OneDrive\Documentos\MALENTIN KARIME\BANCO ESTADO\2012 DEPTO ESCRITURAS fata\Dc Simples\2012 DEPTO ESCRITURAS\AGUAS\FRUTÍCOLA COPIAPO A EDUARDO MORGADO.doc", "Abrir Documento")</f>
        <v>0</v>
      </c>
      <c r="D18587" t="s">
        <v>23500</v>
      </c>
      <c r="E18587" t="s">
        <v>41062</v>
      </c>
    </row>
    <row r="18588" spans="1:5">
      <c r="A18588" t="s">
        <v>6</v>
      </c>
      <c r="B18588" t="s">
        <v>18593</v>
      </c>
      <c r="C18588">
        <f>HYPERLINK("C:\Users\franc\OneDrive\Documentos\MALENTIN KARIME\BANCO ESTADO\2012 DEPTO ESCRITURAS fata\Dc Simples\2012 DEPTO ESCRITURAS\AGUAS\FRUTÍCOLA COPIAPO A Angostura.doc", "Abrir Documento")</f>
        <v>0</v>
      </c>
      <c r="D18588" t="s">
        <v>23500</v>
      </c>
      <c r="E18588" t="s">
        <v>41063</v>
      </c>
    </row>
    <row r="18589" spans="1:5">
      <c r="A18589" t="s">
        <v>6</v>
      </c>
      <c r="B18589" t="s">
        <v>18594</v>
      </c>
      <c r="C18589">
        <f>HYPERLINK("C:\Users\franc\OneDrive\Documentos\MALENTIN KARIME\BANCO ESTADO\2012 DEPTO ESCRITURAS fata\Dc Simples\2012 DEPTO ESCRITURAS\AGUAS\FRUTÍCOLA COPIAPO A ALBERTO ALEGRIA ADONES Y OTROS.doc", "Abrir Documento")</f>
        <v>0</v>
      </c>
      <c r="D18589" t="s">
        <v>23500</v>
      </c>
      <c r="E18589" t="s">
        <v>41064</v>
      </c>
    </row>
    <row r="18590" spans="1:5">
      <c r="A18590" t="s">
        <v>6</v>
      </c>
      <c r="B18590" t="s">
        <v>18595</v>
      </c>
      <c r="C18590">
        <f>HYPERLINK("C:\Users\franc\OneDrive\Documentos\MALENTIN KARIME\BANCO ESTADO\2012 DEPTO ESCRITURAS fata\Dc Simples\2012 DEPTO ESCRITURAS\AGUAS\FRUTÍCOLA COPIAPO A ALBERTO ALEGRIA ADONES Y OTROS Complementa.doc", "Abrir Documento")</f>
        <v>0</v>
      </c>
      <c r="D18590" t="s">
        <v>23500</v>
      </c>
      <c r="E18590" t="s">
        <v>41065</v>
      </c>
    </row>
    <row r="18591" spans="1:5">
      <c r="A18591" t="s">
        <v>6</v>
      </c>
      <c r="B18591" t="s">
        <v>18596</v>
      </c>
      <c r="C18591">
        <f>HYPERLINK("C:\Users\franc\OneDrive\Documentos\MALENTIN KARIME\BANCO ESTADO\2012 DEPTO ESCRITURAS fata\Dc Simples\2012 DEPTO ESCRITURAS\AGUAS\FRUTICOLA RIO COPIAPO A Martin Petrinovic.doc", "Abrir Documento")</f>
        <v>0</v>
      </c>
      <c r="D18591" t="s">
        <v>23500</v>
      </c>
      <c r="E18591" t="s">
        <v>41066</v>
      </c>
    </row>
    <row r="18592" spans="1:5">
      <c r="A18592" t="s">
        <v>6</v>
      </c>
      <c r="B18592" t="s">
        <v>18597</v>
      </c>
      <c r="C18592">
        <f>HYPERLINK("C:\Users\franc\OneDrive\Documentos\MALENTIN KARIME\BANCO ESTADO\2012 DEPTO ESCRITURAS fata\Dc Simples\2012 DEPTO ESCRITURAS\AGUAS\FRUTICOLA RIO COPIAPO A Mario Alfaro.doc", "Abrir Documento")</f>
        <v>0</v>
      </c>
      <c r="D18592" t="s">
        <v>23500</v>
      </c>
      <c r="E18592" t="s">
        <v>41067</v>
      </c>
    </row>
    <row r="18593" spans="1:5">
      <c r="A18593" t="s">
        <v>6</v>
      </c>
      <c r="B18593" t="s">
        <v>18598</v>
      </c>
      <c r="C18593">
        <f>HYPERLINK("C:\Users\franc\OneDrive\Documentos\MALENTIN KARIME\BANCO ESTADO\2012 DEPTO ESCRITURAS fata\Dc Simples\2012 DEPTO ESCRITURAS\AGUAS\FRUTICOLA RIO COPIAPO A Jacinto Labarca.doc", "Abrir Documento")</f>
        <v>0</v>
      </c>
      <c r="D18593" t="s">
        <v>23500</v>
      </c>
      <c r="E18593" t="s">
        <v>41068</v>
      </c>
    </row>
    <row r="18594" spans="1:5">
      <c r="A18594" t="s">
        <v>6</v>
      </c>
      <c r="B18594" t="s">
        <v>18599</v>
      </c>
      <c r="C18594">
        <f>HYPERLINK("C:\Users\franc\OneDrive\Documentos\MALENTIN KARIME\BANCO ESTADO\2012 DEPTO ESCRITURAS fata\Dc Simples\2012 DEPTO ESCRITURAS\AGUAS\FRUTICOLA RIO COPIAPO A Eduardo Morgado.doc", "Abrir Documento")</f>
        <v>0</v>
      </c>
      <c r="D18594" t="s">
        <v>23500</v>
      </c>
      <c r="E18594" t="s">
        <v>41069</v>
      </c>
    </row>
    <row r="18595" spans="1:5">
      <c r="A18595" t="s">
        <v>6</v>
      </c>
      <c r="B18595" t="s">
        <v>18600</v>
      </c>
      <c r="C18595">
        <f>HYPERLINK("C:\Users\franc\OneDrive\Documentos\MALENTIN KARIME\BANCO ESTADO\2012 DEPTO ESCRITURAS fata\Dc Simples\2012 DEPTO ESCRITURAS\AGUAS\FRUTICOLA COPIAPO Instrucciones Maria Vega.doc", "Abrir Documento")</f>
        <v>0</v>
      </c>
      <c r="D18595" t="s">
        <v>23500</v>
      </c>
      <c r="E18595" t="s">
        <v>41070</v>
      </c>
    </row>
    <row r="18596" spans="1:5">
      <c r="A18596" t="s">
        <v>6</v>
      </c>
      <c r="B18596" t="s">
        <v>18601</v>
      </c>
      <c r="C18596">
        <f>HYPERLINK("C:\Users\franc\OneDrive\Documentos\MALENTIN KARIME\BANCO ESTADO\2012 DEPTO ESCRITURAS fata\Dc Simples\2012 DEPTO ESCRITURAS\AGUAS\FRUTICOLA COPIAPO A RAMADILLA.doc", "Abrir Documento")</f>
        <v>0</v>
      </c>
      <c r="D18596" t="s">
        <v>23500</v>
      </c>
      <c r="E18596" t="s">
        <v>41071</v>
      </c>
    </row>
    <row r="18597" spans="1:5">
      <c r="A18597" t="s">
        <v>6</v>
      </c>
      <c r="B18597" t="s">
        <v>18602</v>
      </c>
      <c r="C18597">
        <f>HYPERLINK("C:\Users\franc\OneDrive\Documentos\MALENTIN KARIME\BANCO ESTADO\2012 DEPTO ESCRITURAS fata\Dc Simples\2012 DEPTO ESCRITURAS\AGUAS\FRUTICOLA COPIAPO A MARIO ALFARO GUTIERREZ.doc", "Abrir Documento")</f>
        <v>0</v>
      </c>
      <c r="D18597" t="s">
        <v>23500</v>
      </c>
      <c r="E18597" t="s">
        <v>41072</v>
      </c>
    </row>
    <row r="18598" spans="1:5">
      <c r="A18598" t="s">
        <v>6</v>
      </c>
      <c r="B18598" t="s">
        <v>18603</v>
      </c>
      <c r="C18598">
        <f>HYPERLINK("C:\Users\franc\OneDrive\Documentos\MALENTIN KARIME\BANCO ESTADO\2012 DEPTO ESCRITURAS fata\Dc Simples\2012 DEPTO ESCRITURAS\AGUAS\FRUTICOLA COPIAPO A Juan Carlos Julia.doc", "Abrir Documento")</f>
        <v>0</v>
      </c>
      <c r="D18598" t="s">
        <v>23500</v>
      </c>
      <c r="E18598" t="s">
        <v>41073</v>
      </c>
    </row>
    <row r="18599" spans="1:5">
      <c r="A18599" t="s">
        <v>6</v>
      </c>
      <c r="B18599" t="s">
        <v>18604</v>
      </c>
      <c r="C18599">
        <f>HYPERLINK("C:\Users\franc\OneDrive\Documentos\MALENTIN KARIME\BANCO ESTADO\2012 DEPTO ESCRITURAS fata\Dc Simples\2012 DEPTO ESCRITURAS\AGUAS\FRUTICOLA COPIAPO A ISAAC ALAMO.doc", "Abrir Documento")</f>
        <v>0</v>
      </c>
      <c r="D18599" t="s">
        <v>23500</v>
      </c>
      <c r="E18599" t="s">
        <v>41074</v>
      </c>
    </row>
    <row r="18600" spans="1:5">
      <c r="A18600" t="s">
        <v>6</v>
      </c>
      <c r="B18600" t="s">
        <v>18605</v>
      </c>
      <c r="C18600">
        <f>HYPERLINK("C:\Users\franc\OneDrive\Documentos\MALENTIN KARIME\BANCO ESTADO\2012 DEPTO ESCRITURAS fata\Dc Simples\2012 DEPTO ESCRITURAS\AGUAS\FRUTICOLA COPIAPO A Agrícola Valle del Limari II Spa.doc", "Abrir Documento")</f>
        <v>0</v>
      </c>
      <c r="D18600" t="s">
        <v>23500</v>
      </c>
      <c r="E18600" t="s">
        <v>41075</v>
      </c>
    </row>
    <row r="18601" spans="1:5">
      <c r="A18601" t="s">
        <v>6</v>
      </c>
      <c r="B18601" t="s">
        <v>18606</v>
      </c>
      <c r="C18601">
        <f>HYPERLINK("C:\Users\franc\OneDrive\Documentos\MALENTIN KARIME\BANCO ESTADO\2012 DEPTO ESCRITURAS fata\Dc Simples\2012 DEPTO ESCRITURAS\AGUAS\FRUTICOLA COPIAPO A Agrícola Valle del Limari II Spa ESCRITURA.doc", "Abrir Documento")</f>
        <v>0</v>
      </c>
      <c r="D18601" t="s">
        <v>23500</v>
      </c>
      <c r="E18601" t="s">
        <v>41076</v>
      </c>
    </row>
    <row r="18602" spans="1:5">
      <c r="A18602" t="s">
        <v>6</v>
      </c>
      <c r="B18602" t="s">
        <v>18607</v>
      </c>
      <c r="C18602">
        <f>HYPERLINK("C:\Users\franc\OneDrive\Documentos\MALENTIN KARIME\BANCO ESTADO\2012 DEPTO ESCRITURAS fata\Dc Simples\2012 DEPTO ESCRITURAS\AGUAS\FRUTICOLA COPIAPO A AGRICOLA VALLE DEL LIMARI.doc", "Abrir Documento")</f>
        <v>0</v>
      </c>
      <c r="D18602" t="s">
        <v>23500</v>
      </c>
      <c r="E18602" t="s">
        <v>41077</v>
      </c>
    </row>
    <row r="18603" spans="1:5">
      <c r="A18603" t="s">
        <v>6</v>
      </c>
      <c r="B18603" t="s">
        <v>18608</v>
      </c>
      <c r="C18603">
        <f>HYPERLINK("C:\Users\franc\OneDrive\Documentos\MALENTIN KARIME\BANCO ESTADO\2012 DEPTO ESCRITURAS fata\Dc Simples\2012 DEPTO ESCRITURAS\AGUAS\FRANCISCO ARAYA MOYA Pozo.doc", "Abrir Documento")</f>
        <v>0</v>
      </c>
      <c r="D18603" t="s">
        <v>23500</v>
      </c>
      <c r="E18603" t="s">
        <v>41078</v>
      </c>
    </row>
    <row r="18604" spans="1:5">
      <c r="A18604" t="s">
        <v>6</v>
      </c>
      <c r="B18604" t="s">
        <v>18609</v>
      </c>
      <c r="C18604">
        <f>HYPERLINK("C:\Users\franc\OneDrive\Documentos\MALENTIN KARIME\BANCO ESTADO\2012 DEPTO ESCRITURAS fata\Dc Simples\2012 DEPTO ESCRITURAS\AGUAS\ELIANA PERINES PALTA.doc", "Abrir Documento")</f>
        <v>0</v>
      </c>
      <c r="D18604" t="s">
        <v>23500</v>
      </c>
      <c r="E18604" t="s">
        <v>41079</v>
      </c>
    </row>
    <row r="18605" spans="1:5">
      <c r="A18605" t="s">
        <v>6</v>
      </c>
      <c r="B18605" t="s">
        <v>18610</v>
      </c>
      <c r="C18605">
        <f>HYPERLINK("C:\Users\franc\OneDrive\Documentos\MALENTIN KARIME\BANCO ESTADO\2012 DEPTO ESCRITURAS fata\Dc Simples\2012 DEPTO ESCRITURAS\AGUAS\EDGARDO RODRIGUEZ A MANUEL RODRIGUEZ.doc", "Abrir Documento")</f>
        <v>0</v>
      </c>
      <c r="D18605" t="s">
        <v>23500</v>
      </c>
      <c r="E18605" t="s">
        <v>41080</v>
      </c>
    </row>
    <row r="18606" spans="1:5">
      <c r="A18606" t="s">
        <v>6</v>
      </c>
      <c r="B18606" t="s">
        <v>18611</v>
      </c>
      <c r="C18606">
        <f>HYPERLINK("C:\Users\franc\OneDrive\Documentos\MALENTIN KARIME\BANCO ESTADO\2012 DEPTO ESCRITURAS fata\Dc Simples\2012 DEPTO ESCRITURAS\AGUAS\contrato arrendamiento DOTACION.doc", "Abrir Documento")</f>
        <v>0</v>
      </c>
      <c r="D18606" t="s">
        <v>23500</v>
      </c>
      <c r="E18606" t="s">
        <v>41081</v>
      </c>
    </row>
    <row r="18607" spans="1:5">
      <c r="A18607" t="s">
        <v>6</v>
      </c>
      <c r="B18607" t="s">
        <v>18612</v>
      </c>
      <c r="C18607">
        <f>HYPERLINK("C:\Users\franc\OneDrive\Documentos\MALENTIN KARIME\BANCO ESTADO\2012 DEPTO ESCRITURAS fata\Dc Simples\2012 DEPTO ESCRITURAS\AGUAS\CHRISTIAN BARRIOS A SOC. AVICOLA SANTA CARMEN.doc", "Abrir Documento")</f>
        <v>0</v>
      </c>
      <c r="D18607" t="s">
        <v>23500</v>
      </c>
      <c r="E18607" t="s">
        <v>41082</v>
      </c>
    </row>
    <row r="18608" spans="1:5">
      <c r="A18608" t="s">
        <v>6</v>
      </c>
      <c r="B18608" t="s">
        <v>18613</v>
      </c>
      <c r="C18608">
        <f>HYPERLINK("C:\Users\franc\OneDrive\Documentos\MALENTIN KARIME\BANCO ESTADO\2012 DEPTO ESCRITURAS fata\Dc Simples\2012 DEPTO ESCRITURAS\AGUAS\Autorizo la firma de don MANUEL ARTURO CONTADOR CORTES.doc", "Abrir Documento")</f>
        <v>0</v>
      </c>
      <c r="D18608" t="s">
        <v>23500</v>
      </c>
      <c r="E18608" t="s">
        <v>41083</v>
      </c>
    </row>
    <row r="18609" spans="1:5">
      <c r="A18609" t="s">
        <v>6</v>
      </c>
      <c r="B18609" t="s">
        <v>18614</v>
      </c>
      <c r="C18609">
        <f>HYPERLINK("C:\Users\franc\OneDrive\Documentos\MALENTIN KARIME\BANCO ESTADO\2012 DEPTO ESCRITURAS fata\Dc Simples\2012 DEPTO ESCRITURAS\AGUAS\ARNOLDO ARAYA PIÑONES.doc", "Abrir Documento")</f>
        <v>0</v>
      </c>
      <c r="D18609" t="s">
        <v>23500</v>
      </c>
      <c r="E18609" t="s">
        <v>41084</v>
      </c>
    </row>
    <row r="18610" spans="1:5">
      <c r="A18610" t="s">
        <v>6</v>
      </c>
      <c r="B18610" t="s">
        <v>18615</v>
      </c>
      <c r="C18610">
        <f>HYPERLINK("C:\Users\franc\OneDrive\Documentos\MALENTIN KARIME\BANCO ESTADO\2012 DEPTO ESCRITURAS fata\Dc Simples\2012 DEPTO ESCRITURAS\AGUAS\ALFONSO RODRIGUEZ A SANDRA CANIVILO.doc", "Abrir Documento")</f>
        <v>0</v>
      </c>
      <c r="D18610" t="s">
        <v>23500</v>
      </c>
      <c r="E18610" t="s">
        <v>41085</v>
      </c>
    </row>
    <row r="18611" spans="1:5">
      <c r="A18611" t="s">
        <v>6</v>
      </c>
      <c r="B18611" t="s">
        <v>18616</v>
      </c>
      <c r="C18611">
        <f>HYPERLINK("C:\Users\franc\OneDrive\Documentos\MALENTIN KARIME\BANCO ESTADO\2012 DEPTO ESCRITURAS fata\Dc Simples\2012 DEPTO ESCRITURAS\AGUAS\AGRICOLA SICOR S.A. y Jose Aldo ALfaro Alfaro.doc", "Abrir Documento")</f>
        <v>0</v>
      </c>
      <c r="D18611" t="s">
        <v>23500</v>
      </c>
      <c r="E18611" t="s">
        <v>41086</v>
      </c>
    </row>
    <row r="18612" spans="1:5">
      <c r="A18612" t="s">
        <v>6</v>
      </c>
      <c r="B18612" t="s">
        <v>18617</v>
      </c>
      <c r="C18612">
        <f>HYPERLINK("C:\Users\franc\OneDrive\Documentos\MALENTIN KARIME\BANCO ESTADO\2012 DEPTO ESCRITURAS fata\Dc Simples\2012 DEPTO ESCRITURAS\AGUAS\AGRICOLA SICOR S.A. y Jose Aldo ALfaro Alfaro Dic 13.doc", "Abrir Documento")</f>
        <v>0</v>
      </c>
      <c r="D18612" t="s">
        <v>23500</v>
      </c>
      <c r="E18612" t="s">
        <v>41087</v>
      </c>
    </row>
    <row r="18613" spans="1:5">
      <c r="A18613" t="s">
        <v>6</v>
      </c>
      <c r="B18613" t="s">
        <v>18618</v>
      </c>
      <c r="C18613">
        <f>HYPERLINK("C:\Users\franc\OneDrive\Documentos\MALENTIN KARIME\BANCO ESTADO\2012 DEPTO ESCRITURAS fata\Dc Simples\2012 DEPTO ESCRITURAS\AGUAS\AGRICOLA POLPAICO S.A..doc", "Abrir Documento")</f>
        <v>0</v>
      </c>
      <c r="D18613" t="s">
        <v>23500</v>
      </c>
      <c r="E18613" t="s">
        <v>41088</v>
      </c>
    </row>
    <row r="18614" spans="1:5">
      <c r="A18614" t="s">
        <v>6</v>
      </c>
      <c r="B18614" t="s">
        <v>18619</v>
      </c>
      <c r="C18614">
        <f>HYPERLINK("C:\Users\franc\OneDrive\Documentos\MALENTIN KARIME\BANCO ESTADO\2012 DEPTO ESCRITURAS fata\Dc Simples\2012 DEPTO ESCRITURAS\AGUAS\AGRICOLA POLPAICO S.A. Y PRODUCTOS FINANCIEROS ANDINO.doc", "Abrir Documento")</f>
        <v>0</v>
      </c>
      <c r="D18614" t="s">
        <v>23500</v>
      </c>
      <c r="E18614" t="s">
        <v>41089</v>
      </c>
    </row>
    <row r="18615" spans="1:5">
      <c r="A18615" t="s">
        <v>6</v>
      </c>
      <c r="B18615" t="s">
        <v>18620</v>
      </c>
      <c r="C18615">
        <f>HYPERLINK("C:\Users\franc\OneDrive\Documentos\MALENTIN KARIME\BANCO ESTADO\2012 DEPTO ESCRITURAS fata\Dc Simples\2012 DEPTO ESCRITURAS\AGUAS\AGRICOLA POLPAICO S.A. Y PRODUCTOS FINANCIEROS ANDINO Final.doc", "Abrir Documento")</f>
        <v>0</v>
      </c>
      <c r="D18615" t="s">
        <v>23500</v>
      </c>
      <c r="E18615" t="s">
        <v>41090</v>
      </c>
    </row>
    <row r="18616" spans="1:5">
      <c r="A18616" t="s">
        <v>6</v>
      </c>
      <c r="B18616" t="s">
        <v>18621</v>
      </c>
      <c r="C18616">
        <f>HYPERLINK("C:\Users\franc\OneDrive\Documentos\MALENTIN KARIME\BANCO ESTADO\2012 DEPTO ESCRITURAS fata\Dc Simples\2012 DEPTO ESCRITURAS\AGUAS\AGRICOLA POLPAICO S.A. con RESCILIACION.doc", "Abrir Documento")</f>
        <v>0</v>
      </c>
      <c r="D18616" t="s">
        <v>23500</v>
      </c>
      <c r="E18616" t="s">
        <v>41091</v>
      </c>
    </row>
    <row r="18617" spans="1:5">
      <c r="A18617" t="s">
        <v>6</v>
      </c>
      <c r="B18617" t="s">
        <v>18622</v>
      </c>
      <c r="C18617">
        <f>HYPERLINK("C:\Users\franc\OneDrive\Documentos\MALENTIN KARIME\BANCO ESTADO\2012 DEPTO ESCRITURAS fata\Dc Simples\2012 DEPTO ESCRITURAS\AGUAS\AGRICOLA LOS ALAMOS A JUAN OPAZO OLIVARESaguas.doc", "Abrir Documento")</f>
        <v>0</v>
      </c>
      <c r="D18617" t="s">
        <v>23500</v>
      </c>
      <c r="E18617" t="s">
        <v>41092</v>
      </c>
    </row>
    <row r="18618" spans="1:5">
      <c r="A18618" t="s">
        <v>6</v>
      </c>
      <c r="B18618" t="s">
        <v>18623</v>
      </c>
      <c r="C18618">
        <f>HYPERLINK("C:\Users\franc\OneDrive\Documentos\MALENTIN KARIME\BANCO ESTADO\2012 DEPTO ESCRITURAS fata\Dc Simples\2012 DEPTO ESCRITURAS\AGUAS\AGRICOLA LOS ALAMOS A Elva Olivares aguas.doc", "Abrir Documento")</f>
        <v>0</v>
      </c>
      <c r="D18618" t="s">
        <v>23500</v>
      </c>
      <c r="E18618" t="s">
        <v>41093</v>
      </c>
    </row>
    <row r="18619" spans="1:5">
      <c r="A18619" t="s">
        <v>6</v>
      </c>
      <c r="B18619" t="s">
        <v>18624</v>
      </c>
      <c r="C18619">
        <f>HYPERLINK("C:\Users\franc\OneDrive\Documentos\MALENTIN KARIME\BANCO ESTADO\2012 DEPTO ESCRITURAS fata\Dc Simples\2012 DEPTO ESCRITURAS\AGUAS\AGRICOLA LOS ALAMOS A Elva Olivares aguas sin conyuge.doc", "Abrir Documento")</f>
        <v>0</v>
      </c>
      <c r="D18619" t="s">
        <v>23500</v>
      </c>
      <c r="E18619" t="s">
        <v>41094</v>
      </c>
    </row>
    <row r="18620" spans="1:5">
      <c r="A18620" t="s">
        <v>6</v>
      </c>
      <c r="B18620" t="s">
        <v>18625</v>
      </c>
      <c r="C18620">
        <f>HYPERLINK("C:\Users\franc\OneDrive\Documentos\MALENTIN KARIME\BANCO ESTADO\2012 DEPTO ESCRITURAS fata\Dc Simples\2012 DEPTO ESCRITURAS\AGUAS\AGRICOLA ARBOLITO LTDA y Luis A Artigues Galmes.doc", "Abrir Documento")</f>
        <v>0</v>
      </c>
      <c r="D18620" t="s">
        <v>23500</v>
      </c>
      <c r="E18620" t="s">
        <v>41095</v>
      </c>
    </row>
    <row r="18621" spans="1:5">
      <c r="A18621" t="s">
        <v>6</v>
      </c>
      <c r="B18621" t="s">
        <v>18626</v>
      </c>
      <c r="C18621">
        <f>HYPERLINK("C:\Users\franc\OneDrive\Documentos\MALENTIN KARIME\BANCO ESTADO\2012 DEPTO ESCRITURAS fata\Dc Simples\2012 DEPTO ESCRITURAS\AGUAS\AGRICOLA ARBOLITO LTDA revision.doc", "Abrir Documento")</f>
        <v>0</v>
      </c>
      <c r="D18621" t="s">
        <v>23500</v>
      </c>
      <c r="E18621" t="s">
        <v>41096</v>
      </c>
    </row>
    <row r="18622" spans="1:5">
      <c r="A18622" t="s">
        <v>6</v>
      </c>
      <c r="B18622" t="s">
        <v>18627</v>
      </c>
      <c r="C18622">
        <f>HYPERLINK("C:\Users\franc\OneDrive\Documentos\MALENTIN KARIME\BANCO ESTADO\2012 DEPTO ESCRITURAS fata\Dc Simples\VEHICULOMANDATO Modelo.doc", "Abrir Documento")</f>
        <v>0</v>
      </c>
      <c r="D18622" t="s">
        <v>23500</v>
      </c>
      <c r="E18622" t="s">
        <v>41097</v>
      </c>
    </row>
    <row r="18623" spans="1:5">
      <c r="A18623" t="s">
        <v>6</v>
      </c>
      <c r="B18623" t="s">
        <v>18628</v>
      </c>
      <c r="C18623">
        <f>HYPERLINK("C:\Users\franc\OneDrive\Documentos\MALENTIN KARIME\BANCO ESTADO\2012 DEPTO ESCRITURAS fata\Dc Simples\VEHICULO CAMBIO MOTOR.doc", "Abrir Documento")</f>
        <v>0</v>
      </c>
      <c r="D18623" t="s">
        <v>23500</v>
      </c>
      <c r="E18623" t="s">
        <v>41098</v>
      </c>
    </row>
    <row r="18624" spans="1:5">
      <c r="A18624" t="s">
        <v>6</v>
      </c>
      <c r="B18624" t="s">
        <v>18629</v>
      </c>
      <c r="C18624">
        <f>HYPERLINK("C:\Users\franc\OneDrive\Documentos\MALENTIN KARIME\BANCO ESTADO\2012 DEPTO ESCRITURAS fata\Dc Simples\TRABAJO MENOR.doc", "Abrir Documento")</f>
        <v>0</v>
      </c>
      <c r="D18624" t="s">
        <v>23500</v>
      </c>
      <c r="E18624" t="s">
        <v>41099</v>
      </c>
    </row>
    <row r="18625" spans="1:5">
      <c r="A18625" t="s">
        <v>6</v>
      </c>
      <c r="B18625" t="s">
        <v>18630</v>
      </c>
      <c r="C18625">
        <f>HYPERLINK("C:\Users\franc\OneDrive\Documentos\MALENTIN KARIME\BANCO ESTADO\2012 DEPTO ESCRITURAS fata\Dc Simples\SUPERVIVENCIA.doc", "Abrir Documento")</f>
        <v>0</v>
      </c>
      <c r="D18625" t="s">
        <v>23500</v>
      </c>
      <c r="E18625" t="s">
        <v>41100</v>
      </c>
    </row>
    <row r="18626" spans="1:5">
      <c r="A18626" t="s">
        <v>6</v>
      </c>
      <c r="B18626" t="s">
        <v>18631</v>
      </c>
      <c r="C18626">
        <f>HYPERLINK("C:\Users\franc\OneDrive\Documentos\MALENTIN KARIME\BANCO ESTADO\2012 DEPTO ESCRITURAS fata\Dc Simples\RESCILIACION CASA.doc", "Abrir Documento")</f>
        <v>0</v>
      </c>
      <c r="D18626" t="s">
        <v>23500</v>
      </c>
      <c r="E18626" t="s">
        <v>41101</v>
      </c>
    </row>
    <row r="18627" spans="1:5">
      <c r="A18627" t="s">
        <v>6</v>
      </c>
      <c r="B18627" t="s">
        <v>18632</v>
      </c>
      <c r="C18627">
        <f>HYPERLINK("C:\Users\franc\OneDrive\Documentos\MALENTIN KARIME\BANCO ESTADO\2012 DEPTO ESCRITURAS fata\Dc Simples\RESCILIACION CASA modelo.doc", "Abrir Documento")</f>
        <v>0</v>
      </c>
      <c r="D18627" t="s">
        <v>23500</v>
      </c>
      <c r="E18627" t="s">
        <v>41102</v>
      </c>
    </row>
    <row r="18628" spans="1:5">
      <c r="A18628" t="s">
        <v>6</v>
      </c>
      <c r="B18628" t="s">
        <v>18633</v>
      </c>
      <c r="C18628">
        <f>HYPERLINK("C:\Users\franc\OneDrive\Documentos\MALENTIN KARIME\BANCO ESTADO\2012 DEPTO ESCRITURAS fata\Dc Simples\RENUNCIA LABORAL.doc", "Abrir Documento")</f>
        <v>0</v>
      </c>
      <c r="D18628" t="s">
        <v>23500</v>
      </c>
      <c r="E18628" t="s">
        <v>41103</v>
      </c>
    </row>
    <row r="18629" spans="1:5">
      <c r="A18629" t="s">
        <v>6</v>
      </c>
      <c r="B18629" t="s">
        <v>18634</v>
      </c>
      <c r="C18629">
        <f>HYPERLINK("C:\Users\franc\OneDrive\Documentos\MALENTIN KARIME\BANCO ESTADO\2012 DEPTO ESCRITURAS fata\Dc Simples\RENUNCIA LABORAL 2.doc", "Abrir Documento")</f>
        <v>0</v>
      </c>
      <c r="D18629" t="s">
        <v>23500</v>
      </c>
      <c r="E18629" t="s">
        <v>41104</v>
      </c>
    </row>
    <row r="18630" spans="1:5">
      <c r="A18630" t="s">
        <v>6</v>
      </c>
      <c r="B18630" t="s">
        <v>18635</v>
      </c>
      <c r="C18630">
        <f>HYPERLINK("C:\Users\franc\OneDrive\Documentos\MALENTIN KARIME\BANCO ESTADO\2012 DEPTO ESCRITURAS fata\Dc Simples\PROMESA VEHICULO.doc", "Abrir Documento")</f>
        <v>0</v>
      </c>
      <c r="D18630" t="s">
        <v>23500</v>
      </c>
      <c r="E18630" t="s">
        <v>41105</v>
      </c>
    </row>
    <row r="18631" spans="1:5">
      <c r="A18631" t="s">
        <v>6</v>
      </c>
      <c r="B18631" t="s">
        <v>18636</v>
      </c>
      <c r="C18631">
        <f>HYPERLINK("C:\Users\franc\OneDrive\Documentos\MALENTIN KARIME\BANCO ESTADO\2012 DEPTO ESCRITURAS fata\Dc Simples\NO CONSUME DROGAS.doc", "Abrir Documento")</f>
        <v>0</v>
      </c>
      <c r="D18631" t="s">
        <v>23500</v>
      </c>
      <c r="E18631" t="s">
        <v>41106</v>
      </c>
    </row>
    <row r="18632" spans="1:5">
      <c r="A18632" t="s">
        <v>6</v>
      </c>
      <c r="B18632" t="s">
        <v>18637</v>
      </c>
      <c r="C18632">
        <f>HYPERLINK("C:\Users\franc\OneDrive\Documentos\MALENTIN KARIME\BANCO ESTADO\2012 DEPTO ESCRITURAS fata\Dc Simples\MANDATO DR. GASPAR FARÍA.doc", "Abrir Documento")</f>
        <v>0</v>
      </c>
      <c r="D18632" t="s">
        <v>23500</v>
      </c>
      <c r="E18632" t="s">
        <v>41107</v>
      </c>
    </row>
    <row r="18633" spans="1:5">
      <c r="A18633" t="s">
        <v>6</v>
      </c>
      <c r="B18633" t="s">
        <v>18638</v>
      </c>
      <c r="C18633">
        <f>HYPERLINK("C:\Users\franc\OneDrive\Documentos\MALENTIN KARIME\BANCO ESTADO\2012 DEPTO ESCRITURAS fata\Dc Simples\LETRA MODELO KARIME.doc", "Abrir Documento")</f>
        <v>0</v>
      </c>
      <c r="D18633" t="s">
        <v>23500</v>
      </c>
      <c r="E18633" t="s">
        <v>41108</v>
      </c>
    </row>
    <row r="18634" spans="1:5">
      <c r="A18634" t="s">
        <v>6</v>
      </c>
      <c r="B18634" t="s">
        <v>18639</v>
      </c>
      <c r="C18634">
        <f>HYPERLINK("C:\Users\franc\OneDrive\Documentos\MALENTIN KARIME\BANCO ESTADO\2012 DEPTO ESCRITURAS fata\Dc Simples\F 24 PAGARE.doc", "Abrir Documento")</f>
        <v>0</v>
      </c>
      <c r="D18634" t="s">
        <v>23500</v>
      </c>
      <c r="E18634" t="s">
        <v>41109</v>
      </c>
    </row>
    <row r="18635" spans="1:5">
      <c r="A18635" t="s">
        <v>6</v>
      </c>
      <c r="B18635" t="s">
        <v>18640</v>
      </c>
      <c r="C18635">
        <f>HYPERLINK("C:\Users\franc\OneDrive\Documentos\MALENTIN KARIME\BANCO ESTADO\2012 DEPTO ESCRITURAS fata\Dc Simples\EXTRAVIO finiquito.doc", "Abrir Documento")</f>
        <v>0</v>
      </c>
      <c r="D18635" t="s">
        <v>23500</v>
      </c>
      <c r="E18635" t="s">
        <v>41110</v>
      </c>
    </row>
    <row r="18636" spans="1:5">
      <c r="A18636" t="s">
        <v>6</v>
      </c>
      <c r="B18636" t="s">
        <v>18641</v>
      </c>
      <c r="C18636">
        <f>HYPERLINK("C:\Users\franc\OneDrive\Documentos\MALENTIN KARIME\BANCO ESTADO\2012 DEPTO ESCRITURAS fata\Dc Simples\EXTRAVIO DOCU. VEHICULO.doc", "Abrir Documento")</f>
        <v>0</v>
      </c>
      <c r="D18636" t="s">
        <v>23500</v>
      </c>
      <c r="E18636" t="s">
        <v>41111</v>
      </c>
    </row>
    <row r="18637" spans="1:5">
      <c r="A18637" t="s">
        <v>6</v>
      </c>
      <c r="B18637" t="s">
        <v>18642</v>
      </c>
      <c r="C18637">
        <f>HYPERLINK("C:\Users\franc\OneDrive\Documentos\MALENTIN KARIME\BANCO ESTADO\2012 DEPTO ESCRITURAS fata\Dc Simples\EXTRAVIO DOCU. PATRICIO PINTO.doc", "Abrir Documento")</f>
        <v>0</v>
      </c>
      <c r="D18637" t="s">
        <v>23500</v>
      </c>
      <c r="E18637" t="s">
        <v>41112</v>
      </c>
    </row>
    <row r="18638" spans="1:5">
      <c r="A18638" t="s">
        <v>6</v>
      </c>
      <c r="B18638" t="s">
        <v>18643</v>
      </c>
      <c r="C18638">
        <f>HYPERLINK("C:\Users\franc\OneDrive\Documentos\MALENTIN KARIME\BANCO ESTADO\2012 DEPTO ESCRITURAS fata\Dc Simples\DOMICILIO con TESTIGO.doc", "Abrir Documento")</f>
        <v>0</v>
      </c>
      <c r="D18638" t="s">
        <v>23500</v>
      </c>
      <c r="E18638" t="s">
        <v>41113</v>
      </c>
    </row>
    <row r="18639" spans="1:5">
      <c r="A18639" t="s">
        <v>6</v>
      </c>
      <c r="B18639" t="s">
        <v>18644</v>
      </c>
      <c r="C18639">
        <f>HYPERLINK("C:\Users\franc\OneDrive\Documentos\MALENTIN KARIME\BANCO ESTADO\2012 DEPTO ESCRITURAS fata\Dc Simples\DECLARACION AFP VACIO COTIZACION.docx", "Abrir Documento")</f>
        <v>0</v>
      </c>
      <c r="D18639" t="s">
        <v>23501</v>
      </c>
      <c r="E18639" t="s">
        <v>41114</v>
      </c>
    </row>
    <row r="18640" spans="1:5">
      <c r="A18640" t="s">
        <v>6</v>
      </c>
      <c r="B18640" t="s">
        <v>18645</v>
      </c>
      <c r="C18640">
        <f>HYPERLINK("C:\Users\franc\OneDrive\Documentos\MALENTIN KARIME\BANCO ESTADO\2012 DEPTO ESCRITURAS fata\Dc Simples\CONT ARR. MANTOS VERDES 1 DEL INGENIO Y SOC,X.doc", "Abrir Documento")</f>
        <v>0</v>
      </c>
      <c r="D18640" t="s">
        <v>23500</v>
      </c>
      <c r="E18640" t="s">
        <v>41115</v>
      </c>
    </row>
    <row r="18641" spans="1:5">
      <c r="A18641" t="s">
        <v>6</v>
      </c>
      <c r="B18641" t="s">
        <v>18646</v>
      </c>
      <c r="C18641">
        <f>HYPERLINK("C:\Users\franc\OneDrive\Documentos\MALENTIN KARIME\BANCO ESTADO\2012 DEPTO ESCRITURAS fata\Dc Simples\COMPRAR EXPLOSIVOS.doc", "Abrir Documento")</f>
        <v>0</v>
      </c>
      <c r="D18641" t="s">
        <v>23500</v>
      </c>
      <c r="E18641" t="s">
        <v>41116</v>
      </c>
    </row>
    <row r="18642" spans="1:5">
      <c r="A18642" t="s">
        <v>6</v>
      </c>
      <c r="B18642" t="s">
        <v>18647</v>
      </c>
      <c r="C18642">
        <f>HYPERLINK("C:\Users\franc\OneDrive\Documentos\MALENTIN KARIME\BANCO ESTADO\2012 DEPTO ESCRITURAS fata\Dc Simples\C.VENTA bienesdoc.doc", "Abrir Documento")</f>
        <v>0</v>
      </c>
      <c r="D18642" t="s">
        <v>23500</v>
      </c>
      <c r="E18642" t="s">
        <v>41117</v>
      </c>
    </row>
    <row r="18643" spans="1:5">
      <c r="A18643" t="s">
        <v>6</v>
      </c>
      <c r="B18643" t="s">
        <v>18648</v>
      </c>
      <c r="C18643">
        <f>HYPERLINK("C:\Users\franc\OneDrive\Documentos\MALENTIN KARIME\BANCO ESTADO\2012 DEPTO ESCRITURAS fata\Dc Simples\ASISTIR  A REUNION.doc", "Abrir Documento")</f>
        <v>0</v>
      </c>
      <c r="D18643" t="s">
        <v>23500</v>
      </c>
      <c r="E18643" t="s">
        <v>41118</v>
      </c>
    </row>
    <row r="18644" spans="1:5">
      <c r="A18644" t="s">
        <v>6</v>
      </c>
      <c r="B18644" t="s">
        <v>18649</v>
      </c>
      <c r="C18644">
        <f>HYPERLINK("C:\Users\franc\OneDrive\Documentos\MALENTIN KARIME\BANCO ESTADO\2012 DEPTO ESCRITURAS fata\Dc Simples\ART LEY ALCOHOL 19925.doc", "Abrir Documento")</f>
        <v>0</v>
      </c>
      <c r="D18644" t="s">
        <v>23500</v>
      </c>
      <c r="E18644" t="s">
        <v>41119</v>
      </c>
    </row>
    <row r="18645" spans="1:5">
      <c r="A18645" t="s">
        <v>6</v>
      </c>
      <c r="B18645" t="s">
        <v>18650</v>
      </c>
      <c r="C18645">
        <f>HYPERLINK("C:\Users\franc\OneDrive\Documentos\MALENTIN KARIME\BANCO ESTADO\2012 DEPTO ESCRITURAS fata\Dc Simples\ARR.PATENTE E INVENTARIO.doc", "Abrir Documento")</f>
        <v>0</v>
      </c>
      <c r="D18645" t="s">
        <v>23500</v>
      </c>
      <c r="E18645" t="s">
        <v>41120</v>
      </c>
    </row>
    <row r="18646" spans="1:5">
      <c r="A18646" t="s">
        <v>6</v>
      </c>
      <c r="B18646" t="s">
        <v>18651</v>
      </c>
      <c r="C18646">
        <f>HYPERLINK("C:\Users\franc\OneDrive\Documentos\MALENTIN KARIME\BANCO ESTADO\2012 DEPTO ESCRITURAS fata\Dc Simples\ARR. TRACTOR.doc", "Abrir Documento")</f>
        <v>0</v>
      </c>
      <c r="D18646" t="s">
        <v>23500</v>
      </c>
      <c r="E18646" t="s">
        <v>41121</v>
      </c>
    </row>
    <row r="18647" spans="1:5">
      <c r="A18647" t="s">
        <v>6</v>
      </c>
      <c r="B18647" t="s">
        <v>18652</v>
      </c>
      <c r="C18647">
        <f>HYPERLINK("C:\Users\franc\OneDrive\Documentos\MALENTIN KARIME\BANCO ESTADO\2012 DEPTO ESCRITURAS fata\Dc Simples\ARR. OFICINA COMERCIAL.doc", "Abrir Documento")</f>
        <v>0</v>
      </c>
      <c r="D18647" t="s">
        <v>23500</v>
      </c>
      <c r="E18647" t="s">
        <v>41122</v>
      </c>
    </row>
    <row r="18648" spans="1:5">
      <c r="A18648" t="s">
        <v>6</v>
      </c>
      <c r="B18648" t="s">
        <v>18653</v>
      </c>
      <c r="C18648">
        <f>HYPERLINK("C:\Users\franc\OneDrive\Documentos\MALENTIN KARIME\BANCO ESTADO\2012 DEPTO ESCRITURAS fata\2012 DEPTO ESCRITURAS\WASHINGTON ALTAMIRANO\YASNA PABLETIC Sociedad Recti.doc", "Abrir Documento")</f>
        <v>0</v>
      </c>
      <c r="D18648" t="s">
        <v>23500</v>
      </c>
      <c r="E18648" t="s">
        <v>41123</v>
      </c>
    </row>
    <row r="18649" spans="1:5">
      <c r="A18649" t="s">
        <v>6</v>
      </c>
      <c r="B18649" t="s">
        <v>18654</v>
      </c>
      <c r="C18649">
        <f>HYPERLINK("C:\Users\franc\OneDrive\Documentos\MALENTIN KARIME\BANCO ESTADO\2012 DEPTO ESCRITURAS fata\2012 DEPTO ESCRITURAS\WASHINGTON ALTAMIRANO\INMOV E INV HUGO JOFRE cesion.doc", "Abrir Documento")</f>
        <v>0</v>
      </c>
      <c r="D18649" t="s">
        <v>23500</v>
      </c>
      <c r="E18649" t="s">
        <v>41124</v>
      </c>
    </row>
    <row r="18650" spans="1:5">
      <c r="A18650" t="s">
        <v>6</v>
      </c>
      <c r="B18650" t="s">
        <v>18655</v>
      </c>
      <c r="C18650">
        <f>HYPERLINK("C:\Users\franc\OneDrive\Documentos\MALENTIN KARIME\BANCO ESTADO\2012 DEPTO ESCRITURAS fata\2012 DEPTO ESCRITURAS\WASHINGTON ALTAMIRANO\INMOBILIARIA E INV VALDIVIA Y CAMUS A CRISTIAN RAMIREZ Promesa.doc", "Abrir Documento")</f>
        <v>0</v>
      </c>
      <c r="D18650" t="s">
        <v>23500</v>
      </c>
      <c r="E18650" t="s">
        <v>41125</v>
      </c>
    </row>
    <row r="18651" spans="1:5">
      <c r="A18651" t="s">
        <v>6</v>
      </c>
      <c r="B18651" t="s">
        <v>18656</v>
      </c>
      <c r="C18651">
        <f>HYPERLINK("C:\Users\franc\OneDrive\Documentos\MALENTIN KARIME\BANCO ESTADO\2012 DEPTO ESCRITURAS fata\2012 DEPTO ESCRITURAS\WASHINGTON ALTAMIRANO\Extracto Transf. S.A. en Ltda.  Agrícola Los Leones.doc", "Abrir Documento")</f>
        <v>0</v>
      </c>
      <c r="D18651" t="s">
        <v>23500</v>
      </c>
      <c r="E18651" t="s">
        <v>41126</v>
      </c>
    </row>
    <row r="18652" spans="1:5">
      <c r="A18652" t="s">
        <v>6</v>
      </c>
      <c r="B18652" t="s">
        <v>18657</v>
      </c>
      <c r="C18652">
        <f>HYPERLINK("C:\Users\franc\OneDrive\Documentos\MALENTIN KARIME\BANCO ESTADO\2012 DEPTO ESCRITURAS fata\2012 DEPTO ESCRITURAS\WASHINGTON ALTAMIRANO\Extracto Rectificación Soc. Inv. Sagastialde Ltda..doc", "Abrir Documento")</f>
        <v>0</v>
      </c>
      <c r="D18652" t="s">
        <v>23500</v>
      </c>
      <c r="E18652" t="s">
        <v>41127</v>
      </c>
    </row>
    <row r="18653" spans="1:5">
      <c r="A18653" t="s">
        <v>6</v>
      </c>
      <c r="B18653" t="s">
        <v>18658</v>
      </c>
      <c r="C18653">
        <f>HYPERLINK("C:\Users\franc\OneDrive\Documentos\MALENTIN KARIME\BANCO ESTADO\2012 DEPTO ESCRITURAS fata\2012 DEPTO ESCRITURAS\WASHINGTON ALTAMIRANO\Extracto Cesion derechos Inm. e inv. Hugo Jofré Ltda..doc", "Abrir Documento")</f>
        <v>0</v>
      </c>
      <c r="D18653" t="s">
        <v>23500</v>
      </c>
      <c r="E18653" t="s">
        <v>41128</v>
      </c>
    </row>
    <row r="18654" spans="1:5">
      <c r="A18654" t="s">
        <v>6</v>
      </c>
      <c r="B18654" t="s">
        <v>18659</v>
      </c>
      <c r="C18654">
        <f>HYPERLINK("C:\Users\franc\OneDrive\Documentos\MALENTIN KARIME\BANCO ESTADO\2012 DEPTO ESCRITURAS fata\2012 DEPTO ESCRITURAS\WASHINGTON ALTAMIRANO\COMERCIAL PIZARRO LTDA A HAROLDO VEGA POZOvehiculo.doc", "Abrir Documento")</f>
        <v>0</v>
      </c>
      <c r="D18654" t="s">
        <v>23500</v>
      </c>
      <c r="E18654" t="s">
        <v>41129</v>
      </c>
    </row>
    <row r="18655" spans="1:5">
      <c r="A18655" t="s">
        <v>6</v>
      </c>
      <c r="B18655" t="s">
        <v>18660</v>
      </c>
      <c r="C18655">
        <f>HYPERLINK("C:\Users\franc\OneDrive\Documentos\MALENTIN KARIME\BANCO ESTADO\2012 DEPTO ESCRITURAS fata\2012 DEPTO ESCRITURAS\WASHINGTON ALTAMIRANO\AGRICOLA LOS LEONES transf.doc", "Abrir Documento")</f>
        <v>0</v>
      </c>
      <c r="D18655" t="s">
        <v>23500</v>
      </c>
      <c r="E18655" t="s">
        <v>41130</v>
      </c>
    </row>
    <row r="18656" spans="1:5">
      <c r="A18656" t="s">
        <v>6</v>
      </c>
      <c r="B18656" t="s">
        <v>18661</v>
      </c>
      <c r="C18656">
        <f>HYPERLINK("C:\Users\franc\OneDrive\Documentos\MALENTIN KARIME\BANCO ESTADO\2012 DEPTO ESCRITURAS fata\2012 DEPTO ESCRITURAS\WASHINGTON ALTAMIRANO\AGRICOLA CORTES CORRAL Cancelacion.doc", "Abrir Documento")</f>
        <v>0</v>
      </c>
      <c r="D18656" t="s">
        <v>23500</v>
      </c>
      <c r="E18656" t="s">
        <v>41131</v>
      </c>
    </row>
    <row r="18657" spans="1:5">
      <c r="A18657" t="s">
        <v>6</v>
      </c>
      <c r="B18657" t="s">
        <v>18662</v>
      </c>
      <c r="C18657">
        <f>HYPERLINK("C:\Users\franc\OneDrive\Documentos\MALENTIN KARIME\BANCO ESTADO\2012 DEPTO ESCRITURAS fata\2012 DEPTO ESCRITURAS\VTA. PROPIEDAD\subdiv\Lotes.doc", "Abrir Documento")</f>
        <v>0</v>
      </c>
      <c r="D18657" t="s">
        <v>23500</v>
      </c>
      <c r="E18657" t="s">
        <v>41132</v>
      </c>
    </row>
    <row r="18658" spans="1:5">
      <c r="A18658" t="s">
        <v>6</v>
      </c>
      <c r="B18658" t="s">
        <v>18663</v>
      </c>
      <c r="C18658">
        <f>HYPERLINK("C:\Users\franc\OneDrive\Documentos\MALENTIN KARIME\BANCO ESTADO\2012 DEPTO ESCRITURAS fata\2012 DEPTO ESCRITURAS\VTA. PROPIEDAD\subdiv\BENEDICTO CISTERNAS a Víctor Cisternas.doc", "Abrir Documento")</f>
        <v>0</v>
      </c>
      <c r="D18658" t="s">
        <v>23500</v>
      </c>
      <c r="E18658" t="s">
        <v>41133</v>
      </c>
    </row>
    <row r="18659" spans="1:5">
      <c r="A18659" t="s">
        <v>6</v>
      </c>
      <c r="B18659" t="s">
        <v>18664</v>
      </c>
      <c r="C18659">
        <f>HYPERLINK("C:\Users\franc\OneDrive\Documentos\MALENTIN KARIME\BANCO ESTADO\2012 DEPTO ESCRITURAS fata\2012 DEPTO ESCRITURAS\VTA. PROPIEDAD\subdiv\BENEDICTO CISTERNAS a Mariela Cisternas.doc", "Abrir Documento")</f>
        <v>0</v>
      </c>
      <c r="D18659" t="s">
        <v>23500</v>
      </c>
      <c r="E18659" t="s">
        <v>41134</v>
      </c>
    </row>
    <row r="18660" spans="1:5">
      <c r="A18660" t="s">
        <v>6</v>
      </c>
      <c r="B18660" t="s">
        <v>18665</v>
      </c>
      <c r="C18660">
        <f>HYPERLINK("C:\Users\franc\OneDrive\Documentos\MALENTIN KARIME\BANCO ESTADO\2012 DEPTO ESCRITURAS fata\2012 DEPTO ESCRITURAS\VTA. PROPIEDAD\subdiv\BENEDICTO CISTERNAS A Joselin Villegas.doc", "Abrir Documento")</f>
        <v>0</v>
      </c>
      <c r="D18660" t="s">
        <v>23500</v>
      </c>
      <c r="E18660" t="s">
        <v>41135</v>
      </c>
    </row>
    <row r="18661" spans="1:5">
      <c r="A18661" t="s">
        <v>6</v>
      </c>
      <c r="B18661" t="s">
        <v>18666</v>
      </c>
      <c r="C18661">
        <f>HYPERLINK("C:\Users\franc\OneDrive\Documentos\MALENTIN KARIME\BANCO ESTADO\2012 DEPTO ESCRITURAS fata\2012 DEPTO ESCRITURAS\VTA. PROPIEDAD\subdiv\BENEDICTO CISTERNAS a Jessica Segovia.doc", "Abrir Documento")</f>
        <v>0</v>
      </c>
      <c r="D18661" t="s">
        <v>23500</v>
      </c>
      <c r="E18661" t="s">
        <v>41136</v>
      </c>
    </row>
    <row r="18662" spans="1:5">
      <c r="A18662" t="s">
        <v>6</v>
      </c>
      <c r="B18662" t="s">
        <v>18667</v>
      </c>
      <c r="C18662">
        <f>HYPERLINK("C:\Users\franc\OneDrive\Documentos\MALENTIN KARIME\BANCO ESTADO\2012 DEPTO ESCRITURAS fata\2012 DEPTO ESCRITURAS\VTA. PROPIEDAD\subdiv\BENEDICTO CISTERNAS a Guido Cisternas.doc", "Abrir Documento")</f>
        <v>0</v>
      </c>
      <c r="D18662" t="s">
        <v>23500</v>
      </c>
      <c r="E18662" t="s">
        <v>41137</v>
      </c>
    </row>
    <row r="18663" spans="1:5">
      <c r="A18663" t="s">
        <v>6</v>
      </c>
      <c r="B18663" t="s">
        <v>18668</v>
      </c>
      <c r="C18663">
        <f>HYPERLINK("C:\Users\franc\OneDrive\Documentos\MALENTIN KARIME\BANCO ESTADO\2012 DEPTO ESCRITURAS fata\2012 DEPTO ESCRITURAS\VTA. PROPIEDAD\subdiv\BENEDICTO CISTERNAS a Ana Cisternas.doc", "Abrir Documento")</f>
        <v>0</v>
      </c>
      <c r="D18663" t="s">
        <v>23500</v>
      </c>
      <c r="E18663" t="s">
        <v>41138</v>
      </c>
    </row>
    <row r="18664" spans="1:5">
      <c r="A18664" t="s">
        <v>6</v>
      </c>
      <c r="B18664" t="s">
        <v>18669</v>
      </c>
      <c r="C18664">
        <f>HYPERLINK("C:\Users\franc\OneDrive\Documentos\MALENTIN KARIME\BANCO ESTADO\2012 DEPTO ESCRITURAS fata\2012 DEPTO ESCRITURAS\VTA. PROPIEDAD\MINUTAS\YARELA CARVAJAL A FRANCISCA ZAMBRA minuta.doc", "Abrir Documento")</f>
        <v>0</v>
      </c>
      <c r="D18664" t="s">
        <v>23500</v>
      </c>
      <c r="E18664" t="s">
        <v>41139</v>
      </c>
    </row>
    <row r="18665" spans="1:5">
      <c r="A18665" t="s">
        <v>6</v>
      </c>
      <c r="B18665" t="s">
        <v>18670</v>
      </c>
      <c r="C18665">
        <f>HYPERLINK("C:\Users\franc\OneDrive\Documentos\MALENTIN KARIME\BANCO ESTADO\2012 DEPTO ESCRITURAS fata\2012 DEPTO ESCRITURAS\VTA. PROPIEDAD\MINUTAS\RAQUEL MEDINA HIPOTECAS Y GRAV.doc", "Abrir Documento")</f>
        <v>0</v>
      </c>
      <c r="D18665" t="s">
        <v>23500</v>
      </c>
      <c r="E18665" t="s">
        <v>41140</v>
      </c>
    </row>
    <row r="18666" spans="1:5">
      <c r="A18666" t="s">
        <v>6</v>
      </c>
      <c r="B18666" t="s">
        <v>18671</v>
      </c>
      <c r="C18666">
        <f>HYPERLINK("C:\Users\franc\OneDrive\Documentos\MALENTIN KARIME\BANCO ESTADO\2012 DEPTO ESCRITURAS fata\2012 DEPTO ESCRITURAS\VTA. PROPIEDAD\MINUTAS\RAQUEL MEDINA Cvta. Arturo.doc", "Abrir Documento")</f>
        <v>0</v>
      </c>
      <c r="D18666" t="s">
        <v>23500</v>
      </c>
      <c r="E18666" t="s">
        <v>41141</v>
      </c>
    </row>
    <row r="18667" spans="1:5">
      <c r="A18667" t="s">
        <v>6</v>
      </c>
      <c r="B18667" t="s">
        <v>18672</v>
      </c>
      <c r="C18667">
        <f>HYPERLINK("C:\Users\franc\OneDrive\Documentos\MALENTIN KARIME\BANCO ESTADO\2012 DEPTO ESCRITURAS fata\2012 DEPTO ESCRITURAS\VTA. PROPIEDAD\MINUTAS\RAQUEL MEDINA Cvta. Arturo VISTO BUENO.doc", "Abrir Documento")</f>
        <v>0</v>
      </c>
      <c r="D18667" t="s">
        <v>23500</v>
      </c>
      <c r="E18667" t="s">
        <v>41142</v>
      </c>
    </row>
    <row r="18668" spans="1:5">
      <c r="A18668" t="s">
        <v>6</v>
      </c>
      <c r="B18668" t="s">
        <v>18673</v>
      </c>
      <c r="C18668">
        <f>HYPERLINK("C:\Users\franc\OneDrive\Documentos\MALENTIN KARIME\BANCO ESTADO\2012 DEPTO ESCRITURAS fata\2012 DEPTO ESCRITURAS\VTA. PROPIEDAD\MINUTAS\MILTON TELLO ANDRADE Y OTRA A Rentas e Inversiones La Esperanza.doc", "Abrir Documento")</f>
        <v>0</v>
      </c>
      <c r="D18668" t="s">
        <v>23500</v>
      </c>
      <c r="E18668" t="s">
        <v>41143</v>
      </c>
    </row>
    <row r="18669" spans="1:5">
      <c r="A18669" t="s">
        <v>6</v>
      </c>
      <c r="B18669" t="s">
        <v>18674</v>
      </c>
      <c r="C18669">
        <f>HYPERLINK("C:\Users\franc\OneDrive\Documentos\MALENTIN KARIME\BANCO ESTADO\2012 DEPTO ESCRITURAS fata\2012 DEPTO ESCRITURAS\VTA. PROPIEDAD\MINUTAS\MILTON TELLO ANDRADE Y OTRA A Rentas e Inversiones La Esperanza FINAL.doc", "Abrir Documento")</f>
        <v>0</v>
      </c>
      <c r="D18669" t="s">
        <v>23500</v>
      </c>
      <c r="E18669" t="s">
        <v>41144</v>
      </c>
    </row>
    <row r="18670" spans="1:5">
      <c r="A18670" t="s">
        <v>6</v>
      </c>
      <c r="B18670" t="s">
        <v>18675</v>
      </c>
      <c r="C18670">
        <f>HYPERLINK("C:\Users\franc\OneDrive\Documentos\MALENTIN KARIME\BANCO ESTADO\2012 DEPTO ESCRITURAS fata\2012 DEPTO ESCRITURAS\VTA. PROPIEDAD\MINUTAS\MARIA ROJAS A Sociedad Talhuen TANIA.doc", "Abrir Documento")</f>
        <v>0</v>
      </c>
      <c r="D18670" t="s">
        <v>23500</v>
      </c>
      <c r="E18670" t="s">
        <v>41145</v>
      </c>
    </row>
    <row r="18671" spans="1:5">
      <c r="A18671" t="s">
        <v>6</v>
      </c>
      <c r="B18671" t="s">
        <v>18676</v>
      </c>
      <c r="C18671">
        <f>HYPERLINK("C:\Users\franc\OneDrive\Documentos\MALENTIN KARIME\BANCO ESTADO\2012 DEPTO ESCRITURAS fata\2012 DEPTO ESCRITURAS\VTA. PROPIEDAD\MINUTAS\MARIA CHOCAIR A MARIO FLORES Orlando Gallardo.doc", "Abrir Documento")</f>
        <v>0</v>
      </c>
      <c r="D18671" t="s">
        <v>23500</v>
      </c>
      <c r="E18671" t="s">
        <v>41146</v>
      </c>
    </row>
    <row r="18672" spans="1:5">
      <c r="A18672" t="s">
        <v>6</v>
      </c>
      <c r="B18672" t="s">
        <v>18677</v>
      </c>
      <c r="C18672">
        <f>HYPERLINK("C:\Users\franc\OneDrive\Documentos\MALENTIN KARIME\BANCO ESTADO\2012 DEPTO ESCRITURAS fata\2012 DEPTO ESCRITURAS\VTA. PROPIEDAD\MINUTAS\MARCELA IRIARTE PIZARRO.doc", "Abrir Documento")</f>
        <v>0</v>
      </c>
      <c r="D18672" t="s">
        <v>23500</v>
      </c>
      <c r="E18672" t="s">
        <v>41147</v>
      </c>
    </row>
    <row r="18673" spans="1:5">
      <c r="A18673" t="s">
        <v>6</v>
      </c>
      <c r="B18673" t="s">
        <v>18678</v>
      </c>
      <c r="C18673">
        <f>HYPERLINK("C:\Users\franc\OneDrive\Documentos\MALENTIN KARIME\BANCO ESTADO\2012 DEPTO ESCRITURAS fata\2012 DEPTO ESCRITURAS\VTA. PROPIEDAD\MINUTAS\LUIS ROCCO HUERTA Y OTRA A Nidia Rivera Rocco.doc", "Abrir Documento")</f>
        <v>0</v>
      </c>
      <c r="D18673" t="s">
        <v>23500</v>
      </c>
      <c r="E18673" t="s">
        <v>41148</v>
      </c>
    </row>
    <row r="18674" spans="1:5">
      <c r="A18674" t="s">
        <v>6</v>
      </c>
      <c r="B18674" t="s">
        <v>18679</v>
      </c>
      <c r="C18674">
        <f>HYPERLINK("C:\Users\franc\OneDrive\Documentos\MALENTIN KARIME\BANCO ESTADO\2012 DEPTO ESCRITURAS fata\2012 DEPTO ESCRITURAS\VTA. PROPIEDAD\MINUTAS\LUIS LORCA A DRISCOLL Lombardo.doc", "Abrir Documento")</f>
        <v>0</v>
      </c>
      <c r="D18674" t="s">
        <v>23500</v>
      </c>
      <c r="E18674" t="s">
        <v>41149</v>
      </c>
    </row>
    <row r="18675" spans="1:5">
      <c r="A18675" t="s">
        <v>6</v>
      </c>
      <c r="B18675" t="s">
        <v>18680</v>
      </c>
      <c r="C18675">
        <f>HYPERLINK("C:\Users\franc\OneDrive\Documentos\MALENTIN KARIME\BANCO ESTADO\2012 DEPTO ESCRITURAS fata\2012 DEPTO ESCRITURAS\VTA. PROPIEDAD\MINUTAS\JOSE RAMOS ARAYA A INELIA RAMOS Y OTROS Cristian B.doc", "Abrir Documento")</f>
        <v>0</v>
      </c>
      <c r="D18675" t="s">
        <v>23500</v>
      </c>
      <c r="E18675" t="s">
        <v>41150</v>
      </c>
    </row>
    <row r="18676" spans="1:5">
      <c r="A18676" t="s">
        <v>6</v>
      </c>
      <c r="B18676" t="s">
        <v>18681</v>
      </c>
      <c r="C18676">
        <f>HYPERLINK("C:\Users\franc\OneDrive\Documentos\MALENTIN KARIME\BANCO ESTADO\2012 DEPTO ESCRITURAS fata\2012 DEPTO ESCRITURAS\VTA. PROPIEDAD\MINUTAS\Intrucciones Mediana  a Castillo FINAL.doc", "Abrir Documento")</f>
        <v>0</v>
      </c>
      <c r="D18676" t="s">
        <v>23500</v>
      </c>
      <c r="E18676" t="s">
        <v>41151</v>
      </c>
    </row>
    <row r="18677" spans="1:5">
      <c r="A18677" t="s">
        <v>6</v>
      </c>
      <c r="B18677" t="s">
        <v>18682</v>
      </c>
      <c r="C18677">
        <f>HYPERLINK("C:\Users\franc\OneDrive\Documentos\MALENTIN KARIME\BANCO ESTADO\2012 DEPTO ESCRITURAS fata\2012 DEPTO ESCRITURAS\VTA. PROPIEDAD\MINUTAS\INSTRUCCIONES.doc", "Abrir Documento")</f>
        <v>0</v>
      </c>
      <c r="D18677" t="s">
        <v>23500</v>
      </c>
      <c r="E18677" t="s">
        <v>41152</v>
      </c>
    </row>
    <row r="18678" spans="1:5">
      <c r="A18678" t="s">
        <v>6</v>
      </c>
      <c r="B18678" t="s">
        <v>18683</v>
      </c>
      <c r="C18678">
        <f>HYPERLINK("C:\Users\franc\OneDrive\Documentos\MALENTIN KARIME\BANCO ESTADO\2012 DEPTO ESCRITURAS fata\2012 DEPTO ESCRITURAS\VTA. PROPIEDAD\MINUTAS\INSTRUCCION Tello a Loyola.doc", "Abrir Documento")</f>
        <v>0</v>
      </c>
      <c r="D18678" t="s">
        <v>23500</v>
      </c>
      <c r="E18678" t="s">
        <v>41153</v>
      </c>
    </row>
    <row r="18679" spans="1:5">
      <c r="A18679" t="s">
        <v>6</v>
      </c>
      <c r="B18679" t="s">
        <v>18684</v>
      </c>
      <c r="C18679">
        <f>HYPERLINK("C:\Users\franc\OneDrive\Documentos\MALENTIN KARIME\BANCO ESTADO\2012 DEPTO ESCRITURAS fata\2012 DEPTO ESCRITURAS\VTA. PROPIEDAD\MINUTAS\FELIX SORIA A Carlos Sarra.doc", "Abrir Documento")</f>
        <v>0</v>
      </c>
      <c r="D18679" t="s">
        <v>23500</v>
      </c>
      <c r="E18679" t="s">
        <v>41154</v>
      </c>
    </row>
    <row r="18680" spans="1:5">
      <c r="A18680" t="s">
        <v>6</v>
      </c>
      <c r="B18680" t="s">
        <v>18685</v>
      </c>
      <c r="C18680">
        <f>HYPERLINK("C:\Users\franc\OneDrive\Documentos\MALENTIN KARIME\BANCO ESTADO\2012 DEPTO ESCRITURAS fata\2012 DEPTO ESCRITURAS\VTA. PROPIEDAD\MINUTAS\ELBA PASTENE ARAYA Rene Allene.doc", "Abrir Documento")</f>
        <v>0</v>
      </c>
      <c r="D18680" t="s">
        <v>23500</v>
      </c>
      <c r="E18680" t="s">
        <v>41155</v>
      </c>
    </row>
    <row r="18681" spans="1:5">
      <c r="A18681" t="s">
        <v>6</v>
      </c>
      <c r="B18681" t="s">
        <v>18686</v>
      </c>
      <c r="C18681">
        <f>HYPERLINK("C:\Users\franc\OneDrive\Documentos\MALENTIN KARIME\BANCO ESTADO\2012 DEPTO ESCRITURAS fata\2012 DEPTO ESCRITURAS\VTA. PROPIEDAD\MINUTAS\CRISTIAN GALLARDO A MARISOL MEDINACony autoriza CLEMENTE FUENTEALBA.doc", "Abrir Documento")</f>
        <v>0</v>
      </c>
      <c r="D18681" t="s">
        <v>23500</v>
      </c>
      <c r="E18681" t="s">
        <v>41156</v>
      </c>
    </row>
    <row r="18682" spans="1:5">
      <c r="A18682" t="s">
        <v>6</v>
      </c>
      <c r="B18682" t="s">
        <v>18687</v>
      </c>
      <c r="C18682">
        <f>HYPERLINK("C:\Users\franc\OneDrive\Documentos\MALENTIN KARIME\BANCO ESTADO\2012 DEPTO ESCRITURAS fata\2012 DEPTO ESCRITURAS\VTA. PROPIEDAD\MINUTAS\CONSUELO TELLO A RAQUEL LOYOLA.doc", "Abrir Documento")</f>
        <v>0</v>
      </c>
      <c r="D18682" t="s">
        <v>23500</v>
      </c>
      <c r="E18682" t="s">
        <v>41157</v>
      </c>
    </row>
    <row r="18683" spans="1:5">
      <c r="A18683" t="s">
        <v>6</v>
      </c>
      <c r="B18683" t="s">
        <v>18688</v>
      </c>
      <c r="C18683">
        <f>HYPERLINK("C:\Users\franc\OneDrive\Documentos\MALENTIN KARIME\BANCO ESTADO\2012 DEPTO ESCRITURAS fata\2012 DEPTO ESCRITURAS\VTA. PROPIEDAD\MINUTAS\CAROLYN GONGORA A EDO. RAMIREZ Mandato.doc", "Abrir Documento")</f>
        <v>0</v>
      </c>
      <c r="D18683" t="s">
        <v>23500</v>
      </c>
      <c r="E18683" t="s">
        <v>41158</v>
      </c>
    </row>
    <row r="18684" spans="1:5">
      <c r="A18684" t="s">
        <v>6</v>
      </c>
      <c r="B18684" t="s">
        <v>18689</v>
      </c>
      <c r="C18684">
        <f>HYPERLINK("C:\Users\franc\OneDrive\Documentos\MALENTIN KARIME\BANCO ESTADO\2012 DEPTO ESCRITURAS fata\2012 DEPTO ESCRITURAS\VTA. PROPIEDAD\MINUTAS\BERTA TORRRES A ESMERALDO VALDIVIA W.altamirano.doc", "Abrir Documento")</f>
        <v>0</v>
      </c>
      <c r="D18684" t="s">
        <v>23500</v>
      </c>
      <c r="E18684" t="s">
        <v>41159</v>
      </c>
    </row>
    <row r="18685" spans="1:5">
      <c r="A18685" t="s">
        <v>6</v>
      </c>
      <c r="B18685" t="s">
        <v>18690</v>
      </c>
      <c r="C18685">
        <f>HYPERLINK("C:\Users\franc\OneDrive\Documentos\MALENTIN KARIME\BANCO ESTADO\2012 DEPTO ESCRITURAS fata\2012 DEPTO ESCRITURAS\VTA. PROPIEDAD\MINUTAS\ALEJO ZAMBRA A RAQUEL ZAMBRA Y OTRA.doc", "Abrir Documento")</f>
        <v>0</v>
      </c>
      <c r="D18685" t="s">
        <v>23500</v>
      </c>
      <c r="E18685" t="s">
        <v>41160</v>
      </c>
    </row>
    <row r="18686" spans="1:5">
      <c r="A18686" t="s">
        <v>6</v>
      </c>
      <c r="B18686" t="s">
        <v>18691</v>
      </c>
      <c r="C18686">
        <f>HYPERLINK("C:\Users\franc\OneDrive\Documentos\MALENTIN KARIME\BANCO ESTADO\2012 DEPTO ESCRITURAS fata\2012 DEPTO ESCRITURAS\VTA. PROPIEDAD\MINUTAS\AGRICOLA E INVERSIONES LAS NIETAS Fusion.doc", "Abrir Documento")</f>
        <v>0</v>
      </c>
      <c r="D18686" t="s">
        <v>23500</v>
      </c>
      <c r="E18686" t="s">
        <v>41161</v>
      </c>
    </row>
    <row r="18687" spans="1:5">
      <c r="A18687" t="s">
        <v>6</v>
      </c>
      <c r="B18687" t="s">
        <v>18692</v>
      </c>
      <c r="C18687">
        <f>HYPERLINK("C:\Users\franc\OneDrive\Documentos\MALENTIN KARIME\BANCO ESTADO\2012 DEPTO ESCRITURAS fata\2012 DEPTO ESCRITURAS\VTA. PROPIEDAD\MINUTAS\AGRICOLA AGUACERO A LUCY ASTUDILLO.doc", "Abrir Documento")</f>
        <v>0</v>
      </c>
      <c r="D18687" t="s">
        <v>23500</v>
      </c>
      <c r="E18687" t="s">
        <v>41162</v>
      </c>
    </row>
    <row r="18688" spans="1:5">
      <c r="A18688" t="s">
        <v>6</v>
      </c>
      <c r="B18688" t="s">
        <v>18693</v>
      </c>
      <c r="C18688">
        <f>HYPERLINK("C:\Users\franc\OneDrive\Documentos\MALENTIN KARIME\BANCO ESTADO\2012 DEPTO ESCRITURAS fata\2012 DEPTO ESCRITURAS\VTA. PROPIEDAD\BIENES MUEBLES\HERMAN FIGUEROA A Daniel Tarifeño.doc", "Abrir Documento")</f>
        <v>0</v>
      </c>
      <c r="D18688" t="s">
        <v>23500</v>
      </c>
      <c r="E18688" t="s">
        <v>41163</v>
      </c>
    </row>
    <row r="18689" spans="1:5">
      <c r="A18689" t="s">
        <v>6</v>
      </c>
      <c r="B18689" t="s">
        <v>18694</v>
      </c>
      <c r="C18689">
        <f>HYPERLINK("C:\Users\franc\OneDrive\Documentos\MALENTIN KARIME\BANCO ESTADO\2012 DEPTO ESCRITURAS fata\2012 DEPTO ESCRITURAS\VTA. PROPIEDAD\YESSICA GONZALEZ A RAFAEL ARAYA.doc", "Abrir Documento")</f>
        <v>0</v>
      </c>
      <c r="D18689" t="s">
        <v>23500</v>
      </c>
      <c r="E18689" t="s">
        <v>41164</v>
      </c>
    </row>
    <row r="18690" spans="1:5">
      <c r="A18690" t="s">
        <v>6</v>
      </c>
      <c r="B18690" t="s">
        <v>18695</v>
      </c>
      <c r="C18690">
        <f>HYPERLINK("C:\Users\franc\OneDrive\Documentos\MALENTIN KARIME\BANCO ESTADO\2012 DEPTO ESCRITURAS fata\2012 DEPTO ESCRITURAS\VTA. PROPIEDAD\XIMENA ABBOTT LARRAIN.doc", "Abrir Documento")</f>
        <v>0</v>
      </c>
      <c r="D18690" t="s">
        <v>23500</v>
      </c>
      <c r="E18690" t="s">
        <v>41165</v>
      </c>
    </row>
    <row r="18691" spans="1:5">
      <c r="A18691" t="s">
        <v>6</v>
      </c>
      <c r="B18691" t="s">
        <v>18696</v>
      </c>
      <c r="C18691">
        <f>HYPERLINK("C:\Users\franc\OneDrive\Documentos\MALENTIN KARIME\BANCO ESTADO\2012 DEPTO ESCRITURAS fata\2012 DEPTO ESCRITURAS\VTA. PROPIEDAD\VIVIANA ARAYA HIDALGO A ULISES OCHOA MOROSO.doc", "Abrir Documento")</f>
        <v>0</v>
      </c>
      <c r="D18691" t="s">
        <v>23500</v>
      </c>
      <c r="E18691" t="s">
        <v>41166</v>
      </c>
    </row>
    <row r="18692" spans="1:5">
      <c r="A18692" t="s">
        <v>6</v>
      </c>
      <c r="B18692" t="s">
        <v>18697</v>
      </c>
      <c r="C18692">
        <f>HYPERLINK("C:\Users\franc\OneDrive\Documentos\MALENTIN KARIME\BANCO ESTADO\2012 DEPTO ESCRITURAS fata\2012 DEPTO ESCRITURAS\VTA. PROPIEDAD\UVALDO LEYTON ALFARO A SANDRA LEYTON autoriza cónyuge.doc", "Abrir Documento")</f>
        <v>0</v>
      </c>
      <c r="D18692" t="s">
        <v>23500</v>
      </c>
      <c r="E18692" t="s">
        <v>41167</v>
      </c>
    </row>
    <row r="18693" spans="1:5">
      <c r="A18693" t="s">
        <v>6</v>
      </c>
      <c r="B18693" t="s">
        <v>18698</v>
      </c>
      <c r="C18693">
        <f>HYPERLINK("C:\Users\franc\OneDrive\Documentos\MALENTIN KARIME\BANCO ESTADO\2012 DEPTO ESCRITURAS fata\2012 DEPTO ESCRITURAS\VTA. PROPIEDAD\URSULA LUTTGUES A  JUAN ARAYA Proh.Legal.doc", "Abrir Documento")</f>
        <v>0</v>
      </c>
      <c r="D18693" t="s">
        <v>23500</v>
      </c>
      <c r="E18693" t="s">
        <v>41168</v>
      </c>
    </row>
    <row r="18694" spans="1:5">
      <c r="A18694" t="s">
        <v>6</v>
      </c>
      <c r="B18694" t="s">
        <v>18699</v>
      </c>
      <c r="C18694">
        <f>HYPERLINK("C:\Users\franc\OneDrive\Documentos\MALENTIN KARIME\BANCO ESTADO\2012 DEPTO ESCRITURAS fata\2012 DEPTO ESCRITURAS\VTA. PROPIEDAD\TERESA CORTES TELLO A PAMELA GONZALEZ.doc", "Abrir Documento")</f>
        <v>0</v>
      </c>
      <c r="D18694" t="s">
        <v>23500</v>
      </c>
      <c r="E18694" t="s">
        <v>41169</v>
      </c>
    </row>
    <row r="18695" spans="1:5">
      <c r="A18695" t="s">
        <v>6</v>
      </c>
      <c r="B18695" t="s">
        <v>18700</v>
      </c>
      <c r="C18695">
        <f>HYPERLINK("C:\Users\franc\OneDrive\Documentos\MALENTIN KARIME\BANCO ESTADO\2012 DEPTO ESCRITURAS fata\2012 DEPTO ESCRITURAS\VTA. PROPIEDAD\TASACIONES Y SERVICIOS INMOBILIARIOS LTDA..doc", "Abrir Documento")</f>
        <v>0</v>
      </c>
      <c r="D18695" t="s">
        <v>23500</v>
      </c>
      <c r="E18695" t="s">
        <v>41170</v>
      </c>
    </row>
    <row r="18696" spans="1:5">
      <c r="A18696" t="s">
        <v>6</v>
      </c>
      <c r="B18696" t="s">
        <v>18701</v>
      </c>
      <c r="C18696">
        <f>HYPERLINK("C:\Users\franc\OneDrive\Documentos\MALENTIN KARIME\BANCO ESTADO\2012 DEPTO ESCRITURAS fata\2012 DEPTO ESCRITURAS\VTA. PROPIEDAD\SYLVIA FLORES ALVAREZ Con agua.doc", "Abrir Documento")</f>
        <v>0</v>
      </c>
      <c r="D18696" t="s">
        <v>23500</v>
      </c>
      <c r="E18696" t="s">
        <v>41171</v>
      </c>
    </row>
    <row r="18697" spans="1:5">
      <c r="A18697" t="s">
        <v>6</v>
      </c>
      <c r="B18697" t="s">
        <v>18702</v>
      </c>
      <c r="C18697">
        <f>HYPERLINK("C:\Users\franc\OneDrive\Documentos\MALENTIN KARIME\BANCO ESTADO\2012 DEPTO ESCRITURAS fata\2012 DEPTO ESCRITURAS\VTA. PROPIEDAD\SYLVIA ELENA A RODRIGO  ALCAYA Proh.Legal Terreno.doc", "Abrir Documento")</f>
        <v>0</v>
      </c>
      <c r="D18697" t="s">
        <v>23500</v>
      </c>
      <c r="E18697" t="s">
        <v>41172</v>
      </c>
    </row>
    <row r="18698" spans="1:5">
      <c r="A18698" t="s">
        <v>6</v>
      </c>
      <c r="B18698" t="s">
        <v>18703</v>
      </c>
      <c r="C18698">
        <f>HYPERLINK("C:\Users\franc\OneDrive\Documentos\MALENTIN KARIME\BANCO ESTADO\2012 DEPTO ESCRITURAS fata\2012 DEPTO ESCRITURAS\VTA. PROPIEDAD\sucesion IRMA GONZALEZ Y VICTOR.doc", "Abrir Documento")</f>
        <v>0</v>
      </c>
      <c r="D18698" t="s">
        <v>23500</v>
      </c>
      <c r="E18698" t="s">
        <v>41173</v>
      </c>
    </row>
    <row r="18699" spans="1:5">
      <c r="A18699" t="s">
        <v>6</v>
      </c>
      <c r="B18699" t="s">
        <v>18704</v>
      </c>
      <c r="C18699">
        <f>HYPERLINK("C:\Users\franc\OneDrive\Documentos\MALENTIN KARIME\BANCO ESTADO\2012 DEPTO ESCRITURAS fata\2012 DEPTO ESCRITURAS\VTA. PROPIEDAD\SUCESION BUGUEÑO TELLO.doc", "Abrir Documento")</f>
        <v>0</v>
      </c>
      <c r="D18699" t="s">
        <v>23500</v>
      </c>
      <c r="E18699" t="s">
        <v>41174</v>
      </c>
    </row>
    <row r="18700" spans="1:5">
      <c r="A18700" t="s">
        <v>6</v>
      </c>
      <c r="B18700" t="s">
        <v>18705</v>
      </c>
      <c r="C18700">
        <f>HYPERLINK("C:\Users\franc\OneDrive\Documentos\MALENTIN KARIME\BANCO ESTADO\2012 DEPTO ESCRITURAS fata\2012 DEPTO ESCRITURAS\VTA. PROPIEDAD\SUCESION AMELIA MEDALLA DELSO Derechos.doc", "Abrir Documento")</f>
        <v>0</v>
      </c>
      <c r="D18700" t="s">
        <v>23500</v>
      </c>
      <c r="E18700" t="s">
        <v>41175</v>
      </c>
    </row>
    <row r="18701" spans="1:5">
      <c r="A18701" t="s">
        <v>6</v>
      </c>
      <c r="B18701" t="s">
        <v>18706</v>
      </c>
      <c r="C18701">
        <f>HYPERLINK("C:\Users\franc\OneDrive\Documentos\MALENTIN KARIME\BANCO ESTADO\2012 DEPTO ESCRITURAS fata\2012 DEPTO ESCRITURAS\VTA. PROPIEDAD\SILVIA PLAZA OROSTEGUI A Orieta Cisternas.doc", "Abrir Documento")</f>
        <v>0</v>
      </c>
      <c r="D18701" t="s">
        <v>23500</v>
      </c>
      <c r="E18701" t="s">
        <v>41176</v>
      </c>
    </row>
    <row r="18702" spans="1:5">
      <c r="A18702" t="s">
        <v>6</v>
      </c>
      <c r="B18702" t="s">
        <v>18707</v>
      </c>
      <c r="C18702">
        <f>HYPERLINK("C:\Users\franc\OneDrive\Documentos\MALENTIN KARIME\BANCO ESTADO\2012 DEPTO ESCRITURAS fata\2012 DEPTO ESCRITURAS\VTA. PROPIEDAD\SERGIO PASCUAL a Bernardo Barraza 100 Derechos.doc", "Abrir Documento")</f>
        <v>0</v>
      </c>
      <c r="D18702" t="s">
        <v>23500</v>
      </c>
      <c r="E18702" t="s">
        <v>41177</v>
      </c>
    </row>
    <row r="18703" spans="1:5">
      <c r="A18703" t="s">
        <v>6</v>
      </c>
      <c r="B18703" t="s">
        <v>18708</v>
      </c>
      <c r="C18703">
        <f>HYPERLINK("C:\Users\franc\OneDrive\Documentos\MALENTIN KARIME\BANCO ESTADO\2012 DEPTO ESCRITURAS fata\2012 DEPTO ESCRITURAS\VTA. PROPIEDAD\SANDRA GAETE OLMEDO A ANA ARENAS solteros.doc", "Abrir Documento")</f>
        <v>0</v>
      </c>
      <c r="D18703" t="s">
        <v>23500</v>
      </c>
      <c r="E18703" t="s">
        <v>41178</v>
      </c>
    </row>
    <row r="18704" spans="1:5">
      <c r="A18704" t="s">
        <v>6</v>
      </c>
      <c r="B18704" t="s">
        <v>18709</v>
      </c>
      <c r="C18704">
        <f>HYPERLINK("C:\Users\franc\OneDrive\Documentos\MALENTIN KARIME\BANCO ESTADO\2012 DEPTO ESCRITURAS fata\2012 DEPTO ESCRITURAS\VTA. PROPIEDAD\SANDRA GAETE OLMEDO A Ana Arenas Miranda.doc", "Abrir Documento")</f>
        <v>0</v>
      </c>
      <c r="D18704" t="s">
        <v>23500</v>
      </c>
      <c r="E18704" t="s">
        <v>41179</v>
      </c>
    </row>
    <row r="18705" spans="1:5">
      <c r="A18705" t="s">
        <v>6</v>
      </c>
      <c r="B18705" t="s">
        <v>18710</v>
      </c>
      <c r="C18705">
        <f>HYPERLINK("C:\Users\franc\OneDrive\Documentos\MALENTIN KARIME\BANCO ESTADO\2012 DEPTO ESCRITURAS fata\2012 DEPTO ESCRITURAS\VTA. PROPIEDAD\SANDRA GAETE OLMEDO A Ana Arenas Miranda AUTOCONTRATAR.doc", "Abrir Documento")</f>
        <v>0</v>
      </c>
      <c r="D18705" t="s">
        <v>23500</v>
      </c>
      <c r="E18705" t="s">
        <v>41180</v>
      </c>
    </row>
    <row r="18706" spans="1:5">
      <c r="A18706" t="s">
        <v>6</v>
      </c>
      <c r="B18706" t="s">
        <v>18711</v>
      </c>
      <c r="C18706">
        <f>HYPERLINK("C:\Users\franc\OneDrive\Documentos\MALENTIN KARIME\BANCO ESTADO\2012 DEPTO ESCRITURAS fata\2012 DEPTO ESCRITURAS\VTA. PROPIEDAD\SAMUEL VILLARROEL A Ella solteros.doc", "Abrir Documento")</f>
        <v>0</v>
      </c>
      <c r="D18706" t="s">
        <v>23500</v>
      </c>
      <c r="E18706" t="s">
        <v>41181</v>
      </c>
    </row>
    <row r="18707" spans="1:5">
      <c r="A18707" t="s">
        <v>6</v>
      </c>
      <c r="B18707" t="s">
        <v>18712</v>
      </c>
      <c r="C18707">
        <f>HYPERLINK("C:\Users\franc\OneDrive\Documentos\MALENTIN KARIME\BANCO ESTADO\2012 DEPTO ESCRITURAS fata\2012 DEPTO ESCRITURAS\VTA. PROPIEDAD\ROSA VARAS ROBLES A Ceferino Segovia Solteras.doc", "Abrir Documento")</f>
        <v>0</v>
      </c>
      <c r="D18707" t="s">
        <v>23500</v>
      </c>
      <c r="E18707" t="s">
        <v>41182</v>
      </c>
    </row>
    <row r="18708" spans="1:5">
      <c r="A18708" t="s">
        <v>6</v>
      </c>
      <c r="B18708" t="s">
        <v>18713</v>
      </c>
      <c r="C18708">
        <f>HYPERLINK("C:\Users\franc\OneDrive\Documentos\MALENTIN KARIME\BANCO ESTADO\2012 DEPTO ESCRITURAS fata\2012 DEPTO ESCRITURAS\VTA. PROPIEDAD\ROSA TAPIA A SILVA URQUETA Conyuge Administrador.doc", "Abrir Documento")</f>
        <v>0</v>
      </c>
      <c r="D18708" t="s">
        <v>23500</v>
      </c>
      <c r="E18708" t="s">
        <v>41183</v>
      </c>
    </row>
    <row r="18709" spans="1:5">
      <c r="A18709" t="s">
        <v>6</v>
      </c>
      <c r="B18709" t="s">
        <v>18714</v>
      </c>
      <c r="C18709">
        <f>HYPERLINK("C:\Users\franc\OneDrive\Documentos\MALENTIN KARIME\BANCO ESTADO\2012 DEPTO ESCRITURAS fata\2012 DEPTO ESCRITURAS\VTA. PROPIEDAD\ROSA OCHOA PAEZ Sucesion y p.p.doc", "Abrir Documento")</f>
        <v>0</v>
      </c>
      <c r="D18709" t="s">
        <v>23500</v>
      </c>
      <c r="E18709" t="s">
        <v>41184</v>
      </c>
    </row>
    <row r="18710" spans="1:5">
      <c r="A18710" t="s">
        <v>6</v>
      </c>
      <c r="B18710" t="s">
        <v>18715</v>
      </c>
      <c r="C18710">
        <f>HYPERLINK("C:\Users\franc\OneDrive\Documentos\MALENTIN KARIME\BANCO ESTADO\2012 DEPTO ESCRITURAS fata\2012 DEPTO ESCRITURAS\VTA. PROPIEDAD\ROSA CORTES RUBINA A CINTIHA ROJAS RIVERA.doc", "Abrir Documento")</f>
        <v>0</v>
      </c>
      <c r="D18710" t="s">
        <v>23500</v>
      </c>
      <c r="E18710" t="s">
        <v>41185</v>
      </c>
    </row>
    <row r="18711" spans="1:5">
      <c r="A18711" t="s">
        <v>6</v>
      </c>
      <c r="B18711" t="s">
        <v>18716</v>
      </c>
      <c r="C18711">
        <f>HYPERLINK("C:\Users\franc\OneDrive\Documentos\MALENTIN KARIME\BANCO ESTADO\2012 DEPTO ESCRITURAS fata\2012 DEPTO ESCRITURAS\VTA. PROPIEDAD\ROSA CORTES A ABEL CORTES.doc", "Abrir Documento")</f>
        <v>0</v>
      </c>
      <c r="D18711" t="s">
        <v>23500</v>
      </c>
      <c r="E18711" t="s">
        <v>41186</v>
      </c>
    </row>
    <row r="18712" spans="1:5">
      <c r="A18712" t="s">
        <v>6</v>
      </c>
      <c r="B18712" t="s">
        <v>18717</v>
      </c>
      <c r="C18712">
        <f>HYPERLINK("C:\Users\franc\OneDrive\Documentos\MALENTIN KARIME\BANCO ESTADO\2012 DEPTO ESCRITURAS fata\2012 DEPTO ESCRITURAS\VTA. PROPIEDAD\ROSA CASTILLO GENERAL A MIGUEL GODOY Minuta Luis gallardo.doc", "Abrir Documento")</f>
        <v>0</v>
      </c>
      <c r="D18712" t="s">
        <v>23500</v>
      </c>
      <c r="E18712" t="s">
        <v>41187</v>
      </c>
    </row>
    <row r="18713" spans="1:5">
      <c r="A18713" t="s">
        <v>6</v>
      </c>
      <c r="B18713" t="s">
        <v>18718</v>
      </c>
      <c r="C18713">
        <f>HYPERLINK("C:\Users\franc\OneDrive\Documentos\MALENTIN KARIME\BANCO ESTADO\2012 DEPTO ESCRITURAS fata\2012 DEPTO ESCRITURAS\VTA. PROPIEDAD\RENE GODOY A GALVARINO GONZALEZ Monte Patria Minuta.doc", "Abrir Documento")</f>
        <v>0</v>
      </c>
      <c r="D18713" t="s">
        <v>23500</v>
      </c>
      <c r="E18713" t="s">
        <v>41188</v>
      </c>
    </row>
    <row r="18714" spans="1:5">
      <c r="A18714" t="s">
        <v>6</v>
      </c>
      <c r="B18714" t="s">
        <v>18719</v>
      </c>
      <c r="C18714">
        <f>HYPERLINK("C:\Users\franc\OneDrive\Documentos\MALENTIN KARIME\BANCO ESTADO\2012 DEPTO ESCRITURAS fata\2012 DEPTO ESCRITURAS\VTA. PROPIEDAD\RAUL MALUENDA A Massiel Maluenda Cvta Usufructo.doc", "Abrir Documento")</f>
        <v>0</v>
      </c>
      <c r="D18714" t="s">
        <v>23500</v>
      </c>
      <c r="E18714" t="s">
        <v>41189</v>
      </c>
    </row>
    <row r="18715" spans="1:5">
      <c r="A18715" t="s">
        <v>6</v>
      </c>
      <c r="B18715" t="s">
        <v>18720</v>
      </c>
      <c r="C18715">
        <f>HYPERLINK("C:\Users\franc\OneDrive\Documentos\MALENTIN KARIME\BANCO ESTADO\2012 DEPTO ESCRITURAS fata\2012 DEPTO ESCRITURAS\VTA. PROPIEDAD\RAUL CONTRERAS A mery contreras ubillo usufructo.doc", "Abrir Documento")</f>
        <v>0</v>
      </c>
      <c r="D18715" t="s">
        <v>23500</v>
      </c>
      <c r="E18715" t="s">
        <v>41190</v>
      </c>
    </row>
    <row r="18716" spans="1:5">
      <c r="A18716" t="s">
        <v>6</v>
      </c>
      <c r="B18716" t="s">
        <v>18721</v>
      </c>
      <c r="C18716">
        <f>HYPERLINK("C:\Users\franc\OneDrive\Documentos\MALENTIN KARIME\BANCO ESTADO\2012 DEPTO ESCRITURAS fata\2012 DEPTO ESCRITURAS\VTA. PROPIEDAD\PEDRO ROJO A HUGO DIAZ Servd.doc", "Abrir Documento")</f>
        <v>0</v>
      </c>
      <c r="D18716" t="s">
        <v>23500</v>
      </c>
      <c r="E18716" t="s">
        <v>41191</v>
      </c>
    </row>
    <row r="18717" spans="1:5">
      <c r="A18717" t="s">
        <v>6</v>
      </c>
      <c r="B18717" t="s">
        <v>18722</v>
      </c>
      <c r="C18717">
        <f>HYPERLINK("C:\Users\franc\OneDrive\Documentos\MALENTIN KARIME\BANCO ESTADO\2012 DEPTO ESCRITURAS fata\2012 DEPTO ESCRITURAS\VTA. PROPIEDAD\PEDRO PIÑONES ANTIQUERA A PEDRO VEGA.doc", "Abrir Documento")</f>
        <v>0</v>
      </c>
      <c r="D18717" t="s">
        <v>23500</v>
      </c>
      <c r="E18717" t="s">
        <v>41192</v>
      </c>
    </row>
    <row r="18718" spans="1:5">
      <c r="A18718" t="s">
        <v>6</v>
      </c>
      <c r="B18718" t="s">
        <v>18723</v>
      </c>
      <c r="C18718">
        <f>HYPERLINK("C:\Users\franc\OneDrive\Documentos\MALENTIN KARIME\BANCO ESTADO\2012 DEPTO ESCRITURAS fata\2012 DEPTO ESCRITURAS\VTA. PROPIEDAD\PATRICIO JIMENEZ A LUIS ARAYA.doc", "Abrir Documento")</f>
        <v>0</v>
      </c>
      <c r="D18718" t="s">
        <v>23500</v>
      </c>
      <c r="E18718" t="s">
        <v>41193</v>
      </c>
    </row>
    <row r="18719" spans="1:5">
      <c r="A18719" t="s">
        <v>6</v>
      </c>
      <c r="B18719" t="s">
        <v>18724</v>
      </c>
      <c r="C18719">
        <f>HYPERLINK("C:\Users\franc\OneDrive\Documentos\MALENTIN KARIME\BANCO ESTADO\2012 DEPTO ESCRITURAS fata\2012 DEPTO ESCRITURAS\VTA. PROPIEDAD\PATRICIA VALENZUELA ARAYA.doc", "Abrir Documento")</f>
        <v>0</v>
      </c>
      <c r="D18719" t="s">
        <v>23500</v>
      </c>
      <c r="E18719" t="s">
        <v>41194</v>
      </c>
    </row>
    <row r="18720" spans="1:5">
      <c r="A18720" t="s">
        <v>6</v>
      </c>
      <c r="B18720" t="s">
        <v>18725</v>
      </c>
      <c r="C18720">
        <f>HYPERLINK("C:\Users\franc\OneDrive\Documentos\MALENTIN KARIME\BANCO ESTADO\2012 DEPTO ESCRITURAS fata\2012 DEPTO ESCRITURAS\VTA. PROPIEDAD\PAMELA CAMPOS DIAZ Derechos.doc", "Abrir Documento")</f>
        <v>0</v>
      </c>
      <c r="D18720" t="s">
        <v>23500</v>
      </c>
      <c r="E18720" t="s">
        <v>41195</v>
      </c>
    </row>
    <row r="18721" spans="1:5">
      <c r="A18721" t="s">
        <v>6</v>
      </c>
      <c r="B18721" t="s">
        <v>18726</v>
      </c>
      <c r="C18721">
        <f>HYPERLINK("C:\Users\franc\OneDrive\Documentos\MALENTIN KARIME\BANCO ESTADO\2012 DEPTO ESCRITURAS fata\2012 DEPTO ESCRITURAS\VTA. PROPIEDAD\OSCAR FERNANDEZ MORA.doc", "Abrir Documento")</f>
        <v>0</v>
      </c>
      <c r="D18721" t="s">
        <v>23500</v>
      </c>
      <c r="E18721" t="s">
        <v>41196</v>
      </c>
    </row>
    <row r="18722" spans="1:5">
      <c r="A18722" t="s">
        <v>6</v>
      </c>
      <c r="B18722" t="s">
        <v>18727</v>
      </c>
      <c r="C18722">
        <f>HYPERLINK("C:\Users\franc\OneDrive\Documentos\MALENTIN KARIME\BANCO ESTADO\2012 DEPTO ESCRITURAS fata\2012 DEPTO ESCRITURAS\VTA. PROPIEDAD\OSCAR FERNANDEZ MORA Instrucciones.doc", "Abrir Documento")</f>
        <v>0</v>
      </c>
      <c r="D18722" t="s">
        <v>23500</v>
      </c>
      <c r="E18722" t="s">
        <v>41197</v>
      </c>
    </row>
    <row r="18723" spans="1:5">
      <c r="A18723" t="s">
        <v>6</v>
      </c>
      <c r="B18723" t="s">
        <v>18728</v>
      </c>
      <c r="C18723">
        <f>HYPERLINK("C:\Users\franc\OneDrive\Documentos\MALENTIN KARIME\BANCO ESTADO\2012 DEPTO ESCRITURAS fata\2012 DEPTO ESCRITURAS\VTA. PROPIEDAD\ORLANDA DIAZ A IVAN JAIME solteros DERECHOS.doc", "Abrir Documento")</f>
        <v>0</v>
      </c>
      <c r="D18723" t="s">
        <v>23500</v>
      </c>
      <c r="E18723" t="s">
        <v>41198</v>
      </c>
    </row>
    <row r="18724" spans="1:5">
      <c r="A18724" t="s">
        <v>6</v>
      </c>
      <c r="B18724" t="s">
        <v>18729</v>
      </c>
      <c r="C18724">
        <f>HYPERLINK("C:\Users\franc\OneDrive\Documentos\MALENTIN KARIME\BANCO ESTADO\2012 DEPTO ESCRITURAS fata\2012 DEPTO ESCRITURAS\VTA. PROPIEDAD\NORBERTO DIAZ DIAZ A MARINA ELGUEDA ARAYAProh.Legal.doc", "Abrir Documento")</f>
        <v>0</v>
      </c>
      <c r="D18724" t="s">
        <v>23500</v>
      </c>
      <c r="E18724" t="s">
        <v>41199</v>
      </c>
    </row>
    <row r="18725" spans="1:5">
      <c r="A18725" t="s">
        <v>6</v>
      </c>
      <c r="B18725" t="s">
        <v>18730</v>
      </c>
      <c r="C18725">
        <f>HYPERLINK("C:\Users\franc\OneDrive\Documentos\MALENTIN KARIME\BANCO ESTADO\2012 DEPTO ESCRITURAS fata\2012 DEPTO ESCRITURAS\VTA. PROPIEDAD\NOELFA TAPIA A Susana Morales solteros.doc", "Abrir Documento")</f>
        <v>0</v>
      </c>
      <c r="D18725" t="s">
        <v>23500</v>
      </c>
      <c r="E18725" t="s">
        <v>41200</v>
      </c>
    </row>
    <row r="18726" spans="1:5">
      <c r="A18726" t="s">
        <v>6</v>
      </c>
      <c r="B18726" t="s">
        <v>18731</v>
      </c>
      <c r="C18726">
        <f>HYPERLINK("C:\Users\franc\OneDrive\Documentos\MALENTIN KARIME\BANCO ESTADO\2012 DEPTO ESCRITURAS fata\2012 DEPTO ESCRITURAS\VTA. PROPIEDAD\NEVA PEÑA CERECEDA  Minuta l. Gallardo.doc", "Abrir Documento")</f>
        <v>0</v>
      </c>
      <c r="D18726" t="s">
        <v>23500</v>
      </c>
      <c r="E18726" t="s">
        <v>41201</v>
      </c>
    </row>
    <row r="18727" spans="1:5">
      <c r="A18727" t="s">
        <v>6</v>
      </c>
      <c r="B18727" t="s">
        <v>18732</v>
      </c>
      <c r="C18727">
        <f>HYPERLINK("C:\Users\franc\OneDrive\Documentos\MALENTIN KARIME\BANCO ESTADO\2012 DEPTO ESCRITURAS fata\2012 DEPTO ESCRITURAS\VTA. PROPIEDAD\NELIDA IRENE ZUMARAN PROH LEGAL.doc", "Abrir Documento")</f>
        <v>0</v>
      </c>
      <c r="D18727" t="s">
        <v>23500</v>
      </c>
      <c r="E18727" t="s">
        <v>41202</v>
      </c>
    </row>
    <row r="18728" spans="1:5">
      <c r="A18728" t="s">
        <v>6</v>
      </c>
      <c r="B18728" t="s">
        <v>18733</v>
      </c>
      <c r="C18728">
        <f>HYPERLINK("C:\Users\franc\OneDrive\Documentos\MALENTIN KARIME\BANCO ESTADO\2012 DEPTO ESCRITURAS fata\2012 DEPTO ESCRITURAS\VTA. PROPIEDAD\NEIDA CARVAJAL A JULIO ANTIÑIR solteros.doc", "Abrir Documento")</f>
        <v>0</v>
      </c>
      <c r="D18728" t="s">
        <v>23500</v>
      </c>
      <c r="E18728" t="s">
        <v>41203</v>
      </c>
    </row>
    <row r="18729" spans="1:5">
      <c r="A18729" t="s">
        <v>6</v>
      </c>
      <c r="B18729" t="s">
        <v>18734</v>
      </c>
      <c r="C18729">
        <f>HYPERLINK("C:\Users\franc\OneDrive\Documentos\MALENTIN KARIME\BANCO ESTADO\2012 DEPTO ESCRITURAS fata\2012 DEPTO ESCRITURAS\VTA. PROPIEDAD\MODELO CVTA Conyuge.doc", "Abrir Documento")</f>
        <v>0</v>
      </c>
      <c r="D18729" t="s">
        <v>23500</v>
      </c>
      <c r="E18729" t="s">
        <v>41204</v>
      </c>
    </row>
    <row r="18730" spans="1:5">
      <c r="A18730" t="s">
        <v>6</v>
      </c>
      <c r="B18730" t="s">
        <v>18735</v>
      </c>
      <c r="C18730">
        <f>HYPERLINK("C:\Users\franc\OneDrive\Documentos\MALENTIN KARIME\BANCO ESTADO\2012 DEPTO ESCRITURAS fata\2012 DEPTO ESCRITURAS\VTA. PROPIEDAD\MIRIAM SEGOVIA QUEVEDO A VICTOR SILVA Y OTROS.doc", "Abrir Documento")</f>
        <v>0</v>
      </c>
      <c r="D18730" t="s">
        <v>23500</v>
      </c>
      <c r="E18730" t="s">
        <v>41205</v>
      </c>
    </row>
    <row r="18731" spans="1:5">
      <c r="A18731" t="s">
        <v>6</v>
      </c>
      <c r="B18731" t="s">
        <v>18736</v>
      </c>
      <c r="C18731">
        <f>HYPERLINK("C:\Users\franc\OneDrive\Documentos\MALENTIN KARIME\BANCO ESTADO\2012 DEPTO ESCRITURAS fata\2012 DEPTO ESCRITURAS\VTA. PROPIEDAD\MILTON MALDONADO Y OTRO a Carlos Montiel.doc", "Abrir Documento")</f>
        <v>0</v>
      </c>
      <c r="D18731" t="s">
        <v>23500</v>
      </c>
      <c r="E18731" t="s">
        <v>41206</v>
      </c>
    </row>
    <row r="18732" spans="1:5">
      <c r="A18732" t="s">
        <v>6</v>
      </c>
      <c r="B18732" t="s">
        <v>18737</v>
      </c>
      <c r="C18732">
        <f>HYPERLINK("C:\Users\franc\OneDrive\Documentos\MALENTIN KARIME\BANCO ESTADO\2012 DEPTO ESCRITURAS fata\2012 DEPTO ESCRITURAS\VTA. PROPIEDAD\MELANIA CABELLO BARRAZA  Conyuge Administrador.doc", "Abrir Documento")</f>
        <v>0</v>
      </c>
      <c r="D18732" t="s">
        <v>23500</v>
      </c>
      <c r="E18732" t="s">
        <v>41207</v>
      </c>
    </row>
    <row r="18733" spans="1:5">
      <c r="A18733" t="s">
        <v>6</v>
      </c>
      <c r="B18733" t="s">
        <v>18738</v>
      </c>
      <c r="C18733">
        <f>HYPERLINK("C:\Users\franc\OneDrive\Documentos\MALENTIN KARIME\BANCO ESTADO\2012 DEPTO ESCRITURAS fata\2012 DEPTO ESCRITURAS\VTA. PROPIEDAD\MAUREEN VALENCIA GUZMAN A Paulina Galvez Agosto 13.doc", "Abrir Documento")</f>
        <v>0</v>
      </c>
      <c r="D18733" t="s">
        <v>23500</v>
      </c>
      <c r="E18733" t="s">
        <v>41208</v>
      </c>
    </row>
    <row r="18734" spans="1:5">
      <c r="A18734" t="s">
        <v>6</v>
      </c>
      <c r="B18734" t="s">
        <v>18739</v>
      </c>
      <c r="C18734">
        <f>HYPERLINK("C:\Users\franc\OneDrive\Documentos\MALENTIN KARIME\BANCO ESTADO\2012 DEPTO ESCRITURAS fata\2012 DEPTO ESCRITURAS\VTA. PROPIEDAD\MATILDE ZEPEDA A Emilia Zepeda.doc", "Abrir Documento")</f>
        <v>0</v>
      </c>
      <c r="D18734" t="s">
        <v>23500</v>
      </c>
      <c r="E18734" t="s">
        <v>41209</v>
      </c>
    </row>
    <row r="18735" spans="1:5">
      <c r="A18735" t="s">
        <v>6</v>
      </c>
      <c r="B18735" t="s">
        <v>18740</v>
      </c>
      <c r="C18735">
        <f>HYPERLINK("C:\Users\franc\OneDrive\Documentos\MALENTIN KARIME\BANCO ESTADO\2012 DEPTO ESCRITURAS fata\2012 DEPTO ESCRITURAS\VTA. PROPIEDAD\MARÍA SOLEDAD.doc", "Abrir Documento")</f>
        <v>0</v>
      </c>
      <c r="D18735" t="s">
        <v>23500</v>
      </c>
      <c r="E18735" t="s">
        <v>41210</v>
      </c>
    </row>
    <row r="18736" spans="1:5">
      <c r="A18736" t="s">
        <v>6</v>
      </c>
      <c r="B18736" t="s">
        <v>18741</v>
      </c>
      <c r="C18736">
        <f>HYPERLINK("C:\Users\franc\OneDrive\Documentos\MALENTIN KARIME\BANCO ESTADO\2012 DEPTO ESCRITURAS fata\2012 DEPTO ESCRITURAS\VTA. PROPIEDAD\MARIO CESPEDES MUÑOZ sucesion.doc", "Abrir Documento")</f>
        <v>0</v>
      </c>
      <c r="D18736" t="s">
        <v>23500</v>
      </c>
      <c r="E18736" t="s">
        <v>41211</v>
      </c>
    </row>
    <row r="18737" spans="1:5">
      <c r="A18737" t="s">
        <v>6</v>
      </c>
      <c r="B18737" t="s">
        <v>18742</v>
      </c>
      <c r="C18737">
        <f>HYPERLINK("C:\Users\franc\OneDrive\Documentos\MALENTIN KARIME\BANCO ESTADO\2012 DEPTO ESCRITURAS fata\2012 DEPTO ESCRITURAS\VTA. PROPIEDAD\MARIANA PLAZA A NILDA PLAZA.doc", "Abrir Documento")</f>
        <v>0</v>
      </c>
      <c r="D18737" t="s">
        <v>23500</v>
      </c>
      <c r="E18737" t="s">
        <v>41212</v>
      </c>
    </row>
    <row r="18738" spans="1:5">
      <c r="A18738" t="s">
        <v>6</v>
      </c>
      <c r="B18738" t="s">
        <v>18743</v>
      </c>
      <c r="C18738">
        <f>HYPERLINK("C:\Users\franc\OneDrive\Documentos\MALENTIN KARIME\BANCO ESTADO\2012 DEPTO ESCRITURAS fata\2012 DEPTO ESCRITURAS\VTA. PROPIEDAD\MARIA TAPIA OSSANDON A CARLOS AGUIRRE Conyuge Administrador.doc", "Abrir Documento")</f>
        <v>0</v>
      </c>
      <c r="D18738" t="s">
        <v>23500</v>
      </c>
      <c r="E18738" t="s">
        <v>41213</v>
      </c>
    </row>
    <row r="18739" spans="1:5">
      <c r="A18739" t="s">
        <v>6</v>
      </c>
      <c r="B18739" t="s">
        <v>18744</v>
      </c>
      <c r="C18739">
        <f>HYPERLINK("C:\Users\franc\OneDrive\Documentos\MALENTIN KARIME\BANCO ESTADO\2012 DEPTO ESCRITURAS fata\2012 DEPTO ESCRITURAS\VTA. PROPIEDAD\MARIA ROJAS GONZALEZ A PATRICIO CORTES.doc", "Abrir Documento")</f>
        <v>0</v>
      </c>
      <c r="D18739" t="s">
        <v>23500</v>
      </c>
      <c r="E18739" t="s">
        <v>41214</v>
      </c>
    </row>
    <row r="18740" spans="1:5">
      <c r="A18740" t="s">
        <v>6</v>
      </c>
      <c r="B18740" t="s">
        <v>18745</v>
      </c>
      <c r="C18740">
        <f>HYPERLINK("C:\Users\franc\OneDrive\Documentos\MALENTIN KARIME\BANCO ESTADO\2012 DEPTO ESCRITURAS fata\2012 DEPTO ESCRITURAS\VTA. PROPIEDAD\MARIA ROJAS CRUZ Y OTRA A Margarita Bugueño Derechos.doc", "Abrir Documento")</f>
        <v>0</v>
      </c>
      <c r="D18740" t="s">
        <v>23500</v>
      </c>
      <c r="E18740" t="s">
        <v>41215</v>
      </c>
    </row>
    <row r="18741" spans="1:5">
      <c r="A18741" t="s">
        <v>6</v>
      </c>
      <c r="B18741" t="s">
        <v>18746</v>
      </c>
      <c r="C18741">
        <f>HYPERLINK("C:\Users\franc\OneDrive\Documentos\MALENTIN KARIME\BANCO ESTADO\2012 DEPTO ESCRITURAS fata\2012 DEPTO ESCRITURAS\VTA. PROPIEDAD\MARIA MUÑOZ CISTERNAS A LADYS ROJAS MUÑOZ cvta usufructo.doc", "Abrir Documento")</f>
        <v>0</v>
      </c>
      <c r="D18741" t="s">
        <v>23500</v>
      </c>
      <c r="E18741" t="s">
        <v>41216</v>
      </c>
    </row>
    <row r="18742" spans="1:5">
      <c r="A18742" t="s">
        <v>6</v>
      </c>
      <c r="B18742" t="s">
        <v>18747</v>
      </c>
      <c r="C18742">
        <f>HYPERLINK("C:\Users\franc\OneDrive\Documentos\MALENTIN KARIME\BANCO ESTADO\2012 DEPTO ESCRITURAS fata\2012 DEPTO ESCRITURAS\VTA. PROPIEDAD\MARIA ISABEL GONZALEZ A JOSE MORALES MUÑOZ.doc", "Abrir Documento")</f>
        <v>0</v>
      </c>
      <c r="D18742" t="s">
        <v>23500</v>
      </c>
      <c r="E18742" t="s">
        <v>41217</v>
      </c>
    </row>
    <row r="18743" spans="1:5">
      <c r="A18743" t="s">
        <v>6</v>
      </c>
      <c r="B18743" t="s">
        <v>18748</v>
      </c>
      <c r="C18743">
        <f>HYPERLINK("C:\Users\franc\OneDrive\Documentos\MALENTIN KARIME\BANCO ESTADO\2012 DEPTO ESCRITURAS fata\2012 DEPTO ESCRITURAS\VTA. PROPIEDAD\MARIA HERNANDEZ LEYTON A LUIS CORTES.doc", "Abrir Documento")</f>
        <v>0</v>
      </c>
      <c r="D18743" t="s">
        <v>23500</v>
      </c>
      <c r="E18743" t="s">
        <v>41218</v>
      </c>
    </row>
    <row r="18744" spans="1:5">
      <c r="A18744" t="s">
        <v>6</v>
      </c>
      <c r="B18744" t="s">
        <v>18749</v>
      </c>
      <c r="C18744">
        <f>HYPERLINK("C:\Users\franc\OneDrive\Documentos\MALENTIN KARIME\BANCO ESTADO\2012 DEPTO ESCRITURAS fata\2012 DEPTO ESCRITURAS\VTA. PROPIEDAD\MARIA GEMITA NOVOA PALACIOS a LIDIA FLORES Solteras.doc", "Abrir Documento")</f>
        <v>0</v>
      </c>
      <c r="D18744" t="s">
        <v>23500</v>
      </c>
      <c r="E18744" t="s">
        <v>41219</v>
      </c>
    </row>
    <row r="18745" spans="1:5">
      <c r="A18745" t="s">
        <v>6</v>
      </c>
      <c r="B18745" t="s">
        <v>18750</v>
      </c>
      <c r="C18745">
        <f>HYPERLINK("C:\Users\franc\OneDrive\Documentos\MALENTIN KARIME\BANCO ESTADO\2012 DEPTO ESCRITURAS fata\2012 DEPTO ESCRITURAS\VTA. PROPIEDAD\MARIA CORTES A VANESSA MUÑOZ.doc", "Abrir Documento")</f>
        <v>0</v>
      </c>
      <c r="D18745" t="s">
        <v>23500</v>
      </c>
      <c r="E18745" t="s">
        <v>41220</v>
      </c>
    </row>
    <row r="18746" spans="1:5">
      <c r="A18746" t="s">
        <v>6</v>
      </c>
      <c r="B18746" t="s">
        <v>18751</v>
      </c>
      <c r="C18746">
        <f>HYPERLINK("C:\Users\franc\OneDrive\Documentos\MALENTIN KARIME\BANCO ESTADO\2012 DEPTO ESCRITURAS fata\2012 DEPTO ESCRITURAS\VTA. PROPIEDAD\MARIA ANGEL ARTAL A ALDO SALINAS  Proh.Legal.doc", "Abrir Documento")</f>
        <v>0</v>
      </c>
      <c r="D18746" t="s">
        <v>23500</v>
      </c>
      <c r="E18746" t="s">
        <v>41221</v>
      </c>
    </row>
    <row r="18747" spans="1:5">
      <c r="A18747" t="s">
        <v>6</v>
      </c>
      <c r="B18747" t="s">
        <v>18752</v>
      </c>
      <c r="C18747">
        <f>HYPERLINK("C:\Users\franc\OneDrive\Documentos\MALENTIN KARIME\BANCO ESTADO\2012 DEPTO ESCRITURAS fata\2012 DEPTO ESCRITURAS\VTA. PROPIEDAD\MARIA AGUIRRE ARAYA  A Daniel Araya y otro cvta usufructo.doc", "Abrir Documento")</f>
        <v>0</v>
      </c>
      <c r="D18747" t="s">
        <v>23500</v>
      </c>
      <c r="E18747" t="s">
        <v>41222</v>
      </c>
    </row>
    <row r="18748" spans="1:5">
      <c r="A18748" t="s">
        <v>6</v>
      </c>
      <c r="B18748" t="s">
        <v>18753</v>
      </c>
      <c r="C18748">
        <f>HYPERLINK("C:\Users\franc\OneDrive\Documentos\MALENTIN KARIME\BANCO ESTADO\2012 DEPTO ESCRITURAS fata\2012 DEPTO ESCRITURAS\VTA. PROPIEDAD\MARIA AGUIRRE ARAYA  A Daniel Araya y Derechos.doc", "Abrir Documento")</f>
        <v>0</v>
      </c>
      <c r="D18748" t="s">
        <v>23500</v>
      </c>
      <c r="E18748" t="s">
        <v>41223</v>
      </c>
    </row>
    <row r="18749" spans="1:5">
      <c r="A18749" t="s">
        <v>6</v>
      </c>
      <c r="B18749" t="s">
        <v>18754</v>
      </c>
      <c r="C18749">
        <f>HYPERLINK("C:\Users\franc\OneDrive\Documentos\MALENTIN KARIME\BANCO ESTADO\2012 DEPTO ESCRITURAS fata\2012 DEPTO ESCRITURAS\VTA. PROPIEDAD\MARIA AGUIRRE A PETRONILA VELASQUEZ.doc", "Abrir Documento")</f>
        <v>0</v>
      </c>
      <c r="D18749" t="s">
        <v>23500</v>
      </c>
      <c r="E18749" t="s">
        <v>41224</v>
      </c>
    </row>
    <row r="18750" spans="1:5">
      <c r="A18750" t="s">
        <v>6</v>
      </c>
      <c r="B18750" t="s">
        <v>18755</v>
      </c>
      <c r="C18750">
        <f>HYPERLINK("C:\Users\franc\OneDrive\Documentos\MALENTIN KARIME\BANCO ESTADO\2012 DEPTO ESCRITURAS fata\2012 DEPTO ESCRITURAS\VTA. PROPIEDAD\MARGARITA DONOSO ARAYA A Carlos Rivera cvta usufructo.doc", "Abrir Documento")</f>
        <v>0</v>
      </c>
      <c r="D18750" t="s">
        <v>23500</v>
      </c>
      <c r="E18750" t="s">
        <v>41225</v>
      </c>
    </row>
    <row r="18751" spans="1:5">
      <c r="A18751" t="s">
        <v>6</v>
      </c>
      <c r="B18751" t="s">
        <v>18756</v>
      </c>
      <c r="C18751">
        <f>HYPERLINK("C:\Users\franc\OneDrive\Documentos\MALENTIN KARIME\BANCO ESTADO\2012 DEPTO ESCRITURAS fata\2012 DEPTO ESCRITURAS\VTA. PROPIEDAD\MARGARITA BRAVO A CARMEN VALDIVIA Solteras.doc", "Abrir Documento")</f>
        <v>0</v>
      </c>
      <c r="D18751" t="s">
        <v>23500</v>
      </c>
      <c r="E18751" t="s">
        <v>41226</v>
      </c>
    </row>
    <row r="18752" spans="1:5">
      <c r="A18752" t="s">
        <v>6</v>
      </c>
      <c r="B18752" t="s">
        <v>18757</v>
      </c>
      <c r="C18752">
        <f>HYPERLINK("C:\Users\franc\OneDrive\Documentos\MALENTIN KARIME\BANCO ESTADO\2012 DEPTO ESCRITURAS fata\2012 DEPTO ESCRITURAS\VTA. PROPIEDAD\MANUEL ROBLES ARAYA a Angel Robles C.doc", "Abrir Documento")</f>
        <v>0</v>
      </c>
      <c r="D18752" t="s">
        <v>23500</v>
      </c>
      <c r="E18752" t="s">
        <v>41227</v>
      </c>
    </row>
    <row r="18753" spans="1:5">
      <c r="A18753" t="s">
        <v>6</v>
      </c>
      <c r="B18753" t="s">
        <v>18758</v>
      </c>
      <c r="C18753">
        <f>HYPERLINK("C:\Users\franc\OneDrive\Documentos\MALENTIN KARIME\BANCO ESTADO\2012 DEPTO ESCRITURAS fata\2012 DEPTO ESCRITURAS\VTA. PROPIEDAD\MANAGEMET LTDA.Ç.doc", "Abrir Documento")</f>
        <v>0</v>
      </c>
      <c r="D18753" t="s">
        <v>23500</v>
      </c>
      <c r="E18753" t="s">
        <v>41228</v>
      </c>
    </row>
    <row r="18754" spans="1:5">
      <c r="A18754" t="s">
        <v>6</v>
      </c>
      <c r="B18754" t="s">
        <v>18759</v>
      </c>
      <c r="C18754">
        <f>HYPERLINK("C:\Users\franc\OneDrive\Documentos\MALENTIN KARIME\BANCO ESTADO\2012 DEPTO ESCRITURAS fata\2012 DEPTO ESCRITURAS\VTA. PROPIEDAD\LUZ CORONADO A OCTAVIO MIRANDA.doc", "Abrir Documento")</f>
        <v>0</v>
      </c>
      <c r="D18754" t="s">
        <v>23500</v>
      </c>
      <c r="E18754" t="s">
        <v>41229</v>
      </c>
    </row>
    <row r="18755" spans="1:5">
      <c r="A18755" t="s">
        <v>6</v>
      </c>
      <c r="B18755" t="s">
        <v>18760</v>
      </c>
      <c r="C18755">
        <f>HYPERLINK("C:\Users\franc\OneDrive\Documentos\MALENTIN KARIME\BANCO ESTADO\2012 DEPTO ESCRITURAS fata\2012 DEPTO ESCRITURAS\VTA. PROPIEDAD\LUIS PIZARRO A MARIA BARRAZA.doc", "Abrir Documento")</f>
        <v>0</v>
      </c>
      <c r="D18755" t="s">
        <v>23500</v>
      </c>
      <c r="E18755" t="s">
        <v>41230</v>
      </c>
    </row>
    <row r="18756" spans="1:5">
      <c r="A18756" t="s">
        <v>6</v>
      </c>
      <c r="B18756" t="s">
        <v>18761</v>
      </c>
      <c r="C18756">
        <f>HYPERLINK("C:\Users\franc\OneDrive\Documentos\MALENTIN KARIME\BANCO ESTADO\2012 DEPTO ESCRITURAS fata\2012 DEPTO ESCRITURAS\VTA. PROPIEDAD\LUIS OLIVARES OLIVARES A ALBINA ORELLANA autoriza cónyuge.doc", "Abrir Documento")</f>
        <v>0</v>
      </c>
      <c r="D18756" t="s">
        <v>23500</v>
      </c>
      <c r="E18756" t="s">
        <v>41231</v>
      </c>
    </row>
    <row r="18757" spans="1:5">
      <c r="A18757" t="s">
        <v>6</v>
      </c>
      <c r="B18757" t="s">
        <v>18762</v>
      </c>
      <c r="C18757">
        <f>HYPERLINK("C:\Users\franc\OneDrive\Documentos\MALENTIN KARIME\BANCO ESTADO\2012 DEPTO ESCRITURAS fata\2012 DEPTO ESCRITURAS\VTA. PROPIEDAD\LUIS JOFRE GONZALEZ Subd Minuta Orlando Gallardo.doc", "Abrir Documento")</f>
        <v>0</v>
      </c>
      <c r="D18757" t="s">
        <v>23500</v>
      </c>
      <c r="E18757" t="s">
        <v>41232</v>
      </c>
    </row>
    <row r="18758" spans="1:5">
      <c r="A18758" t="s">
        <v>6</v>
      </c>
      <c r="B18758" t="s">
        <v>18763</v>
      </c>
      <c r="C18758">
        <f>HYPERLINK("C:\Users\franc\OneDrive\Documentos\MALENTIN KARIME\BANCO ESTADO\2012 DEPTO ESCRITURAS fata\2012 DEPTO ESCRITURAS\VTA. PROPIEDAD\LUIS FLORES A SAUL INOSTROZACony autoriza.doc", "Abrir Documento")</f>
        <v>0</v>
      </c>
      <c r="D18758" t="s">
        <v>23500</v>
      </c>
      <c r="E18758" t="s">
        <v>41233</v>
      </c>
    </row>
    <row r="18759" spans="1:5">
      <c r="A18759" t="s">
        <v>6</v>
      </c>
      <c r="B18759" t="s">
        <v>18764</v>
      </c>
      <c r="C18759">
        <f>HYPERLINK("C:\Users\franc\OneDrive\Documentos\MALENTIN KARIME\BANCO ESTADO\2012 DEPTO ESCRITURAS fata\2012 DEPTO ESCRITURAS\VTA. PROPIEDAD\LUIS AURELIO OLIVARES O A ALBINA ORELLANA MOLINA Derechos.doc", "Abrir Documento")</f>
        <v>0</v>
      </c>
      <c r="D18759" t="s">
        <v>23500</v>
      </c>
      <c r="E18759" t="s">
        <v>41234</v>
      </c>
    </row>
    <row r="18760" spans="1:5">
      <c r="A18760" t="s">
        <v>6</v>
      </c>
      <c r="B18760" t="s">
        <v>18765</v>
      </c>
      <c r="C18760">
        <f>HYPERLINK("C:\Users\franc\OneDrive\Documentos\MALENTIN KARIME\BANCO ESTADO\2012 DEPTO ESCRITURAS fata\2012 DEPTO ESCRITURAS\VTA. PROPIEDAD\LUIS  INOSTROZA BRIONES A ALAMIRO BRIONES VARAS.doc", "Abrir Documento")</f>
        <v>0</v>
      </c>
      <c r="D18760" t="s">
        <v>23500</v>
      </c>
      <c r="E18760" t="s">
        <v>41235</v>
      </c>
    </row>
    <row r="18761" spans="1:5">
      <c r="A18761" t="s">
        <v>6</v>
      </c>
      <c r="B18761" t="s">
        <v>18766</v>
      </c>
      <c r="C18761">
        <f>HYPERLINK("C:\Users\franc\OneDrive\Documentos\MALENTIN KARIME\BANCO ESTADO\2012 DEPTO ESCRITURAS fata\2012 DEPTO ESCRITURAS\VTA. PROPIEDAD\LUCY ASTUDILLO MICHEA.doc", "Abrir Documento")</f>
        <v>0</v>
      </c>
      <c r="D18761" t="s">
        <v>23500</v>
      </c>
      <c r="E18761" t="s">
        <v>41236</v>
      </c>
    </row>
    <row r="18762" spans="1:5">
      <c r="A18762" t="s">
        <v>6</v>
      </c>
      <c r="B18762" t="s">
        <v>18767</v>
      </c>
      <c r="C18762">
        <f>HYPERLINK("C:\Users\franc\OneDrive\Documentos\MALENTIN KARIME\BANCO ESTADO\2012 DEPTO ESCRITURAS fata\2012 DEPTO ESCRITURAS\VTA. PROPIEDAD\LORENZO CORTES JOFRE Corporacion Judicical.doc", "Abrir Documento")</f>
        <v>0</v>
      </c>
      <c r="D18762" t="s">
        <v>23500</v>
      </c>
      <c r="E18762" t="s">
        <v>41237</v>
      </c>
    </row>
    <row r="18763" spans="1:5">
      <c r="A18763" t="s">
        <v>6</v>
      </c>
      <c r="B18763" t="s">
        <v>18768</v>
      </c>
      <c r="C18763">
        <f>HYPERLINK("C:\Users\franc\OneDrive\Documentos\MALENTIN KARIME\BANCO ESTADO\2012 DEPTO ESCRITURAS fata\2012 DEPTO ESCRITURAS\VTA. PROPIEDAD\LORENA SANDOVAL VELOSO A Lilian MirandaProh.Legal.doc", "Abrir Documento")</f>
        <v>0</v>
      </c>
      <c r="D18763" t="s">
        <v>23500</v>
      </c>
      <c r="E18763" t="s">
        <v>41238</v>
      </c>
    </row>
    <row r="18764" spans="1:5">
      <c r="A18764" t="s">
        <v>6</v>
      </c>
      <c r="B18764" t="s">
        <v>18769</v>
      </c>
      <c r="C18764">
        <f>HYPERLINK("C:\Users\franc\OneDrive\Documentos\MALENTIN KARIME\BANCO ESTADO\2012 DEPTO ESCRITURAS fata\2012 DEPTO ESCRITURAS\VTA. PROPIEDAD\LISSETTE CERVA CORTES  A DILIA CARVAJAL Sep bienes.doc", "Abrir Documento")</f>
        <v>0</v>
      </c>
      <c r="D18764" t="s">
        <v>23500</v>
      </c>
      <c r="E18764" t="s">
        <v>41239</v>
      </c>
    </row>
    <row r="18765" spans="1:5">
      <c r="A18765" t="s">
        <v>6</v>
      </c>
      <c r="B18765" t="s">
        <v>18770</v>
      </c>
      <c r="C18765">
        <f>HYPERLINK("C:\Users\franc\OneDrive\Documentos\MALENTIN KARIME\BANCO ESTADO\2012 DEPTO ESCRITURAS fata\2012 DEPTO ESCRITURAS\VTA. PROPIEDAD\LIDIA DEL ROSARIO CISTERNA A Juan lara Cisterna Cvta usufructo.doc", "Abrir Documento")</f>
        <v>0</v>
      </c>
      <c r="D18765" t="s">
        <v>23500</v>
      </c>
      <c r="E18765" t="s">
        <v>41240</v>
      </c>
    </row>
    <row r="18766" spans="1:5">
      <c r="A18766" t="s">
        <v>6</v>
      </c>
      <c r="B18766" t="s">
        <v>18771</v>
      </c>
      <c r="C18766">
        <f>HYPERLINK("C:\Users\franc\OneDrive\Documentos\MALENTIN KARIME\BANCO ESTADO\2012 DEPTO ESCRITURAS fata\2012 DEPTO ESCRITURAS\VTA. PROPIEDAD\LEONIDES CORTES A MARITZA MICHEA.doc", "Abrir Documento")</f>
        <v>0</v>
      </c>
      <c r="D18766" t="s">
        <v>23500</v>
      </c>
      <c r="E18766" t="s">
        <v>41241</v>
      </c>
    </row>
    <row r="18767" spans="1:5">
      <c r="A18767" t="s">
        <v>6</v>
      </c>
      <c r="B18767" t="s">
        <v>18772</v>
      </c>
      <c r="C18767">
        <f>HYPERLINK("C:\Users\franc\OneDrive\Documentos\MALENTIN KARIME\BANCO ESTADO\2012 DEPTO ESCRITURAS fata\2012 DEPTO ESCRITURAS\VTA. PROPIEDAD\LAURA FUENTEALBA A Clemente Fuentealba.doc", "Abrir Documento")</f>
        <v>0</v>
      </c>
      <c r="D18767" t="s">
        <v>23500</v>
      </c>
      <c r="E18767" t="s">
        <v>41242</v>
      </c>
    </row>
    <row r="18768" spans="1:5">
      <c r="A18768" t="s">
        <v>6</v>
      </c>
      <c r="B18768" t="s">
        <v>18773</v>
      </c>
      <c r="C18768">
        <f>HYPERLINK("C:\Users\franc\OneDrive\Documentos\MALENTIN KARIME\BANCO ESTADO\2012 DEPTO ESCRITURAS fata\2012 DEPTO ESCRITURAS\VTA. PROPIEDAD\LAURA ELGUEDA CORTES.doc", "Abrir Documento")</f>
        <v>0</v>
      </c>
      <c r="D18768" t="s">
        <v>23500</v>
      </c>
      <c r="E18768" t="s">
        <v>41243</v>
      </c>
    </row>
    <row r="18769" spans="1:5">
      <c r="A18769" t="s">
        <v>6</v>
      </c>
      <c r="B18769" t="s">
        <v>18774</v>
      </c>
      <c r="C18769">
        <f>HYPERLINK("C:\Users\franc\OneDrive\Documentos\MALENTIN KARIME\BANCO ESTADO\2012 DEPTO ESCRITURAS fata\2012 DEPTO ESCRITURAS\VTA. PROPIEDAD\JUANA OLIVARES ARAYA A JUAN RAMOS.doc", "Abrir Documento")</f>
        <v>0</v>
      </c>
      <c r="D18769" t="s">
        <v>23500</v>
      </c>
      <c r="E18769" t="s">
        <v>41244</v>
      </c>
    </row>
    <row r="18770" spans="1:5">
      <c r="A18770" t="s">
        <v>6</v>
      </c>
      <c r="B18770" t="s">
        <v>18775</v>
      </c>
      <c r="C18770">
        <f>HYPERLINK("C:\Users\franc\OneDrive\Documentos\MALENTIN KARIME\BANCO ESTADO\2012 DEPTO ESCRITURAS fata\2012 DEPTO ESCRITURAS\VTA. PROPIEDAD\JUANA CAMPOS A ISABEL TORRES solteros.doc", "Abrir Documento")</f>
        <v>0</v>
      </c>
      <c r="D18770" t="s">
        <v>23500</v>
      </c>
      <c r="E18770" t="s">
        <v>41245</v>
      </c>
    </row>
    <row r="18771" spans="1:5">
      <c r="A18771" t="s">
        <v>6</v>
      </c>
      <c r="B18771" t="s">
        <v>18776</v>
      </c>
      <c r="C18771">
        <f>HYPERLINK("C:\Users\franc\OneDrive\Documentos\MALENTIN KARIME\BANCO ESTADO\2012 DEPTO ESCRITURAS fata\2012 DEPTO ESCRITURAS\VTA. PROPIEDAD\JUANA ARAYA OYARCE A ESIQUIEL CORTES Conyuge Administrador.doc", "Abrir Documento")</f>
        <v>0</v>
      </c>
      <c r="D18771" t="s">
        <v>23500</v>
      </c>
      <c r="E18771" t="s">
        <v>41246</v>
      </c>
    </row>
    <row r="18772" spans="1:5">
      <c r="A18772" t="s">
        <v>6</v>
      </c>
      <c r="B18772" t="s">
        <v>18777</v>
      </c>
      <c r="C18772">
        <f>HYPERLINK("C:\Users\franc\OneDrive\Documentos\MALENTIN KARIME\BANCO ESTADO\2012 DEPTO ESCRITURAS fata\2012 DEPTO ESCRITURAS\VTA. PROPIEDAD\JUAN VELASQUEZ VASQUEZ  Subdivision.doc", "Abrir Documento")</f>
        <v>0</v>
      </c>
      <c r="D18772" t="s">
        <v>23500</v>
      </c>
      <c r="E18772" t="s">
        <v>41247</v>
      </c>
    </row>
    <row r="18773" spans="1:5">
      <c r="A18773" t="s">
        <v>6</v>
      </c>
      <c r="B18773" t="s">
        <v>18778</v>
      </c>
      <c r="C18773">
        <f>HYPERLINK("C:\Users\franc\OneDrive\Documentos\MALENTIN KARIME\BANCO ESTADO\2012 DEPTO ESCRITURAS fata\2012 DEPTO ESCRITURAS\VTA. PROPIEDAD\JUAN PORTILLA ALBURQUENQUE A Empresa Individual  LOTE 8.doc", "Abrir Documento")</f>
        <v>0</v>
      </c>
      <c r="D18773" t="s">
        <v>23500</v>
      </c>
      <c r="E18773" t="s">
        <v>41248</v>
      </c>
    </row>
    <row r="18774" spans="1:5">
      <c r="A18774" t="s">
        <v>6</v>
      </c>
      <c r="B18774" t="s">
        <v>18779</v>
      </c>
      <c r="C18774">
        <f>HYPERLINK("C:\Users\franc\OneDrive\Documentos\MALENTIN KARIME\BANCO ESTADO\2012 DEPTO ESCRITURAS fata\2012 DEPTO ESCRITURAS\VTA. PROPIEDAD\JUAN PONCE A JANBIER PONCE Aut conyuge.doc", "Abrir Documento")</f>
        <v>0</v>
      </c>
      <c r="D18774" t="s">
        <v>23500</v>
      </c>
      <c r="E18774" t="s">
        <v>41249</v>
      </c>
    </row>
    <row r="18775" spans="1:5">
      <c r="A18775" t="s">
        <v>6</v>
      </c>
      <c r="B18775" t="s">
        <v>18780</v>
      </c>
      <c r="C18775">
        <f>HYPERLINK("C:\Users\franc\OneDrive\Documentos\MALENTIN KARIME\BANCO ESTADO\2012 DEPTO ESCRITURAS fata\2012 DEPTO ESCRITURAS\VTA. PROPIEDAD\JUAN DE DIOS A MARIANA PLAZA.doc", "Abrir Documento")</f>
        <v>0</v>
      </c>
      <c r="D18775" t="s">
        <v>23500</v>
      </c>
      <c r="E18775" t="s">
        <v>41250</v>
      </c>
    </row>
    <row r="18776" spans="1:5">
      <c r="A18776" t="s">
        <v>6</v>
      </c>
      <c r="B18776" t="s">
        <v>18781</v>
      </c>
      <c r="C18776">
        <f>HYPERLINK("C:\Users\franc\OneDrive\Documentos\MALENTIN KARIME\BANCO ESTADO\2012 DEPTO ESCRITURAS fata\2012 DEPTO ESCRITURAS\VTA. PROPIEDAD\JUAN CORTES BUGUEÑO A ELBA BUGUEÑO RIVERA Derechos.doc", "Abrir Documento")</f>
        <v>0</v>
      </c>
      <c r="D18776" t="s">
        <v>23500</v>
      </c>
      <c r="E18776" t="s">
        <v>41251</v>
      </c>
    </row>
    <row r="18777" spans="1:5">
      <c r="A18777" t="s">
        <v>6</v>
      </c>
      <c r="B18777" t="s">
        <v>18782</v>
      </c>
      <c r="C18777">
        <f>HYPERLINK("C:\Users\franc\OneDrive\Documentos\MALENTIN KARIME\BANCO ESTADO\2012 DEPTO ESCRITURAS fata\2012 DEPTO ESCRITURAS\VTA. PROPIEDAD\JUAN COLLAO ARAYA A Sandra Collao Proh.Legal.doc", "Abrir Documento")</f>
        <v>0</v>
      </c>
      <c r="D18777" t="s">
        <v>23500</v>
      </c>
      <c r="E18777" t="s">
        <v>41252</v>
      </c>
    </row>
    <row r="18778" spans="1:5">
      <c r="A18778" t="s">
        <v>6</v>
      </c>
      <c r="B18778" t="s">
        <v>18783</v>
      </c>
      <c r="C18778">
        <f>HYPERLINK("C:\Users\franc\OneDrive\Documentos\MALENTIN KARIME\BANCO ESTADO\2012 DEPTO ESCRITURAS fata\2012 DEPTO ESCRITURAS\VTA. PROPIEDAD\JUAN COLLAO ARAYA A Janette Collao Proh.Legal.doc", "Abrir Documento")</f>
        <v>0</v>
      </c>
      <c r="D18778" t="s">
        <v>23500</v>
      </c>
      <c r="E18778" t="s">
        <v>41253</v>
      </c>
    </row>
    <row r="18779" spans="1:5">
      <c r="A18779" t="s">
        <v>6</v>
      </c>
      <c r="B18779" t="s">
        <v>18784</v>
      </c>
      <c r="C18779">
        <f>HYPERLINK("C:\Users\franc\OneDrive\Documentos\MALENTIN KARIME\BANCO ESTADO\2012 DEPTO ESCRITURAS fata\2012 DEPTO ESCRITURAS\VTA. PROPIEDAD\JUAN CASTILLO CARVAJAL A MIRIAM MONARDEZ GOMEZh.Legal.doc", "Abrir Documento")</f>
        <v>0</v>
      </c>
      <c r="D18779" t="s">
        <v>23500</v>
      </c>
      <c r="E18779" t="s">
        <v>41254</v>
      </c>
    </row>
    <row r="18780" spans="1:5">
      <c r="A18780" t="s">
        <v>6</v>
      </c>
      <c r="B18780" t="s">
        <v>18785</v>
      </c>
      <c r="C18780">
        <f>HYPERLINK("C:\Users\franc\OneDrive\Documentos\MALENTIN KARIME\BANCO ESTADO\2012 DEPTO ESCRITURAS fata\2012 DEPTO ESCRITURAS\VTA. PROPIEDAD\JUAN CASTILLO CARVAJAL A MIGUEL MALUENDA NARANJOProh.Legal.doc", "Abrir Documento")</f>
        <v>0</v>
      </c>
      <c r="D18780" t="s">
        <v>23500</v>
      </c>
      <c r="E18780" t="s">
        <v>41255</v>
      </c>
    </row>
    <row r="18781" spans="1:5">
      <c r="A18781" t="s">
        <v>6</v>
      </c>
      <c r="B18781" t="s">
        <v>18786</v>
      </c>
      <c r="C18781">
        <f>HYPERLINK("C:\Users\franc\OneDrive\Documentos\MALENTIN KARIME\BANCO ESTADO\2012 DEPTO ESCRITURAS fata\2012 DEPTO ESCRITURAS\VTA. PROPIEDAD\JUAN AHUMADA VARGAS Y OTROS A MARIETTA URQUIETA Minuta C. Araya.doc", "Abrir Documento")</f>
        <v>0</v>
      </c>
      <c r="D18781" t="s">
        <v>23500</v>
      </c>
      <c r="E18781" t="s">
        <v>41256</v>
      </c>
    </row>
    <row r="18782" spans="1:5">
      <c r="A18782" t="s">
        <v>6</v>
      </c>
      <c r="B18782" t="s">
        <v>18787</v>
      </c>
      <c r="C18782">
        <f>HYPERLINK("C:\Users\franc\OneDrive\Documentos\MALENTIN KARIME\BANCO ESTADO\2012 DEPTO ESCRITURAS fata\2012 DEPTO ESCRITURAS\VTA. PROPIEDAD\JOSE SEGOVIA NARANJO A SANDRA SEGOVIA vta con usufructo.doc", "Abrir Documento")</f>
        <v>0</v>
      </c>
      <c r="D18782" t="s">
        <v>23500</v>
      </c>
      <c r="E18782" t="s">
        <v>41257</v>
      </c>
    </row>
    <row r="18783" spans="1:5">
      <c r="A18783" t="s">
        <v>6</v>
      </c>
      <c r="B18783" t="s">
        <v>18788</v>
      </c>
      <c r="C18783">
        <f>HYPERLINK("C:\Users\franc\OneDrive\Documentos\MALENTIN KARIME\BANCO ESTADO\2012 DEPTO ESCRITURAS fata\2012 DEPTO ESCRITURAS\VTA. PROPIEDAD\JOSE GODOY GODOY A LUIS GODOY OTROvta con usufructo.doc", "Abrir Documento")</f>
        <v>0</v>
      </c>
      <c r="D18783" t="s">
        <v>23500</v>
      </c>
      <c r="E18783" t="s">
        <v>41258</v>
      </c>
    </row>
    <row r="18784" spans="1:5">
      <c r="A18784" t="s">
        <v>6</v>
      </c>
      <c r="B18784" t="s">
        <v>18789</v>
      </c>
      <c r="C18784">
        <f>HYPERLINK("C:\Users\franc\OneDrive\Documentos\MALENTIN KARIME\BANCO ESTADO\2012 DEPTO ESCRITURAS fata\2012 DEPTO ESCRITURAS\VTA. PROPIEDAD\JOSE CONTRERAS GALLARDO A Pamela Pizarro (COMUNIDAD AGR PUNITAQUI).doc", "Abrir Documento")</f>
        <v>0</v>
      </c>
      <c r="D18784" t="s">
        <v>23500</v>
      </c>
      <c r="E18784" t="s">
        <v>41259</v>
      </c>
    </row>
    <row r="18785" spans="1:5">
      <c r="A18785" t="s">
        <v>6</v>
      </c>
      <c r="B18785" t="s">
        <v>18790</v>
      </c>
      <c r="C18785">
        <f>HYPERLINK("C:\Users\franc\OneDrive\Documentos\MALENTIN KARIME\BANCO ESTADO\2012 DEPTO ESCRITURAS fata\2012 DEPTO ESCRITURAS\VTA. PROPIEDAD\JOSE CARVAJAL ULLOA Comprador.doc", "Abrir Documento")</f>
        <v>0</v>
      </c>
      <c r="D18785" t="s">
        <v>23500</v>
      </c>
      <c r="E18785" t="s">
        <v>41260</v>
      </c>
    </row>
    <row r="18786" spans="1:5">
      <c r="A18786" t="s">
        <v>6</v>
      </c>
      <c r="B18786" t="s">
        <v>18791</v>
      </c>
      <c r="C18786">
        <f>HYPERLINK("C:\Users\franc\OneDrive\Documentos\MALENTIN KARIME\BANCO ESTADO\2012 DEPTO ESCRITURAS fata\2012 DEPTO ESCRITURAS\VTA. PROPIEDAD\JOSE CAIMANQUE CASTILLO.doc", "Abrir Documento")</f>
        <v>0</v>
      </c>
      <c r="D18786" t="s">
        <v>23500</v>
      </c>
      <c r="E18786" t="s">
        <v>41261</v>
      </c>
    </row>
    <row r="18787" spans="1:5">
      <c r="A18787" t="s">
        <v>6</v>
      </c>
      <c r="B18787" t="s">
        <v>18792</v>
      </c>
      <c r="C18787">
        <f>HYPERLINK("C:\Users\franc\OneDrive\Documentos\MALENTIN KARIME\BANCO ESTADO\2012 DEPTO ESCRITURAS fata\2012 DEPTO ESCRITURAS\VTA. PROPIEDAD\JORGE MORALES A CARLOS VEGA cvta usufructo.doc", "Abrir Documento")</f>
        <v>0</v>
      </c>
      <c r="D18787" t="s">
        <v>23500</v>
      </c>
      <c r="E18787" t="s">
        <v>41262</v>
      </c>
    </row>
    <row r="18788" spans="1:5">
      <c r="A18788" t="s">
        <v>6</v>
      </c>
      <c r="B18788" t="s">
        <v>18793</v>
      </c>
      <c r="C18788">
        <f>HYPERLINK("C:\Users\franc\OneDrive\Documentos\MALENTIN KARIME\BANCO ESTADO\2012 DEPTO ESCRITURAS fata\2012 DEPTO ESCRITURAS\VTA. PROPIEDAD\JOAQUIN ARAYA VERGARA A ANDRES ARAYA ROJA  Cony autoriza.doc", "Abrir Documento")</f>
        <v>0</v>
      </c>
      <c r="D18788" t="s">
        <v>23500</v>
      </c>
      <c r="E18788" t="s">
        <v>41263</v>
      </c>
    </row>
    <row r="18789" spans="1:5">
      <c r="A18789" t="s">
        <v>6</v>
      </c>
      <c r="B18789" t="s">
        <v>18794</v>
      </c>
      <c r="C18789">
        <f>HYPERLINK("C:\Users\franc\OneDrive\Documentos\MALENTIN KARIME\BANCO ESTADO\2012 DEPTO ESCRITURAS fata\2012 DEPTO ESCRITURAS\VTA. PROPIEDAD\JESUS VENEGAS OLIVARES A  BERTA CORTES solteros.doc", "Abrir Documento")</f>
        <v>0</v>
      </c>
      <c r="D18789" t="s">
        <v>23500</v>
      </c>
      <c r="E18789" t="s">
        <v>41264</v>
      </c>
    </row>
    <row r="18790" spans="1:5">
      <c r="A18790" t="s">
        <v>6</v>
      </c>
      <c r="B18790" t="s">
        <v>18795</v>
      </c>
      <c r="C18790">
        <f>HYPERLINK("C:\Users\franc\OneDrive\Documentos\MALENTIN KARIME\BANCO ESTADO\2012 DEPTO ESCRITURAS fata\2012 DEPTO ESCRITURAS\VTA. PROPIEDAD\JACQUELINE PALTA VARAS A WILFREDO RIVERA conyuge Administrador.doc", "Abrir Documento")</f>
        <v>0</v>
      </c>
      <c r="D18790" t="s">
        <v>23500</v>
      </c>
      <c r="E18790" t="s">
        <v>41265</v>
      </c>
    </row>
    <row r="18791" spans="1:5">
      <c r="A18791" t="s">
        <v>6</v>
      </c>
      <c r="B18791" t="s">
        <v>18796</v>
      </c>
      <c r="C18791">
        <f>HYPERLINK("C:\Users\franc\OneDrive\Documentos\MALENTIN KARIME\BANCO ESTADO\2012 DEPTO ESCRITURAS fata\2012 DEPTO ESCRITURAS\VTA. PROPIEDAD\JACOB MUNDACA GUERRERO A GLENDA ALVAREZ autoriza cónyuge.doc", "Abrir Documento")</f>
        <v>0</v>
      </c>
      <c r="D18791" t="s">
        <v>23500</v>
      </c>
      <c r="E18791" t="s">
        <v>41266</v>
      </c>
    </row>
    <row r="18792" spans="1:5">
      <c r="A18792" t="s">
        <v>6</v>
      </c>
      <c r="B18792" t="s">
        <v>18797</v>
      </c>
      <c r="C18792">
        <f>HYPERLINK("C:\Users\franc\OneDrive\Documentos\MALENTIN KARIME\BANCO ESTADO\2012 DEPTO ESCRITURAS fata\2012 DEPTO ESCRITURAS\VTA. PROPIEDAD\JACINTO SEGOVIA MILLA Soltero.doc", "Abrir Documento")</f>
        <v>0</v>
      </c>
      <c r="D18792" t="s">
        <v>23500</v>
      </c>
      <c r="E18792" t="s">
        <v>41267</v>
      </c>
    </row>
    <row r="18793" spans="1:5">
      <c r="A18793" t="s">
        <v>6</v>
      </c>
      <c r="B18793" t="s">
        <v>18798</v>
      </c>
      <c r="C18793">
        <f>HYPERLINK("C:\Users\franc\OneDrive\Documentos\MALENTIN KARIME\BANCO ESTADO\2012 DEPTO ESCRITURAS fata\2012 DEPTO ESCRITURAS\VTA. PROPIEDAD\IVAN ROBLES CARVAJAL Bienes Nac.doc", "Abrir Documento")</f>
        <v>0</v>
      </c>
      <c r="D18793" t="s">
        <v>23500</v>
      </c>
      <c r="E18793" t="s">
        <v>41268</v>
      </c>
    </row>
    <row r="18794" spans="1:5">
      <c r="A18794" t="s">
        <v>6</v>
      </c>
      <c r="B18794" t="s">
        <v>18799</v>
      </c>
      <c r="C18794">
        <f>HYPERLINK("C:\Users\franc\OneDrive\Documentos\MALENTIN KARIME\BANCO ESTADO\2012 DEPTO ESCRITURAS fata\2012 DEPTO ESCRITURAS\VTA. PROPIEDAD\IVAN BOLADOS ARAYA Minuta C. Ardiles.doc", "Abrir Documento")</f>
        <v>0</v>
      </c>
      <c r="D18794" t="s">
        <v>23500</v>
      </c>
      <c r="E18794" t="s">
        <v>41269</v>
      </c>
    </row>
    <row r="18795" spans="1:5">
      <c r="A18795" t="s">
        <v>6</v>
      </c>
      <c r="B18795" t="s">
        <v>18800</v>
      </c>
      <c r="C18795">
        <f>HYPERLINK("C:\Users\franc\OneDrive\Documentos\MALENTIN KARIME\BANCO ESTADO\2012 DEPTO ESCRITURAS fata\2012 DEPTO ESCRITURAS\VTA. PROPIEDAD\ISMAEL CARRASCO GUERRA.doc", "Abrir Documento")</f>
        <v>0</v>
      </c>
      <c r="D18795" t="s">
        <v>23500</v>
      </c>
      <c r="E18795" t="s">
        <v>41270</v>
      </c>
    </row>
    <row r="18796" spans="1:5">
      <c r="A18796" t="s">
        <v>6</v>
      </c>
      <c r="B18796" t="s">
        <v>18801</v>
      </c>
      <c r="C18796">
        <f>HYPERLINK("C:\Users\franc\OneDrive\Documentos\MALENTIN KARIME\BANCO ESTADO\2012 DEPTO ESCRITURAS fata\2012 DEPTO ESCRITURAS\VTA. PROPIEDAD\ISABEL VALDIVIA VEGA A Carlos Guzmán cvta usufructo.doc", "Abrir Documento")</f>
        <v>0</v>
      </c>
      <c r="D18796" t="s">
        <v>23500</v>
      </c>
      <c r="E18796" t="s">
        <v>41271</v>
      </c>
    </row>
    <row r="18797" spans="1:5">
      <c r="A18797" t="s">
        <v>6</v>
      </c>
      <c r="B18797" t="s">
        <v>18802</v>
      </c>
      <c r="C18797">
        <f>HYPERLINK("C:\Users\franc\OneDrive\Documentos\MALENTIN KARIME\BANCO ESTADO\2012 DEPTO ESCRITURAS fata\2012 DEPTO ESCRITURAS\VTA. PROPIEDAD\IRIS TAPIA CUELLO A LORENA ARAYA solteros.doc", "Abrir Documento")</f>
        <v>0</v>
      </c>
      <c r="D18797" t="s">
        <v>23500</v>
      </c>
      <c r="E18797" t="s">
        <v>41272</v>
      </c>
    </row>
    <row r="18798" spans="1:5">
      <c r="A18798" t="s">
        <v>6</v>
      </c>
      <c r="B18798" t="s">
        <v>18803</v>
      </c>
      <c r="C18798">
        <f>HYPERLINK("C:\Users\franc\OneDrive\Documentos\MALENTIN KARIME\BANCO ESTADO\2012 DEPTO ESCRITURAS fata\2012 DEPTO ESCRITURAS\VTA. PROPIEDAD\Inventario Luis Jofre Vega.doc", "Abrir Documento")</f>
        <v>0</v>
      </c>
      <c r="D18798" t="s">
        <v>23500</v>
      </c>
      <c r="E18798" t="s">
        <v>41273</v>
      </c>
    </row>
    <row r="18799" spans="1:5">
      <c r="A18799" t="s">
        <v>6</v>
      </c>
      <c r="B18799" t="s">
        <v>18804</v>
      </c>
      <c r="C18799">
        <f>HYPERLINK("C:\Users\franc\OneDrive\Documentos\MALENTIN KARIME\BANCO ESTADO\2012 DEPTO ESCRITURAS fata\2012 DEPTO ESCRITURAS\VTA. PROPIEDAD\INSTRUCCIONES ARSEN GRIGORIAN.doc", "Abrir Documento")</f>
        <v>0</v>
      </c>
      <c r="D18799" t="s">
        <v>23500</v>
      </c>
      <c r="E18799" t="s">
        <v>41274</v>
      </c>
    </row>
    <row r="18800" spans="1:5">
      <c r="A18800" t="s">
        <v>6</v>
      </c>
      <c r="B18800" t="s">
        <v>18805</v>
      </c>
      <c r="C18800">
        <f>HYPERLINK("C:\Users\franc\OneDrive\Documentos\MALENTIN KARIME\BANCO ESTADO\2012 DEPTO ESCRITURAS fata\2012 DEPTO ESCRITURAS\VTA. PROPIEDAD\INSTRUCCIONES ARANCIBIA FLORES.doc", "Abrir Documento")</f>
        <v>0</v>
      </c>
      <c r="D18800" t="s">
        <v>23500</v>
      </c>
      <c r="E18800" t="s">
        <v>41275</v>
      </c>
    </row>
    <row r="18801" spans="1:5">
      <c r="A18801" t="s">
        <v>6</v>
      </c>
      <c r="B18801" t="s">
        <v>18806</v>
      </c>
      <c r="C18801">
        <f>HYPERLINK("C:\Users\franc\OneDrive\Documentos\MALENTIN KARIME\BANCO ESTADO\2012 DEPTO ESCRITURAS fata\2012 DEPTO ESCRITURAS\VTA. PROPIEDAD\HUMBERTO SALINAS A ANA CODOCEO solteros.doc", "Abrir Documento")</f>
        <v>0</v>
      </c>
      <c r="D18801" t="s">
        <v>23500</v>
      </c>
      <c r="E18801" t="s">
        <v>41276</v>
      </c>
    </row>
    <row r="18802" spans="1:5">
      <c r="A18802" t="s">
        <v>6</v>
      </c>
      <c r="B18802" t="s">
        <v>18807</v>
      </c>
      <c r="C18802">
        <f>HYPERLINK("C:\Users\franc\OneDrive\Documentos\MALENTIN KARIME\BANCO ESTADO\2012 DEPTO ESCRITURAS fata\2012 DEPTO ESCRITURAS\VTA. PROPIEDAD\HUMBERTO CUELLO A Jimena Berrios 150.doc", "Abrir Documento")</f>
        <v>0</v>
      </c>
      <c r="D18802" t="s">
        <v>23500</v>
      </c>
      <c r="E18802" t="s">
        <v>41277</v>
      </c>
    </row>
    <row r="18803" spans="1:5">
      <c r="A18803" t="s">
        <v>6</v>
      </c>
      <c r="B18803" t="s">
        <v>18808</v>
      </c>
      <c r="C18803">
        <f>HYPERLINK("C:\Users\franc\OneDrive\Documentos\MALENTIN KARIME\BANCO ESTADO\2012 DEPTO ESCRITURAS fata\2012 DEPTO ESCRITURAS\VTA. PROPIEDAD\HUGO YAÑEZ A REGINALDO AGUILERA.doc", "Abrir Documento")</f>
        <v>0</v>
      </c>
      <c r="D18803" t="s">
        <v>23500</v>
      </c>
      <c r="E18803" t="s">
        <v>41278</v>
      </c>
    </row>
    <row r="18804" spans="1:5">
      <c r="A18804" t="s">
        <v>6</v>
      </c>
      <c r="B18804" t="s">
        <v>18809</v>
      </c>
      <c r="C18804">
        <f>HYPERLINK("C:\Users\franc\OneDrive\Documentos\MALENTIN KARIME\BANCO ESTADO\2012 DEPTO ESCRITURAS fata\2012 DEPTO ESCRITURAS\VTA. PROPIEDAD\HORACIO DEL ROSARIO LOPEZ.doc", "Abrir Documento")</f>
        <v>0</v>
      </c>
      <c r="D18804" t="s">
        <v>23500</v>
      </c>
      <c r="E18804" t="s">
        <v>41279</v>
      </c>
    </row>
    <row r="18805" spans="1:5">
      <c r="A18805" t="s">
        <v>6</v>
      </c>
      <c r="B18805" t="s">
        <v>18810</v>
      </c>
      <c r="C18805">
        <f>HYPERLINK("C:\Users\franc\OneDrive\Documentos\MALENTIN KARIME\BANCO ESTADO\2012 DEPTO ESCRITURAS fata\2012 DEPTO ESCRITURAS\VTA. PROPIEDAD\HORACIO DEL ROSARIO LOPEZ II Promesa.doc", "Abrir Documento")</f>
        <v>0</v>
      </c>
      <c r="D18805" t="s">
        <v>23500</v>
      </c>
      <c r="E18805" t="s">
        <v>41280</v>
      </c>
    </row>
    <row r="18806" spans="1:5">
      <c r="A18806" t="s">
        <v>6</v>
      </c>
      <c r="B18806" t="s">
        <v>18811</v>
      </c>
      <c r="C18806">
        <f>HYPERLINK("C:\Users\franc\OneDrive\Documentos\MALENTIN KARIME\BANCO ESTADO\2012 DEPTO ESCRITURAS fata\2012 DEPTO ESCRITURAS\VTA. PROPIEDAD\HORACIO DEL ROSARIO LOPEZ A NELSON CASTILLO vta..doc", "Abrir Documento")</f>
        <v>0</v>
      </c>
      <c r="D18806" t="s">
        <v>23500</v>
      </c>
      <c r="E18806" t="s">
        <v>41281</v>
      </c>
    </row>
    <row r="18807" spans="1:5">
      <c r="A18807" t="s">
        <v>6</v>
      </c>
      <c r="B18807" t="s">
        <v>18812</v>
      </c>
      <c r="C18807">
        <f>HYPERLINK("C:\Users\franc\OneDrive\Documentos\MALENTIN KARIME\BANCO ESTADO\2012 DEPTO ESCRITURAS fata\2012 DEPTO ESCRITURAS\VTA. PROPIEDAD\HORACIO DEL ROSARIO LOPEZ A Juan Santelicaes vta..doc", "Abrir Documento")</f>
        <v>0</v>
      </c>
      <c r="D18807" t="s">
        <v>23500</v>
      </c>
      <c r="E18807" t="s">
        <v>41282</v>
      </c>
    </row>
    <row r="18808" spans="1:5">
      <c r="A18808" t="s">
        <v>6</v>
      </c>
      <c r="B18808" t="s">
        <v>18813</v>
      </c>
      <c r="C18808">
        <f>HYPERLINK("C:\Users\franc\OneDrive\Documentos\MALENTIN KARIME\BANCO ESTADO\2012 DEPTO ESCRITURAS fata\2012 DEPTO ESCRITURAS\VTA. PROPIEDAD\HERMOGENES GUERRERO JOFRE Y OTROS autoriza cónyuge.doc", "Abrir Documento")</f>
        <v>0</v>
      </c>
      <c r="D18808" t="s">
        <v>23500</v>
      </c>
      <c r="E18808" t="s">
        <v>41283</v>
      </c>
    </row>
    <row r="18809" spans="1:5">
      <c r="A18809" t="s">
        <v>6</v>
      </c>
      <c r="B18809" t="s">
        <v>18814</v>
      </c>
      <c r="C18809">
        <f>HYPERLINK("C:\Users\franc\OneDrive\Documentos\MALENTIN KARIME\BANCO ESTADO\2012 DEPTO ESCRITURAS fata\2012 DEPTO ESCRITURAS\VTA. PROPIEDAD\GUSTAVO CORTEZ ROJAS A ERICA LAYANA.doc", "Abrir Documento")</f>
        <v>0</v>
      </c>
      <c r="D18809" t="s">
        <v>23500</v>
      </c>
      <c r="E18809" t="s">
        <v>41284</v>
      </c>
    </row>
    <row r="18810" spans="1:5">
      <c r="A18810" t="s">
        <v>6</v>
      </c>
      <c r="B18810" t="s">
        <v>18815</v>
      </c>
      <c r="C18810">
        <f>HYPERLINK("C:\Users\franc\OneDrive\Documentos\MALENTIN KARIME\BANCO ESTADO\2012 DEPTO ESCRITURAS fata\2012 DEPTO ESCRITURAS\VTA. PROPIEDAD\GUILLERMO CORTES HUERTA A ELSA CORTES PIZARRO.doc", "Abrir Documento")</f>
        <v>0</v>
      </c>
      <c r="D18810" t="s">
        <v>23500</v>
      </c>
      <c r="E18810" t="s">
        <v>41285</v>
      </c>
    </row>
    <row r="18811" spans="1:5">
      <c r="A18811" t="s">
        <v>6</v>
      </c>
      <c r="B18811" t="s">
        <v>18816</v>
      </c>
      <c r="C18811">
        <f>HYPERLINK("C:\Users\franc\OneDrive\Documentos\MALENTIN KARIME\BANCO ESTADO\2012 DEPTO ESCRITURAS fata\2012 DEPTO ESCRITURAS\VTA. PROPIEDAD\GUILLE CODOCEO A ORIEL ARAYA Minuta JOSE GOMILA.doc", "Abrir Documento")</f>
        <v>0</v>
      </c>
      <c r="D18811" t="s">
        <v>23500</v>
      </c>
      <c r="E18811" t="s">
        <v>41286</v>
      </c>
    </row>
    <row r="18812" spans="1:5">
      <c r="A18812" t="s">
        <v>6</v>
      </c>
      <c r="B18812" t="s">
        <v>18817</v>
      </c>
      <c r="C18812">
        <f>HYPERLINK("C:\Users\franc\OneDrive\Documentos\MALENTIN KARIME\BANCO ESTADO\2012 DEPTO ESCRITURAS fata\2012 DEPTO ESCRITURAS\VTA. PROPIEDAD\GUILERMO ROJAS DELGADO A LUIS BRUNADerechos.doc", "Abrir Documento")</f>
        <v>0</v>
      </c>
      <c r="D18812" t="s">
        <v>23500</v>
      </c>
      <c r="E18812" t="s">
        <v>41287</v>
      </c>
    </row>
    <row r="18813" spans="1:5">
      <c r="A18813" t="s">
        <v>6</v>
      </c>
      <c r="B18813" t="s">
        <v>18818</v>
      </c>
      <c r="C18813">
        <f>HYPERLINK("C:\Users\franc\OneDrive\Documentos\MALENTIN KARIME\BANCO ESTADO\2012 DEPTO ESCRITURAS fata\2012 DEPTO ESCRITURAS\VTA. PROPIEDAD\GRIGORIAN ARSEN A FRANCISCO PEREZ.doc", "Abrir Documento")</f>
        <v>0</v>
      </c>
      <c r="D18813" t="s">
        <v>23500</v>
      </c>
      <c r="E18813" t="s">
        <v>41288</v>
      </c>
    </row>
    <row r="18814" spans="1:5">
      <c r="A18814" t="s">
        <v>6</v>
      </c>
      <c r="B18814" t="s">
        <v>18819</v>
      </c>
      <c r="C18814">
        <f>HYPERLINK("C:\Users\franc\OneDrive\Documentos\MALENTIN KARIME\BANCO ESTADO\2012 DEPTO ESCRITURAS fata\2012 DEPTO ESCRITURAS\VTA. PROPIEDAD\GONZALO CORTES A Gonzalo Antonio Cortes 100 Derechos.doc", "Abrir Documento")</f>
        <v>0</v>
      </c>
      <c r="D18814" t="s">
        <v>23500</v>
      </c>
      <c r="E18814" t="s">
        <v>41289</v>
      </c>
    </row>
    <row r="18815" spans="1:5">
      <c r="A18815" t="s">
        <v>6</v>
      </c>
      <c r="B18815" t="s">
        <v>18820</v>
      </c>
      <c r="C18815">
        <f>HYPERLINK("C:\Users\franc\OneDrive\Documentos\MALENTIN KARIME\BANCO ESTADO\2012 DEPTO ESCRITURAS fata\2012 DEPTO ESCRITURAS\VTA. PROPIEDAD\GLEN GLONZALEZ A Kely Marambio.doc", "Abrir Documento")</f>
        <v>0</v>
      </c>
      <c r="D18815" t="s">
        <v>23500</v>
      </c>
      <c r="E18815" t="s">
        <v>41290</v>
      </c>
    </row>
    <row r="18816" spans="1:5">
      <c r="A18816" t="s">
        <v>6</v>
      </c>
      <c r="B18816" t="s">
        <v>18821</v>
      </c>
      <c r="C18816">
        <f>HYPERLINK("C:\Users\franc\OneDrive\Documentos\MALENTIN KARIME\BANCO ESTADO\2012 DEPTO ESCRITURAS fata\2012 DEPTO ESCRITURAS\VTA. PROPIEDAD\GLADYS NAVARRO A LUIS NAVARRO.doc", "Abrir Documento")</f>
        <v>0</v>
      </c>
      <c r="D18816" t="s">
        <v>23500</v>
      </c>
      <c r="E18816" t="s">
        <v>41291</v>
      </c>
    </row>
    <row r="18817" spans="1:5">
      <c r="A18817" t="s">
        <v>6</v>
      </c>
      <c r="B18817" t="s">
        <v>18822</v>
      </c>
      <c r="C18817">
        <f>HYPERLINK("C:\Users\franc\OneDrive\Documentos\MALENTIN KARIME\BANCO ESTADO\2012 DEPTO ESCRITURAS fata\2012 DEPTO ESCRITURAS\VTA. PROPIEDAD\GLADYS LOPEZ A CONSUELO PARRA cvta usufructo.doc", "Abrir Documento")</f>
        <v>0</v>
      </c>
      <c r="D18817" t="s">
        <v>23500</v>
      </c>
      <c r="E18817" t="s">
        <v>41292</v>
      </c>
    </row>
    <row r="18818" spans="1:5">
      <c r="A18818" t="s">
        <v>6</v>
      </c>
      <c r="B18818" t="s">
        <v>18823</v>
      </c>
      <c r="C18818">
        <f>HYPERLINK("C:\Users\franc\OneDrive\Documentos\MALENTIN KARIME\BANCO ESTADO\2012 DEPTO ESCRITURAS fata\2012 DEPTO ESCRITURAS\VTA. PROPIEDAD\GABRIELA ALVARADO ARAYA 100 Derechos.doc", "Abrir Documento")</f>
        <v>0</v>
      </c>
      <c r="D18818" t="s">
        <v>23500</v>
      </c>
      <c r="E18818" t="s">
        <v>41293</v>
      </c>
    </row>
    <row r="18819" spans="1:5">
      <c r="A18819" t="s">
        <v>6</v>
      </c>
      <c r="B18819" t="s">
        <v>18824</v>
      </c>
      <c r="C18819">
        <f>HYPERLINK("C:\Users\franc\OneDrive\Documentos\MALENTIN KARIME\BANCO ESTADO\2012 DEPTO ESCRITURAS fata\2012 DEPTO ESCRITURAS\VTA. PROPIEDAD\GABRIEL BRAVO CORTES A Rodrigo Zarate y otros Cony autoriza.doc", "Abrir Documento")</f>
        <v>0</v>
      </c>
      <c r="D18819" t="s">
        <v>23500</v>
      </c>
      <c r="E18819" t="s">
        <v>41294</v>
      </c>
    </row>
    <row r="18820" spans="1:5">
      <c r="A18820" t="s">
        <v>6</v>
      </c>
      <c r="B18820" t="s">
        <v>18825</v>
      </c>
      <c r="C18820">
        <f>HYPERLINK("C:\Users\franc\OneDrive\Documentos\MALENTIN KARIME\BANCO ESTADO\2012 DEPTO ESCRITURAS fata\2012 DEPTO ESCRITURAS\VTA. PROPIEDAD\GABRIEL BRAVO CORTES A GONZAO BRAVOCony autoriza.doc", "Abrir Documento")</f>
        <v>0</v>
      </c>
      <c r="D18820" t="s">
        <v>23500</v>
      </c>
      <c r="E18820" t="s">
        <v>41295</v>
      </c>
    </row>
    <row r="18821" spans="1:5">
      <c r="A18821" t="s">
        <v>6</v>
      </c>
      <c r="B18821" t="s">
        <v>18826</v>
      </c>
      <c r="C18821">
        <f>HYPERLINK("C:\Users\franc\OneDrive\Documentos\MALENTIN KARIME\BANCO ESTADO\2012 DEPTO ESCRITURAS fata\2012 DEPTO ESCRITURAS\VTA. PROPIEDAD\FRANCISCO GONZALEZ A MARIA CARVAJAL Minuta María Ines.doc", "Abrir Documento")</f>
        <v>0</v>
      </c>
      <c r="D18821" t="s">
        <v>23500</v>
      </c>
      <c r="E18821" t="s">
        <v>41296</v>
      </c>
    </row>
    <row r="18822" spans="1:5">
      <c r="A18822" t="s">
        <v>6</v>
      </c>
      <c r="B18822" t="s">
        <v>18827</v>
      </c>
      <c r="C18822">
        <f>HYPERLINK("C:\Users\franc\OneDrive\Documentos\MALENTIN KARIME\BANCO ESTADO\2012 DEPTO ESCRITURAS fata\2012 DEPTO ESCRITURAS\VTA. PROPIEDAD\FRANCISCO FARIAS A LORENA ARAYA.doc", "Abrir Documento")</f>
        <v>0</v>
      </c>
      <c r="D18822" t="s">
        <v>23500</v>
      </c>
      <c r="E18822" t="s">
        <v>41297</v>
      </c>
    </row>
    <row r="18823" spans="1:5">
      <c r="A18823" t="s">
        <v>6</v>
      </c>
      <c r="B18823" t="s">
        <v>18828</v>
      </c>
      <c r="C18823">
        <f>HYPERLINK("C:\Users\franc\OneDrive\Documentos\MALENTIN KARIME\BANCO ESTADO\2012 DEPTO ESCRITURAS fata\2012 DEPTO ESCRITURAS\VTA. PROPIEDAD\FLORA RAMIREZ Subdivision.doc", "Abrir Documento")</f>
        <v>0</v>
      </c>
      <c r="D18823" t="s">
        <v>23500</v>
      </c>
      <c r="E18823" t="s">
        <v>41298</v>
      </c>
    </row>
    <row r="18824" spans="1:5">
      <c r="A18824" t="s">
        <v>6</v>
      </c>
      <c r="B18824" t="s">
        <v>18829</v>
      </c>
      <c r="C18824">
        <f>HYPERLINK("C:\Users\franc\OneDrive\Documentos\MALENTIN KARIME\BANCO ESTADO\2012 DEPTO ESCRITURAS fata\2012 DEPTO ESCRITURAS\VTA. PROPIEDAD\ESCRITURA COMPRAVENTA WALTER JOFRE Y OTRA A CARLOS ARAYA MORALES.doc", "Abrir Documento")</f>
        <v>0</v>
      </c>
      <c r="D18824" t="s">
        <v>23500</v>
      </c>
      <c r="E18824" t="s">
        <v>41299</v>
      </c>
    </row>
    <row r="18825" spans="1:5">
      <c r="A18825" t="s">
        <v>6</v>
      </c>
      <c r="B18825" t="s">
        <v>18830</v>
      </c>
      <c r="C18825">
        <f>HYPERLINK("C:\Users\franc\OneDrive\Documentos\MALENTIN KARIME\BANCO ESTADO\2012 DEPTO ESCRITURAS fata\2012 DEPTO ESCRITURAS\VTA. PROPIEDAD\ERASMO BERRIOS ALFARO.doc", "Abrir Documento")</f>
        <v>0</v>
      </c>
      <c r="D18825" t="s">
        <v>23500</v>
      </c>
      <c r="E18825" t="s">
        <v>41300</v>
      </c>
    </row>
    <row r="18826" spans="1:5">
      <c r="A18826" t="s">
        <v>6</v>
      </c>
      <c r="B18826" t="s">
        <v>18831</v>
      </c>
      <c r="C18826">
        <f>HYPERLINK("C:\Users\franc\OneDrive\Documentos\MALENTIN KARIME\BANCO ESTADO\2012 DEPTO ESCRITURAS fata\2012 DEPTO ESCRITURAS\VTA. PROPIEDAD\EMA TORO CARVAJAL (COMUNIDAD AGR PUNITAQUI).doc", "Abrir Documento")</f>
        <v>0</v>
      </c>
      <c r="D18826" t="s">
        <v>23500</v>
      </c>
      <c r="E18826" t="s">
        <v>41301</v>
      </c>
    </row>
    <row r="18827" spans="1:5">
      <c r="A18827" t="s">
        <v>6</v>
      </c>
      <c r="B18827" t="s">
        <v>18832</v>
      </c>
      <c r="C18827">
        <f>HYPERLINK("C:\Users\franc\OneDrive\Documentos\MALENTIN KARIME\BANCO ESTADO\2012 DEPTO ESCRITURAS fata\2012 DEPTO ESCRITURAS\VTA. PROPIEDAD\ELENA RIVERA ROJAS A NANCY MERCADO Conyuge Administrador.doc", "Abrir Documento")</f>
        <v>0</v>
      </c>
      <c r="D18827" t="s">
        <v>23500</v>
      </c>
      <c r="E18827" t="s">
        <v>41302</v>
      </c>
    </row>
    <row r="18828" spans="1:5">
      <c r="A18828" t="s">
        <v>6</v>
      </c>
      <c r="B18828" t="s">
        <v>18833</v>
      </c>
      <c r="C18828">
        <f>HYPERLINK("C:\Users\franc\OneDrive\Documentos\MALENTIN KARIME\BANCO ESTADO\2012 DEPTO ESCRITURAS fata\2012 DEPTO ESCRITURAS\VTA. PROPIEDAD\ELENA RIVERA ROJAS A NANCY MERCADO Conyuge Administrador   Final.doc", "Abrir Documento")</f>
        <v>0</v>
      </c>
      <c r="D18828" t="s">
        <v>23500</v>
      </c>
      <c r="E18828" t="s">
        <v>41303</v>
      </c>
    </row>
    <row r="18829" spans="1:5">
      <c r="A18829" t="s">
        <v>6</v>
      </c>
      <c r="B18829" t="s">
        <v>18834</v>
      </c>
      <c r="C18829">
        <f>HYPERLINK("C:\Users\franc\OneDrive\Documentos\MALENTIN KARIME\BANCO ESTADO\2012 DEPTO ESCRITURAS fata\2012 DEPTO ESCRITURAS\VTA. PROPIEDAD\EDUARDO RIVERA GALLARDO solteros.doc", "Abrir Documento")</f>
        <v>0</v>
      </c>
      <c r="D18829" t="s">
        <v>23500</v>
      </c>
      <c r="E18829" t="s">
        <v>41304</v>
      </c>
    </row>
    <row r="18830" spans="1:5">
      <c r="A18830" t="s">
        <v>6</v>
      </c>
      <c r="B18830" t="s">
        <v>18835</v>
      </c>
      <c r="C18830">
        <f>HYPERLINK("C:\Users\franc\OneDrive\Documentos\MALENTIN KARIME\BANCO ESTADO\2012 DEPTO ESCRITURAS fata\2012 DEPTO ESCRITURAS\VTA. PROPIEDAD\EDUARDO JULIO GALLARDO A Patricia JulioCony autoriza.doc", "Abrir Documento")</f>
        <v>0</v>
      </c>
      <c r="D18830" t="s">
        <v>23500</v>
      </c>
      <c r="E18830" t="s">
        <v>41305</v>
      </c>
    </row>
    <row r="18831" spans="1:5">
      <c r="A18831" t="s">
        <v>6</v>
      </c>
      <c r="B18831" t="s">
        <v>18836</v>
      </c>
      <c r="C18831">
        <f>HYPERLINK("C:\Users\franc\OneDrive\Documentos\MALENTIN KARIME\BANCO ESTADO\2012 DEPTO ESCRITURAS fata\2012 DEPTO ESCRITURAS\VTA. PROPIEDAD\EDUARDO DEL CARMEN AGUILERA RIVERA.doc", "Abrir Documento")</f>
        <v>0</v>
      </c>
      <c r="D18831" t="s">
        <v>23500</v>
      </c>
      <c r="E18831" t="s">
        <v>41306</v>
      </c>
    </row>
    <row r="18832" spans="1:5">
      <c r="A18832" t="s">
        <v>6</v>
      </c>
      <c r="B18832" t="s">
        <v>18837</v>
      </c>
      <c r="C18832">
        <f>HYPERLINK("C:\Users\franc\OneDrive\Documentos\MALENTIN KARIME\BANCO ESTADO\2012 DEPTO ESCRITURAS fata\2012 DEPTO ESCRITURAS\VTA. PROPIEDAD\EDUARDO AROS JOFRE Subd Minuta Orlando Gallardo.doc", "Abrir Documento")</f>
        <v>0</v>
      </c>
      <c r="D18832" t="s">
        <v>23500</v>
      </c>
      <c r="E18832" t="s">
        <v>41307</v>
      </c>
    </row>
    <row r="18833" spans="1:5">
      <c r="A18833" t="s">
        <v>6</v>
      </c>
      <c r="B18833" t="s">
        <v>18838</v>
      </c>
      <c r="C18833">
        <f>HYPERLINK("C:\Users\franc\OneDrive\Documentos\MALENTIN KARIME\BANCO ESTADO\2012 DEPTO ESCRITURAS fata\2012 DEPTO ESCRITURAS\VTA. PROPIEDAD\EDUARDO ARAYA SANTANDER cvta usufructo.doc", "Abrir Documento")</f>
        <v>0</v>
      </c>
      <c r="D18833" t="s">
        <v>23500</v>
      </c>
      <c r="E18833" t="s">
        <v>41308</v>
      </c>
    </row>
    <row r="18834" spans="1:5">
      <c r="A18834" t="s">
        <v>6</v>
      </c>
      <c r="B18834" t="s">
        <v>18839</v>
      </c>
      <c r="C18834">
        <f>HYPERLINK("C:\Users\franc\OneDrive\Documentos\MALENTIN KARIME\BANCO ESTADO\2012 DEPTO ESCRITURAS fata\2012 DEPTO ESCRITURAS\VTA. PROPIEDAD\DUALDO CONTRERAS A Eduardo Contreras.doc", "Abrir Documento")</f>
        <v>0</v>
      </c>
      <c r="D18834" t="s">
        <v>23500</v>
      </c>
      <c r="E18834" t="s">
        <v>41309</v>
      </c>
    </row>
    <row r="18835" spans="1:5">
      <c r="A18835" t="s">
        <v>6</v>
      </c>
      <c r="B18835" t="s">
        <v>18840</v>
      </c>
      <c r="C18835">
        <f>HYPERLINK("C:\Users\franc\OneDrive\Documentos\MALENTIN KARIME\BANCO ESTADO\2012 DEPTO ESCRITURAS fata\2012 DEPTO ESCRITURAS\VTA. PROPIEDAD\DOMINGO YAÑEZ A FABIAN YAÑEZ.doc", "Abrir Documento")</f>
        <v>0</v>
      </c>
      <c r="D18835" t="s">
        <v>23500</v>
      </c>
      <c r="E18835" t="s">
        <v>41310</v>
      </c>
    </row>
    <row r="18836" spans="1:5">
      <c r="A18836" t="s">
        <v>6</v>
      </c>
      <c r="B18836" t="s">
        <v>18841</v>
      </c>
      <c r="C18836">
        <f>HYPERLINK("C:\Users\franc\OneDrive\Documentos\MALENTIN KARIME\BANCO ESTADO\2012 DEPTO ESCRITURAS fata\2012 DEPTO ESCRITURAS\VTA. PROPIEDAD\DOLLY TABILO A NANCY MERCADO.doc", "Abrir Documento")</f>
        <v>0</v>
      </c>
      <c r="D18836" t="s">
        <v>23500</v>
      </c>
      <c r="E18836" t="s">
        <v>41311</v>
      </c>
    </row>
    <row r="18837" spans="1:5">
      <c r="A18837" t="s">
        <v>6</v>
      </c>
      <c r="B18837" t="s">
        <v>18842</v>
      </c>
      <c r="C18837">
        <f>HYPERLINK("C:\Users\franc\OneDrive\Documentos\MALENTIN KARIME\BANCO ESTADO\2012 DEPTO ESCRITURAS fata\2012 DEPTO ESCRITURAS\VTA. PROPIEDAD\DOLLY TABILO A NANCY MERCADO borrador.doc", "Abrir Documento")</f>
        <v>0</v>
      </c>
      <c r="D18837" t="s">
        <v>23500</v>
      </c>
      <c r="E18837" t="s">
        <v>41312</v>
      </c>
    </row>
    <row r="18838" spans="1:5">
      <c r="A18838" t="s">
        <v>6</v>
      </c>
      <c r="B18838" t="s">
        <v>18843</v>
      </c>
      <c r="C18838">
        <f>HYPERLINK("C:\Users\franc\OneDrive\Documentos\MALENTIN KARIME\BANCO ESTADO\2012 DEPTO ESCRITURAS fata\2012 DEPTO ESCRITURAS\VTA. PROPIEDAD\CRISTINA VILLALOBOS ROJAS A Daniela Astorga solteros.doc", "Abrir Documento")</f>
        <v>0</v>
      </c>
      <c r="D18838" t="s">
        <v>23500</v>
      </c>
      <c r="E18838" t="s">
        <v>41313</v>
      </c>
    </row>
    <row r="18839" spans="1:5">
      <c r="A18839" t="s">
        <v>6</v>
      </c>
      <c r="B18839" t="s">
        <v>18844</v>
      </c>
      <c r="C18839">
        <f>HYPERLINK("C:\Users\franc\OneDrive\Documentos\MALENTIN KARIME\BANCO ESTADO\2012 DEPTO ESCRITURAS fata\2012 DEPTO ESCRITURAS\VTA. PROPIEDAD\CRISTIAN GALLARDO A MARISOL MEDINACony autoriza.doc", "Abrir Documento")</f>
        <v>0</v>
      </c>
      <c r="D18839" t="s">
        <v>23500</v>
      </c>
      <c r="E18839" t="s">
        <v>41314</v>
      </c>
    </row>
    <row r="18840" spans="1:5">
      <c r="A18840" t="s">
        <v>6</v>
      </c>
      <c r="B18840" t="s">
        <v>18845</v>
      </c>
      <c r="C18840">
        <f>HYPERLINK("C:\Users\franc\OneDrive\Documentos\MALENTIN KARIME\BANCO ESTADO\2012 DEPTO ESCRITURAS fata\2012 DEPTO ESCRITURAS\VTA. PROPIEDAD\CRISTIAN CACERES CARO A MASSIEL ARANCIBIA Y OTRA Minuta.doc", "Abrir Documento")</f>
        <v>0</v>
      </c>
      <c r="D18840" t="s">
        <v>23500</v>
      </c>
      <c r="E18840" t="s">
        <v>41315</v>
      </c>
    </row>
    <row r="18841" spans="1:5">
      <c r="A18841" t="s">
        <v>6</v>
      </c>
      <c r="B18841" t="s">
        <v>18846</v>
      </c>
      <c r="C18841">
        <f>HYPERLINK("C:\Users\franc\OneDrive\Documentos\MALENTIN KARIME\BANCO ESTADO\2012 DEPTO ESCRITURAS fata\2012 DEPTO ESCRITURAS\VTA. PROPIEDAD\CRISTIAN ARAYA A LUCINDA ROJAS.doc", "Abrir Documento")</f>
        <v>0</v>
      </c>
      <c r="D18841" t="s">
        <v>23500</v>
      </c>
      <c r="E18841" t="s">
        <v>41316</v>
      </c>
    </row>
    <row r="18842" spans="1:5">
      <c r="A18842" t="s">
        <v>6</v>
      </c>
      <c r="B18842" t="s">
        <v>18847</v>
      </c>
      <c r="C18842">
        <f>HYPERLINK("C:\Users\franc\OneDrive\Documentos\MALENTIN KARIME\BANCO ESTADO\2012 DEPTO ESCRITURAS fata\2012 DEPTO ESCRITURAS\VTA. PROPIEDAD\COMERCIAL GIBSON LIMITADA.doc", "Abrir Documento")</f>
        <v>0</v>
      </c>
      <c r="D18842" t="s">
        <v>23500</v>
      </c>
      <c r="E18842" t="s">
        <v>41317</v>
      </c>
    </row>
    <row r="18843" spans="1:5">
      <c r="A18843" t="s">
        <v>6</v>
      </c>
      <c r="B18843" t="s">
        <v>18848</v>
      </c>
      <c r="C18843">
        <f>HYPERLINK("C:\Users\franc\OneDrive\Documentos\MALENTIN KARIME\BANCO ESTADO\2012 DEPTO ESCRITURAS fata\2012 DEPTO ESCRITURAS\VTA. PROPIEDAD\COMERCIAL E INVERSIONES AMELIA MIRANDA.doc", "Abrir Documento")</f>
        <v>0</v>
      </c>
      <c r="D18843" t="s">
        <v>23500</v>
      </c>
      <c r="E18843" t="s">
        <v>41318</v>
      </c>
    </row>
    <row r="18844" spans="1:5">
      <c r="A18844" t="s">
        <v>6</v>
      </c>
      <c r="B18844" t="s">
        <v>18849</v>
      </c>
      <c r="C18844">
        <f>HYPERLINK("C:\Users\franc\OneDrive\Documentos\MALENTIN KARIME\BANCO ESTADO\2012 DEPTO ESCRITURAS fata\2012 DEPTO ESCRITURAS\VTA. PROPIEDAD\CERTIFICO promesa.doc", "Abrir Documento")</f>
        <v>0</v>
      </c>
      <c r="D18844" t="s">
        <v>23500</v>
      </c>
      <c r="E18844" t="s">
        <v>41319</v>
      </c>
    </row>
    <row r="18845" spans="1:5">
      <c r="A18845" t="s">
        <v>6</v>
      </c>
      <c r="B18845" t="s">
        <v>18850</v>
      </c>
      <c r="C18845">
        <f>HYPERLINK("C:\Users\franc\OneDrive\Documentos\MALENTIN KARIME\BANCO ESTADO\2012 DEPTO ESCRITURAS fata\2012 DEPTO ESCRITURAS\VTA. PROPIEDAD\CECILIA ANDRADE MONARDES Compradora.doc", "Abrir Documento")</f>
        <v>0</v>
      </c>
      <c r="D18845" t="s">
        <v>23500</v>
      </c>
      <c r="E18845" t="s">
        <v>41320</v>
      </c>
    </row>
    <row r="18846" spans="1:5">
      <c r="A18846" t="s">
        <v>6</v>
      </c>
      <c r="B18846" t="s">
        <v>18851</v>
      </c>
      <c r="C18846">
        <f>HYPERLINK("C:\Users\franc\OneDrive\Documentos\MALENTIN KARIME\BANCO ESTADO\2012 DEPTO ESCRITURAS fata\2012 DEPTO ESCRITURAS\VTA. PROPIEDAD\CARMEN MIRANDA MIRANDA Solteras.doc", "Abrir Documento")</f>
        <v>0</v>
      </c>
      <c r="D18846" t="s">
        <v>23500</v>
      </c>
      <c r="E18846" t="s">
        <v>41321</v>
      </c>
    </row>
    <row r="18847" spans="1:5">
      <c r="A18847" t="s">
        <v>6</v>
      </c>
      <c r="B18847" t="s">
        <v>18852</v>
      </c>
      <c r="C18847">
        <f>HYPERLINK("C:\Users\franc\OneDrive\Documentos\MALENTIN KARIME\BANCO ESTADO\2012 DEPTO ESCRITURAS fata\2012 DEPTO ESCRITURAS\VTA. PROPIEDAD\CARMEN JORQUERA BUGUEÑO A Waldo Ledezma cony administrador tierra y agua.doc", "Abrir Documento")</f>
        <v>0</v>
      </c>
      <c r="D18847" t="s">
        <v>23500</v>
      </c>
      <c r="E18847" t="s">
        <v>41322</v>
      </c>
    </row>
    <row r="18848" spans="1:5">
      <c r="A18848" t="s">
        <v>6</v>
      </c>
      <c r="B18848" t="s">
        <v>18853</v>
      </c>
      <c r="C18848">
        <f>HYPERLINK("C:\Users\franc\OneDrive\Documentos\MALENTIN KARIME\BANCO ESTADO\2012 DEPTO ESCRITURAS fata\2012 DEPTO ESCRITURAS\VTA. PROPIEDAD\CARLOS TAPIA GARCIA A CARLOS LETELIER Cony autoriza.doc", "Abrir Documento")</f>
        <v>0</v>
      </c>
      <c r="D18848" t="s">
        <v>23500</v>
      </c>
      <c r="E18848" t="s">
        <v>41323</v>
      </c>
    </row>
    <row r="18849" spans="1:5">
      <c r="A18849" t="s">
        <v>6</v>
      </c>
      <c r="B18849" t="s">
        <v>18854</v>
      </c>
      <c r="C18849">
        <f>HYPERLINK("C:\Users\franc\OneDrive\Documentos\MALENTIN KARIME\BANCO ESTADO\2012 DEPTO ESCRITURAS fata\2012 DEPTO ESCRITURAS\VTA. PROPIEDAD\CARLOS MARAMBIO A BERNARDITA MARAMBIO Derechos.doc", "Abrir Documento")</f>
        <v>0</v>
      </c>
      <c r="D18849" t="s">
        <v>23500</v>
      </c>
      <c r="E18849" t="s">
        <v>41324</v>
      </c>
    </row>
    <row r="18850" spans="1:5">
      <c r="A18850" t="s">
        <v>6</v>
      </c>
      <c r="B18850" t="s">
        <v>18855</v>
      </c>
      <c r="C18850">
        <f>HYPERLINK("C:\Users\franc\OneDrive\Documentos\MALENTIN KARIME\BANCO ESTADO\2012 DEPTO ESCRITURAS fata\2012 DEPTO ESCRITURAS\VTA. PROPIEDAD\CARLOS CARVAJAL RODRIGUEZ PC 18 C.doc", "Abrir Documento")</f>
        <v>0</v>
      </c>
      <c r="D18850" t="s">
        <v>23500</v>
      </c>
      <c r="E18850" t="s">
        <v>41325</v>
      </c>
    </row>
    <row r="18851" spans="1:5">
      <c r="A18851" t="s">
        <v>6</v>
      </c>
      <c r="B18851" t="s">
        <v>18856</v>
      </c>
      <c r="C18851">
        <f>HYPERLINK("C:\Users\franc\OneDrive\Documentos\MALENTIN KARIME\BANCO ESTADO\2012 DEPTO ESCRITURAS fata\2012 DEPTO ESCRITURAS\VTA. PROPIEDAD\CARLOS CARVAJAL RODRIGUEZ p.p. 18 A 5.doc", "Abrir Documento")</f>
        <v>0</v>
      </c>
      <c r="D18851" t="s">
        <v>23500</v>
      </c>
      <c r="E18851" t="s">
        <v>41326</v>
      </c>
    </row>
    <row r="18852" spans="1:5">
      <c r="A18852" t="s">
        <v>6</v>
      </c>
      <c r="B18852" t="s">
        <v>18857</v>
      </c>
      <c r="C18852">
        <f>HYPERLINK("C:\Users\franc\OneDrive\Documentos\MALENTIN KARIME\BANCO ESTADO\2012 DEPTO ESCRITURAS fata\2012 DEPTO ESCRITURAS\VTA. PROPIEDAD\CARLOS CARVAJAL RODRIGUEZ Nueva Foresta B.doc", "Abrir Documento")</f>
        <v>0</v>
      </c>
      <c r="D18852" t="s">
        <v>23500</v>
      </c>
      <c r="E18852" t="s">
        <v>41327</v>
      </c>
    </row>
    <row r="18853" spans="1:5">
      <c r="A18853" t="s">
        <v>6</v>
      </c>
      <c r="B18853" t="s">
        <v>18858</v>
      </c>
      <c r="C18853">
        <f>HYPERLINK("C:\Users\franc\OneDrive\Documentos\MALENTIN KARIME\BANCO ESTADO\2012 DEPTO ESCRITURAS fata\2012 DEPTO ESCRITURAS\VTA. PROPIEDAD\CARLOS CARVAJAL RODRIGUEZ lote f.doc", "Abrir Documento")</f>
        <v>0</v>
      </c>
      <c r="D18853" t="s">
        <v>23500</v>
      </c>
      <c r="E18853" t="s">
        <v>41328</v>
      </c>
    </row>
    <row r="18854" spans="1:5">
      <c r="A18854" t="s">
        <v>6</v>
      </c>
      <c r="B18854" t="s">
        <v>18859</v>
      </c>
      <c r="C18854">
        <f>HYPERLINK("C:\Users\franc\OneDrive\Documentos\MALENTIN KARIME\BANCO ESTADO\2012 DEPTO ESCRITURAS fata\2012 DEPTO ESCRITURAS\VTA. PROPIEDAD\CARLOS CARVAJAL RODRIGUEZ lOTE 18 F.doc", "Abrir Documento")</f>
        <v>0</v>
      </c>
      <c r="D18854" t="s">
        <v>23500</v>
      </c>
      <c r="E18854" t="s">
        <v>41329</v>
      </c>
    </row>
    <row r="18855" spans="1:5">
      <c r="A18855" t="s">
        <v>6</v>
      </c>
      <c r="B18855" t="s">
        <v>18860</v>
      </c>
      <c r="C18855">
        <f>HYPERLINK("C:\Users\franc\OneDrive\Documentos\MALENTIN KARIME\BANCO ESTADO\2012 DEPTO ESCRITURAS fata\2012 DEPTO ESCRITURAS\VTA. PROPIEDAD\CARLOS CARVAJAL RODRIGUEZ A ZAIDA MUNDACA.doc", "Abrir Documento")</f>
        <v>0</v>
      </c>
      <c r="D18855" t="s">
        <v>23500</v>
      </c>
      <c r="E18855" t="s">
        <v>41330</v>
      </c>
    </row>
    <row r="18856" spans="1:5">
      <c r="A18856" t="s">
        <v>6</v>
      </c>
      <c r="B18856" t="s">
        <v>18861</v>
      </c>
      <c r="C18856">
        <f>HYPERLINK("C:\Users\franc\OneDrive\Documentos\MALENTIN KARIME\BANCO ESTADO\2012 DEPTO ESCRITURAS fata\2012 DEPTO ESCRITURAS\VTA. PROPIEDAD\CARLOS CARVAJAL RODRIGUEZ A VIRJINIA JINEZ 42.doc", "Abrir Documento")</f>
        <v>0</v>
      </c>
      <c r="D18856" t="s">
        <v>23500</v>
      </c>
      <c r="E18856" t="s">
        <v>41331</v>
      </c>
    </row>
    <row r="18857" spans="1:5">
      <c r="A18857" t="s">
        <v>6</v>
      </c>
      <c r="B18857" t="s">
        <v>18862</v>
      </c>
      <c r="C18857">
        <f>HYPERLINK("C:\Users\franc\OneDrive\Documentos\MALENTIN KARIME\BANCO ESTADO\2012 DEPTO ESCRITURAS fata\2012 DEPTO ESCRITURAS\VTA. PROPIEDAD\CARLOS CARVAJAL RODRIGUEZ A SERGIO SALINAS  33.doc", "Abrir Documento")</f>
        <v>0</v>
      </c>
      <c r="D18857" t="s">
        <v>23500</v>
      </c>
      <c r="E18857" t="s">
        <v>41332</v>
      </c>
    </row>
    <row r="18858" spans="1:5">
      <c r="A18858" t="s">
        <v>6</v>
      </c>
      <c r="B18858" t="s">
        <v>18863</v>
      </c>
      <c r="C18858">
        <f>HYPERLINK("C:\Users\franc\OneDrive\Documentos\MALENTIN KARIME\BANCO ESTADO\2012 DEPTO ESCRITURAS fata\2012 DEPTO ESCRITURAS\VTA. PROPIEDAD\CARLOS CARVAJAL RODRIGUEZ A SERGIO LEON  31.doc", "Abrir Documento")</f>
        <v>0</v>
      </c>
      <c r="D18858" t="s">
        <v>23500</v>
      </c>
      <c r="E18858" t="s">
        <v>41333</v>
      </c>
    </row>
    <row r="18859" spans="1:5">
      <c r="A18859" t="s">
        <v>6</v>
      </c>
      <c r="B18859" t="s">
        <v>18864</v>
      </c>
      <c r="C18859">
        <f>HYPERLINK("C:\Users\franc\OneDrive\Documentos\MALENTIN KARIME\BANCO ESTADO\2012 DEPTO ESCRITURAS fata\2012 DEPTO ESCRITURAS\VTA. PROPIEDAD\CARLOS CARVAJAL RODRIGUEZ A SARA LANAS VEGA 43.doc", "Abrir Documento")</f>
        <v>0</v>
      </c>
      <c r="D18859" t="s">
        <v>23500</v>
      </c>
      <c r="E18859" t="s">
        <v>41334</v>
      </c>
    </row>
    <row r="18860" spans="1:5">
      <c r="A18860" t="s">
        <v>6</v>
      </c>
      <c r="B18860" t="s">
        <v>18865</v>
      </c>
      <c r="C18860">
        <f>HYPERLINK("C:\Users\franc\OneDrive\Documentos\MALENTIN KARIME\BANCO ESTADO\2012 DEPTO ESCRITURAS fata\2012 DEPTO ESCRITURAS\VTA. PROPIEDAD\CARLOS CARVAJAL RODRIGUEZ A ROGELIO PIZARRO Y OTRA.doc", "Abrir Documento")</f>
        <v>0</v>
      </c>
      <c r="D18860" t="s">
        <v>23500</v>
      </c>
      <c r="E18860" t="s">
        <v>41335</v>
      </c>
    </row>
    <row r="18861" spans="1:5">
      <c r="A18861" t="s">
        <v>6</v>
      </c>
      <c r="B18861" t="s">
        <v>18866</v>
      </c>
      <c r="C18861">
        <f>HYPERLINK("C:\Users\franc\OneDrive\Documentos\MALENTIN KARIME\BANCO ESTADO\2012 DEPTO ESCRITURAS fata\2012 DEPTO ESCRITURAS\VTA. PROPIEDAD\CARLOS CARVAJAL RODRIGUEZ A ROBERTO PIÑONES 41.doc", "Abrir Documento")</f>
        <v>0</v>
      </c>
      <c r="D18861" t="s">
        <v>23500</v>
      </c>
      <c r="E18861" t="s">
        <v>41336</v>
      </c>
    </row>
    <row r="18862" spans="1:5">
      <c r="A18862" t="s">
        <v>6</v>
      </c>
      <c r="B18862" t="s">
        <v>18867</v>
      </c>
      <c r="C18862">
        <f>HYPERLINK("C:\Users\franc\OneDrive\Documentos\MALENTIN KARIME\BANCO ESTADO\2012 DEPTO ESCRITURAS fata\2012 DEPTO ESCRITURAS\VTA. PROPIEDAD\CARLOS CARVAJAL RODRIGUEZ A PATRICIO DIAZ GALLEGUILLOS.doc", "Abrir Documento")</f>
        <v>0</v>
      </c>
      <c r="D18862" t="s">
        <v>23500</v>
      </c>
      <c r="E18862" t="s">
        <v>41337</v>
      </c>
    </row>
    <row r="18863" spans="1:5">
      <c r="A18863" t="s">
        <v>6</v>
      </c>
      <c r="B18863" t="s">
        <v>18868</v>
      </c>
      <c r="C18863">
        <f>HYPERLINK("C:\Users\franc\OneDrive\Documentos\MALENTIN KARIME\BANCO ESTADO\2012 DEPTO ESCRITURAS fata\2012 DEPTO ESCRITURAS\VTA. PROPIEDAD\CARLOS CARVAJAL RODRIGUEZ A OSVALDO GERALDO 26.doc", "Abrir Documento")</f>
        <v>0</v>
      </c>
      <c r="D18863" t="s">
        <v>23500</v>
      </c>
      <c r="E18863" t="s">
        <v>41338</v>
      </c>
    </row>
    <row r="18864" spans="1:5">
      <c r="A18864" t="s">
        <v>6</v>
      </c>
      <c r="B18864" t="s">
        <v>18869</v>
      </c>
      <c r="C18864">
        <f>HYPERLINK("C:\Users\franc\OneDrive\Documentos\MALENTIN KARIME\BANCO ESTADO\2012 DEPTO ESCRITURAS fata\2012 DEPTO ESCRITURAS\VTA. PROPIEDAD\CARLOS CARVAJAL RODRIGUEZ A mauricio gutierrez pp 18 4.doc", "Abrir Documento")</f>
        <v>0</v>
      </c>
      <c r="D18864" t="s">
        <v>23500</v>
      </c>
      <c r="E18864" t="s">
        <v>41339</v>
      </c>
    </row>
    <row r="18865" spans="1:5">
      <c r="A18865" t="s">
        <v>6</v>
      </c>
      <c r="B18865" t="s">
        <v>18870</v>
      </c>
      <c r="C18865">
        <f>HYPERLINK("C:\Users\franc\OneDrive\Documentos\MALENTIN KARIME\BANCO ESTADO\2012 DEPTO ESCRITURAS fata\2012 DEPTO ESCRITURAS\VTA. PROPIEDAD\CARLOS CARVAJAL RODRIGUEZ A MARILUZ GARCIA pp 18-19.doc", "Abrir Documento")</f>
        <v>0</v>
      </c>
      <c r="D18865" t="s">
        <v>23500</v>
      </c>
      <c r="E18865" t="s">
        <v>41340</v>
      </c>
    </row>
    <row r="18866" spans="1:5">
      <c r="A18866" t="s">
        <v>6</v>
      </c>
      <c r="B18866" t="s">
        <v>18871</v>
      </c>
      <c r="C18866">
        <f>HYPERLINK("C:\Users\franc\OneDrive\Documentos\MALENTIN KARIME\BANCO ESTADO\2012 DEPTO ESCRITURAS fata\2012 DEPTO ESCRITURAS\VTA. PROPIEDAD\CARLOS CARVAJAL RODRIGUEZ A MARIANO ALUCEMA GARCIA.doc", "Abrir Documento")</f>
        <v>0</v>
      </c>
      <c r="D18866" t="s">
        <v>23500</v>
      </c>
      <c r="E18866" t="s">
        <v>41341</v>
      </c>
    </row>
    <row r="18867" spans="1:5">
      <c r="A18867" t="s">
        <v>6</v>
      </c>
      <c r="B18867" t="s">
        <v>18872</v>
      </c>
      <c r="C18867">
        <f>HYPERLINK("C:\Users\franc\OneDrive\Documentos\MALENTIN KARIME\BANCO ESTADO\2012 DEPTO ESCRITURAS fata\2012 DEPTO ESCRITURAS\VTA. PROPIEDAD\CARLOS CARVAJAL RODRIGUEZ A MARIANELA SOLIS 30.doc", "Abrir Documento")</f>
        <v>0</v>
      </c>
      <c r="D18867" t="s">
        <v>23500</v>
      </c>
      <c r="E18867" t="s">
        <v>41342</v>
      </c>
    </row>
    <row r="18868" spans="1:5">
      <c r="A18868" t="s">
        <v>6</v>
      </c>
      <c r="B18868" t="s">
        <v>18873</v>
      </c>
      <c r="C18868">
        <f>HYPERLINK("C:\Users\franc\OneDrive\Documentos\MALENTIN KARIME\BANCO ESTADO\2012 DEPTO ESCRITURAS fata\2012 DEPTO ESCRITURAS\VTA. PROPIEDAD\CARLOS CARVAJAL RODRIGUEZ A MARIA ACEITUNO POZO.doc", "Abrir Documento")</f>
        <v>0</v>
      </c>
      <c r="D18868" t="s">
        <v>23500</v>
      </c>
      <c r="E18868" t="s">
        <v>41343</v>
      </c>
    </row>
    <row r="18869" spans="1:5">
      <c r="A18869" t="s">
        <v>6</v>
      </c>
      <c r="B18869" t="s">
        <v>18874</v>
      </c>
      <c r="C18869">
        <f>HYPERLINK("C:\Users\franc\OneDrive\Documentos\MALENTIN KARIME\BANCO ESTADO\2012 DEPTO ESCRITURAS fata\2012 DEPTO ESCRITURAS\VTA. PROPIEDAD\CARLOS CARVAJAL RODRIGUEZ A Luis Veliz Salgado 18 B Nueva modelo.doc", "Abrir Documento")</f>
        <v>0</v>
      </c>
      <c r="D18869" t="s">
        <v>23500</v>
      </c>
      <c r="E18869" t="s">
        <v>41344</v>
      </c>
    </row>
    <row r="18870" spans="1:5">
      <c r="A18870" t="s">
        <v>6</v>
      </c>
      <c r="B18870" t="s">
        <v>18875</v>
      </c>
      <c r="C18870">
        <f>HYPERLINK("C:\Users\franc\OneDrive\Documentos\MALENTIN KARIME\BANCO ESTADO\2012 DEPTO ESCRITURAS fata\2012 DEPTO ESCRITURAS\VTA. PROPIEDAD\CARLOS CARVAJAL RODRIGUEZ A LORENA RAMIREZ.doc", "Abrir Documento")</f>
        <v>0</v>
      </c>
      <c r="D18870" t="s">
        <v>23500</v>
      </c>
      <c r="E18870" t="s">
        <v>41345</v>
      </c>
    </row>
    <row r="18871" spans="1:5">
      <c r="A18871" t="s">
        <v>6</v>
      </c>
      <c r="B18871" t="s">
        <v>18876</v>
      </c>
      <c r="C18871">
        <f>HYPERLINK("C:\Users\franc\OneDrive\Documentos\MALENTIN KARIME\BANCO ESTADO\2012 DEPTO ESCRITURAS fata\2012 DEPTO ESCRITURAS\VTA. PROPIEDAD\CARLOS CARVAJAL RODRIGUEZ A JULIO ROJAS Y OTRO.doc", "Abrir Documento")</f>
        <v>0</v>
      </c>
      <c r="D18871" t="s">
        <v>23500</v>
      </c>
      <c r="E18871" t="s">
        <v>41346</v>
      </c>
    </row>
    <row r="18872" spans="1:5">
      <c r="A18872" t="s">
        <v>6</v>
      </c>
      <c r="B18872" t="s">
        <v>18877</v>
      </c>
      <c r="C18872">
        <f>HYPERLINK("C:\Users\franc\OneDrive\Documentos\MALENTIN KARIME\BANCO ESTADO\2012 DEPTO ESCRITURAS fata\2012 DEPTO ESCRITURAS\VTA. PROPIEDAD\CARLOS CARVAJAL RODRIGUEZ A JUAN ANTONIO ACUÑA.doc", "Abrir Documento")</f>
        <v>0</v>
      </c>
      <c r="D18872" t="s">
        <v>23500</v>
      </c>
      <c r="E18872" t="s">
        <v>41347</v>
      </c>
    </row>
    <row r="18873" spans="1:5">
      <c r="A18873" t="s">
        <v>6</v>
      </c>
      <c r="B18873" t="s">
        <v>18878</v>
      </c>
      <c r="C18873">
        <f>HYPERLINK("C:\Users\franc\OneDrive\Documentos\MALENTIN KARIME\BANCO ESTADO\2012 DEPTO ESCRITURAS fata\2012 DEPTO ESCRITURAS\VTA. PROPIEDAD\CARLOS CARVAJAL RODRIGUEZ A JOSE PEREZ DIAZ 20.doc", "Abrir Documento")</f>
        <v>0</v>
      </c>
      <c r="D18873" t="s">
        <v>23500</v>
      </c>
      <c r="E18873" t="s">
        <v>41348</v>
      </c>
    </row>
    <row r="18874" spans="1:5">
      <c r="A18874" t="s">
        <v>6</v>
      </c>
      <c r="B18874" t="s">
        <v>18879</v>
      </c>
      <c r="C18874">
        <f>HYPERLINK("C:\Users\franc\OneDrive\Documentos\MALENTIN KARIME\BANCO ESTADO\2012 DEPTO ESCRITURAS fata\2012 DEPTO ESCRITURAS\VTA. PROPIEDAD\CARLOS CARVAJAL RODRIGUEZ A JAIME PEREZ 34.doc", "Abrir Documento")</f>
        <v>0</v>
      </c>
      <c r="D18874" t="s">
        <v>23500</v>
      </c>
      <c r="E18874" t="s">
        <v>41349</v>
      </c>
    </row>
    <row r="18875" spans="1:5">
      <c r="A18875" t="s">
        <v>6</v>
      </c>
      <c r="B18875" t="s">
        <v>18880</v>
      </c>
      <c r="C18875">
        <f>HYPERLINK("C:\Users\franc\OneDrive\Documentos\MALENTIN KARIME\BANCO ESTADO\2012 DEPTO ESCRITURAS fata\2012 DEPTO ESCRITURAS\VTA. PROPIEDAD\CARLOS CARVAJAL RODRIGUEZ A HERMAN VARAS 29.doc", "Abrir Documento")</f>
        <v>0</v>
      </c>
      <c r="D18875" t="s">
        <v>23500</v>
      </c>
      <c r="E18875" t="s">
        <v>41350</v>
      </c>
    </row>
    <row r="18876" spans="1:5">
      <c r="A18876" t="s">
        <v>6</v>
      </c>
      <c r="B18876" t="s">
        <v>18881</v>
      </c>
      <c r="C18876">
        <f>HYPERLINK("C:\Users\franc\OneDrive\Documentos\MALENTIN KARIME\BANCO ESTADO\2012 DEPTO ESCRITURAS fata\2012 DEPTO ESCRITURAS\VTA. PROPIEDAD\CARLOS CARVAJAL RODRIGUEZ A GUSTAVO GONZALEZ 23.doc", "Abrir Documento")</f>
        <v>0</v>
      </c>
      <c r="D18876" t="s">
        <v>23500</v>
      </c>
      <c r="E18876" t="s">
        <v>41351</v>
      </c>
    </row>
    <row r="18877" spans="1:5">
      <c r="A18877" t="s">
        <v>6</v>
      </c>
      <c r="B18877" t="s">
        <v>18882</v>
      </c>
      <c r="C18877">
        <f>HYPERLINK("C:\Users\franc\OneDrive\Documentos\MALENTIN KARIME\BANCO ESTADO\2012 DEPTO ESCRITURAS fata\2012 DEPTO ESCRITURAS\VTA. PROPIEDAD\CARLOS CARVAJAL RODRIGUEZ A GABRIEL MANRIQUEZ 25 Y OTRA.doc", "Abrir Documento")</f>
        <v>0</v>
      </c>
      <c r="D18877" t="s">
        <v>23500</v>
      </c>
      <c r="E18877" t="s">
        <v>41352</v>
      </c>
    </row>
    <row r="18878" spans="1:5">
      <c r="A18878" t="s">
        <v>6</v>
      </c>
      <c r="B18878" t="s">
        <v>18883</v>
      </c>
      <c r="C18878">
        <f>HYPERLINK("C:\Users\franc\OneDrive\Documentos\MALENTIN KARIME\BANCO ESTADO\2012 DEPTO ESCRITURAS fata\2012 DEPTO ESCRITURAS\VTA. PROPIEDAD\CARLOS CARVAJAL RODRIGUEZ A FREDDY SAAVEDRA CASTILLO Y otros 20.doc", "Abrir Documento")</f>
        <v>0</v>
      </c>
      <c r="D18878" t="s">
        <v>23500</v>
      </c>
      <c r="E18878" t="s">
        <v>41353</v>
      </c>
    </row>
    <row r="18879" spans="1:5">
      <c r="A18879" t="s">
        <v>6</v>
      </c>
      <c r="B18879" t="s">
        <v>18884</v>
      </c>
      <c r="C18879">
        <f>HYPERLINK("C:\Users\franc\OneDrive\Documentos\MALENTIN KARIME\BANCO ESTADO\2012 DEPTO ESCRITURAS fata\2012 DEPTO ESCRITURAS\VTA. PROPIEDAD\CARLOS CARVAJAL RODRIGUEZ a ELDA CARRASCO D 2.doc", "Abrir Documento")</f>
        <v>0</v>
      </c>
      <c r="D18879" t="s">
        <v>23500</v>
      </c>
      <c r="E18879" t="s">
        <v>41354</v>
      </c>
    </row>
    <row r="18880" spans="1:5">
      <c r="A18880" t="s">
        <v>6</v>
      </c>
      <c r="B18880" t="s">
        <v>18885</v>
      </c>
      <c r="C18880">
        <f>HYPERLINK("C:\Users\franc\OneDrive\Documentos\MALENTIN KARIME\BANCO ESTADO\2012 DEPTO ESCRITURAS fata\2012 DEPTO ESCRITURAS\VTA. PROPIEDAD\CARLOS CARVAJAL RODRIGUEZ A EDUARDO LUTZ VALENZUELA pp 15.doc", "Abrir Documento")</f>
        <v>0</v>
      </c>
      <c r="D18880" t="s">
        <v>23500</v>
      </c>
      <c r="E18880" t="s">
        <v>41355</v>
      </c>
    </row>
    <row r="18881" spans="1:5">
      <c r="A18881" t="s">
        <v>6</v>
      </c>
      <c r="B18881" t="s">
        <v>18886</v>
      </c>
      <c r="C18881">
        <f>HYPERLINK("C:\Users\franc\OneDrive\Documentos\MALENTIN KARIME\BANCO ESTADO\2012 DEPTO ESCRITURAS fata\2012 DEPTO ESCRITURAS\VTA. PROPIEDAD\CARLOS CARVAJAL RODRIGUEZ A Eduardo Cortes 18 A 24.doc", "Abrir Documento")</f>
        <v>0</v>
      </c>
      <c r="D18881" t="s">
        <v>23500</v>
      </c>
      <c r="E18881" t="s">
        <v>41356</v>
      </c>
    </row>
    <row r="18882" spans="1:5">
      <c r="A18882" t="s">
        <v>6</v>
      </c>
      <c r="B18882" t="s">
        <v>18887</v>
      </c>
      <c r="C18882">
        <f>HYPERLINK("C:\Users\franc\OneDrive\Documentos\MALENTIN KARIME\BANCO ESTADO\2012 DEPTO ESCRITURAS fata\2012 DEPTO ESCRITURAS\VTA. PROPIEDAD\CARLOS CARVAJAL RODRIGUEZ a DANIEL PAUVIF Y OTRO L18F.doc", "Abrir Documento")</f>
        <v>0</v>
      </c>
      <c r="D18882" t="s">
        <v>23500</v>
      </c>
      <c r="E18882" t="s">
        <v>41357</v>
      </c>
    </row>
    <row r="18883" spans="1:5">
      <c r="A18883" t="s">
        <v>6</v>
      </c>
      <c r="B18883" t="s">
        <v>18888</v>
      </c>
      <c r="C18883">
        <f>HYPERLINK("C:\Users\franc\OneDrive\Documentos\MALENTIN KARIME\BANCO ESTADO\2012 DEPTO ESCRITURAS fata\2012 DEPTO ESCRITURAS\VTA. PROPIEDAD\CARLOS CARVAJAL RODRIGUEZ A CRISTIAN  ALVARADO 39.doc", "Abrir Documento")</f>
        <v>0</v>
      </c>
      <c r="D18883" t="s">
        <v>23500</v>
      </c>
      <c r="E18883" t="s">
        <v>41358</v>
      </c>
    </row>
    <row r="18884" spans="1:5">
      <c r="A18884" t="s">
        <v>6</v>
      </c>
      <c r="B18884" t="s">
        <v>18889</v>
      </c>
      <c r="C18884">
        <f>HYPERLINK("C:\Users\franc\OneDrive\Documentos\MALENTIN KARIME\BANCO ESTADO\2012 DEPTO ESCRITURAS fata\2012 DEPTO ESCRITURAS\VTA. PROPIEDAD\CARLOS CARVAJAL RODRIGUEZ A CLEOPATRA MENESES  38.doc", "Abrir Documento")</f>
        <v>0</v>
      </c>
      <c r="D18884" t="s">
        <v>23500</v>
      </c>
      <c r="E18884" t="s">
        <v>41359</v>
      </c>
    </row>
    <row r="18885" spans="1:5">
      <c r="A18885" t="s">
        <v>6</v>
      </c>
      <c r="B18885" t="s">
        <v>18890</v>
      </c>
      <c r="C18885">
        <f>HYPERLINK("C:\Users\franc\OneDrive\Documentos\MALENTIN KARIME\BANCO ESTADO\2012 DEPTO ESCRITURAS fata\2012 DEPTO ESCRITURAS\VTA. PROPIEDAD\CARLOS CARVAJAL RODRIGUEZ A CARMEN VIVAR CONCHA 32.doc", "Abrir Documento")</f>
        <v>0</v>
      </c>
      <c r="D18885" t="s">
        <v>23500</v>
      </c>
      <c r="E18885" t="s">
        <v>41360</v>
      </c>
    </row>
    <row r="18886" spans="1:5">
      <c r="A18886" t="s">
        <v>6</v>
      </c>
      <c r="B18886" t="s">
        <v>18891</v>
      </c>
      <c r="C18886">
        <f>HYPERLINK("C:\Users\franc\OneDrive\Documentos\MALENTIN KARIME\BANCO ESTADO\2012 DEPTO ESCRITURAS fata\2012 DEPTO ESCRITURAS\VTA. PROPIEDAD\CARLOS CARVAJAL RODRIGUEZ A CARMEN ARAYA PINTO 36,37.doc", "Abrir Documento")</f>
        <v>0</v>
      </c>
      <c r="D18886" t="s">
        <v>23500</v>
      </c>
      <c r="E18886" t="s">
        <v>41361</v>
      </c>
    </row>
    <row r="18887" spans="1:5">
      <c r="A18887" t="s">
        <v>6</v>
      </c>
      <c r="B18887" t="s">
        <v>18892</v>
      </c>
      <c r="C18887">
        <f>HYPERLINK("C:\Users\franc\OneDrive\Documentos\MALENTIN KARIME\BANCO ESTADO\2012 DEPTO ESCRITURAS fata\2012 DEPTO ESCRITURAS\VTA. PROPIEDAD\CARLOS CARVAJAL RODRIGUEZ A BRYAN SARMIENTO.doc", "Abrir Documento")</f>
        <v>0</v>
      </c>
      <c r="D18887" t="s">
        <v>23500</v>
      </c>
      <c r="E18887" t="s">
        <v>41362</v>
      </c>
    </row>
    <row r="18888" spans="1:5">
      <c r="A18888" t="s">
        <v>6</v>
      </c>
      <c r="B18888" t="s">
        <v>18893</v>
      </c>
      <c r="C18888">
        <f>HYPERLINK("C:\Users\franc\OneDrive\Documentos\MALENTIN KARIME\BANCO ESTADO\2012 DEPTO ESCRITURAS fata\2012 DEPTO ESCRITURAS\VTA. PROPIEDAD\CARLOS CARVAJAL RODRIGUEZ A ALVERTA SILVA.doc", "Abrir Documento")</f>
        <v>0</v>
      </c>
      <c r="D18888" t="s">
        <v>23500</v>
      </c>
      <c r="E18888" t="s">
        <v>41363</v>
      </c>
    </row>
    <row r="18889" spans="1:5">
      <c r="A18889" t="s">
        <v>6</v>
      </c>
      <c r="B18889" t="s">
        <v>18894</v>
      </c>
      <c r="C18889">
        <f>HYPERLINK("C:\Users\franc\OneDrive\Documentos\MALENTIN KARIME\BANCO ESTADO\2012 DEPTO ESCRITURAS fata\2012 DEPTO ESCRITURAS\VTA. PROPIEDAD\CARLOS CARVAJAL RODRIGUEZ A ALVERTA SILVA 47.doc", "Abrir Documento")</f>
        <v>0</v>
      </c>
      <c r="D18889" t="s">
        <v>23500</v>
      </c>
      <c r="E18889" t="s">
        <v>41364</v>
      </c>
    </row>
    <row r="18890" spans="1:5">
      <c r="A18890" t="s">
        <v>6</v>
      </c>
      <c r="B18890" t="s">
        <v>18895</v>
      </c>
      <c r="C18890">
        <f>HYPERLINK("C:\Users\franc\OneDrive\Documentos\MALENTIN KARIME\BANCO ESTADO\2012 DEPTO ESCRITURAS fata\2012 DEPTO ESCRITURAS\VTA. PROPIEDAD\CARLOS CARVAJAL RODRIGUEZ A ALFREDO SANTANDER 27 Y 28.doc", "Abrir Documento")</f>
        <v>0</v>
      </c>
      <c r="D18890" t="s">
        <v>23500</v>
      </c>
      <c r="E18890" t="s">
        <v>41365</v>
      </c>
    </row>
    <row r="18891" spans="1:5">
      <c r="A18891" t="s">
        <v>6</v>
      </c>
      <c r="B18891" t="s">
        <v>18896</v>
      </c>
      <c r="C18891">
        <f>HYPERLINK("C:\Users\franc\OneDrive\Documentos\MALENTIN KARIME\BANCO ESTADO\2012 DEPTO ESCRITURAS fata\2012 DEPTO ESCRITURAS\VTA. PROPIEDAD\CARLOS CARVAJAL RODRIGUEZ A Alex Lopez Millalonco Nueva Foresta B.doc", "Abrir Documento")</f>
        <v>0</v>
      </c>
      <c r="D18891" t="s">
        <v>23500</v>
      </c>
      <c r="E18891" t="s">
        <v>41366</v>
      </c>
    </row>
    <row r="18892" spans="1:5">
      <c r="A18892" t="s">
        <v>6</v>
      </c>
      <c r="B18892" t="s">
        <v>18897</v>
      </c>
      <c r="C18892">
        <f>HYPERLINK("C:\Users\franc\OneDrive\Documentos\MALENTIN KARIME\BANCO ESTADO\2012 DEPTO ESCRITURAS fata\2012 DEPTO ESCRITURAS\VTA. PROPIEDAD\CARLOS CARVAJAL RODRIGUEZ A  CLAUDIA NARANJO 18 C.doc", "Abrir Documento")</f>
        <v>0</v>
      </c>
      <c r="D18892" t="s">
        <v>23500</v>
      </c>
      <c r="E18892" t="s">
        <v>41367</v>
      </c>
    </row>
    <row r="18893" spans="1:5">
      <c r="A18893" t="s">
        <v>6</v>
      </c>
      <c r="B18893" t="s">
        <v>18898</v>
      </c>
      <c r="C18893">
        <f>HYPERLINK("C:\Users\franc\OneDrive\Documentos\MALENTIN KARIME\BANCO ESTADO\2012 DEPTO ESCRITURAS fata\2012 DEPTO ESCRITURAS\VTA. PROPIEDAD\CARLOS CARVAJAL RODRIGUEZ 18 B Nueva modelo.doc", "Abrir Documento")</f>
        <v>0</v>
      </c>
      <c r="D18893" t="s">
        <v>23500</v>
      </c>
      <c r="E18893" t="s">
        <v>41368</v>
      </c>
    </row>
    <row r="18894" spans="1:5">
      <c r="A18894" t="s">
        <v>6</v>
      </c>
      <c r="B18894" t="s">
        <v>18899</v>
      </c>
      <c r="C18894">
        <f>HYPERLINK("C:\Users\franc\OneDrive\Documentos\MALENTIN KARIME\BANCO ESTADO\2012 DEPTO ESCRITURAS fata\2012 DEPTO ESCRITURAS\VTA. PROPIEDAD\CARLOS CARVAJAL RODRIGUEZ 18 B 4.doc", "Abrir Documento")</f>
        <v>0</v>
      </c>
      <c r="D18894" t="s">
        <v>23500</v>
      </c>
      <c r="E18894" t="s">
        <v>41369</v>
      </c>
    </row>
    <row r="18895" spans="1:5">
      <c r="A18895" t="s">
        <v>6</v>
      </c>
      <c r="B18895" t="s">
        <v>18900</v>
      </c>
      <c r="C18895">
        <f>HYPERLINK("C:\Users\franc\OneDrive\Documentos\MALENTIN KARIME\BANCO ESTADO\2012 DEPTO ESCRITURAS fata\2012 DEPTO ESCRITURAS\VTA. PROPIEDAD\CARLOS CARVAJAL RODRIGUEZ 18 A 8.doc", "Abrir Documento")</f>
        <v>0</v>
      </c>
      <c r="D18895" t="s">
        <v>23500</v>
      </c>
      <c r="E18895" t="s">
        <v>41370</v>
      </c>
    </row>
    <row r="18896" spans="1:5">
      <c r="A18896" t="s">
        <v>6</v>
      </c>
      <c r="B18896" t="s">
        <v>18901</v>
      </c>
      <c r="C18896">
        <f>HYPERLINK("C:\Users\franc\OneDrive\Documentos\MALENTIN KARIME\BANCO ESTADO\2012 DEPTO ESCRITURAS fata\2012 DEPTO ESCRITURAS\VTA. PROPIEDAD\CARLOS CARVAJAL RODRIGUEZ 18 A 7.doc", "Abrir Documento")</f>
        <v>0</v>
      </c>
      <c r="D18896" t="s">
        <v>23500</v>
      </c>
      <c r="E18896" t="s">
        <v>41371</v>
      </c>
    </row>
    <row r="18897" spans="1:5">
      <c r="A18897" t="s">
        <v>6</v>
      </c>
      <c r="B18897" t="s">
        <v>18902</v>
      </c>
      <c r="C18897">
        <f>HYPERLINK("C:\Users\franc\OneDrive\Documentos\MALENTIN KARIME\BANCO ESTADO\2012 DEPTO ESCRITURAS fata\2012 DEPTO ESCRITURAS\VTA. PROPIEDAD\CARLOS CARVAJAL RODRIGUEZ 18 A 5-6MODELO CON CLAUSULA ESPECIAL.doc", "Abrir Documento")</f>
        <v>0</v>
      </c>
      <c r="D18897" t="s">
        <v>23500</v>
      </c>
      <c r="E18897" t="s">
        <v>41372</v>
      </c>
    </row>
    <row r="18898" spans="1:5">
      <c r="A18898" t="s">
        <v>6</v>
      </c>
      <c r="B18898" t="s">
        <v>18903</v>
      </c>
      <c r="C18898">
        <f>HYPERLINK("C:\Users\franc\OneDrive\Documentos\MALENTIN KARIME\BANCO ESTADO\2012 DEPTO ESCRITURAS fata\2012 DEPTO ESCRITURAS\VTA. PROPIEDAD\CARLOS CARVAJAL RODRIGUEZ 18 A 5-6MODELO CON CLAUSULA ESPECIAL abogado.doc", "Abrir Documento")</f>
        <v>0</v>
      </c>
      <c r="D18898" t="s">
        <v>23500</v>
      </c>
      <c r="E18898" t="s">
        <v>41373</v>
      </c>
    </row>
    <row r="18899" spans="1:5">
      <c r="A18899" t="s">
        <v>6</v>
      </c>
      <c r="B18899" t="s">
        <v>18904</v>
      </c>
      <c r="C18899">
        <f>HYPERLINK("C:\Users\franc\OneDrive\Documentos\MALENTIN KARIME\BANCO ESTADO\2012 DEPTO ESCRITURAS fata\2012 DEPTO ESCRITURAS\VTA. PROPIEDAD\CARLOS CARVAJAL RODRIGUEZ 18 A 21 modelo.doc", "Abrir Documento")</f>
        <v>0</v>
      </c>
      <c r="D18899" t="s">
        <v>23500</v>
      </c>
      <c r="E18899" t="s">
        <v>41374</v>
      </c>
    </row>
    <row r="18900" spans="1:5">
      <c r="A18900" t="s">
        <v>6</v>
      </c>
      <c r="B18900" t="s">
        <v>18905</v>
      </c>
      <c r="C18900">
        <f>HYPERLINK("C:\Users\franc\OneDrive\Documentos\MALENTIN KARIME\BANCO ESTADO\2012 DEPTO ESCRITURAS fata\2012 DEPTO ESCRITURAS\VTA. PROPIEDAD\CARLOS CARVAJAL RODRIGUEZ 18 A 10 MODELO.doc", "Abrir Documento")</f>
        <v>0</v>
      </c>
      <c r="D18900" t="s">
        <v>23500</v>
      </c>
      <c r="E18900" t="s">
        <v>41375</v>
      </c>
    </row>
    <row r="18901" spans="1:5">
      <c r="A18901" t="s">
        <v>6</v>
      </c>
      <c r="B18901" t="s">
        <v>18906</v>
      </c>
      <c r="C18901">
        <f>HYPERLINK("C:\Users\franc\OneDrive\Documentos\MALENTIN KARIME\BANCO ESTADO\2012 DEPTO ESCRITURAS fata\2012 DEPTO ESCRITURAS\VTA. PROPIEDAD\CARLOS CARVAJAL RODRIGUEZ 11.doc", "Abrir Documento")</f>
        <v>0</v>
      </c>
      <c r="D18901" t="s">
        <v>23500</v>
      </c>
      <c r="E18901" t="s">
        <v>41376</v>
      </c>
    </row>
    <row r="18902" spans="1:5">
      <c r="A18902" t="s">
        <v>6</v>
      </c>
      <c r="B18902" t="s">
        <v>18907</v>
      </c>
      <c r="C18902">
        <f>HYPERLINK("C:\Users\franc\OneDrive\Documentos\MALENTIN KARIME\BANCO ESTADO\2012 DEPTO ESCRITURAS fata\2012 DEPTO ESCRITURAS\VTA. PROPIEDAD\CARLOS CARVAJAL RODRIGUEZ  B ALICIA ARCOS.doc", "Abrir Documento")</f>
        <v>0</v>
      </c>
      <c r="D18902" t="s">
        <v>23500</v>
      </c>
      <c r="E18902" t="s">
        <v>41377</v>
      </c>
    </row>
    <row r="18903" spans="1:5">
      <c r="A18903" t="s">
        <v>6</v>
      </c>
      <c r="B18903" t="s">
        <v>18908</v>
      </c>
      <c r="C18903">
        <f>HYPERLINK("C:\Users\franc\OneDrive\Documentos\MALENTIN KARIME\BANCO ESTADO\2012 DEPTO ESCRITURAS fata\2012 DEPTO ESCRITURAS\VTA. PROPIEDAD\CARLOS CARVAJAL RODRIGUEZ  a PATRICIA ROJAS p.p. 18 A 14.doc", "Abrir Documento")</f>
        <v>0</v>
      </c>
      <c r="D18903" t="s">
        <v>23500</v>
      </c>
      <c r="E18903" t="s">
        <v>41378</v>
      </c>
    </row>
    <row r="18904" spans="1:5">
      <c r="A18904" t="s">
        <v>6</v>
      </c>
      <c r="B18904" t="s">
        <v>18909</v>
      </c>
      <c r="C18904">
        <f>HYPERLINK("C:\Users\franc\OneDrive\Documentos\MALENTIN KARIME\BANCO ESTADO\2012 DEPTO ESCRITURAS fata\2012 DEPTO ESCRITURAS\VTA. PROPIEDAD\CARLOS CARVAJAL RODRIGUEZ  a PATRICIA ROJAS p.p. 18 A 1.doc", "Abrir Documento")</f>
        <v>0</v>
      </c>
      <c r="D18904" t="s">
        <v>23500</v>
      </c>
      <c r="E18904" t="s">
        <v>41379</v>
      </c>
    </row>
    <row r="18905" spans="1:5">
      <c r="A18905" t="s">
        <v>6</v>
      </c>
      <c r="B18905" t="s">
        <v>18910</v>
      </c>
      <c r="C18905">
        <f>HYPERLINK("C:\Users\franc\OneDrive\Documentos\MALENTIN KARIME\BANCO ESTADO\2012 DEPTO ESCRITURAS fata\2012 DEPTO ESCRITURAS\VTA. PROPIEDAD\CARLOS CARVAJAL RODRIGUEZ  a IVAN CASTRO p.p. 18 A 9.doc", "Abrir Documento")</f>
        <v>0</v>
      </c>
      <c r="D18905" t="s">
        <v>23500</v>
      </c>
      <c r="E18905" t="s">
        <v>41380</v>
      </c>
    </row>
    <row r="18906" spans="1:5">
      <c r="A18906" t="s">
        <v>6</v>
      </c>
      <c r="B18906" t="s">
        <v>18911</v>
      </c>
      <c r="C18906">
        <f>HYPERLINK("C:\Users\franc\OneDrive\Documentos\MALENTIN KARIME\BANCO ESTADO\2012 DEPTO ESCRITURAS fata\2012 DEPTO ESCRITURAS\VTA. PROPIEDAD\CARLOS CARVAJAL RODRIGUEZ  a  SUSANA BARRAZA PASTENp.p. 18 A 3.doc", "Abrir Documento")</f>
        <v>0</v>
      </c>
      <c r="D18906" t="s">
        <v>23500</v>
      </c>
      <c r="E18906" t="s">
        <v>41381</v>
      </c>
    </row>
    <row r="18907" spans="1:5">
      <c r="A18907" t="s">
        <v>6</v>
      </c>
      <c r="B18907" t="s">
        <v>18912</v>
      </c>
      <c r="C18907">
        <f>HYPERLINK("C:\Users\franc\OneDrive\Documentos\MALENTIN KARIME\BANCO ESTADO\2012 DEPTO ESCRITURAS fata\2012 DEPTO ESCRITURAS\VTA. PROPIEDAD\CARLOS CAMPUSANO A MATILDE ROJASProh.Legal.doc", "Abrir Documento")</f>
        <v>0</v>
      </c>
      <c r="D18907" t="s">
        <v>23500</v>
      </c>
      <c r="E18907" t="s">
        <v>41382</v>
      </c>
    </row>
    <row r="18908" spans="1:5">
      <c r="A18908" t="s">
        <v>6</v>
      </c>
      <c r="B18908" t="s">
        <v>18913</v>
      </c>
      <c r="C18908">
        <f>HYPERLINK("C:\Users\franc\OneDrive\Documentos\MALENTIN KARIME\BANCO ESTADO\2012 DEPTO ESCRITURAS fata\2012 DEPTO ESCRITURAS\VTA. PROPIEDAD\BRAULIA ALVAREZ A LUCIA ROJAS solteros.doc", "Abrir Documento")</f>
        <v>0</v>
      </c>
      <c r="D18908" t="s">
        <v>23500</v>
      </c>
      <c r="E18908" t="s">
        <v>41383</v>
      </c>
    </row>
    <row r="18909" spans="1:5">
      <c r="A18909" t="s">
        <v>6</v>
      </c>
      <c r="B18909" t="s">
        <v>18914</v>
      </c>
      <c r="C18909">
        <f>HYPERLINK("C:\Users\franc\OneDrive\Documentos\MALENTIN KARIME\BANCO ESTADO\2012 DEPTO ESCRITURAS fata\2012 DEPTO ESCRITURAS\VTA. PROPIEDAD\BENJAMIN CASTILLO BARRERA.doc", "Abrir Documento")</f>
        <v>0</v>
      </c>
      <c r="D18909" t="s">
        <v>23500</v>
      </c>
      <c r="E18909" t="s">
        <v>41384</v>
      </c>
    </row>
    <row r="18910" spans="1:5">
      <c r="A18910" t="s">
        <v>6</v>
      </c>
      <c r="B18910" t="s">
        <v>18915</v>
      </c>
      <c r="C18910">
        <f>HYPERLINK("C:\Users\franc\OneDrive\Documentos\MALENTIN KARIME\BANCO ESTADO\2012 DEPTO ESCRITURAS fata\2012 DEPTO ESCRITURAS\VTA. PROPIEDAD\BENITO RAMIREZ MONDACA.doc", "Abrir Documento")</f>
        <v>0</v>
      </c>
      <c r="D18910" t="s">
        <v>23500</v>
      </c>
      <c r="E18910" t="s">
        <v>41385</v>
      </c>
    </row>
    <row r="18911" spans="1:5">
      <c r="A18911" t="s">
        <v>6</v>
      </c>
      <c r="B18911" t="s">
        <v>18916</v>
      </c>
      <c r="C18911">
        <f>HYPERLINK("C:\Users\franc\OneDrive\Documentos\MALENTIN KARIME\BANCO ESTADO\2012 DEPTO ESCRITURAS fata\2012 DEPTO ESCRITURAS\VTA. PROPIEDAD\BALBINA RAMOS GUTIERREZ Conyuge Administrador BIENES NACION.doc", "Abrir Documento")</f>
        <v>0</v>
      </c>
      <c r="D18911" t="s">
        <v>23500</v>
      </c>
      <c r="E18911" t="s">
        <v>41386</v>
      </c>
    </row>
    <row r="18912" spans="1:5">
      <c r="A18912" t="s">
        <v>6</v>
      </c>
      <c r="B18912" t="s">
        <v>18917</v>
      </c>
      <c r="C18912">
        <f>HYPERLINK("C:\Users\franc\OneDrive\Documentos\MALENTIN KARIME\BANCO ESTADO\2012 DEPTO ESCRITURAS fata\2012 DEPTO ESCRITURAS\VTA. PROPIEDAD\ARNOLDO ARAYA PC 8.doc", "Abrir Documento")</f>
        <v>0</v>
      </c>
      <c r="D18912" t="s">
        <v>23500</v>
      </c>
      <c r="E18912" t="s">
        <v>41387</v>
      </c>
    </row>
    <row r="18913" spans="1:5">
      <c r="A18913" t="s">
        <v>6</v>
      </c>
      <c r="B18913" t="s">
        <v>18918</v>
      </c>
      <c r="C18913">
        <f>HYPERLINK("C:\Users\franc\OneDrive\Documentos\MALENTIN KARIME\BANCO ESTADO\2012 DEPTO ESCRITURAS fata\2012 DEPTO ESCRITURAS\VTA. PROPIEDAD\ARNOLDO ARAYA PC 8 B.doc", "Abrir Documento")</f>
        <v>0</v>
      </c>
      <c r="D18913" t="s">
        <v>23500</v>
      </c>
      <c r="E18913" t="s">
        <v>41388</v>
      </c>
    </row>
    <row r="18914" spans="1:5">
      <c r="A18914" t="s">
        <v>6</v>
      </c>
      <c r="B18914" t="s">
        <v>18919</v>
      </c>
      <c r="C18914">
        <f>HYPERLINK("C:\Users\franc\OneDrive\Documentos\MALENTIN KARIME\BANCO ESTADO\2012 DEPTO ESCRITURAS fata\2012 DEPTO ESCRITURAS\VTA. PROPIEDAD\ARNOLDO ARAYA PC 8 A.doc", "Abrir Documento")</f>
        <v>0</v>
      </c>
      <c r="D18914" t="s">
        <v>23500</v>
      </c>
      <c r="E18914" t="s">
        <v>41389</v>
      </c>
    </row>
    <row r="18915" spans="1:5">
      <c r="A18915" t="s">
        <v>6</v>
      </c>
      <c r="B18915" t="s">
        <v>18920</v>
      </c>
      <c r="C18915">
        <f>HYPERLINK("C:\Users\franc\OneDrive\Documentos\MALENTIN KARIME\BANCO ESTADO\2012 DEPTO ESCRITURAS fata\2012 DEPTO ESCRITURAS\VTA. PROPIEDAD\ARNOLDO ARAYA A ROBERTO MONDACA  Proh.Legal.doc", "Abrir Documento")</f>
        <v>0</v>
      </c>
      <c r="D18915" t="s">
        <v>23500</v>
      </c>
      <c r="E18915" t="s">
        <v>41390</v>
      </c>
    </row>
    <row r="18916" spans="1:5">
      <c r="A18916" t="s">
        <v>6</v>
      </c>
      <c r="B18916" t="s">
        <v>18921</v>
      </c>
      <c r="C18916">
        <f>HYPERLINK("C:\Users\franc\OneDrive\Documentos\MALENTIN KARIME\BANCO ESTADO\2012 DEPTO ESCRITURAS fata\2012 DEPTO ESCRITURAS\VTA. PROPIEDAD\ARMANDO CARVAJAL PASTEN.doc", "Abrir Documento")</f>
        <v>0</v>
      </c>
      <c r="D18916" t="s">
        <v>23500</v>
      </c>
      <c r="E18916" t="s">
        <v>41391</v>
      </c>
    </row>
    <row r="18917" spans="1:5">
      <c r="A18917" t="s">
        <v>6</v>
      </c>
      <c r="B18917" t="s">
        <v>18922</v>
      </c>
      <c r="C18917">
        <f>HYPERLINK("C:\Users\franc\OneDrive\Documentos\MALENTIN KARIME\BANCO ESTADO\2012 DEPTO ESCRITURAS fata\2012 DEPTO ESCRITURAS\VTA. PROPIEDAD\ARIEL JOFRE GONZALEZ Subd Minuta Orlando Gallardo.doc", "Abrir Documento")</f>
        <v>0</v>
      </c>
      <c r="D18917" t="s">
        <v>23500</v>
      </c>
      <c r="E18917" t="s">
        <v>41392</v>
      </c>
    </row>
    <row r="18918" spans="1:5">
      <c r="A18918" t="s">
        <v>6</v>
      </c>
      <c r="B18918" t="s">
        <v>18923</v>
      </c>
      <c r="C18918">
        <f>HYPERLINK("C:\Users\franc\OneDrive\Documentos\MALENTIN KARIME\BANCO ESTADO\2012 DEPTO ESCRITURAS fata\2012 DEPTO ESCRITURAS\VTA. PROPIEDAD\ANIVIEN  MANUFACTURA.doc", "Abrir Documento")</f>
        <v>0</v>
      </c>
      <c r="D18918" t="s">
        <v>23500</v>
      </c>
      <c r="E18918" t="s">
        <v>41393</v>
      </c>
    </row>
    <row r="18919" spans="1:5">
      <c r="A18919" t="s">
        <v>6</v>
      </c>
      <c r="B18919" t="s">
        <v>18924</v>
      </c>
      <c r="C18919">
        <f>HYPERLINK("C:\Users\franc\OneDrive\Documentos\MALENTIN KARIME\BANCO ESTADO\2012 DEPTO ESCRITURAS fata\2012 DEPTO ESCRITURAS\VTA. PROPIEDAD\ANIBAL VERA A BORIS VERA Y OTRA.doc", "Abrir Documento")</f>
        <v>0</v>
      </c>
      <c r="D18919" t="s">
        <v>23500</v>
      </c>
      <c r="E18919" t="s">
        <v>41394</v>
      </c>
    </row>
    <row r="18920" spans="1:5">
      <c r="A18920" t="s">
        <v>6</v>
      </c>
      <c r="B18920" t="s">
        <v>18925</v>
      </c>
      <c r="C18920">
        <f>HYPERLINK("C:\Users\franc\OneDrive\Documentos\MALENTIN KARIME\BANCO ESTADO\2012 DEPTO ESCRITURAS fata\2012 DEPTO ESCRITURAS\VTA. PROPIEDAD\ANIBAL ASTORGA A MARIO MARDONES Subdivision.doc", "Abrir Documento")</f>
        <v>0</v>
      </c>
      <c r="D18920" t="s">
        <v>23500</v>
      </c>
      <c r="E18920" t="s">
        <v>41395</v>
      </c>
    </row>
    <row r="18921" spans="1:5">
      <c r="A18921" t="s">
        <v>6</v>
      </c>
      <c r="B18921" t="s">
        <v>18926</v>
      </c>
      <c r="C18921">
        <f>HYPERLINK("C:\Users\franc\OneDrive\Documentos\MALENTIN KARIME\BANCO ESTADO\2012 DEPTO ESCRITURAS fata\2012 DEPTO ESCRITURAS\VTA. PROPIEDAD\ANA ROJAS BUEÑO A SAMUEL VILLARROEL.doc", "Abrir Documento")</f>
        <v>0</v>
      </c>
      <c r="D18921" t="s">
        <v>23500</v>
      </c>
      <c r="E18921" t="s">
        <v>41396</v>
      </c>
    </row>
    <row r="18922" spans="1:5">
      <c r="A18922" t="s">
        <v>6</v>
      </c>
      <c r="B18922" t="s">
        <v>18927</v>
      </c>
      <c r="C18922">
        <f>HYPERLINK("C:\Users\franc\OneDrive\Documentos\MALENTIN KARIME\BANCO ESTADO\2012 DEPTO ESCRITURAS fata\2012 DEPTO ESCRITURAS\VTA. PROPIEDAD\ANA LUISA CARRIZO ESCUDERO Proh.Legal.doc", "Abrir Documento")</f>
        <v>0</v>
      </c>
      <c r="D18922" t="s">
        <v>23500</v>
      </c>
      <c r="E18922" t="s">
        <v>41397</v>
      </c>
    </row>
    <row r="18923" spans="1:5">
      <c r="A18923" t="s">
        <v>6</v>
      </c>
      <c r="B18923" t="s">
        <v>18928</v>
      </c>
      <c r="C18923">
        <f>HYPERLINK("C:\Users\franc\OneDrive\Documentos\MALENTIN KARIME\BANCO ESTADO\2012 DEPTO ESCRITURAS fata\2012 DEPTO ESCRITURAS\VTA. PROPIEDAD\ANA ESPINOSA HERRERA  JAVIER NUÑEZ Cvta usufructo CLAUDIO CASTILLO.doc", "Abrir Documento")</f>
        <v>0</v>
      </c>
      <c r="D18923" t="s">
        <v>23500</v>
      </c>
      <c r="E18923" t="s">
        <v>41398</v>
      </c>
    </row>
    <row r="18924" spans="1:5">
      <c r="A18924" t="s">
        <v>6</v>
      </c>
      <c r="B18924" t="s">
        <v>18929</v>
      </c>
      <c r="C18924">
        <f>HYPERLINK("C:\Users\franc\OneDrive\Documentos\MALENTIN KARIME\BANCO ESTADO\2012 DEPTO ESCRITURAS fata\2012 DEPTO ESCRITURAS\VTA. PROPIEDAD\ANA CHANDIA CONCHA Y LUIS CHANDIA Derechos.doc", "Abrir Documento")</f>
        <v>0</v>
      </c>
      <c r="D18924" t="s">
        <v>23500</v>
      </c>
      <c r="E18924" t="s">
        <v>41399</v>
      </c>
    </row>
    <row r="18925" spans="1:5">
      <c r="A18925" t="s">
        <v>6</v>
      </c>
      <c r="B18925" t="s">
        <v>18930</v>
      </c>
      <c r="C18925">
        <f>HYPERLINK("C:\Users\franc\OneDrive\Documentos\MALENTIN KARIME\BANCO ESTADO\2012 DEPTO ESCRITURAS fata\2012 DEPTO ESCRITURAS\VTA. PROPIEDAD\ANA AMELIA VERGARA  a HORACIO LOPEZ PIZARRO Bien Nacionales.doc", "Abrir Documento")</f>
        <v>0</v>
      </c>
      <c r="D18925" t="s">
        <v>23500</v>
      </c>
      <c r="E18925" t="s">
        <v>41400</v>
      </c>
    </row>
    <row r="18926" spans="1:5">
      <c r="A18926" t="s">
        <v>6</v>
      </c>
      <c r="B18926" t="s">
        <v>18931</v>
      </c>
      <c r="C18926">
        <f>HYPERLINK("C:\Users\franc\OneDrive\Documentos\MALENTIN KARIME\BANCO ESTADO\2012 DEPTO ESCRITURAS fata\2012 DEPTO ESCRITURAS\VTA. PROPIEDAD\ALICIA SILVA A CARMEN ARAYA Minuta Adolfo Lay.doc", "Abrir Documento")</f>
        <v>0</v>
      </c>
      <c r="D18926" t="s">
        <v>23500</v>
      </c>
      <c r="E18926" t="s">
        <v>41401</v>
      </c>
    </row>
    <row r="18927" spans="1:5">
      <c r="A18927" t="s">
        <v>6</v>
      </c>
      <c r="B18927" t="s">
        <v>18932</v>
      </c>
      <c r="C18927">
        <f>HYPERLINK("C:\Users\franc\OneDrive\Documentos\MALENTIN KARIME\BANCO ESTADO\2012 DEPTO ESCRITURAS fata\2012 DEPTO ESCRITURAS\VTA. PROPIEDAD\ALFREDO CORTES A JESSICA BUGUEÑO Art 150.doc", "Abrir Documento")</f>
        <v>0</v>
      </c>
      <c r="D18927" t="s">
        <v>23500</v>
      </c>
      <c r="E18927" t="s">
        <v>41402</v>
      </c>
    </row>
    <row r="18928" spans="1:5">
      <c r="A18928" t="s">
        <v>6</v>
      </c>
      <c r="B18928" t="s">
        <v>18933</v>
      </c>
      <c r="C18928">
        <f>HYPERLINK("C:\Users\franc\OneDrive\Documentos\MALENTIN KARIME\BANCO ESTADO\2012 DEPTO ESCRITURAS fata\2012 DEPTO ESCRITURAS\VTA. PROPIEDAD\ALFONSO RODRIGUEZ A Sandara Canivilo (COMUNIDAD AGR PUNITAQUI).doc", "Abrir Documento")</f>
        <v>0</v>
      </c>
      <c r="D18928" t="s">
        <v>23500</v>
      </c>
      <c r="E18928" t="s">
        <v>41403</v>
      </c>
    </row>
    <row r="18929" spans="1:5">
      <c r="A18929" t="s">
        <v>6</v>
      </c>
      <c r="B18929" t="s">
        <v>18934</v>
      </c>
      <c r="C18929">
        <f>HYPERLINK("C:\Users\franc\OneDrive\Documentos\MALENTIN KARIME\BANCO ESTADO\2012 DEPTO ESCRITURAS fata\2012 DEPTO ESCRITURAS\VTA. PROPIEDAD\ALFONSO RODRIGUEZ A Nancy Bugueño Proh.Legal.doc", "Abrir Documento")</f>
        <v>0</v>
      </c>
      <c r="D18929" t="s">
        <v>23500</v>
      </c>
      <c r="E18929" t="s">
        <v>41404</v>
      </c>
    </row>
    <row r="18930" spans="1:5">
      <c r="A18930" t="s">
        <v>6</v>
      </c>
      <c r="B18930" t="s">
        <v>18935</v>
      </c>
      <c r="C18930">
        <f>HYPERLINK("C:\Users\franc\OneDrive\Documentos\MALENTIN KARIME\BANCO ESTADO\2012 DEPTO ESCRITURAS fata\2012 DEPTO ESCRITURAS\VTA. PROPIEDAD\ALCIDES CORTES CORTES  Cony autoriza.doc", "Abrir Documento")</f>
        <v>0</v>
      </c>
      <c r="D18930" t="s">
        <v>23500</v>
      </c>
      <c r="E18930" t="s">
        <v>41405</v>
      </c>
    </row>
    <row r="18931" spans="1:5">
      <c r="A18931" t="s">
        <v>6</v>
      </c>
      <c r="B18931" t="s">
        <v>18936</v>
      </c>
      <c r="C18931">
        <f>HYPERLINK("C:\Users\franc\OneDrive\Documentos\MALENTIN KARIME\BANCO ESTADO\2012 DEPTO ESCRITURAS fata\2012 DEPTO ESCRITURAS\VTA. PROPIEDAD\ALBERTO SEGUNDO NAVEA CASTILLO 19807.doc", "Abrir Documento")</f>
        <v>0</v>
      </c>
      <c r="D18931" t="s">
        <v>23500</v>
      </c>
      <c r="E18931" t="s">
        <v>41406</v>
      </c>
    </row>
    <row r="18932" spans="1:5">
      <c r="A18932" t="s">
        <v>6</v>
      </c>
      <c r="B18932" t="s">
        <v>18937</v>
      </c>
      <c r="C18932">
        <f>HYPERLINK("C:\Users\franc\OneDrive\Documentos\MALENTIN KARIME\BANCO ESTADO\2012 DEPTO ESCRITURAS fata\2012 DEPTO ESCRITURAS\VTA. PROPIEDAD\AIDA BRAVO CARVAJAL A PATRICIA SANTANDER.doc", "Abrir Documento")</f>
        <v>0</v>
      </c>
      <c r="D18932" t="s">
        <v>23500</v>
      </c>
      <c r="E18932" t="s">
        <v>41407</v>
      </c>
    </row>
    <row r="18933" spans="1:5">
      <c r="A18933" t="s">
        <v>6</v>
      </c>
      <c r="B18933" t="s">
        <v>18938</v>
      </c>
      <c r="C18933">
        <f>HYPERLINK("C:\Users\franc\OneDrive\Documentos\MALENTIN KARIME\BANCO ESTADO\2012 DEPTO ESCRITURAS fata\2012 DEPTO ESCRITURAS\VTA. PROPIEDAD\AGRICOLA E INVERSIONES LAS NIETAS A PEDRO ARAYA ARAYA.doc", "Abrir Documento")</f>
        <v>0</v>
      </c>
      <c r="D18933" t="s">
        <v>23500</v>
      </c>
      <c r="E18933" t="s">
        <v>41408</v>
      </c>
    </row>
    <row r="18934" spans="1:5">
      <c r="A18934" t="s">
        <v>6</v>
      </c>
      <c r="B18934" t="s">
        <v>18939</v>
      </c>
      <c r="C18934">
        <f>HYPERLINK("C:\Users\franc\OneDrive\Documentos\MALENTIN KARIME\BANCO ESTADO\2012 DEPTO ESCRITURAS fata\2012 DEPTO ESCRITURAS\VTA. PROPIEDAD\AGRICOLA E INVERSIONES LAS NIETAS A HELIO GONZALEZ.doc", "Abrir Documento")</f>
        <v>0</v>
      </c>
      <c r="D18934" t="s">
        <v>23500</v>
      </c>
      <c r="E18934" t="s">
        <v>41409</v>
      </c>
    </row>
    <row r="18935" spans="1:5">
      <c r="A18935" t="s">
        <v>6</v>
      </c>
      <c r="B18935" t="s">
        <v>18940</v>
      </c>
      <c r="C18935">
        <f>HYPERLINK("C:\Users\franc\OneDrive\Documentos\MALENTIN KARIME\BANCO ESTADO\2012 DEPTO ESCRITURAS fata\2012 DEPTO ESCRITURAS\VTA. PROPIEDAD\AGRICOLA E INVERSIONES LAS NIETAS A Ascencio Araya.doc", "Abrir Documento")</f>
        <v>0</v>
      </c>
      <c r="D18935" t="s">
        <v>23500</v>
      </c>
      <c r="E18935" t="s">
        <v>41410</v>
      </c>
    </row>
    <row r="18936" spans="1:5">
      <c r="A18936" t="s">
        <v>6</v>
      </c>
      <c r="B18936" t="s">
        <v>18941</v>
      </c>
      <c r="C18936">
        <f>HYPERLINK("C:\Users\franc\OneDrive\Documentos\MALENTIN KARIME\BANCO ESTADO\2012 DEPTO ESCRITURAS fata\2012 DEPTO ESCRITURAS\VTA. PROPIEDAD\AGRICOLA E INVERSIONES LAS NIETAS A Aldo Farias.doc", "Abrir Documento")</f>
        <v>0</v>
      </c>
      <c r="D18936" t="s">
        <v>23500</v>
      </c>
      <c r="E18936" t="s">
        <v>41411</v>
      </c>
    </row>
    <row r="18937" spans="1:5">
      <c r="A18937" t="s">
        <v>6</v>
      </c>
      <c r="B18937" t="s">
        <v>18942</v>
      </c>
      <c r="C18937">
        <f>HYPERLINK("C:\Users\franc\OneDrive\Documentos\MALENTIN KARIME\BANCO ESTADO\2012 DEPTO ESCRITURAS fata\2012 DEPTO ESCRITURAS\VTA. PROPIEDAD\AGAPITO CASTILLO GUERRERO Minuta Roberto vega.doc", "Abrir Documento")</f>
        <v>0</v>
      </c>
      <c r="D18937" t="s">
        <v>23500</v>
      </c>
      <c r="E18937" t="s">
        <v>41412</v>
      </c>
    </row>
    <row r="18938" spans="1:5">
      <c r="A18938" t="s">
        <v>6</v>
      </c>
      <c r="B18938" t="s">
        <v>18943</v>
      </c>
      <c r="C18938">
        <f>HYPERLINK("C:\Users\franc\OneDrive\Documentos\MALENTIN KARIME\BANCO ESTADO\2012 DEPTO ESCRITURAS fata\2012 DEPTO ESCRITURAS\VTA. PROPIEDAD\ADELA VALENZUELA A SILVIA VALENZUELA Y OTRA Cvta usufructo.doc", "Abrir Documento")</f>
        <v>0</v>
      </c>
      <c r="D18938" t="s">
        <v>23500</v>
      </c>
      <c r="E18938" t="s">
        <v>41413</v>
      </c>
    </row>
    <row r="18939" spans="1:5">
      <c r="A18939" t="s">
        <v>6</v>
      </c>
      <c r="B18939" t="s">
        <v>18944</v>
      </c>
      <c r="C18939">
        <f>HYPERLINK("C:\Users\franc\OneDrive\Documentos\MALENTIN KARIME\BANCO ESTADO\2012 DEPTO ESCRITURAS fata\2012 DEPTO ESCRITURAS\VTA SEPULTURA\ANA SALFATE A RAMON LARA.doc", "Abrir Documento")</f>
        <v>0</v>
      </c>
      <c r="D18939" t="s">
        <v>23500</v>
      </c>
      <c r="E18939" t="s">
        <v>41414</v>
      </c>
    </row>
    <row r="18940" spans="1:5">
      <c r="A18940" t="s">
        <v>6</v>
      </c>
      <c r="B18940" t="s">
        <v>18945</v>
      </c>
      <c r="C18940">
        <f>HYPERLINK("C:\Users\franc\OneDrive\Documentos\MALENTIN KARIME\BANCO ESTADO\2012 DEPTO ESCRITURAS fata\2012 DEPTO ESCRITURAS\varios\TOMAS ELGUETA A Laura Elgueta.doc", "Abrir Documento")</f>
        <v>0</v>
      </c>
      <c r="D18940" t="s">
        <v>23500</v>
      </c>
      <c r="E18940" t="s">
        <v>41415</v>
      </c>
    </row>
    <row r="18941" spans="1:5">
      <c r="A18941" t="s">
        <v>6</v>
      </c>
      <c r="B18941" t="s">
        <v>18946</v>
      </c>
      <c r="C18941">
        <f>HYPERLINK("C:\Users\franc\OneDrive\Documentos\MALENTIN KARIME\BANCO ESTADO\2012 DEPTO ESCRITURAS fata\2012 DEPTO ESCRITURAS\varios\TITO BUGUEÑO.doc", "Abrir Documento")</f>
        <v>0</v>
      </c>
      <c r="D18941" t="s">
        <v>23500</v>
      </c>
      <c r="E18941" t="s">
        <v>41416</v>
      </c>
    </row>
    <row r="18942" spans="1:5">
      <c r="A18942" t="s">
        <v>6</v>
      </c>
      <c r="B18942" t="s">
        <v>18947</v>
      </c>
      <c r="C18942">
        <f>HYPERLINK("C:\Users\franc\OneDrive\Documentos\MALENTIN KARIME\BANCO ESTADO\2012 DEPTO ESCRITURAS fata\2012 DEPTO ESCRITURAS\varios\texto saneamiento.doc", "Abrir Documento")</f>
        <v>0</v>
      </c>
      <c r="D18942" t="s">
        <v>23500</v>
      </c>
      <c r="E18942" t="s">
        <v>41417</v>
      </c>
    </row>
    <row r="18943" spans="1:5">
      <c r="A18943" t="s">
        <v>6</v>
      </c>
      <c r="B18943" t="s">
        <v>18948</v>
      </c>
      <c r="C18943">
        <f>HYPERLINK("C:\Users\franc\OneDrive\Documentos\MALENTIN KARIME\BANCO ESTADO\2012 DEPTO ESCRITURAS fata\2012 DEPTO ESCRITURAS\varios\SOCIEDAD AGRICOLA LOS NOGALES Y MAL PASO Contrato uva.doc", "Abrir Documento")</f>
        <v>0</v>
      </c>
      <c r="D18943" t="s">
        <v>23500</v>
      </c>
      <c r="E18943" t="s">
        <v>41418</v>
      </c>
    </row>
    <row r="18944" spans="1:5">
      <c r="A18944" t="s">
        <v>6</v>
      </c>
      <c r="B18944" t="s">
        <v>18949</v>
      </c>
      <c r="C18944">
        <f>HYPERLINK("C:\Users\franc\OneDrive\Documentos\MALENTIN KARIME\BANCO ESTADO\2012 DEPTO ESCRITURAS fata\2012 DEPTO ESCRITURAS\varios\Sobre.doc", "Abrir Documento")</f>
        <v>0</v>
      </c>
      <c r="D18944" t="s">
        <v>23500</v>
      </c>
      <c r="E18944" t="s">
        <v>41419</v>
      </c>
    </row>
    <row r="18945" spans="1:5">
      <c r="A18945" t="s">
        <v>6</v>
      </c>
      <c r="B18945" t="s">
        <v>18950</v>
      </c>
      <c r="C18945">
        <f>HYPERLINK("C:\Users\franc\OneDrive\Documentos\MALENTIN KARIME\BANCO ESTADO\2012 DEPTO ESCRITURAS fata\2012 DEPTO ESCRITURAS\varios\Sobre PARTICULAR.doc", "Abrir Documento")</f>
        <v>0</v>
      </c>
      <c r="D18945" t="s">
        <v>23500</v>
      </c>
      <c r="E18945" t="s">
        <v>41420</v>
      </c>
    </row>
    <row r="18946" spans="1:5">
      <c r="A18946" t="s">
        <v>6</v>
      </c>
      <c r="B18946" t="s">
        <v>18951</v>
      </c>
      <c r="C18946">
        <f>HYPERLINK("C:\Users\franc\OneDrive\Documentos\MALENTIN KARIME\BANCO ESTADO\2012 DEPTO ESCRITURAS fata\2012 DEPTO ESCRITURAS\varios\Sobre CORPBANCA.doc", "Abrir Documento")</f>
        <v>0</v>
      </c>
      <c r="D18946" t="s">
        <v>23500</v>
      </c>
      <c r="E18946" t="s">
        <v>41421</v>
      </c>
    </row>
    <row r="18947" spans="1:5">
      <c r="A18947" t="s">
        <v>6</v>
      </c>
      <c r="B18947" t="s">
        <v>18952</v>
      </c>
      <c r="C18947">
        <f>HYPERLINK("C:\Users\franc\OneDrive\Documentos\MALENTIN KARIME\BANCO ESTADO\2012 DEPTO ESCRITURAS fata\2012 DEPTO ESCRITURAS\varios\SOBRE chico.doc", "Abrir Documento")</f>
        <v>0</v>
      </c>
      <c r="D18947" t="s">
        <v>23500</v>
      </c>
      <c r="E18947" t="s">
        <v>41422</v>
      </c>
    </row>
    <row r="18948" spans="1:5">
      <c r="A18948" t="s">
        <v>6</v>
      </c>
      <c r="B18948" t="s">
        <v>18953</v>
      </c>
      <c r="C18948">
        <f>HYPERLINK("C:\Users\franc\OneDrive\Documentos\MALENTIN KARIME\BANCO ESTADO\2012 DEPTO ESCRITURAS fata\2012 DEPTO ESCRITURAS\varios\SIN EFECTO.doc", "Abrir Documento")</f>
        <v>0</v>
      </c>
      <c r="D18948" t="s">
        <v>23500</v>
      </c>
      <c r="E18948" t="s">
        <v>41423</v>
      </c>
    </row>
    <row r="18949" spans="1:5">
      <c r="A18949" t="s">
        <v>6</v>
      </c>
      <c r="B18949" t="s">
        <v>18954</v>
      </c>
      <c r="C18949">
        <f>HYPERLINK("C:\Users\franc\OneDrive\Documentos\MALENTIN KARIME\BANCO ESTADO\2012 DEPTO ESCRITURAS fata\2012 DEPTO ESCRITURAS\varios\SIN EFECTO horiz 2.doc", "Abrir Documento")</f>
        <v>0</v>
      </c>
      <c r="D18949" t="s">
        <v>23500</v>
      </c>
      <c r="E18949" t="s">
        <v>41424</v>
      </c>
    </row>
    <row r="18950" spans="1:5">
      <c r="A18950" t="s">
        <v>6</v>
      </c>
      <c r="B18950" t="s">
        <v>18955</v>
      </c>
      <c r="C18950">
        <f>HYPERLINK("C:\Users\franc\OneDrive\Documentos\MALENTIN KARIME\BANCO ESTADO\2012 DEPTO ESCRITURAS fata\2012 DEPTO ESCRITURAS\varios\SIN EFECTO horiz 1.doc", "Abrir Documento")</f>
        <v>0</v>
      </c>
      <c r="D18950" t="s">
        <v>23500</v>
      </c>
      <c r="E18950" t="s">
        <v>41425</v>
      </c>
    </row>
    <row r="18951" spans="1:5">
      <c r="A18951" t="s">
        <v>6</v>
      </c>
      <c r="B18951" t="s">
        <v>18956</v>
      </c>
      <c r="C18951">
        <f>HYPERLINK("C:\Users\franc\OneDrive\Documentos\MALENTIN KARIME\BANCO ESTADO\2012 DEPTO ESCRITURAS fata\2012 DEPTO ESCRITURAS\varios\ROBERTO VEGA.doc", "Abrir Documento")</f>
        <v>0</v>
      </c>
      <c r="D18951" t="s">
        <v>23500</v>
      </c>
      <c r="E18951" t="s">
        <v>41426</v>
      </c>
    </row>
    <row r="18952" spans="1:5">
      <c r="A18952" t="s">
        <v>6</v>
      </c>
      <c r="B18952" t="s">
        <v>18957</v>
      </c>
      <c r="C18952">
        <f>HYPERLINK("C:\Users\franc\OneDrive\Documentos\MALENTIN KARIME\BANCO ESTADO\2012 DEPTO ESCRITURAS fata\2012 DEPTO ESCRITURAS\varios\retiro testamento.doc", "Abrir Documento")</f>
        <v>0</v>
      </c>
      <c r="D18952" t="s">
        <v>23500</v>
      </c>
      <c r="E18952" t="s">
        <v>41427</v>
      </c>
    </row>
    <row r="18953" spans="1:5">
      <c r="A18953" t="s">
        <v>6</v>
      </c>
      <c r="B18953" t="s">
        <v>18958</v>
      </c>
      <c r="C18953">
        <f>HYPERLINK("C:\Users\franc\OneDrive\Documentos\MALENTIN KARIME\BANCO ESTADO\2012 DEPTO ESCRITURAS fata\2012 DEPTO ESCRITURAS\varios\RAUL GALLEGUILLOS. ACDO DIVORCIO. OVALLE. ABRIL 2013.doc", "Abrir Documento")</f>
        <v>0</v>
      </c>
      <c r="D18953" t="s">
        <v>23500</v>
      </c>
      <c r="E18953" t="s">
        <v>41428</v>
      </c>
    </row>
    <row r="18954" spans="1:5">
      <c r="A18954" t="s">
        <v>6</v>
      </c>
      <c r="B18954" t="s">
        <v>18959</v>
      </c>
      <c r="C18954">
        <f>HYPERLINK("C:\Users\franc\OneDrive\Documentos\MALENTIN KARIME\BANCO ESTADO\2012 DEPTO ESCRITURAS fata\2012 DEPTO ESCRITURAS\varios\protocolizacion.doc", "Abrir Documento")</f>
        <v>0</v>
      </c>
      <c r="D18954" t="s">
        <v>23500</v>
      </c>
      <c r="E18954" t="s">
        <v>41429</v>
      </c>
    </row>
    <row r="18955" spans="1:5">
      <c r="A18955" t="s">
        <v>6</v>
      </c>
      <c r="B18955" t="s">
        <v>18960</v>
      </c>
      <c r="C18955">
        <f>HYPERLINK("C:\Users\franc\OneDrive\Documentos\MALENTIN KARIME\BANCO ESTADO\2012 DEPTO ESCRITURAS fata\2012 DEPTO ESCRITURAS\varios\PODER Serviu.doc", "Abrir Documento")</f>
        <v>0</v>
      </c>
      <c r="D18955" t="s">
        <v>23500</v>
      </c>
      <c r="E18955" t="s">
        <v>41430</v>
      </c>
    </row>
    <row r="18956" spans="1:5">
      <c r="A18956" t="s">
        <v>6</v>
      </c>
      <c r="B18956" t="s">
        <v>18961</v>
      </c>
      <c r="C18956">
        <f>HYPERLINK("C:\Users\franc\OneDrive\Documentos\MALENTIN KARIME\BANCO ESTADO\2012 DEPTO ESCRITURAS fata\2012 DEPTO ESCRITURAS\varios\PARENTESCO UNO.doc", "Abrir Documento")</f>
        <v>0</v>
      </c>
      <c r="D18956" t="s">
        <v>23500</v>
      </c>
      <c r="E18956" t="s">
        <v>41431</v>
      </c>
    </row>
    <row r="18957" spans="1:5">
      <c r="A18957" t="s">
        <v>6</v>
      </c>
      <c r="B18957" t="s">
        <v>18962</v>
      </c>
      <c r="C18957">
        <f>HYPERLINK("C:\Users\franc\OneDrive\Documentos\MALENTIN KARIME\BANCO ESTADO\2012 DEPTO ESCRITURAS fata\2012 DEPTO ESCRITURAS\varios\notificacion.doc", "Abrir Documento")</f>
        <v>0</v>
      </c>
      <c r="D18957" t="s">
        <v>23500</v>
      </c>
      <c r="E18957" t="s">
        <v>41432</v>
      </c>
    </row>
    <row r="18958" spans="1:5">
      <c r="A18958" t="s">
        <v>6</v>
      </c>
      <c r="B18958" t="s">
        <v>18963</v>
      </c>
      <c r="C18958">
        <f>HYPERLINK("C:\Users\franc\OneDrive\Documentos\MALENTIN KARIME\BANCO ESTADO\2012 DEPTO ESCRITURAS fata\2012 DEPTO ESCRITURAS\varios\notificacion FACTOTOAL.doc", "Abrir Documento")</f>
        <v>0</v>
      </c>
      <c r="D18958" t="s">
        <v>23500</v>
      </c>
      <c r="E18958" t="s">
        <v>41433</v>
      </c>
    </row>
    <row r="18959" spans="1:5">
      <c r="A18959" t="s">
        <v>6</v>
      </c>
      <c r="B18959" t="s">
        <v>18964</v>
      </c>
      <c r="C18959">
        <f>HYPERLINK("C:\Users\franc\OneDrive\Documentos\MALENTIN KARIME\BANCO ESTADO\2012 DEPTO ESCRITURAS fata\2012 DEPTO ESCRITURAS\varios\nota al margen matriz.doc", "Abrir Documento")</f>
        <v>0</v>
      </c>
      <c r="D18959" t="s">
        <v>23500</v>
      </c>
      <c r="E18959" t="s">
        <v>41434</v>
      </c>
    </row>
    <row r="18960" spans="1:5">
      <c r="A18960" t="s">
        <v>6</v>
      </c>
      <c r="B18960" t="s">
        <v>18965</v>
      </c>
      <c r="C18960">
        <f>HYPERLINK("C:\Users\franc\OneDrive\Documentos\MALENTIN KARIME\BANCO ESTADO\2012 DEPTO ESCRITURAS fata\2012 DEPTO ESCRITURAS\varios\nota al margen matriz 22.doc", "Abrir Documento")</f>
        <v>0</v>
      </c>
      <c r="D18960" t="s">
        <v>23500</v>
      </c>
      <c r="E18960" t="s">
        <v>41435</v>
      </c>
    </row>
    <row r="18961" spans="1:5">
      <c r="A18961" t="s">
        <v>6</v>
      </c>
      <c r="B18961" t="s">
        <v>18966</v>
      </c>
      <c r="C18961">
        <f>HYPERLINK("C:\Users\franc\OneDrive\Documentos\MALENTIN KARIME\BANCO ESTADO\2012 DEPTO ESCRITURAS fata\2012 DEPTO ESCRITURAS\varios\nota al margen ERRROR.doc", "Abrir Documento")</f>
        <v>0</v>
      </c>
      <c r="D18961" t="s">
        <v>23500</v>
      </c>
      <c r="E18961" t="s">
        <v>41436</v>
      </c>
    </row>
    <row r="18962" spans="1:5">
      <c r="A18962" t="s">
        <v>6</v>
      </c>
      <c r="B18962" t="s">
        <v>18967</v>
      </c>
      <c r="C18962">
        <f>HYPERLINK("C:\Users\franc\OneDrive\Documentos\MALENTIN KARIME\BANCO ESTADO\2012 DEPTO ESCRITURAS fata\2012 DEPTO ESCRITURAS\varios\nota al margen de rect.doc", "Abrir Documento")</f>
        <v>0</v>
      </c>
      <c r="D18962" t="s">
        <v>23500</v>
      </c>
      <c r="E18962" t="s">
        <v>41437</v>
      </c>
    </row>
    <row r="18963" spans="1:5">
      <c r="A18963" t="s">
        <v>6</v>
      </c>
      <c r="B18963" t="s">
        <v>18968</v>
      </c>
      <c r="C18963">
        <f>HYPERLINK("C:\Users\franc\OneDrive\Documentos\MALENTIN KARIME\BANCO ESTADO\2012 DEPTO ESCRITURAS fata\2012 DEPTO ESCRITURAS\varios\MINUTA Roberto Muñoz Rojas y otro.doc", "Abrir Documento")</f>
        <v>0</v>
      </c>
      <c r="D18963" t="s">
        <v>23500</v>
      </c>
      <c r="E18963" t="s">
        <v>41438</v>
      </c>
    </row>
    <row r="18964" spans="1:5">
      <c r="A18964" t="s">
        <v>6</v>
      </c>
      <c r="B18964" t="s">
        <v>18969</v>
      </c>
      <c r="C18964">
        <f>HYPERLINK("C:\Users\franc\OneDrive\Documentos\MALENTIN KARIME\BANCO ESTADO\2012 DEPTO ESCRITURAS fata\2012 DEPTO ESCRITURAS\varios\minuta al conservador VIRGINIA AGUILERA.doc", "Abrir Documento")</f>
        <v>0</v>
      </c>
      <c r="D18964" t="s">
        <v>23500</v>
      </c>
      <c r="E18964" t="s">
        <v>41439</v>
      </c>
    </row>
    <row r="18965" spans="1:5">
      <c r="A18965" t="s">
        <v>6</v>
      </c>
      <c r="B18965" t="s">
        <v>18970</v>
      </c>
      <c r="C18965">
        <f>HYPERLINK("C:\Users\franc\OneDrive\Documentos\MALENTIN KARIME\BANCO ESTADO\2012 DEPTO ESCRITURAS fata\2012 DEPTO ESCRITURAS\varios\minuta al conservador NORA VEGA.doc", "Abrir Documento")</f>
        <v>0</v>
      </c>
      <c r="D18965" t="s">
        <v>23500</v>
      </c>
      <c r="E18965" t="s">
        <v>41440</v>
      </c>
    </row>
    <row r="18966" spans="1:5">
      <c r="A18966" t="s">
        <v>6</v>
      </c>
      <c r="B18966" t="s">
        <v>18971</v>
      </c>
      <c r="C18966">
        <f>HYPERLINK("C:\Users\franc\OneDrive\Documentos\MALENTIN KARIME\BANCO ESTADO\2012 DEPTO ESCRITURAS fata\2012 DEPTO ESCRITURAS\varios\minuta al conservador INVERSIONES URBANA RIO LIMARI.doc", "Abrir Documento")</f>
        <v>0</v>
      </c>
      <c r="D18966" t="s">
        <v>23500</v>
      </c>
      <c r="E18966" t="s">
        <v>41441</v>
      </c>
    </row>
    <row r="18967" spans="1:5">
      <c r="A18967" t="s">
        <v>6</v>
      </c>
      <c r="B18967" t="s">
        <v>18972</v>
      </c>
      <c r="C18967">
        <f>HYPERLINK("C:\Users\franc\OneDrive\Documentos\MALENTIN KARIME\BANCO ESTADO\2012 DEPTO ESCRITURAS fata\2012 DEPTO ESCRITURAS\varios\minuta al conservador ELIANA GONZALEZ.doc", "Abrir Documento")</f>
        <v>0</v>
      </c>
      <c r="D18967" t="s">
        <v>23500</v>
      </c>
      <c r="E18967" t="s">
        <v>41442</v>
      </c>
    </row>
    <row r="18968" spans="1:5">
      <c r="A18968" t="s">
        <v>6</v>
      </c>
      <c r="B18968" t="s">
        <v>18973</v>
      </c>
      <c r="C18968">
        <f>HYPERLINK("C:\Users\franc\OneDrive\Documentos\MALENTIN KARIME\BANCO ESTADO\2012 DEPTO ESCRITURAS fata\2012 DEPTO ESCRITURAS\varios\minuta al conservador ALBERTO STIEPOVICH.doc", "Abrir Documento")</f>
        <v>0</v>
      </c>
      <c r="D18968" t="s">
        <v>23500</v>
      </c>
      <c r="E18968" t="s">
        <v>41443</v>
      </c>
    </row>
    <row r="18969" spans="1:5">
      <c r="A18969" t="s">
        <v>6</v>
      </c>
      <c r="B18969" t="s">
        <v>18974</v>
      </c>
      <c r="C18969">
        <f>HYPERLINK("C:\Users\franc\OneDrive\Documentos\MALENTIN KARIME\BANCO ESTADO\2012 DEPTO ESCRITURAS fata\2012 DEPTO ESCRITURAS\varios\minuta al conservador AGRICOLA MAL PASO DEL LIMAR.doc", "Abrir Documento")</f>
        <v>0</v>
      </c>
      <c r="D18969" t="s">
        <v>23500</v>
      </c>
      <c r="E18969" t="s">
        <v>41444</v>
      </c>
    </row>
    <row r="18970" spans="1:5">
      <c r="A18970" t="s">
        <v>6</v>
      </c>
      <c r="B18970" t="s">
        <v>18975</v>
      </c>
      <c r="C18970">
        <f>HYPERLINK("C:\Users\franc\OneDrive\Documentos\MALENTIN KARIME\BANCO ESTADO\2012 DEPTO ESCRITURAS fata\2012 DEPTO ESCRITURAS\varios\MANDATO SII GILDA CANIHUANTE.doc", "Abrir Documento")</f>
        <v>0</v>
      </c>
      <c r="D18970" t="s">
        <v>23500</v>
      </c>
      <c r="E18970" t="s">
        <v>41445</v>
      </c>
    </row>
    <row r="18971" spans="1:5">
      <c r="A18971" t="s">
        <v>6</v>
      </c>
      <c r="B18971" t="s">
        <v>18976</v>
      </c>
      <c r="C18971">
        <f>HYPERLINK("C:\Users\franc\OneDrive\Documentos\MALENTIN KARIME\BANCO ESTADO\2012 DEPTO ESCRITURAS fata\2012 DEPTO ESCRITURAS\varios\mandato ARRIENDO CASA Juan Carlos Vega.doc", "Abrir Documento")</f>
        <v>0</v>
      </c>
      <c r="D18971" t="s">
        <v>23500</v>
      </c>
      <c r="E18971" t="s">
        <v>41446</v>
      </c>
    </row>
    <row r="18972" spans="1:5">
      <c r="A18972" t="s">
        <v>6</v>
      </c>
      <c r="B18972" t="s">
        <v>18977</v>
      </c>
      <c r="C18972">
        <f>HYPERLINK("C:\Users\franc\OneDrive\Documentos\MALENTIN KARIME\BANCO ESTADO\2012 DEPTO ESCRITURAS fata\2012 DEPTO ESCRITURAS\varios\Mandato 1.doc", "Abrir Documento")</f>
        <v>0</v>
      </c>
      <c r="D18972" t="s">
        <v>23500</v>
      </c>
      <c r="E18972" t="s">
        <v>41447</v>
      </c>
    </row>
    <row r="18973" spans="1:5">
      <c r="A18973" t="s">
        <v>6</v>
      </c>
      <c r="B18973" t="s">
        <v>18978</v>
      </c>
      <c r="C18973">
        <f>HYPERLINK("C:\Users\franc\OneDrive\Documentos\MALENTIN KARIME\BANCO ESTADO\2012 DEPTO ESCRITURAS fata\2012 DEPTO ESCRITURAS\varios\LUCILA BUGUEÑO Y Freddy Tapia ACUERDO ALIMENTOS.doc", "Abrir Documento")</f>
        <v>0</v>
      </c>
      <c r="D18973" t="s">
        <v>23500</v>
      </c>
      <c r="E18973" t="s">
        <v>41448</v>
      </c>
    </row>
    <row r="18974" spans="1:5">
      <c r="A18974" t="s">
        <v>6</v>
      </c>
      <c r="B18974" t="s">
        <v>18979</v>
      </c>
      <c r="C18974">
        <f>HYPERLINK("C:\Users\franc\OneDrive\Documentos\MALENTIN KARIME\BANCO ESTADO\2012 DEPTO ESCRITURAS fata\2012 DEPTO ESCRITURAS\varios\JEAN PONCE DE LEON.doc", "Abrir Documento")</f>
        <v>0</v>
      </c>
      <c r="D18974" t="s">
        <v>23500</v>
      </c>
      <c r="E18974" t="s">
        <v>41449</v>
      </c>
    </row>
    <row r="18975" spans="1:5">
      <c r="A18975" t="s">
        <v>6</v>
      </c>
      <c r="B18975" t="s">
        <v>18980</v>
      </c>
      <c r="C18975">
        <f>HYPERLINK("C:\Users\franc\OneDrive\Documentos\MALENTIN KARIME\BANCO ESTADO\2012 DEPTO ESCRITURAS fata\2012 DEPTO ESCRITURAS\varios\Estado civil Serrano.doc", "Abrir Documento")</f>
        <v>0</v>
      </c>
      <c r="D18975" t="s">
        <v>23500</v>
      </c>
      <c r="E18975" t="s">
        <v>41450</v>
      </c>
    </row>
    <row r="18976" spans="1:5">
      <c r="A18976" t="s">
        <v>6</v>
      </c>
      <c r="B18976" t="s">
        <v>18981</v>
      </c>
      <c r="C18976">
        <f>HYPERLINK("C:\Users\franc\OneDrive\Documentos\MALENTIN KARIME\BANCO ESTADO\2012 DEPTO ESCRITURAS fata\2012 DEPTO ESCRITURAS\varios\DOCUMENTOS NECESARIOS PARA UNA VENTA.doc", "Abrir Documento")</f>
        <v>0</v>
      </c>
      <c r="D18976" t="s">
        <v>23500</v>
      </c>
      <c r="E18976" t="s">
        <v>41451</v>
      </c>
    </row>
    <row r="18977" spans="1:5">
      <c r="A18977" t="s">
        <v>6</v>
      </c>
      <c r="B18977" t="s">
        <v>18982</v>
      </c>
      <c r="C18977">
        <f>HYPERLINK("C:\Users\franc\OneDrive\Documentos\MALENTIN KARIME\BANCO ESTADO\2012 DEPTO ESCRITURAS fata\2012 DEPTO ESCRITURAS\varios\doc adjuntos vengtas.doc", "Abrir Documento")</f>
        <v>0</v>
      </c>
      <c r="D18977" t="s">
        <v>23500</v>
      </c>
      <c r="E18977" t="s">
        <v>41452</v>
      </c>
    </row>
    <row r="18978" spans="1:5">
      <c r="A18978" t="s">
        <v>6</v>
      </c>
      <c r="B18978" t="s">
        <v>18983</v>
      </c>
      <c r="C18978">
        <f>HYPERLINK("C:\Users\franc\OneDrive\Documentos\MALENTIN KARIME\BANCO ESTADO\2012 DEPTO ESCRITURAS fata\2012 DEPTO ESCRITURAS\varios\DESAFECTACION DE BIEN FAMILIAR definitivo.doc", "Abrir Documento")</f>
        <v>0</v>
      </c>
      <c r="D18978" t="s">
        <v>23500</v>
      </c>
      <c r="E18978" t="s">
        <v>41453</v>
      </c>
    </row>
    <row r="18979" spans="1:5">
      <c r="A18979" t="s">
        <v>6</v>
      </c>
      <c r="B18979" t="s">
        <v>18984</v>
      </c>
      <c r="C18979">
        <f>HYPERLINK("C:\Users\franc\OneDrive\Documentos\MALENTIN KARIME\BANCO ESTADO\2012 DEPTO ESCRITURAS fata\2012 DEPTO ESCRITURAS\varios\DECLARACION Ariel.doc", "Abrir Documento")</f>
        <v>0</v>
      </c>
      <c r="D18979" t="s">
        <v>23500</v>
      </c>
      <c r="E18979" t="s">
        <v>41454</v>
      </c>
    </row>
    <row r="18980" spans="1:5">
      <c r="A18980" t="s">
        <v>6</v>
      </c>
      <c r="B18980" t="s">
        <v>18985</v>
      </c>
      <c r="C18980">
        <f>HYPERLINK("C:\Users\franc\OneDrive\Documentos\MALENTIN KARIME\BANCO ESTADO\2012 DEPTO ESCRITURAS fata\2012 DEPTO ESCRITURAS\varios\Copia de PROTOCOLIZADOS.xls", "Abrir Documento")</f>
        <v>0</v>
      </c>
      <c r="D18980" t="s">
        <v>23500</v>
      </c>
      <c r="E18980" t="s">
        <v>41455</v>
      </c>
    </row>
    <row r="18981" spans="1:5">
      <c r="A18981" t="s">
        <v>6</v>
      </c>
      <c r="B18981" t="s">
        <v>18986</v>
      </c>
      <c r="C18981">
        <f>HYPERLINK("C:\Users\franc\OneDrive\Documentos\MALENTIN KARIME\BANCO ESTADO\2012 DEPTO ESCRITURAS fata\2012 DEPTO ESCRITURAS\varios\Contrato de Suministro con Garantía Cinabrio julio 2012.doc", "Abrir Documento")</f>
        <v>0</v>
      </c>
      <c r="D18981" t="s">
        <v>23500</v>
      </c>
      <c r="E18981" t="s">
        <v>41456</v>
      </c>
    </row>
    <row r="18982" spans="1:5">
      <c r="A18982" t="s">
        <v>6</v>
      </c>
      <c r="B18982" t="s">
        <v>18987</v>
      </c>
      <c r="C18982">
        <f>HYPERLINK("C:\Users\franc\OneDrive\Documentos\MALENTIN KARIME\BANCO ESTADO\2012 DEPTO ESCRITURAS fata\2012 DEPTO ESCRITURAS\varios\Constancia.doc", "Abrir Documento")</f>
        <v>0</v>
      </c>
      <c r="D18982" t="s">
        <v>23500</v>
      </c>
      <c r="E18982" t="s">
        <v>41457</v>
      </c>
    </row>
    <row r="18983" spans="1:5">
      <c r="A18983" t="s">
        <v>6</v>
      </c>
      <c r="B18983" t="s">
        <v>18988</v>
      </c>
      <c r="C18983">
        <f>HYPERLINK("C:\Users\franc\OneDrive\Documentos\MALENTIN KARIME\BANCO ESTADO\2012 DEPTO ESCRITURAS fata\2012 DEPTO ESCRITURAS\varios\clausula MANDATO.doc", "Abrir Documento")</f>
        <v>0</v>
      </c>
      <c r="D18983" t="s">
        <v>23500</v>
      </c>
      <c r="E18983" t="s">
        <v>41458</v>
      </c>
    </row>
    <row r="18984" spans="1:5">
      <c r="A18984" t="s">
        <v>6</v>
      </c>
      <c r="B18984" t="s">
        <v>18989</v>
      </c>
      <c r="C18984">
        <f>HYPERLINK("C:\Users\franc\OneDrive\Documentos\MALENTIN KARIME\BANCO ESTADO\2012 DEPTO ESCRITURAS fata\2012 DEPTO ESCRITURAS\varios\CIERRE3º BIMESTRE 2011.doc", "Abrir Documento")</f>
        <v>0</v>
      </c>
      <c r="D18984" t="s">
        <v>23500</v>
      </c>
      <c r="E18984" t="s">
        <v>41459</v>
      </c>
    </row>
    <row r="18985" spans="1:5">
      <c r="A18985" t="s">
        <v>6</v>
      </c>
      <c r="B18985" t="s">
        <v>18990</v>
      </c>
      <c r="C18985">
        <f>HYPERLINK("C:\Users\franc\OneDrive\Documentos\MALENTIN KARIME\BANCO ESTADO\2012 DEPTO ESCRITURAS fata\2012 DEPTO ESCRITURAS\varios\CIERRE BIMESTRE 5  2012.doc", "Abrir Documento")</f>
        <v>0</v>
      </c>
      <c r="D18985" t="s">
        <v>23500</v>
      </c>
      <c r="E18985" t="s">
        <v>41460</v>
      </c>
    </row>
    <row r="18986" spans="1:5">
      <c r="A18986" t="s">
        <v>6</v>
      </c>
      <c r="B18986" t="s">
        <v>18991</v>
      </c>
      <c r="C18986">
        <f>HYPERLINK("C:\Users\franc\OneDrive\Documentos\MALENTIN KARIME\BANCO ESTADO\2012 DEPTO ESCRITURAS fata\2012 DEPTO ESCRITURAS\varios\CIERRE BIMESTRE 4  2012.doc", "Abrir Documento")</f>
        <v>0</v>
      </c>
      <c r="D18986" t="s">
        <v>23500</v>
      </c>
      <c r="E18986" t="s">
        <v>41461</v>
      </c>
    </row>
    <row r="18987" spans="1:5">
      <c r="A18987" t="s">
        <v>6</v>
      </c>
      <c r="B18987" t="s">
        <v>18992</v>
      </c>
      <c r="C18987">
        <f>HYPERLINK("C:\Users\franc\OneDrive\Documentos\MALENTIN KARIME\BANCO ESTADO\2012 DEPTO ESCRITURAS fata\2012 DEPTO ESCRITURAS\varios\CIERRE BIMESTRE 2012.doc", "Abrir Documento")</f>
        <v>0</v>
      </c>
      <c r="D18987" t="s">
        <v>23500</v>
      </c>
      <c r="E18987" t="s">
        <v>41462</v>
      </c>
    </row>
    <row r="18988" spans="1:5">
      <c r="A18988" t="s">
        <v>6</v>
      </c>
      <c r="B18988" t="s">
        <v>18993</v>
      </c>
      <c r="C18988">
        <f>HYPERLINK("C:\Users\franc\OneDrive\Documentos\MALENTIN KARIME\BANCO ESTADO\2012 DEPTO ESCRITURAS fata\2012 DEPTO ESCRITURAS\varios\CIERRE BIMESTRE 2011.doc", "Abrir Documento")</f>
        <v>0</v>
      </c>
      <c r="D18988" t="s">
        <v>23500</v>
      </c>
      <c r="E18988" t="s">
        <v>41463</v>
      </c>
    </row>
    <row r="18989" spans="1:5">
      <c r="A18989" t="s">
        <v>6</v>
      </c>
      <c r="B18989" t="s">
        <v>18994</v>
      </c>
      <c r="C18989">
        <f>HYPERLINK("C:\Users\franc\OneDrive\Documentos\MALENTIN KARIME\BANCO ESTADO\2012 DEPTO ESCRITURAS fata\2012 DEPTO ESCRITURAS\varios\CIERRE 5º BIMESTRE 2013.doc", "Abrir Documento")</f>
        <v>0</v>
      </c>
      <c r="D18989" t="s">
        <v>23500</v>
      </c>
      <c r="E18989" t="s">
        <v>41464</v>
      </c>
    </row>
    <row r="18990" spans="1:5">
      <c r="A18990" t="s">
        <v>6</v>
      </c>
      <c r="B18990" t="s">
        <v>18995</v>
      </c>
      <c r="C18990">
        <f>HYPERLINK("C:\Users\franc\OneDrive\Documentos\MALENTIN KARIME\BANCO ESTADO\2012 DEPTO ESCRITURAS fata\2012 DEPTO ESCRITURAS\varios\CIERRE 4º BIMESTRE 2013.doc", "Abrir Documento")</f>
        <v>0</v>
      </c>
      <c r="D18990" t="s">
        <v>23500</v>
      </c>
      <c r="E18990" t="s">
        <v>41465</v>
      </c>
    </row>
    <row r="18991" spans="1:5">
      <c r="A18991" t="s">
        <v>6</v>
      </c>
      <c r="B18991" t="s">
        <v>18996</v>
      </c>
      <c r="C18991">
        <f>HYPERLINK("C:\Users\franc\OneDrive\Documentos\MALENTIN KARIME\BANCO ESTADO\2012 DEPTO ESCRITURAS fata\2012 DEPTO ESCRITURAS\varios\CIERRE 2º BIMESTRE 2013.doc", "Abrir Documento")</f>
        <v>0</v>
      </c>
      <c r="D18991" t="s">
        <v>23500</v>
      </c>
      <c r="E18991" t="s">
        <v>41466</v>
      </c>
    </row>
    <row r="18992" spans="1:5">
      <c r="A18992" t="s">
        <v>6</v>
      </c>
      <c r="B18992" t="s">
        <v>18997</v>
      </c>
      <c r="C18992">
        <f>HYPERLINK("C:\Users\franc\OneDrive\Documentos\MALENTIN KARIME\BANCO ESTADO\2012 DEPTO ESCRITURAS fata\2012 DEPTO ESCRITURAS\varios\CIERRE 2º BIMESTRE 2011.doc", "Abrir Documento")</f>
        <v>0</v>
      </c>
      <c r="D18992" t="s">
        <v>23500</v>
      </c>
      <c r="E18992" t="s">
        <v>41467</v>
      </c>
    </row>
    <row r="18993" spans="1:5">
      <c r="A18993" t="s">
        <v>6</v>
      </c>
      <c r="B18993" t="s">
        <v>18998</v>
      </c>
      <c r="C18993">
        <f>HYPERLINK("C:\Users\franc\OneDrive\Documentos\MALENTIN KARIME\BANCO ESTADO\2012 DEPTO ESCRITURAS fata\2012 DEPTO ESCRITURAS\varios\CIERRE 1º BIMESTRE 2011.doc", "Abrir Documento")</f>
        <v>0</v>
      </c>
      <c r="D18993" t="s">
        <v>23500</v>
      </c>
      <c r="E18993" t="s">
        <v>41468</v>
      </c>
    </row>
    <row r="18994" spans="1:5">
      <c r="A18994" t="s">
        <v>6</v>
      </c>
      <c r="B18994" t="s">
        <v>18999</v>
      </c>
      <c r="C18994">
        <f>HYPERLINK("C:\Users\franc\OneDrive\Documentos\MALENTIN KARIME\BANCO ESTADO\2012 DEPTO ESCRITURAS fata\2012 DEPTO ESCRITURAS\varios\CIERRE 1º 2013.doc", "Abrir Documento")</f>
        <v>0</v>
      </c>
      <c r="D18994" t="s">
        <v>23500</v>
      </c>
      <c r="E18994" t="s">
        <v>41469</v>
      </c>
    </row>
    <row r="18995" spans="1:5">
      <c r="A18995" t="s">
        <v>6</v>
      </c>
      <c r="B18995" t="s">
        <v>19000</v>
      </c>
      <c r="C18995">
        <f>HYPERLINK("C:\Users\franc\OneDrive\Documentos\MALENTIN KARIME\BANCO ESTADO\2012 DEPTO ESCRITURAS fata\2012 DEPTO ESCRITURAS\varios\CERTIF MATRIMONIO SIIOnline.doc", "Abrir Documento")</f>
        <v>0</v>
      </c>
      <c r="D18995" t="s">
        <v>23500</v>
      </c>
      <c r="E18995" t="s">
        <v>41470</v>
      </c>
    </row>
    <row r="18996" spans="1:5">
      <c r="A18996" t="s">
        <v>6</v>
      </c>
      <c r="B18996" t="s">
        <v>19001</v>
      </c>
      <c r="C18996">
        <f>HYPERLINK("C:\Users\franc\OneDrive\Documentos\MALENTIN KARIME\BANCO ESTADO\2012 DEPTO ESCRITURAS fata\2012 DEPTO ESCRITURAS\varios\certif matrimonio registro.doc", "Abrir Documento")</f>
        <v>0</v>
      </c>
      <c r="D18996" t="s">
        <v>23500</v>
      </c>
      <c r="E18996" t="s">
        <v>41471</v>
      </c>
    </row>
    <row r="18997" spans="1:5">
      <c r="A18997" t="s">
        <v>6</v>
      </c>
      <c r="B18997" t="s">
        <v>19002</v>
      </c>
      <c r="C18997">
        <f>HYPERLINK("C:\Users\franc\OneDrive\Documentos\MALENTIN KARIME\BANCO ESTADO\2012 DEPTO ESCRITURAS fata\2012 DEPTO ESCRITURAS\varios\CERT Divorcio.doc", "Abrir Documento")</f>
        <v>0</v>
      </c>
      <c r="D18997" t="s">
        <v>23500</v>
      </c>
      <c r="E18997" t="s">
        <v>41472</v>
      </c>
    </row>
    <row r="18998" spans="1:5">
      <c r="A18998" t="s">
        <v>6</v>
      </c>
      <c r="B18998" t="s">
        <v>19003</v>
      </c>
      <c r="C18998">
        <f>HYPERLINK("C:\Users\franc\OneDrive\Documentos\MALENTIN KARIME\BANCO ESTADO\2012 DEPTO ESCRITURAS fata\2012 DEPTO ESCRITURAS\varios\CARTA visto bueno2.doc", "Abrir Documento")</f>
        <v>0</v>
      </c>
      <c r="D18998" t="s">
        <v>23500</v>
      </c>
      <c r="E18998" t="s">
        <v>41473</v>
      </c>
    </row>
    <row r="18999" spans="1:5">
      <c r="A18999" t="s">
        <v>6</v>
      </c>
      <c r="B18999" t="s">
        <v>19004</v>
      </c>
      <c r="C18999">
        <f>HYPERLINK("C:\Users\franc\OneDrive\Documentos\MALENTIN KARIME\BANCO ESTADO\2012 DEPTO ESCRITURAS fata\2012 DEPTO ESCRITURAS\varios\CARTA visto bueno.doc", "Abrir Documento")</f>
        <v>0</v>
      </c>
      <c r="D18999" t="s">
        <v>23500</v>
      </c>
      <c r="E18999" t="s">
        <v>41474</v>
      </c>
    </row>
    <row r="19000" spans="1:5">
      <c r="A19000" t="s">
        <v>6</v>
      </c>
      <c r="B19000" t="s">
        <v>19005</v>
      </c>
      <c r="C19000">
        <f>HYPERLINK("C:\Users\franc\OneDrive\Documentos\MALENTIN KARIME\BANCO ESTADO\2012 DEPTO ESCRITURAS fata\2012 DEPTO ESCRITURAS\varios\CARTA visto bueno TRIBUNAL.doc", "Abrir Documento")</f>
        <v>0</v>
      </c>
      <c r="D19000" t="s">
        <v>23500</v>
      </c>
      <c r="E19000" t="s">
        <v>41475</v>
      </c>
    </row>
    <row r="19001" spans="1:5">
      <c r="A19001" t="s">
        <v>6</v>
      </c>
      <c r="B19001" t="s">
        <v>19006</v>
      </c>
      <c r="C19001">
        <f>HYPERLINK("C:\Users\franc\OneDrive\Documentos\MALENTIN KARIME\BANCO ESTADO\2012 DEPTO ESCRITURAS fata\2012 DEPTO ESCRITURAS\varios\CARTA visto bueno tesoreria.doc", "Abrir Documento")</f>
        <v>0</v>
      </c>
      <c r="D19001" t="s">
        <v>23500</v>
      </c>
      <c r="E19001" t="s">
        <v>41476</v>
      </c>
    </row>
    <row r="19002" spans="1:5">
      <c r="A19002" t="s">
        <v>6</v>
      </c>
      <c r="B19002" t="s">
        <v>19007</v>
      </c>
      <c r="C19002">
        <f>HYPERLINK("C:\Users\franc\OneDrive\Documentos\MALENTIN KARIME\BANCO ESTADO\2012 DEPTO ESCRITURAS fata\2012 DEPTO ESCRITURAS\varios\CARTA visto bueno BCI.doc", "Abrir Documento")</f>
        <v>0</v>
      </c>
      <c r="D19002" t="s">
        <v>23500</v>
      </c>
      <c r="E19002" t="s">
        <v>41477</v>
      </c>
    </row>
    <row r="19003" spans="1:5">
      <c r="A19003" t="s">
        <v>6</v>
      </c>
      <c r="B19003" t="s">
        <v>19008</v>
      </c>
      <c r="C19003">
        <f>HYPERLINK("C:\Users\franc\OneDrive\Documentos\MALENTIN KARIME\BANCO ESTADO\2012 DEPTO ESCRITURAS fata\2012 DEPTO ESCRITURAS\varios\CARTA SERVIU.doc", "Abrir Documento")</f>
        <v>0</v>
      </c>
      <c r="D19003" t="s">
        <v>23500</v>
      </c>
      <c r="E19003" t="s">
        <v>41478</v>
      </c>
    </row>
    <row r="19004" spans="1:5">
      <c r="A19004" t="s">
        <v>6</v>
      </c>
      <c r="B19004" t="s">
        <v>19009</v>
      </c>
      <c r="C19004">
        <f>HYPERLINK("C:\Users\franc\OneDrive\Documentos\MALENTIN KARIME\BANCO ESTADO\2012 DEPTO ESCRITURAS fata\2012 DEPTO ESCRITURAS\varios\CARTA Serviu pesonal.doc", "Abrir Documento")</f>
        <v>0</v>
      </c>
      <c r="D19004" t="s">
        <v>23500</v>
      </c>
      <c r="E19004" t="s">
        <v>41479</v>
      </c>
    </row>
    <row r="19005" spans="1:5">
      <c r="A19005" t="s">
        <v>6</v>
      </c>
      <c r="B19005" t="s">
        <v>19010</v>
      </c>
      <c r="C19005">
        <f>HYPERLINK("C:\Users\franc\OneDrive\Documentos\MALENTIN KARIME\BANCO ESTADO\2012 DEPTO ESCRITURAS fata\2012 DEPTO ESCRITURAS\varios\CARTA REPERTORIO.doc", "Abrir Documento")</f>
        <v>0</v>
      </c>
      <c r="D19005" t="s">
        <v>23500</v>
      </c>
      <c r="E19005" t="s">
        <v>41480</v>
      </c>
    </row>
    <row r="19006" spans="1:5">
      <c r="A19006" t="s">
        <v>6</v>
      </c>
      <c r="B19006" t="s">
        <v>19011</v>
      </c>
      <c r="C19006">
        <f>HYPERLINK("C:\Users\franc\OneDrive\Documentos\MALENTIN KARIME\BANCO ESTADO\2012 DEPTO ESCRITURAS fata\2012 DEPTO ESCRITURAS\varios\CARTA PRENDA.doc", "Abrir Documento")</f>
        <v>0</v>
      </c>
      <c r="D19006" t="s">
        <v>23500</v>
      </c>
      <c r="E19006" t="s">
        <v>41481</v>
      </c>
    </row>
    <row r="19007" spans="1:5">
      <c r="A19007" t="s">
        <v>6</v>
      </c>
      <c r="B19007" t="s">
        <v>19012</v>
      </c>
      <c r="C19007">
        <f>HYPERLINK("C:\Users\franc\OneDrive\Documentos\MALENTIN KARIME\BANCO ESTADO\2012 DEPTO ESCRITURAS fata\2012 DEPTO ESCRITURAS\varios\CARTA PRENDA corpbanca.doc", "Abrir Documento")</f>
        <v>0</v>
      </c>
      <c r="D19007" t="s">
        <v>23500</v>
      </c>
      <c r="E19007" t="s">
        <v>41482</v>
      </c>
    </row>
    <row r="19008" spans="1:5">
      <c r="A19008" t="s">
        <v>6</v>
      </c>
      <c r="B19008" t="s">
        <v>19013</v>
      </c>
      <c r="C19008">
        <f>HYPERLINK("C:\Users\franc\OneDrive\Documentos\MALENTIN KARIME\BANCO ESTADO\2012 DEPTO ESCRITURAS fata\2012 DEPTO ESCRITURAS\varios\CARTA PODER SII JULIO MONTERO.doc", "Abrir Documento")</f>
        <v>0</v>
      </c>
      <c r="D19008" t="s">
        <v>23500</v>
      </c>
      <c r="E19008" t="s">
        <v>41483</v>
      </c>
    </row>
    <row r="19009" spans="1:5">
      <c r="A19009" t="s">
        <v>6</v>
      </c>
      <c r="B19009" t="s">
        <v>19014</v>
      </c>
      <c r="C19009">
        <f>HYPERLINK("C:\Users\franc\OneDrive\Documentos\MALENTIN KARIME\BANCO ESTADO\2012 DEPTO ESCRITURAS fata\2012 DEPTO ESCRITURAS\varios\CARTA LEASING.doc", "Abrir Documento")</f>
        <v>0</v>
      </c>
      <c r="D19009" t="s">
        <v>23500</v>
      </c>
      <c r="E19009" t="s">
        <v>41484</v>
      </c>
    </row>
    <row r="19010" spans="1:5">
      <c r="A19010" t="s">
        <v>6</v>
      </c>
      <c r="B19010" t="s">
        <v>19015</v>
      </c>
      <c r="C19010">
        <f>HYPERLINK("C:\Users\franc\OneDrive\Documentos\MALENTIN KARIME\BANCO ESTADO\2012 DEPTO ESCRITURAS fata\2012 DEPTO ESCRITURAS\varios\CARTA DGA.doc", "Abrir Documento")</f>
        <v>0</v>
      </c>
      <c r="D19010" t="s">
        <v>23500</v>
      </c>
      <c r="E19010" t="s">
        <v>41485</v>
      </c>
    </row>
    <row r="19011" spans="1:5">
      <c r="A19011" t="s">
        <v>6</v>
      </c>
      <c r="B19011" t="s">
        <v>19016</v>
      </c>
      <c r="C19011">
        <f>HYPERLINK("C:\Users\franc\OneDrive\Documentos\MALENTIN KARIME\BANCO ESTADO\2012 DEPTO ESCRITURAS fata\2012 DEPTO ESCRITURAS\varios\CARTA Coopeuch.doc", "Abrir Documento")</f>
        <v>0</v>
      </c>
      <c r="D19011" t="s">
        <v>23500</v>
      </c>
      <c r="E19011" t="s">
        <v>41486</v>
      </c>
    </row>
    <row r="19012" spans="1:5">
      <c r="A19012" t="s">
        <v>6</v>
      </c>
      <c r="B19012" t="s">
        <v>19017</v>
      </c>
      <c r="C19012">
        <f>HYPERLINK("C:\Users\franc\OneDrive\Documentos\MALENTIN KARIME\BANCO ESTADO\2012 DEPTO ESCRITURAS fata\2012 DEPTO ESCRITURAS\varios\CARTA BANCOESTADO.doc", "Abrir Documento")</f>
        <v>0</v>
      </c>
      <c r="D19012" t="s">
        <v>23500</v>
      </c>
      <c r="E19012" t="s">
        <v>41487</v>
      </c>
    </row>
    <row r="19013" spans="1:5">
      <c r="A19013" t="s">
        <v>6</v>
      </c>
      <c r="B19013" t="s">
        <v>19018</v>
      </c>
      <c r="C19013">
        <f>HYPERLINK("C:\Users\franc\OneDrive\Documentos\MALENTIN KARIME\BANCO ESTADO\2012 DEPTO ESCRITURAS fata\2012 DEPTO ESCRITURAS\varios\CARTA ALZAMIENTO.doc", "Abrir Documento")</f>
        <v>0</v>
      </c>
      <c r="D19013" t="s">
        <v>23500</v>
      </c>
      <c r="E19013" t="s">
        <v>41488</v>
      </c>
    </row>
    <row r="19014" spans="1:5">
      <c r="A19014" t="s">
        <v>6</v>
      </c>
      <c r="B19014" t="s">
        <v>19019</v>
      </c>
      <c r="C19014">
        <f>HYPERLINK("C:\Users\franc\OneDrive\Documentos\MALENTIN KARIME\BANCO ESTADO\2012 DEPTO ESCRITURAS fata\2012 DEPTO ESCRITURAS\varios\CARTA ALZAMIENTO remate.doc", "Abrir Documento")</f>
        <v>0</v>
      </c>
      <c r="D19014" t="s">
        <v>23500</v>
      </c>
      <c r="E19014" t="s">
        <v>41489</v>
      </c>
    </row>
    <row r="19015" spans="1:5">
      <c r="A19015" t="s">
        <v>6</v>
      </c>
      <c r="B19015" t="s">
        <v>19020</v>
      </c>
      <c r="C19015">
        <f>HYPERLINK("C:\Users\franc\OneDrive\Documentos\MALENTIN KARIME\BANCO ESTADO\2012 DEPTO ESCRITURAS fata\2012 DEPTO ESCRITURAS\varios\CARTA ALZAMIENTO María Aguilera Castillo.doc", "Abrir Documento")</f>
        <v>0</v>
      </c>
      <c r="D19015" t="s">
        <v>23500</v>
      </c>
      <c r="E19015" t="s">
        <v>41490</v>
      </c>
    </row>
    <row r="19016" spans="1:5">
      <c r="A19016" t="s">
        <v>6</v>
      </c>
      <c r="B19016" t="s">
        <v>19021</v>
      </c>
      <c r="C19016">
        <f>HYPERLINK("C:\Users\franc\OneDrive\Documentos\MALENTIN KARIME\BANCO ESTADO\2012 DEPTO ESCRITURAS fata\2012 DEPTO ESCRITURAS\varios\CARTA ALZAMIENTO Armando Carvajal.doc", "Abrir Documento")</f>
        <v>0</v>
      </c>
      <c r="D19016" t="s">
        <v>23500</v>
      </c>
      <c r="E19016" t="s">
        <v>41491</v>
      </c>
    </row>
    <row r="19017" spans="1:5">
      <c r="A19017" t="s">
        <v>6</v>
      </c>
      <c r="B19017" t="s">
        <v>19022</v>
      </c>
      <c r="C19017">
        <f>HYPERLINK("C:\Users\franc\OneDrive\Documentos\MALENTIN KARIME\BANCO ESTADO\2012 DEPTO ESCRITURAS fata\2012 DEPTO ESCRITURAS\varios\CARTA ALZAMIENTO 3.doc", "Abrir Documento")</f>
        <v>0</v>
      </c>
      <c r="D19017" t="s">
        <v>23500</v>
      </c>
      <c r="E19017" t="s">
        <v>41492</v>
      </c>
    </row>
    <row r="19018" spans="1:5">
      <c r="A19018" t="s">
        <v>6</v>
      </c>
      <c r="B19018" t="s">
        <v>19023</v>
      </c>
      <c r="C19018">
        <f>HYPERLINK("C:\Users\franc\OneDrive\Documentos\MALENTIN KARIME\BANCO ESTADO\2012 DEPTO ESCRITURAS fata\2012 DEPTO ESCRITURAS\varios\CARTA ALZAMIENTO 2.doc", "Abrir Documento")</f>
        <v>0</v>
      </c>
      <c r="D19018" t="s">
        <v>23500</v>
      </c>
      <c r="E19018" t="s">
        <v>41493</v>
      </c>
    </row>
    <row r="19019" spans="1:5">
      <c r="A19019" t="s">
        <v>6</v>
      </c>
      <c r="B19019" t="s">
        <v>19024</v>
      </c>
      <c r="C19019">
        <f>HYPERLINK("C:\Users\franc\OneDrive\Documentos\MALENTIN KARIME\BANCO ESTADO\2012 DEPTO ESCRITURAS fata\2012 DEPTO ESCRITURAS\varios\C.VENTA PATENTE.doc", "Abrir Documento")</f>
        <v>0</v>
      </c>
      <c r="D19019" t="s">
        <v>23500</v>
      </c>
      <c r="E19019" t="s">
        <v>41494</v>
      </c>
    </row>
    <row r="19020" spans="1:5">
      <c r="A19020" t="s">
        <v>6</v>
      </c>
      <c r="B19020" t="s">
        <v>19025</v>
      </c>
      <c r="C19020">
        <f>HYPERLINK("C:\Users\franc\OneDrive\Documentos\MALENTIN KARIME\BANCO ESTADO\2012 DEPTO ESCRITURAS fata\2012 DEPTO ESCRITURAS\varios\Autorizo la firma en Letras Cambio.doc", "Abrir Documento")</f>
        <v>0</v>
      </c>
      <c r="D19020" t="s">
        <v>23500</v>
      </c>
      <c r="E19020" t="s">
        <v>41495</v>
      </c>
    </row>
    <row r="19021" spans="1:5">
      <c r="A19021" t="s">
        <v>6</v>
      </c>
      <c r="B19021" t="s">
        <v>19026</v>
      </c>
      <c r="C19021">
        <f>HYPERLINK("C:\Users\franc\OneDrive\Documentos\MALENTIN KARIME\BANCO ESTADO\2012 DEPTO ESCRITURAS fata\2012 DEPTO ESCRITURAS\varios\Autorizo la firma DE PAGARE.doc", "Abrir Documento")</f>
        <v>0</v>
      </c>
      <c r="D19021" t="s">
        <v>23500</v>
      </c>
      <c r="E19021" t="s">
        <v>41496</v>
      </c>
    </row>
    <row r="19022" spans="1:5">
      <c r="A19022" t="s">
        <v>6</v>
      </c>
      <c r="B19022" t="s">
        <v>19027</v>
      </c>
      <c r="C19022">
        <f>HYPERLINK("C:\Users\franc\OneDrive\Documentos\MALENTIN KARIME\BANCO ESTADO\2012 DEPTO ESCRITURAS fata\2012 DEPTO ESCRITURAS\varios\Autorizo la firma de doña Carmen Luisa Videla Tello.doc", "Abrir Documento")</f>
        <v>0</v>
      </c>
      <c r="D19022" t="s">
        <v>23500</v>
      </c>
      <c r="E19022" t="s">
        <v>41497</v>
      </c>
    </row>
    <row r="19023" spans="1:5">
      <c r="A19023" t="s">
        <v>6</v>
      </c>
      <c r="B19023" t="s">
        <v>19028</v>
      </c>
      <c r="C19023">
        <f>HYPERLINK("C:\Users\franc\OneDrive\Documentos\MALENTIN KARIME\BANCO ESTADO\2012 DEPTO ESCRITURAS fata\2012 DEPTO ESCRITURAS\varios\Autorizo la firma de don MARIO EDUARDO BARRIOS BARRAZA.doc", "Abrir Documento")</f>
        <v>0</v>
      </c>
      <c r="D19023" t="s">
        <v>23500</v>
      </c>
      <c r="E19023" t="s">
        <v>41498</v>
      </c>
    </row>
    <row r="19024" spans="1:5">
      <c r="A19024" t="s">
        <v>6</v>
      </c>
      <c r="B19024" t="s">
        <v>19029</v>
      </c>
      <c r="C19024">
        <f>HYPERLINK("C:\Users\franc\OneDrive\Documentos\MALENTIN KARIME\BANCO ESTADO\2012 DEPTO ESCRITURAS fata\2012 DEPTO ESCRITURAS\varios\Autorizo la firma de don MARIO ALEJANDRO BARRIOS ROJAS.doc", "Abrir Documento")</f>
        <v>0</v>
      </c>
      <c r="D19024" t="s">
        <v>23500</v>
      </c>
      <c r="E19024" t="s">
        <v>41499</v>
      </c>
    </row>
    <row r="19025" spans="1:5">
      <c r="A19025" t="s">
        <v>6</v>
      </c>
      <c r="B19025" t="s">
        <v>19030</v>
      </c>
      <c r="C19025">
        <f>HYPERLINK("C:\Users\franc\OneDrive\Documentos\MALENTIN KARIME\BANCO ESTADO\2012 DEPTO ESCRITURAS fata\2012 DEPTO ESCRITURAS\varios\Autorizo la firma de don JUAN CLAUDIO LAGUNAS FLORES.doc", "Abrir Documento")</f>
        <v>0</v>
      </c>
      <c r="D19025" t="s">
        <v>23500</v>
      </c>
      <c r="E19025" t="s">
        <v>41500</v>
      </c>
    </row>
    <row r="19026" spans="1:5">
      <c r="A19026" t="s">
        <v>6</v>
      </c>
      <c r="B19026" t="s">
        <v>19031</v>
      </c>
      <c r="C19026">
        <f>HYPERLINK("C:\Users\franc\OneDrive\Documentos\MALENTIN KARIME\BANCO ESTADO\2012 DEPTO ESCRITURAS fata\2012 DEPTO ESCRITURAS\varios\Autorizo la firma de don CAMAL ANTONIO MUSALEM TAPIA.doc", "Abrir Documento")</f>
        <v>0</v>
      </c>
      <c r="D19026" t="s">
        <v>23500</v>
      </c>
      <c r="E19026" t="s">
        <v>41501</v>
      </c>
    </row>
    <row r="19027" spans="1:5">
      <c r="A19027" t="s">
        <v>6</v>
      </c>
      <c r="B19027" t="s">
        <v>19032</v>
      </c>
      <c r="C19027">
        <f>HYPERLINK("C:\Users\franc\OneDrive\Documentos\MALENTIN KARIME\BANCO ESTADO\2012 DEPTO ESCRITURAS fata\2012 DEPTO ESCRITURAS\varios\AUTORIZACION.doc", "Abrir Documento")</f>
        <v>0</v>
      </c>
      <c r="D19027" t="s">
        <v>23500</v>
      </c>
      <c r="E19027" t="s">
        <v>41502</v>
      </c>
    </row>
    <row r="19028" spans="1:5">
      <c r="A19028" t="s">
        <v>6</v>
      </c>
      <c r="B19028" t="s">
        <v>19033</v>
      </c>
      <c r="C19028">
        <f>HYPERLINK("C:\Users\franc\OneDrive\Documentos\MALENTIN KARIME\BANCO ESTADO\2012 DEPTO ESCRITURAS fata\2012 DEPTO ESCRITURAS\varios\AUTORIZACION ESCRITRUAS horizontal.doc", "Abrir Documento")</f>
        <v>0</v>
      </c>
      <c r="D19028" t="s">
        <v>23500</v>
      </c>
      <c r="E19028" t="s">
        <v>41503</v>
      </c>
    </row>
    <row r="19029" spans="1:5">
      <c r="A19029" t="s">
        <v>6</v>
      </c>
      <c r="B19029" t="s">
        <v>19034</v>
      </c>
      <c r="C19029">
        <f>HYPERLINK("C:\Users\franc\OneDrive\Documentos\MALENTIN KARIME\BANCO ESTADO\2012 DEPTO ESCRITURAS fata\2012 DEPTO ESCRITURAS\varios\AUTORIZACION ESCRITRUAS CON VIGENCIA.doc", "Abrir Documento")</f>
        <v>0</v>
      </c>
      <c r="D19029" t="s">
        <v>23500</v>
      </c>
      <c r="E19029" t="s">
        <v>41504</v>
      </c>
    </row>
    <row r="19030" spans="1:5">
      <c r="A19030" t="s">
        <v>6</v>
      </c>
      <c r="B19030" t="s">
        <v>19035</v>
      </c>
      <c r="C19030">
        <f>HYPERLINK("C:\Users\franc\OneDrive\Documentos\MALENTIN KARIME\BANCO ESTADO\2012 DEPTO ESCRITURAS fata\2012 DEPTO ESCRITURAS\varios\AUTORIZACION ESCRITRUAS CON VIGENCIA horizontal.doc", "Abrir Documento")</f>
        <v>0</v>
      </c>
      <c r="D19030" t="s">
        <v>23500</v>
      </c>
      <c r="E19030" t="s">
        <v>41505</v>
      </c>
    </row>
    <row r="19031" spans="1:5">
      <c r="A19031" t="s">
        <v>6</v>
      </c>
      <c r="B19031" t="s">
        <v>19036</v>
      </c>
      <c r="C19031">
        <f>HYPERLINK("C:\Users\franc\OneDrive\Documentos\MALENTIN KARIME\BANCO ESTADO\2012 DEPTO ESCRITURAS fata\2012 DEPTO ESCRITURAS\varios\ASGREGA IMPUESTO F-24.doc", "Abrir Documento")</f>
        <v>0</v>
      </c>
      <c r="D19031" t="s">
        <v>23500</v>
      </c>
      <c r="E19031" t="s">
        <v>41506</v>
      </c>
    </row>
    <row r="19032" spans="1:5">
      <c r="A19032" t="s">
        <v>6</v>
      </c>
      <c r="B19032" t="s">
        <v>19037</v>
      </c>
      <c r="C19032">
        <f>HYPERLINK("C:\Users\franc\OneDrive\Documentos\MALENTIN KARIME\BANCO ESTADO\2012 DEPTO ESCRITURAS fata\2012 DEPTO ESCRITURAS\varios\ASGREGA IMPUESTO F-23.doc", "Abrir Documento")</f>
        <v>0</v>
      </c>
      <c r="D19032" t="s">
        <v>23500</v>
      </c>
      <c r="E19032" t="s">
        <v>41507</v>
      </c>
    </row>
    <row r="19033" spans="1:5">
      <c r="A19033" t="s">
        <v>6</v>
      </c>
      <c r="B19033" t="s">
        <v>19038</v>
      </c>
      <c r="C19033">
        <f>HYPERLINK("C:\Users\franc\OneDrive\Documentos\MALENTIN KARIME\BANCO ESTADO\2012 DEPTO ESCRITURAS fata\2012 DEPTO ESCRITURAS\varios\APERTURA BIMESTRE.doc", "Abrir Documento")</f>
        <v>0</v>
      </c>
      <c r="D19033" t="s">
        <v>23500</v>
      </c>
      <c r="E19033" t="s">
        <v>41508</v>
      </c>
    </row>
    <row r="19034" spans="1:5">
      <c r="A19034" t="s">
        <v>6</v>
      </c>
      <c r="B19034" t="s">
        <v>19039</v>
      </c>
      <c r="C19034">
        <f>HYPERLINK("C:\Users\franc\OneDrive\Documentos\MALENTIN KARIME\BANCO ESTADO\2012 DEPTO ESCRITURAS fata\2012 DEPTO ESCRITURAS\varios\ANTONIO GALAZ A MIRZA ARAYA.doc", "Abrir Documento")</f>
        <v>0</v>
      </c>
      <c r="D19034" t="s">
        <v>23500</v>
      </c>
      <c r="E19034" t="s">
        <v>41509</v>
      </c>
    </row>
    <row r="19035" spans="1:5">
      <c r="A19035" t="s">
        <v>6</v>
      </c>
      <c r="B19035" t="s">
        <v>19040</v>
      </c>
      <c r="C19035">
        <f>HYPERLINK("C:\Users\franc\OneDrive\Documentos\MALENTIN KARIME\BANCO ESTADO\2012 DEPTO ESCRITURAS fata\2012 DEPTO ESCRITURAS\varios\AGREGA IMPUESTO.doc", "Abrir Documento")</f>
        <v>0</v>
      </c>
      <c r="D19035" t="s">
        <v>23500</v>
      </c>
      <c r="E19035" t="s">
        <v>41510</v>
      </c>
    </row>
    <row r="19036" spans="1:5">
      <c r="A19036" t="s">
        <v>6</v>
      </c>
      <c r="B19036" t="s">
        <v>19041</v>
      </c>
      <c r="C19036">
        <f>HYPERLINK("C:\Users\franc\OneDrive\Documentos\MALENTIN KARIME\BANCO ESTADO\2012 DEPTO ESCRITURAS fata\2012 DEPTO ESCRITURAS\varios\AGREGA IMPUESTO y F30.doc", "Abrir Documento")</f>
        <v>0</v>
      </c>
      <c r="D19036" t="s">
        <v>23500</v>
      </c>
      <c r="E19036" t="s">
        <v>41511</v>
      </c>
    </row>
    <row r="19037" spans="1:5">
      <c r="A19037" t="s">
        <v>6</v>
      </c>
      <c r="B19037" t="s">
        <v>19042</v>
      </c>
      <c r="C19037">
        <f>HYPERLINK("C:\Users\franc\OneDrive\Documentos\MALENTIN KARIME\BANCO ESTADO\2012 DEPTO ESCRITURAS fata\2012 DEPTO ESCRITURAS\varios\ACTA VISITA 6º BIMESTRE 2011.doc", "Abrir Documento")</f>
        <v>0</v>
      </c>
      <c r="D19037" t="s">
        <v>23500</v>
      </c>
      <c r="E19037" t="s">
        <v>41512</v>
      </c>
    </row>
    <row r="19038" spans="1:5">
      <c r="A19038" t="s">
        <v>6</v>
      </c>
      <c r="B19038" t="s">
        <v>19043</v>
      </c>
      <c r="C19038">
        <f>HYPERLINK("C:\Users\franc\OneDrive\Documentos\MALENTIN KARIME\BANCO ESTADO\2012 DEPTO ESCRITURAS fata\2012 DEPTO ESCRITURAS\varios\ACTA VISITA 2º BIMESTRE 2012.doc", "Abrir Documento")</f>
        <v>0</v>
      </c>
      <c r="D19038" t="s">
        <v>23500</v>
      </c>
      <c r="E19038" t="s">
        <v>41513</v>
      </c>
    </row>
    <row r="19039" spans="1:5">
      <c r="A19039" t="s">
        <v>6</v>
      </c>
      <c r="B19039" t="s">
        <v>19044</v>
      </c>
      <c r="C19039">
        <f>HYPERLINK("C:\Users\franc\OneDrive\Documentos\MALENTIN KARIME\BANCO ESTADO\2012 DEPTO ESCRITURAS fata\2012 DEPTO ESCRITURAS\varios\ACTA VISITA 1º BIMESTRE 2012.doc", "Abrir Documento")</f>
        <v>0</v>
      </c>
      <c r="D19039" t="s">
        <v>23500</v>
      </c>
      <c r="E19039" t="s">
        <v>41514</v>
      </c>
    </row>
    <row r="19040" spans="1:5">
      <c r="A19040" t="s">
        <v>6</v>
      </c>
      <c r="B19040" t="s">
        <v>19045</v>
      </c>
      <c r="C19040">
        <f>HYPERLINK("C:\Users\franc\OneDrive\Documentos\MALENTIN KARIME\BANCO ESTADO\2012 DEPTO ESCRITURAS fata\2012 DEPTO ESCRITURAS\varios\ACTA  DE ENTREGA.doc", "Abrir Documento")</f>
        <v>0</v>
      </c>
      <c r="D19040" t="s">
        <v>23500</v>
      </c>
      <c r="E19040" t="s">
        <v>41515</v>
      </c>
    </row>
    <row r="19041" spans="1:5">
      <c r="A19041" t="s">
        <v>6</v>
      </c>
      <c r="B19041" t="s">
        <v>19046</v>
      </c>
      <c r="C19041">
        <f>HYPERLINK("C:\Users\franc\OneDrive\Documentos\MALENTIN KARIME\BANCO ESTADO\2012 DEPTO ESCRITURAS fata\2012 DEPTO ESCRITURAS\USUFRUCTO\TOMAS ELGUETA A LAURA ELGUETA Renuncia.doc", "Abrir Documento")</f>
        <v>0</v>
      </c>
      <c r="D19041" t="s">
        <v>23500</v>
      </c>
      <c r="E19041" t="s">
        <v>41516</v>
      </c>
    </row>
    <row r="19042" spans="1:5">
      <c r="A19042" t="s">
        <v>6</v>
      </c>
      <c r="B19042" t="s">
        <v>19047</v>
      </c>
      <c r="C19042">
        <f>HYPERLINK("C:\Users\franc\OneDrive\Documentos\MALENTIN KARIME\BANCO ESTADO\2012 DEPTO ESCRITURAS fata\2012 DEPTO ESCRITURAS\USUFRUCTO\RAMONA ROJAS PASTEN A ISRAEL VALDIVIA.doc", "Abrir Documento")</f>
        <v>0</v>
      </c>
      <c r="D19042" t="s">
        <v>23500</v>
      </c>
      <c r="E19042" t="s">
        <v>41517</v>
      </c>
    </row>
    <row r="19043" spans="1:5">
      <c r="A19043" t="s">
        <v>6</v>
      </c>
      <c r="B19043" t="s">
        <v>19048</v>
      </c>
      <c r="C19043">
        <f>HYPERLINK("C:\Users\franc\OneDrive\Documentos\MALENTIN KARIME\BANCO ESTADO\2012 DEPTO ESCRITURAS fata\2012 DEPTO ESCRITURAS\USUFRUCTO\PEDRO CORTES ROBLES.doc", "Abrir Documento")</f>
        <v>0</v>
      </c>
      <c r="D19043" t="s">
        <v>23500</v>
      </c>
      <c r="E19043" t="s">
        <v>41518</v>
      </c>
    </row>
    <row r="19044" spans="1:5">
      <c r="A19044" t="s">
        <v>6</v>
      </c>
      <c r="B19044" t="s">
        <v>19049</v>
      </c>
      <c r="C19044">
        <f>HYPERLINK("C:\Users\franc\OneDrive\Documentos\MALENTIN KARIME\BANCO ESTADO\2012 DEPTO ESCRITURAS fata\2012 DEPTO ESCRITURAS\USUFRUCTO\LUZ OLIVARES Renuncia.doc", "Abrir Documento")</f>
        <v>0</v>
      </c>
      <c r="D19044" t="s">
        <v>23500</v>
      </c>
      <c r="E19044" t="s">
        <v>41519</v>
      </c>
    </row>
    <row r="19045" spans="1:5">
      <c r="A19045" t="s">
        <v>6</v>
      </c>
      <c r="B19045" t="s">
        <v>19050</v>
      </c>
      <c r="C19045">
        <f>HYPERLINK("C:\Users\franc\OneDrive\Documentos\MALENTIN KARIME\BANCO ESTADO\2012 DEPTO ESCRITURAS fata\2012 DEPTO ESCRITURAS\USUFRUCTO\JUANA LOPEZ ARAYA Resciliacion y renuncia.doc", "Abrir Documento")</f>
        <v>0</v>
      </c>
      <c r="D19045" t="s">
        <v>23500</v>
      </c>
      <c r="E19045" t="s">
        <v>41520</v>
      </c>
    </row>
    <row r="19046" spans="1:5">
      <c r="A19046" t="s">
        <v>6</v>
      </c>
      <c r="B19046" t="s">
        <v>19051</v>
      </c>
      <c r="C19046">
        <f>HYPERLINK("C:\Users\franc\OneDrive\Documentos\MALENTIN KARIME\BANCO ESTADO\2012 DEPTO ESCRITURAS fata\2012 DEPTO ESCRITURAS\USUFRUCTO\JAVIER CORTES AVILES.doc", "Abrir Documento")</f>
        <v>0</v>
      </c>
      <c r="D19046" t="s">
        <v>23500</v>
      </c>
      <c r="E19046" t="s">
        <v>41521</v>
      </c>
    </row>
    <row r="19047" spans="1:5">
      <c r="A19047" t="s">
        <v>6</v>
      </c>
      <c r="B19047" t="s">
        <v>19052</v>
      </c>
      <c r="C19047">
        <f>HYPERLINK("C:\Users\franc\OneDrive\Documentos\MALENTIN KARIME\BANCO ESTADO\2012 DEPTO ESCRITURAS fata\2012 DEPTO ESCRITURAS\USUFRUCTO\IVAN CASTILLO Resciliacion y renuncia.doc", "Abrir Documento")</f>
        <v>0</v>
      </c>
      <c r="D19047" t="s">
        <v>23500</v>
      </c>
      <c r="E19047" t="s">
        <v>41522</v>
      </c>
    </row>
    <row r="19048" spans="1:5">
      <c r="A19048" t="s">
        <v>6</v>
      </c>
      <c r="B19048" t="s">
        <v>19053</v>
      </c>
      <c r="C19048">
        <f>HYPERLINK("C:\Users\franc\OneDrive\Documentos\MALENTIN KARIME\BANCO ESTADO\2012 DEPTO ESCRITURAS fata\2012 DEPTO ESCRITURAS\USUFRUCTO\HUGO GUILLERMO ARAYA LARRAIN.doc", "Abrir Documento")</f>
        <v>0</v>
      </c>
      <c r="D19048" t="s">
        <v>23500</v>
      </c>
      <c r="E19048" t="s">
        <v>41523</v>
      </c>
    </row>
    <row r="19049" spans="1:5">
      <c r="A19049" t="s">
        <v>6</v>
      </c>
      <c r="B19049" t="s">
        <v>19054</v>
      </c>
      <c r="C19049">
        <f>HYPERLINK("C:\Users\franc\OneDrive\Documentos\MALENTIN KARIME\BANCO ESTADO\2012 DEPTO ESCRITURAS fata\2012 DEPTO ESCRITURAS\USUFRUCTO\HECTOR ESPINOSA Y ALBERTO ESPINOSA.doc", "Abrir Documento")</f>
        <v>0</v>
      </c>
      <c r="D19049" t="s">
        <v>23500</v>
      </c>
      <c r="E19049" t="s">
        <v>41524</v>
      </c>
    </row>
    <row r="19050" spans="1:5">
      <c r="A19050" t="s">
        <v>6</v>
      </c>
      <c r="B19050" t="s">
        <v>19055</v>
      </c>
      <c r="C19050">
        <f>HYPERLINK("C:\Users\franc\OneDrive\Documentos\MALENTIN KARIME\BANCO ESTADO\2012 DEPTO ESCRITURAS fata\2012 DEPTO ESCRITURAS\USUFRUCTO\EDUARDO ZEPEDA PEREZ Usufructo.doc", "Abrir Documento")</f>
        <v>0</v>
      </c>
      <c r="D19050" t="s">
        <v>23500</v>
      </c>
      <c r="E19050" t="s">
        <v>41525</v>
      </c>
    </row>
    <row r="19051" spans="1:5">
      <c r="A19051" t="s">
        <v>6</v>
      </c>
      <c r="B19051" t="s">
        <v>19056</v>
      </c>
      <c r="C19051">
        <f>HYPERLINK("C:\Users\franc\OneDrive\Documentos\MALENTIN KARIME\BANCO ESTADO\2012 DEPTO ESCRITURAS fata\2012 DEPTO ESCRITURAS\USUFRUCTO\EDUARDO ZEPEDA A CLARA BARRAZA Minuta.doc", "Abrir Documento")</f>
        <v>0</v>
      </c>
      <c r="D19051" t="s">
        <v>23500</v>
      </c>
      <c r="E19051" t="s">
        <v>41526</v>
      </c>
    </row>
    <row r="19052" spans="1:5">
      <c r="A19052" t="s">
        <v>6</v>
      </c>
      <c r="B19052" t="s">
        <v>19057</v>
      </c>
      <c r="C19052">
        <f>HYPERLINK("C:\Users\franc\OneDrive\Documentos\MALENTIN KARIME\BANCO ESTADO\2012 DEPTO ESCRITURAS fata\2012 DEPTO ESCRITURAS\USUFRUCTO\CLAUDIO CORTES AVILES.doc", "Abrir Documento")</f>
        <v>0</v>
      </c>
      <c r="D19052" t="s">
        <v>23500</v>
      </c>
      <c r="E19052" t="s">
        <v>41527</v>
      </c>
    </row>
    <row r="19053" spans="1:5">
      <c r="A19053" t="s">
        <v>6</v>
      </c>
      <c r="B19053" t="s">
        <v>19058</v>
      </c>
      <c r="C19053">
        <f>HYPERLINK("C:\Users\franc\OneDrive\Documentos\MALENTIN KARIME\BANCO ESTADO\2012 DEPTO ESCRITURAS fata\2012 DEPTO ESCRITURAS\USUFRUCTO\ANA MARIA CERVA CORTES Renunc. Usufructo.doc", "Abrir Documento")</f>
        <v>0</v>
      </c>
      <c r="D19053" t="s">
        <v>23500</v>
      </c>
      <c r="E19053" t="s">
        <v>41528</v>
      </c>
    </row>
    <row r="19054" spans="1:5">
      <c r="A19054" t="s">
        <v>6</v>
      </c>
      <c r="B19054" t="s">
        <v>19059</v>
      </c>
      <c r="C19054">
        <f>HYPERLINK("C:\Users\franc\OneDrive\Documentos\MALENTIN KARIME\BANCO ESTADO\2012 DEPTO ESCRITURAS fata\2012 DEPTO ESCRITURAS\TRANSACCION\modelo transaccion.doc", "Abrir Documento")</f>
        <v>0</v>
      </c>
      <c r="D19054" t="s">
        <v>23500</v>
      </c>
      <c r="E19054" t="s">
        <v>41529</v>
      </c>
    </row>
    <row r="19055" spans="1:5">
      <c r="A19055" t="s">
        <v>6</v>
      </c>
      <c r="B19055" t="s">
        <v>19060</v>
      </c>
      <c r="C19055">
        <f>HYPERLINK("C:\Users\franc\OneDrive\Documentos\MALENTIN KARIME\BANCO ESTADO\2012 DEPTO ESCRITURAS fata\2012 DEPTO ESCRITURAS\TRANSACCION\LUIS RIVERA A PEDRO GALLARDO.doc", "Abrir Documento")</f>
        <v>0</v>
      </c>
      <c r="D19055" t="s">
        <v>23500</v>
      </c>
      <c r="E19055" t="s">
        <v>41530</v>
      </c>
    </row>
    <row r="19056" spans="1:5">
      <c r="A19056" t="s">
        <v>6</v>
      </c>
      <c r="B19056" t="s">
        <v>19061</v>
      </c>
      <c r="C19056">
        <f>HYPERLINK("C:\Users\franc\OneDrive\Documentos\MALENTIN KARIME\BANCO ESTADO\2012 DEPTO ESCRITURAS fata\2012 DEPTO ESCRITURAS\TRANSACCION\HECTOR CASTILLO A PEDRO GALLARDO.doc", "Abrir Documento")</f>
        <v>0</v>
      </c>
      <c r="D19056" t="s">
        <v>23500</v>
      </c>
      <c r="E19056" t="s">
        <v>41531</v>
      </c>
    </row>
    <row r="19057" spans="1:5">
      <c r="A19057" t="s">
        <v>6</v>
      </c>
      <c r="B19057" t="s">
        <v>19062</v>
      </c>
      <c r="C19057">
        <f>HYPERLINK("C:\Users\franc\OneDrive\Documentos\MALENTIN KARIME\BANCO ESTADO\2012 DEPTO ESCRITURAS fata\2012 DEPTO ESCRITURAS\TRANSACCION\CEGECAP.doc", "Abrir Documento")</f>
        <v>0</v>
      </c>
      <c r="D19057" t="s">
        <v>23500</v>
      </c>
      <c r="E19057" t="s">
        <v>41532</v>
      </c>
    </row>
    <row r="19058" spans="1:5">
      <c r="A19058" t="s">
        <v>6</v>
      </c>
      <c r="B19058" t="s">
        <v>19063</v>
      </c>
      <c r="C19058">
        <f>HYPERLINK("C:\Users\franc\OneDrive\Documentos\MALENTIN KARIME\BANCO ESTADO\2012 DEPTO ESCRITURAS fata\2012 DEPTO ESCRITURAS\TESTAMENTO\INFORME Testamentos\Formulario para Testamentos[2].doc", "Abrir Documento")</f>
        <v>0</v>
      </c>
      <c r="D19058" t="s">
        <v>23500</v>
      </c>
      <c r="E19058" t="s">
        <v>41533</v>
      </c>
    </row>
    <row r="19059" spans="1:5">
      <c r="A19059" t="s">
        <v>6</v>
      </c>
      <c r="B19059" t="s">
        <v>19064</v>
      </c>
      <c r="C19059">
        <f>HYPERLINK("C:\Users\franc\OneDrive\Documentos\MALENTIN KARIME\BANCO ESTADO\2012 DEPTO ESCRITURAS fata\2012 DEPTO ESCRITURAS\TESTAMENTO\INFORME Testamentos\Formulario para Testamentos[1].doc", "Abrir Documento")</f>
        <v>0</v>
      </c>
      <c r="D19059" t="s">
        <v>23500</v>
      </c>
      <c r="E19059" t="s">
        <v>41534</v>
      </c>
    </row>
    <row r="19060" spans="1:5">
      <c r="A19060" t="s">
        <v>6</v>
      </c>
      <c r="B19060" t="s">
        <v>19065</v>
      </c>
      <c r="C19060">
        <f>HYPERLINK("C:\Users\franc\OneDrive\Documentos\MALENTIN KARIME\BANCO ESTADO\2012 DEPTO ESCRITURAS fata\2012 DEPTO ESCRITURAS\TESTAMENTO\INFORME Testamentos\Formulario para Testamentos con testadores.doc", "Abrir Documento")</f>
        <v>0</v>
      </c>
      <c r="D19060" t="s">
        <v>23500</v>
      </c>
      <c r="E19060" t="s">
        <v>41535</v>
      </c>
    </row>
    <row r="19061" spans="1:5">
      <c r="A19061" t="s">
        <v>6</v>
      </c>
      <c r="B19061" t="s">
        <v>19066</v>
      </c>
      <c r="C19061">
        <f>HYPERLINK("C:\Users\franc\OneDrive\Documentos\MALENTIN KARIME\BANCO ESTADO\2012 DEPTO ESCRITURAS fata\2012 DEPTO ESCRITURAS\TESTAMENTO\INFORME Testamentos\Formulario para Testamentos con testadores MAYO.doc", "Abrir Documento")</f>
        <v>0</v>
      </c>
      <c r="D19061" t="s">
        <v>23500</v>
      </c>
      <c r="E19061" t="s">
        <v>41536</v>
      </c>
    </row>
    <row r="19062" spans="1:5">
      <c r="A19062" t="s">
        <v>6</v>
      </c>
      <c r="B19062" t="s">
        <v>19067</v>
      </c>
      <c r="C19062">
        <f>HYPERLINK("C:\Users\franc\OneDrive\Documentos\MALENTIN KARIME\BANCO ESTADO\2012 DEPTO ESCRITURAS fata\2012 DEPTO ESCRITURAS\TESTAMENTO\INFORME Testamentos\Formulario para Testamentos con testadores FEBRERO.doc", "Abrir Documento")</f>
        <v>0</v>
      </c>
      <c r="D19062" t="s">
        <v>23500</v>
      </c>
      <c r="E19062" t="s">
        <v>41537</v>
      </c>
    </row>
    <row r="19063" spans="1:5">
      <c r="A19063" t="s">
        <v>6</v>
      </c>
      <c r="B19063" t="s">
        <v>19068</v>
      </c>
      <c r="C19063">
        <f>HYPERLINK("C:\Users\franc\OneDrive\Documentos\MALENTIN KARIME\BANCO ESTADO\2012 DEPTO ESCRITURAS fata\2012 DEPTO ESCRITURAS\TESTAMENTO\ROJELIO DELGADO DELGADO.doc", "Abrir Documento")</f>
        <v>0</v>
      </c>
      <c r="D19063" t="s">
        <v>23500</v>
      </c>
      <c r="E19063" t="s">
        <v>41538</v>
      </c>
    </row>
    <row r="19064" spans="1:5">
      <c r="A19064" t="s">
        <v>6</v>
      </c>
      <c r="B19064" t="s">
        <v>19069</v>
      </c>
      <c r="C19064">
        <f>HYPERLINK("C:\Users\franc\OneDrive\Documentos\MALENTIN KARIME\BANCO ESTADO\2012 DEPTO ESCRITURAS fata\2012 DEPTO ESCRITURAS\TESTAMENTO\MARIA ALVARADO CARVAJAL.doc", "Abrir Documento")</f>
        <v>0</v>
      </c>
      <c r="D19064" t="s">
        <v>23500</v>
      </c>
      <c r="E19064" t="s">
        <v>41539</v>
      </c>
    </row>
    <row r="19065" spans="1:5">
      <c r="A19065" t="s">
        <v>6</v>
      </c>
      <c r="B19065" t="s">
        <v>19070</v>
      </c>
      <c r="C19065">
        <f>HYPERLINK("C:\Users\franc\OneDrive\Documentos\MALENTIN KARIME\BANCO ESTADO\2012 DEPTO ESCRITURAS fata\2012 DEPTO ESCRITURAS\TESTAMENTO\ELSA BUGUEÑO EGAÑA Ratifica.doc", "Abrir Documento")</f>
        <v>0</v>
      </c>
      <c r="D19065" t="s">
        <v>23500</v>
      </c>
      <c r="E19065" t="s">
        <v>41540</v>
      </c>
    </row>
    <row r="19066" spans="1:5">
      <c r="A19066" t="s">
        <v>6</v>
      </c>
      <c r="B19066" t="s">
        <v>19071</v>
      </c>
      <c r="C19066">
        <f>HYPERLINK("C:\Users\franc\OneDrive\Documentos\MALENTIN KARIME\BANCO ESTADO\2012 DEPTO ESCRITURAS fata\2012 DEPTO ESCRITURAS\TELEFONICA\JUAN VILLARROEL LOPEZ.doc", "Abrir Documento")</f>
        <v>0</v>
      </c>
      <c r="D19066" t="s">
        <v>23500</v>
      </c>
      <c r="E19066" t="s">
        <v>41541</v>
      </c>
    </row>
    <row r="19067" spans="1:5">
      <c r="A19067" t="s">
        <v>6</v>
      </c>
      <c r="B19067" t="s">
        <v>19072</v>
      </c>
      <c r="C19067">
        <f>HYPERLINK("C:\Users\franc\OneDrive\Documentos\MALENTIN KARIME\BANCO ESTADO\2012 DEPTO ESCRITURAS fata\2012 DEPTO ESCRITURAS\TELEFONICA\JUAN VILLARROEL LOPEZ nueva.doc", "Abrir Documento")</f>
        <v>0</v>
      </c>
      <c r="D19067" t="s">
        <v>23500</v>
      </c>
      <c r="E19067" t="s">
        <v>41542</v>
      </c>
    </row>
    <row r="19068" spans="1:5">
      <c r="A19068" t="s">
        <v>6</v>
      </c>
      <c r="B19068" t="s">
        <v>19073</v>
      </c>
      <c r="C19068">
        <f>HYPERLINK("C:\Users\franc\OneDrive\Documentos\MALENTIN KARIME\BANCO ESTADO\2012 DEPTO ESCRITURAS fata\2012 DEPTO ESCRITURAS\TELEFONICA\CONSTITUCION DE LA SOCIEDAD Scaneado.doc", "Abrir Documento")</f>
        <v>0</v>
      </c>
      <c r="D19068" t="s">
        <v>23500</v>
      </c>
      <c r="E19068" t="s">
        <v>41543</v>
      </c>
    </row>
    <row r="19069" spans="1:5">
      <c r="A19069" t="s">
        <v>6</v>
      </c>
      <c r="B19069" t="s">
        <v>19074</v>
      </c>
      <c r="C19069">
        <f>HYPERLINK("C:\Users\franc\OneDrive\Documentos\MALENTIN KARIME\BANCO ESTADO\2012 DEPTO ESCRITURAS fata\2012 DEPTO ESCRITURAS\TELEFONICA\COMUNIDAD AGRICOLA HUANA.doc", "Abrir Documento")</f>
        <v>0</v>
      </c>
      <c r="D19069" t="s">
        <v>23500</v>
      </c>
      <c r="E19069" t="s">
        <v>41544</v>
      </c>
    </row>
    <row r="19070" spans="1:5">
      <c r="A19070" t="s">
        <v>6</v>
      </c>
      <c r="B19070" t="s">
        <v>19075</v>
      </c>
      <c r="C19070">
        <f>HYPERLINK("C:\Users\franc\OneDrive\Documentos\MALENTIN KARIME\BANCO ESTADO\2012 DEPTO ESCRITURAS fata\2012 DEPTO ESCRITURAS\TELEFONICA\COMUNIDAD AGRICOLA HUANA abogado.doc", "Abrir Documento")</f>
        <v>0</v>
      </c>
      <c r="D19070" t="s">
        <v>23500</v>
      </c>
      <c r="E19070" t="s">
        <v>41545</v>
      </c>
    </row>
    <row r="19071" spans="1:5">
      <c r="A19071" t="s">
        <v>6</v>
      </c>
      <c r="B19071" t="s">
        <v>19076</v>
      </c>
      <c r="C19071">
        <f>HYPERLINK("C:\Users\franc\OneDrive\Documentos\MALENTIN KARIME\BANCO ESTADO\2012 DEPTO ESCRITURAS fata\2012 DEPTO ESCRITURAS\TANIA PEÑAILILLO\TERESA ARAYA A TANYA PEÑA Minuta}.doc", "Abrir Documento")</f>
        <v>0</v>
      </c>
      <c r="D19071" t="s">
        <v>23500</v>
      </c>
      <c r="E19071" t="s">
        <v>41546</v>
      </c>
    </row>
    <row r="19072" spans="1:5">
      <c r="A19072" t="s">
        <v>6</v>
      </c>
      <c r="B19072" t="s">
        <v>19077</v>
      </c>
      <c r="C19072">
        <f>HYPERLINK("C:\Users\franc\OneDrive\Documentos\MALENTIN KARIME\BANCO ESTADO\2012 DEPTO ESCRITURAS fata\2012 DEPTO ESCRITURAS\TANIA PEÑAILILLO\Roman Contreras a Nilda Ledezma.doc", "Abrir Documento")</f>
        <v>0</v>
      </c>
      <c r="D19072" t="s">
        <v>23500</v>
      </c>
      <c r="E19072" t="s">
        <v>41547</v>
      </c>
    </row>
    <row r="19073" spans="1:5">
      <c r="A19073" t="s">
        <v>6</v>
      </c>
      <c r="B19073" t="s">
        <v>19078</v>
      </c>
      <c r="C19073">
        <f>HYPERLINK("C:\Users\franc\OneDrive\Documentos\MALENTIN KARIME\BANCO ESTADO\2012 DEPTO ESCRITURAS fata\2012 DEPTO ESCRITURAS\SOCIEDADES\WILSON IRRIBARRA Y OTRO (Instrumento Privado).doc", "Abrir Documento")</f>
        <v>0</v>
      </c>
      <c r="D19073" t="s">
        <v>23500</v>
      </c>
      <c r="E19073" t="s">
        <v>41548</v>
      </c>
    </row>
    <row r="19074" spans="1:5">
      <c r="A19074" t="s">
        <v>6</v>
      </c>
      <c r="B19074" t="s">
        <v>19079</v>
      </c>
      <c r="C19074">
        <f>HYPERLINK("C:\Users\franc\OneDrive\Documentos\MALENTIN KARIME\BANCO ESTADO\2012 DEPTO ESCRITURAS fata\2012 DEPTO ESCRITURAS\SOCIEDADES\UMBRALES LTDA..doc", "Abrir Documento")</f>
        <v>0</v>
      </c>
      <c r="D19074" t="s">
        <v>23500</v>
      </c>
      <c r="E19074" t="s">
        <v>41549</v>
      </c>
    </row>
    <row r="19075" spans="1:5">
      <c r="A19075" t="s">
        <v>6</v>
      </c>
      <c r="B19075" t="s">
        <v>19080</v>
      </c>
      <c r="C19075">
        <f>HYPERLINK("C:\Users\franc\OneDrive\Documentos\MALENTIN KARIME\BANCO ESTADO\2012 DEPTO ESCRITURAS fata\2012 DEPTO ESCRITURAS\SOCIEDADES\TRAUMADENT Saneamiento.doc", "Abrir Documento")</f>
        <v>0</v>
      </c>
      <c r="D19075" t="s">
        <v>23500</v>
      </c>
      <c r="E19075" t="s">
        <v>41550</v>
      </c>
    </row>
    <row r="19076" spans="1:5">
      <c r="A19076" t="s">
        <v>6</v>
      </c>
      <c r="B19076" t="s">
        <v>19081</v>
      </c>
      <c r="C19076">
        <f>HYPERLINK("C:\Users\franc\OneDrive\Documentos\MALENTIN KARIME\BANCO ESTADO\2012 DEPTO ESCRITURAS fata\2012 DEPTO ESCRITURAS\SOCIEDADES\TRANSPORTES AROS LTDA..doc", "Abrir Documento")</f>
        <v>0</v>
      </c>
      <c r="D19076" t="s">
        <v>23500</v>
      </c>
      <c r="E19076" t="s">
        <v>41551</v>
      </c>
    </row>
    <row r="19077" spans="1:5">
      <c r="A19077" t="s">
        <v>6</v>
      </c>
      <c r="B19077" t="s">
        <v>19082</v>
      </c>
      <c r="C19077">
        <f>HYPERLINK("C:\Users\franc\OneDrive\Documentos\MALENTIN KARIME\BANCO ESTADO\2012 DEPTO ESCRITURAS fata\2012 DEPTO ESCRITURAS\SOCIEDADES\TRANSPORTES ARAYA Y ROJAS C.Ardiles.doc", "Abrir Documento")</f>
        <v>0</v>
      </c>
      <c r="D19077" t="s">
        <v>23500</v>
      </c>
      <c r="E19077" t="s">
        <v>41552</v>
      </c>
    </row>
    <row r="19078" spans="1:5">
      <c r="A19078" t="s">
        <v>6</v>
      </c>
      <c r="B19078" t="s">
        <v>19083</v>
      </c>
      <c r="C19078">
        <f>HYPERLINK("C:\Users\franc\OneDrive\Documentos\MALENTIN KARIME\BANCO ESTADO\2012 DEPTO ESCRITURAS fata\2012 DEPTO ESCRITURAS\SOCIEDADES\SOCIEDAD EDUC MATICES  Extracto.doc", "Abrir Documento")</f>
        <v>0</v>
      </c>
      <c r="D19078" t="s">
        <v>23500</v>
      </c>
      <c r="E19078" t="s">
        <v>41553</v>
      </c>
    </row>
    <row r="19079" spans="1:5">
      <c r="A19079" t="s">
        <v>6</v>
      </c>
      <c r="B19079" t="s">
        <v>19084</v>
      </c>
      <c r="C19079">
        <f>HYPERLINK("C:\Users\franc\OneDrive\Documentos\MALENTIN KARIME\BANCO ESTADO\2012 DEPTO ESCRITURAS fata\2012 DEPTO ESCRITURAS\SOCIEDADES\SOCIEDAD EDUC MATICES  Extracto DE ADOLFO LAY.doc", "Abrir Documento")</f>
        <v>0</v>
      </c>
      <c r="D19079" t="s">
        <v>23500</v>
      </c>
      <c r="E19079" t="s">
        <v>41554</v>
      </c>
    </row>
    <row r="19080" spans="1:5">
      <c r="A19080" t="s">
        <v>6</v>
      </c>
      <c r="B19080" t="s">
        <v>19085</v>
      </c>
      <c r="C19080">
        <f>HYPERLINK("C:\Users\franc\OneDrive\Documentos\MALENTIN KARIME\BANCO ESTADO\2012 DEPTO ESCRITURAS fata\2012 DEPTO ESCRITURAS\SOCIEDADES\SOCIEDAD AWA Y CIA..doc", "Abrir Documento")</f>
        <v>0</v>
      </c>
      <c r="D19080" t="s">
        <v>23500</v>
      </c>
      <c r="E19080" t="s">
        <v>41555</v>
      </c>
    </row>
    <row r="19081" spans="1:5">
      <c r="A19081" t="s">
        <v>6</v>
      </c>
      <c r="B19081" t="s">
        <v>19086</v>
      </c>
      <c r="C19081">
        <f>HYPERLINK("C:\Users\franc\OneDrive\Documentos\MALENTIN KARIME\BANCO ESTADO\2012 DEPTO ESCRITURAS fata\2012 DEPTO ESCRITURAS\SOCIEDADES\SOCIEDAD AWA Y CIA. Extracto.doc", "Abrir Documento")</f>
        <v>0</v>
      </c>
      <c r="D19081" t="s">
        <v>23500</v>
      </c>
      <c r="E19081" t="s">
        <v>41556</v>
      </c>
    </row>
    <row r="19082" spans="1:5">
      <c r="A19082" t="s">
        <v>6</v>
      </c>
      <c r="B19082" t="s">
        <v>19087</v>
      </c>
      <c r="C19082">
        <f>HYPERLINK("C:\Users\franc\OneDrive\Documentos\MALENTIN KARIME\BANCO ESTADO\2012 DEPTO ESCRITURAS fata\2012 DEPTO ESCRITURAS\SOCIEDADES\SOCIEDAD AGRICOLA OLE LTDA..doc", "Abrir Documento")</f>
        <v>0</v>
      </c>
      <c r="D19082" t="s">
        <v>23500</v>
      </c>
      <c r="E19082" t="s">
        <v>41557</v>
      </c>
    </row>
    <row r="19083" spans="1:5">
      <c r="A19083" t="s">
        <v>6</v>
      </c>
      <c r="B19083" t="s">
        <v>19088</v>
      </c>
      <c r="C19083">
        <f>HYPERLINK("C:\Users\franc\OneDrive\Documentos\MALENTIN KARIME\BANCO ESTADO\2012 DEPTO ESCRITURAS fata\2012 DEPTO ESCRITURAS\SOCIEDADES\SOC EDUCACIONAL MATICES LTDA, Modific Adolfo Lay.doc", "Abrir Documento")</f>
        <v>0</v>
      </c>
      <c r="D19083" t="s">
        <v>23500</v>
      </c>
      <c r="E19083" t="s">
        <v>41558</v>
      </c>
    </row>
    <row r="19084" spans="1:5">
      <c r="A19084" t="s">
        <v>6</v>
      </c>
      <c r="B19084" t="s">
        <v>19089</v>
      </c>
      <c r="C19084">
        <f>HYPERLINK("C:\Users\franc\OneDrive\Documentos\MALENTIN KARIME\BANCO ESTADO\2012 DEPTO ESCRITURAS fata\2012 DEPTO ESCRITURAS\SOCIEDADES\SOC DE TRANSPORTES E INV JUAN PARRA LTDA.Extracto.doc", "Abrir Documento")</f>
        <v>0</v>
      </c>
      <c r="D19084" t="s">
        <v>23500</v>
      </c>
      <c r="E19084" t="s">
        <v>41559</v>
      </c>
    </row>
    <row r="19085" spans="1:5">
      <c r="A19085" t="s">
        <v>6</v>
      </c>
      <c r="B19085" t="s">
        <v>19090</v>
      </c>
      <c r="C19085">
        <f>HYPERLINK("C:\Users\franc\OneDrive\Documentos\MALENTIN KARIME\BANCO ESTADO\2012 DEPTO ESCRITURAS fata\2012 DEPTO ESCRITURAS\SOCIEDADES\SICOVAL LTDA Hernán Perez.doc", "Abrir Documento")</f>
        <v>0</v>
      </c>
      <c r="D19085" t="s">
        <v>23500</v>
      </c>
      <c r="E19085" t="s">
        <v>41560</v>
      </c>
    </row>
    <row r="19086" spans="1:5">
      <c r="A19086" t="s">
        <v>6</v>
      </c>
      <c r="B19086" t="s">
        <v>19091</v>
      </c>
      <c r="C19086">
        <f>HYPERLINK("C:\Users\franc\OneDrive\Documentos\MALENTIN KARIME\BANCO ESTADO\2012 DEPTO ESCRITURAS fata\2012 DEPTO ESCRITURAS\SOCIEDADES\SALUD INTEGRALLIMITADA.doc", "Abrir Documento")</f>
        <v>0</v>
      </c>
      <c r="D19086" t="s">
        <v>23500</v>
      </c>
      <c r="E19086" t="s">
        <v>41561</v>
      </c>
    </row>
    <row r="19087" spans="1:5">
      <c r="A19087" t="s">
        <v>6</v>
      </c>
      <c r="B19087" t="s">
        <v>19092</v>
      </c>
      <c r="C19087">
        <f>HYPERLINK("C:\Users\franc\OneDrive\Documentos\MALENTIN KARIME\BANCO ESTADO\2012 DEPTO ESCRITURAS fata\2012 DEPTO ESCRITURAS\SOCIEDADES\SALUD INTEGRAL Extracto.doc", "Abrir Documento")</f>
        <v>0</v>
      </c>
      <c r="D19087" t="s">
        <v>23500</v>
      </c>
      <c r="E19087" t="s">
        <v>41562</v>
      </c>
    </row>
    <row r="19088" spans="1:5">
      <c r="A19088" t="s">
        <v>6</v>
      </c>
      <c r="B19088" t="s">
        <v>19093</v>
      </c>
      <c r="C19088">
        <f>HYPERLINK("C:\Users\franc\OneDrive\Documentos\MALENTIN KARIME\BANCO ESTADO\2012 DEPTO ESCRITURAS fata\2012 DEPTO ESCRITURAS\SOCIEDADES\RIO GRANDE  Extracto.doc", "Abrir Documento")</f>
        <v>0</v>
      </c>
      <c r="D19088" t="s">
        <v>23500</v>
      </c>
      <c r="E19088" t="s">
        <v>41563</v>
      </c>
    </row>
    <row r="19089" spans="1:5">
      <c r="A19089" t="s">
        <v>6</v>
      </c>
      <c r="B19089" t="s">
        <v>19094</v>
      </c>
      <c r="C19089">
        <f>HYPERLINK("C:\Users\franc\OneDrive\Documentos\MALENTIN KARIME\BANCO ESTADO\2012 DEPTO ESCRITURAS fata\2012 DEPTO ESCRITURAS\SOCIEDADES\RICARDO PIZARRO Y OTROS (Instrumento Privado).doc", "Abrir Documento")</f>
        <v>0</v>
      </c>
      <c r="D19089" t="s">
        <v>23500</v>
      </c>
      <c r="E19089" t="s">
        <v>41564</v>
      </c>
    </row>
    <row r="19090" spans="1:5">
      <c r="A19090" t="s">
        <v>6</v>
      </c>
      <c r="B19090" t="s">
        <v>19095</v>
      </c>
      <c r="C19090">
        <f>HYPERLINK("C:\Users\franc\OneDrive\Documentos\MALENTIN KARIME\BANCO ESTADO\2012 DEPTO ESCRITURAS fata\2012 DEPTO ESCRITURAS\SOCIEDADES\PARRA CARVAJAL LTDA Saneamiento.doc", "Abrir Documento")</f>
        <v>0</v>
      </c>
      <c r="D19090" t="s">
        <v>23500</v>
      </c>
      <c r="E19090" t="s">
        <v>41565</v>
      </c>
    </row>
    <row r="19091" spans="1:5">
      <c r="A19091" t="s">
        <v>6</v>
      </c>
      <c r="B19091" t="s">
        <v>19096</v>
      </c>
      <c r="C19091">
        <f>HYPERLINK("C:\Users\franc\OneDrive\Documentos\MALENTIN KARIME\BANCO ESTADO\2012 DEPTO ESCRITURAS fata\2012 DEPTO ESCRITURAS\SOCIEDADES\PAMELA COFRE E ISAURO AGUILERA.doc", "Abrir Documento")</f>
        <v>0</v>
      </c>
      <c r="D19091" t="s">
        <v>23500</v>
      </c>
      <c r="E19091" t="s">
        <v>41566</v>
      </c>
    </row>
    <row r="19092" spans="1:5">
      <c r="A19092" t="s">
        <v>6</v>
      </c>
      <c r="B19092" t="s">
        <v>19097</v>
      </c>
      <c r="C19092">
        <f>HYPERLINK("C:\Users\franc\OneDrive\Documentos\MALENTIN KARIME\BANCO ESTADO\2012 DEPTO ESCRITURAS fata\2012 DEPTO ESCRITURAS\SOCIEDADES\OSCAR JOFRE Saneamiento.doc", "Abrir Documento")</f>
        <v>0</v>
      </c>
      <c r="D19092" t="s">
        <v>23500</v>
      </c>
      <c r="E19092" t="s">
        <v>41567</v>
      </c>
    </row>
    <row r="19093" spans="1:5">
      <c r="A19093" t="s">
        <v>6</v>
      </c>
      <c r="B19093" t="s">
        <v>19098</v>
      </c>
      <c r="C19093">
        <f>HYPERLINK("C:\Users\franc\OneDrive\Documentos\MALENTIN KARIME\BANCO ESTADO\2012 DEPTO ESCRITURAS fata\2012 DEPTO ESCRITURAS\SOCIEDADES\OSCAR JOFRE Extracto.doc", "Abrir Documento")</f>
        <v>0</v>
      </c>
      <c r="D19093" t="s">
        <v>23500</v>
      </c>
      <c r="E19093" t="s">
        <v>41568</v>
      </c>
    </row>
    <row r="19094" spans="1:5">
      <c r="A19094" t="s">
        <v>6</v>
      </c>
      <c r="B19094" t="s">
        <v>19099</v>
      </c>
      <c r="C19094">
        <f>HYPERLINK("C:\Users\franc\OneDrive\Documentos\MALENTIN KARIME\BANCO ESTADO\2012 DEPTO ESCRITURAS fata\2012 DEPTO ESCRITURAS\SOCIEDADES\NANCY JULIO.doc", "Abrir Documento")</f>
        <v>0</v>
      </c>
      <c r="D19094" t="s">
        <v>23500</v>
      </c>
      <c r="E19094" t="s">
        <v>41569</v>
      </c>
    </row>
    <row r="19095" spans="1:5">
      <c r="A19095" t="s">
        <v>6</v>
      </c>
      <c r="B19095" t="s">
        <v>19100</v>
      </c>
      <c r="C19095">
        <f>HYPERLINK("C:\Users\franc\OneDrive\Documentos\MALENTIN KARIME\BANCO ESTADO\2012 DEPTO ESCRITURAS fata\2012 DEPTO ESCRITURAS\SOCIEDADES\MINERA JUAN ALONSO SCM.doc", "Abrir Documento")</f>
        <v>0</v>
      </c>
      <c r="D19095" t="s">
        <v>23500</v>
      </c>
      <c r="E19095" t="s">
        <v>41570</v>
      </c>
    </row>
    <row r="19096" spans="1:5">
      <c r="A19096" t="s">
        <v>6</v>
      </c>
      <c r="B19096" t="s">
        <v>19101</v>
      </c>
      <c r="C19096">
        <f>HYPERLINK("C:\Users\franc\OneDrive\Documentos\MALENTIN KARIME\BANCO ESTADO\2012 DEPTO ESCRITURAS fata\2012 DEPTO ESCRITURAS\SOCIEDADES\MINERA ANA KAMILA SCM.doc", "Abrir Documento")</f>
        <v>0</v>
      </c>
      <c r="D19096" t="s">
        <v>23500</v>
      </c>
      <c r="E19096" t="s">
        <v>41571</v>
      </c>
    </row>
    <row r="19097" spans="1:5">
      <c r="A19097" t="s">
        <v>6</v>
      </c>
      <c r="B19097" t="s">
        <v>19102</v>
      </c>
      <c r="C19097">
        <f>HYPERLINK("C:\Users\franc\OneDrive\Documentos\MALENTIN KARIME\BANCO ESTADO\2012 DEPTO ESCRITURAS fata\2012 DEPTO ESCRITURAS\SOCIEDADES\MINERA ANA KAMILA SCM para extracto.doc", "Abrir Documento")</f>
        <v>0</v>
      </c>
      <c r="D19097" t="s">
        <v>23500</v>
      </c>
      <c r="E19097" t="s">
        <v>41572</v>
      </c>
    </row>
    <row r="19098" spans="1:5">
      <c r="A19098" t="s">
        <v>6</v>
      </c>
      <c r="B19098" t="s">
        <v>19103</v>
      </c>
      <c r="C19098">
        <f>HYPERLINK("C:\Users\franc\OneDrive\Documentos\MALENTIN KARIME\BANCO ESTADO\2012 DEPTO ESCRITURAS fata\2012 DEPTO ESCRITURAS\SOCIEDADES\MINERA ANA KAMILA SCM Extracto.doc", "Abrir Documento")</f>
        <v>0</v>
      </c>
      <c r="D19098" t="s">
        <v>23500</v>
      </c>
      <c r="E19098" t="s">
        <v>41573</v>
      </c>
    </row>
    <row r="19099" spans="1:5">
      <c r="A19099" t="s">
        <v>6</v>
      </c>
      <c r="B19099" t="s">
        <v>19104</v>
      </c>
      <c r="C19099">
        <f>HYPERLINK("C:\Users\franc\OneDrive\Documentos\MALENTIN KARIME\BANCO ESTADO\2012 DEPTO ESCRITURAS fata\2012 DEPTO ESCRITURAS\SOCIEDADES\LAS PIRCAS Dic. 2013.doc", "Abrir Documento")</f>
        <v>0</v>
      </c>
      <c r="D19099" t="s">
        <v>23500</v>
      </c>
      <c r="E19099" t="s">
        <v>41574</v>
      </c>
    </row>
    <row r="19100" spans="1:5">
      <c r="A19100" t="s">
        <v>6</v>
      </c>
      <c r="B19100" t="s">
        <v>19105</v>
      </c>
      <c r="C19100">
        <f>HYPERLINK("C:\Users\franc\OneDrive\Documentos\MALENTIN KARIME\BANCO ESTADO\2012 DEPTO ESCRITURAS fata\2012 DEPTO ESCRITURAS\SOCIEDADES\JAIME CAMPOSANO Extracto.doc", "Abrir Documento")</f>
        <v>0</v>
      </c>
      <c r="D19100" t="s">
        <v>23500</v>
      </c>
      <c r="E19100" t="s">
        <v>41575</v>
      </c>
    </row>
    <row r="19101" spans="1:5">
      <c r="A19101" t="s">
        <v>6</v>
      </c>
      <c r="B19101" t="s">
        <v>19106</v>
      </c>
      <c r="C19101">
        <f>HYPERLINK("C:\Users\franc\OneDrive\Documentos\MALENTIN KARIME\BANCO ESTADO\2012 DEPTO ESCRITURAS fata\2012 DEPTO ESCRITURAS\SOCIEDADES\INVERSIONES PARRA LTDA Extracto.doc", "Abrir Documento")</f>
        <v>0</v>
      </c>
      <c r="D19101" t="s">
        <v>23500</v>
      </c>
      <c r="E19101" t="s">
        <v>41576</v>
      </c>
    </row>
    <row r="19102" spans="1:5">
      <c r="A19102" t="s">
        <v>6</v>
      </c>
      <c r="B19102" t="s">
        <v>19107</v>
      </c>
      <c r="C19102">
        <f>HYPERLINK("C:\Users\franc\OneDrive\Documentos\MALENTIN KARIME\BANCO ESTADO\2012 DEPTO ESCRITURAS fata\2012 DEPTO ESCRITURAS\SOCIEDADES\INSTRUCCIONES.doc", "Abrir Documento")</f>
        <v>0</v>
      </c>
      <c r="D19102" t="s">
        <v>23500</v>
      </c>
      <c r="E19102" t="s">
        <v>41577</v>
      </c>
    </row>
    <row r="19103" spans="1:5">
      <c r="A19103" t="s">
        <v>6</v>
      </c>
      <c r="B19103" t="s">
        <v>19108</v>
      </c>
      <c r="C19103">
        <f>HYPERLINK("C:\Users\franc\OneDrive\Documentos\MALENTIN KARIME\BANCO ESTADO\2012 DEPTO ESCRITURAS fata\2012 DEPTO ESCRITURAS\SOCIEDADES\Inmobiliaria El Sauce Ltda.doc", "Abrir Documento")</f>
        <v>0</v>
      </c>
      <c r="D19103" t="s">
        <v>23500</v>
      </c>
      <c r="E19103" t="s">
        <v>41578</v>
      </c>
    </row>
    <row r="19104" spans="1:5">
      <c r="A19104" t="s">
        <v>6</v>
      </c>
      <c r="B19104" t="s">
        <v>19109</v>
      </c>
      <c r="C19104">
        <f>HYPERLINK("C:\Users\franc\OneDrive\Documentos\MALENTIN KARIME\BANCO ESTADO\2012 DEPTO ESCRITURAS fata\2012 DEPTO ESCRITURAS\SOCIEDADES\HERMANOS PEÑARANCIBIA LIMITADA Minuta de  Tania.doc", "Abrir Documento")</f>
        <v>0</v>
      </c>
      <c r="D19104" t="s">
        <v>23500</v>
      </c>
      <c r="E19104" t="s">
        <v>41579</v>
      </c>
    </row>
    <row r="19105" spans="1:5">
      <c r="A19105" t="s">
        <v>6</v>
      </c>
      <c r="B19105" t="s">
        <v>19110</v>
      </c>
      <c r="C19105">
        <f>HYPERLINK("C:\Users\franc\OneDrive\Documentos\MALENTIN KARIME\BANCO ESTADO\2012 DEPTO ESCRITURAS fata\2012 DEPTO ESCRITURAS\SOCIEDADES\HERMANOS PEÑARANCIBIA LIMITADA Escritura.doc", "Abrir Documento")</f>
        <v>0</v>
      </c>
      <c r="D19105" t="s">
        <v>23500</v>
      </c>
      <c r="E19105" t="s">
        <v>41580</v>
      </c>
    </row>
    <row r="19106" spans="1:5">
      <c r="A19106" t="s">
        <v>6</v>
      </c>
      <c r="B19106" t="s">
        <v>19111</v>
      </c>
      <c r="C19106">
        <f>HYPERLINK("C:\Users\franc\OneDrive\Documentos\MALENTIN KARIME\BANCO ESTADO\2012 DEPTO ESCRITURAS fata\2012 DEPTO ESCRITURAS\SOCIEDADES\GUILLERMO GUERRERO E.I.R.L. Modific..doc", "Abrir Documento")</f>
        <v>0</v>
      </c>
      <c r="D19106" t="s">
        <v>23500</v>
      </c>
      <c r="E19106" t="s">
        <v>41581</v>
      </c>
    </row>
    <row r="19107" spans="1:5">
      <c r="A19107" t="s">
        <v>6</v>
      </c>
      <c r="B19107" t="s">
        <v>19112</v>
      </c>
      <c r="C19107">
        <f>HYPERLINK("C:\Users\franc\OneDrive\Documentos\MALENTIN KARIME\BANCO ESTADO\2012 DEPTO ESCRITURAS fata\2012 DEPTO ESCRITURAS\SOCIEDADES\GUILLERMO GUERRERO E.I.R.L. Extracto.doc", "Abrir Documento")</f>
        <v>0</v>
      </c>
      <c r="D19107" t="s">
        <v>23500</v>
      </c>
      <c r="E19107" t="s">
        <v>41582</v>
      </c>
    </row>
    <row r="19108" spans="1:5">
      <c r="A19108" t="s">
        <v>6</v>
      </c>
      <c r="B19108" t="s">
        <v>19113</v>
      </c>
      <c r="C19108">
        <f>HYPERLINK("C:\Users\franc\OneDrive\Documentos\MALENTIN KARIME\BANCO ESTADO\2012 DEPTO ESCRITURAS fata\2012 DEPTO ESCRITURAS\SOCIEDADES\Extracto Umbrales.doc", "Abrir Documento")</f>
        <v>0</v>
      </c>
      <c r="D19108" t="s">
        <v>23500</v>
      </c>
      <c r="E19108" t="s">
        <v>41583</v>
      </c>
    </row>
    <row r="19109" spans="1:5">
      <c r="A19109" t="s">
        <v>6</v>
      </c>
      <c r="B19109" t="s">
        <v>19114</v>
      </c>
      <c r="C19109">
        <f>HYPERLINK("C:\Users\franc\OneDrive\Documentos\MALENTIN KARIME\BANCO ESTADO\2012 DEPTO ESCRITURAS fata\2012 DEPTO ESCRITURAS\SOCIEDADES\Extracto TRAUMADENT.doc", "Abrir Documento")</f>
        <v>0</v>
      </c>
      <c r="D19109" t="s">
        <v>23500</v>
      </c>
      <c r="E19109" t="s">
        <v>41584</v>
      </c>
    </row>
    <row r="19110" spans="1:5">
      <c r="A19110" t="s">
        <v>6</v>
      </c>
      <c r="B19110" t="s">
        <v>19115</v>
      </c>
      <c r="C19110">
        <f>HYPERLINK("C:\Users\franc\OneDrive\Documentos\MALENTIN KARIME\BANCO ESTADO\2012 DEPTO ESCRITURAS fata\2012 DEPTO ESCRITURAS\SOCIEDADES\Extracto TRANSPORTES RIO CLARO Recti.doc", "Abrir Documento")</f>
        <v>0</v>
      </c>
      <c r="D19110" t="s">
        <v>23500</v>
      </c>
      <c r="E19110" t="s">
        <v>41585</v>
      </c>
    </row>
    <row r="19111" spans="1:5">
      <c r="A19111" t="s">
        <v>6</v>
      </c>
      <c r="B19111" t="s">
        <v>19116</v>
      </c>
      <c r="C19111">
        <f>HYPERLINK("C:\Users\franc\OneDrive\Documentos\MALENTIN KARIME\BANCO ESTADO\2012 DEPTO ESCRITURAS fata\2012 DEPTO ESCRITURAS\SOCIEDADES\Extracto TRANSPORTES RIO CLARO Recti VERSION DOS.doc", "Abrir Documento")</f>
        <v>0</v>
      </c>
      <c r="D19111" t="s">
        <v>23500</v>
      </c>
      <c r="E19111" t="s">
        <v>41586</v>
      </c>
    </row>
    <row r="19112" spans="1:5">
      <c r="A19112" t="s">
        <v>6</v>
      </c>
      <c r="B19112" t="s">
        <v>19117</v>
      </c>
      <c r="C19112">
        <f>HYPERLINK("C:\Users\franc\OneDrive\Documentos\MALENTIN KARIME\BANCO ESTADO\2012 DEPTO ESCRITURAS fata\2012 DEPTO ESCRITURAS\SOCIEDADES\Extracto Sociedad Dra. Romina Villalobos.doc", "Abrir Documento")</f>
        <v>0</v>
      </c>
      <c r="D19112" t="s">
        <v>23500</v>
      </c>
      <c r="E19112" t="s">
        <v>41587</v>
      </c>
    </row>
    <row r="19113" spans="1:5">
      <c r="A19113" t="s">
        <v>6</v>
      </c>
      <c r="B19113" t="s">
        <v>19118</v>
      </c>
      <c r="C19113">
        <f>HYPERLINK("C:\Users\franc\OneDrive\Documentos\MALENTIN KARIME\BANCO ESTADO\2012 DEPTO ESCRITURAS fata\2012 DEPTO ESCRITURAS\SOCIEDADES\Extracto Soc Agricola San Francisco Ltda(1).doc", "Abrir Documento")</f>
        <v>0</v>
      </c>
      <c r="D19113" t="s">
        <v>23500</v>
      </c>
      <c r="E19113" t="s">
        <v>41588</v>
      </c>
    </row>
    <row r="19114" spans="1:5">
      <c r="A19114" t="s">
        <v>6</v>
      </c>
      <c r="B19114" t="s">
        <v>19119</v>
      </c>
      <c r="C19114">
        <f>HYPERLINK("C:\Users\franc\OneDrive\Documentos\MALENTIN KARIME\BANCO ESTADO\2012 DEPTO ESCRITURAS fata\2012 DEPTO ESCRITURAS\SOCIEDADES\Extracto SICOVAL.doc", "Abrir Documento")</f>
        <v>0</v>
      </c>
      <c r="D19114" t="s">
        <v>23500</v>
      </c>
      <c r="E19114" t="s">
        <v>41589</v>
      </c>
    </row>
    <row r="19115" spans="1:5">
      <c r="A19115" t="s">
        <v>6</v>
      </c>
      <c r="B19115" t="s">
        <v>19120</v>
      </c>
      <c r="C19115">
        <f>HYPERLINK("C:\Users\franc\OneDrive\Documentos\MALENTIN KARIME\BANCO ESTADO\2012 DEPTO ESCRITURAS fata\2012 DEPTO ESCRITURAS\SOCIEDADES\extracto San Fabian LTDA.doc", "Abrir Documento")</f>
        <v>0</v>
      </c>
      <c r="D19115" t="s">
        <v>23500</v>
      </c>
      <c r="E19115" t="s">
        <v>41590</v>
      </c>
    </row>
    <row r="19116" spans="1:5">
      <c r="A19116" t="s">
        <v>6</v>
      </c>
      <c r="B19116" t="s">
        <v>19121</v>
      </c>
      <c r="C19116">
        <f>HYPERLINK("C:\Users\franc\OneDrive\Documentos\MALENTIN KARIME\BANCO ESTADO\2012 DEPTO ESCRITURAS fata\2012 DEPTO ESCRITURAS\SOCIEDADES\EXTRACTO Nancy Julio EIRL.doc", "Abrir Documento")</f>
        <v>0</v>
      </c>
      <c r="D19116" t="s">
        <v>23500</v>
      </c>
      <c r="E19116" t="s">
        <v>41591</v>
      </c>
    </row>
    <row r="19117" spans="1:5">
      <c r="A19117" t="s">
        <v>6</v>
      </c>
      <c r="B19117" t="s">
        <v>19122</v>
      </c>
      <c r="C19117">
        <f>HYPERLINK("C:\Users\franc\OneDrive\Documentos\MALENTIN KARIME\BANCO ESTADO\2012 DEPTO ESCRITURAS fata\2012 DEPTO ESCRITURAS\SOCIEDADES\extracto INMOBILIARIA JUAN PORTILLA.doc", "Abrir Documento")</f>
        <v>0</v>
      </c>
      <c r="D19117" t="s">
        <v>23500</v>
      </c>
      <c r="E19117" t="s">
        <v>41592</v>
      </c>
    </row>
    <row r="19118" spans="1:5">
      <c r="A19118" t="s">
        <v>6</v>
      </c>
      <c r="B19118" t="s">
        <v>19123</v>
      </c>
      <c r="C19118">
        <f>HYPERLINK("C:\Users\franc\OneDrive\Documentos\MALENTIN KARIME\BANCO ESTADO\2012 DEPTO ESCRITURAS fata\2012 DEPTO ESCRITURAS\SOCIEDADES\EXTRACTO ESCRITURA DE SOCIEDAD DE RESPONSABILIDAD LIMITADA humeres porcile.doc", "Abrir Documento")</f>
        <v>0</v>
      </c>
      <c r="D19118" t="s">
        <v>23500</v>
      </c>
      <c r="E19118" t="s">
        <v>41593</v>
      </c>
    </row>
    <row r="19119" spans="1:5">
      <c r="A19119" t="s">
        <v>6</v>
      </c>
      <c r="B19119" t="s">
        <v>19124</v>
      </c>
      <c r="C19119">
        <f>HYPERLINK("C:\Users\franc\OneDrive\Documentos\MALENTIN KARIME\BANCO ESTADO\2012 DEPTO ESCRITURAS fata\2012 DEPTO ESCRITURAS\SOCIEDADES\Extracto ADOCAT.doc", "Abrir Documento")</f>
        <v>0</v>
      </c>
      <c r="D19119" t="s">
        <v>23500</v>
      </c>
      <c r="E19119" t="s">
        <v>41594</v>
      </c>
    </row>
    <row r="19120" spans="1:5">
      <c r="A19120" t="s">
        <v>6</v>
      </c>
      <c r="B19120" t="s">
        <v>19125</v>
      </c>
      <c r="C19120">
        <f>HYPERLINK("C:\Users\franc\OneDrive\Documentos\MALENTIN KARIME\BANCO ESTADO\2012 DEPTO ESCRITURAS fata\2012 DEPTO ESCRITURAS\SOCIEDADES\EXTRACTO  Inmob Los Sauces  Ltda.doc", "Abrir Documento")</f>
        <v>0</v>
      </c>
      <c r="D19120" t="s">
        <v>23500</v>
      </c>
      <c r="E19120" t="s">
        <v>41595</v>
      </c>
    </row>
    <row r="19121" spans="1:5">
      <c r="A19121" t="s">
        <v>6</v>
      </c>
      <c r="B19121" t="s">
        <v>19126</v>
      </c>
      <c r="C19121">
        <f>HYPERLINK("C:\Users\franc\OneDrive\Documentos\MALENTIN KARIME\BANCO ESTADO\2012 DEPTO ESCRITURAS fata\2012 DEPTO ESCRITURAS\SOCIEDADES\Escritura_Sicoval ltda.doc", "Abrir Documento")</f>
        <v>0</v>
      </c>
      <c r="D19121" t="s">
        <v>23500</v>
      </c>
      <c r="E19121" t="s">
        <v>41596</v>
      </c>
    </row>
    <row r="19122" spans="1:5">
      <c r="A19122" t="s">
        <v>6</v>
      </c>
      <c r="B19122" t="s">
        <v>19127</v>
      </c>
      <c r="C19122">
        <f>HYPERLINK("C:\Users\franc\OneDrive\Documentos\MALENTIN KARIME\BANCO ESTADO\2012 DEPTO ESCRITURAS fata\2012 DEPTO ESCRITURAS\SOCIEDADES\CONSTRUCCIONES SIERRA Y TORRES.doc", "Abrir Documento")</f>
        <v>0</v>
      </c>
      <c r="D19122" t="s">
        <v>23500</v>
      </c>
      <c r="E19122" t="s">
        <v>41597</v>
      </c>
    </row>
    <row r="19123" spans="1:5">
      <c r="A19123" t="s">
        <v>6</v>
      </c>
      <c r="B19123" t="s">
        <v>19128</v>
      </c>
      <c r="C19123">
        <f>HYPERLINK("C:\Users\franc\OneDrive\Documentos\MALENTIN KARIME\BANCO ESTADO\2012 DEPTO ESCRITURAS fata\2012 DEPTO ESCRITURAS\SOCIEDADES\CONSTRUCCIONES SIERRA Y TORRES Extracto.doc", "Abrir Documento")</f>
        <v>0</v>
      </c>
      <c r="D19123" t="s">
        <v>23500</v>
      </c>
      <c r="E19123" t="s">
        <v>41598</v>
      </c>
    </row>
    <row r="19124" spans="1:5">
      <c r="A19124" t="s">
        <v>6</v>
      </c>
      <c r="B19124" t="s">
        <v>19129</v>
      </c>
      <c r="C19124">
        <f>HYPERLINK("C:\Users\franc\OneDrive\Documentos\MALENTIN KARIME\BANCO ESTADO\2012 DEPTO ESCRITURAS fata\2012 DEPTO ESCRITURAS\SOCIEDADES\CONFERR Extracto.doc", "Abrir Documento")</f>
        <v>0</v>
      </c>
      <c r="D19124" t="s">
        <v>23500</v>
      </c>
      <c r="E19124" t="s">
        <v>41599</v>
      </c>
    </row>
    <row r="19125" spans="1:5">
      <c r="A19125" t="s">
        <v>6</v>
      </c>
      <c r="B19125" t="s">
        <v>19130</v>
      </c>
      <c r="C19125">
        <f>HYPERLINK("C:\Users\franc\OneDrive\Documentos\MALENTIN KARIME\BANCO ESTADO\2012 DEPTO ESCRITURAS fata\2012 DEPTO ESCRITURAS\SOCIEDADES\CONFERR  Modificaicion.doc", "Abrir Documento")</f>
        <v>0</v>
      </c>
      <c r="D19125" t="s">
        <v>23500</v>
      </c>
      <c r="E19125" t="s">
        <v>41600</v>
      </c>
    </row>
    <row r="19126" spans="1:5">
      <c r="A19126" t="s">
        <v>6</v>
      </c>
      <c r="B19126" t="s">
        <v>19131</v>
      </c>
      <c r="C19126">
        <f>HYPERLINK("C:\Users\franc\OneDrive\Documentos\MALENTIN KARIME\BANCO ESTADO\2012 DEPTO ESCRITURAS fata\2012 DEPTO ESCRITURAS\SOCIEDADES\COMERCIALIZADORA SAN FABIAN.doc", "Abrir Documento")</f>
        <v>0</v>
      </c>
      <c r="D19126" t="s">
        <v>23500</v>
      </c>
      <c r="E19126" t="s">
        <v>41601</v>
      </c>
    </row>
    <row r="19127" spans="1:5">
      <c r="A19127" t="s">
        <v>6</v>
      </c>
      <c r="B19127" t="s">
        <v>19132</v>
      </c>
      <c r="C19127">
        <f>HYPERLINK("C:\Users\franc\OneDrive\Documentos\MALENTIN KARIME\BANCO ESTADO\2012 DEPTO ESCRITURAS fata\2012 DEPTO ESCRITURAS\SOCIEDADES\COMERCIALIZADORA SAN FABIAN LTDA.doc", "Abrir Documento")</f>
        <v>0</v>
      </c>
      <c r="D19127" t="s">
        <v>23500</v>
      </c>
      <c r="E19127" t="s">
        <v>41602</v>
      </c>
    </row>
    <row r="19128" spans="1:5">
      <c r="A19128" t="s">
        <v>6</v>
      </c>
      <c r="B19128" t="s">
        <v>19133</v>
      </c>
      <c r="C19128">
        <f>HYPERLINK("C:\Users\franc\OneDrive\Documentos\MALENTIN KARIME\BANCO ESTADO\2012 DEPTO ESCRITURAS fata\2012 DEPTO ESCRITURAS\SOCIEDADES\COMERCIAL DOS MIL UNO.doc", "Abrir Documento")</f>
        <v>0</v>
      </c>
      <c r="D19128" t="s">
        <v>23500</v>
      </c>
      <c r="E19128" t="s">
        <v>41603</v>
      </c>
    </row>
    <row r="19129" spans="1:5">
      <c r="A19129" t="s">
        <v>6</v>
      </c>
      <c r="B19129" t="s">
        <v>19134</v>
      </c>
      <c r="C19129">
        <f>HYPERLINK("C:\Users\franc\OneDrive\Documentos\MALENTIN KARIME\BANCO ESTADO\2012 DEPTO ESCRITURAS fata\2012 DEPTO ESCRITURAS\SOCIEDADES\COLEGIO SALI HOCHSCHILD LTDA.doc", "Abrir Documento")</f>
        <v>0</v>
      </c>
      <c r="D19129" t="s">
        <v>23500</v>
      </c>
      <c r="E19129" t="s">
        <v>41604</v>
      </c>
    </row>
    <row r="19130" spans="1:5">
      <c r="A19130" t="s">
        <v>6</v>
      </c>
      <c r="B19130" t="s">
        <v>19135</v>
      </c>
      <c r="C19130">
        <f>HYPERLINK("C:\Users\franc\OneDrive\Documentos\MALENTIN KARIME\BANCO ESTADO\2012 DEPTO ESCRITURAS fata\2012 DEPTO ESCRITURAS\SOCIEDADES\COFMED PRESTACIONS MEDICAS Extracto.doc", "Abrir Documento")</f>
        <v>0</v>
      </c>
      <c r="D19130" t="s">
        <v>23500</v>
      </c>
      <c r="E19130" t="s">
        <v>41605</v>
      </c>
    </row>
    <row r="19131" spans="1:5">
      <c r="A19131" t="s">
        <v>6</v>
      </c>
      <c r="B19131" t="s">
        <v>19136</v>
      </c>
      <c r="C19131">
        <f>HYPERLINK("C:\Users\franc\OneDrive\Documentos\MALENTIN KARIME\BANCO ESTADO\2012 DEPTO ESCRITURAS fata\2012 DEPTO ESCRITURAS\SOCIEDADES\CENTRO DE CAPACITACION RIO GRANDE LTDA. Rectificacion.doc", "Abrir Documento")</f>
        <v>0</v>
      </c>
      <c r="D19131" t="s">
        <v>23500</v>
      </c>
      <c r="E19131" t="s">
        <v>41606</v>
      </c>
    </row>
    <row r="19132" spans="1:5">
      <c r="A19132" t="s">
        <v>6</v>
      </c>
      <c r="B19132" t="s">
        <v>19137</v>
      </c>
      <c r="C19132">
        <f>HYPERLINK("C:\Users\franc\OneDrive\Documentos\MALENTIN KARIME\BANCO ESTADO\2012 DEPTO ESCRITURAS fata\2012 DEPTO ESCRITURAS\SOCIEDADES\CATRUMI LTDA..doc", "Abrir Documento")</f>
        <v>0</v>
      </c>
      <c r="D19132" t="s">
        <v>23500</v>
      </c>
      <c r="E19132" t="s">
        <v>41607</v>
      </c>
    </row>
    <row r="19133" spans="1:5">
      <c r="A19133" t="s">
        <v>6</v>
      </c>
      <c r="B19133" t="s">
        <v>19138</v>
      </c>
      <c r="C19133">
        <f>HYPERLINK("C:\Users\franc\OneDrive\Documentos\MALENTIN KARIME\BANCO ESTADO\2012 DEPTO ESCRITURAS fata\2012 DEPTO ESCRITURAS\SOCIEDADES\Buenaventura ltda.-1.doc", "Abrir Documento")</f>
        <v>0</v>
      </c>
      <c r="D19133" t="s">
        <v>23500</v>
      </c>
      <c r="E19133" t="s">
        <v>41608</v>
      </c>
    </row>
    <row r="19134" spans="1:5">
      <c r="A19134" t="s">
        <v>6</v>
      </c>
      <c r="B19134" t="s">
        <v>19139</v>
      </c>
      <c r="C19134">
        <f>HYPERLINK("C:\Users\franc\OneDrive\Documentos\MALENTIN KARIME\BANCO ESTADO\2012 DEPTO ESCRITURAS fata\2012 DEPTO ESCRITURAS\SOCIEDADES\ASESORIAS E INVERSIONES CERRO BLANCO.doc", "Abrir Documento")</f>
        <v>0</v>
      </c>
      <c r="D19134" t="s">
        <v>23500</v>
      </c>
      <c r="E19134" t="s">
        <v>41609</v>
      </c>
    </row>
    <row r="19135" spans="1:5">
      <c r="A19135" t="s">
        <v>6</v>
      </c>
      <c r="B19135" t="s">
        <v>19140</v>
      </c>
      <c r="C19135">
        <f>HYPERLINK("C:\Users\franc\OneDrive\Documentos\MALENTIN KARIME\BANCO ESTADO\2012 DEPTO ESCRITURAS fata\2012 DEPTO ESCRITURAS\SOCIEDADES\ASESORIAS E INVERSIONES CERRO BLANCO 2.doc", "Abrir Documento")</f>
        <v>0</v>
      </c>
      <c r="D19135" t="s">
        <v>23500</v>
      </c>
      <c r="E19135" t="s">
        <v>41610</v>
      </c>
    </row>
    <row r="19136" spans="1:5">
      <c r="A19136" t="s">
        <v>6</v>
      </c>
      <c r="B19136" t="s">
        <v>19141</v>
      </c>
      <c r="C19136">
        <f>HYPERLINK("C:\Users\franc\OneDrive\Documentos\MALENTIN KARIME\BANCO ESTADO\2012 DEPTO ESCRITURAS fata\2012 DEPTO ESCRITURAS\SOCIEDADES\ARBUG LTDA..doc", "Abrir Documento")</f>
        <v>0</v>
      </c>
      <c r="D19136" t="s">
        <v>23500</v>
      </c>
      <c r="E19136" t="s">
        <v>41611</v>
      </c>
    </row>
    <row r="19137" spans="1:5">
      <c r="A19137" t="s">
        <v>6</v>
      </c>
      <c r="B19137" t="s">
        <v>19142</v>
      </c>
      <c r="C19137">
        <f>HYPERLINK("C:\Users\franc\OneDrive\Documentos\MALENTIN KARIME\BANCO ESTADO\2012 DEPTO ESCRITURAS fata\2012 DEPTO ESCRITURAS\SOCIEDADES\ALPACAS URANIA SpA.doc", "Abrir Documento")</f>
        <v>0</v>
      </c>
      <c r="D19137" t="s">
        <v>23500</v>
      </c>
      <c r="E19137" t="s">
        <v>41612</v>
      </c>
    </row>
    <row r="19138" spans="1:5">
      <c r="A19138" t="s">
        <v>6</v>
      </c>
      <c r="B19138" t="s">
        <v>19143</v>
      </c>
      <c r="C19138">
        <f>HYPERLINK("C:\Users\franc\OneDrive\Documentos\MALENTIN KARIME\BANCO ESTADO\2012 DEPTO ESCRITURAS fata\2012 DEPTO ESCRITURAS\SOCIEDADES\ALPACAS URANIA SpA Extracto.doc", "Abrir Documento")</f>
        <v>0</v>
      </c>
      <c r="D19138" t="s">
        <v>23500</v>
      </c>
      <c r="E19138" t="s">
        <v>41613</v>
      </c>
    </row>
    <row r="19139" spans="1:5">
      <c r="A19139" t="s">
        <v>6</v>
      </c>
      <c r="B19139" t="s">
        <v>19144</v>
      </c>
      <c r="C19139">
        <f>HYPERLINK("C:\Users\franc\OneDrive\Documentos\MALENTIN KARIME\BANCO ESTADO\2012 DEPTO ESCRITURAS fata\2012 DEPTO ESCRITURAS\SOCIEDADES\AGROCOMERCIAL LA TORRE  LTDA. Modificaicion.doc", "Abrir Documento")</f>
        <v>0</v>
      </c>
      <c r="D19139" t="s">
        <v>23500</v>
      </c>
      <c r="E19139" t="s">
        <v>41614</v>
      </c>
    </row>
    <row r="19140" spans="1:5">
      <c r="A19140" t="s">
        <v>6</v>
      </c>
      <c r="B19140" t="s">
        <v>19145</v>
      </c>
      <c r="C19140">
        <f>HYPERLINK("C:\Users\franc\OneDrive\Documentos\MALENTIN KARIME\BANCO ESTADO\2012 DEPTO ESCRITURAS fata\2012 DEPTO ESCRITURAS\SOCIEDADES\AGRICOLA SAN MARCOS Modificaicion.doc", "Abrir Documento")</f>
        <v>0</v>
      </c>
      <c r="D19140" t="s">
        <v>23500</v>
      </c>
      <c r="E19140" t="s">
        <v>41615</v>
      </c>
    </row>
    <row r="19141" spans="1:5">
      <c r="A19141" t="s">
        <v>6</v>
      </c>
      <c r="B19141" t="s">
        <v>19146</v>
      </c>
      <c r="C19141">
        <f>HYPERLINK("C:\Users\franc\OneDrive\Documentos\MALENTIN KARIME\BANCO ESTADO\2012 DEPTO ESCRITURAS fata\2012 DEPTO ESCRITURAS\SOCIEDADES\AGRICOLA SAN MARCOS Extracto.doc", "Abrir Documento")</f>
        <v>0</v>
      </c>
      <c r="D19141" t="s">
        <v>23500</v>
      </c>
      <c r="E19141" t="s">
        <v>41616</v>
      </c>
    </row>
    <row r="19142" spans="1:5">
      <c r="A19142" t="s">
        <v>6</v>
      </c>
      <c r="B19142" t="s">
        <v>19147</v>
      </c>
      <c r="C19142">
        <f>HYPERLINK("C:\Users\franc\OneDrive\Documentos\MALENTIN KARIME\BANCO ESTADO\2012 DEPTO ESCRITURAS fata\2012 DEPTO ESCRITURAS\SOCIEDADES\AGRICOLA SAN FRANCISCO Modific DIC.doc", "Abrir Documento")</f>
        <v>0</v>
      </c>
      <c r="D19142" t="s">
        <v>23500</v>
      </c>
      <c r="E19142" t="s">
        <v>41617</v>
      </c>
    </row>
    <row r="19143" spans="1:5">
      <c r="A19143" t="s">
        <v>6</v>
      </c>
      <c r="B19143" t="s">
        <v>19148</v>
      </c>
      <c r="C19143">
        <f>HYPERLINK("C:\Users\franc\OneDrive\Documentos\MALENTIN KARIME\BANCO ESTADO\2012 DEPTO ESCRITURAS fata\2012 DEPTO ESCRITURAS\SOCIEDADES\AGRICOLA Adocat.doc", "Abrir Documento")</f>
        <v>0</v>
      </c>
      <c r="D19143" t="s">
        <v>23500</v>
      </c>
      <c r="E19143" t="s">
        <v>41618</v>
      </c>
    </row>
    <row r="19144" spans="1:5">
      <c r="A19144" t="s">
        <v>6</v>
      </c>
      <c r="B19144" t="s">
        <v>19149</v>
      </c>
      <c r="C19144">
        <f>HYPERLINK("C:\Users\franc\OneDrive\Documentos\MALENTIN KARIME\BANCO ESTADO\2012 DEPTO ESCRITURAS fata\2012 DEPTO ESCRITURAS\SOCIEDADES\AGRICOLA Adocat Escritura.doc", "Abrir Documento")</f>
        <v>0</v>
      </c>
      <c r="D19144" t="s">
        <v>23500</v>
      </c>
      <c r="E19144" t="s">
        <v>41619</v>
      </c>
    </row>
    <row r="19145" spans="1:5">
      <c r="A19145" t="s">
        <v>6</v>
      </c>
      <c r="B19145" t="s">
        <v>19150</v>
      </c>
      <c r="C19145">
        <f>HYPERLINK("C:\Users\franc\OneDrive\Documentos\MALENTIN KARIME\BANCO ESTADO\2012 DEPTO ESCRITURAS fata\2012 DEPTO ESCRITURAS\SOCIEDADES\ADOCAT.doc", "Abrir Documento")</f>
        <v>0</v>
      </c>
      <c r="D19145" t="s">
        <v>23500</v>
      </c>
      <c r="E19145" t="s">
        <v>41620</v>
      </c>
    </row>
    <row r="19146" spans="1:5">
      <c r="A19146" t="s">
        <v>6</v>
      </c>
      <c r="B19146" t="s">
        <v>19151</v>
      </c>
      <c r="C19146">
        <f>HYPERLINK("C:\Users\franc\OneDrive\Documentos\MALENTIN KARIME\BANCO ESTADO\2012 DEPTO ESCRITURAS fata\2012 DEPTO ESCRITURAS\SERVIU\2014\ROSA CONTADOR CARVAJAL Comp serviu.doc", "Abrir Documento")</f>
        <v>0</v>
      </c>
      <c r="D19146" t="s">
        <v>23500</v>
      </c>
      <c r="E19146" t="s">
        <v>41621</v>
      </c>
    </row>
    <row r="19147" spans="1:5">
      <c r="A19147" t="s">
        <v>6</v>
      </c>
      <c r="B19147" t="s">
        <v>19152</v>
      </c>
      <c r="C19147">
        <f>HYPERLINK("C:\Users\franc\OneDrive\Documentos\MALENTIN KARIME\BANCO ESTADO\2012 DEPTO ESCRITURAS fata\2012 DEPTO ESCRITURAS\SERVIU\2014\ROMINA VEGA VEGA.doc", "Abrir Documento")</f>
        <v>0</v>
      </c>
      <c r="D19147" t="s">
        <v>23500</v>
      </c>
      <c r="E19147" t="s">
        <v>41622</v>
      </c>
    </row>
    <row r="19148" spans="1:5">
      <c r="A19148" t="s">
        <v>6</v>
      </c>
      <c r="B19148" t="s">
        <v>19153</v>
      </c>
      <c r="C19148">
        <f>HYPERLINK("C:\Users\franc\OneDrive\Documentos\MALENTIN KARIME\BANCO ESTADO\2012 DEPTO ESCRITURAS fata\2012 DEPTO ESCRITURAS\SERVIU\2014\PAOLA MILLA ALFARO.doc", "Abrir Documento")</f>
        <v>0</v>
      </c>
      <c r="D19148" t="s">
        <v>23500</v>
      </c>
      <c r="E19148" t="s">
        <v>41623</v>
      </c>
    </row>
    <row r="19149" spans="1:5">
      <c r="A19149" t="s">
        <v>6</v>
      </c>
      <c r="B19149" t="s">
        <v>19154</v>
      </c>
      <c r="C19149">
        <f>HYPERLINK("C:\Users\franc\OneDrive\Documentos\MALENTIN KARIME\BANCO ESTADO\2012 DEPTO ESCRITURAS fata\2012 DEPTO ESCRITURAS\SERVIU\2014\MARIA OLIVIA PIZARRO.doc", "Abrir Documento")</f>
        <v>0</v>
      </c>
      <c r="D19149" t="s">
        <v>23500</v>
      </c>
      <c r="E19149" t="s">
        <v>41624</v>
      </c>
    </row>
    <row r="19150" spans="1:5">
      <c r="A19150" t="s">
        <v>6</v>
      </c>
      <c r="B19150" t="s">
        <v>19155</v>
      </c>
      <c r="C19150">
        <f>HYPERLINK("C:\Users\franc\OneDrive\Documentos\MALENTIN KARIME\BANCO ESTADO\2012 DEPTO ESCRITURAS fata\2012 DEPTO ESCRITURAS\SERVIU\2014\IRIS OLIVARES RODRIGUEZ.doc", "Abrir Documento")</f>
        <v>0</v>
      </c>
      <c r="D19150" t="s">
        <v>23500</v>
      </c>
      <c r="E19150" t="s">
        <v>41625</v>
      </c>
    </row>
    <row r="19151" spans="1:5">
      <c r="A19151" t="s">
        <v>6</v>
      </c>
      <c r="B19151" t="s">
        <v>19156</v>
      </c>
      <c r="C19151">
        <f>HYPERLINK("C:\Users\franc\OneDrive\Documentos\MALENTIN KARIME\BANCO ESTADO\2012 DEPTO ESCRITURAS fata\2012 DEPTO ESCRITURAS\SERVIU\2014\GIOCONDA ALCAYA DIAZ.doc", "Abrir Documento")</f>
        <v>0</v>
      </c>
      <c r="D19151" t="s">
        <v>23500</v>
      </c>
      <c r="E19151" t="s">
        <v>41626</v>
      </c>
    </row>
    <row r="19152" spans="1:5">
      <c r="A19152" t="s">
        <v>6</v>
      </c>
      <c r="B19152" t="s">
        <v>19157</v>
      </c>
      <c r="C19152">
        <f>HYPERLINK("C:\Users\franc\OneDrive\Documentos\MALENTIN KARIME\BANCO ESTADO\2012 DEPTO ESCRITURAS fata\2012 DEPTO ESCRITURAS\SERVIU\2014\CLAUDIO VELIZ TORRES.doc", "Abrir Documento")</f>
        <v>0</v>
      </c>
      <c r="D19152" t="s">
        <v>23500</v>
      </c>
      <c r="E19152" t="s">
        <v>41627</v>
      </c>
    </row>
    <row r="19153" spans="1:5">
      <c r="A19153" t="s">
        <v>6</v>
      </c>
      <c r="B19153" t="s">
        <v>19158</v>
      </c>
      <c r="C19153">
        <f>HYPERLINK("C:\Users\franc\OneDrive\Documentos\MALENTIN KARIME\BANCO ESTADO\2012 DEPTO ESCRITURAS fata\2012 DEPTO ESCRITURAS\SERVIU\2014\BEATRIZ VALVERDE OLIVARES Ivar.doc", "Abrir Documento")</f>
        <v>0</v>
      </c>
      <c r="D19153" t="s">
        <v>23500</v>
      </c>
      <c r="E19153" t="s">
        <v>41628</v>
      </c>
    </row>
    <row r="19154" spans="1:5">
      <c r="A19154" t="s">
        <v>6</v>
      </c>
      <c r="B19154" t="s">
        <v>19159</v>
      </c>
      <c r="C19154">
        <f>HYPERLINK("C:\Users\franc\OneDrive\Documentos\MALENTIN KARIME\BANCO ESTADO\2012 DEPTO ESCRITURAS fata\2012 DEPTO ESCRITURAS\SERVIU\XIMENA VELASQUEZ AROS.doc", "Abrir Documento")</f>
        <v>0</v>
      </c>
      <c r="D19154" t="s">
        <v>23500</v>
      </c>
      <c r="E19154" t="s">
        <v>41629</v>
      </c>
    </row>
    <row r="19155" spans="1:5">
      <c r="A19155" t="s">
        <v>6</v>
      </c>
      <c r="B19155" t="s">
        <v>19160</v>
      </c>
      <c r="C19155">
        <f>HYPERLINK("C:\Users\franc\OneDrive\Documentos\MALENTIN KARIME\BANCO ESTADO\2012 DEPTO ESCRITURAS fata\2012 DEPTO ESCRITURAS\SERVIU\WILFREDO CARMONA ALZAMORA.doc", "Abrir Documento")</f>
        <v>0</v>
      </c>
      <c r="D19155" t="s">
        <v>23500</v>
      </c>
      <c r="E19155" t="s">
        <v>41630</v>
      </c>
    </row>
    <row r="19156" spans="1:5">
      <c r="A19156" t="s">
        <v>6</v>
      </c>
      <c r="B19156" t="s">
        <v>19161</v>
      </c>
      <c r="C19156">
        <f>HYPERLINK("C:\Users\franc\OneDrive\Documentos\MALENTIN KARIME\BANCO ESTADO\2012 DEPTO ESCRITURAS fata\2012 DEPTO ESCRITURAS\SERVIU\PROHIBICION modelo.doc", "Abrir Documento")</f>
        <v>0</v>
      </c>
      <c r="D19156" t="s">
        <v>23500</v>
      </c>
      <c r="E19156" t="s">
        <v>41631</v>
      </c>
    </row>
    <row r="19157" spans="1:5">
      <c r="A19157" t="s">
        <v>6</v>
      </c>
      <c r="B19157" t="s">
        <v>19162</v>
      </c>
      <c r="C19157">
        <f>HYPERLINK("C:\Users\franc\OneDrive\Documentos\MALENTIN KARIME\BANCO ESTADO\2012 DEPTO ESCRITURAS fata\2012 DEPTO ESCRITURAS\SERVIU\OLIVIA OLIVARES RIVERA.doc", "Abrir Documento")</f>
        <v>0</v>
      </c>
      <c r="D19157" t="s">
        <v>23500</v>
      </c>
      <c r="E19157" t="s">
        <v>41632</v>
      </c>
    </row>
    <row r="19158" spans="1:5">
      <c r="A19158" t="s">
        <v>6</v>
      </c>
      <c r="B19158" t="s">
        <v>19163</v>
      </c>
      <c r="C19158">
        <f>HYPERLINK("C:\Users\franc\OneDrive\Documentos\MALENTIN KARIME\BANCO ESTADO\2012 DEPTO ESCRITURAS fata\2012 DEPTO ESCRITURAS\SERVIU\OLIVIA OLIVARES RIVERA Complem.doc", "Abrir Documento")</f>
        <v>0</v>
      </c>
      <c r="D19158" t="s">
        <v>23500</v>
      </c>
      <c r="E19158" t="s">
        <v>41633</v>
      </c>
    </row>
    <row r="19159" spans="1:5">
      <c r="A19159" t="s">
        <v>6</v>
      </c>
      <c r="B19159" t="s">
        <v>19164</v>
      </c>
      <c r="C19159">
        <f>HYPERLINK("C:\Users\franc\OneDrive\Documentos\MALENTIN KARIME\BANCO ESTADO\2012 DEPTO ESCRITURAS fata\2012 DEPTO ESCRITURAS\SERVIU\NILDA ESTHER ARAYA ARAYA.doc", "Abrir Documento")</f>
        <v>0</v>
      </c>
      <c r="D19159" t="s">
        <v>23500</v>
      </c>
      <c r="E19159" t="s">
        <v>41634</v>
      </c>
    </row>
    <row r="19160" spans="1:5">
      <c r="A19160" t="s">
        <v>6</v>
      </c>
      <c r="B19160" t="s">
        <v>19165</v>
      </c>
      <c r="C19160">
        <f>HYPERLINK("C:\Users\franc\OneDrive\Documentos\MALENTIN KARIME\BANCO ESTADO\2012 DEPTO ESCRITURAS fata\2012 DEPTO ESCRITURAS\SERVIU\MARTINA ARAYA ARAYA Suplente.doc", "Abrir Documento")</f>
        <v>0</v>
      </c>
      <c r="D19160" t="s">
        <v>23500</v>
      </c>
      <c r="E19160" t="s">
        <v>41635</v>
      </c>
    </row>
    <row r="19161" spans="1:5">
      <c r="A19161" t="s">
        <v>6</v>
      </c>
      <c r="B19161" t="s">
        <v>19166</v>
      </c>
      <c r="C19161">
        <f>HYPERLINK("C:\Users\franc\OneDrive\Documentos\MALENTIN KARIME\BANCO ESTADO\2012 DEPTO ESCRITURAS fata\2012 DEPTO ESCRITURAS\SERVIU\MANDATO  serviu mabel.doc", "Abrir Documento")</f>
        <v>0</v>
      </c>
      <c r="D19161" t="s">
        <v>23500</v>
      </c>
      <c r="E19161" t="s">
        <v>41636</v>
      </c>
    </row>
    <row r="19162" spans="1:5">
      <c r="A19162" t="s">
        <v>6</v>
      </c>
      <c r="B19162" t="s">
        <v>19167</v>
      </c>
      <c r="C19162">
        <f>HYPERLINK("C:\Users\franc\OneDrive\Documentos\MALENTIN KARIME\BANCO ESTADO\2012 DEPTO ESCRITURAS fata\2012 DEPTO ESCRITURAS\SERVIU\HILDA DEL ROSARIO ARAYA.doc", "Abrir Documento")</f>
        <v>0</v>
      </c>
      <c r="D19162" t="s">
        <v>23500</v>
      </c>
      <c r="E19162" t="s">
        <v>41637</v>
      </c>
    </row>
    <row r="19163" spans="1:5">
      <c r="A19163" t="s">
        <v>6</v>
      </c>
      <c r="B19163" t="s">
        <v>19168</v>
      </c>
      <c r="C19163">
        <f>HYPERLINK("C:\Users\franc\OneDrive\Documentos\MALENTIN KARIME\BANCO ESTADO\2012 DEPTO ESCRITURAS fata\2012 DEPTO ESCRITURAS\SERVIU\FRANCISCO CAMPOS ALVARADO.doc", "Abrir Documento")</f>
        <v>0</v>
      </c>
      <c r="D19163" t="s">
        <v>23500</v>
      </c>
      <c r="E19163" t="s">
        <v>41638</v>
      </c>
    </row>
    <row r="19164" spans="1:5">
      <c r="A19164" t="s">
        <v>6</v>
      </c>
      <c r="B19164" t="s">
        <v>19169</v>
      </c>
      <c r="C19164">
        <f>HYPERLINK("C:\Users\franc\OneDrive\Documentos\MALENTIN KARIME\BANCO ESTADO\2012 DEPTO ESCRITURAS fata\2012 DEPTO ESCRITURAS\SERVIU\FANNY CORTES A RICARDO CORTES (SUBSIDIO).doc", "Abrir Documento")</f>
        <v>0</v>
      </c>
      <c r="D19164" t="s">
        <v>23500</v>
      </c>
      <c r="E19164" t="s">
        <v>41639</v>
      </c>
    </row>
    <row r="19165" spans="1:5">
      <c r="A19165" t="s">
        <v>6</v>
      </c>
      <c r="B19165" t="s">
        <v>19170</v>
      </c>
      <c r="C19165">
        <f>HYPERLINK("C:\Users\franc\OneDrive\Documentos\MALENTIN KARIME\BANCO ESTADO\2012 DEPTO ESCRITURAS fata\2012 DEPTO ESCRITURAS\SERVIU\DELMIRA BARRAZA.doc", "Abrir Documento")</f>
        <v>0</v>
      </c>
      <c r="D19165" t="s">
        <v>23500</v>
      </c>
      <c r="E19165" t="s">
        <v>41640</v>
      </c>
    </row>
    <row r="19166" spans="1:5">
      <c r="A19166" t="s">
        <v>6</v>
      </c>
      <c r="B19166" t="s">
        <v>19171</v>
      </c>
      <c r="C19166">
        <f>HYPERLINK("C:\Users\franc\OneDrive\Documentos\MALENTIN KARIME\BANCO ESTADO\2012 DEPTO ESCRITURAS fata\2012 DEPTO ESCRITURAS\SERVIU\DELMIRA BARRAZA final.doc", "Abrir Documento")</f>
        <v>0</v>
      </c>
      <c r="D19166" t="s">
        <v>23500</v>
      </c>
      <c r="E19166" t="s">
        <v>41641</v>
      </c>
    </row>
    <row r="19167" spans="1:5">
      <c r="A19167" t="s">
        <v>6</v>
      </c>
      <c r="B19167" t="s">
        <v>19172</v>
      </c>
      <c r="C19167">
        <f>HYPERLINK("C:\Users\franc\OneDrive\Documentos\MALENTIN KARIME\BANCO ESTADO\2012 DEPTO ESCRITURAS fata\2012 DEPTO ESCRITURAS\SERVIU\DELMIRA BARRAZA  Aclara.doc", "Abrir Documento")</f>
        <v>0</v>
      </c>
      <c r="D19167" t="s">
        <v>23500</v>
      </c>
      <c r="E19167" t="s">
        <v>41642</v>
      </c>
    </row>
    <row r="19168" spans="1:5">
      <c r="A19168" t="s">
        <v>6</v>
      </c>
      <c r="B19168" t="s">
        <v>19173</v>
      </c>
      <c r="C19168">
        <f>HYPERLINK("C:\Users\franc\OneDrive\Documentos\MALENTIN KARIME\BANCO ESTADO\2012 DEPTO ESCRITURAS fata\2012 DEPTO ESCRITURAS\SERVIU\DECLARACION NO PARENTESCO.doc", "Abrir Documento")</f>
        <v>0</v>
      </c>
      <c r="D19168" t="s">
        <v>23500</v>
      </c>
      <c r="E19168" t="s">
        <v>41643</v>
      </c>
    </row>
    <row r="19169" spans="1:5">
      <c r="A19169" t="s">
        <v>6</v>
      </c>
      <c r="B19169" t="s">
        <v>19174</v>
      </c>
      <c r="C19169">
        <f>HYPERLINK("C:\Users\franc\OneDrive\Documentos\MALENTIN KARIME\BANCO ESTADO\2012 DEPTO ESCRITURAS fata\2012 DEPTO ESCRITURAS\SERVIU\ANGELICA COLAMAR.doc", "Abrir Documento")</f>
        <v>0</v>
      </c>
      <c r="D19169" t="s">
        <v>23500</v>
      </c>
      <c r="E19169" t="s">
        <v>41644</v>
      </c>
    </row>
    <row r="19170" spans="1:5">
      <c r="A19170" t="s">
        <v>6</v>
      </c>
      <c r="B19170" t="s">
        <v>19175</v>
      </c>
      <c r="C19170">
        <f>HYPERLINK("C:\Users\franc\OneDrive\Documentos\MALENTIN KARIME\BANCO ESTADO\2012 DEPTO ESCRITURAS fata\2012 DEPTO ESCRITURAS\SERVIDUMBRES\WILSON VELIZ A TELEFONICA MOVILES.doc", "Abrir Documento")</f>
        <v>0</v>
      </c>
      <c r="D19170" t="s">
        <v>23500</v>
      </c>
      <c r="E19170" t="s">
        <v>41645</v>
      </c>
    </row>
    <row r="19171" spans="1:5">
      <c r="A19171" t="s">
        <v>6</v>
      </c>
      <c r="B19171" t="s">
        <v>19176</v>
      </c>
      <c r="C19171">
        <f>HYPERLINK("C:\Users\franc\OneDrive\Documentos\MALENTIN KARIME\BANCO ESTADO\2012 DEPTO ESCRITURAS fata\2012 DEPTO ESCRITURAS\SERVIDUMBRES\JULIO CAIMANQUE A TELEFONICA MOVILES.doc", "Abrir Documento")</f>
        <v>0</v>
      </c>
      <c r="D19171" t="s">
        <v>23500</v>
      </c>
      <c r="E19171" t="s">
        <v>41646</v>
      </c>
    </row>
    <row r="19172" spans="1:5">
      <c r="A19172" t="s">
        <v>6</v>
      </c>
      <c r="B19172" t="s">
        <v>19177</v>
      </c>
      <c r="C19172">
        <f>HYPERLINK("C:\Users\franc\OneDrive\Documentos\MALENTIN KARIME\BANCO ESTADO\2012 DEPTO ESCRITURAS fata\2012 DEPTO ESCRITURAS\SERVIDUMBRES\JOSE MIGUEL MUNIZAGA.doc", "Abrir Documento")</f>
        <v>0</v>
      </c>
      <c r="D19172" t="s">
        <v>23500</v>
      </c>
      <c r="E19172" t="s">
        <v>41647</v>
      </c>
    </row>
    <row r="19173" spans="1:5">
      <c r="A19173" t="s">
        <v>6</v>
      </c>
      <c r="B19173" t="s">
        <v>19178</v>
      </c>
      <c r="C19173">
        <f>HYPERLINK("C:\Users\franc\OneDrive\Documentos\MALENTIN KARIME\BANCO ESTADO\2012 DEPTO ESCRITURAS fata\2012 DEPTO ESCRITURAS\SEP BIENES\JOSE VALDIVIA VILCHES A MARIA PIZARRO.doc", "Abrir Documento")</f>
        <v>0</v>
      </c>
      <c r="D19173" t="s">
        <v>23500</v>
      </c>
      <c r="E19173" t="s">
        <v>41648</v>
      </c>
    </row>
    <row r="19174" spans="1:5">
      <c r="A19174" t="s">
        <v>6</v>
      </c>
      <c r="B19174" t="s">
        <v>19179</v>
      </c>
      <c r="C19174">
        <f>HYPERLINK("C:\Users\franc\OneDrive\Documentos\MALENTIN KARIME\BANCO ESTADO\2012 DEPTO ESCRITURAS fata\2012 DEPTO ESCRITURAS\SEP BIENES\JOSE RAMIREZ Y SANDRA SORIA Adolfo.doc", "Abrir Documento")</f>
        <v>0</v>
      </c>
      <c r="D19174" t="s">
        <v>23500</v>
      </c>
      <c r="E19174" t="s">
        <v>41649</v>
      </c>
    </row>
    <row r="19175" spans="1:5">
      <c r="A19175" t="s">
        <v>6</v>
      </c>
      <c r="B19175" t="s">
        <v>19180</v>
      </c>
      <c r="C19175">
        <f>HYPERLINK("C:\Users\franc\OneDrive\Documentos\MALENTIN KARIME\BANCO ESTADO\2012 DEPTO ESCRITURAS fata\2012 DEPTO ESCRITURAS\SEP BIENES\CLAUDIO NUÑEZ A Maritza Vergara.doc", "Abrir Documento")</f>
        <v>0</v>
      </c>
      <c r="D19175" t="s">
        <v>23500</v>
      </c>
      <c r="E19175" t="s">
        <v>41650</v>
      </c>
    </row>
    <row r="19176" spans="1:5">
      <c r="A19176" t="s">
        <v>6</v>
      </c>
      <c r="B19176" t="s">
        <v>19181</v>
      </c>
      <c r="C19176">
        <f>HYPERLINK("C:\Users\franc\OneDrive\Documentos\MALENTIN KARIME\BANCO ESTADO\2012 DEPTO ESCRITURAS fata\2012 DEPTO ESCRITURAS\SEP BIENES\ADOLFO CASTILLO Y MARIANET SAEZ Minuta.doc", "Abrir Documento")</f>
        <v>0</v>
      </c>
      <c r="D19176" t="s">
        <v>23500</v>
      </c>
      <c r="E19176" t="s">
        <v>41651</v>
      </c>
    </row>
    <row r="19177" spans="1:5">
      <c r="A19177" t="s">
        <v>6</v>
      </c>
      <c r="B19177" t="s">
        <v>19182</v>
      </c>
      <c r="C19177">
        <f>HYPERLINK("C:\Users\franc\OneDrive\Documentos\MALENTIN KARIME\BANCO ESTADO\2012 DEPTO ESCRITURAS fata\2012 DEPTO ESCRITURAS\ROBERTO VEGA\SUCESION MIRANDA PEREZ.doc", "Abrir Documento")</f>
        <v>0</v>
      </c>
      <c r="D19177" t="s">
        <v>23500</v>
      </c>
      <c r="E19177" t="s">
        <v>41652</v>
      </c>
    </row>
    <row r="19178" spans="1:5">
      <c r="A19178" t="s">
        <v>6</v>
      </c>
      <c r="B19178" t="s">
        <v>19183</v>
      </c>
      <c r="C19178">
        <f>HYPERLINK("C:\Users\franc\OneDrive\Documentos\MALENTIN KARIME\BANCO ESTADO\2012 DEPTO ESCRITURAS fata\2012 DEPTO ESCRITURAS\ROBERTO VEGA\SUCESION MIRANDA PEREZ (1).doc", "Abrir Documento")</f>
        <v>0</v>
      </c>
      <c r="D19178" t="s">
        <v>23500</v>
      </c>
      <c r="E19178" t="s">
        <v>41653</v>
      </c>
    </row>
    <row r="19179" spans="1:5">
      <c r="A19179" t="s">
        <v>6</v>
      </c>
      <c r="B19179" t="s">
        <v>19184</v>
      </c>
      <c r="C19179">
        <f>HYPERLINK("C:\Users\franc\OneDrive\Documentos\MALENTIN KARIME\BANCO ESTADO\2012 DEPTO ESCRITURAS fata\2012 DEPTO ESCRITURAS\ROBERTO VEGA\ROBERTO Y CESAR VEGA A SERGIO CORTES.doc", "Abrir Documento")</f>
        <v>0</v>
      </c>
      <c r="D19179" t="s">
        <v>23500</v>
      </c>
      <c r="E19179" t="s">
        <v>41654</v>
      </c>
    </row>
    <row r="19180" spans="1:5">
      <c r="A19180" t="s">
        <v>6</v>
      </c>
      <c r="B19180" t="s">
        <v>19185</v>
      </c>
      <c r="C19180">
        <f>HYPERLINK("C:\Users\franc\OneDrive\Documentos\MALENTIN KARIME\BANCO ESTADO\2012 DEPTO ESCRITURAS fata\2012 DEPTO ESCRITURAS\ROBERTO VEGA\ROBERTO Y CESAR VEGA A SERGIO CORTES (1).doc", "Abrir Documento")</f>
        <v>0</v>
      </c>
      <c r="D19180" t="s">
        <v>23500</v>
      </c>
      <c r="E19180" t="s">
        <v>41655</v>
      </c>
    </row>
    <row r="19181" spans="1:5">
      <c r="A19181" t="s">
        <v>6</v>
      </c>
      <c r="B19181" t="s">
        <v>19186</v>
      </c>
      <c r="C19181">
        <f>HYPERLINK("C:\Users\franc\OneDrive\Documentos\MALENTIN KARIME\BANCO ESTADO\2012 DEPTO ESCRITURAS fata\2012 DEPTO ESCRITURAS\ROBERTO VEGA\ROBERTO VEGA CAMPUSANO.doc", "Abrir Documento")</f>
        <v>0</v>
      </c>
      <c r="D19181" t="s">
        <v>23500</v>
      </c>
      <c r="E19181" t="s">
        <v>41656</v>
      </c>
    </row>
    <row r="19182" spans="1:5">
      <c r="A19182" t="s">
        <v>6</v>
      </c>
      <c r="B19182" t="s">
        <v>19187</v>
      </c>
      <c r="C19182">
        <f>HYPERLINK("C:\Users\franc\OneDrive\Documentos\MALENTIN KARIME\BANCO ESTADO\2012 DEPTO ESCRITURAS fata\2012 DEPTO ESCRITURAS\ROBERTO VEGA\ROBERTO VEGA CAMPUSANO (1).doc", "Abrir Documento")</f>
        <v>0</v>
      </c>
      <c r="D19182" t="s">
        <v>23500</v>
      </c>
      <c r="E19182" t="s">
        <v>41657</v>
      </c>
    </row>
    <row r="19183" spans="1:5">
      <c r="A19183" t="s">
        <v>6</v>
      </c>
      <c r="B19183" t="s">
        <v>19188</v>
      </c>
      <c r="C19183">
        <f>HYPERLINK("C:\Users\franc\OneDrive\Documentos\MALENTIN KARIME\BANCO ESTADO\2012 DEPTO ESCRITURAS fata\2012 DEPTO ESCRITURAS\ROBERTO VEGA\ROBERTO VEGA CAMPUSANO  2 rectif.doc", "Abrir Documento")</f>
        <v>0</v>
      </c>
      <c r="D19183" t="s">
        <v>23500</v>
      </c>
      <c r="E19183" t="s">
        <v>41658</v>
      </c>
    </row>
    <row r="19184" spans="1:5">
      <c r="A19184" t="s">
        <v>6</v>
      </c>
      <c r="B19184" t="s">
        <v>19189</v>
      </c>
      <c r="C19184">
        <f>HYPERLINK("C:\Users\franc\OneDrive\Documentos\MALENTIN KARIME\BANCO ESTADO\2012 DEPTO ESCRITURAS fata\2012 DEPTO ESCRITURAS\ROBERTO VEGA\JUNTA VIGILANCIA RIO PALOMO Y AFLUENTES.doc", "Abrir Documento")</f>
        <v>0</v>
      </c>
      <c r="D19184" t="s">
        <v>23500</v>
      </c>
      <c r="E19184" t="s">
        <v>41659</v>
      </c>
    </row>
    <row r="19185" spans="1:5">
      <c r="A19185" t="s">
        <v>6</v>
      </c>
      <c r="B19185" t="s">
        <v>19190</v>
      </c>
      <c r="C19185">
        <f>HYPERLINK("C:\Users\franc\OneDrive\Documentos\MALENTIN KARIME\BANCO ESTADO\2012 DEPTO ESCRITURAS fata\2012 DEPTO ESCRITURAS\ROBERTO VEGA\EDITH YAÑEZ A CLAUDIA VIVAR.doc", "Abrir Documento")</f>
        <v>0</v>
      </c>
      <c r="D19185" t="s">
        <v>23500</v>
      </c>
      <c r="E19185" t="s">
        <v>41660</v>
      </c>
    </row>
    <row r="19186" spans="1:5">
      <c r="A19186" t="s">
        <v>6</v>
      </c>
      <c r="B19186" t="s">
        <v>19191</v>
      </c>
      <c r="C19186">
        <f>HYPERLINK("C:\Users\franc\OneDrive\Documentos\MALENTIN KARIME\BANCO ESTADO\2012 DEPTO ESCRITURAS fata\2012 DEPTO ESCRITURAS\ROBERTO VEGA\CESION DERECHOS ALFALFARES DEFINITIVA RVC-1.doc", "Abrir Documento")</f>
        <v>0</v>
      </c>
      <c r="D19186" t="s">
        <v>23500</v>
      </c>
      <c r="E19186" t="s">
        <v>41661</v>
      </c>
    </row>
    <row r="19187" spans="1:5">
      <c r="A19187" t="s">
        <v>6</v>
      </c>
      <c r="B19187" t="s">
        <v>19192</v>
      </c>
      <c r="C19187">
        <f>HYPERLINK("C:\Users\franc\OneDrive\Documentos\MALENTIN KARIME\BANCO ESTADO\2012 DEPTO ESCRITURAS fata\2012 DEPTO ESCRITURAS\ROBERTO VEGA\ARMANDO ARAYA ARACENA A Roberto Vega Compraventa.doc", "Abrir Documento")</f>
        <v>0</v>
      </c>
      <c r="D19187" t="s">
        <v>23500</v>
      </c>
      <c r="E19187" t="s">
        <v>41662</v>
      </c>
    </row>
    <row r="19188" spans="1:5">
      <c r="A19188" t="s">
        <v>6</v>
      </c>
      <c r="B19188" t="s">
        <v>19193</v>
      </c>
      <c r="C19188">
        <f>HYPERLINK("C:\Users\franc\OneDrive\Documentos\MALENTIN KARIME\BANCO ESTADO\2012 DEPTO ESCRITURAS fata\2012 DEPTO ESCRITURAS\ROBERTO VEGA\ANA MIRANDA A ROBERTO VEGA EIRL.doc", "Abrir Documento")</f>
        <v>0</v>
      </c>
      <c r="D19188" t="s">
        <v>23500</v>
      </c>
      <c r="E19188" t="s">
        <v>41663</v>
      </c>
    </row>
    <row r="19189" spans="1:5">
      <c r="A19189" t="s">
        <v>6</v>
      </c>
      <c r="B19189" t="s">
        <v>19194</v>
      </c>
      <c r="C19189">
        <f>HYPERLINK("C:\Users\franc\OneDrive\Documentos\MALENTIN KARIME\BANCO ESTADO\2012 DEPTO ESCRITURAS fata\2012 DEPTO ESCRITURAS\ROBERTO VEGA\ALFALFARES Y ROBERTO VEGA Arrendamiento Modif.doc", "Abrir Documento")</f>
        <v>0</v>
      </c>
      <c r="D19189" t="s">
        <v>23500</v>
      </c>
      <c r="E19189" t="s">
        <v>41664</v>
      </c>
    </row>
    <row r="19190" spans="1:5">
      <c r="A19190" t="s">
        <v>6</v>
      </c>
      <c r="B19190" t="s">
        <v>19195</v>
      </c>
      <c r="C19190">
        <f>HYPERLINK("C:\Users\franc\OneDrive\Documentos\MALENTIN KARIME\BANCO ESTADO\2012 DEPTO ESCRITURAS fata\2012 DEPTO ESCRITURAS\ROBERTO VEGA\AGRICOLA ALFALFARES Y FRUTICOLA COPIAPO dotacion.doc", "Abrir Documento")</f>
        <v>0</v>
      </c>
      <c r="D19190" t="s">
        <v>23500</v>
      </c>
      <c r="E19190" t="s">
        <v>41665</v>
      </c>
    </row>
    <row r="19191" spans="1:5">
      <c r="A19191" t="s">
        <v>6</v>
      </c>
      <c r="B19191" t="s">
        <v>19196</v>
      </c>
      <c r="C19191">
        <f>HYPERLINK("C:\Users\franc\OneDrive\Documentos\MALENTIN KARIME\BANCO ESTADO\2012 DEPTO ESCRITURAS fata\2012 DEPTO ESCRITURAS\ROBERTO VEGA\AGRICOLA ALFALFARES Rectifica ComplementaII.doc", "Abrir Documento")</f>
        <v>0</v>
      </c>
      <c r="D19191" t="s">
        <v>23500</v>
      </c>
      <c r="E19191" t="s">
        <v>41666</v>
      </c>
    </row>
    <row r="19192" spans="1:5">
      <c r="A19192" t="s">
        <v>6</v>
      </c>
      <c r="B19192" t="s">
        <v>19197</v>
      </c>
      <c r="C19192">
        <f>HYPERLINK("C:\Users\franc\OneDrive\Documentos\MALENTIN KARIME\BANCO ESTADO\2012 DEPTO ESCRITURAS fata\2012 DEPTO ESCRITURAS\ROBERTO VEGA\AGRICOLA ALFALFARES Complementa.doc", "Abrir Documento")</f>
        <v>0</v>
      </c>
      <c r="D19192" t="s">
        <v>23500</v>
      </c>
      <c r="E19192" t="s">
        <v>41667</v>
      </c>
    </row>
    <row r="19193" spans="1:5">
      <c r="A19193" t="s">
        <v>6</v>
      </c>
      <c r="B19193" t="s">
        <v>19198</v>
      </c>
      <c r="C19193">
        <f>HYPERLINK("C:\Users\franc\OneDrive\Documentos\MALENTIN KARIME\BANCO ESTADO\2012 DEPTO ESCRITURAS fata\2012 DEPTO ESCRITURAS\ROBERTO VEGA\adjudicacion 1.doc", "Abrir Documento")</f>
        <v>0</v>
      </c>
      <c r="D19193" t="s">
        <v>23500</v>
      </c>
      <c r="E19193" t="s">
        <v>41668</v>
      </c>
    </row>
    <row r="19194" spans="1:5">
      <c r="A19194" t="s">
        <v>6</v>
      </c>
      <c r="B19194" t="s">
        <v>19199</v>
      </c>
      <c r="C19194">
        <f>HYPERLINK("C:\Users\franc\OneDrive\Documentos\MALENTIN KARIME\BANCO ESTADO\2012 DEPTO ESCRITURAS fata\2012 DEPTO ESCRITURAS\REVOCA\VICTOR TAPIA ROJAS M Judicial.doc", "Abrir Documento")</f>
        <v>0</v>
      </c>
      <c r="D19194" t="s">
        <v>23500</v>
      </c>
      <c r="E19194" t="s">
        <v>41669</v>
      </c>
    </row>
    <row r="19195" spans="1:5">
      <c r="A19195" t="s">
        <v>6</v>
      </c>
      <c r="B19195" t="s">
        <v>19200</v>
      </c>
      <c r="C19195">
        <f>HYPERLINK("C:\Users\franc\OneDrive\Documentos\MALENTIN KARIME\BANCO ESTADO\2012 DEPTO ESCRITURAS fata\2012 DEPTO ESCRITURAS\REVOCA\SALVADOR CODOCEOM.Especial.doc", "Abrir Documento")</f>
        <v>0</v>
      </c>
      <c r="D19195" t="s">
        <v>23500</v>
      </c>
      <c r="E19195" t="s">
        <v>41670</v>
      </c>
    </row>
    <row r="19196" spans="1:5">
      <c r="A19196" t="s">
        <v>6</v>
      </c>
      <c r="B19196" t="s">
        <v>19201</v>
      </c>
      <c r="C19196">
        <f>HYPERLINK("C:\Users\franc\OneDrive\Documentos\MALENTIN KARIME\BANCO ESTADO\2012 DEPTO ESCRITURAS fata\2012 DEPTO ESCRITURAS\REVOCA\ROCIO RAMIREZ YAGNAM.doc", "Abrir Documento")</f>
        <v>0</v>
      </c>
      <c r="D19196" t="s">
        <v>23500</v>
      </c>
      <c r="E19196" t="s">
        <v>41671</v>
      </c>
    </row>
    <row r="19197" spans="1:5">
      <c r="A19197" t="s">
        <v>6</v>
      </c>
      <c r="B19197" t="s">
        <v>19202</v>
      </c>
      <c r="C19197">
        <f>HYPERLINK("C:\Users\franc\OneDrive\Documentos\MALENTIN KARIME\BANCO ESTADO\2012 DEPTO ESCRITURAS fata\2012 DEPTO ESCRITURAS\REVOCA\OSVALDO AGUILERA ARAYA.doc", "Abrir Documento")</f>
        <v>0</v>
      </c>
      <c r="D19197" t="s">
        <v>23500</v>
      </c>
      <c r="E19197" t="s">
        <v>41672</v>
      </c>
    </row>
    <row r="19198" spans="1:5">
      <c r="A19198" t="s">
        <v>6</v>
      </c>
      <c r="B19198" t="s">
        <v>19203</v>
      </c>
      <c r="C19198">
        <f>HYPERLINK("C:\Users\franc\OneDrive\Documentos\MALENTIN KARIME\BANCO ESTADO\2012 DEPTO ESCRITURAS fata\2012 DEPTO ESCRITURAS\REVOCA\MAURICIO PEDREROS PERRY M General.doc", "Abrir Documento")</f>
        <v>0</v>
      </c>
      <c r="D19198" t="s">
        <v>23500</v>
      </c>
      <c r="E19198" t="s">
        <v>41673</v>
      </c>
    </row>
    <row r="19199" spans="1:5">
      <c r="A19199" t="s">
        <v>6</v>
      </c>
      <c r="B19199" t="s">
        <v>19204</v>
      </c>
      <c r="C19199">
        <f>HYPERLINK("C:\Users\franc\OneDrive\Documentos\MALENTIN KARIME\BANCO ESTADO\2012 DEPTO ESCRITURAS fata\2012 DEPTO ESCRITURAS\REVOCA\MARJORIE CORTES ROJAS m.Especial.doc", "Abrir Documento")</f>
        <v>0</v>
      </c>
      <c r="D19199" t="s">
        <v>23500</v>
      </c>
      <c r="E19199" t="s">
        <v>41674</v>
      </c>
    </row>
    <row r="19200" spans="1:5">
      <c r="A19200" t="s">
        <v>6</v>
      </c>
      <c r="B19200" t="s">
        <v>19205</v>
      </c>
      <c r="C19200">
        <f>HYPERLINK("C:\Users\franc\OneDrive\Documentos\MALENTIN KARIME\BANCO ESTADO\2012 DEPTO ESCRITURAS fata\2012 DEPTO ESCRITURAS\REVOCA\MARGARITA VELIZ LEMUS.doc", "Abrir Documento")</f>
        <v>0</v>
      </c>
      <c r="D19200" t="s">
        <v>23500</v>
      </c>
      <c r="E19200" t="s">
        <v>41675</v>
      </c>
    </row>
    <row r="19201" spans="1:5">
      <c r="A19201" t="s">
        <v>6</v>
      </c>
      <c r="B19201" t="s">
        <v>19206</v>
      </c>
      <c r="C19201">
        <f>HYPERLINK("C:\Users\franc\OneDrive\Documentos\MALENTIN KARIME\BANCO ESTADO\2012 DEPTO ESCRITURAS fata\2012 DEPTO ESCRITURAS\REVOCA\MARGARITA VELIZ LEMUS 222.doc", "Abrir Documento")</f>
        <v>0</v>
      </c>
      <c r="D19201" t="s">
        <v>23500</v>
      </c>
      <c r="E19201" t="s">
        <v>41676</v>
      </c>
    </row>
    <row r="19202" spans="1:5">
      <c r="A19202" t="s">
        <v>6</v>
      </c>
      <c r="B19202" t="s">
        <v>19207</v>
      </c>
      <c r="C19202">
        <f>HYPERLINK("C:\Users\franc\OneDrive\Documentos\MALENTIN KARIME\BANCO ESTADO\2012 DEPTO ESCRITURAS fata\2012 DEPTO ESCRITURAS\REVOCA\LUIS GUILLERMO TORREJON TORREJO M.Judicial.doc", "Abrir Documento")</f>
        <v>0</v>
      </c>
      <c r="D19202" t="s">
        <v>23500</v>
      </c>
      <c r="E19202" t="s">
        <v>41677</v>
      </c>
    </row>
    <row r="19203" spans="1:5">
      <c r="A19203" t="s">
        <v>6</v>
      </c>
      <c r="B19203" t="s">
        <v>19208</v>
      </c>
      <c r="C19203">
        <f>HYPERLINK("C:\Users\franc\OneDrive\Documentos\MALENTIN KARIME\BANCO ESTADO\2012 DEPTO ESCRITURAS fata\2012 DEPTO ESCRITURAS\REVOCA\LUIS GUILLERMO TORREJON TORREJO M.Judicial 2009.doc", "Abrir Documento")</f>
        <v>0</v>
      </c>
      <c r="D19203" t="s">
        <v>23500</v>
      </c>
      <c r="E19203" t="s">
        <v>41678</v>
      </c>
    </row>
    <row r="19204" spans="1:5">
      <c r="A19204" t="s">
        <v>6</v>
      </c>
      <c r="B19204" t="s">
        <v>19209</v>
      </c>
      <c r="C19204">
        <f>HYPERLINK("C:\Users\franc\OneDrive\Documentos\MALENTIN KARIME\BANCO ESTADO\2012 DEPTO ESCRITURAS fata\2012 DEPTO ESCRITURAS\REVOCA\LUIS DIAZ JOFRE M.Especial.doc", "Abrir Documento")</f>
        <v>0</v>
      </c>
      <c r="D19204" t="s">
        <v>23500</v>
      </c>
      <c r="E19204" t="s">
        <v>41679</v>
      </c>
    </row>
    <row r="19205" spans="1:5">
      <c r="A19205" t="s">
        <v>6</v>
      </c>
      <c r="B19205" t="s">
        <v>19210</v>
      </c>
      <c r="C19205">
        <f>HYPERLINK("C:\Users\franc\OneDrive\Documentos\MALENTIN KARIME\BANCO ESTADO\2012 DEPTO ESCRITURAS fata\2012 DEPTO ESCRITURAS\REVOCA\FRESIA ARAYA SULANTAY Especial.doc", "Abrir Documento")</f>
        <v>0</v>
      </c>
      <c r="D19205" t="s">
        <v>23500</v>
      </c>
      <c r="E19205" t="s">
        <v>41680</v>
      </c>
    </row>
    <row r="19206" spans="1:5">
      <c r="A19206" t="s">
        <v>6</v>
      </c>
      <c r="B19206" t="s">
        <v>19211</v>
      </c>
      <c r="C19206">
        <f>HYPERLINK("C:\Users\franc\OneDrive\Documentos\MALENTIN KARIME\BANCO ESTADO\2012 DEPTO ESCRITURAS fata\2012 DEPTO ESCRITURAS\REVOCA\ALFONSO ARTIGUES.doc", "Abrir Documento")</f>
        <v>0</v>
      </c>
      <c r="D19206" t="s">
        <v>23500</v>
      </c>
      <c r="E19206" t="s">
        <v>41681</v>
      </c>
    </row>
    <row r="19207" spans="1:5">
      <c r="A19207" t="s">
        <v>6</v>
      </c>
      <c r="B19207" t="s">
        <v>19212</v>
      </c>
      <c r="C19207">
        <f>HYPERLINK("C:\Users\franc\OneDrive\Documentos\MALENTIN KARIME\BANCO ESTADO\2012 DEPTO ESCRITURAS fata\2012 DEPTO ESCRITURAS\REVOCA\AIDA DEL CARMEN LABARCA.doc", "Abrir Documento")</f>
        <v>0</v>
      </c>
      <c r="D19207" t="s">
        <v>23500</v>
      </c>
      <c r="E19207" t="s">
        <v>41682</v>
      </c>
    </row>
    <row r="19208" spans="1:5">
      <c r="A19208" t="s">
        <v>6</v>
      </c>
      <c r="B19208" t="s">
        <v>19213</v>
      </c>
      <c r="C19208">
        <f>HYPERLINK("C:\Users\franc\OneDrive\Documentos\MALENTIN KARIME\BANCO ESTADO\2012 DEPTO ESCRITURAS fata\2012 DEPTO ESCRITURAS\RESCILIACION\SLM LA FORTUNA  A HECTOR LOPEZ Y OTROS.doc", "Abrir Documento")</f>
        <v>0</v>
      </c>
      <c r="D19208" t="s">
        <v>23500</v>
      </c>
      <c r="E19208" t="s">
        <v>41683</v>
      </c>
    </row>
    <row r="19209" spans="1:5">
      <c r="A19209" t="s">
        <v>6</v>
      </c>
      <c r="B19209" t="s">
        <v>19214</v>
      </c>
      <c r="C19209">
        <f>HYPERLINK("C:\Users\franc\OneDrive\Documentos\MALENTIN KARIME\BANCO ESTADO\2012 DEPTO ESCRITURAS fata\2012 DEPTO ESCRITURAS\RESCILIACION\JUAN SANTELICES A HECTOR ELGUEDA.doc", "Abrir Documento")</f>
        <v>0</v>
      </c>
      <c r="D19209" t="s">
        <v>23500</v>
      </c>
      <c r="E19209" t="s">
        <v>41684</v>
      </c>
    </row>
    <row r="19210" spans="1:5">
      <c r="A19210" t="s">
        <v>6</v>
      </c>
      <c r="B19210" t="s">
        <v>19215</v>
      </c>
      <c r="C19210">
        <f>HYPERLINK("C:\Users\franc\OneDrive\Documentos\MALENTIN KARIME\BANCO ESTADO\2012 DEPTO ESCRITURAS fata\2012 DEPTO ESCRITURAS\RESCILIACION\JUAN SANTELICES A Eduardo Castillo.doc", "Abrir Documento")</f>
        <v>0</v>
      </c>
      <c r="D19210" t="s">
        <v>23500</v>
      </c>
      <c r="E19210" t="s">
        <v>41685</v>
      </c>
    </row>
    <row r="19211" spans="1:5">
      <c r="A19211" t="s">
        <v>6</v>
      </c>
      <c r="B19211" t="s">
        <v>19216</v>
      </c>
      <c r="C19211">
        <f>HYPERLINK("C:\Users\franc\OneDrive\Documentos\MALENTIN KARIME\BANCO ESTADO\2012 DEPTO ESCRITURAS fata\2012 DEPTO ESCRITURAS\RESCILIACION\GABRIEL VELIZ PIZARRO CVTA.doc", "Abrir Documento")</f>
        <v>0</v>
      </c>
      <c r="D19211" t="s">
        <v>23500</v>
      </c>
      <c r="E19211" t="s">
        <v>41686</v>
      </c>
    </row>
    <row r="19212" spans="1:5">
      <c r="A19212" t="s">
        <v>6</v>
      </c>
      <c r="B19212" t="s">
        <v>19217</v>
      </c>
      <c r="C19212">
        <f>HYPERLINK("C:\Users\franc\OneDrive\Documentos\MALENTIN KARIME\BANCO ESTADO\2012 DEPTO ESCRITURAS fata\2012 DEPTO ESCRITURAS\RESCILIACION\comunidad LAS DAMAS.doc", "Abrir Documento")</f>
        <v>0</v>
      </c>
      <c r="D19212" t="s">
        <v>23500</v>
      </c>
      <c r="E19212" t="s">
        <v>41687</v>
      </c>
    </row>
    <row r="19213" spans="1:5">
      <c r="A19213" t="s">
        <v>6</v>
      </c>
      <c r="B19213" t="s">
        <v>19218</v>
      </c>
      <c r="C19213">
        <f>HYPERLINK("C:\Users\franc\OneDrive\Documentos\MALENTIN KARIME\BANCO ESTADO\2012 DEPTO ESCRITURAS fata\2012 DEPTO ESCRITURAS\RESCILIACION\CARLOS CARVAJAL RODRIGUEZ.doc", "Abrir Documento")</f>
        <v>0</v>
      </c>
      <c r="D19213" t="s">
        <v>23500</v>
      </c>
      <c r="E19213" t="s">
        <v>41688</v>
      </c>
    </row>
    <row r="19214" spans="1:5">
      <c r="A19214" t="s">
        <v>6</v>
      </c>
      <c r="B19214" t="s">
        <v>19219</v>
      </c>
      <c r="C19214">
        <f>HYPERLINK("C:\Users\franc\OneDrive\Documentos\MALENTIN KARIME\BANCO ESTADO\2012 DEPTO ESCRITURAS fata\2012 DEPTO ESCRITURAS\RESCILIACION\ALFONSO MONTENEGRO  Y JOSE MUNIZAGA.doc", "Abrir Documento")</f>
        <v>0</v>
      </c>
      <c r="D19214" t="s">
        <v>23500</v>
      </c>
      <c r="E19214" t="s">
        <v>41689</v>
      </c>
    </row>
    <row r="19215" spans="1:5">
      <c r="A19215" t="s">
        <v>6</v>
      </c>
      <c r="B19215" t="s">
        <v>19220</v>
      </c>
      <c r="C19215">
        <f>HYPERLINK("C:\Users\franc\OneDrive\Documentos\MALENTIN KARIME\BANCO ESTADO\2012 DEPTO ESCRITURAS fata\2012 DEPTO ESCRITURAS\RENUNCIA GANANCIAL\NIRMA OLIVARES VALENCIA.doc", "Abrir Documento")</f>
        <v>0</v>
      </c>
      <c r="D19215" t="s">
        <v>23500</v>
      </c>
      <c r="E19215" t="s">
        <v>41690</v>
      </c>
    </row>
    <row r="19216" spans="1:5">
      <c r="A19216" t="s">
        <v>6</v>
      </c>
      <c r="B19216" t="s">
        <v>19221</v>
      </c>
      <c r="C19216">
        <f>HYPERLINK("C:\Users\franc\OneDrive\Documentos\MALENTIN KARIME\BANCO ESTADO\2012 DEPTO ESCRITURAS fata\2012 DEPTO ESCRITURAS\REMATE\YANETT TABILO TABILO  Cristian Vega.doc", "Abrir Documento")</f>
        <v>0</v>
      </c>
      <c r="D19216" t="s">
        <v>23500</v>
      </c>
      <c r="E19216" t="s">
        <v>41691</v>
      </c>
    </row>
    <row r="19217" spans="1:5">
      <c r="A19217" t="s">
        <v>6</v>
      </c>
      <c r="B19217" t="s">
        <v>19222</v>
      </c>
      <c r="C19217">
        <f>HYPERLINK("C:\Users\franc\OneDrive\Documentos\MALENTIN KARIME\BANCO ESTADO\2012 DEPTO ESCRITURAS fata\2012 DEPTO ESCRITURAS\REMATE\YANETT TABILO TABILO  Cristian Vega NOT TITULAR.doc", "Abrir Documento")</f>
        <v>0</v>
      </c>
      <c r="D19217" t="s">
        <v>23500</v>
      </c>
      <c r="E19217" t="s">
        <v>41692</v>
      </c>
    </row>
    <row r="19218" spans="1:5">
      <c r="A19218" t="s">
        <v>6</v>
      </c>
      <c r="B19218" t="s">
        <v>19223</v>
      </c>
      <c r="C19218">
        <f>HYPERLINK("C:\Users\franc\OneDrive\Documentos\MALENTIN KARIME\BANCO ESTADO\2012 DEPTO ESCRITURAS fata\2012 DEPTO ESCRITURAS\REMATE\CARLOS ASTUDILLO Y FLORENCIO ARAYA RVega.doc", "Abrir Documento")</f>
        <v>0</v>
      </c>
      <c r="D19218" t="s">
        <v>23500</v>
      </c>
      <c r="E19218" t="s">
        <v>41693</v>
      </c>
    </row>
    <row r="19219" spans="1:5">
      <c r="A19219" t="s">
        <v>6</v>
      </c>
      <c r="B19219" t="s">
        <v>19224</v>
      </c>
      <c r="C19219">
        <f>HYPERLINK("C:\Users\franc\OneDrive\Documentos\MALENTIN KARIME\BANCO ESTADO\2012 DEPTO ESCRITURAS fata\2012 DEPTO ESCRITURAS\REDUCCIONES\SOPPUEX.doc", "Abrir Documento")</f>
        <v>0</v>
      </c>
      <c r="D19219" t="s">
        <v>23500</v>
      </c>
      <c r="E19219" t="s">
        <v>41694</v>
      </c>
    </row>
    <row r="19220" spans="1:5">
      <c r="A19220" t="s">
        <v>6</v>
      </c>
      <c r="B19220" t="s">
        <v>19225</v>
      </c>
      <c r="C19220">
        <f>HYPERLINK("C:\Users\franc\OneDrive\Documentos\MALENTIN KARIME\BANCO ESTADO\2012 DEPTO ESCRITURAS fata\2012 DEPTO ESCRITURAS\REDUCCIONES\SOPPUEX 24 abril 12.doc", "Abrir Documento")</f>
        <v>0</v>
      </c>
      <c r="D19220" t="s">
        <v>23500</v>
      </c>
      <c r="E19220" t="s">
        <v>41695</v>
      </c>
    </row>
    <row r="19221" spans="1:5">
      <c r="A19221" t="s">
        <v>6</v>
      </c>
      <c r="B19221" t="s">
        <v>19226</v>
      </c>
      <c r="C19221">
        <f>HYPERLINK("C:\Users\franc\OneDrive\Documentos\MALENTIN KARIME\BANCO ESTADO\2012 DEPTO ESCRITURAS fata\2012 DEPTO ESCRITURAS\REDUCCIONES\RECOLETA DOS 2.doc", "Abrir Documento")</f>
        <v>0</v>
      </c>
      <c r="D19221" t="s">
        <v>23500</v>
      </c>
      <c r="E19221" t="s">
        <v>41696</v>
      </c>
    </row>
    <row r="19222" spans="1:5">
      <c r="A19222" t="s">
        <v>6</v>
      </c>
      <c r="B19222" t="s">
        <v>19227</v>
      </c>
      <c r="C19222">
        <f>HYPERLINK("C:\Users\franc\OneDrive\Documentos\MALENTIN KARIME\BANCO ESTADO\2012 DEPTO ESCRITURAS fata\2012 DEPTO ESCRITURAS\REDUCCIONES\PERMISO DE EDIFICACION 233.doc", "Abrir Documento")</f>
        <v>0</v>
      </c>
      <c r="D19222" t="s">
        <v>23500</v>
      </c>
      <c r="E19222" t="s">
        <v>41697</v>
      </c>
    </row>
    <row r="19223" spans="1:5">
      <c r="A19223" t="s">
        <v>6</v>
      </c>
      <c r="B19223" t="s">
        <v>19228</v>
      </c>
      <c r="C19223">
        <f>HYPERLINK("C:\Users\franc\OneDrive\Documentos\MALENTIN KARIME\BANCO ESTADO\2012 DEPTO ESCRITURAS fata\2012 DEPTO ESCRITURAS\REDUCCIONES\LAS TOTORAS S.A. Dos 2.doc", "Abrir Documento")</f>
        <v>0</v>
      </c>
      <c r="D19223" t="s">
        <v>23500</v>
      </c>
      <c r="E19223" t="s">
        <v>41698</v>
      </c>
    </row>
    <row r="19224" spans="1:5">
      <c r="A19224" t="s">
        <v>6</v>
      </c>
      <c r="B19224" t="s">
        <v>19229</v>
      </c>
      <c r="C19224">
        <f>HYPERLINK("C:\Users\franc\OneDrive\Documentos\MALENTIN KARIME\BANCO ESTADO\2012 DEPTO ESCRITURAS fata\2012 DEPTO ESCRITURAS\REDUCCIONES\LAS TOTORAS S.A. 1.doc", "Abrir Documento")</f>
        <v>0</v>
      </c>
      <c r="D19224" t="s">
        <v>23500</v>
      </c>
      <c r="E19224" t="s">
        <v>41699</v>
      </c>
    </row>
    <row r="19225" spans="1:5">
      <c r="A19225" t="s">
        <v>6</v>
      </c>
      <c r="B19225" t="s">
        <v>19230</v>
      </c>
      <c r="C19225">
        <f>HYPERLINK("C:\Users\franc\OneDrive\Documentos\MALENTIN KARIME\BANCO ESTADO\2012 DEPTO ESCRITURAS fata\2012 DEPTO ESCRITURAS\REDUCCIONES\Jta.Gral.2011.doc", "Abrir Documento")</f>
        <v>0</v>
      </c>
      <c r="D19225" t="s">
        <v>23500</v>
      </c>
      <c r="E19225" t="s">
        <v>41700</v>
      </c>
    </row>
    <row r="19226" spans="1:5">
      <c r="A19226" t="s">
        <v>6</v>
      </c>
      <c r="B19226" t="s">
        <v>19231</v>
      </c>
      <c r="C19226">
        <f>HYPERLINK("C:\Users\franc\OneDrive\Documentos\MALENTIN KARIME\BANCO ESTADO\2012 DEPTO ESCRITURAS fata\2012 DEPTO ESCRITURAS\REDUCCIONES\INMOBILIARAIA NORTE VERDE  Sesion de directorio.doc", "Abrir Documento")</f>
        <v>0</v>
      </c>
      <c r="D19226" t="s">
        <v>23500</v>
      </c>
      <c r="E19226" t="s">
        <v>41701</v>
      </c>
    </row>
    <row r="19227" spans="1:5">
      <c r="A19227" t="s">
        <v>6</v>
      </c>
      <c r="B19227" t="s">
        <v>19232</v>
      </c>
      <c r="C19227">
        <f>HYPERLINK("C:\Users\franc\OneDrive\Documentos\MALENTIN KARIME\BANCO ESTADO\2012 DEPTO ESCRITURAS fata\2012 DEPTO ESCRITURAS\REDUCCIONES\INMOBILIARAIA NORTE VERDE  Segunda Junta Extr.doc", "Abrir Documento")</f>
        <v>0</v>
      </c>
      <c r="D19227" t="s">
        <v>23500</v>
      </c>
      <c r="E19227" t="s">
        <v>41702</v>
      </c>
    </row>
    <row r="19228" spans="1:5">
      <c r="A19228" t="s">
        <v>6</v>
      </c>
      <c r="B19228" t="s">
        <v>19233</v>
      </c>
      <c r="C19228">
        <f>HYPERLINK("C:\Users\franc\OneDrive\Documentos\MALENTIN KARIME\BANCO ESTADO\2012 DEPTO ESCRITURAS fata\2012 DEPTO ESCRITURAS\REDUCCIONES\DOBLE M.doc", "Abrir Documento")</f>
        <v>0</v>
      </c>
      <c r="D19228" t="s">
        <v>23500</v>
      </c>
      <c r="E19228" t="s">
        <v>41703</v>
      </c>
    </row>
    <row r="19229" spans="1:5">
      <c r="A19229" t="s">
        <v>6</v>
      </c>
      <c r="B19229" t="s">
        <v>19234</v>
      </c>
      <c r="C19229">
        <f>HYPERLINK("C:\Users\franc\OneDrive\Documentos\MALENTIN KARIME\BANCO ESTADO\2012 DEPTO ESCRITURAS fata\2012 DEPTO ESCRITURAS\REDUCCIONES\DOBLE M Abril.doc", "Abrir Documento")</f>
        <v>0</v>
      </c>
      <c r="D19229" t="s">
        <v>23500</v>
      </c>
      <c r="E19229" t="s">
        <v>41704</v>
      </c>
    </row>
    <row r="19230" spans="1:5">
      <c r="A19230" t="s">
        <v>6</v>
      </c>
      <c r="B19230" t="s">
        <v>19235</v>
      </c>
      <c r="C19230">
        <f>HYPERLINK("C:\Users\franc\OneDrive\Documentos\MALENTIN KARIME\BANCO ESTADO\2012 DEPTO ESCRITURAS fata\2012 DEPTO ESCRITURAS\REDUCCIONES\contador FRUTOS.doc", "Abrir Documento")</f>
        <v>0</v>
      </c>
      <c r="D19230" t="s">
        <v>23500</v>
      </c>
      <c r="E19230" t="s">
        <v>41705</v>
      </c>
    </row>
    <row r="19231" spans="1:5">
      <c r="A19231" t="s">
        <v>6</v>
      </c>
      <c r="B19231" t="s">
        <v>19236</v>
      </c>
      <c r="C19231">
        <f>HYPERLINK("C:\Users\franc\OneDrive\Documentos\MALENTIN KARIME\BANCO ESTADO\2012 DEPTO ESCRITURAS fata\2012 DEPTO ESCRITURAS\REDUCCIONES\COMUNIDAD DE AGUAS CANAL TAMELCURA.doc", "Abrir Documento")</f>
        <v>0</v>
      </c>
      <c r="D19231" t="s">
        <v>23500</v>
      </c>
      <c r="E19231" t="s">
        <v>41706</v>
      </c>
    </row>
    <row r="19232" spans="1:5">
      <c r="A19232" t="s">
        <v>6</v>
      </c>
      <c r="B19232" t="s">
        <v>19237</v>
      </c>
      <c r="C19232">
        <f>HYPERLINK("C:\Users\franc\OneDrive\Documentos\MALENTIN KARIME\BANCO ESTADO\2012 DEPTO ESCRITURAS fata\2012 DEPTO ESCRITURAS\REDUCCIONES\COMUNIDAD DE AGUAS CANAL TAMELCURA Sesion de Directorio.doc", "Abrir Documento")</f>
        <v>0</v>
      </c>
      <c r="D19232" t="s">
        <v>23500</v>
      </c>
      <c r="E19232" t="s">
        <v>41707</v>
      </c>
    </row>
    <row r="19233" spans="1:5">
      <c r="A19233" t="s">
        <v>6</v>
      </c>
      <c r="B19233" t="s">
        <v>19238</v>
      </c>
      <c r="C19233">
        <f>HYPERLINK("C:\Users\franc\OneDrive\Documentos\MALENTIN KARIME\BANCO ESTADO\2012 DEPTO ESCRITURAS fata\2012 DEPTO ESCRITURAS\REDUCCIONES\CLUB AEREO DE OVALLE 2.doc", "Abrir Documento")</f>
        <v>0</v>
      </c>
      <c r="D19233" t="s">
        <v>23500</v>
      </c>
      <c r="E19233" t="s">
        <v>41708</v>
      </c>
    </row>
    <row r="19234" spans="1:5">
      <c r="A19234" t="s">
        <v>6</v>
      </c>
      <c r="B19234" t="s">
        <v>19239</v>
      </c>
      <c r="C19234">
        <f>HYPERLINK("C:\Users\franc\OneDrive\Documentos\MALENTIN KARIME\BANCO ESTADO\2012 DEPTO ESCRITURAS fata\2012 DEPTO ESCRITURAS\REDUCCIONES\CLUB AEREO DE OVALLE 1.doc", "Abrir Documento")</f>
        <v>0</v>
      </c>
      <c r="D19234" t="s">
        <v>23500</v>
      </c>
      <c r="E19234" t="s">
        <v>41709</v>
      </c>
    </row>
    <row r="19235" spans="1:5">
      <c r="A19235" t="s">
        <v>6</v>
      </c>
      <c r="B19235" t="s">
        <v>19240</v>
      </c>
      <c r="C19235">
        <f>HYPERLINK("C:\Users\franc\OneDrive\Documentos\MALENTIN KARIME\BANCO ESTADO\2012 DEPTO ESCRITURAS fata\2012 DEPTO ESCRITURAS\REDUCCIONES\canal PALQUI MAURAT SEMITA.doc", "Abrir Documento")</f>
        <v>0</v>
      </c>
      <c r="D19235" t="s">
        <v>23500</v>
      </c>
      <c r="E19235" t="s">
        <v>41710</v>
      </c>
    </row>
    <row r="19236" spans="1:5">
      <c r="A19236" t="s">
        <v>6</v>
      </c>
      <c r="B19236" t="s">
        <v>19241</v>
      </c>
      <c r="C19236">
        <f>HYPERLINK("C:\Users\franc\OneDrive\Documentos\MALENTIN KARIME\BANCO ESTADO\2012 DEPTO ESCRITURAS fata\2012 DEPTO ESCRITURAS\REDUCCIONES\CANAL PALQUI MAURAT SEMITA Reunión de Directorio.doc", "Abrir Documento")</f>
        <v>0</v>
      </c>
      <c r="D19236" t="s">
        <v>23500</v>
      </c>
      <c r="E19236" t="s">
        <v>41711</v>
      </c>
    </row>
    <row r="19237" spans="1:5">
      <c r="A19237" t="s">
        <v>6</v>
      </c>
      <c r="B19237" t="s">
        <v>19242</v>
      </c>
      <c r="C19237">
        <f>HYPERLINK("C:\Users\franc\OneDrive\Documentos\MALENTIN KARIME\BANCO ESTADO\2012 DEPTO ESCRITURAS fata\2012 DEPTO ESCRITURAS\REDUCCIONES\canal PALQUI MAURAT SEMITA Declaracion.doc", "Abrir Documento")</f>
        <v>0</v>
      </c>
      <c r="D19237" t="s">
        <v>23500</v>
      </c>
      <c r="E19237" t="s">
        <v>41712</v>
      </c>
    </row>
    <row r="19238" spans="1:5">
      <c r="A19238" t="s">
        <v>6</v>
      </c>
      <c r="B19238" t="s">
        <v>19243</v>
      </c>
      <c r="C19238">
        <f>HYPERLINK("C:\Users\franc\OneDrive\Documentos\MALENTIN KARIME\BANCO ESTADO\2012 DEPTO ESCRITURAS fata\2012 DEPTO ESCRITURAS\REDUCCIONES\APR HUATULAME DGA 1386.doc", "Abrir Documento")</f>
        <v>0</v>
      </c>
      <c r="D19238" t="s">
        <v>23500</v>
      </c>
      <c r="E19238" t="s">
        <v>41713</v>
      </c>
    </row>
    <row r="19239" spans="1:5">
      <c r="A19239" t="s">
        <v>6</v>
      </c>
      <c r="B19239" t="s">
        <v>19244</v>
      </c>
      <c r="C19239">
        <f>HYPERLINK("C:\Users\franc\OneDrive\Documentos\MALENTIN KARIME\BANCO ESTADO\2012 DEPTO ESCRITURAS fata\2012 DEPTO ESCRITURAS\REDUCCIONES\ALPACAS URANIA SPA Directorio.doc", "Abrir Documento")</f>
        <v>0</v>
      </c>
      <c r="D19239" t="s">
        <v>23500</v>
      </c>
      <c r="E19239" t="s">
        <v>41714</v>
      </c>
    </row>
    <row r="19240" spans="1:5">
      <c r="A19240" t="s">
        <v>6</v>
      </c>
      <c r="B19240" t="s">
        <v>19245</v>
      </c>
      <c r="C19240">
        <f>HYPERLINK("C:\Users\franc\OneDrive\Documentos\MALENTIN KARIME\BANCO ESTADO\2012 DEPTO ESCRITURAS fata\2012 DEPTO ESCRITURAS\REDUCCIONES\AGROCOMERCIAL AGROMILENIO 19NOV-.doc", "Abrir Documento")</f>
        <v>0</v>
      </c>
      <c r="D19240" t="s">
        <v>23500</v>
      </c>
      <c r="E19240" t="s">
        <v>41715</v>
      </c>
    </row>
    <row r="19241" spans="1:5">
      <c r="A19241" t="s">
        <v>6</v>
      </c>
      <c r="B19241" t="s">
        <v>19246</v>
      </c>
      <c r="C19241">
        <f>HYPERLINK("C:\Users\franc\OneDrive\Documentos\MALENTIN KARIME\BANCO ESTADO\2012 DEPTO ESCRITURAS fata\2012 DEPTO ESCRITURAS\REDUCCIONES\AGROCOMERCIAL AGROMILENIO 05 NOV.doc", "Abrir Documento")</f>
        <v>0</v>
      </c>
      <c r="D19241" t="s">
        <v>23500</v>
      </c>
      <c r="E19241" t="s">
        <v>41716</v>
      </c>
    </row>
    <row r="19242" spans="1:5">
      <c r="A19242" t="s">
        <v>6</v>
      </c>
      <c r="B19242" t="s">
        <v>19247</v>
      </c>
      <c r="C19242">
        <f>HYPERLINK("C:\Users\franc\OneDrive\Documentos\MALENTIN KARIME\BANCO ESTADO\2012 DEPTO ESCRITURAS fata\2012 DEPTO ESCRITURAS\REDUCCIONES\AGRICOLA San Erasmo.doc", "Abrir Documento")</f>
        <v>0</v>
      </c>
      <c r="D19242" t="s">
        <v>23500</v>
      </c>
      <c r="E19242" t="s">
        <v>41717</v>
      </c>
    </row>
    <row r="19243" spans="1:5">
      <c r="A19243" t="s">
        <v>6</v>
      </c>
      <c r="B19243" t="s">
        <v>19248</v>
      </c>
      <c r="C19243">
        <f>HYPERLINK("C:\Users\franc\OneDrive\Documentos\MALENTIN KARIME\BANCO ESTADO\2012 DEPTO ESCRITURAS fata\2012 DEPTO ESCRITURAS\REDUCCIONES\AGRICOLA San Erasmo III.doc", "Abrir Documento")</f>
        <v>0</v>
      </c>
      <c r="D19243" t="s">
        <v>23500</v>
      </c>
      <c r="E19243" t="s">
        <v>41718</v>
      </c>
    </row>
    <row r="19244" spans="1:5">
      <c r="A19244" t="s">
        <v>6</v>
      </c>
      <c r="B19244" t="s">
        <v>19249</v>
      </c>
      <c r="C19244">
        <f>HYPERLINK("C:\Users\franc\OneDrive\Documentos\MALENTIN KARIME\BANCO ESTADO\2012 DEPTO ESCRITURAS fata\2012 DEPTO ESCRITURAS\REDUCCIONES\AGRICOLA San Erasmo ii.doc", "Abrir Documento")</f>
        <v>0</v>
      </c>
      <c r="D19244" t="s">
        <v>23500</v>
      </c>
      <c r="E19244" t="s">
        <v>41719</v>
      </c>
    </row>
    <row r="19245" spans="1:5">
      <c r="A19245" t="s">
        <v>6</v>
      </c>
      <c r="B19245" t="s">
        <v>19250</v>
      </c>
      <c r="C19245">
        <f>HYPERLINK("C:\Users\franc\OneDrive\Documentos\MALENTIN KARIME\BANCO ESTADO\2012 DEPTO ESCRITURAS fata\2012 DEPTO ESCRITURAS\REDUCCIONES\AGRICOLA MALLORCA.doc", "Abrir Documento")</f>
        <v>0</v>
      </c>
      <c r="D19245" t="s">
        <v>23500</v>
      </c>
      <c r="E19245" t="s">
        <v>41720</v>
      </c>
    </row>
    <row r="19246" spans="1:5">
      <c r="A19246" t="s">
        <v>6</v>
      </c>
      <c r="B19246" t="s">
        <v>19251</v>
      </c>
      <c r="C19246">
        <f>HYPERLINK("C:\Users\franc\OneDrive\Documentos\MALENTIN KARIME\BANCO ESTADO\2012 DEPTO ESCRITURAS fata\2012 DEPTO ESCRITURAS\REDUCCIONES\AGRICOLA MALLORCA 19-11-12.doc", "Abrir Documento")</f>
        <v>0</v>
      </c>
      <c r="D19246" t="s">
        <v>23500</v>
      </c>
      <c r="E19246" t="s">
        <v>41721</v>
      </c>
    </row>
    <row r="19247" spans="1:5">
      <c r="A19247" t="s">
        <v>6</v>
      </c>
      <c r="B19247" t="s">
        <v>19252</v>
      </c>
      <c r="C19247">
        <f>HYPERLINK("C:\Users\franc\OneDrive\Documentos\MALENTIN KARIME\BANCO ESTADO\2012 DEPTO ESCRITURAS fata\2012 DEPTO ESCRITURAS\REDUCCIONES\AGRICOLA CHAÑARAL BAJO NORTE 19-11-12.doc", "Abrir Documento")</f>
        <v>0</v>
      </c>
      <c r="D19247" t="s">
        <v>23500</v>
      </c>
      <c r="E19247" t="s">
        <v>41722</v>
      </c>
    </row>
    <row r="19248" spans="1:5">
      <c r="A19248" t="s">
        <v>6</v>
      </c>
      <c r="B19248" t="s">
        <v>19253</v>
      </c>
      <c r="C19248">
        <f>HYPERLINK("C:\Users\franc\OneDrive\Documentos\MALENTIN KARIME\BANCO ESTADO\2012 DEPTO ESCRITURAS fata\2012 DEPTO ESCRITURAS\REDUCCIONES\ACTA_1Â°_SESION_EXTRAORDINARIA_DIRECTORIO_correcciones (1)(1).doc", "Abrir Documento")</f>
        <v>0</v>
      </c>
      <c r="D19248" t="s">
        <v>23500</v>
      </c>
      <c r="E19248" t="s">
        <v>41723</v>
      </c>
    </row>
    <row r="19249" spans="1:5">
      <c r="A19249" t="s">
        <v>6</v>
      </c>
      <c r="B19249" t="s">
        <v>19254</v>
      </c>
      <c r="C19249">
        <f>HYPERLINK("C:\Users\franc\OneDrive\Documentos\MALENTIN KARIME\BANCO ESTADO\2012 DEPTO ESCRITURAS fata\2012 DEPTO ESCRITURAS\REDUCCIONES\ACTA DE doble m s.a..doc", "Abrir Documento")</f>
        <v>0</v>
      </c>
      <c r="D19249" t="s">
        <v>23500</v>
      </c>
      <c r="E19249" t="s">
        <v>41724</v>
      </c>
    </row>
    <row r="19250" spans="1:5">
      <c r="A19250" t="s">
        <v>6</v>
      </c>
      <c r="B19250" t="s">
        <v>19255</v>
      </c>
      <c r="C19250">
        <f>HYPERLINK("C:\Users\franc\OneDrive\Documentos\MALENTIN KARIME\BANCO ESTADO\2012 DEPTO ESCRITURAS fata\2012 DEPTO ESCRITURAS\RECTIFICACION\SERGIO SALFATE ARAYA.doc", "Abrir Documento")</f>
        <v>0</v>
      </c>
      <c r="D19250" t="s">
        <v>23500</v>
      </c>
      <c r="E19250" t="s">
        <v>41725</v>
      </c>
    </row>
    <row r="19251" spans="1:5">
      <c r="A19251" t="s">
        <v>6</v>
      </c>
      <c r="B19251" t="s">
        <v>19256</v>
      </c>
      <c r="C19251">
        <f>HYPERLINK("C:\Users\franc\OneDrive\Documentos\MALENTIN KARIME\BANCO ESTADO\2012 DEPTO ESCRITURAS fata\2012 DEPTO ESCRITURAS\RECTIFICACION\ROSALIA QUISPE  Rut.doc", "Abrir Documento")</f>
        <v>0</v>
      </c>
      <c r="D19251" t="s">
        <v>23500</v>
      </c>
      <c r="E19251" t="s">
        <v>41726</v>
      </c>
    </row>
    <row r="19252" spans="1:5">
      <c r="A19252" t="s">
        <v>6</v>
      </c>
      <c r="B19252" t="s">
        <v>19257</v>
      </c>
      <c r="C19252">
        <f>HYPERLINK("C:\Users\franc\OneDrive\Documentos\MALENTIN KARIME\BANCO ESTADO\2012 DEPTO ESCRITURAS fata\2012 DEPTO ESCRITURAS\RECTIFICACION\RIO CLARO Minuta.doc", "Abrir Documento")</f>
        <v>0</v>
      </c>
      <c r="D19252" t="s">
        <v>23500</v>
      </c>
      <c r="E19252" t="s">
        <v>41727</v>
      </c>
    </row>
    <row r="19253" spans="1:5">
      <c r="A19253" t="s">
        <v>6</v>
      </c>
      <c r="B19253" t="s">
        <v>19258</v>
      </c>
      <c r="C19253">
        <f>HYPERLINK("C:\Users\franc\OneDrive\Documentos\MALENTIN KARIME\BANCO ESTADO\2012 DEPTO ESCRITURAS fata\2012 DEPTO ESCRITURAS\RECTIFICACION\RIO CLARO Minuta Extracto.doc", "Abrir Documento")</f>
        <v>0</v>
      </c>
      <c r="D19253" t="s">
        <v>23500</v>
      </c>
      <c r="E19253" t="s">
        <v>41728</v>
      </c>
    </row>
    <row r="19254" spans="1:5">
      <c r="A19254" t="s">
        <v>6</v>
      </c>
      <c r="B19254" t="s">
        <v>19259</v>
      </c>
      <c r="C19254">
        <f>HYPERLINK("C:\Users\franc\OneDrive\Documentos\MALENTIN KARIME\BANCO ESTADO\2012 DEPTO ESCRITURAS fata\2012 DEPTO ESCRITURAS\RECTIFICACION\RICARDO ARAYA Rect.doc", "Abrir Documento")</f>
        <v>0</v>
      </c>
      <c r="D19254" t="s">
        <v>23500</v>
      </c>
      <c r="E19254" t="s">
        <v>41729</v>
      </c>
    </row>
    <row r="19255" spans="1:5">
      <c r="A19255" t="s">
        <v>6</v>
      </c>
      <c r="B19255" t="s">
        <v>19260</v>
      </c>
      <c r="C19255">
        <f>HYPERLINK("C:\Users\franc\OneDrive\Documentos\MALENTIN KARIME\BANCO ESTADO\2012 DEPTO ESCRITURAS fata\2012 DEPTO ESCRITURAS\RECTIFICACION\RICARDO ARAYA Rect 2.doc", "Abrir Documento")</f>
        <v>0</v>
      </c>
      <c r="D19255" t="s">
        <v>23500</v>
      </c>
      <c r="E19255" t="s">
        <v>41730</v>
      </c>
    </row>
    <row r="19256" spans="1:5">
      <c r="A19256" t="s">
        <v>6</v>
      </c>
      <c r="B19256" t="s">
        <v>19261</v>
      </c>
      <c r="C19256">
        <f>HYPERLINK("C:\Users\franc\OneDrive\Documentos\MALENTIN KARIME\BANCO ESTADO\2012 DEPTO ESCRITURAS fata\2012 DEPTO ESCRITURAS\RECTIFICACION\RECTIFICA.doc", "Abrir Documento")</f>
        <v>0</v>
      </c>
      <c r="D19256" t="s">
        <v>23500</v>
      </c>
      <c r="E19256" t="s">
        <v>41731</v>
      </c>
    </row>
    <row r="19257" spans="1:5">
      <c r="A19257" t="s">
        <v>6</v>
      </c>
      <c r="B19257" t="s">
        <v>19262</v>
      </c>
      <c r="C19257">
        <f>HYPERLINK("C:\Users\franc\OneDrive\Documentos\MALENTIN KARIME\BANCO ESTADO\2012 DEPTO ESCRITURAS fata\2012 DEPTO ESCRITURAS\RECTIFICACION\NIVALDO VEAS CORTES Deslindes.doc", "Abrir Documento")</f>
        <v>0</v>
      </c>
      <c r="D19257" t="s">
        <v>23500</v>
      </c>
      <c r="E19257" t="s">
        <v>41732</v>
      </c>
    </row>
    <row r="19258" spans="1:5">
      <c r="A19258" t="s">
        <v>6</v>
      </c>
      <c r="B19258" t="s">
        <v>19263</v>
      </c>
      <c r="C19258">
        <f>HYPERLINK("C:\Users\franc\OneDrive\Documentos\MALENTIN KARIME\BANCO ESTADO\2012 DEPTO ESCRITURAS fata\2012 DEPTO ESCRITURAS\RECTIFICACION\MARIO ALFARO GUTIERREZ.doc", "Abrir Documento")</f>
        <v>0</v>
      </c>
      <c r="D19258" t="s">
        <v>23500</v>
      </c>
      <c r="E19258" t="s">
        <v>41733</v>
      </c>
    </row>
    <row r="19259" spans="1:5">
      <c r="A19259" t="s">
        <v>6</v>
      </c>
      <c r="B19259" t="s">
        <v>19264</v>
      </c>
      <c r="C19259">
        <f>HYPERLINK("C:\Users\franc\OneDrive\Documentos\MALENTIN KARIME\BANCO ESTADO\2012 DEPTO ESCRITURAS fata\2012 DEPTO ESCRITURAS\RECTIFICACION\LEONARDO ROJAS A. Desafectación.doc", "Abrir Documento")</f>
        <v>0</v>
      </c>
      <c r="D19259" t="s">
        <v>23500</v>
      </c>
      <c r="E19259" t="s">
        <v>41734</v>
      </c>
    </row>
    <row r="19260" spans="1:5">
      <c r="A19260" t="s">
        <v>6</v>
      </c>
      <c r="B19260" t="s">
        <v>19265</v>
      </c>
      <c r="C19260">
        <f>HYPERLINK("C:\Users\franc\OneDrive\Documentos\MALENTIN KARIME\BANCO ESTADO\2012 DEPTO ESCRITURAS fata\2012 DEPTO ESCRITURAS\RECTIFICACION\las NIETAS.doc", "Abrir Documento")</f>
        <v>0</v>
      </c>
      <c r="D19260" t="s">
        <v>23500</v>
      </c>
      <c r="E19260" t="s">
        <v>41735</v>
      </c>
    </row>
    <row r="19261" spans="1:5">
      <c r="A19261" t="s">
        <v>6</v>
      </c>
      <c r="B19261" t="s">
        <v>19266</v>
      </c>
      <c r="C19261">
        <f>HYPERLINK("C:\Users\franc\OneDrive\Documentos\MALENTIN KARIME\BANCO ESTADO\2012 DEPTO ESCRITURAS fata\2012 DEPTO ESCRITURAS\RECTIFICACION\JORGE DIAZ RUBINA.doc", "Abrir Documento")</f>
        <v>0</v>
      </c>
      <c r="D19261" t="s">
        <v>23500</v>
      </c>
      <c r="E19261" t="s">
        <v>41736</v>
      </c>
    </row>
    <row r="19262" spans="1:5">
      <c r="A19262" t="s">
        <v>6</v>
      </c>
      <c r="B19262" t="s">
        <v>19267</v>
      </c>
      <c r="C19262">
        <f>HYPERLINK("C:\Users\franc\OneDrive\Documentos\MALENTIN KARIME\BANCO ESTADO\2012 DEPTO ESCRITURAS fata\2012 DEPTO ESCRITURAS\RECTIFICACION\JIMMY LARA JULIO Rectificacion.doc", "Abrir Documento")</f>
        <v>0</v>
      </c>
      <c r="D19262" t="s">
        <v>23500</v>
      </c>
      <c r="E19262" t="s">
        <v>41737</v>
      </c>
    </row>
    <row r="19263" spans="1:5">
      <c r="A19263" t="s">
        <v>6</v>
      </c>
      <c r="B19263" t="s">
        <v>19268</v>
      </c>
      <c r="C19263">
        <f>HYPERLINK("C:\Users\franc\OneDrive\Documentos\MALENTIN KARIME\BANCO ESTADO\2012 DEPTO ESCRITURAS fata\2012 DEPTO ESCRITURAS\RECTIFICACION\IVANJA ROSA DIAZ RUBINA.doc", "Abrir Documento")</f>
        <v>0</v>
      </c>
      <c r="D19263" t="s">
        <v>23500</v>
      </c>
      <c r="E19263" t="s">
        <v>41738</v>
      </c>
    </row>
    <row r="19264" spans="1:5">
      <c r="A19264" t="s">
        <v>6</v>
      </c>
      <c r="B19264" t="s">
        <v>19269</v>
      </c>
      <c r="C19264">
        <f>HYPERLINK("C:\Users\franc\OneDrive\Documentos\MALENTIN KARIME\BANCO ESTADO\2012 DEPTO ESCRITURAS fata\2012 DEPTO ESCRITURAS\RECTIFICACION\GUIDO IBACACHE ROJAS.doc", "Abrir Documento")</f>
        <v>0</v>
      </c>
      <c r="D19264" t="s">
        <v>23500</v>
      </c>
      <c r="E19264" t="s">
        <v>41739</v>
      </c>
    </row>
    <row r="19265" spans="1:5">
      <c r="A19265" t="s">
        <v>6</v>
      </c>
      <c r="B19265" t="s">
        <v>19270</v>
      </c>
      <c r="C19265">
        <f>HYPERLINK("C:\Users\franc\OneDrive\Documentos\MALENTIN KARIME\BANCO ESTADO\2012 DEPTO ESCRITURAS fata\2012 DEPTO ESCRITURAS\RECTIFICACION\FELIX SAEZ Rect.doc", "Abrir Documento")</f>
        <v>0</v>
      </c>
      <c r="D19265" t="s">
        <v>23500</v>
      </c>
      <c r="E19265" t="s">
        <v>41740</v>
      </c>
    </row>
    <row r="19266" spans="1:5">
      <c r="A19266" t="s">
        <v>6</v>
      </c>
      <c r="B19266" t="s">
        <v>19271</v>
      </c>
      <c r="C19266">
        <f>HYPERLINK("C:\Users\franc\OneDrive\Documentos\MALENTIN KARIME\BANCO ESTADO\2012 DEPTO ESCRITURAS fata\2012 DEPTO ESCRITURAS\RECTIFICACION\ELENA RIVERA ROJAS A NANCY MERCADO Conyuge Administrador.doc", "Abrir Documento")</f>
        <v>0</v>
      </c>
      <c r="D19266" t="s">
        <v>23500</v>
      </c>
      <c r="E19266" t="s">
        <v>41741</v>
      </c>
    </row>
    <row r="19267" spans="1:5">
      <c r="A19267" t="s">
        <v>6</v>
      </c>
      <c r="B19267" t="s">
        <v>19272</v>
      </c>
      <c r="C19267">
        <f>HYPERLINK("C:\Users\franc\OneDrive\Documentos\MALENTIN KARIME\BANCO ESTADO\2012 DEPTO ESCRITURAS fata\2012 DEPTO ESCRITURAS\RECTIFICACION\CRISTIAN CLAVERIA Y Juan Godoy Sole Farr.doc", "Abrir Documento")</f>
        <v>0</v>
      </c>
      <c r="D19267" t="s">
        <v>23500</v>
      </c>
      <c r="E19267" t="s">
        <v>41742</v>
      </c>
    </row>
    <row r="19268" spans="1:5">
      <c r="A19268" t="s">
        <v>6</v>
      </c>
      <c r="B19268" t="s">
        <v>19273</v>
      </c>
      <c r="C19268">
        <f>HYPERLINK("C:\Users\franc\OneDrive\Documentos\MALENTIN KARIME\BANCO ESTADO\2012 DEPTO ESCRITURAS fata\2012 DEPTO ESCRITURAS\RECTIFICACION\ASIMYA A ANA VALDERRAMAÇ.doc", "Abrir Documento")</f>
        <v>0</v>
      </c>
      <c r="D19268" t="s">
        <v>23500</v>
      </c>
      <c r="E19268" t="s">
        <v>41743</v>
      </c>
    </row>
    <row r="19269" spans="1:5">
      <c r="A19269" t="s">
        <v>6</v>
      </c>
      <c r="B19269" t="s">
        <v>19274</v>
      </c>
      <c r="C19269">
        <f>HYPERLINK("C:\Users\franc\OneDrive\Documentos\MALENTIN KARIME\BANCO ESTADO\2012 DEPTO ESCRITURAS fata\2012 DEPTO ESCRITURAS\RECTIFICACION\AGRICOLA LAS NIETAS Rectif.doc", "Abrir Documento")</f>
        <v>0</v>
      </c>
      <c r="D19269" t="s">
        <v>23500</v>
      </c>
      <c r="E19269" t="s">
        <v>41744</v>
      </c>
    </row>
    <row r="19270" spans="1:5">
      <c r="A19270" t="s">
        <v>6</v>
      </c>
      <c r="B19270" t="s">
        <v>19275</v>
      </c>
      <c r="C19270">
        <f>HYPERLINK("C:\Users\franc\OneDrive\Documentos\MALENTIN KARIME\BANCO ESTADO\2012 DEPTO ESCRITURAS fata\2012 DEPTO ESCRITURAS\RECTIFICACION\AGRICOLA ALFALFARES Y E.I.R.L.doc", "Abrir Documento")</f>
        <v>0</v>
      </c>
      <c r="D19270" t="s">
        <v>23500</v>
      </c>
      <c r="E19270" t="s">
        <v>41745</v>
      </c>
    </row>
    <row r="19271" spans="1:5">
      <c r="A19271" t="s">
        <v>6</v>
      </c>
      <c r="B19271" t="s">
        <v>19276</v>
      </c>
      <c r="C19271">
        <f>HYPERLINK("C:\Users\franc\OneDrive\Documentos\MALENTIN KARIME\BANCO ESTADO\2012 DEPTO ESCRITURAS fata\2012 DEPTO ESCRITURAS\RECONOC DEUDA\NUEVA GENERACION A INV. ZEPEDA.doc", "Abrir Documento")</f>
        <v>0</v>
      </c>
      <c r="D19271" t="s">
        <v>23500</v>
      </c>
      <c r="E19271" t="s">
        <v>41746</v>
      </c>
    </row>
    <row r="19272" spans="1:5">
      <c r="A19272" t="s">
        <v>6</v>
      </c>
      <c r="B19272" t="s">
        <v>19277</v>
      </c>
      <c r="C19272">
        <f>HYPERLINK("C:\Users\franc\OneDrive\Documentos\MALENTIN KARIME\BANCO ESTADO\2012 DEPTO ESCRITURAS fata\2012 DEPTO ESCRITURAS\RECONOC DEUDA\NUEVA GENERACION A INV. Fortaleza.doc", "Abrir Documento")</f>
        <v>0</v>
      </c>
      <c r="D19272" t="s">
        <v>23500</v>
      </c>
      <c r="E19272" t="s">
        <v>41747</v>
      </c>
    </row>
    <row r="19273" spans="1:5">
      <c r="A19273" t="s">
        <v>6</v>
      </c>
      <c r="B19273" t="s">
        <v>19278</v>
      </c>
      <c r="C19273">
        <f>HYPERLINK("C:\Users\franc\OneDrive\Documentos\MALENTIN KARIME\BANCO ESTADO\2012 DEPTO ESCRITURAS fata\2012 DEPTO ESCRITURAS\RECONOC DEUDA\LUIS PROHENS BOU Y HARS.doc", "Abrir Documento")</f>
        <v>0</v>
      </c>
      <c r="D19273" t="s">
        <v>23500</v>
      </c>
      <c r="E19273" t="s">
        <v>41748</v>
      </c>
    </row>
    <row r="19274" spans="1:5">
      <c r="A19274" t="s">
        <v>6</v>
      </c>
      <c r="B19274" t="s">
        <v>19279</v>
      </c>
      <c r="C19274">
        <f>HYPERLINK("C:\Users\franc\OneDrive\Documentos\MALENTIN KARIME\BANCO ESTADO\2012 DEPTO ESCRITURAS fata\2012 DEPTO ESCRITURAS\RECONOC DEUDA\INMOBILIARIA RENACER.doc", "Abrir Documento")</f>
        <v>0</v>
      </c>
      <c r="D19274" t="s">
        <v>23500</v>
      </c>
      <c r="E19274" t="s">
        <v>41749</v>
      </c>
    </row>
    <row r="19275" spans="1:5">
      <c r="A19275" t="s">
        <v>6</v>
      </c>
      <c r="B19275" t="s">
        <v>19280</v>
      </c>
      <c r="C19275">
        <f>HYPERLINK("C:\Users\franc\OneDrive\Documentos\MALENTIN KARIME\BANCO ESTADO\2012 DEPTO ESCRITURAS fata\2012 DEPTO ESCRITURAS\RECONOC DEUDA\INMOBILIARIA RENACER final.doc", "Abrir Documento")</f>
        <v>0</v>
      </c>
      <c r="D19275" t="s">
        <v>23500</v>
      </c>
      <c r="E19275" t="s">
        <v>41750</v>
      </c>
    </row>
    <row r="19276" spans="1:5">
      <c r="A19276" t="s">
        <v>6</v>
      </c>
      <c r="B19276" t="s">
        <v>19281</v>
      </c>
      <c r="C19276">
        <f>HYPERLINK("C:\Users\franc\OneDrive\Documentos\MALENTIN KARIME\BANCO ESTADO\2012 DEPTO ESCRITURAS fata\2012 DEPTO ESCRITURAS\RECONOC DEUDA\F 24 inversiones NUEVA GENERACION II.doc", "Abrir Documento")</f>
        <v>0</v>
      </c>
      <c r="D19276" t="s">
        <v>23500</v>
      </c>
      <c r="E19276" t="s">
        <v>41751</v>
      </c>
    </row>
    <row r="19277" spans="1:5">
      <c r="A19277" t="s">
        <v>6</v>
      </c>
      <c r="B19277" t="s">
        <v>19282</v>
      </c>
      <c r="C19277">
        <f>HYPERLINK("C:\Users\franc\OneDrive\Documentos\MALENTIN KARIME\BANCO ESTADO\2012 DEPTO ESCRITURAS fata\2012 DEPTO ESCRITURAS\RECONOC DEUDA\F 24 inversiones NUEVA GENERACION I.doc", "Abrir Documento")</f>
        <v>0</v>
      </c>
      <c r="D19277" t="s">
        <v>23500</v>
      </c>
      <c r="E19277" t="s">
        <v>41752</v>
      </c>
    </row>
    <row r="19278" spans="1:5">
      <c r="A19278" t="s">
        <v>6</v>
      </c>
      <c r="B19278" t="s">
        <v>19283</v>
      </c>
      <c r="C19278">
        <f>HYPERLINK("C:\Users\franc\OneDrive\Documentos\MALENTIN KARIME\BANCO ESTADO\2012 DEPTO ESCRITURAS fata\2012 DEPTO ESCRITURAS\RECONOC DEUDA\F 24 inversiones fortaleza.doc", "Abrir Documento")</f>
        <v>0</v>
      </c>
      <c r="D19278" t="s">
        <v>23500</v>
      </c>
      <c r="E19278" t="s">
        <v>41753</v>
      </c>
    </row>
    <row r="19279" spans="1:5">
      <c r="A19279" t="s">
        <v>6</v>
      </c>
      <c r="B19279" t="s">
        <v>19284</v>
      </c>
      <c r="C19279">
        <f>HYPERLINK("C:\Users\franc\OneDrive\Documentos\MALENTIN KARIME\BANCO ESTADO\2012 DEPTO ESCRITURAS fata\2012 DEPTO ESCRITURAS\RECONOC DEUDA\AGRICOLA RECOLETA DOS A Frutícola Río Copiapó.doc", "Abrir Documento")</f>
        <v>0</v>
      </c>
      <c r="D19279" t="s">
        <v>23500</v>
      </c>
      <c r="E19279" t="s">
        <v>41754</v>
      </c>
    </row>
    <row r="19280" spans="1:5">
      <c r="A19280" t="s">
        <v>6</v>
      </c>
      <c r="B19280" t="s">
        <v>19285</v>
      </c>
      <c r="C19280">
        <f>HYPERLINK("C:\Users\franc\OneDrive\Documentos\MALENTIN KARIME\BANCO ESTADO\2012 DEPTO ESCRITURAS fata\2012 DEPTO ESCRITURAS\RATIFICACION\LUIS VARAS HIDALGO Y OTRA.doc", "Abrir Documento")</f>
        <v>0</v>
      </c>
      <c r="D19280" t="s">
        <v>23500</v>
      </c>
      <c r="E19280" t="s">
        <v>41755</v>
      </c>
    </row>
    <row r="19281" spans="1:5">
      <c r="A19281" t="s">
        <v>6</v>
      </c>
      <c r="B19281" t="s">
        <v>19286</v>
      </c>
      <c r="C19281">
        <f>HYPERLINK("C:\Users\franc\OneDrive\Documentos\MALENTIN KARIME\BANCO ESTADO\2012 DEPTO ESCRITURAS fata\2012 DEPTO ESCRITURAS\RATIFICACION\LUIS VARAS HIDALGO Y OTRA III.doc", "Abrir Documento")</f>
        <v>0</v>
      </c>
      <c r="D19281" t="s">
        <v>23500</v>
      </c>
      <c r="E19281" t="s">
        <v>41756</v>
      </c>
    </row>
    <row r="19282" spans="1:5">
      <c r="A19282" t="s">
        <v>6</v>
      </c>
      <c r="B19282" t="s">
        <v>19287</v>
      </c>
      <c r="C19282">
        <f>HYPERLINK("C:\Users\franc\OneDrive\Documentos\MALENTIN KARIME\BANCO ESTADO\2012 DEPTO ESCRITURAS fata\2012 DEPTO ESCRITURAS\RATIFICACION\LUIS VARAS HIDALGO Y OTRA II.doc", "Abrir Documento")</f>
        <v>0</v>
      </c>
      <c r="D19282" t="s">
        <v>23500</v>
      </c>
      <c r="E19282" t="s">
        <v>41757</v>
      </c>
    </row>
    <row r="19283" spans="1:5">
      <c r="A19283" t="s">
        <v>6</v>
      </c>
      <c r="B19283" t="s">
        <v>19288</v>
      </c>
      <c r="C19283">
        <f>HYPERLINK("C:\Users\franc\OneDrive\Documentos\MALENTIN KARIME\BANCO ESTADO\2012 DEPTO ESCRITURAS fata\2012 DEPTO ESCRITURAS\RATIFICACION\AURORA PIZARRO PALACIOS.doc", "Abrir Documento")</f>
        <v>0</v>
      </c>
      <c r="D19283" t="s">
        <v>23500</v>
      </c>
      <c r="E19283" t="s">
        <v>41758</v>
      </c>
    </row>
    <row r="19284" spans="1:5">
      <c r="A19284" t="s">
        <v>6</v>
      </c>
      <c r="B19284" t="s">
        <v>19289</v>
      </c>
      <c r="C19284">
        <f>HYPERLINK("C:\Users\franc\OneDrive\Documentos\MALENTIN KARIME\BANCO ESTADO\2012 DEPTO ESCRITURAS fata\2012 DEPTO ESCRITURAS\PROTOCOLIZACION\VICTOR MORALES VARGAS Propuesta.doc", "Abrir Documento")</f>
        <v>0</v>
      </c>
      <c r="D19284" t="s">
        <v>23500</v>
      </c>
      <c r="E19284" t="s">
        <v>41759</v>
      </c>
    </row>
    <row r="19285" spans="1:5">
      <c r="A19285" t="s">
        <v>6</v>
      </c>
      <c r="B19285" t="s">
        <v>19290</v>
      </c>
      <c r="C19285">
        <f>HYPERLINK("C:\Users\franc\OneDrive\Documentos\MALENTIN KARIME\BANCO ESTADO\2012 DEPTO ESCRITURAS fata\2012 DEPTO ESCRITURAS\PROTOCOLIZACION\SOPPUEX.doc", "Abrir Documento")</f>
        <v>0</v>
      </c>
      <c r="D19285" t="s">
        <v>23500</v>
      </c>
      <c r="E19285" t="s">
        <v>41760</v>
      </c>
    </row>
    <row r="19286" spans="1:5">
      <c r="A19286" t="s">
        <v>6</v>
      </c>
      <c r="B19286" t="s">
        <v>19291</v>
      </c>
      <c r="C19286">
        <f>HYPERLINK("C:\Users\franc\OneDrive\Documentos\MALENTIN KARIME\BANCO ESTADO\2012 DEPTO ESCRITURAS fata\2012 DEPTO ESCRITURAS\PROTOCOLIZACION\SOPPUEX 2.doc", "Abrir Documento")</f>
        <v>0</v>
      </c>
      <c r="D19286" t="s">
        <v>23500</v>
      </c>
      <c r="E19286" t="s">
        <v>41761</v>
      </c>
    </row>
    <row r="19287" spans="1:5">
      <c r="A19287" t="s">
        <v>6</v>
      </c>
      <c r="B19287" t="s">
        <v>19292</v>
      </c>
      <c r="C19287">
        <f>HYPERLINK("C:\Users\franc\OneDrive\Documentos\MALENTIN KARIME\BANCO ESTADO\2012 DEPTO ESCRITURAS fata\2012 DEPTO ESCRITURAS\PROTOCOLIZACION\SOCIEDAD INMOBILIARIA FORMA prop 36.doc", "Abrir Documento")</f>
        <v>0</v>
      </c>
      <c r="D19287" t="s">
        <v>23500</v>
      </c>
      <c r="E19287" t="s">
        <v>41762</v>
      </c>
    </row>
    <row r="19288" spans="1:5">
      <c r="A19288" t="s">
        <v>6</v>
      </c>
      <c r="B19288" t="s">
        <v>19293</v>
      </c>
      <c r="C19288">
        <f>HYPERLINK("C:\Users\franc\OneDrive\Documentos\MALENTIN KARIME\BANCO ESTADO\2012 DEPTO ESCRITURAS fata\2012 DEPTO ESCRITURAS\PROTOCOLIZACION\SOCIEDAD INMOBILIARIA FORMA prop 16.doc", "Abrir Documento")</f>
        <v>0</v>
      </c>
      <c r="D19288" t="s">
        <v>23500</v>
      </c>
      <c r="E19288" t="s">
        <v>41763</v>
      </c>
    </row>
    <row r="19289" spans="1:5">
      <c r="A19289" t="s">
        <v>6</v>
      </c>
      <c r="B19289" t="s">
        <v>19294</v>
      </c>
      <c r="C19289">
        <f>HYPERLINK("C:\Users\franc\OneDrive\Documentos\MALENTIN KARIME\BANCO ESTADO\2012 DEPTO ESCRITURAS fata\2012 DEPTO ESCRITURAS\PROTOCOLIZACION\SOCIEDAD INMOBILIARIA FORMA II.doc", "Abrir Documento")</f>
        <v>0</v>
      </c>
      <c r="D19289" t="s">
        <v>23500</v>
      </c>
      <c r="E19289" t="s">
        <v>41764</v>
      </c>
    </row>
    <row r="19290" spans="1:5">
      <c r="A19290" t="s">
        <v>6</v>
      </c>
      <c r="B19290" t="s">
        <v>19295</v>
      </c>
      <c r="C19290">
        <f>HYPERLINK("C:\Users\franc\OneDrive\Documentos\MALENTIN KARIME\BANCO ESTADO\2012 DEPTO ESCRITURAS fata\2012 DEPTO ESCRITURAS\PROTOCOLIZACION\SOCIEDAD INMOBILIARIA FORMA I.doc", "Abrir Documento")</f>
        <v>0</v>
      </c>
      <c r="D19290" t="s">
        <v>23500</v>
      </c>
      <c r="E19290" t="s">
        <v>41765</v>
      </c>
    </row>
    <row r="19291" spans="1:5">
      <c r="A19291" t="s">
        <v>6</v>
      </c>
      <c r="B19291" t="s">
        <v>19296</v>
      </c>
      <c r="C19291">
        <f>HYPERLINK("C:\Users\franc\OneDrive\Documentos\MALENTIN KARIME\BANCO ESTADO\2012 DEPTO ESCRITURAS fata\2012 DEPTO ESCRITURAS\PROTOCOLIZACION\SERVICIOS TASUI S.A. Propuesta.doc", "Abrir Documento")</f>
        <v>0</v>
      </c>
      <c r="D19291" t="s">
        <v>23500</v>
      </c>
      <c r="E19291" t="s">
        <v>41766</v>
      </c>
    </row>
    <row r="19292" spans="1:5">
      <c r="A19292" t="s">
        <v>6</v>
      </c>
      <c r="B19292" t="s">
        <v>19297</v>
      </c>
      <c r="C19292">
        <f>HYPERLINK("C:\Users\franc\OneDrive\Documentos\MALENTIN KARIME\BANCO ESTADO\2012 DEPTO ESCRITURAS fata\2012 DEPTO ESCRITURAS\PROTOCOLIZACION\SERVICIOS INFORMATICOS LIMARI.doc", "Abrir Documento")</f>
        <v>0</v>
      </c>
      <c r="D19292" t="s">
        <v>23500</v>
      </c>
      <c r="E19292" t="s">
        <v>41767</v>
      </c>
    </row>
    <row r="19293" spans="1:5">
      <c r="A19293" t="s">
        <v>6</v>
      </c>
      <c r="B19293" t="s">
        <v>19298</v>
      </c>
      <c r="C19293">
        <f>HYPERLINK("C:\Users\franc\OneDrive\Documentos\MALENTIN KARIME\BANCO ESTADO\2012 DEPTO ESCRITURAS fata\2012 DEPTO ESCRITURAS\PROTOCOLIZACION\SERVICIOS DE BARRIDO Propuesta.doc", "Abrir Documento")</f>
        <v>0</v>
      </c>
      <c r="D19293" t="s">
        <v>23500</v>
      </c>
      <c r="E19293" t="s">
        <v>41768</v>
      </c>
    </row>
    <row r="19294" spans="1:5">
      <c r="A19294" t="s">
        <v>6</v>
      </c>
      <c r="B19294" t="s">
        <v>19299</v>
      </c>
      <c r="C19294">
        <f>HYPERLINK("C:\Users\franc\OneDrive\Documentos\MALENTIN KARIME\BANCO ESTADO\2012 DEPTO ESCRITURAS fata\2012 DEPTO ESCRITURAS\PROTOCOLIZACION\SERVICIOS DE BARRIDO Propuesta Modificacion.doc", "Abrir Documento")</f>
        <v>0</v>
      </c>
      <c r="D19294" t="s">
        <v>23500</v>
      </c>
      <c r="E19294" t="s">
        <v>41769</v>
      </c>
    </row>
    <row r="19295" spans="1:5">
      <c r="A19295" t="s">
        <v>6</v>
      </c>
      <c r="B19295" t="s">
        <v>19300</v>
      </c>
      <c r="C19295">
        <f>HYPERLINK("C:\Users\franc\OneDrive\Documentos\MALENTIN KARIME\BANCO ESTADO\2012 DEPTO ESCRITURAS fata\2012 DEPTO ESCRITURAS\PROTOCOLIZACION\SERGIO SALFATE Inventario.doc", "Abrir Documento")</f>
        <v>0</v>
      </c>
      <c r="D19295" t="s">
        <v>23500</v>
      </c>
      <c r="E19295" t="s">
        <v>41770</v>
      </c>
    </row>
    <row r="19296" spans="1:5">
      <c r="A19296" t="s">
        <v>6</v>
      </c>
      <c r="B19296" t="s">
        <v>19301</v>
      </c>
      <c r="C19296">
        <f>HYPERLINK("C:\Users\franc\OneDrive\Documentos\MALENTIN KARIME\BANCO ESTADO\2012 DEPTO ESCRITURAS fata\2012 DEPTO ESCRITURAS\PROTOCOLIZACION\SENDA URBANA Propuesta.doc", "Abrir Documento")</f>
        <v>0</v>
      </c>
      <c r="D19296" t="s">
        <v>23500</v>
      </c>
      <c r="E19296" t="s">
        <v>41771</v>
      </c>
    </row>
    <row r="19297" spans="1:5">
      <c r="A19297" t="s">
        <v>6</v>
      </c>
      <c r="B19297" t="s">
        <v>19302</v>
      </c>
      <c r="C19297">
        <f>HYPERLINK("C:\Users\franc\OneDrive\Documentos\MALENTIN KARIME\BANCO ESTADO\2012 DEPTO ESCRITURAS fata\2012 DEPTO ESCRITURAS\PROTOCOLIZACION\ROMAN AROS Acta.doc", "Abrir Documento")</f>
        <v>0</v>
      </c>
      <c r="D19297" t="s">
        <v>23500</v>
      </c>
      <c r="E19297" t="s">
        <v>41772</v>
      </c>
    </row>
    <row r="19298" spans="1:5">
      <c r="A19298" t="s">
        <v>6</v>
      </c>
      <c r="B19298" t="s">
        <v>19303</v>
      </c>
      <c r="C19298">
        <f>HYPERLINK("C:\Users\franc\OneDrive\Documentos\MALENTIN KARIME\BANCO ESTADO\2012 DEPTO ESCRITURAS fata\2012 DEPTO ESCRITURAS\PROTOCOLIZACION\ROBERTO VEGA (Resuelvo3166 DOH).doc", "Abrir Documento")</f>
        <v>0</v>
      </c>
      <c r="D19298" t="s">
        <v>23500</v>
      </c>
      <c r="E19298" t="s">
        <v>41773</v>
      </c>
    </row>
    <row r="19299" spans="1:5">
      <c r="A19299" t="s">
        <v>6</v>
      </c>
      <c r="B19299" t="s">
        <v>19304</v>
      </c>
      <c r="C19299">
        <f>HYPERLINK("C:\Users\franc\OneDrive\Documentos\MALENTIN KARIME\BANCO ESTADO\2012 DEPTO ESCRITURAS fata\2012 DEPTO ESCRITURAS\PROTOCOLIZACION\ROBERTO VEGA (Resuelvo1818 DOH).doc", "Abrir Documento")</f>
        <v>0</v>
      </c>
      <c r="D19299" t="s">
        <v>23500</v>
      </c>
      <c r="E19299" t="s">
        <v>41774</v>
      </c>
    </row>
    <row r="19300" spans="1:5">
      <c r="A19300" t="s">
        <v>6</v>
      </c>
      <c r="B19300" t="s">
        <v>19305</v>
      </c>
      <c r="C19300">
        <f>HYPERLINK("C:\Users\franc\OneDrive\Documentos\MALENTIN KARIME\BANCO ESTADO\2012 DEPTO ESCRITURAS fata\2012 DEPTO ESCRITURAS\PROTOCOLIZACION\ROBERTO VEGA (Resuelvo1470 DOH).doc", "Abrir Documento")</f>
        <v>0</v>
      </c>
      <c r="D19300" t="s">
        <v>23500</v>
      </c>
      <c r="E19300" t="s">
        <v>41775</v>
      </c>
    </row>
    <row r="19301" spans="1:5">
      <c r="A19301" t="s">
        <v>6</v>
      </c>
      <c r="B19301" t="s">
        <v>19306</v>
      </c>
      <c r="C19301">
        <f>HYPERLINK("C:\Users\franc\OneDrive\Documentos\MALENTIN KARIME\BANCO ESTADO\2012 DEPTO ESCRITURAS fata\2012 DEPTO ESCRITURAS\PROTOCOLIZACION\ROBERTO VEGA (Resuelvo 4201 DOH).doc", "Abrir Documento")</f>
        <v>0</v>
      </c>
      <c r="D19301" t="s">
        <v>23500</v>
      </c>
      <c r="E19301" t="s">
        <v>41776</v>
      </c>
    </row>
    <row r="19302" spans="1:5">
      <c r="A19302" t="s">
        <v>6</v>
      </c>
      <c r="B19302" t="s">
        <v>19307</v>
      </c>
      <c r="C19302">
        <f>HYPERLINK("C:\Users\franc\OneDrive\Documentos\MALENTIN KARIME\BANCO ESTADO\2012 DEPTO ESCRITURAS fata\2012 DEPTO ESCRITURAS\PROTOCOLIZACION\ROBERTO VEGA (Resuelvo 2707 DOH).doc", "Abrir Documento")</f>
        <v>0</v>
      </c>
      <c r="D19302" t="s">
        <v>23500</v>
      </c>
      <c r="E19302" t="s">
        <v>41777</v>
      </c>
    </row>
    <row r="19303" spans="1:5">
      <c r="A19303" t="s">
        <v>6</v>
      </c>
      <c r="B19303" t="s">
        <v>19308</v>
      </c>
      <c r="C19303">
        <f>HYPERLINK("C:\Users\franc\OneDrive\Documentos\MALENTIN KARIME\BANCO ESTADO\2012 DEPTO ESCRITURAS fata\2012 DEPTO ESCRITURAS\PROTOCOLIZACION\ROBERTO VEGA (CONVENIO AD REFERENDUM).doc", "Abrir Documento")</f>
        <v>0</v>
      </c>
      <c r="D19303" t="s">
        <v>23500</v>
      </c>
      <c r="E19303" t="s">
        <v>41778</v>
      </c>
    </row>
    <row r="19304" spans="1:5">
      <c r="A19304" t="s">
        <v>6</v>
      </c>
      <c r="B19304" t="s">
        <v>19309</v>
      </c>
      <c r="C19304">
        <f>HYPERLINK("C:\Users\franc\OneDrive\Documentos\MALENTIN KARIME\BANCO ESTADO\2012 DEPTO ESCRITURAS fata\2012 DEPTO ESCRITURAS\PROTOCOLIZACION\RICARDO GOMEZ A SUSANA MUÑOZ Jundep.doc", "Abrir Documento")</f>
        <v>0</v>
      </c>
      <c r="D19304" t="s">
        <v>23500</v>
      </c>
      <c r="E19304" t="s">
        <v>41779</v>
      </c>
    </row>
    <row r="19305" spans="1:5">
      <c r="A19305" t="s">
        <v>6</v>
      </c>
      <c r="B19305" t="s">
        <v>19310</v>
      </c>
      <c r="C19305">
        <f>HYPERLINK("C:\Users\franc\OneDrive\Documentos\MALENTIN KARIME\BANCO ESTADO\2012 DEPTO ESCRITURAS fata\2012 DEPTO ESCRITURAS\PROTOCOLIZACION\RAMON ESCOBAR MONDACA Poder ext.doc", "Abrir Documento")</f>
        <v>0</v>
      </c>
      <c r="D19305" t="s">
        <v>23500</v>
      </c>
      <c r="E19305" t="s">
        <v>41780</v>
      </c>
    </row>
    <row r="19306" spans="1:5">
      <c r="A19306" t="s">
        <v>6</v>
      </c>
      <c r="B19306" t="s">
        <v>19311</v>
      </c>
      <c r="C19306">
        <f>HYPERLINK("C:\Users\franc\OneDrive\Documentos\MALENTIN KARIME\BANCO ESTADO\2012 DEPTO ESCRITURAS fata\2012 DEPTO ESCRITURAS\PROTOCOLIZACION\PROTO. NOMB. NOTARIO PATRICIA ALFARO.doc", "Abrir Documento")</f>
        <v>0</v>
      </c>
      <c r="D19306" t="s">
        <v>23500</v>
      </c>
      <c r="E19306" t="s">
        <v>41781</v>
      </c>
    </row>
    <row r="19307" spans="1:5">
      <c r="A19307" t="s">
        <v>6</v>
      </c>
      <c r="B19307" t="s">
        <v>19312</v>
      </c>
      <c r="C19307">
        <f>HYPERLINK("C:\Users\franc\OneDrive\Documentos\MALENTIN KARIME\BANCO ESTADO\2012 DEPTO ESCRITURAS fata\2012 DEPTO ESCRITURAS\PROTOCOLIZACION\PROTO. NOMB. NOTARIO JOYCE RALLIN TAPIA.doc", "Abrir Documento")</f>
        <v>0</v>
      </c>
      <c r="D19307" t="s">
        <v>23500</v>
      </c>
      <c r="E19307" t="s">
        <v>41782</v>
      </c>
    </row>
    <row r="19308" spans="1:5">
      <c r="A19308" t="s">
        <v>6</v>
      </c>
      <c r="B19308" t="s">
        <v>19313</v>
      </c>
      <c r="C19308">
        <f>HYPERLINK("C:\Users\franc\OneDrive\Documentos\MALENTIN KARIME\BANCO ESTADO\2012 DEPTO ESCRITURAS fata\2012 DEPTO ESCRITURAS\PROTOCOLIZACION\PROTO. Claudio Araya.doc", "Abrir Documento")</f>
        <v>0</v>
      </c>
      <c r="D19308" t="s">
        <v>23500</v>
      </c>
      <c r="E19308" t="s">
        <v>41783</v>
      </c>
    </row>
    <row r="19309" spans="1:5">
      <c r="A19309" t="s">
        <v>6</v>
      </c>
      <c r="B19309" t="s">
        <v>19314</v>
      </c>
      <c r="C19309">
        <f>HYPERLINK("C:\Users\franc\OneDrive\Documentos\MALENTIN KARIME\BANCO ESTADO\2012 DEPTO ESCRITURAS fata\2012 DEPTO ESCRITURAS\PROTOCOLIZACION\PEDRO TORRES SANHUEZA ´Popuesta50-2011.doc", "Abrir Documento")</f>
        <v>0</v>
      </c>
      <c r="D19309" t="s">
        <v>23500</v>
      </c>
      <c r="E19309" t="s">
        <v>41784</v>
      </c>
    </row>
    <row r="19310" spans="1:5">
      <c r="A19310" t="s">
        <v>6</v>
      </c>
      <c r="B19310" t="s">
        <v>19315</v>
      </c>
      <c r="C19310">
        <f>HYPERLINK("C:\Users\franc\OneDrive\Documentos\MALENTIN KARIME\BANCO ESTADO\2012 DEPTO ESCRITURAS fata\2012 DEPTO ESCRITURAS\PROTOCOLIZACION\PEDRO TORRES SANHUEZA ´Popuesta.doc", "Abrir Documento")</f>
        <v>0</v>
      </c>
      <c r="D19310" t="s">
        <v>23500</v>
      </c>
      <c r="E19310" t="s">
        <v>41785</v>
      </c>
    </row>
    <row r="19311" spans="1:5">
      <c r="A19311" t="s">
        <v>6</v>
      </c>
      <c r="B19311" t="s">
        <v>19316</v>
      </c>
      <c r="C19311">
        <f>HYPERLINK("C:\Users\franc\OneDrive\Documentos\MALENTIN KARIME\BANCO ESTADO\2012 DEPTO ESCRITURAS fata\2012 DEPTO ESCRITURAS\PROTOCOLIZACION\PEDRO TORRES SANHUEZA ´Popuesta II.doc", "Abrir Documento")</f>
        <v>0</v>
      </c>
      <c r="D19311" t="s">
        <v>23500</v>
      </c>
      <c r="E19311" t="s">
        <v>41786</v>
      </c>
    </row>
    <row r="19312" spans="1:5">
      <c r="A19312" t="s">
        <v>6</v>
      </c>
      <c r="B19312" t="s">
        <v>19317</v>
      </c>
      <c r="C19312">
        <f>HYPERLINK("C:\Users\franc\OneDrive\Documentos\MALENTIN KARIME\BANCO ESTADO\2012 DEPTO ESCRITURAS fata\2012 DEPTO ESCRITURAS\PROTOCOLIZACION\PEDRO TORRES SANHUEZA 50-2011.doc", "Abrir Documento")</f>
        <v>0</v>
      </c>
      <c r="D19312" t="s">
        <v>23500</v>
      </c>
      <c r="E19312" t="s">
        <v>41787</v>
      </c>
    </row>
    <row r="19313" spans="1:5">
      <c r="A19313" t="s">
        <v>6</v>
      </c>
      <c r="B19313" t="s">
        <v>19318</v>
      </c>
      <c r="C19313">
        <f>HYPERLINK("C:\Users\franc\OneDrive\Documentos\MALENTIN KARIME\BANCO ESTADO\2012 DEPTO ESCRITURAS fata\2012 DEPTO ESCRITURAS\PROTOCOLIZACION\PEDRO TORRES SANHUEZA 3ª Modif.doc", "Abrir Documento")</f>
        <v>0</v>
      </c>
      <c r="D19313" t="s">
        <v>23500</v>
      </c>
      <c r="E19313" t="s">
        <v>41788</v>
      </c>
    </row>
    <row r="19314" spans="1:5">
      <c r="A19314" t="s">
        <v>6</v>
      </c>
      <c r="B19314" t="s">
        <v>19319</v>
      </c>
      <c r="C19314">
        <f>HYPERLINK("C:\Users\franc\OneDrive\Documentos\MALENTIN KARIME\BANCO ESTADO\2012 DEPTO ESCRITURAS fata\2012 DEPTO ESCRITURAS\PROTOCOLIZACION\PATRICIA LARA CASTRO Contrato Directo.doc", "Abrir Documento")</f>
        <v>0</v>
      </c>
      <c r="D19314" t="s">
        <v>23500</v>
      </c>
      <c r="E19314" t="s">
        <v>41789</v>
      </c>
    </row>
    <row r="19315" spans="1:5">
      <c r="A19315" t="s">
        <v>6</v>
      </c>
      <c r="B19315" t="s">
        <v>19320</v>
      </c>
      <c r="C19315">
        <f>HYPERLINK("C:\Users\franc\OneDrive\Documentos\MALENTIN KARIME\BANCO ESTADO\2012 DEPTO ESCRITURAS fata\2012 DEPTO ESCRITURAS\PROTOCOLIZACION\OSCAR GODOY CUELLAR Inventario.doc", "Abrir Documento")</f>
        <v>0</v>
      </c>
      <c r="D19315" t="s">
        <v>23500</v>
      </c>
      <c r="E19315" t="s">
        <v>41790</v>
      </c>
    </row>
    <row r="19316" spans="1:5">
      <c r="A19316" t="s">
        <v>6</v>
      </c>
      <c r="B19316" t="s">
        <v>19321</v>
      </c>
      <c r="C19316">
        <f>HYPERLINK("C:\Users\franc\OneDrive\Documentos\MALENTIN KARIME\BANCO ESTADO\2012 DEPTO ESCRITURAS fata\2012 DEPTO ESCRITURAS\PROTOCOLIZACION\OSCAR GODOY CUELLAR Arriendo.doc", "Abrir Documento")</f>
        <v>0</v>
      </c>
      <c r="D19316" t="s">
        <v>23500</v>
      </c>
      <c r="E19316" t="s">
        <v>41791</v>
      </c>
    </row>
    <row r="19317" spans="1:5">
      <c r="A19317" t="s">
        <v>6</v>
      </c>
      <c r="B19317" t="s">
        <v>19322</v>
      </c>
      <c r="C19317">
        <f>HYPERLINK("C:\Users\franc\OneDrive\Documentos\MALENTIN KARIME\BANCO ESTADO\2012 DEPTO ESCRITURAS fata\2012 DEPTO ESCRITURAS\PROTOCOLIZACION\OLGA PIZARRO E.I.R.L.pp 11-2012.doc", "Abrir Documento")</f>
        <v>0</v>
      </c>
      <c r="D19317" t="s">
        <v>23500</v>
      </c>
      <c r="E19317" t="s">
        <v>41792</v>
      </c>
    </row>
    <row r="19318" spans="1:5">
      <c r="A19318" t="s">
        <v>6</v>
      </c>
      <c r="B19318" t="s">
        <v>19323</v>
      </c>
      <c r="C19318">
        <f>HYPERLINK("C:\Users\franc\OneDrive\Documentos\MALENTIN KARIME\BANCO ESTADO\2012 DEPTO ESCRITURAS fata\2012 DEPTO ESCRITURAS\PROTOCOLIZACION\OLGA PIZARRO E.I.R.L.Agos 13.doc", "Abrir Documento")</f>
        <v>0</v>
      </c>
      <c r="D19318" t="s">
        <v>23500</v>
      </c>
      <c r="E19318" t="s">
        <v>41793</v>
      </c>
    </row>
    <row r="19319" spans="1:5">
      <c r="A19319" t="s">
        <v>6</v>
      </c>
      <c r="B19319" t="s">
        <v>19324</v>
      </c>
      <c r="C19319">
        <f>HYPERLINK("C:\Users\franc\OneDrive\Documentos\MALENTIN KARIME\BANCO ESTADO\2012 DEPTO ESCRITURAS fata\2012 DEPTO ESCRITURAS\PROTOCOLIZACION\OLGA PIZARRO E.I.R.L..doc", "Abrir Documento")</f>
        <v>0</v>
      </c>
      <c r="D19319" t="s">
        <v>23500</v>
      </c>
      <c r="E19319" t="s">
        <v>41794</v>
      </c>
    </row>
    <row r="19320" spans="1:5">
      <c r="A19320" t="s">
        <v>6</v>
      </c>
      <c r="B19320" t="s">
        <v>19325</v>
      </c>
      <c r="C19320">
        <f>HYPERLINK("C:\Users\franc\OneDrive\Documentos\MALENTIN KARIME\BANCO ESTADO\2012 DEPTO ESCRITURAS fata\2012 DEPTO ESCRITURAS\PROTOCOLIZACION\MERCADAL Propuesta.doc", "Abrir Documento")</f>
        <v>0</v>
      </c>
      <c r="D19320" t="s">
        <v>23500</v>
      </c>
      <c r="E19320" t="s">
        <v>41795</v>
      </c>
    </row>
    <row r="19321" spans="1:5">
      <c r="A19321" t="s">
        <v>6</v>
      </c>
      <c r="B19321" t="s">
        <v>19326</v>
      </c>
      <c r="C19321">
        <f>HYPERLINK("C:\Users\franc\OneDrive\Documentos\MALENTIN KARIME\BANCO ESTADO\2012 DEPTO ESCRITURAS fata\2012 DEPTO ESCRITURAS\PROTOCOLIZACION\MERCADAL Propuesta 09 octubre.doc", "Abrir Documento")</f>
        <v>0</v>
      </c>
      <c r="D19321" t="s">
        <v>23500</v>
      </c>
      <c r="E19321" t="s">
        <v>41796</v>
      </c>
    </row>
    <row r="19322" spans="1:5">
      <c r="A19322" t="s">
        <v>6</v>
      </c>
      <c r="B19322" t="s">
        <v>19327</v>
      </c>
      <c r="C19322">
        <f>HYPERLINK("C:\Users\franc\OneDrive\Documentos\MALENTIN KARIME\BANCO ESTADO\2012 DEPTO ESCRITURAS fata\2012 DEPTO ESCRITURAS\PROTOCOLIZACION\MARTIN ESCALA DIAZ Propuesta.doc", "Abrir Documento")</f>
        <v>0</v>
      </c>
      <c r="D19322" t="s">
        <v>23500</v>
      </c>
      <c r="E19322" t="s">
        <v>41797</v>
      </c>
    </row>
    <row r="19323" spans="1:5">
      <c r="A19323" t="s">
        <v>6</v>
      </c>
      <c r="B19323" t="s">
        <v>19328</v>
      </c>
      <c r="C19323">
        <f>HYPERLINK("C:\Users\franc\OneDrive\Documentos\MALENTIN KARIME\BANCO ESTADO\2012 DEPTO ESCRITURAS fata\2012 DEPTO ESCRITURAS\PROTOCOLIZACION\MARTA MUÑOZ SAAVEDRA.doc", "Abrir Documento")</f>
        <v>0</v>
      </c>
      <c r="D19323" t="s">
        <v>23500</v>
      </c>
      <c r="E19323" t="s">
        <v>41798</v>
      </c>
    </row>
    <row r="19324" spans="1:5">
      <c r="A19324" t="s">
        <v>6</v>
      </c>
      <c r="B19324" t="s">
        <v>19329</v>
      </c>
      <c r="C19324">
        <f>HYPERLINK("C:\Users\franc\OneDrive\Documentos\MALENTIN KARIME\BANCO ESTADO\2012 DEPTO ESCRITURAS fata\2012 DEPTO ESCRITURAS\PROTOCOLIZACION\MARTA ACUÑA CORTES  Propuesta.doc", "Abrir Documento")</f>
        <v>0</v>
      </c>
      <c r="D19324" t="s">
        <v>23500</v>
      </c>
      <c r="E19324" t="s">
        <v>41799</v>
      </c>
    </row>
    <row r="19325" spans="1:5">
      <c r="A19325" t="s">
        <v>6</v>
      </c>
      <c r="B19325" t="s">
        <v>19330</v>
      </c>
      <c r="C19325">
        <f>HYPERLINK("C:\Users\franc\OneDrive\Documentos\MALENTIN KARIME\BANCO ESTADO\2012 DEPTO ESCRITURAS fata\2012 DEPTO ESCRITURAS\PROTOCOLIZACION\MARIA PEREZ.doc", "Abrir Documento")</f>
        <v>0</v>
      </c>
      <c r="D19325" t="s">
        <v>23500</v>
      </c>
      <c r="E19325" t="s">
        <v>41800</v>
      </c>
    </row>
    <row r="19326" spans="1:5">
      <c r="A19326" t="s">
        <v>6</v>
      </c>
      <c r="B19326" t="s">
        <v>19331</v>
      </c>
      <c r="C19326">
        <f>HYPERLINK("C:\Users\franc\OneDrive\Documentos\MALENTIN KARIME\BANCO ESTADO\2012 DEPTO ESCRITURAS fata\2012 DEPTO ESCRITURAS\PROTOCOLIZACION\MARIA HERNANDEZ LEYTON.doc", "Abrir Documento")</f>
        <v>0</v>
      </c>
      <c r="D19326" t="s">
        <v>23500</v>
      </c>
      <c r="E19326" t="s">
        <v>41801</v>
      </c>
    </row>
    <row r="19327" spans="1:5">
      <c r="A19327" t="s">
        <v>6</v>
      </c>
      <c r="B19327" t="s">
        <v>19332</v>
      </c>
      <c r="C19327">
        <f>HYPERLINK("C:\Users\franc\OneDrive\Documentos\MALENTIN KARIME\BANCO ESTADO\2012 DEPTO ESCRITURAS fata\2012 DEPTO ESCRITURAS\PROTOCOLIZACION\MARIA ALVAREZ HENRIQUE drogas.doc", "Abrir Documento")</f>
        <v>0</v>
      </c>
      <c r="D19327" t="s">
        <v>23500</v>
      </c>
      <c r="E19327" t="s">
        <v>41802</v>
      </c>
    </row>
    <row r="19328" spans="1:5">
      <c r="A19328" t="s">
        <v>6</v>
      </c>
      <c r="B19328" t="s">
        <v>19333</v>
      </c>
      <c r="C19328">
        <f>HYPERLINK("C:\Users\franc\OneDrive\Documentos\MALENTIN KARIME\BANCO ESTADO\2012 DEPTO ESCRITURAS fata\2012 DEPTO ESCRITURAS\PROTOCOLIZACION\LUIS SALAS ROJAS.doc", "Abrir Documento")</f>
        <v>0</v>
      </c>
      <c r="D19328" t="s">
        <v>23500</v>
      </c>
      <c r="E19328" t="s">
        <v>41803</v>
      </c>
    </row>
    <row r="19329" spans="1:5">
      <c r="A19329" t="s">
        <v>6</v>
      </c>
      <c r="B19329" t="s">
        <v>19334</v>
      </c>
      <c r="C19329">
        <f>HYPERLINK("C:\Users\franc\OneDrive\Documentos\MALENTIN KARIME\BANCO ESTADO\2012 DEPTO ESCRITURAS fata\2012 DEPTO ESCRITURAS\PROTOCOLIZACION\LUIS DELGADOVALDES.doc", "Abrir Documento")</f>
        <v>0</v>
      </c>
      <c r="D19329" t="s">
        <v>23500</v>
      </c>
      <c r="E19329" t="s">
        <v>41804</v>
      </c>
    </row>
    <row r="19330" spans="1:5">
      <c r="A19330" t="s">
        <v>6</v>
      </c>
      <c r="B19330" t="s">
        <v>19335</v>
      </c>
      <c r="C19330">
        <f>HYPERLINK("C:\Users\franc\OneDrive\Documentos\MALENTIN KARIME\BANCO ESTADO\2012 DEPTO ESCRITURAS fata\2012 DEPTO ESCRITURAS\PROTOCOLIZACION\KAREN ALFARO Drogas.doc", "Abrir Documento")</f>
        <v>0</v>
      </c>
      <c r="D19330" t="s">
        <v>23500</v>
      </c>
      <c r="E19330" t="s">
        <v>41805</v>
      </c>
    </row>
    <row r="19331" spans="1:5">
      <c r="A19331" t="s">
        <v>6</v>
      </c>
      <c r="B19331" t="s">
        <v>19336</v>
      </c>
      <c r="C19331">
        <f>HYPERLINK("C:\Users\franc\OneDrive\Documentos\MALENTIN KARIME\BANCO ESTADO\2012 DEPTO ESCRITURAS fata\2012 DEPTO ESCRITURAS\PROTOCOLIZACION\KAREN ALFARO Dcl.Juez Suplente 323 bis.doc", "Abrir Documento")</f>
        <v>0</v>
      </c>
      <c r="D19331" t="s">
        <v>23500</v>
      </c>
      <c r="E19331" t="s">
        <v>41806</v>
      </c>
    </row>
    <row r="19332" spans="1:5">
      <c r="A19332" t="s">
        <v>6</v>
      </c>
      <c r="B19332" t="s">
        <v>19337</v>
      </c>
      <c r="C19332">
        <f>HYPERLINK("C:\Users\franc\OneDrive\Documentos\MALENTIN KARIME\BANCO ESTADO\2012 DEPTO ESCRITURAS fata\2012 DEPTO ESCRITURAS\PROTOCOLIZACION\JUNTA VIGILANCIA RIO MOSTAZAL.doc", "Abrir Documento")</f>
        <v>0</v>
      </c>
      <c r="D19332" t="s">
        <v>23500</v>
      </c>
      <c r="E19332" t="s">
        <v>41807</v>
      </c>
    </row>
    <row r="19333" spans="1:5">
      <c r="A19333" t="s">
        <v>6</v>
      </c>
      <c r="B19333" t="s">
        <v>19338</v>
      </c>
      <c r="C19333">
        <f>HYPERLINK("C:\Users\franc\OneDrive\Documentos\MALENTIN KARIME\BANCO ESTADO\2012 DEPTO ESCRITURAS fata\2012 DEPTO ESCRITURAS\PROTOCOLIZACION\JUNTA VECINOS PARRAL DE QUILES.doc", "Abrir Documento")</f>
        <v>0</v>
      </c>
      <c r="D19333" t="s">
        <v>23500</v>
      </c>
      <c r="E19333" t="s">
        <v>41808</v>
      </c>
    </row>
    <row r="19334" spans="1:5">
      <c r="A19334" t="s">
        <v>6</v>
      </c>
      <c r="B19334" t="s">
        <v>19339</v>
      </c>
      <c r="C19334">
        <f>HYPERLINK("C:\Users\franc\OneDrive\Documentos\MALENTIN KARIME\BANCO ESTADO\2012 DEPTO ESCRITURAS fata\2012 DEPTO ESCRITURAS\PROTOCOLIZACION\JUNTA VECINOS PARRAL DE QUILES MPunitaqui.doc", "Abrir Documento")</f>
        <v>0</v>
      </c>
      <c r="D19334" t="s">
        <v>23500</v>
      </c>
      <c r="E19334" t="s">
        <v>41809</v>
      </c>
    </row>
    <row r="19335" spans="1:5">
      <c r="A19335" t="s">
        <v>6</v>
      </c>
      <c r="B19335" t="s">
        <v>19340</v>
      </c>
      <c r="C19335">
        <f>HYPERLINK("C:\Users\franc\OneDrive\Documentos\MALENTIN KARIME\BANCO ESTADO\2012 DEPTO ESCRITURAS fata\2012 DEPTO ESCRITURAS\PROTOCOLIZACION\JTA DE VECINOS VILLA MINERA.doc", "Abrir Documento")</f>
        <v>0</v>
      </c>
      <c r="D19335" t="s">
        <v>23500</v>
      </c>
      <c r="E19335" t="s">
        <v>41810</v>
      </c>
    </row>
    <row r="19336" spans="1:5">
      <c r="A19336" t="s">
        <v>6</v>
      </c>
      <c r="B19336" t="s">
        <v>19341</v>
      </c>
      <c r="C19336">
        <f>HYPERLINK("C:\Users\franc\OneDrive\Documentos\MALENTIN KARIME\BANCO ESTADO\2012 DEPTO ESCRITURAS fata\2012 DEPTO ESCRITURAS\PROTOCOLIZACION\JORGE ARAYA MUÑOZ.doc", "Abrir Documento")</f>
        <v>0</v>
      </c>
      <c r="D19336" t="s">
        <v>23500</v>
      </c>
      <c r="E19336" t="s">
        <v>41811</v>
      </c>
    </row>
    <row r="19337" spans="1:5">
      <c r="A19337" t="s">
        <v>6</v>
      </c>
      <c r="B19337" t="s">
        <v>19342</v>
      </c>
      <c r="C19337">
        <f>HYPERLINK("C:\Users\franc\OneDrive\Documentos\MALENTIN KARIME\BANCO ESTADO\2012 DEPTO ESCRITURAS fata\2012 DEPTO ESCRITURAS\PROTOCOLIZACION\JORGE ARAYA MUÑOZ Indap.doc", "Abrir Documento")</f>
        <v>0</v>
      </c>
      <c r="D19337" t="s">
        <v>23500</v>
      </c>
      <c r="E19337" t="s">
        <v>41812</v>
      </c>
    </row>
    <row r="19338" spans="1:5">
      <c r="A19338" t="s">
        <v>6</v>
      </c>
      <c r="B19338" t="s">
        <v>19343</v>
      </c>
      <c r="C19338">
        <f>HYPERLINK("C:\Users\franc\OneDrive\Documentos\MALENTIN KARIME\BANCO ESTADO\2012 DEPTO ESCRITURAS fata\2012 DEPTO ESCRITURAS\PROTOCOLIZACION\JEANNETTE MEDINA ARAYA  Propuesta.doc", "Abrir Documento")</f>
        <v>0</v>
      </c>
      <c r="D19338" t="s">
        <v>23500</v>
      </c>
      <c r="E19338" t="s">
        <v>41813</v>
      </c>
    </row>
    <row r="19339" spans="1:5">
      <c r="A19339" t="s">
        <v>6</v>
      </c>
      <c r="B19339" t="s">
        <v>19344</v>
      </c>
      <c r="C19339">
        <f>HYPERLINK("C:\Users\franc\OneDrive\Documentos\MALENTIN KARIME\BANCO ESTADO\2012 DEPTO ESCRITURAS fata\2012 DEPTO ESCRITURAS\PROTOCOLIZACION\JAIME RAMIREZ VALENZUELA (Resuelvo).doc", "Abrir Documento")</f>
        <v>0</v>
      </c>
      <c r="D19339" t="s">
        <v>23500</v>
      </c>
      <c r="E19339" t="s">
        <v>41814</v>
      </c>
    </row>
    <row r="19340" spans="1:5">
      <c r="A19340" t="s">
        <v>6</v>
      </c>
      <c r="B19340" t="s">
        <v>19345</v>
      </c>
      <c r="C19340">
        <f>HYPERLINK("C:\Users\franc\OneDrive\Documentos\MALENTIN KARIME\BANCO ESTADO\2012 DEPTO ESCRITURAS fata\2012 DEPTO ESCRITURAS\PROTOCOLIZACION\IVAN VARELA.doc", "Abrir Documento")</f>
        <v>0</v>
      </c>
      <c r="D19340" t="s">
        <v>23500</v>
      </c>
      <c r="E19340" t="s">
        <v>41815</v>
      </c>
    </row>
    <row r="19341" spans="1:5">
      <c r="A19341" t="s">
        <v>6</v>
      </c>
      <c r="B19341" t="s">
        <v>19346</v>
      </c>
      <c r="C19341">
        <f>HYPERLINK("C:\Users\franc\OneDrive\Documentos\MALENTIN KARIME\BANCO ESTADO\2012 DEPTO ESCRITURAS fata\2012 DEPTO ESCRITURAS\PROTOCOLIZACION\Inventario.doc", "Abrir Documento")</f>
        <v>0</v>
      </c>
      <c r="D19341" t="s">
        <v>23500</v>
      </c>
      <c r="E19341" t="s">
        <v>41816</v>
      </c>
    </row>
    <row r="19342" spans="1:5">
      <c r="A19342" t="s">
        <v>6</v>
      </c>
      <c r="B19342" t="s">
        <v>19347</v>
      </c>
      <c r="C19342">
        <f>HYPERLINK("C:\Users\franc\OneDrive\Documentos\MALENTIN KARIME\BANCO ESTADO\2012 DEPTO ESCRITURAS fata\2012 DEPTO ESCRITURAS\PROTOCOLIZACION\INGENIERIA Y CONSTRUCCIONES CAMARICO Resolución 1578.doc", "Abrir Documento")</f>
        <v>0</v>
      </c>
      <c r="D19342" t="s">
        <v>23500</v>
      </c>
      <c r="E19342" t="s">
        <v>41817</v>
      </c>
    </row>
    <row r="19343" spans="1:5">
      <c r="A19343" t="s">
        <v>6</v>
      </c>
      <c r="B19343" t="s">
        <v>19348</v>
      </c>
      <c r="C19343">
        <f>HYPERLINK("C:\Users\franc\OneDrive\Documentos\MALENTIN KARIME\BANCO ESTADO\2012 DEPTO ESCRITURAS fata\2012 DEPTO ESCRITURAS\PROTOCOLIZACION\Hoja Anexa de Actas.doc", "Abrir Documento")</f>
        <v>0</v>
      </c>
      <c r="D19343" t="s">
        <v>23500</v>
      </c>
      <c r="E19343" t="s">
        <v>41818</v>
      </c>
    </row>
    <row r="19344" spans="1:5">
      <c r="A19344" t="s">
        <v>6</v>
      </c>
      <c r="B19344" t="s">
        <v>19349</v>
      </c>
      <c r="C19344">
        <f>HYPERLINK("C:\Users\franc\OneDrive\Documentos\MALENTIN KARIME\BANCO ESTADO\2012 DEPTO ESCRITURAS fata\2012 DEPTO ESCRITURAS\PROTOCOLIZACION\HERMAN ROJAS ALUCEMA.doc", "Abrir Documento")</f>
        <v>0</v>
      </c>
      <c r="D19344" t="s">
        <v>23500</v>
      </c>
      <c r="E19344" t="s">
        <v>41819</v>
      </c>
    </row>
    <row r="19345" spans="1:5">
      <c r="A19345" t="s">
        <v>6</v>
      </c>
      <c r="B19345" t="s">
        <v>19350</v>
      </c>
      <c r="C19345">
        <f>HYPERLINK("C:\Users\franc\OneDrive\Documentos\MALENTIN KARIME\BANCO ESTADO\2012 DEPTO ESCRITURAS fata\2012 DEPTO ESCRITURAS\PROTOCOLIZACION\HERMAN BOLVARAN DIAZ PP.doc", "Abrir Documento")</f>
        <v>0</v>
      </c>
      <c r="D19345" t="s">
        <v>23500</v>
      </c>
      <c r="E19345" t="s">
        <v>41820</v>
      </c>
    </row>
    <row r="19346" spans="1:5">
      <c r="A19346" t="s">
        <v>6</v>
      </c>
      <c r="B19346" t="s">
        <v>19351</v>
      </c>
      <c r="C19346">
        <f>HYPERLINK("C:\Users\franc\OneDrive\Documentos\MALENTIN KARIME\BANCO ESTADO\2012 DEPTO ESCRITURAS fata\2012 DEPTO ESCRITURAS\PROTOCOLIZACION\HERBET ROHDE Magistrado Fiscal.doc", "Abrir Documento")</f>
        <v>0</v>
      </c>
      <c r="D19346" t="s">
        <v>23500</v>
      </c>
      <c r="E19346" t="s">
        <v>41821</v>
      </c>
    </row>
    <row r="19347" spans="1:5">
      <c r="A19347" t="s">
        <v>6</v>
      </c>
      <c r="B19347" t="s">
        <v>19352</v>
      </c>
      <c r="C19347">
        <f>HYPERLINK("C:\Users\franc\OneDrive\Documentos\MALENTIN KARIME\BANCO ESTADO\2012 DEPTO ESCRITURAS fata\2012 DEPTO ESCRITURAS\PROTOCOLIZACION\GABRIEL RODRIGUEZ Inventario.doc", "Abrir Documento")</f>
        <v>0</v>
      </c>
      <c r="D19347" t="s">
        <v>23500</v>
      </c>
      <c r="E19347" t="s">
        <v>41822</v>
      </c>
    </row>
    <row r="19348" spans="1:5">
      <c r="A19348" t="s">
        <v>6</v>
      </c>
      <c r="B19348" t="s">
        <v>19353</v>
      </c>
      <c r="C19348">
        <f>HYPERLINK("C:\Users\franc\OneDrive\Documentos\MALENTIN KARIME\BANCO ESTADO\2012 DEPTO ESCRITURAS fata\2012 DEPTO ESCRITURAS\PROTOCOLIZACION\GABRIEL PEÑA LEDEZMA.doc", "Abrir Documento")</f>
        <v>0</v>
      </c>
      <c r="D19348" t="s">
        <v>23500</v>
      </c>
      <c r="E19348" t="s">
        <v>41823</v>
      </c>
    </row>
    <row r="19349" spans="1:5">
      <c r="A19349" t="s">
        <v>6</v>
      </c>
      <c r="B19349" t="s">
        <v>19354</v>
      </c>
      <c r="C19349">
        <f>HYPERLINK("C:\Users\franc\OneDrive\Documentos\MALENTIN KARIME\BANCO ESTADO\2012 DEPTO ESCRITURAS fata\2012 DEPTO ESCRITURAS\PROTOCOLIZACION\FRANCISCO UGALDE.doc", "Abrir Documento")</f>
        <v>0</v>
      </c>
      <c r="D19349" t="s">
        <v>23500</v>
      </c>
      <c r="E19349" t="s">
        <v>41824</v>
      </c>
    </row>
    <row r="19350" spans="1:5">
      <c r="A19350" t="s">
        <v>6</v>
      </c>
      <c r="B19350" t="s">
        <v>19355</v>
      </c>
      <c r="C19350">
        <f>HYPERLINK("C:\Users\franc\OneDrive\Documentos\MALENTIN KARIME\BANCO ESTADO\2012 DEPTO ESCRITURAS fata\2012 DEPTO ESCRITURAS\PROTOCOLIZACION\FRANCISCO PIZARRO RESOLUCION.doc", "Abrir Documento")</f>
        <v>0</v>
      </c>
      <c r="D19350" t="s">
        <v>23500</v>
      </c>
      <c r="E19350" t="s">
        <v>41825</v>
      </c>
    </row>
    <row r="19351" spans="1:5">
      <c r="A19351" t="s">
        <v>6</v>
      </c>
      <c r="B19351" t="s">
        <v>19356</v>
      </c>
      <c r="C19351">
        <f>HYPERLINK("C:\Users\franc\OneDrive\Documentos\MALENTIN KARIME\BANCO ESTADO\2012 DEPTO ESCRITURAS fata\2012 DEPTO ESCRITURAS\PROTOCOLIZACION\FIRMAS.AUT MUNICIP.ALCALDESA.doc", "Abrir Documento")</f>
        <v>0</v>
      </c>
      <c r="D19351" t="s">
        <v>23500</v>
      </c>
      <c r="E19351" t="s">
        <v>41826</v>
      </c>
    </row>
    <row r="19352" spans="1:5">
      <c r="A19352" t="s">
        <v>6</v>
      </c>
      <c r="B19352" t="s">
        <v>19357</v>
      </c>
      <c r="C19352">
        <f>HYPERLINK("C:\Users\franc\OneDrive\Documentos\MALENTIN KARIME\BANCO ESTADO\2012 DEPTO ESCRITURAS fata\2012 DEPTO ESCRITURAS\PROTOCOLIZACION\FIRMAS.AUT MUNICIP.ALCALDESA RIO HURTADO.doc", "Abrir Documento")</f>
        <v>0</v>
      </c>
      <c r="D19352" t="s">
        <v>23500</v>
      </c>
      <c r="E19352" t="s">
        <v>41827</v>
      </c>
    </row>
    <row r="19353" spans="1:5">
      <c r="A19353" t="s">
        <v>6</v>
      </c>
      <c r="B19353" t="s">
        <v>19358</v>
      </c>
      <c r="C19353">
        <f>HYPERLINK("C:\Users\franc\OneDrive\Documentos\MALENTIN KARIME\BANCO ESTADO\2012 DEPTO ESCRITURAS fata\2012 DEPTO ESCRITURAS\PROTOCOLIZACION\FIRMA AUT. Roberto Vega.doc", "Abrir Documento")</f>
        <v>0</v>
      </c>
      <c r="D19353" t="s">
        <v>23500</v>
      </c>
      <c r="E19353" t="s">
        <v>41828</v>
      </c>
    </row>
    <row r="19354" spans="1:5">
      <c r="A19354" t="s">
        <v>6</v>
      </c>
      <c r="B19354" t="s">
        <v>19359</v>
      </c>
      <c r="C19354">
        <f>HYPERLINK("C:\Users\franc\OneDrive\Documentos\MALENTIN KARIME\BANCO ESTADO\2012 DEPTO ESCRITURAS fata\2012 DEPTO ESCRITURAS\PROTOCOLIZACION\FIRMA AUT. Juan Francisco Soto Alfaro.doc", "Abrir Documento")</f>
        <v>0</v>
      </c>
      <c r="D19354" t="s">
        <v>23500</v>
      </c>
      <c r="E19354" t="s">
        <v>41829</v>
      </c>
    </row>
    <row r="19355" spans="1:5">
      <c r="A19355" t="s">
        <v>6</v>
      </c>
      <c r="B19355" t="s">
        <v>19360</v>
      </c>
      <c r="C19355">
        <f>HYPERLINK("C:\Users\franc\OneDrive\Documentos\MALENTIN KARIME\BANCO ESTADO\2012 DEPTO ESCRITURAS fata\2012 DEPTO ESCRITURAS\PROTOCOLIZACION\FABIOLA GONZALEZ BRAVO Indap.doc", "Abrir Documento")</f>
        <v>0</v>
      </c>
      <c r="D19355" t="s">
        <v>23500</v>
      </c>
      <c r="E19355" t="s">
        <v>41830</v>
      </c>
    </row>
    <row r="19356" spans="1:5">
      <c r="A19356" t="s">
        <v>6</v>
      </c>
      <c r="B19356" t="s">
        <v>19361</v>
      </c>
      <c r="C19356">
        <f>HYPERLINK("C:\Users\franc\OneDrive\Documentos\MALENTIN KARIME\BANCO ESTADO\2012 DEPTO ESCRITURAS fata\2012 DEPTO ESCRITURAS\PROTOCOLIZACION\ENRIQUE ORTIZ RIVAS Propuesta.doc", "Abrir Documento")</f>
        <v>0</v>
      </c>
      <c r="D19356" t="s">
        <v>23500</v>
      </c>
      <c r="E19356" t="s">
        <v>41831</v>
      </c>
    </row>
    <row r="19357" spans="1:5">
      <c r="A19357" t="s">
        <v>6</v>
      </c>
      <c r="B19357" t="s">
        <v>19362</v>
      </c>
      <c r="C19357">
        <f>HYPERLINK("C:\Users\franc\OneDrive\Documentos\MALENTIN KARIME\BANCO ESTADO\2012 DEPTO ESCRITURAS fata\2012 DEPTO ESCRITURAS\PROTOCOLIZACION\EDUARDO VARAS  Propuesta Modifc  Vehiculo.doc", "Abrir Documento")</f>
        <v>0</v>
      </c>
      <c r="D19357" t="s">
        <v>23500</v>
      </c>
      <c r="E19357" t="s">
        <v>41832</v>
      </c>
    </row>
    <row r="19358" spans="1:5">
      <c r="A19358" t="s">
        <v>6</v>
      </c>
      <c r="B19358" t="s">
        <v>19363</v>
      </c>
      <c r="C19358">
        <f>HYPERLINK("C:\Users\franc\OneDrive\Documentos\MALENTIN KARIME\BANCO ESTADO\2012 DEPTO ESCRITURAS fata\2012 DEPTO ESCRITURAS\PROTOCOLIZACION\EDITH PIZARRO GUERRERO.doc", "Abrir Documento")</f>
        <v>0</v>
      </c>
      <c r="D19358" t="s">
        <v>23500</v>
      </c>
      <c r="E19358" t="s">
        <v>41833</v>
      </c>
    </row>
    <row r="19359" spans="1:5">
      <c r="A19359" t="s">
        <v>6</v>
      </c>
      <c r="B19359" t="s">
        <v>19364</v>
      </c>
      <c r="C19359">
        <f>HYPERLINK("C:\Users\franc\OneDrive\Documentos\MALENTIN KARIME\BANCO ESTADO\2012 DEPTO ESCRITURAS fata\2012 DEPTO ESCRITURAS\PROTOCOLIZACION\DRV INGENIERIA Propuesta.doc", "Abrir Documento")</f>
        <v>0</v>
      </c>
      <c r="D19359" t="s">
        <v>23500</v>
      </c>
      <c r="E19359" t="s">
        <v>41834</v>
      </c>
    </row>
    <row r="19360" spans="1:5">
      <c r="A19360" t="s">
        <v>6</v>
      </c>
      <c r="B19360" t="s">
        <v>19365</v>
      </c>
      <c r="C19360">
        <f>HYPERLINK("C:\Users\franc\OneDrive\Documentos\MALENTIN KARIME\BANCO ESTADO\2012 DEPTO ESCRITURAS fata\2012 DEPTO ESCRITURAS\PROTOCOLIZACION\DEONILA ARAYA ALFARO Poder ext.doc", "Abrir Documento")</f>
        <v>0</v>
      </c>
      <c r="D19360" t="s">
        <v>23500</v>
      </c>
      <c r="E19360" t="s">
        <v>41835</v>
      </c>
    </row>
    <row r="19361" spans="1:5">
      <c r="A19361" t="s">
        <v>6</v>
      </c>
      <c r="B19361" t="s">
        <v>19366</v>
      </c>
      <c r="C19361">
        <f>HYPERLINK("C:\Users\franc\OneDrive\Documentos\MALENTIN KARIME\BANCO ESTADO\2012 DEPTO ESCRITURAS fata\2012 DEPTO ESCRITURAS\PROTOCOLIZACION\DAVID BUGUEÑO Testamento.doc", "Abrir Documento")</f>
        <v>0</v>
      </c>
      <c r="D19361" t="s">
        <v>23500</v>
      </c>
      <c r="E19361" t="s">
        <v>41836</v>
      </c>
    </row>
    <row r="19362" spans="1:5">
      <c r="A19362" t="s">
        <v>6</v>
      </c>
      <c r="B19362" t="s">
        <v>19367</v>
      </c>
      <c r="C19362">
        <f>HYPERLINK("C:\Users\franc\OneDrive\Documentos\MALENTIN KARIME\BANCO ESTADO\2012 DEPTO ESCRITURAS fata\2012 DEPTO ESCRITURAS\PROTOCOLIZACION\CUERPO DE BOMBEROS Super.doc", "Abrir Documento")</f>
        <v>0</v>
      </c>
      <c r="D19362" t="s">
        <v>23500</v>
      </c>
      <c r="E19362" t="s">
        <v>41837</v>
      </c>
    </row>
    <row r="19363" spans="1:5">
      <c r="A19363" t="s">
        <v>6</v>
      </c>
      <c r="B19363" t="s">
        <v>19368</v>
      </c>
      <c r="C19363">
        <f>HYPERLINK("C:\Users\franc\OneDrive\Documentos\MALENTIN KARIME\BANCO ESTADO\2012 DEPTO ESCRITURAS fata\2012 DEPTO ESCRITURAS\PROTOCOLIZACION\CUERPO DE BOMBEROS 3.doc", "Abrir Documento")</f>
        <v>0</v>
      </c>
      <c r="D19363" t="s">
        <v>23500</v>
      </c>
      <c r="E19363" t="s">
        <v>41838</v>
      </c>
    </row>
    <row r="19364" spans="1:5">
      <c r="A19364" t="s">
        <v>6</v>
      </c>
      <c r="B19364" t="s">
        <v>19369</v>
      </c>
      <c r="C19364">
        <f>HYPERLINK("C:\Users\franc\OneDrive\Documentos\MALENTIN KARIME\BANCO ESTADO\2012 DEPTO ESCRITURAS fata\2012 DEPTO ESCRITURAS\PROTOCOLIZACION\cuarta compañia de bomberos.doc", "Abrir Documento")</f>
        <v>0</v>
      </c>
      <c r="D19364" t="s">
        <v>23500</v>
      </c>
      <c r="E19364" t="s">
        <v>41839</v>
      </c>
    </row>
    <row r="19365" spans="1:5">
      <c r="A19365" t="s">
        <v>6</v>
      </c>
      <c r="B19365" t="s">
        <v>19370</v>
      </c>
      <c r="C19365">
        <f>HYPERLINK("C:\Users\franc\OneDrive\Documentos\MALENTIN KARIME\BANCO ESTADO\2012 DEPTO ESCRITURAS fata\2012 DEPTO ESCRITURAS\PROTOCOLIZACION\CONSTRUCTORA SAN MATEO  Propuesta.doc", "Abrir Documento")</f>
        <v>0</v>
      </c>
      <c r="D19365" t="s">
        <v>23500</v>
      </c>
      <c r="E19365" t="s">
        <v>41840</v>
      </c>
    </row>
    <row r="19366" spans="1:5">
      <c r="A19366" t="s">
        <v>6</v>
      </c>
      <c r="B19366" t="s">
        <v>19371</v>
      </c>
      <c r="C19366">
        <f>HYPERLINK("C:\Users\franc\OneDrive\Documentos\MALENTIN KARIME\BANCO ESTADO\2012 DEPTO ESCRITURAS fata\2012 DEPTO ESCRITURAS\PROTOCOLIZACION\CONSTRUCTORA SAN MATEO  Modificacion 3-12.doc", "Abrir Documento")</f>
        <v>0</v>
      </c>
      <c r="D19366" t="s">
        <v>23500</v>
      </c>
      <c r="E19366" t="s">
        <v>41841</v>
      </c>
    </row>
    <row r="19367" spans="1:5">
      <c r="A19367" t="s">
        <v>6</v>
      </c>
      <c r="B19367" t="s">
        <v>19372</v>
      </c>
      <c r="C19367">
        <f>HYPERLINK("C:\Users\franc\OneDrive\Documentos\MALENTIN KARIME\BANCO ESTADO\2012 DEPTO ESCRITURAS fata\2012 DEPTO ESCRITURAS\PROTOCOLIZACION\CONSTRUCTORA SAN FERNANDO  Propuesta.doc", "Abrir Documento")</f>
        <v>0</v>
      </c>
      <c r="D19367" t="s">
        <v>23500</v>
      </c>
      <c r="E19367" t="s">
        <v>41842</v>
      </c>
    </row>
    <row r="19368" spans="1:5">
      <c r="A19368" t="s">
        <v>6</v>
      </c>
      <c r="B19368" t="s">
        <v>19373</v>
      </c>
      <c r="C19368">
        <f>HYPERLINK("C:\Users\franc\OneDrive\Documentos\MALENTIN KARIME\BANCO ESTADO\2012 DEPTO ESCRITURAS fata\2012 DEPTO ESCRITURAS\PROTOCOLIZACION\CONSTRUCTORA SAN FERNANDO  Propuesta NOVIE 12.doc", "Abrir Documento")</f>
        <v>0</v>
      </c>
      <c r="D19368" t="s">
        <v>23500</v>
      </c>
      <c r="E19368" t="s">
        <v>41843</v>
      </c>
    </row>
    <row r="19369" spans="1:5">
      <c r="A19369" t="s">
        <v>6</v>
      </c>
      <c r="B19369" t="s">
        <v>19374</v>
      </c>
      <c r="C19369">
        <f>HYPERLINK("C:\Users\franc\OneDrive\Documentos\MALENTIN KARIME\BANCO ESTADO\2012 DEPTO ESCRITURAS fata\2012 DEPTO ESCRITURAS\PROTOCOLIZACION\CONSTRUCTORA SAN FERNANDO  Propuesta ii.doc", "Abrir Documento")</f>
        <v>0</v>
      </c>
      <c r="D19369" t="s">
        <v>23500</v>
      </c>
      <c r="E19369" t="s">
        <v>41844</v>
      </c>
    </row>
    <row r="19370" spans="1:5">
      <c r="A19370" t="s">
        <v>6</v>
      </c>
      <c r="B19370" t="s">
        <v>19375</v>
      </c>
      <c r="C19370">
        <f>HYPERLINK("C:\Users\franc\OneDrive\Documentos\MALENTIN KARIME\BANCO ESTADO\2012 DEPTO ESCRITURAS fata\2012 DEPTO ESCRITURAS\PROTOCOLIZACION\CONSTRUCTORA SAN FERNANDO  Propuesta 042013.doc", "Abrir Documento")</f>
        <v>0</v>
      </c>
      <c r="D19370" t="s">
        <v>23500</v>
      </c>
      <c r="E19370" t="s">
        <v>41845</v>
      </c>
    </row>
    <row r="19371" spans="1:5">
      <c r="A19371" t="s">
        <v>6</v>
      </c>
      <c r="B19371" t="s">
        <v>19376</v>
      </c>
      <c r="C19371">
        <f>HYPERLINK("C:\Users\franc\OneDrive\Documentos\MALENTIN KARIME\BANCO ESTADO\2012 DEPTO ESCRITURAS fata\2012 DEPTO ESCRITURAS\PROTOCOLIZACION\CONSTRUCTORA SAN FERNANDO  Propuesta 042013 ii.doc", "Abrir Documento")</f>
        <v>0</v>
      </c>
      <c r="D19371" t="s">
        <v>23500</v>
      </c>
      <c r="E19371" t="s">
        <v>41846</v>
      </c>
    </row>
    <row r="19372" spans="1:5">
      <c r="A19372" t="s">
        <v>6</v>
      </c>
      <c r="B19372" t="s">
        <v>19377</v>
      </c>
      <c r="C19372">
        <f>HYPERLINK("C:\Users\franc\OneDrive\Documentos\MALENTIN KARIME\BANCO ESTADO\2012 DEPTO ESCRITURAS fata\2012 DEPTO ESCRITURAS\PROTOCOLIZACION\CONSTRUCTORA SAN FERNANDO  Propuesta 04-12.doc", "Abrir Documento")</f>
        <v>0</v>
      </c>
      <c r="D19372" t="s">
        <v>23500</v>
      </c>
      <c r="E19372" t="s">
        <v>41847</v>
      </c>
    </row>
    <row r="19373" spans="1:5">
      <c r="A19373" t="s">
        <v>6</v>
      </c>
      <c r="B19373" t="s">
        <v>19378</v>
      </c>
      <c r="C19373">
        <f>HYPERLINK("C:\Users\franc\OneDrive\Documentos\MALENTIN KARIME\BANCO ESTADO\2012 DEPTO ESCRITURAS fata\2012 DEPTO ESCRITURAS\PROTOCOLIZACION\COMUNIDAD LAS DAMAS Presidente.doc", "Abrir Documento")</f>
        <v>0</v>
      </c>
      <c r="D19373" t="s">
        <v>23500</v>
      </c>
      <c r="E19373" t="s">
        <v>41848</v>
      </c>
    </row>
    <row r="19374" spans="1:5">
      <c r="A19374" t="s">
        <v>6</v>
      </c>
      <c r="B19374" t="s">
        <v>19379</v>
      </c>
      <c r="C19374">
        <f>HYPERLINK("C:\Users\franc\OneDrive\Documentos\MALENTIN KARIME\BANCO ESTADO\2012 DEPTO ESCRITURAS fata\2012 DEPTO ESCRITURAS\PROTOCOLIZACION\COMUNIDAD EL PERAL OJO DE AGUA.doc", "Abrir Documento")</f>
        <v>0</v>
      </c>
      <c r="D19374" t="s">
        <v>23500</v>
      </c>
      <c r="E19374" t="s">
        <v>41849</v>
      </c>
    </row>
    <row r="19375" spans="1:5">
      <c r="A19375" t="s">
        <v>6</v>
      </c>
      <c r="B19375" t="s">
        <v>19380</v>
      </c>
      <c r="C19375">
        <f>HYPERLINK("C:\Users\franc\OneDrive\Documentos\MALENTIN KARIME\BANCO ESTADO\2012 DEPTO ESCRITURAS fata\2012 DEPTO ESCRITURAS\PROTOCOLIZACION\COMUNIDAD EL OLIVO.doc", "Abrir Documento")</f>
        <v>0</v>
      </c>
      <c r="D19375" t="s">
        <v>23500</v>
      </c>
      <c r="E19375" t="s">
        <v>41850</v>
      </c>
    </row>
    <row r="19376" spans="1:5">
      <c r="A19376" t="s">
        <v>6</v>
      </c>
      <c r="B19376" t="s">
        <v>19381</v>
      </c>
      <c r="C19376">
        <f>HYPERLINK("C:\Users\franc\OneDrive\Documentos\MALENTIN KARIME\BANCO ESTADO\2012 DEPTO ESCRITURAS fata\2012 DEPTO ESCRITURAS\PROTOCOLIZACION\COMUNIDAD EL OLIVO 09 AGOSTO.doc", "Abrir Documento")</f>
        <v>0</v>
      </c>
      <c r="D19376" t="s">
        <v>23500</v>
      </c>
      <c r="E19376" t="s">
        <v>41851</v>
      </c>
    </row>
    <row r="19377" spans="1:5">
      <c r="A19377" t="s">
        <v>6</v>
      </c>
      <c r="B19377" t="s">
        <v>19382</v>
      </c>
      <c r="C19377">
        <f>HYPERLINK("C:\Users\franc\OneDrive\Documentos\MALENTIN KARIME\BANCO ESTADO\2012 DEPTO ESCRITURAS fata\2012 DEPTO ESCRITURAS\PROTOCOLIZACION\COMUNIDAD EL BUITRE.doc", "Abrir Documento")</f>
        <v>0</v>
      </c>
      <c r="D19377" t="s">
        <v>23500</v>
      </c>
      <c r="E19377" t="s">
        <v>41852</v>
      </c>
    </row>
    <row r="19378" spans="1:5">
      <c r="A19378" t="s">
        <v>6</v>
      </c>
      <c r="B19378" t="s">
        <v>19383</v>
      </c>
      <c r="C19378">
        <f>HYPERLINK("C:\Users\franc\OneDrive\Documentos\MALENTIN KARIME\BANCO ESTADO\2012 DEPTO ESCRITURAS fata\2012 DEPTO ESCRITURAS\PROTOCOLIZACION\Comunidad CARRIZAL Y LAGUNA de Seron.doc", "Abrir Documento")</f>
        <v>0</v>
      </c>
      <c r="D19378" t="s">
        <v>23500</v>
      </c>
      <c r="E19378" t="s">
        <v>41853</v>
      </c>
    </row>
    <row r="19379" spans="1:5">
      <c r="A19379" t="s">
        <v>6</v>
      </c>
      <c r="B19379" t="s">
        <v>19384</v>
      </c>
      <c r="C19379">
        <f>HYPERLINK("C:\Users\franc\OneDrive\Documentos\MALENTIN KARIME\BANCO ESTADO\2012 DEPTO ESCRITURAS fata\2012 DEPTO ESCRITURAS\PROTOCOLIZACION\COMUNIDAD AGRICOLA EL TOME.doc", "Abrir Documento")</f>
        <v>0</v>
      </c>
      <c r="D19379" t="s">
        <v>23500</v>
      </c>
      <c r="E19379" t="s">
        <v>41854</v>
      </c>
    </row>
    <row r="19380" spans="1:5">
      <c r="A19380" t="s">
        <v>6</v>
      </c>
      <c r="B19380" t="s">
        <v>19385</v>
      </c>
      <c r="C19380">
        <f>HYPERLINK("C:\Users\franc\OneDrive\Documentos\MALENTIN KARIME\BANCO ESTADO\2012 DEPTO ESCRITURAS fata\2012 DEPTO ESCRITURAS\PROTOCOLIZACION\COMUNIDAD AGRICOLA EL ALTAR.doc", "Abrir Documento")</f>
        <v>0</v>
      </c>
      <c r="D19380" t="s">
        <v>23500</v>
      </c>
      <c r="E19380" t="s">
        <v>41855</v>
      </c>
    </row>
    <row r="19381" spans="1:5">
      <c r="A19381" t="s">
        <v>6</v>
      </c>
      <c r="B19381" t="s">
        <v>19386</v>
      </c>
      <c r="C19381">
        <f>HYPERLINK("C:\Users\franc\OneDrive\Documentos\MALENTIN KARIME\BANCO ESTADO\2012 DEPTO ESCRITURAS fata\2012 DEPTO ESCRITURAS\PROTOCOLIZACION\COMITE JUAN PABLO I Y VERONICA VEGA.doc", "Abrir Documento")</f>
        <v>0</v>
      </c>
      <c r="D19381" t="s">
        <v>23500</v>
      </c>
      <c r="E19381" t="s">
        <v>41856</v>
      </c>
    </row>
    <row r="19382" spans="1:5">
      <c r="A19382" t="s">
        <v>6</v>
      </c>
      <c r="B19382" t="s">
        <v>19387</v>
      </c>
      <c r="C19382">
        <f>HYPERLINK("C:\Users\franc\OneDrive\Documentos\MALENTIN KARIME\BANCO ESTADO\2012 DEPTO ESCRITURAS fata\2012 DEPTO ESCRITURAS\PROTOCOLIZACION\COMITE DE AGUA POTABLE RURAL LAS MOLLACAS.doc", "Abrir Documento")</f>
        <v>0</v>
      </c>
      <c r="D19382" t="s">
        <v>23500</v>
      </c>
      <c r="E19382" t="s">
        <v>41857</v>
      </c>
    </row>
    <row r="19383" spans="1:5">
      <c r="A19383" t="s">
        <v>6</v>
      </c>
      <c r="B19383" t="s">
        <v>19388</v>
      </c>
      <c r="C19383">
        <f>HYPERLINK("C:\Users\franc\OneDrive\Documentos\MALENTIN KARIME\BANCO ESTADO\2012 DEPTO ESCRITURAS fata\2012 DEPTO ESCRITURAS\PROTOCOLIZACION\COMITE DE ADELANTO VILLA AGRICOLA.doc", "Abrir Documento")</f>
        <v>0</v>
      </c>
      <c r="D19383" t="s">
        <v>23500</v>
      </c>
      <c r="E19383" t="s">
        <v>41858</v>
      </c>
    </row>
    <row r="19384" spans="1:5">
      <c r="A19384" t="s">
        <v>6</v>
      </c>
      <c r="B19384" t="s">
        <v>19389</v>
      </c>
      <c r="C19384">
        <f>HYPERLINK("C:\Users\franc\OneDrive\Documentos\MALENTIN KARIME\BANCO ESTADO\2012 DEPTO ESCRITURAS fata\2012 DEPTO ESCRITURAS\PROTOCOLIZACION\COMITE AGUA POTABLE.doc", "Abrir Documento")</f>
        <v>0</v>
      </c>
      <c r="D19384" t="s">
        <v>23500</v>
      </c>
      <c r="E19384" t="s">
        <v>41859</v>
      </c>
    </row>
    <row r="19385" spans="1:5">
      <c r="A19385" t="s">
        <v>6</v>
      </c>
      <c r="B19385" t="s">
        <v>19390</v>
      </c>
      <c r="C19385">
        <f>HYPERLINK("C:\Users\franc\OneDrive\Documentos\MALENTIN KARIME\BANCO ESTADO\2012 DEPTO ESCRITURAS fata\2012 DEPTO ESCRITURAS\PROTOCOLIZACION\COMITE AGUA POTABLE RURAL COMBARBALA.doc", "Abrir Documento")</f>
        <v>0</v>
      </c>
      <c r="D19385" t="s">
        <v>23500</v>
      </c>
      <c r="E19385" t="s">
        <v>41860</v>
      </c>
    </row>
    <row r="19386" spans="1:5">
      <c r="A19386" t="s">
        <v>6</v>
      </c>
      <c r="B19386" t="s">
        <v>19391</v>
      </c>
      <c r="C19386">
        <f>HYPERLINK("C:\Users\franc\OneDrive\Documentos\MALENTIN KARIME\BANCO ESTADO\2012 DEPTO ESCRITURAS fata\2012 DEPTO ESCRITURAS\PROTOCOLIZACION\COFMED PRESTACIONES.doc", "Abrir Documento")</f>
        <v>0</v>
      </c>
      <c r="D19386" t="s">
        <v>23500</v>
      </c>
      <c r="E19386" t="s">
        <v>41861</v>
      </c>
    </row>
    <row r="19387" spans="1:5">
      <c r="A19387" t="s">
        <v>6</v>
      </c>
      <c r="B19387" t="s">
        <v>19392</v>
      </c>
      <c r="C19387">
        <f>HYPERLINK("C:\Users\franc\OneDrive\Documentos\MALENTIN KARIME\BANCO ESTADO\2012 DEPTO ESCRITURAS fata\2012 DEPTO ESCRITURAS\PROTOCOLIZACION\CLUB OVALLE Mario Barrios.doc", "Abrir Documento")</f>
        <v>0</v>
      </c>
      <c r="D19387" t="s">
        <v>23500</v>
      </c>
      <c r="E19387" t="s">
        <v>41862</v>
      </c>
    </row>
    <row r="19388" spans="1:5">
      <c r="A19388" t="s">
        <v>6</v>
      </c>
      <c r="B19388" t="s">
        <v>19393</v>
      </c>
      <c r="C19388">
        <f>HYPERLINK("C:\Users\franc\OneDrive\Documentos\MALENTIN KARIME\BANCO ESTADO\2012 DEPTO ESCRITURAS fata\2012 DEPTO ESCRITURAS\PROTOCOLIZACION\CLUB OVALLE 2009-2010Mario Barrios.doc", "Abrir Documento")</f>
        <v>0</v>
      </c>
      <c r="D19388" t="s">
        <v>23500</v>
      </c>
      <c r="E19388" t="s">
        <v>41863</v>
      </c>
    </row>
    <row r="19389" spans="1:5">
      <c r="A19389" t="s">
        <v>6</v>
      </c>
      <c r="B19389" t="s">
        <v>19394</v>
      </c>
      <c r="C19389">
        <f>HYPERLINK("C:\Users\franc\OneDrive\Documentos\MALENTIN KARIME\BANCO ESTADO\2012 DEPTO ESCRITURAS fata\2012 DEPTO ESCRITURAS\PROTOCOLIZACION\CLUB DEPORTIVO PUNITAQUI MPunitaqui.doc", "Abrir Documento")</f>
        <v>0</v>
      </c>
      <c r="D19389" t="s">
        <v>23500</v>
      </c>
      <c r="E19389" t="s">
        <v>41864</v>
      </c>
    </row>
    <row r="19390" spans="1:5">
      <c r="A19390" t="s">
        <v>6</v>
      </c>
      <c r="B19390" t="s">
        <v>19395</v>
      </c>
      <c r="C19390">
        <f>HYPERLINK("C:\Users\franc\OneDrive\Documentos\MALENTIN KARIME\BANCO ESTADO\2012 DEPTO ESCRITURAS fata\2012 DEPTO ESCRITURAS\PROTOCOLIZACION\CLUB DE RODEO 23 JUNIO.doc", "Abrir Documento")</f>
        <v>0</v>
      </c>
      <c r="D19390" t="s">
        <v>23500</v>
      </c>
      <c r="E19390" t="s">
        <v>41865</v>
      </c>
    </row>
    <row r="19391" spans="1:5">
      <c r="A19391" t="s">
        <v>6</v>
      </c>
      <c r="B19391" t="s">
        <v>19396</v>
      </c>
      <c r="C19391">
        <f>HYPERLINK("C:\Users\franc\OneDrive\Documentos\MALENTIN KARIME\BANCO ESTADO\2012 DEPTO ESCRITURAS fata\2012 DEPTO ESCRITURAS\PROTOCOLIZACION\CLUB DE RODEO 15 JULIO.doc", "Abrir Documento")</f>
        <v>0</v>
      </c>
      <c r="D19391" t="s">
        <v>23500</v>
      </c>
      <c r="E19391" t="s">
        <v>41866</v>
      </c>
    </row>
    <row r="19392" spans="1:5">
      <c r="A19392" t="s">
        <v>6</v>
      </c>
      <c r="B19392" t="s">
        <v>19397</v>
      </c>
      <c r="C19392">
        <f>HYPERLINK("C:\Users\franc\OneDrive\Documentos\MALENTIN KARIME\BANCO ESTADO\2012 DEPTO ESCRITURAS fata\2012 DEPTO ESCRITURAS\PROTOCOLIZACION\CLUB DE RODEO 1 DICIEMBRE.doc", "Abrir Documento")</f>
        <v>0</v>
      </c>
      <c r="D19392" t="s">
        <v>23500</v>
      </c>
      <c r="E19392" t="s">
        <v>41867</v>
      </c>
    </row>
    <row r="19393" spans="1:5">
      <c r="A19393" t="s">
        <v>6</v>
      </c>
      <c r="B19393" t="s">
        <v>19398</v>
      </c>
      <c r="C19393">
        <f>HYPERLINK("C:\Users\franc\OneDrive\Documentos\MALENTIN KARIME\BANCO ESTADO\2012 DEPTO ESCRITURAS fata\2012 DEPTO ESCRITURAS\PROTOCOLIZACION\CLUB DE LEONES DE OVALLE 15 JULIO 13.doc", "Abrir Documento")</f>
        <v>0</v>
      </c>
      <c r="D19393" t="s">
        <v>23500</v>
      </c>
      <c r="E19393" t="s">
        <v>41868</v>
      </c>
    </row>
    <row r="19394" spans="1:5">
      <c r="A19394" t="s">
        <v>6</v>
      </c>
      <c r="B19394" t="s">
        <v>19399</v>
      </c>
      <c r="C19394">
        <f>HYPERLINK("C:\Users\franc\OneDrive\Documentos\MALENTIN KARIME\BANCO ESTADO\2012 DEPTO ESCRITURAS fata\2012 DEPTO ESCRITURAS\PROTOCOLIZACION\CLAUDIA ORTIZ LEIVA drogas.doc", "Abrir Documento")</f>
        <v>0</v>
      </c>
      <c r="D19394" t="s">
        <v>23500</v>
      </c>
      <c r="E19394" t="s">
        <v>41869</v>
      </c>
    </row>
    <row r="19395" spans="1:5">
      <c r="A19395" t="s">
        <v>6</v>
      </c>
      <c r="B19395" t="s">
        <v>19400</v>
      </c>
      <c r="C19395">
        <f>HYPERLINK("C:\Users\franc\OneDrive\Documentos\MALENTIN KARIME\BANCO ESTADO\2012 DEPTO ESCRITURAS fata\2012 DEPTO ESCRITURAS\PROTOCOLIZACION\CIRO BERRIOS ROMERO  Propuesta.doc", "Abrir Documento")</f>
        <v>0</v>
      </c>
      <c r="D19395" t="s">
        <v>23500</v>
      </c>
      <c r="E19395" t="s">
        <v>41870</v>
      </c>
    </row>
    <row r="19396" spans="1:5">
      <c r="A19396" t="s">
        <v>6</v>
      </c>
      <c r="B19396" t="s">
        <v>19401</v>
      </c>
      <c r="C19396">
        <f>HYPERLINK("C:\Users\franc\OneDrive\Documentos\MALENTIN KARIME\BANCO ESTADO\2012 DEPTO ESCRITURAS fata\2012 DEPTO ESCRITURAS\PROTOCOLIZACION\CIRO BERRIOS  Propuesta.doc", "Abrir Documento")</f>
        <v>0</v>
      </c>
      <c r="D19396" t="s">
        <v>23500</v>
      </c>
      <c r="E19396" t="s">
        <v>41871</v>
      </c>
    </row>
    <row r="19397" spans="1:5">
      <c r="A19397" t="s">
        <v>6</v>
      </c>
      <c r="B19397" t="s">
        <v>19402</v>
      </c>
      <c r="C19397">
        <f>HYPERLINK("C:\Users\franc\OneDrive\Documentos\MALENTIN KARIME\BANCO ESTADO\2012 DEPTO ESCRITURAS fata\2012 DEPTO ESCRITURAS\PROTOCOLIZACION\CERMELO ZEPEDA Inventario.doc", "Abrir Documento")</f>
        <v>0</v>
      </c>
      <c r="D19397" t="s">
        <v>23500</v>
      </c>
      <c r="E19397" t="s">
        <v>41872</v>
      </c>
    </row>
    <row r="19398" spans="1:5">
      <c r="A19398" t="s">
        <v>6</v>
      </c>
      <c r="B19398" t="s">
        <v>19403</v>
      </c>
      <c r="C19398">
        <f>HYPERLINK("C:\Users\franc\OneDrive\Documentos\MALENTIN KARIME\BANCO ESTADO\2012 DEPTO ESCRITURAS fata\2012 DEPTO ESCRITURAS\PROTOCOLIZACION\CDAD INGA PICHASCA.doc", "Abrir Documento")</f>
        <v>0</v>
      </c>
      <c r="D19398" t="s">
        <v>23500</v>
      </c>
      <c r="E19398" t="s">
        <v>41873</v>
      </c>
    </row>
    <row r="19399" spans="1:5">
      <c r="A19399" t="s">
        <v>6</v>
      </c>
      <c r="B19399" t="s">
        <v>19404</v>
      </c>
      <c r="C19399">
        <f>HYPERLINK("C:\Users\franc\OneDrive\Documentos\MALENTIN KARIME\BANCO ESTADO\2012 DEPTO ESCRITURAS fata\2012 DEPTO ESCRITURAS\PROTOCOLIZACION\CDAD INGA PICHASCA fs. 47 v.doc", "Abrir Documento")</f>
        <v>0</v>
      </c>
      <c r="D19399" t="s">
        <v>23500</v>
      </c>
      <c r="E19399" t="s">
        <v>41874</v>
      </c>
    </row>
    <row r="19400" spans="1:5">
      <c r="A19400" t="s">
        <v>6</v>
      </c>
      <c r="B19400" t="s">
        <v>19405</v>
      </c>
      <c r="C19400">
        <f>HYPERLINK("C:\Users\franc\OneDrive\Documentos\MALENTIN KARIME\BANCO ESTADO\2012 DEPTO ESCRITURAS fata\2012 DEPTO ESCRITURAS\PROTOCOLIZACION\CDAD EL POTRERO DE HUATULAME.doc", "Abrir Documento")</f>
        <v>0</v>
      </c>
      <c r="D19400" t="s">
        <v>23500</v>
      </c>
      <c r="E19400" t="s">
        <v>41875</v>
      </c>
    </row>
    <row r="19401" spans="1:5">
      <c r="A19401" t="s">
        <v>6</v>
      </c>
      <c r="B19401" t="s">
        <v>19406</v>
      </c>
      <c r="C19401">
        <f>HYPERLINK("C:\Users\franc\OneDrive\Documentos\MALENTIN KARIME\BANCO ESTADO\2012 DEPTO ESCRITURAS fata\2012 DEPTO ESCRITURAS\PROTOCOLIZACION\CDAD AGUAS CANAL ROMERAL.doc", "Abrir Documento")</f>
        <v>0</v>
      </c>
      <c r="D19401" t="s">
        <v>23500</v>
      </c>
      <c r="E19401" t="s">
        <v>41876</v>
      </c>
    </row>
    <row r="19402" spans="1:5">
      <c r="A19402" t="s">
        <v>6</v>
      </c>
      <c r="B19402" t="s">
        <v>19407</v>
      </c>
      <c r="C19402">
        <f>HYPERLINK("C:\Users\franc\OneDrive\Documentos\MALENTIN KARIME\BANCO ESTADO\2012 DEPTO ESCRITURAS fata\2012 DEPTO ESCRITURAS\PROTOCOLIZACION\CDAD AGUAS CANAL PUNTILLA SAN JUAN.doc", "Abrir Documento")</f>
        <v>0</v>
      </c>
      <c r="D19402" t="s">
        <v>23500</v>
      </c>
      <c r="E19402" t="s">
        <v>41877</v>
      </c>
    </row>
    <row r="19403" spans="1:5">
      <c r="A19403" t="s">
        <v>6</v>
      </c>
      <c r="B19403" t="s">
        <v>19408</v>
      </c>
      <c r="C19403">
        <f>HYPERLINK("C:\Users\franc\OneDrive\Documentos\MALENTIN KARIME\BANCO ESTADO\2012 DEPTO ESCRITURAS fata\2012 DEPTO ESCRITURAS\PROTOCOLIZACION\CDAD AGRICOLA LA RINCONADA.doc", "Abrir Documento")</f>
        <v>0</v>
      </c>
      <c r="D19403" t="s">
        <v>23500</v>
      </c>
      <c r="E19403" t="s">
        <v>41878</v>
      </c>
    </row>
    <row r="19404" spans="1:5">
      <c r="A19404" t="s">
        <v>6</v>
      </c>
      <c r="B19404" t="s">
        <v>19409</v>
      </c>
      <c r="C19404">
        <f>HYPERLINK("C:\Users\franc\OneDrive\Documentos\MALENTIN KARIME\BANCO ESTADO\2012 DEPTO ESCRITURAS fata\2012 DEPTO ESCRITURAS\PROTOCOLIZACION\CDAD AGRICOLA EL POTRERO DE HUATULAME.doc", "Abrir Documento")</f>
        <v>0</v>
      </c>
      <c r="D19404" t="s">
        <v>23500</v>
      </c>
      <c r="E19404" t="s">
        <v>41879</v>
      </c>
    </row>
    <row r="19405" spans="1:5">
      <c r="A19405" t="s">
        <v>6</v>
      </c>
      <c r="B19405" t="s">
        <v>19410</v>
      </c>
      <c r="C19405">
        <f>HYPERLINK("C:\Users\franc\OneDrive\Documentos\MALENTIN KARIME\BANCO ESTADO\2012 DEPTO ESCRITURAS fata\2012 DEPTO ESCRITURAS\PROTOCOLIZACION\CDAD AGRICOLA EL POTRERO DE HUATULAME fs.37.doc", "Abrir Documento")</f>
        <v>0</v>
      </c>
      <c r="D19405" t="s">
        <v>23500</v>
      </c>
      <c r="E19405" t="s">
        <v>41880</v>
      </c>
    </row>
    <row r="19406" spans="1:5">
      <c r="A19406" t="s">
        <v>6</v>
      </c>
      <c r="B19406" t="s">
        <v>19411</v>
      </c>
      <c r="C19406">
        <f>HYPERLINK("C:\Users\franc\OneDrive\Documentos\MALENTIN KARIME\BANCO ESTADO\2012 DEPTO ESCRITURAS fata\2012 DEPTO ESCRITURAS\PROTOCOLIZACION\CDAD AGRICOLA EL POTRERO DE HUATULAME fs 26 vta..doc", "Abrir Documento")</f>
        <v>0</v>
      </c>
      <c r="D19406" t="s">
        <v>23500</v>
      </c>
      <c r="E19406" t="s">
        <v>41881</v>
      </c>
    </row>
    <row r="19407" spans="1:5">
      <c r="A19407" t="s">
        <v>6</v>
      </c>
      <c r="B19407" t="s">
        <v>19412</v>
      </c>
      <c r="C19407">
        <f>HYPERLINK("C:\Users\franc\OneDrive\Documentos\MALENTIN KARIME\BANCO ESTADO\2012 DEPTO ESCRITURAS fata\2012 DEPTO ESCRITURAS\PROTOCOLIZACION\CDAD AGRICOLA CARRIZAL Y LAGUNA DE SERON.doc", "Abrir Documento")</f>
        <v>0</v>
      </c>
      <c r="D19407" t="s">
        <v>23500</v>
      </c>
      <c r="E19407" t="s">
        <v>41882</v>
      </c>
    </row>
    <row r="19408" spans="1:5">
      <c r="A19408" t="s">
        <v>6</v>
      </c>
      <c r="B19408" t="s">
        <v>19413</v>
      </c>
      <c r="C19408">
        <f>HYPERLINK("C:\Users\franc\OneDrive\Documentos\MALENTIN KARIME\BANCO ESTADO\2012 DEPTO ESCRITURAS fata\2012 DEPTO ESCRITURAS\PROTOCOLIZACION\CARLOS MANRIQUEZ Propuesta.doc", "Abrir Documento")</f>
        <v>0</v>
      </c>
      <c r="D19408" t="s">
        <v>23500</v>
      </c>
      <c r="E19408" t="s">
        <v>41883</v>
      </c>
    </row>
    <row r="19409" spans="1:5">
      <c r="A19409" t="s">
        <v>6</v>
      </c>
      <c r="B19409" t="s">
        <v>19414</v>
      </c>
      <c r="C19409">
        <f>HYPERLINK("C:\Users\franc\OneDrive\Documentos\MALENTIN KARIME\BANCO ESTADO\2012 DEPTO ESCRITURAS fata\2012 DEPTO ESCRITURAS\PROTOCOLIZACION\CANTUARIAS Propuesta.doc", "Abrir Documento")</f>
        <v>0</v>
      </c>
      <c r="D19409" t="s">
        <v>23500</v>
      </c>
      <c r="E19409" t="s">
        <v>41884</v>
      </c>
    </row>
    <row r="19410" spans="1:5">
      <c r="A19410" t="s">
        <v>6</v>
      </c>
      <c r="B19410" t="s">
        <v>19415</v>
      </c>
      <c r="C19410">
        <f>HYPERLINK("C:\Users\franc\OneDrive\Documentos\MALENTIN KARIME\BANCO ESTADO\2012 DEPTO ESCRITURAS fata\2012 DEPTO ESCRITURAS\PROTOCOLIZACION\CANAL VECINDARI GRANDE LA CHIMBA.doc", "Abrir Documento")</f>
        <v>0</v>
      </c>
      <c r="D19410" t="s">
        <v>23500</v>
      </c>
      <c r="E19410" t="s">
        <v>41885</v>
      </c>
    </row>
    <row r="19411" spans="1:5">
      <c r="A19411" t="s">
        <v>6</v>
      </c>
      <c r="B19411" t="s">
        <v>19416</v>
      </c>
      <c r="C19411">
        <f>HYPERLINK("C:\Users\franc\OneDrive\Documentos\MALENTIN KARIME\BANCO ESTADO\2012 DEPTO ESCRITURAS fata\2012 DEPTO ESCRITURAS\PROTOCOLIZACION\CANAL CHAÑARAL DE CAREN.doc", "Abrir Documento")</f>
        <v>0</v>
      </c>
      <c r="D19411" t="s">
        <v>23500</v>
      </c>
      <c r="E19411" t="s">
        <v>41886</v>
      </c>
    </row>
    <row r="19412" spans="1:5">
      <c r="A19412" t="s">
        <v>6</v>
      </c>
      <c r="B19412" t="s">
        <v>19417</v>
      </c>
      <c r="C19412">
        <f>HYPERLINK("C:\Users\franc\OneDrive\Documentos\MALENTIN KARIME\BANCO ESTADO\2012 DEPTO ESCRITURAS fata\2012 DEPTO ESCRITURAS\PROTOCOLIZACION\BONIFICIO IBACACHE Inventario.doc", "Abrir Documento")</f>
        <v>0</v>
      </c>
      <c r="D19412" t="s">
        <v>23500</v>
      </c>
      <c r="E19412" t="s">
        <v>41887</v>
      </c>
    </row>
    <row r="19413" spans="1:5">
      <c r="A19413" t="s">
        <v>6</v>
      </c>
      <c r="B19413" t="s">
        <v>19418</v>
      </c>
      <c r="C19413">
        <f>HYPERLINK("C:\Users\franc\OneDrive\Documentos\MALENTIN KARIME\BANCO ESTADO\2012 DEPTO ESCRITURAS fata\2012 DEPTO ESCRITURAS\PROTOCOLIZACION\BOMBEROS 2 CIA..doc", "Abrir Documento")</f>
        <v>0</v>
      </c>
      <c r="D19413" t="s">
        <v>23500</v>
      </c>
      <c r="E19413" t="s">
        <v>41888</v>
      </c>
    </row>
    <row r="19414" spans="1:5">
      <c r="A19414" t="s">
        <v>6</v>
      </c>
      <c r="B19414" t="s">
        <v>19419</v>
      </c>
      <c r="C19414">
        <f>HYPERLINK("C:\Users\franc\OneDrive\Documentos\MALENTIN KARIME\BANCO ESTADO\2012 DEPTO ESCRITURAS fata\2012 DEPTO ESCRITURAS\PROTOCOLIZACION\Autorizo la firma de don RUBEN ANTONIO SIERRA SIERRA.doc", "Abrir Documento")</f>
        <v>0</v>
      </c>
      <c r="D19414" t="s">
        <v>23500</v>
      </c>
      <c r="E19414" t="s">
        <v>41889</v>
      </c>
    </row>
    <row r="19415" spans="1:5">
      <c r="A19415" t="s">
        <v>6</v>
      </c>
      <c r="B19415" t="s">
        <v>19420</v>
      </c>
      <c r="C19415">
        <f>HYPERLINK("C:\Users\franc\OneDrive\Documentos\MALENTIN KARIME\BANCO ESTADO\2012 DEPTO ESCRITURAS fata\2012 DEPTO ESCRITURAS\PROTOCOLIZACION\Autorizo la firma de don RAUL CAMPAÑA PIZARRO Tasui.doc", "Abrir Documento")</f>
        <v>0</v>
      </c>
      <c r="D19415" t="s">
        <v>23500</v>
      </c>
      <c r="E19415" t="s">
        <v>41890</v>
      </c>
    </row>
    <row r="19416" spans="1:5">
      <c r="A19416" t="s">
        <v>6</v>
      </c>
      <c r="B19416" t="s">
        <v>19421</v>
      </c>
      <c r="C19416">
        <f>HYPERLINK("C:\Users\franc\OneDrive\Documentos\MALENTIN KARIME\BANCO ESTADO\2012 DEPTO ESCRITURAS fata\2012 DEPTO ESCRITURAS\PROTOCOLIZACION\Autorizo la firma de don MAURICIO DI PEDE MARTIN.doc", "Abrir Documento")</f>
        <v>0</v>
      </c>
      <c r="D19416" t="s">
        <v>23500</v>
      </c>
      <c r="E19416" t="s">
        <v>41891</v>
      </c>
    </row>
    <row r="19417" spans="1:5">
      <c r="A19417" t="s">
        <v>6</v>
      </c>
      <c r="B19417" t="s">
        <v>19422</v>
      </c>
      <c r="C19417">
        <f>HYPERLINK("C:\Users\franc\OneDrive\Documentos\MALENTIN KARIME\BANCO ESTADO\2012 DEPTO ESCRITURAS fata\2012 DEPTO ESCRITURAS\PROTOCOLIZACION\Autorizo la firma de don MAURICIO DI PEDE MARTIN POLIDEPORTIVO.doc", "Abrir Documento")</f>
        <v>0</v>
      </c>
      <c r="D19417" t="s">
        <v>23500</v>
      </c>
      <c r="E19417" t="s">
        <v>41892</v>
      </c>
    </row>
    <row r="19418" spans="1:5">
      <c r="A19418" t="s">
        <v>6</v>
      </c>
      <c r="B19418" t="s">
        <v>19423</v>
      </c>
      <c r="C19418">
        <f>HYPERLINK("C:\Users\franc\OneDrive\Documentos\MALENTIN KARIME\BANCO ESTADO\2012 DEPTO ESCRITURAS fata\2012 DEPTO ESCRITURAS\PROTOCOLIZACION\Autorizo la firma de don ARTURO ENRIQUE FORNO RAMIREZ.doc", "Abrir Documento")</f>
        <v>0</v>
      </c>
      <c r="D19418" t="s">
        <v>23500</v>
      </c>
      <c r="E19418" t="s">
        <v>41893</v>
      </c>
    </row>
    <row r="19419" spans="1:5">
      <c r="A19419" t="s">
        <v>6</v>
      </c>
      <c r="B19419" t="s">
        <v>19424</v>
      </c>
      <c r="C19419">
        <f>HYPERLINK("C:\Users\franc\OneDrive\Documentos\MALENTIN KARIME\BANCO ESTADO\2012 DEPTO ESCRITURAS fata\2012 DEPTO ESCRITURAS\PROTOCOLIZACION\Autorizo la firma de don ALVARO FELIPE  MERCANDAL GONZALEZ.doc", "Abrir Documento")</f>
        <v>0</v>
      </c>
      <c r="D19419" t="s">
        <v>23500</v>
      </c>
      <c r="E19419" t="s">
        <v>41894</v>
      </c>
    </row>
    <row r="19420" spans="1:5">
      <c r="A19420" t="s">
        <v>6</v>
      </c>
      <c r="B19420" t="s">
        <v>19425</v>
      </c>
      <c r="C19420">
        <f>HYPERLINK("C:\Users\franc\OneDrive\Documentos\MALENTIN KARIME\BANCO ESTADO\2012 DEPTO ESCRITURAS fata\2012 DEPTO ESCRITURAS\PROTOCOLIZACION\Autorizo la firma de concesion puesto.doc", "Abrir Documento")</f>
        <v>0</v>
      </c>
      <c r="D19420" t="s">
        <v>23500</v>
      </c>
      <c r="E19420" t="s">
        <v>41895</v>
      </c>
    </row>
    <row r="19421" spans="1:5">
      <c r="A19421" t="s">
        <v>6</v>
      </c>
      <c r="B19421" t="s">
        <v>19426</v>
      </c>
      <c r="C19421">
        <f>HYPERLINK("C:\Users\franc\OneDrive\Documentos\MALENTIN KARIME\BANCO ESTADO\2012 DEPTO ESCRITURAS fata\2012 DEPTO ESCRITURAS\PROTOCOLIZACION\autorizacion.doc", "Abrir Documento")</f>
        <v>0</v>
      </c>
      <c r="D19421" t="s">
        <v>23500</v>
      </c>
      <c r="E19421" t="s">
        <v>41896</v>
      </c>
    </row>
    <row r="19422" spans="1:5">
      <c r="A19422" t="s">
        <v>6</v>
      </c>
      <c r="B19422" t="s">
        <v>19427</v>
      </c>
      <c r="C19422">
        <f>HYPERLINK("C:\Users\franc\OneDrive\Documentos\MALENTIN KARIME\BANCO ESTADO\2012 DEPTO ESCRITURAS fata\2012 DEPTO ESCRITURAS\PROTOCOLIZACION\autorizacion legajo.doc", "Abrir Documento")</f>
        <v>0</v>
      </c>
      <c r="D19422" t="s">
        <v>23500</v>
      </c>
      <c r="E19422" t="s">
        <v>41897</v>
      </c>
    </row>
    <row r="19423" spans="1:5">
      <c r="A19423" t="s">
        <v>6</v>
      </c>
      <c r="B19423" t="s">
        <v>19428</v>
      </c>
      <c r="C19423">
        <f>HYPERLINK("C:\Users\franc\OneDrive\Documentos\MALENTIN KARIME\BANCO ESTADO\2012 DEPTO ESCRITURAS fata\2012 DEPTO ESCRITURAS\PROTOCOLIZACION\autorizacion horizontal.doc", "Abrir Documento")</f>
        <v>0</v>
      </c>
      <c r="D19423" t="s">
        <v>23500</v>
      </c>
      <c r="E19423" t="s">
        <v>41898</v>
      </c>
    </row>
    <row r="19424" spans="1:5">
      <c r="A19424" t="s">
        <v>6</v>
      </c>
      <c r="B19424" t="s">
        <v>19429</v>
      </c>
      <c r="C19424">
        <f>HYPERLINK("C:\Users\franc\OneDrive\Documentos\MALENTIN KARIME\BANCO ESTADO\2012 DEPTO ESCRITURAS fata\2012 DEPTO ESCRITURAS\PROTOCOLIZACION\autorizacion hojas sueltas.doc", "Abrir Documento")</f>
        <v>0</v>
      </c>
      <c r="D19424" t="s">
        <v>23500</v>
      </c>
      <c r="E19424" t="s">
        <v>41899</v>
      </c>
    </row>
    <row r="19425" spans="1:5">
      <c r="A19425" t="s">
        <v>6</v>
      </c>
      <c r="B19425" t="s">
        <v>19430</v>
      </c>
      <c r="C19425">
        <f>HYPERLINK("C:\Users\franc\OneDrive\Documentos\MALENTIN KARIME\BANCO ESTADO\2012 DEPTO ESCRITURAS fata\2012 DEPTO ESCRITURAS\PROTOCOLIZACION\ASOCIACION NACIONAL PENSIONADOS.doc", "Abrir Documento")</f>
        <v>0</v>
      </c>
      <c r="D19425" t="s">
        <v>23500</v>
      </c>
      <c r="E19425" t="s">
        <v>41900</v>
      </c>
    </row>
    <row r="19426" spans="1:5">
      <c r="A19426" t="s">
        <v>6</v>
      </c>
      <c r="B19426" t="s">
        <v>19431</v>
      </c>
      <c r="C19426">
        <f>HYPERLINK("C:\Users\franc\OneDrive\Documentos\MALENTIN KARIME\BANCO ESTADO\2012 DEPTO ESCRITURAS fata\2012 DEPTO ESCRITURAS\PROTOCOLIZACION\ASOCIACION NACIONAL PENSIONADOS directiva.doc", "Abrir Documento")</f>
        <v>0</v>
      </c>
      <c r="D19426" t="s">
        <v>23500</v>
      </c>
      <c r="E19426" t="s">
        <v>41901</v>
      </c>
    </row>
    <row r="19427" spans="1:5">
      <c r="A19427" t="s">
        <v>6</v>
      </c>
      <c r="B19427" t="s">
        <v>19432</v>
      </c>
      <c r="C19427">
        <f>HYPERLINK("C:\Users\franc\OneDrive\Documentos\MALENTIN KARIME\BANCO ESTADO\2012 DEPTO ESCRITURAS fata\2012 DEPTO ESCRITURAS\PROTOCOLIZACION\ASOC. GREMIAL MINERA PUNITAQUI.doc", "Abrir Documento")</f>
        <v>0</v>
      </c>
      <c r="D19427" t="s">
        <v>23500</v>
      </c>
      <c r="E19427" t="s">
        <v>41902</v>
      </c>
    </row>
    <row r="19428" spans="1:5">
      <c r="A19428" t="s">
        <v>6</v>
      </c>
      <c r="B19428" t="s">
        <v>19433</v>
      </c>
      <c r="C19428">
        <f>HYPERLINK("C:\Users\franc\OneDrive\Documentos\MALENTIN KARIME\BANCO ESTADO\2012 DEPTO ESCRITURAS fata\2012 DEPTO ESCRITURAS\PROTOCOLIZACION\ASOC. GREMIAL MINERA PUNITAQUI estatutos.doc", "Abrir Documento")</f>
        <v>0</v>
      </c>
      <c r="D19428" t="s">
        <v>23500</v>
      </c>
      <c r="E19428" t="s">
        <v>41903</v>
      </c>
    </row>
    <row r="19429" spans="1:5">
      <c r="A19429" t="s">
        <v>6</v>
      </c>
      <c r="B19429" t="s">
        <v>19434</v>
      </c>
      <c r="C19429">
        <f>HYPERLINK("C:\Users\franc\OneDrive\Documentos\MALENTIN KARIME\BANCO ESTADO\2012 DEPTO ESCRITURAS fata\2012 DEPTO ESCRITURAS\PROTOCOLIZACION\APR VILLA SECA.doc", "Abrir Documento")</f>
        <v>0</v>
      </c>
      <c r="D19429" t="s">
        <v>23500</v>
      </c>
      <c r="E19429" t="s">
        <v>41904</v>
      </c>
    </row>
    <row r="19430" spans="1:5">
      <c r="A19430" t="s">
        <v>6</v>
      </c>
      <c r="B19430" t="s">
        <v>19435</v>
      </c>
      <c r="C19430">
        <f>HYPERLINK("C:\Users\franc\OneDrive\Documentos\MALENTIN KARIME\BANCO ESTADO\2012 DEPTO ESCRITURAS fata\2012 DEPTO ESCRITURAS\PROTOCOLIZACION\APR SAN MARCOS.doc", "Abrir Documento")</f>
        <v>0</v>
      </c>
      <c r="D19430" t="s">
        <v>23500</v>
      </c>
      <c r="E19430" t="s">
        <v>41905</v>
      </c>
    </row>
    <row r="19431" spans="1:5">
      <c r="A19431" t="s">
        <v>6</v>
      </c>
      <c r="B19431" t="s">
        <v>19436</v>
      </c>
      <c r="C19431">
        <f>HYPERLINK("C:\Users\franc\OneDrive\Documentos\MALENTIN KARIME\BANCO ESTADO\2012 DEPTO ESCRITURAS fata\2012 DEPTO ESCRITURAS\PROTOCOLIZACION\APR SAN MARCOS  Fs 54.doc", "Abrir Documento")</f>
        <v>0</v>
      </c>
      <c r="D19431" t="s">
        <v>23500</v>
      </c>
      <c r="E19431" t="s">
        <v>41906</v>
      </c>
    </row>
    <row r="19432" spans="1:5">
      <c r="A19432" t="s">
        <v>6</v>
      </c>
      <c r="B19432" t="s">
        <v>19437</v>
      </c>
      <c r="C19432">
        <f>HYPERLINK("C:\Users\franc\OneDrive\Documentos\MALENTIN KARIME\BANCO ESTADO\2012 DEPTO ESCRITURAS fata\2012 DEPTO ESCRITURAS\PROTOCOLIZACION\APR SAN MARCOS  Fs 52.doc", "Abrir Documento")</f>
        <v>0</v>
      </c>
      <c r="D19432" t="s">
        <v>23500</v>
      </c>
      <c r="E19432" t="s">
        <v>41907</v>
      </c>
    </row>
    <row r="19433" spans="1:5">
      <c r="A19433" t="s">
        <v>6</v>
      </c>
      <c r="B19433" t="s">
        <v>19438</v>
      </c>
      <c r="C19433">
        <f>HYPERLINK("C:\Users\franc\OneDrive\Documentos\MALENTIN KARIME\BANCO ESTADO\2012 DEPTO ESCRITURAS fata\2012 DEPTO ESCRITURAS\PROTOCOLIZACION\APR SAN MARCOS  Fs 51 vta..doc", "Abrir Documento")</f>
        <v>0</v>
      </c>
      <c r="D19433" t="s">
        <v>23500</v>
      </c>
      <c r="E19433" t="s">
        <v>41908</v>
      </c>
    </row>
    <row r="19434" spans="1:5">
      <c r="A19434" t="s">
        <v>6</v>
      </c>
      <c r="B19434" t="s">
        <v>19439</v>
      </c>
      <c r="C19434">
        <f>HYPERLINK("C:\Users\franc\OneDrive\Documentos\MALENTIN KARIME\BANCO ESTADO\2012 DEPTO ESCRITURAS fata\2012 DEPTO ESCRITURAS\PROTOCOLIZACION\APR SAN MARCOS  Fs 49.doc", "Abrir Documento")</f>
        <v>0</v>
      </c>
      <c r="D19434" t="s">
        <v>23500</v>
      </c>
      <c r="E19434" t="s">
        <v>41909</v>
      </c>
    </row>
    <row r="19435" spans="1:5">
      <c r="A19435" t="s">
        <v>6</v>
      </c>
      <c r="B19435" t="s">
        <v>19440</v>
      </c>
      <c r="C19435">
        <f>HYPERLINK("C:\Users\franc\OneDrive\Documentos\MALENTIN KARIME\BANCO ESTADO\2012 DEPTO ESCRITURAS fata\2012 DEPTO ESCRITURAS\PROTOCOLIZACION\APR SAN MARCOS  Fs 47+.doc", "Abrir Documento")</f>
        <v>0</v>
      </c>
      <c r="D19435" t="s">
        <v>23500</v>
      </c>
      <c r="E19435" t="s">
        <v>41910</v>
      </c>
    </row>
    <row r="19436" spans="1:5">
      <c r="A19436" t="s">
        <v>6</v>
      </c>
      <c r="B19436" t="s">
        <v>19441</v>
      </c>
      <c r="C19436">
        <f>HYPERLINK("C:\Users\franc\OneDrive\Documentos\MALENTIN KARIME\BANCO ESTADO\2012 DEPTO ESCRITURAS fata\2012 DEPTO ESCRITURAS\PROTOCOLIZACION\APR SAN MARCOS  Fs 47 vta..doc", "Abrir Documento")</f>
        <v>0</v>
      </c>
      <c r="D19436" t="s">
        <v>23500</v>
      </c>
      <c r="E19436" t="s">
        <v>41911</v>
      </c>
    </row>
    <row r="19437" spans="1:5">
      <c r="A19437" t="s">
        <v>6</v>
      </c>
      <c r="B19437" t="s">
        <v>19442</v>
      </c>
      <c r="C19437">
        <f>HYPERLINK("C:\Users\franc\OneDrive\Documentos\MALENTIN KARIME\BANCO ESTADO\2012 DEPTO ESCRITURAS fata\2012 DEPTO ESCRITURAS\PROTOCOLIZACION\APR SAN MARCOS  Fs 44 vta..doc", "Abrir Documento")</f>
        <v>0</v>
      </c>
      <c r="D19437" t="s">
        <v>23500</v>
      </c>
      <c r="E19437" t="s">
        <v>41912</v>
      </c>
    </row>
    <row r="19438" spans="1:5">
      <c r="A19438" t="s">
        <v>6</v>
      </c>
      <c r="B19438" t="s">
        <v>19443</v>
      </c>
      <c r="C19438">
        <f>HYPERLINK("C:\Users\franc\OneDrive\Documentos\MALENTIN KARIME\BANCO ESTADO\2012 DEPTO ESCRITURAS fata\2012 DEPTO ESCRITURAS\PROTOCOLIZACION\APR SAN MARCOS  Fs 43.doc", "Abrir Documento")</f>
        <v>0</v>
      </c>
      <c r="D19438" t="s">
        <v>23500</v>
      </c>
      <c r="E19438" t="s">
        <v>41913</v>
      </c>
    </row>
    <row r="19439" spans="1:5">
      <c r="A19439" t="s">
        <v>6</v>
      </c>
      <c r="B19439" t="s">
        <v>19444</v>
      </c>
      <c r="C19439">
        <f>HYPERLINK("C:\Users\franc\OneDrive\Documentos\MALENTIN KARIME\BANCO ESTADO\2012 DEPTO ESCRITURAS fata\2012 DEPTO ESCRITURAS\PROTOCOLIZACION\APR SAN MARCOS  Fs 1.doc", "Abrir Documento")</f>
        <v>0</v>
      </c>
      <c r="D19439" t="s">
        <v>23500</v>
      </c>
      <c r="E19439" t="s">
        <v>41914</v>
      </c>
    </row>
    <row r="19440" spans="1:5">
      <c r="A19440" t="s">
        <v>6</v>
      </c>
      <c r="B19440" t="s">
        <v>19445</v>
      </c>
      <c r="C19440">
        <f>HYPERLINK("C:\Users\franc\OneDrive\Documentos\MALENTIN KARIME\BANCO ESTADO\2012 DEPTO ESCRITURAS fata\2012 DEPTO ESCRITURAS\PROTOCOLIZACION\APR LA RINCONADA.doc", "Abrir Documento")</f>
        <v>0</v>
      </c>
      <c r="D19440" t="s">
        <v>23500</v>
      </c>
      <c r="E19440" t="s">
        <v>41915</v>
      </c>
    </row>
    <row r="19441" spans="1:5">
      <c r="A19441" t="s">
        <v>6</v>
      </c>
      <c r="B19441" t="s">
        <v>19446</v>
      </c>
      <c r="C19441">
        <f>HYPERLINK("C:\Users\franc\OneDrive\Documentos\MALENTIN KARIME\BANCO ESTADO\2012 DEPTO ESCRITURAS fata\2012 DEPTO ESCRITURAS\PROTOCOLIZACION\APR HUATULAME.doc", "Abrir Documento")</f>
        <v>0</v>
      </c>
      <c r="D19441" t="s">
        <v>23500</v>
      </c>
      <c r="E19441" t="s">
        <v>41916</v>
      </c>
    </row>
    <row r="19442" spans="1:5">
      <c r="A19442" t="s">
        <v>6</v>
      </c>
      <c r="B19442" t="s">
        <v>19447</v>
      </c>
      <c r="C19442">
        <f>HYPERLINK("C:\Users\franc\OneDrive\Documentos\MALENTIN KARIME\BANCO ESTADO\2012 DEPTO ESCRITURAS fata\2012 DEPTO ESCRITURAS\PROTOCOLIZACION\APR CERRILLOS DE TAMAYA.doc", "Abrir Documento")</f>
        <v>0</v>
      </c>
      <c r="D19442" t="s">
        <v>23500</v>
      </c>
      <c r="E19442" t="s">
        <v>41917</v>
      </c>
    </row>
    <row r="19443" spans="1:5">
      <c r="A19443" t="s">
        <v>6</v>
      </c>
      <c r="B19443" t="s">
        <v>19448</v>
      </c>
      <c r="C19443">
        <f>HYPERLINK("C:\Users\franc\OneDrive\Documentos\MALENTIN KARIME\BANCO ESTADO\2012 DEPTO ESCRITURAS fata\2012 DEPTO ESCRITURAS\PROTOCOLIZACION\ANA ELIZABETH Inventario.doc", "Abrir Documento")</f>
        <v>0</v>
      </c>
      <c r="D19443" t="s">
        <v>23500</v>
      </c>
      <c r="E19443" t="s">
        <v>41918</v>
      </c>
    </row>
    <row r="19444" spans="1:5">
      <c r="A19444" t="s">
        <v>6</v>
      </c>
      <c r="B19444" t="s">
        <v>19449</v>
      </c>
      <c r="C19444">
        <f>HYPERLINK("C:\Users\franc\OneDrive\Documentos\MALENTIN KARIME\BANCO ESTADO\2012 DEPTO ESCRITURAS fata\2012 DEPTO ESCRITURAS\PROTOCOLIZACION\AMELIA MIRANDA ROJAS.doc", "Abrir Documento")</f>
        <v>0</v>
      </c>
      <c r="D19444" t="s">
        <v>23500</v>
      </c>
      <c r="E19444" t="s">
        <v>41919</v>
      </c>
    </row>
    <row r="19445" spans="1:5">
      <c r="A19445" t="s">
        <v>6</v>
      </c>
      <c r="B19445" t="s">
        <v>19450</v>
      </c>
      <c r="C19445">
        <f>HYPERLINK("C:\Users\franc\OneDrive\Documentos\MALENTIN KARIME\BANCO ESTADO\2012 DEPTO ESCRITURAS fata\2012 DEPTO ESCRITURAS\PROTOCOLIZACION\ALEJANDRA QUIROGA  Propuesta.doc", "Abrir Documento")</f>
        <v>0</v>
      </c>
      <c r="D19445" t="s">
        <v>23500</v>
      </c>
      <c r="E19445" t="s">
        <v>41920</v>
      </c>
    </row>
    <row r="19446" spans="1:5">
      <c r="A19446" t="s">
        <v>6</v>
      </c>
      <c r="B19446" t="s">
        <v>19451</v>
      </c>
      <c r="C19446">
        <f>HYPERLINK("C:\Users\franc\OneDrive\Documentos\MALENTIN KARIME\BANCO ESTADO\2012 DEPTO ESCRITURAS fata\2012 DEPTO ESCRITURAS\PROTOCOLIZACION\4cv inversiones ltda..doc", "Abrir Documento")</f>
        <v>0</v>
      </c>
      <c r="D19446" t="s">
        <v>23500</v>
      </c>
      <c r="E19446" t="s">
        <v>41921</v>
      </c>
    </row>
    <row r="19447" spans="1:5">
      <c r="A19447" t="s">
        <v>6</v>
      </c>
      <c r="B19447" t="s">
        <v>19452</v>
      </c>
      <c r="C19447">
        <f>HYPERLINK("C:\Users\franc\OneDrive\Documentos\MALENTIN KARIME\BANCO ESTADO\2012 DEPTO ESCRITURAS fata\2012 DEPTO ESCRITURAS\PROTOCOLIZACION\4cv inversiones ltda PROP 74-2011.doc", "Abrir Documento")</f>
        <v>0</v>
      </c>
      <c r="D19447" t="s">
        <v>23500</v>
      </c>
      <c r="E19447" t="s">
        <v>41922</v>
      </c>
    </row>
    <row r="19448" spans="1:5">
      <c r="A19448" t="s">
        <v>6</v>
      </c>
      <c r="B19448" t="s">
        <v>19453</v>
      </c>
      <c r="C19448">
        <f>HYPERLINK("C:\Users\franc\OneDrive\Documentos\MALENTIN KARIME\BANCO ESTADO\2012 DEPTO ESCRITURAS fata\2012 DEPTO ESCRITURAS\PROMESAS\PRENDAS\SOCIEDAD DE TRANSPORTES ALZER Alzam.doc", "Abrir Documento")</f>
        <v>0</v>
      </c>
      <c r="D19448" t="s">
        <v>23500</v>
      </c>
      <c r="E19448" t="s">
        <v>41923</v>
      </c>
    </row>
    <row r="19449" spans="1:5">
      <c r="A19449" t="s">
        <v>6</v>
      </c>
      <c r="B19449" t="s">
        <v>19454</v>
      </c>
      <c r="C19449">
        <f>HYPERLINK("C:\Users\franc\OneDrive\Documentos\MALENTIN KARIME\BANCO ESTADO\2012 DEPTO ESCRITURAS fata\2012 DEPTO ESCRITURAS\PROMESAS\PRENDAS\SOCIEDAD DE TRANSPORTES ALZER Alzam PRIVADO.doc", "Abrir Documento")</f>
        <v>0</v>
      </c>
      <c r="D19449" t="s">
        <v>23500</v>
      </c>
      <c r="E19449" t="s">
        <v>41924</v>
      </c>
    </row>
    <row r="19450" spans="1:5">
      <c r="A19450" t="s">
        <v>6</v>
      </c>
      <c r="B19450" t="s">
        <v>19455</v>
      </c>
      <c r="C19450">
        <f>HYPERLINK("C:\Users\franc\OneDrive\Documentos\MALENTIN KARIME\BANCO ESTADO\2012 DEPTO ESCRITURAS fata\2012 DEPTO ESCRITURAS\PROMESAS\PRENDAS\SOCIEDAD DE TRANSPORTES ALZER Alzam PRIVADO 2.doc", "Abrir Documento")</f>
        <v>0</v>
      </c>
      <c r="D19450" t="s">
        <v>23500</v>
      </c>
      <c r="E19450" t="s">
        <v>41925</v>
      </c>
    </row>
    <row r="19451" spans="1:5">
      <c r="A19451" t="s">
        <v>6</v>
      </c>
      <c r="B19451" t="s">
        <v>19456</v>
      </c>
      <c r="C19451">
        <f>HYPERLINK("C:\Users\franc\OneDrive\Documentos\MALENTIN KARIME\BANCO ESTADO\2012 DEPTO ESCRITURAS fata\2012 DEPTO ESCRITURAS\PROMESAS\PRENDAS\pagare.doc", "Abrir Documento")</f>
        <v>0</v>
      </c>
      <c r="D19451" t="s">
        <v>23500</v>
      </c>
      <c r="E19451" t="s">
        <v>41926</v>
      </c>
    </row>
    <row r="19452" spans="1:5">
      <c r="A19452" t="s">
        <v>6</v>
      </c>
      <c r="B19452" t="s">
        <v>19457</v>
      </c>
      <c r="C19452">
        <f>HYPERLINK("C:\Users\franc\OneDrive\Documentos\MALENTIN KARIME\BANCO ESTADO\2012 DEPTO ESCRITURAS fata\2012 DEPTO ESCRITURAS\PROMESAS\PRENDAS\MIRTA GALLARDO A SOUTHERN FRUIT Nov 12.doc", "Abrir Documento")</f>
        <v>0</v>
      </c>
      <c r="D19452" t="s">
        <v>23500</v>
      </c>
      <c r="E19452" t="s">
        <v>41927</v>
      </c>
    </row>
    <row r="19453" spans="1:5">
      <c r="A19453" t="s">
        <v>6</v>
      </c>
      <c r="B19453" t="s">
        <v>19458</v>
      </c>
      <c r="C19453">
        <f>HYPERLINK("C:\Users\franc\OneDrive\Documentos\MALENTIN KARIME\BANCO ESTADO\2012 DEPTO ESCRITURAS fata\2012 DEPTO ESCRITURAS\PROMESAS\PRENDAS\humberto aguirre.doc", "Abrir Documento")</f>
        <v>0</v>
      </c>
      <c r="D19453" t="s">
        <v>23500</v>
      </c>
      <c r="E19453" t="s">
        <v>41928</v>
      </c>
    </row>
    <row r="19454" spans="1:5">
      <c r="A19454" t="s">
        <v>6</v>
      </c>
      <c r="B19454" t="s">
        <v>19459</v>
      </c>
      <c r="C19454">
        <f>HYPERLINK("C:\Users\franc\OneDrive\Documentos\MALENTIN KARIME\BANCO ESTADO\2012 DEPTO ESCRITURAS fata\2012 DEPTO ESCRITURAS\PROMESAS\PRENDAS\humberto aguirre y soc. mal paso RECTI.doc", "Abrir Documento")</f>
        <v>0</v>
      </c>
      <c r="D19454" t="s">
        <v>23500</v>
      </c>
      <c r="E19454" t="s">
        <v>41929</v>
      </c>
    </row>
    <row r="19455" spans="1:5">
      <c r="A19455" t="s">
        <v>6</v>
      </c>
      <c r="B19455" t="s">
        <v>19460</v>
      </c>
      <c r="C19455">
        <f>HYPERLINK("C:\Users\franc\OneDrive\Documentos\MALENTIN KARIME\BANCO ESTADO\2012 DEPTO ESCRITURAS fata\2012 DEPTO ESCRITURAS\PROMESAS\PRENDAS\HUMBERTO AGUIRRE SA A RIO BLANCO.doc", "Abrir Documento")</f>
        <v>0</v>
      </c>
      <c r="D19455" t="s">
        <v>23500</v>
      </c>
      <c r="E19455" t="s">
        <v>41930</v>
      </c>
    </row>
    <row r="19456" spans="1:5">
      <c r="A19456" t="s">
        <v>6</v>
      </c>
      <c r="B19456" t="s">
        <v>19461</v>
      </c>
      <c r="C19456">
        <f>HYPERLINK("C:\Users\franc\OneDrive\Documentos\MALENTIN KARIME\BANCO ESTADO\2012 DEPTO ESCRITURAS fata\2012 DEPTO ESCRITURAS\PROMESAS\PRENDAS\FERANCISCO BOU VILLADA A SOUTHERN FRUIT Nov 12.doc", "Abrir Documento")</f>
        <v>0</v>
      </c>
      <c r="D19456" t="s">
        <v>23500</v>
      </c>
      <c r="E19456" t="s">
        <v>41931</v>
      </c>
    </row>
    <row r="19457" spans="1:5">
      <c r="A19457" t="s">
        <v>6</v>
      </c>
      <c r="B19457" t="s">
        <v>19462</v>
      </c>
      <c r="C19457">
        <f>HYPERLINK("C:\Users\franc\OneDrive\Documentos\MALENTIN KARIME\BANCO ESTADO\2012 DEPTO ESCRITURAS fata\2012 DEPTO ESCRITURAS\PROMESAS\PRENDAS\DEL MONTE Y LA GREDA.doc", "Abrir Documento")</f>
        <v>0</v>
      </c>
      <c r="D19457" t="s">
        <v>23500</v>
      </c>
      <c r="E19457" t="s">
        <v>41932</v>
      </c>
    </row>
    <row r="19458" spans="1:5">
      <c r="A19458" t="s">
        <v>6</v>
      </c>
      <c r="B19458" t="s">
        <v>19463</v>
      </c>
      <c r="C19458">
        <f>HYPERLINK("C:\Users\franc\OneDrive\Documentos\MALENTIN KARIME\BANCO ESTADO\2012 DEPTO ESCRITURAS fata\2012 DEPTO ESCRITURAS\PROMESAS\PRENDAS\COPEVAL A MANUEL DIAZ.doc", "Abrir Documento")</f>
        <v>0</v>
      </c>
      <c r="D19458" t="s">
        <v>23500</v>
      </c>
      <c r="E19458" t="s">
        <v>41933</v>
      </c>
    </row>
    <row r="19459" spans="1:5">
      <c r="A19459" t="s">
        <v>6</v>
      </c>
      <c r="B19459" t="s">
        <v>19464</v>
      </c>
      <c r="C19459">
        <f>HYPERLINK("C:\Users\franc\OneDrive\Documentos\MALENTIN KARIME\BANCO ESTADO\2012 DEPTO ESCRITURAS fata\2012 DEPTO ESCRITURAS\PROMESAS\PRENDAS\CARTA DE INSTRUCCIONES.doc", "Abrir Documento")</f>
        <v>0</v>
      </c>
      <c r="D19459" t="s">
        <v>23500</v>
      </c>
      <c r="E19459" t="s">
        <v>41934</v>
      </c>
    </row>
    <row r="19460" spans="1:5">
      <c r="A19460" t="s">
        <v>6</v>
      </c>
      <c r="B19460" t="s">
        <v>19465</v>
      </c>
      <c r="C19460">
        <f>HYPERLINK("C:\Users\franc\OneDrive\Documentos\MALENTIN KARIME\BANCO ESTADO\2012 DEPTO ESCRITURAS fata\2012 DEPTO ESCRITURAS\PROMESAS\PRENDAS\CARTA DE INSTRUCCIONES ii.doc", "Abrir Documento")</f>
        <v>0</v>
      </c>
      <c r="D19460" t="s">
        <v>23500</v>
      </c>
      <c r="E19460" t="s">
        <v>41935</v>
      </c>
    </row>
    <row r="19461" spans="1:5">
      <c r="A19461" t="s">
        <v>6</v>
      </c>
      <c r="B19461" t="s">
        <v>19466</v>
      </c>
      <c r="C19461">
        <f>HYPERLINK("C:\Users\franc\OneDrive\Documentos\MALENTIN KARIME\BANCO ESTADO\2012 DEPTO ESCRITURAS fata\2012 DEPTO ESCRITURAS\PROMESAS\WILFREDO CONTRERAS SANTANDER.doc", "Abrir Documento")</f>
        <v>0</v>
      </c>
      <c r="D19461" t="s">
        <v>23500</v>
      </c>
      <c r="E19461" t="s">
        <v>41936</v>
      </c>
    </row>
    <row r="19462" spans="1:5">
      <c r="A19462" t="s">
        <v>6</v>
      </c>
      <c r="B19462" t="s">
        <v>19467</v>
      </c>
      <c r="C19462">
        <f>HYPERLINK("C:\Users\franc\OneDrive\Documentos\MALENTIN KARIME\BANCO ESTADO\2012 DEPTO ESCRITURAS fata\2012 DEPTO ESCRITURAS\PROMESAS\WANDA UGUEÑO UGUEÑO A MARIA FLORES.doc", "Abrir Documento")</f>
        <v>0</v>
      </c>
      <c r="D19462" t="s">
        <v>23500</v>
      </c>
      <c r="E19462" t="s">
        <v>41937</v>
      </c>
    </row>
    <row r="19463" spans="1:5">
      <c r="A19463" t="s">
        <v>6</v>
      </c>
      <c r="B19463" t="s">
        <v>19468</v>
      </c>
      <c r="C19463">
        <f>HYPERLINK("C:\Users\franc\OneDrive\Documentos\MALENTIN KARIME\BANCO ESTADO\2012 DEPTO ESCRITURAS fata\2012 DEPTO ESCRITURAS\PROMESAS\VICTOR CORTES A PATRICIA ARANCIBIA.doc", "Abrir Documento")</f>
        <v>0</v>
      </c>
      <c r="D19463" t="s">
        <v>23500</v>
      </c>
      <c r="E19463" t="s">
        <v>41938</v>
      </c>
    </row>
    <row r="19464" spans="1:5">
      <c r="A19464" t="s">
        <v>6</v>
      </c>
      <c r="B19464" t="s">
        <v>19469</v>
      </c>
      <c r="C19464">
        <f>HYPERLINK("C:\Users\franc\OneDrive\Documentos\MALENTIN KARIME\BANCO ESTADO\2012 DEPTO ESCRITURAS fata\2012 DEPTO ESCRITURAS\PROMESAS\TELLCOR LIMITADA A CARLOS SCHULTZ.doc", "Abrir Documento")</f>
        <v>0</v>
      </c>
      <c r="D19464" t="s">
        <v>23500</v>
      </c>
      <c r="E19464" t="s">
        <v>41939</v>
      </c>
    </row>
    <row r="19465" spans="1:5">
      <c r="A19465" t="s">
        <v>6</v>
      </c>
      <c r="B19465" t="s">
        <v>19470</v>
      </c>
      <c r="C19465">
        <f>HYPERLINK("C:\Users\franc\OneDrive\Documentos\MALENTIN KARIME\BANCO ESTADO\2012 DEPTO ESCRITURAS fata\2012 DEPTO ESCRITURAS\PROMESAS\TELLCOR LIMITADA A Alejandro Cornejo Minuta.doc", "Abrir Documento")</f>
        <v>0</v>
      </c>
      <c r="D19465" t="s">
        <v>23500</v>
      </c>
      <c r="E19465" t="s">
        <v>41940</v>
      </c>
    </row>
    <row r="19466" spans="1:5">
      <c r="A19466" t="s">
        <v>6</v>
      </c>
      <c r="B19466" t="s">
        <v>19471</v>
      </c>
      <c r="C19466">
        <f>HYPERLINK("C:\Users\franc\OneDrive\Documentos\MALENTIN KARIME\BANCO ESTADO\2012 DEPTO ESCRITURAS fata\2012 DEPTO ESCRITURAS\PROMESAS\TELLCOR LIMITADA A Alejandro Cornejo Minuta  MODIFICACION.doc", "Abrir Documento")</f>
        <v>0</v>
      </c>
      <c r="D19466" t="s">
        <v>23500</v>
      </c>
      <c r="E19466" t="s">
        <v>41941</v>
      </c>
    </row>
    <row r="19467" spans="1:5">
      <c r="A19467" t="s">
        <v>6</v>
      </c>
      <c r="B19467" t="s">
        <v>19472</v>
      </c>
      <c r="C19467">
        <f>HYPERLINK("C:\Users\franc\OneDrive\Documentos\MALENTIN KARIME\BANCO ESTADO\2012 DEPTO ESCRITURAS fata\2012 DEPTO ESCRITURAS\PROMESAS\SYLVIA FLORES ALVAREZ Con agua.doc", "Abrir Documento")</f>
        <v>0</v>
      </c>
      <c r="D19467" t="s">
        <v>23500</v>
      </c>
      <c r="E19467" t="s">
        <v>41942</v>
      </c>
    </row>
    <row r="19468" spans="1:5">
      <c r="A19468" t="s">
        <v>6</v>
      </c>
      <c r="B19468" t="s">
        <v>19473</v>
      </c>
      <c r="C19468">
        <f>HYPERLINK("C:\Users\franc\OneDrive\Documentos\MALENTIN KARIME\BANCO ESTADO\2012 DEPTO ESCRITURAS fata\2012 DEPTO ESCRITURAS\PROMESAS\ROSSANA ARAYA ALFARO A AMADIEL ALFARO Ariztía.doc", "Abrir Documento")</f>
        <v>0</v>
      </c>
      <c r="D19468" t="s">
        <v>23500</v>
      </c>
      <c r="E19468" t="s">
        <v>41943</v>
      </c>
    </row>
    <row r="19469" spans="1:5">
      <c r="A19469" t="s">
        <v>6</v>
      </c>
      <c r="B19469" t="s">
        <v>19474</v>
      </c>
      <c r="C19469">
        <f>HYPERLINK("C:\Users\franc\OneDrive\Documentos\MALENTIN KARIME\BANCO ESTADO\2012 DEPTO ESCRITURAS fata\2012 DEPTO ESCRITURAS\PROMESAS\ROSA SANVENERO A NOLVIA ARAYA.doc", "Abrir Documento")</f>
        <v>0</v>
      </c>
      <c r="D19469" t="s">
        <v>23500</v>
      </c>
      <c r="E19469" t="s">
        <v>41944</v>
      </c>
    </row>
    <row r="19470" spans="1:5">
      <c r="A19470" t="s">
        <v>6</v>
      </c>
      <c r="B19470" t="s">
        <v>19475</v>
      </c>
      <c r="C19470">
        <f>HYPERLINK("C:\Users\franc\OneDrive\Documentos\MALENTIN KARIME\BANCO ESTADO\2012 DEPTO ESCRITURAS fata\2012 DEPTO ESCRITURAS\PROMESAS\ROSA SANVENERO A NOLVIA ARAYA pórroga.doc", "Abrir Documento")</f>
        <v>0</v>
      </c>
      <c r="D19470" t="s">
        <v>23500</v>
      </c>
      <c r="E19470" t="s">
        <v>41945</v>
      </c>
    </row>
    <row r="19471" spans="1:5">
      <c r="A19471" t="s">
        <v>6</v>
      </c>
      <c r="B19471" t="s">
        <v>19476</v>
      </c>
      <c r="C19471">
        <f>HYPERLINK("C:\Users\franc\OneDrive\Documentos\MALENTIN KARIME\BANCO ESTADO\2012 DEPTO ESCRITURAS fata\2012 DEPTO ESCRITURAS\PROMESAS\ROSA CORTES RUBINA A CINTIHA ROJAS RIVERA.doc", "Abrir Documento")</f>
        <v>0</v>
      </c>
      <c r="D19471" t="s">
        <v>23500</v>
      </c>
      <c r="E19471" t="s">
        <v>41946</v>
      </c>
    </row>
    <row r="19472" spans="1:5">
      <c r="A19472" t="s">
        <v>6</v>
      </c>
      <c r="B19472" t="s">
        <v>19477</v>
      </c>
      <c r="C19472">
        <f>HYPERLINK("C:\Users\franc\OneDrive\Documentos\MALENTIN KARIME\BANCO ESTADO\2012 DEPTO ESCRITURAS fata\2012 DEPTO ESCRITURAS\PROMESAS\RAQUEL ZAMBRA CASTELLANOS.doc", "Abrir Documento")</f>
        <v>0</v>
      </c>
      <c r="D19472" t="s">
        <v>23500</v>
      </c>
      <c r="E19472" t="s">
        <v>41947</v>
      </c>
    </row>
    <row r="19473" spans="1:5">
      <c r="A19473" t="s">
        <v>6</v>
      </c>
      <c r="B19473" t="s">
        <v>19478</v>
      </c>
      <c r="C19473">
        <f>HYPERLINK("C:\Users\franc\OneDrive\Documentos\MALENTIN KARIME\BANCO ESTADO\2012 DEPTO ESCRITURAS fata\2012 DEPTO ESCRITURAS\PROMESAS\PROMESA C-V  AGUAS ZAMBRA A CA HUANA.doc", "Abrir Documento")</f>
        <v>0</v>
      </c>
      <c r="D19473" t="s">
        <v>23500</v>
      </c>
      <c r="E19473" t="s">
        <v>41948</v>
      </c>
    </row>
    <row r="19474" spans="1:5">
      <c r="A19474" t="s">
        <v>6</v>
      </c>
      <c r="B19474" t="s">
        <v>19479</v>
      </c>
      <c r="C19474">
        <f>HYPERLINK("C:\Users\franc\OneDrive\Documentos\MALENTIN KARIME\BANCO ESTADO\2012 DEPTO ESCRITURAS fata\2012 DEPTO ESCRITURAS\PROMESAS\PEDRO VEGA ROJAS A RAFAEL DIAZ.doc", "Abrir Documento")</f>
        <v>0</v>
      </c>
      <c r="D19474" t="s">
        <v>23500</v>
      </c>
      <c r="E19474" t="s">
        <v>41949</v>
      </c>
    </row>
    <row r="19475" spans="1:5">
      <c r="A19475" t="s">
        <v>6</v>
      </c>
      <c r="B19475" t="s">
        <v>19480</v>
      </c>
      <c r="C19475">
        <f>HYPERLINK("C:\Users\franc\OneDrive\Documentos\MALENTIN KARIME\BANCO ESTADO\2012 DEPTO ESCRITURAS fata\2012 DEPTO ESCRITURAS\PROMESAS\PEDRO PIÑONES ANTIQUERA A PEDRO VEGA.doc", "Abrir Documento")</f>
        <v>0</v>
      </c>
      <c r="D19475" t="s">
        <v>23500</v>
      </c>
      <c r="E19475" t="s">
        <v>41950</v>
      </c>
    </row>
    <row r="19476" spans="1:5">
      <c r="A19476" t="s">
        <v>6</v>
      </c>
      <c r="B19476" t="s">
        <v>19481</v>
      </c>
      <c r="C19476">
        <f>HYPERLINK("C:\Users\franc\OneDrive\Documentos\MALENTIN KARIME\BANCO ESTADO\2012 DEPTO ESCRITURAS fata\2012 DEPTO ESCRITURAS\PROMESAS\PALMENIA MAYA A LUPERFINA PLAZA Minuta Valeska.doc", "Abrir Documento")</f>
        <v>0</v>
      </c>
      <c r="D19476" t="s">
        <v>23500</v>
      </c>
      <c r="E19476" t="s">
        <v>41951</v>
      </c>
    </row>
    <row r="19477" spans="1:5">
      <c r="A19477" t="s">
        <v>6</v>
      </c>
      <c r="B19477" t="s">
        <v>19482</v>
      </c>
      <c r="C19477">
        <f>HYPERLINK("C:\Users\franc\OneDrive\Documentos\MALENTIN KARIME\BANCO ESTADO\2012 DEPTO ESCRITURAS fata\2012 DEPTO ESCRITURAS\PROMESAS\PAGARÉ Alegría Araya 06 12 2013.doc", "Abrir Documento")</f>
        <v>0</v>
      </c>
      <c r="D19477" t="s">
        <v>23500</v>
      </c>
      <c r="E19477" t="s">
        <v>41952</v>
      </c>
    </row>
    <row r="19478" spans="1:5">
      <c r="A19478" t="s">
        <v>6</v>
      </c>
      <c r="B19478" t="s">
        <v>19483</v>
      </c>
      <c r="C19478">
        <f>HYPERLINK("C:\Users\franc\OneDrive\Documentos\MALENTIN KARIME\BANCO ESTADO\2012 DEPTO ESCRITURAS fata\2012 DEPTO ESCRITURAS\PROMESAS\PAGARE A PLAZO.doc", "Abrir Documento")</f>
        <v>0</v>
      </c>
      <c r="D19478" t="s">
        <v>23500</v>
      </c>
      <c r="E19478" t="s">
        <v>41953</v>
      </c>
    </row>
    <row r="19479" spans="1:5">
      <c r="A19479" t="s">
        <v>6</v>
      </c>
      <c r="B19479" t="s">
        <v>19484</v>
      </c>
      <c r="C19479">
        <f>HYPERLINK("C:\Users\franc\OneDrive\Documentos\MALENTIN KARIME\BANCO ESTADO\2012 DEPTO ESCRITURAS fata\2012 DEPTO ESCRITURAS\PROMESAS\PAGARE A LA VISTA.doc", "Abrir Documento")</f>
        <v>0</v>
      </c>
      <c r="D19479" t="s">
        <v>23500</v>
      </c>
      <c r="E19479" t="s">
        <v>41954</v>
      </c>
    </row>
    <row r="19480" spans="1:5">
      <c r="A19480" t="s">
        <v>6</v>
      </c>
      <c r="B19480" t="s">
        <v>19485</v>
      </c>
      <c r="C19480">
        <f>HYPERLINK("C:\Users\franc\OneDrive\Documentos\MALENTIN KARIME\BANCO ESTADO\2012 DEPTO ESCRITURAS fata\2012 DEPTO ESCRITURAS\PROMESAS\OLGA TORO.doc", "Abrir Documento")</f>
        <v>0</v>
      </c>
      <c r="D19480" t="s">
        <v>23500</v>
      </c>
      <c r="E19480" t="s">
        <v>41955</v>
      </c>
    </row>
    <row r="19481" spans="1:5">
      <c r="A19481" t="s">
        <v>6</v>
      </c>
      <c r="B19481" t="s">
        <v>19486</v>
      </c>
      <c r="C19481">
        <f>HYPERLINK("C:\Users\franc\OneDrive\Documentos\MALENTIN KARIME\BANCO ESTADO\2012 DEPTO ESCRITURAS fata\2012 DEPTO ESCRITURAS\PROMESAS\MOISES MIRANDA TELLO.doc", "Abrir Documento")</f>
        <v>0</v>
      </c>
      <c r="D19481" t="s">
        <v>23500</v>
      </c>
      <c r="E19481" t="s">
        <v>41956</v>
      </c>
    </row>
    <row r="19482" spans="1:5">
      <c r="A19482" t="s">
        <v>6</v>
      </c>
      <c r="B19482" t="s">
        <v>19487</v>
      </c>
      <c r="C19482">
        <f>HYPERLINK("C:\Users\franc\OneDrive\Documentos\MALENTIN KARIME\BANCO ESTADO\2012 DEPTO ESCRITURAS fata\2012 DEPTO ESCRITURAS\PROMESAS\modelo SUPLENCIA.doc", "Abrir Documento")</f>
        <v>0</v>
      </c>
      <c r="D19482" t="s">
        <v>23500</v>
      </c>
      <c r="E19482" t="s">
        <v>41957</v>
      </c>
    </row>
    <row r="19483" spans="1:5">
      <c r="A19483" t="s">
        <v>6</v>
      </c>
      <c r="B19483" t="s">
        <v>19488</v>
      </c>
      <c r="C19483">
        <f>HYPERLINK("C:\Users\franc\OneDrive\Documentos\MALENTIN KARIME\BANCO ESTADO\2012 DEPTO ESCRITURAS fata\2012 DEPTO ESCRITURAS\PROMESAS\MARIA MUÑOZ A PILAR ALEJANDRA.doc", "Abrir Documento")</f>
        <v>0</v>
      </c>
      <c r="D19483" t="s">
        <v>23500</v>
      </c>
      <c r="E19483" t="s">
        <v>41958</v>
      </c>
    </row>
    <row r="19484" spans="1:5">
      <c r="A19484" t="s">
        <v>6</v>
      </c>
      <c r="B19484" t="s">
        <v>19489</v>
      </c>
      <c r="C19484">
        <f>HYPERLINK("C:\Users\franc\OneDrive\Documentos\MALENTIN KARIME\BANCO ESTADO\2012 DEPTO ESCRITURAS fata\2012 DEPTO ESCRITURAS\PROMESAS\MARIA ISABEL GONZALEZ A JOSE MORALES MUÑOZ.doc", "Abrir Documento")</f>
        <v>0</v>
      </c>
      <c r="D19484" t="s">
        <v>23500</v>
      </c>
      <c r="E19484" t="s">
        <v>41959</v>
      </c>
    </row>
    <row r="19485" spans="1:5">
      <c r="A19485" t="s">
        <v>6</v>
      </c>
      <c r="B19485" t="s">
        <v>19490</v>
      </c>
      <c r="C19485">
        <f>HYPERLINK("C:\Users\franc\OneDrive\Documentos\MALENTIN KARIME\BANCO ESTADO\2012 DEPTO ESCRITURAS fata\2012 DEPTO ESCRITURAS\PROMESAS\LUIS ERNESTO FLORES A SAUL INOSTROZA MENDEZ.doc", "Abrir Documento")</f>
        <v>0</v>
      </c>
      <c r="D19485" t="s">
        <v>23500</v>
      </c>
      <c r="E19485" t="s">
        <v>41960</v>
      </c>
    </row>
    <row r="19486" spans="1:5">
      <c r="A19486" t="s">
        <v>6</v>
      </c>
      <c r="B19486" t="s">
        <v>19491</v>
      </c>
      <c r="C19486">
        <f>HYPERLINK("C:\Users\franc\OneDrive\Documentos\MALENTIN KARIME\BANCO ESTADO\2012 DEPTO ESCRITURAS fata\2012 DEPTO ESCRITURAS\PROMESAS\LEONARDO FERRADA CORTES.doc", "Abrir Documento")</f>
        <v>0</v>
      </c>
      <c r="D19486" t="s">
        <v>23500</v>
      </c>
      <c r="E19486" t="s">
        <v>41961</v>
      </c>
    </row>
    <row r="19487" spans="1:5">
      <c r="A19487" t="s">
        <v>6</v>
      </c>
      <c r="B19487" t="s">
        <v>19492</v>
      </c>
      <c r="C19487">
        <f>HYPERLINK("C:\Users\franc\OneDrive\Documentos\MALENTIN KARIME\BANCO ESTADO\2012 DEPTO ESCRITURAS fata\2012 DEPTO ESCRITURAS\PROMESAS\JUAN SANTELICES LUCERO A SALVADOR MAYA Noviembre.doc", "Abrir Documento")</f>
        <v>0</v>
      </c>
      <c r="D19487" t="s">
        <v>23500</v>
      </c>
      <c r="E19487" t="s">
        <v>41962</v>
      </c>
    </row>
    <row r="19488" spans="1:5">
      <c r="A19488" t="s">
        <v>6</v>
      </c>
      <c r="B19488" t="s">
        <v>19493</v>
      </c>
      <c r="C19488">
        <f>HYPERLINK("C:\Users\franc\OneDrive\Documentos\MALENTIN KARIME\BANCO ESTADO\2012 DEPTO ESCRITURAS fata\2012 DEPTO ESCRITURAS\PROMESAS\JUAN SANTELICES LUCERO A Eduardo Castillo Abril.doc", "Abrir Documento")</f>
        <v>0</v>
      </c>
      <c r="D19488" t="s">
        <v>23500</v>
      </c>
      <c r="E19488" t="s">
        <v>41963</v>
      </c>
    </row>
    <row r="19489" spans="1:5">
      <c r="A19489" t="s">
        <v>6</v>
      </c>
      <c r="B19489" t="s">
        <v>19494</v>
      </c>
      <c r="C19489">
        <f>HYPERLINK("C:\Users\franc\OneDrive\Documentos\MALENTIN KARIME\BANCO ESTADO\2012 DEPTO ESCRITURAS fata\2012 DEPTO ESCRITURAS\PROMESAS\JUAN SANTELICES Cancelacion.doc", "Abrir Documento")</f>
        <v>0</v>
      </c>
      <c r="D19489" t="s">
        <v>23500</v>
      </c>
      <c r="E19489" t="s">
        <v>41964</v>
      </c>
    </row>
    <row r="19490" spans="1:5">
      <c r="A19490" t="s">
        <v>6</v>
      </c>
      <c r="B19490" t="s">
        <v>19495</v>
      </c>
      <c r="C19490">
        <f>HYPERLINK("C:\Users\franc\OneDrive\Documentos\MALENTIN KARIME\BANCO ESTADO\2012 DEPTO ESCRITURAS fata\2012 DEPTO ESCRITURAS\PROMESAS\JUAN CARVAJAL ECHEVERRÍA A MIRIAM MONARDEZ.doc", "Abrir Documento")</f>
        <v>0</v>
      </c>
      <c r="D19490" t="s">
        <v>23500</v>
      </c>
      <c r="E19490" t="s">
        <v>41965</v>
      </c>
    </row>
    <row r="19491" spans="1:5">
      <c r="A19491" t="s">
        <v>6</v>
      </c>
      <c r="B19491" t="s">
        <v>19496</v>
      </c>
      <c r="C19491">
        <f>HYPERLINK("C:\Users\franc\OneDrive\Documentos\MALENTIN KARIME\BANCO ESTADO\2012 DEPTO ESCRITURAS fata\2012 DEPTO ESCRITURAS\PROMESAS\JUAN ALBAREZ A MARCOS DIAZ.doc", "Abrir Documento")</f>
        <v>0</v>
      </c>
      <c r="D19491" t="s">
        <v>23500</v>
      </c>
      <c r="E19491" t="s">
        <v>41966</v>
      </c>
    </row>
    <row r="19492" spans="1:5">
      <c r="A19492" t="s">
        <v>6</v>
      </c>
      <c r="B19492" t="s">
        <v>19497</v>
      </c>
      <c r="C19492">
        <f>HYPERLINK("C:\Users\franc\OneDrive\Documentos\MALENTIN KARIME\BANCO ESTADO\2012 DEPTO ESCRITURAS fata\2012 DEPTO ESCRITURAS\PROMESAS\ISABEL ROJAS CARVAJAL A MERY HORTUA.doc", "Abrir Documento")</f>
        <v>0</v>
      </c>
      <c r="D19492" t="s">
        <v>23500</v>
      </c>
      <c r="E19492" t="s">
        <v>41967</v>
      </c>
    </row>
    <row r="19493" spans="1:5">
      <c r="A19493" t="s">
        <v>6</v>
      </c>
      <c r="B19493" t="s">
        <v>19498</v>
      </c>
      <c r="C19493">
        <f>HYPERLINK("C:\Users\franc\OneDrive\Documentos\MALENTIN KARIME\BANCO ESTADO\2012 DEPTO ESCRITURAS fata\2012 DEPTO ESCRITURAS\PROMESAS\IRIS ARACENA A GLADYS PEÑA Minuta Roberto Vega.doc", "Abrir Documento")</f>
        <v>0</v>
      </c>
      <c r="D19493" t="s">
        <v>23500</v>
      </c>
      <c r="E19493" t="s">
        <v>41968</v>
      </c>
    </row>
    <row r="19494" spans="1:5">
      <c r="A19494" t="s">
        <v>6</v>
      </c>
      <c r="B19494" t="s">
        <v>19499</v>
      </c>
      <c r="C19494">
        <f>HYPERLINK("C:\Users\franc\OneDrive\Documentos\MALENTIN KARIME\BANCO ESTADO\2012 DEPTO ESCRITURAS fata\2012 DEPTO ESCRITURAS\PROMESAS\HUGO VALDIVIA ARAYA A Contador Frutos Minuta.doc", "Abrir Documento")</f>
        <v>0</v>
      </c>
      <c r="D19494" t="s">
        <v>23500</v>
      </c>
      <c r="E19494" t="s">
        <v>41969</v>
      </c>
    </row>
    <row r="19495" spans="1:5">
      <c r="A19495" t="s">
        <v>6</v>
      </c>
      <c r="B19495" t="s">
        <v>19500</v>
      </c>
      <c r="C19495">
        <f>HYPERLINK("C:\Users\franc\OneDrive\Documentos\MALENTIN KARIME\BANCO ESTADO\2012 DEPTO ESCRITURAS fata\2012 DEPTO ESCRITURAS\PROMESAS\HORACIO DEL ROSARIO LOPEZ  A Juan Santelices.doc", "Abrir Documento")</f>
        <v>0</v>
      </c>
      <c r="D19495" t="s">
        <v>23500</v>
      </c>
      <c r="E19495" t="s">
        <v>41970</v>
      </c>
    </row>
    <row r="19496" spans="1:5">
      <c r="A19496" t="s">
        <v>6</v>
      </c>
      <c r="B19496" t="s">
        <v>19501</v>
      </c>
      <c r="C19496">
        <f>HYPERLINK("C:\Users\franc\OneDrive\Documentos\MALENTIN KARIME\BANCO ESTADO\2012 DEPTO ESCRITURAS fata\2012 DEPTO ESCRITURAS\PROMESAS\HORACIO DEL ROSARIO LOPEZ  A Juan Santelices II.doc", "Abrir Documento")</f>
        <v>0</v>
      </c>
      <c r="D19496" t="s">
        <v>23500</v>
      </c>
      <c r="E19496" t="s">
        <v>41971</v>
      </c>
    </row>
    <row r="19497" spans="1:5">
      <c r="A19497" t="s">
        <v>6</v>
      </c>
      <c r="B19497" t="s">
        <v>19502</v>
      </c>
      <c r="C19497">
        <f>HYPERLINK("C:\Users\franc\OneDrive\Documentos\MALENTIN KARIME\BANCO ESTADO\2012 DEPTO ESCRITURAS fata\2012 DEPTO ESCRITURAS\PROMESAS\HECTOR RICARDO LOPEZ A Eric Lecaros.doc", "Abrir Documento")</f>
        <v>0</v>
      </c>
      <c r="D19497" t="s">
        <v>23500</v>
      </c>
      <c r="E19497" t="s">
        <v>41972</v>
      </c>
    </row>
    <row r="19498" spans="1:5">
      <c r="A19498" t="s">
        <v>6</v>
      </c>
      <c r="B19498" t="s">
        <v>19503</v>
      </c>
      <c r="C19498">
        <f>HYPERLINK("C:\Users\franc\OneDrive\Documentos\MALENTIN KARIME\BANCO ESTADO\2012 DEPTO ESCRITURAS fata\2012 DEPTO ESCRITURAS\PROMESAS\HECTOR GODOY A Estefanía Contreras.doc", "Abrir Documento")</f>
        <v>0</v>
      </c>
      <c r="D19498" t="s">
        <v>23500</v>
      </c>
      <c r="E19498" t="s">
        <v>41973</v>
      </c>
    </row>
    <row r="19499" spans="1:5">
      <c r="A19499" t="s">
        <v>6</v>
      </c>
      <c r="B19499" t="s">
        <v>19504</v>
      </c>
      <c r="C19499">
        <f>HYPERLINK("C:\Users\franc\OneDrive\Documentos\MALENTIN KARIME\BANCO ESTADO\2012 DEPTO ESCRITURAS fata\2012 DEPTO ESCRITURAS\PROMESAS\HANNA MISLEH A DOLLY TABILO pórroga.doc", "Abrir Documento")</f>
        <v>0</v>
      </c>
      <c r="D19499" t="s">
        <v>23500</v>
      </c>
      <c r="E19499" t="s">
        <v>41974</v>
      </c>
    </row>
    <row r="19500" spans="1:5">
      <c r="A19500" t="s">
        <v>6</v>
      </c>
      <c r="B19500" t="s">
        <v>19505</v>
      </c>
      <c r="C19500">
        <f>HYPERLINK("C:\Users\franc\OneDrive\Documentos\MALENTIN KARIME\BANCO ESTADO\2012 DEPTO ESCRITURAS fata\2012 DEPTO ESCRITURAS\PROMESAS\FRUTICOLA RIO COPIAPO A SUCESION ALEGRIA Prorroga.doc", "Abrir Documento")</f>
        <v>0</v>
      </c>
      <c r="D19500" t="s">
        <v>23500</v>
      </c>
      <c r="E19500" t="s">
        <v>41975</v>
      </c>
    </row>
    <row r="19501" spans="1:5">
      <c r="A19501" t="s">
        <v>6</v>
      </c>
      <c r="B19501" t="s">
        <v>19506</v>
      </c>
      <c r="C19501">
        <f>HYPERLINK("C:\Users\franc\OneDrive\Documentos\MALENTIN KARIME\BANCO ESTADO\2012 DEPTO ESCRITURAS fata\2012 DEPTO ESCRITURAS\PROMESAS\FRUTICOLA RIO COPIAPO A ALBERTO ALEGRIA.doc", "Abrir Documento")</f>
        <v>0</v>
      </c>
      <c r="D19501" t="s">
        <v>23500</v>
      </c>
      <c r="E19501" t="s">
        <v>41976</v>
      </c>
    </row>
    <row r="19502" spans="1:5">
      <c r="A19502" t="s">
        <v>6</v>
      </c>
      <c r="B19502" t="s">
        <v>19507</v>
      </c>
      <c r="C19502">
        <f>HYPERLINK("C:\Users\franc\OneDrive\Documentos\MALENTIN KARIME\BANCO ESTADO\2012 DEPTO ESCRITURAS fata\2012 DEPTO ESCRITURAS\PROMESAS\FERNANDO AGUILERA A MARIA MONARDEZ.doc", "Abrir Documento")</f>
        <v>0</v>
      </c>
      <c r="D19502" t="s">
        <v>23500</v>
      </c>
      <c r="E19502" t="s">
        <v>41977</v>
      </c>
    </row>
    <row r="19503" spans="1:5">
      <c r="A19503" t="s">
        <v>6</v>
      </c>
      <c r="B19503" t="s">
        <v>19508</v>
      </c>
      <c r="C19503">
        <f>HYPERLINK("C:\Users\franc\OneDrive\Documentos\MALENTIN KARIME\BANCO ESTADO\2012 DEPTO ESCRITURAS fata\2012 DEPTO ESCRITURAS\PROMESAS\FELIX SORIA A Carlos Sarras.doc", "Abrir Documento")</f>
        <v>0</v>
      </c>
      <c r="D19503" t="s">
        <v>23500</v>
      </c>
      <c r="E19503" t="s">
        <v>41978</v>
      </c>
    </row>
    <row r="19504" spans="1:5">
      <c r="A19504" t="s">
        <v>6</v>
      </c>
      <c r="B19504" t="s">
        <v>19509</v>
      </c>
      <c r="C19504">
        <f>HYPERLINK("C:\Users\franc\OneDrive\Documentos\MALENTIN KARIME\BANCO ESTADO\2012 DEPTO ESCRITURAS fata\2012 DEPTO ESCRITURAS\PROMESAS\EDMUNDO ORTIZ A FERMIN QUISPE Minuta MIsabel Maluenda.doc", "Abrir Documento")</f>
        <v>0</v>
      </c>
      <c r="D19504" t="s">
        <v>23500</v>
      </c>
      <c r="E19504" t="s">
        <v>41979</v>
      </c>
    </row>
    <row r="19505" spans="1:5">
      <c r="A19505" t="s">
        <v>6</v>
      </c>
      <c r="B19505" t="s">
        <v>19510</v>
      </c>
      <c r="C19505">
        <f>HYPERLINK("C:\Users\franc\OneDrive\Documentos\MALENTIN KARIME\BANCO ESTADO\2012 DEPTO ESCRITURAS fata\2012 DEPTO ESCRITURAS\PROMESAS\DORALIZA AGUILERA A Jose Valenzuela.doc", "Abrir Documento")</f>
        <v>0</v>
      </c>
      <c r="D19505" t="s">
        <v>23500</v>
      </c>
      <c r="E19505" t="s">
        <v>41980</v>
      </c>
    </row>
    <row r="19506" spans="1:5">
      <c r="A19506" t="s">
        <v>6</v>
      </c>
      <c r="B19506" t="s">
        <v>19511</v>
      </c>
      <c r="C19506">
        <f>HYPERLINK("C:\Users\franc\OneDrive\Documentos\MALENTIN KARIME\BANCO ESTADO\2012 DEPTO ESCRITURAS fata\2012 DEPTO ESCRITURAS\PROMESAS\CAROLYN  GONGORA NAVARRETE A ALEJANDRA CASTAÑEDA Clemente Fuentealba.doc", "Abrir Documento")</f>
        <v>0</v>
      </c>
      <c r="D19506" t="s">
        <v>23500</v>
      </c>
      <c r="E19506" t="s">
        <v>41981</v>
      </c>
    </row>
    <row r="19507" spans="1:5">
      <c r="A19507" t="s">
        <v>6</v>
      </c>
      <c r="B19507" t="s">
        <v>19512</v>
      </c>
      <c r="C19507">
        <f>HYPERLINK("C:\Users\franc\OneDrive\Documentos\MALENTIN KARIME\BANCO ESTADO\2012 DEPTO ESCRITURAS fata\2012 DEPTO ESCRITURAS\PROMESAS\CARLOS CARVAJAL RODRIGUEZ.doc", "Abrir Documento")</f>
        <v>0</v>
      </c>
      <c r="D19507" t="s">
        <v>23500</v>
      </c>
      <c r="E19507" t="s">
        <v>41982</v>
      </c>
    </row>
    <row r="19508" spans="1:5">
      <c r="A19508" t="s">
        <v>6</v>
      </c>
      <c r="B19508" t="s">
        <v>19513</v>
      </c>
      <c r="C19508">
        <f>HYPERLINK("C:\Users\franc\OneDrive\Documentos\MALENTIN KARIME\BANCO ESTADO\2012 DEPTO ESCRITURAS fata\2012 DEPTO ESCRITURAS\PROMESAS\CARLOS CARVAJAL RODRIGUEZ a VIRGINIA JINEZ 42.doc", "Abrir Documento")</f>
        <v>0</v>
      </c>
      <c r="D19508" t="s">
        <v>23500</v>
      </c>
      <c r="E19508" t="s">
        <v>41983</v>
      </c>
    </row>
    <row r="19509" spans="1:5">
      <c r="A19509" t="s">
        <v>6</v>
      </c>
      <c r="B19509" t="s">
        <v>19514</v>
      </c>
      <c r="C19509">
        <f>HYPERLINK("C:\Users\franc\OneDrive\Documentos\MALENTIN KARIME\BANCO ESTADO\2012 DEPTO ESCRITURAS fata\2012 DEPTO ESCRITURAS\PROMESAS\CARLOS CARVAJAL RODRIGUEZ a SAIDA MUNDACA RIVERA 35.doc", "Abrir Documento")</f>
        <v>0</v>
      </c>
      <c r="D19509" t="s">
        <v>23500</v>
      </c>
      <c r="E19509" t="s">
        <v>41984</v>
      </c>
    </row>
    <row r="19510" spans="1:5">
      <c r="A19510" t="s">
        <v>6</v>
      </c>
      <c r="B19510" t="s">
        <v>19515</v>
      </c>
      <c r="C19510">
        <f>HYPERLINK("C:\Users\franc\OneDrive\Documentos\MALENTIN KARIME\BANCO ESTADO\2012 DEPTO ESCRITURAS fata\2012 DEPTO ESCRITURAS\PROMESAS\CARLOS CARVAJAL RODRIGUEZ a MARIA SALINAS 17.doc", "Abrir Documento")</f>
        <v>0</v>
      </c>
      <c r="D19510" t="s">
        <v>23500</v>
      </c>
      <c r="E19510" t="s">
        <v>41985</v>
      </c>
    </row>
    <row r="19511" spans="1:5">
      <c r="A19511" t="s">
        <v>6</v>
      </c>
      <c r="B19511" t="s">
        <v>19516</v>
      </c>
      <c r="C19511">
        <f>HYPERLINK("C:\Users\franc\OneDrive\Documentos\MALENTIN KARIME\BANCO ESTADO\2012 DEPTO ESCRITURAS fata\2012 DEPTO ESCRITURAS\PROMESAS\CARLOS CARVAJAL RODRIGUEZ a MARIA SALINAS  Y OTRA 16.doc", "Abrir Documento")</f>
        <v>0</v>
      </c>
      <c r="D19511" t="s">
        <v>23500</v>
      </c>
      <c r="E19511" t="s">
        <v>41986</v>
      </c>
    </row>
    <row r="19512" spans="1:5">
      <c r="A19512" t="s">
        <v>6</v>
      </c>
      <c r="B19512" t="s">
        <v>19517</v>
      </c>
      <c r="C19512">
        <f>HYPERLINK("C:\Users\franc\OneDrive\Documentos\MALENTIN KARIME\BANCO ESTADO\2012 DEPTO ESCRITURAS fata\2012 DEPTO ESCRITURAS\PROMESAS\CARLOS CARVAJAL RODRIGUEZ A Luis Veliz Salgado 18 B Nueva modelo.doc", "Abrir Documento")</f>
        <v>0</v>
      </c>
      <c r="D19512" t="s">
        <v>23500</v>
      </c>
      <c r="E19512" t="s">
        <v>41987</v>
      </c>
    </row>
    <row r="19513" spans="1:5">
      <c r="A19513" t="s">
        <v>6</v>
      </c>
      <c r="B19513" t="s">
        <v>19518</v>
      </c>
      <c r="C19513">
        <f>HYPERLINK("C:\Users\franc\OneDrive\Documentos\MALENTIN KARIME\BANCO ESTADO\2012 DEPTO ESCRITURAS fata\2012 DEPTO ESCRITURAS\PROMESAS\CARLOS CARVAJAL RODRIGUEZ a LORENA RAMIREZ 18 d.doc", "Abrir Documento")</f>
        <v>0</v>
      </c>
      <c r="D19513" t="s">
        <v>23500</v>
      </c>
      <c r="E19513" t="s">
        <v>41988</v>
      </c>
    </row>
    <row r="19514" spans="1:5">
      <c r="A19514" t="s">
        <v>6</v>
      </c>
      <c r="B19514" t="s">
        <v>19519</v>
      </c>
      <c r="C19514">
        <f>HYPERLINK("C:\Users\franc\OneDrive\Documentos\MALENTIN KARIME\BANCO ESTADO\2012 DEPTO ESCRITURAS fata\2012 DEPTO ESCRITURAS\PROMESAS\CARLOS CARVAJAL RODRIGUEZ A Iribando Cortés y Otros.doc", "Abrir Documento")</f>
        <v>0</v>
      </c>
      <c r="D19514" t="s">
        <v>23500</v>
      </c>
      <c r="E19514" t="s">
        <v>41989</v>
      </c>
    </row>
    <row r="19515" spans="1:5">
      <c r="A19515" t="s">
        <v>6</v>
      </c>
      <c r="B19515" t="s">
        <v>19520</v>
      </c>
      <c r="C19515">
        <f>HYPERLINK("C:\Users\franc\OneDrive\Documentos\MALENTIN KARIME\BANCO ESTADO\2012 DEPTO ESCRITURAS fata\2012 DEPTO ESCRITURAS\PROMESAS\CARLOS CARVAJAL RODRIGUEZ a GUSTAVO GONZALEZ.doc", "Abrir Documento")</f>
        <v>0</v>
      </c>
      <c r="D19515" t="s">
        <v>23500</v>
      </c>
      <c r="E19515" t="s">
        <v>41990</v>
      </c>
    </row>
    <row r="19516" spans="1:5">
      <c r="A19516" t="s">
        <v>6</v>
      </c>
      <c r="B19516" t="s">
        <v>19521</v>
      </c>
      <c r="C19516">
        <f>HYPERLINK("C:\Users\franc\OneDrive\Documentos\MALENTIN KARIME\BANCO ESTADO\2012 DEPTO ESCRITURAS fata\2012 DEPTO ESCRITURAS\PROMESAS\CARLOS CARVAJAL RODRIGUEZ a DANIEL PAUVIF Y OTRO L18F.doc", "Abrir Documento")</f>
        <v>0</v>
      </c>
      <c r="D19516" t="s">
        <v>23500</v>
      </c>
      <c r="E19516" t="s">
        <v>41991</v>
      </c>
    </row>
    <row r="19517" spans="1:5">
      <c r="A19517" t="s">
        <v>6</v>
      </c>
      <c r="B19517" t="s">
        <v>19522</v>
      </c>
      <c r="C19517">
        <f>HYPERLINK("C:\Users\franc\OneDrive\Documentos\MALENTIN KARIME\BANCO ESTADO\2012 DEPTO ESCRITURAS fata\2012 DEPTO ESCRITURAS\PROMESAS\CARLOS CARVAJAL RODRIGUEZ a Cleopatra Meneses.doc", "Abrir Documento")</f>
        <v>0</v>
      </c>
      <c r="D19517" t="s">
        <v>23500</v>
      </c>
      <c r="E19517" t="s">
        <v>41992</v>
      </c>
    </row>
    <row r="19518" spans="1:5">
      <c r="A19518" t="s">
        <v>6</v>
      </c>
      <c r="B19518" t="s">
        <v>19523</v>
      </c>
      <c r="C19518">
        <f>HYPERLINK("C:\Users\franc\OneDrive\Documentos\MALENTIN KARIME\BANCO ESTADO\2012 DEPTO ESCRITURAS fata\2012 DEPTO ESCRITURAS\PROMESAS\CARLOS CARVAJAL RODRIGUEZ a Carmen Araya Pinto.doc", "Abrir Documento")</f>
        <v>0</v>
      </c>
      <c r="D19518" t="s">
        <v>23500</v>
      </c>
      <c r="E19518" t="s">
        <v>41993</v>
      </c>
    </row>
    <row r="19519" spans="1:5">
      <c r="A19519" t="s">
        <v>6</v>
      </c>
      <c r="B19519" t="s">
        <v>19524</v>
      </c>
      <c r="C19519">
        <f>HYPERLINK("C:\Users\franc\OneDrive\Documentos\MALENTIN KARIME\BANCO ESTADO\2012 DEPTO ESCRITURAS fata\2012 DEPTO ESCRITURAS\PROMESAS\CARLOS CARVAJAL RODRIGUEZ a ALFREDO SANTANDER ARENAS 27 Y 28.doc", "Abrir Documento")</f>
        <v>0</v>
      </c>
      <c r="D19519" t="s">
        <v>23500</v>
      </c>
      <c r="E19519" t="s">
        <v>41994</v>
      </c>
    </row>
    <row r="19520" spans="1:5">
      <c r="A19520" t="s">
        <v>6</v>
      </c>
      <c r="B19520" t="s">
        <v>19525</v>
      </c>
      <c r="C19520">
        <f>HYPERLINK("C:\Users\franc\OneDrive\Documentos\MALENTIN KARIME\BANCO ESTADO\2012 DEPTO ESCRITURAS fata\2012 DEPTO ESCRITURAS\PROMESAS\CARLOS CARVAJAL RODRIGUEZ 24.doc", "Abrir Documento")</f>
        <v>0</v>
      </c>
      <c r="D19520" t="s">
        <v>23500</v>
      </c>
      <c r="E19520" t="s">
        <v>41995</v>
      </c>
    </row>
    <row r="19521" spans="1:5">
      <c r="A19521" t="s">
        <v>6</v>
      </c>
      <c r="B19521" t="s">
        <v>19526</v>
      </c>
      <c r="C19521">
        <f>HYPERLINK("C:\Users\franc\OneDrive\Documentos\MALENTIN KARIME\BANCO ESTADO\2012 DEPTO ESCRITURAS fata\2012 DEPTO ESCRITURAS\PROMESAS\CARLOS CARVAJAL RODRIGUEZ 18 B 5 y rescliacion.doc", "Abrir Documento")</f>
        <v>0</v>
      </c>
      <c r="D19521" t="s">
        <v>23500</v>
      </c>
      <c r="E19521" t="s">
        <v>41996</v>
      </c>
    </row>
    <row r="19522" spans="1:5">
      <c r="A19522" t="s">
        <v>6</v>
      </c>
      <c r="B19522" t="s">
        <v>19527</v>
      </c>
      <c r="C19522">
        <f>HYPERLINK("C:\Users\franc\OneDrive\Documentos\MALENTIN KARIME\BANCO ESTADO\2012 DEPTO ESCRITURAS fata\2012 DEPTO ESCRITURAS\PROMESAS\CARLOS CARVAJAL RODRIGUEZ 18 B 3.doc", "Abrir Documento")</f>
        <v>0</v>
      </c>
      <c r="D19522" t="s">
        <v>23500</v>
      </c>
      <c r="E19522" t="s">
        <v>41997</v>
      </c>
    </row>
    <row r="19523" spans="1:5">
      <c r="A19523" t="s">
        <v>6</v>
      </c>
      <c r="B19523" t="s">
        <v>19528</v>
      </c>
      <c r="C19523">
        <f>HYPERLINK("C:\Users\franc\OneDrive\Documentos\MALENTIN KARIME\BANCO ESTADO\2012 DEPTO ESCRITURAS fata\2012 DEPTO ESCRITURAS\PROMESAS\CARLOS CARVAJAL RODRIGUEZ 13.doc", "Abrir Documento")</f>
        <v>0</v>
      </c>
      <c r="D19523" t="s">
        <v>23500</v>
      </c>
      <c r="E19523" t="s">
        <v>41998</v>
      </c>
    </row>
    <row r="19524" spans="1:5">
      <c r="A19524" t="s">
        <v>6</v>
      </c>
      <c r="B19524" t="s">
        <v>19529</v>
      </c>
      <c r="C19524">
        <f>HYPERLINK("C:\Users\franc\OneDrive\Documentos\MALENTIN KARIME\BANCO ESTADO\2012 DEPTO ESCRITURAS fata\2012 DEPTO ESCRITURAS\PROMESAS\BERNARDO GUZMAN A GABRIEL ORELLANA.doc", "Abrir Documento")</f>
        <v>0</v>
      </c>
      <c r="D19524" t="s">
        <v>23500</v>
      </c>
      <c r="E19524" t="s">
        <v>41999</v>
      </c>
    </row>
    <row r="19525" spans="1:5">
      <c r="A19525" t="s">
        <v>6</v>
      </c>
      <c r="B19525" t="s">
        <v>19530</v>
      </c>
      <c r="C19525">
        <f>HYPERLINK("C:\Users\franc\OneDrive\Documentos\MALENTIN KARIME\BANCO ESTADO\2012 DEPTO ESCRITURAS fata\2012 DEPTO ESCRITURAS\PROMESAS\ALAMIRO ZUÑIGA PIZARRO.doc", "Abrir Documento")</f>
        <v>0</v>
      </c>
      <c r="D19525" t="s">
        <v>23500</v>
      </c>
      <c r="E19525" t="s">
        <v>42000</v>
      </c>
    </row>
    <row r="19526" spans="1:5">
      <c r="A19526" t="s">
        <v>6</v>
      </c>
      <c r="B19526" t="s">
        <v>19531</v>
      </c>
      <c r="C19526">
        <f>HYPERLINK("C:\Users\franc\OneDrive\Documentos\MALENTIN KARIME\BANCO ESTADO\2012 DEPTO ESCRITURAS fata\2012 DEPTO ESCRITURAS\pendientes\CESION DE DERECHOS HEREDITARIO Willson Pereira.doc", "Abrir Documento")</f>
        <v>0</v>
      </c>
      <c r="D19526" t="s">
        <v>23500</v>
      </c>
      <c r="E19526" t="s">
        <v>42001</v>
      </c>
    </row>
    <row r="19527" spans="1:5">
      <c r="A19527" t="s">
        <v>6</v>
      </c>
      <c r="B19527" t="s">
        <v>19532</v>
      </c>
      <c r="C19527">
        <f>HYPERLINK("C:\Users\franc\OneDrive\Documentos\MALENTIN KARIME\BANCO ESTADO\2012 DEPTO ESCRITURAS fata\2012 DEPTO ESCRITURAS\pendientes\CARMEN JORQUERA BUGUEÑO A Waldo Ledezma cony administrador tierra y agua.doc", "Abrir Documento")</f>
        <v>0</v>
      </c>
      <c r="D19527" t="s">
        <v>23500</v>
      </c>
      <c r="E19527" t="s">
        <v>42002</v>
      </c>
    </row>
    <row r="19528" spans="1:5">
      <c r="A19528" t="s">
        <v>6</v>
      </c>
      <c r="B19528" t="s">
        <v>19533</v>
      </c>
      <c r="C19528">
        <f>HYPERLINK("C:\Users\franc\OneDrive\Documentos\MALENTIN KARIME\BANCO ESTADO\2012 DEPTO ESCRITURAS fata\2012 DEPTO ESCRITURAS\pendientes\ANIVIEN  MANUFACTURA.doc", "Abrir Documento")</f>
        <v>0</v>
      </c>
      <c r="D19528" t="s">
        <v>23500</v>
      </c>
      <c r="E19528" t="s">
        <v>42003</v>
      </c>
    </row>
    <row r="19529" spans="1:5">
      <c r="A19529" t="s">
        <v>6</v>
      </c>
      <c r="B19529" t="s">
        <v>19534</v>
      </c>
      <c r="C19529">
        <f>HYPERLINK("C:\Users\franc\OneDrive\Documentos\MALENTIN KARIME\BANCO ESTADO\2012 DEPTO ESCRITURAS fata\2012 DEPTO ESCRITURAS\PATRICIO CASTRO\SUCESION MIRANDA A ROBERTO VEGA.doc", "Abrir Documento")</f>
        <v>0</v>
      </c>
      <c r="D19529" t="s">
        <v>23500</v>
      </c>
      <c r="E19529" t="s">
        <v>42004</v>
      </c>
    </row>
    <row r="19530" spans="1:5">
      <c r="A19530" t="s">
        <v>6</v>
      </c>
      <c r="B19530" t="s">
        <v>19535</v>
      </c>
      <c r="C19530">
        <f>HYPERLINK("C:\Users\franc\OneDrive\Documentos\MALENTIN KARIME\BANCO ESTADO\2012 DEPTO ESCRITURAS fata\2012 DEPTO ESCRITURAS\PATRICIO CASTRO\PAGARE A PLAZO_Novoa.doc", "Abrir Documento")</f>
        <v>0</v>
      </c>
      <c r="D19530" t="s">
        <v>23500</v>
      </c>
      <c r="E19530" t="s">
        <v>42005</v>
      </c>
    </row>
    <row r="19531" spans="1:5">
      <c r="A19531" t="s">
        <v>6</v>
      </c>
      <c r="B19531" t="s">
        <v>19536</v>
      </c>
      <c r="C19531">
        <f>HYPERLINK("C:\Users\franc\OneDrive\Documentos\MALENTIN KARIME\BANCO ESTADO\2012 DEPTO ESCRITURAS fata\2012 DEPTO ESCRITURAS\PATRICIA ALFARO\WALTER Y Rosa Gonzalez Liquidacion.doc", "Abrir Documento")</f>
        <v>0</v>
      </c>
      <c r="D19531" t="s">
        <v>23500</v>
      </c>
      <c r="E19531" t="s">
        <v>42006</v>
      </c>
    </row>
    <row r="19532" spans="1:5">
      <c r="A19532" t="s">
        <v>6</v>
      </c>
      <c r="B19532" t="s">
        <v>19537</v>
      </c>
      <c r="C19532">
        <f>HYPERLINK("C:\Users\franc\OneDrive\Documentos\MALENTIN KARIME\BANCO ESTADO\2012 DEPTO ESCRITURAS fata\2012 DEPTO ESCRITURAS\PATRICIA ALFARO\TERCER JUZGADO A CARMEN CONTRERAS adjudicación_carmen contreras.doc", "Abrir Documento")</f>
        <v>0</v>
      </c>
      <c r="D19532" t="s">
        <v>23500</v>
      </c>
      <c r="E19532" t="s">
        <v>42007</v>
      </c>
    </row>
    <row r="19533" spans="1:5">
      <c r="A19533" t="s">
        <v>6</v>
      </c>
      <c r="B19533" t="s">
        <v>19538</v>
      </c>
      <c r="C19533">
        <f>HYPERLINK("C:\Users\franc\OneDrive\Documentos\MALENTIN KARIME\BANCO ESTADO\2012 DEPTO ESCRITURAS fata\2012 DEPTO ESCRITURAS\PATRICIA ALFARO\Subdivisión _compraventa_María Elorza.doc", "Abrir Documento")</f>
        <v>0</v>
      </c>
      <c r="D19533" t="s">
        <v>23500</v>
      </c>
      <c r="E19533" t="s">
        <v>42008</v>
      </c>
    </row>
    <row r="19534" spans="1:5">
      <c r="A19534" t="s">
        <v>6</v>
      </c>
      <c r="B19534" t="s">
        <v>19539</v>
      </c>
      <c r="C19534">
        <f>HYPERLINK("C:\Users\franc\OneDrive\Documentos\MALENTIN KARIME\BANCO ESTADO\2012 DEPTO ESCRITURAS fata\2012 DEPTO ESCRITURAS\PATRICIA ALFARO\promesa luco gonzalez Promesa.doc", "Abrir Documento")</f>
        <v>0</v>
      </c>
      <c r="D19534" t="s">
        <v>23500</v>
      </c>
      <c r="E19534" t="s">
        <v>42009</v>
      </c>
    </row>
    <row r="19535" spans="1:5">
      <c r="A19535" t="s">
        <v>6</v>
      </c>
      <c r="B19535" t="s">
        <v>19540</v>
      </c>
      <c r="C19535">
        <f>HYPERLINK("C:\Users\franc\OneDrive\Documentos\MALENTIN KARIME\BANCO ESTADO\2012 DEPTO ESCRITURAS fata\2012 DEPTO ESCRITURAS\PATRICIA ALFARO\PATRICIA ALFARO Promesa.doc", "Abrir Documento")</f>
        <v>0</v>
      </c>
      <c r="D19535" t="s">
        <v>23500</v>
      </c>
      <c r="E19535" t="s">
        <v>42010</v>
      </c>
    </row>
    <row r="19536" spans="1:5">
      <c r="A19536" t="s">
        <v>6</v>
      </c>
      <c r="B19536" t="s">
        <v>19541</v>
      </c>
      <c r="C19536">
        <f>HYPERLINK("C:\Users\franc\OneDrive\Documentos\MALENTIN KARIME\BANCO ESTADO\2012 DEPTO ESCRITURAS fata\2012 DEPTO ESCRITURAS\PATRICIA ALFARO\PASCUAL CONTRERAS A Cesar Contreras cvta..doc", "Abrir Documento")</f>
        <v>0</v>
      </c>
      <c r="D19536" t="s">
        <v>23500</v>
      </c>
      <c r="E19536" t="s">
        <v>42011</v>
      </c>
    </row>
    <row r="19537" spans="1:5">
      <c r="A19537" t="s">
        <v>6</v>
      </c>
      <c r="B19537" t="s">
        <v>19542</v>
      </c>
      <c r="C19537">
        <f>HYPERLINK("C:\Users\franc\OneDrive\Documentos\MALENTIN KARIME\BANCO ESTADO\2012 DEPTO ESCRITURAS fata\2012 DEPTO ESCRITURAS\PATRICIA ALFARO\PAOLA CORTES BUGUEÑO Y Horacio Andrade Liquidacion.doc", "Abrir Documento")</f>
        <v>0</v>
      </c>
      <c r="D19537" t="s">
        <v>23500</v>
      </c>
      <c r="E19537" t="s">
        <v>42012</v>
      </c>
    </row>
    <row r="19538" spans="1:5">
      <c r="A19538" t="s">
        <v>6</v>
      </c>
      <c r="B19538" t="s">
        <v>19543</v>
      </c>
      <c r="C19538">
        <f>HYPERLINK("C:\Users\franc\OneDrive\Documentos\MALENTIN KARIME\BANCO ESTADO\2012 DEPTO ESCRITURAS fata\2012 DEPTO ESCRITURAS\PATRICIA ALFARO\PAGARE A PLAZO_Elorza Vergara.doc", "Abrir Documento")</f>
        <v>0</v>
      </c>
      <c r="D19538" t="s">
        <v>23500</v>
      </c>
      <c r="E19538" t="s">
        <v>42013</v>
      </c>
    </row>
    <row r="19539" spans="1:5">
      <c r="A19539" t="s">
        <v>6</v>
      </c>
      <c r="B19539" t="s">
        <v>19544</v>
      </c>
      <c r="C19539">
        <f>HYPERLINK("C:\Users\franc\OneDrive\Documentos\MALENTIN KARIME\BANCO ESTADO\2012 DEPTO ESCRITURAS fata\2012 DEPTO ESCRITURAS\PATRICIA ALFARO\PAGARE A PLAZO_Elorza Vergara VISTA.doc", "Abrir Documento")</f>
        <v>0</v>
      </c>
      <c r="D19539" t="s">
        <v>23500</v>
      </c>
      <c r="E19539" t="s">
        <v>42014</v>
      </c>
    </row>
    <row r="19540" spans="1:5">
      <c r="A19540" t="s">
        <v>6</v>
      </c>
      <c r="B19540" t="s">
        <v>19545</v>
      </c>
      <c r="C19540">
        <f>HYPERLINK("C:\Users\franc\OneDrive\Documentos\MALENTIN KARIME\BANCO ESTADO\2012 DEPTO ESCRITURAS fata\2012 DEPTO ESCRITURAS\PATRICIA ALFARO\OSCAR ROJAS ORDENES A SOC. AGRICOLA SAN MARCOS Term Arrenda.doc", "Abrir Documento")</f>
        <v>0</v>
      </c>
      <c r="D19540" t="s">
        <v>23500</v>
      </c>
      <c r="E19540" t="s">
        <v>42015</v>
      </c>
    </row>
    <row r="19541" spans="1:5">
      <c r="A19541" t="s">
        <v>6</v>
      </c>
      <c r="B19541" t="s">
        <v>19546</v>
      </c>
      <c r="C19541">
        <f>HYPERLINK("C:\Users\franc\OneDrive\Documentos\MALENTIN KARIME\BANCO ESTADO\2012 DEPTO ESCRITURAS fata\2012 DEPTO ESCRITURAS\PATRICIA ALFARO\OSCAR ARAYA BOLADOS Agosto 13.doc", "Abrir Documento")</f>
        <v>0</v>
      </c>
      <c r="D19541" t="s">
        <v>23500</v>
      </c>
      <c r="E19541" t="s">
        <v>42016</v>
      </c>
    </row>
    <row r="19542" spans="1:5">
      <c r="A19542" t="s">
        <v>6</v>
      </c>
      <c r="B19542" t="s">
        <v>19547</v>
      </c>
      <c r="C19542">
        <f>HYPERLINK("C:\Users\franc\OneDrive\Documentos\MALENTIN KARIME\BANCO ESTADO\2012 DEPTO ESCRITURAS fata\2012 DEPTO ESCRITURAS\PATRICIA ALFARO\MARIA GEMITA NOVOA PALACIOS.doc", "Abrir Documento")</f>
        <v>0</v>
      </c>
      <c r="D19542" t="s">
        <v>23500</v>
      </c>
      <c r="E19542" t="s">
        <v>42017</v>
      </c>
    </row>
    <row r="19543" spans="1:5">
      <c r="A19543" t="s">
        <v>6</v>
      </c>
      <c r="B19543" t="s">
        <v>19548</v>
      </c>
      <c r="C19543">
        <f>HYPERLINK("C:\Users\franc\OneDrive\Documentos\MALENTIN KARIME\BANCO ESTADO\2012 DEPTO ESCRITURAS fata\2012 DEPTO ESCRITURAS\PATRICIA ALFARO\MARIA ELORZA  VERGARA Particion, Usufructo.doc", "Abrir Documento")</f>
        <v>0</v>
      </c>
      <c r="D19543" t="s">
        <v>23500</v>
      </c>
      <c r="E19543" t="s">
        <v>42018</v>
      </c>
    </row>
    <row r="19544" spans="1:5">
      <c r="A19544" t="s">
        <v>6</v>
      </c>
      <c r="B19544" t="s">
        <v>19549</v>
      </c>
      <c r="C19544">
        <f>HYPERLINK("C:\Users\franc\OneDrive\Documentos\MALENTIN KARIME\BANCO ESTADO\2012 DEPTO ESCRITURAS fata\2012 DEPTO ESCRITURAS\PATRICIA ALFARO\MARIA ARAYA ELORZ A JUAN CARLOS JULIA Promesa Dic.13.doc", "Abrir Documento")</f>
        <v>0</v>
      </c>
      <c r="D19544" t="s">
        <v>23500</v>
      </c>
      <c r="E19544" t="s">
        <v>42019</v>
      </c>
    </row>
    <row r="19545" spans="1:5">
      <c r="A19545" t="s">
        <v>6</v>
      </c>
      <c r="B19545" t="s">
        <v>19550</v>
      </c>
      <c r="C19545">
        <f>HYPERLINK("C:\Users\franc\OneDrive\Documentos\MALENTIN KARIME\BANCO ESTADO\2012 DEPTO ESCRITURAS fata\2012 DEPTO ESCRITURAS\PATRICIA ALFARO\FRANCISCO IBACACHE A BONIFACIO IBACACHE mandato.doc", "Abrir Documento")</f>
        <v>0</v>
      </c>
      <c r="D19545" t="s">
        <v>23500</v>
      </c>
      <c r="E19545" t="s">
        <v>42020</v>
      </c>
    </row>
    <row r="19546" spans="1:5">
      <c r="A19546" t="s">
        <v>6</v>
      </c>
      <c r="B19546" t="s">
        <v>19551</v>
      </c>
      <c r="C19546">
        <f>HYPERLINK("C:\Users\franc\OneDrive\Documentos\MALENTIN KARIME\BANCO ESTADO\2012 DEPTO ESCRITURAS fata\2012 DEPTO ESCRITURAS\PATRICIA ALFARO\FRANCISCO IBACACHE A BONIFACIO IBACACHE mandato ii.doc", "Abrir Documento")</f>
        <v>0</v>
      </c>
      <c r="D19546" t="s">
        <v>23500</v>
      </c>
      <c r="E19546" t="s">
        <v>42021</v>
      </c>
    </row>
    <row r="19547" spans="1:5">
      <c r="A19547" t="s">
        <v>6</v>
      </c>
      <c r="B19547" t="s">
        <v>19552</v>
      </c>
      <c r="C19547">
        <f>HYPERLINK("C:\Users\franc\OneDrive\Documentos\MALENTIN KARIME\BANCO ESTADO\2012 DEPTO ESCRITURAS fata\2012 DEPTO ESCRITURAS\PATRICIA ALFARO\FLORES Y CHAMBI Modif Sociedad.doc", "Abrir Documento")</f>
        <v>0</v>
      </c>
      <c r="D19547" t="s">
        <v>23500</v>
      </c>
      <c r="E19547" t="s">
        <v>42022</v>
      </c>
    </row>
    <row r="19548" spans="1:5">
      <c r="A19548" t="s">
        <v>6</v>
      </c>
      <c r="B19548" t="s">
        <v>19553</v>
      </c>
      <c r="C19548">
        <f>HYPERLINK("C:\Users\franc\OneDrive\Documentos\MALENTIN KARIME\BANCO ESTADO\2012 DEPTO ESCRITURAS fata\2012 DEPTO ESCRITURAS\PATRICIA ALFARO\extracto modificacion sociedad_flores y chambi.doc", "Abrir Documento")</f>
        <v>0</v>
      </c>
      <c r="D19548" t="s">
        <v>23500</v>
      </c>
      <c r="E19548" t="s">
        <v>42023</v>
      </c>
    </row>
    <row r="19549" spans="1:5">
      <c r="A19549" t="s">
        <v>6</v>
      </c>
      <c r="B19549" t="s">
        <v>19554</v>
      </c>
      <c r="C19549">
        <f>HYPERLINK("C:\Users\franc\OneDrive\Documentos\MALENTIN KARIME\BANCO ESTADO\2012 DEPTO ESCRITURAS fata\2012 DEPTO ESCRITURAS\PATRICIA ALFARO\EXTRACTO Bona Fide Ltda..doc", "Abrir Documento")</f>
        <v>0</v>
      </c>
      <c r="D19549" t="s">
        <v>23500</v>
      </c>
      <c r="E19549" t="s">
        <v>42024</v>
      </c>
    </row>
    <row r="19550" spans="1:5">
      <c r="A19550" t="s">
        <v>6</v>
      </c>
      <c r="B19550" t="s">
        <v>19555</v>
      </c>
      <c r="C19550">
        <f>HYPERLINK("C:\Users\franc\OneDrive\Documentos\MALENTIN KARIME\BANCO ESTADO\2012 DEPTO ESCRITURAS fata\2012 DEPTO ESCRITURAS\PATRICIA ALFARO\EXTRACTO AP limitada.doc", "Abrir Documento")</f>
        <v>0</v>
      </c>
      <c r="D19550" t="s">
        <v>23500</v>
      </c>
      <c r="E19550" t="s">
        <v>42025</v>
      </c>
    </row>
    <row r="19551" spans="1:5">
      <c r="A19551" t="s">
        <v>6</v>
      </c>
      <c r="B19551" t="s">
        <v>19556</v>
      </c>
      <c r="C19551">
        <f>HYPERLINK("C:\Users\franc\OneDrive\Documentos\MALENTIN KARIME\BANCO ESTADO\2012 DEPTO ESCRITURAS fata\2012 DEPTO ESCRITURAS\PATRICIA ALFARO\CLUB DEPORTIVO Union Juventud y CLUB DE RODEO D.Uso.doc", "Abrir Documento")</f>
        <v>0</v>
      </c>
      <c r="D19551" t="s">
        <v>23500</v>
      </c>
      <c r="E19551" t="s">
        <v>42026</v>
      </c>
    </row>
    <row r="19552" spans="1:5">
      <c r="A19552" t="s">
        <v>6</v>
      </c>
      <c r="B19552" t="s">
        <v>19557</v>
      </c>
      <c r="C19552">
        <f>HYPERLINK("C:\Users\franc\OneDrive\Documentos\MALENTIN KARIME\BANCO ESTADO\2012 DEPTO ESCRITURAS fata\2012 DEPTO ESCRITURAS\PATRICIA ALFARO\CESAR RIVERA ALFAREZ Mandato.doc", "Abrir Documento")</f>
        <v>0</v>
      </c>
      <c r="D19552" t="s">
        <v>23500</v>
      </c>
      <c r="E19552" t="s">
        <v>42027</v>
      </c>
    </row>
    <row r="19553" spans="1:5">
      <c r="A19553" t="s">
        <v>6</v>
      </c>
      <c r="B19553" t="s">
        <v>19558</v>
      </c>
      <c r="C19553">
        <f>HYPERLINK("C:\Users\franc\OneDrive\Documentos\MALENTIN KARIME\BANCO ESTADO\2012 DEPTO ESCRITURAS fata\2012 DEPTO ESCRITURAS\PATRICIA ALFARO\carta de instrucciones_termino contrato de arrendamiento.doc", "Abrir Documento")</f>
        <v>0</v>
      </c>
      <c r="D19553" t="s">
        <v>23500</v>
      </c>
      <c r="E19553" t="s">
        <v>42028</v>
      </c>
    </row>
    <row r="19554" spans="1:5">
      <c r="A19554" t="s">
        <v>6</v>
      </c>
      <c r="B19554" t="s">
        <v>19559</v>
      </c>
      <c r="C19554">
        <f>HYPERLINK("C:\Users\franc\OneDrive\Documentos\MALENTIN KARIME\BANCO ESTADO\2012 DEPTO ESCRITURAS fata\2012 DEPTO ESCRITURAS\PATRICIA ALFARO\BONA FIDE Disolucion.doc", "Abrir Documento")</f>
        <v>0</v>
      </c>
      <c r="D19554" t="s">
        <v>23500</v>
      </c>
      <c r="E19554" t="s">
        <v>42029</v>
      </c>
    </row>
    <row r="19555" spans="1:5">
      <c r="A19555" t="s">
        <v>6</v>
      </c>
      <c r="B19555" t="s">
        <v>19560</v>
      </c>
      <c r="C19555">
        <f>HYPERLINK("C:\Users\franc\OneDrive\Documentos\MALENTIN KARIME\BANCO ESTADO\2012 DEPTO ESCRITURAS fata\2012 DEPTO ESCRITURAS\PATRICIA ALFARO\AUDALO SOTO A Alexis Araya Sept 13.doc", "Abrir Documento")</f>
        <v>0</v>
      </c>
      <c r="D19555" t="s">
        <v>23500</v>
      </c>
      <c r="E19555" t="s">
        <v>42030</v>
      </c>
    </row>
    <row r="19556" spans="1:5">
      <c r="A19556" t="s">
        <v>6</v>
      </c>
      <c r="B19556" t="s">
        <v>19561</v>
      </c>
      <c r="C19556">
        <f>HYPERLINK("C:\Users\franc\OneDrive\Documentos\MALENTIN KARIME\BANCO ESTADO\2012 DEPTO ESCRITURAS fata\2012 DEPTO ESCRITURAS\PATRICIA ALFARO\ASIA PACIFIC INTERNATIONAL TRADING Sociedad.doc", "Abrir Documento")</f>
        <v>0</v>
      </c>
      <c r="D19556" t="s">
        <v>23500</v>
      </c>
      <c r="E19556" t="s">
        <v>42031</v>
      </c>
    </row>
    <row r="19557" spans="1:5">
      <c r="A19557" t="s">
        <v>6</v>
      </c>
      <c r="B19557" t="s">
        <v>19562</v>
      </c>
      <c r="C19557">
        <f>HYPERLINK("C:\Users\franc\OneDrive\Documentos\MALENTIN KARIME\BANCO ESTADO\2012 DEPTO ESCRITURAS fata\2012 DEPTO ESCRITURAS\PATRICIA ALFARO\ALISTAHIR MUNDCA Y ANDRES DELGADO TERMINO Medieria.doc", "Abrir Documento")</f>
        <v>0</v>
      </c>
      <c r="D19557" t="s">
        <v>23500</v>
      </c>
      <c r="E19557" t="s">
        <v>42032</v>
      </c>
    </row>
    <row r="19558" spans="1:5">
      <c r="A19558" t="s">
        <v>6</v>
      </c>
      <c r="B19558" t="s">
        <v>19563</v>
      </c>
      <c r="C19558">
        <f>HYPERLINK("C:\Users\franc\OneDrive\Documentos\MALENTIN KARIME\BANCO ESTADO\2012 DEPTO ESCRITURAS fata\2012 DEPTO ESCRITURAS\PATRICIA ALFARO\ALISTAHIR MUNDCA Y ANDRES DELGADO Medieria.doc", "Abrir Documento")</f>
        <v>0</v>
      </c>
      <c r="D19558" t="s">
        <v>23500</v>
      </c>
      <c r="E19558" t="s">
        <v>42033</v>
      </c>
    </row>
    <row r="19559" spans="1:5">
      <c r="A19559" t="s">
        <v>6</v>
      </c>
      <c r="B19559" t="s">
        <v>19564</v>
      </c>
      <c r="C19559">
        <f>HYPERLINK("C:\Users\franc\OneDrive\Documentos\MALENTIN KARIME\BANCO ESTADO\2012 DEPTO ESCRITURAS fata\2012 DEPTO ESCRITURAS\PATRICIA ALFARO\ABRAHAM GALLARDO RIVERA A ALEJANDRA NAVARRO.doc", "Abrir Documento")</f>
        <v>0</v>
      </c>
      <c r="D19559" t="s">
        <v>23500</v>
      </c>
      <c r="E19559" t="s">
        <v>42034</v>
      </c>
    </row>
    <row r="19560" spans="1:5">
      <c r="A19560" t="s">
        <v>6</v>
      </c>
      <c r="B19560" t="s">
        <v>19565</v>
      </c>
      <c r="C19560">
        <f>HYPERLINK("C:\Users\franc\OneDrive\Documentos\MALENTIN KARIME\BANCO ESTADO\2012 DEPTO ESCRITURAS fata\2012 DEPTO ESCRITURAS\PATRICIA ALFARO\ABRAHAM GALLARDO RIVERA A ALEJANDRA NAVARRO Usufructo.doc", "Abrir Documento")</f>
        <v>0</v>
      </c>
      <c r="D19560" t="s">
        <v>23500</v>
      </c>
      <c r="E19560" t="s">
        <v>42035</v>
      </c>
    </row>
    <row r="19561" spans="1:5">
      <c r="A19561" t="s">
        <v>6</v>
      </c>
      <c r="B19561" t="s">
        <v>19566</v>
      </c>
      <c r="C19561">
        <f>HYPERLINK("C:\Users\franc\OneDrive\Documentos\MALENTIN KARIME\BANCO ESTADO\2012 DEPTO ESCRITURAS fata\2012 DEPTO ESCRITURAS\PARTICION\SUCESION SEGOVIA II.doc", "Abrir Documento")</f>
        <v>0</v>
      </c>
      <c r="D19561" t="s">
        <v>23500</v>
      </c>
      <c r="E19561" t="s">
        <v>42036</v>
      </c>
    </row>
    <row r="19562" spans="1:5">
      <c r="A19562" t="s">
        <v>6</v>
      </c>
      <c r="B19562" t="s">
        <v>19567</v>
      </c>
      <c r="C19562">
        <f>HYPERLINK("C:\Users\franc\OneDrive\Documentos\MALENTIN KARIME\BANCO ESTADO\2012 DEPTO ESCRITURAS fata\2012 DEPTO ESCRITURAS\PARTICION\SUCESION Perines Alvaerz Jorge ALlende.doc", "Abrir Documento")</f>
        <v>0</v>
      </c>
      <c r="D19562" t="s">
        <v>23500</v>
      </c>
      <c r="E19562" t="s">
        <v>42037</v>
      </c>
    </row>
    <row r="19563" spans="1:5">
      <c r="A19563" t="s">
        <v>6</v>
      </c>
      <c r="B19563" t="s">
        <v>19568</v>
      </c>
      <c r="C19563">
        <f>HYPERLINK("C:\Users\franc\OneDrive\Documentos\MALENTIN KARIME\BANCO ESTADO\2012 DEPTO ESCRITURAS fata\2012 DEPTO ESCRITURAS\PARTICION\SUCESION ISABEL ESPINOSA.doc", "Abrir Documento")</f>
        <v>0</v>
      </c>
      <c r="D19563" t="s">
        <v>23500</v>
      </c>
      <c r="E19563" t="s">
        <v>42038</v>
      </c>
    </row>
    <row r="19564" spans="1:5">
      <c r="A19564" t="s">
        <v>6</v>
      </c>
      <c r="B19564" t="s">
        <v>19569</v>
      </c>
      <c r="C19564">
        <f>HYPERLINK("C:\Users\franc\OneDrive\Documentos\MALENTIN KARIME\BANCO ESTADO\2012 DEPTO ESCRITURAS fata\2012 DEPTO ESCRITURAS\PARTICION\PARTICION SUCESION HERNAN TELLO, NOTARIA.doc", "Abrir Documento")</f>
        <v>0</v>
      </c>
      <c r="D19564" t="s">
        <v>23500</v>
      </c>
      <c r="E19564" t="s">
        <v>42039</v>
      </c>
    </row>
    <row r="19565" spans="1:5">
      <c r="A19565" t="s">
        <v>6</v>
      </c>
      <c r="B19565" t="s">
        <v>19570</v>
      </c>
      <c r="C19565">
        <f>HYPERLINK("C:\Users\franc\OneDrive\Documentos\MALENTIN KARIME\BANCO ESTADO\2012 DEPTO ESCRITURAS fata\2012 DEPTO ESCRITURAS\PARTICION\EXTRACTO MINERA SAN JOAQUIN.doc", "Abrir Documento")</f>
        <v>0</v>
      </c>
      <c r="D19565" t="s">
        <v>23500</v>
      </c>
      <c r="E19565" t="s">
        <v>42040</v>
      </c>
    </row>
    <row r="19566" spans="1:5">
      <c r="A19566" t="s">
        <v>6</v>
      </c>
      <c r="B19566" t="s">
        <v>19571</v>
      </c>
      <c r="C19566">
        <f>HYPERLINK("C:\Users\franc\OneDrive\Documentos\MALENTIN KARIME\BANCO ESTADO\2012 DEPTO ESCRITURAS fata\2012 DEPTO ESCRITURAS\PARTICION\EXTRACTO INMOBILIARIA SAN JOAQUIN.doc", "Abrir Documento")</f>
        <v>0</v>
      </c>
      <c r="D19566" t="s">
        <v>23500</v>
      </c>
      <c r="E19566" t="s">
        <v>42041</v>
      </c>
    </row>
    <row r="19567" spans="1:5">
      <c r="A19567" t="s">
        <v>6</v>
      </c>
      <c r="B19567" t="s">
        <v>19572</v>
      </c>
      <c r="C19567">
        <f>HYPERLINK("C:\Users\franc\OneDrive\Documentos\MALENTIN KARIME\BANCO ESTADO\2012 DEPTO ESCRITURAS fata\2012 DEPTO ESCRITURAS\PARTICION\CERTIFICO que la escritura pública precedente.doc", "Abrir Documento")</f>
        <v>0</v>
      </c>
      <c r="D19567" t="s">
        <v>23500</v>
      </c>
      <c r="E19567" t="s">
        <v>42042</v>
      </c>
    </row>
    <row r="19568" spans="1:5">
      <c r="A19568" t="s">
        <v>6</v>
      </c>
      <c r="B19568" t="s">
        <v>19573</v>
      </c>
      <c r="C19568">
        <f>HYPERLINK("C:\Users\franc\OneDrive\Documentos\MALENTIN KARIME\BANCO ESTADO\2012 DEPTO ESCRITURAS fata\2012 DEPTO ESCRITURAS\PARTICION\ADOLFO LAY Particion.doc", "Abrir Documento")</f>
        <v>0</v>
      </c>
      <c r="D19568" t="s">
        <v>23500</v>
      </c>
      <c r="E19568" t="s">
        <v>42043</v>
      </c>
    </row>
    <row r="19569" spans="1:5">
      <c r="A19569" t="s">
        <v>6</v>
      </c>
      <c r="B19569" t="s">
        <v>19574</v>
      </c>
      <c r="C19569">
        <f>HYPERLINK("C:\Users\franc\OneDrive\Documentos\MALENTIN KARIME\BANCO ESTADO\2012 DEPTO ESCRITURAS fata\2012 DEPTO ESCRITURAS\PARTICION\ADOLFO LAY Particion Final.doc", "Abrir Documento")</f>
        <v>0</v>
      </c>
      <c r="D19569" t="s">
        <v>23500</v>
      </c>
      <c r="E19569" t="s">
        <v>42044</v>
      </c>
    </row>
    <row r="19570" spans="1:5">
      <c r="A19570" t="s">
        <v>6</v>
      </c>
      <c r="B19570" t="s">
        <v>19575</v>
      </c>
      <c r="C19570">
        <f>HYPERLINK("C:\Users\franc\OneDrive\Documentos\MALENTIN KARIME\BANCO ESTADO\2012 DEPTO ESCRITURAS fata\2012 DEPTO ESCRITURAS\PARTICION\ADOLFO LAY Particion Final Modifica.doc", "Abrir Documento")</f>
        <v>0</v>
      </c>
      <c r="D19570" t="s">
        <v>23500</v>
      </c>
      <c r="E19570" t="s">
        <v>42045</v>
      </c>
    </row>
    <row r="19571" spans="1:5">
      <c r="A19571" t="s">
        <v>6</v>
      </c>
      <c r="B19571" t="s">
        <v>19576</v>
      </c>
      <c r="C19571">
        <f>HYPERLINK("C:\Users\franc\OneDrive\Documentos\MALENTIN KARIME\BANCO ESTADO\2012 DEPTO ESCRITURAS fata\2012 DEPTO ESCRITURAS\NOTARIOS Nombramientos\VIVIANA ALFARO ULLOA.doc", "Abrir Documento")</f>
        <v>0</v>
      </c>
      <c r="D19571" t="s">
        <v>23500</v>
      </c>
      <c r="E19571" t="s">
        <v>42046</v>
      </c>
    </row>
    <row r="19572" spans="1:5">
      <c r="A19572" t="s">
        <v>6</v>
      </c>
      <c r="B19572" t="s">
        <v>19577</v>
      </c>
      <c r="C19572">
        <f>HYPERLINK("C:\Users\franc\OneDrive\Documentos\MALENTIN KARIME\BANCO ESTADO\2012 DEPTO ESCRITURAS fata\2012 DEPTO ESCRITURAS\NOTARIOS Nombramientos\MODELO NOTARIO TITULAR.doc", "Abrir Documento")</f>
        <v>0</v>
      </c>
      <c r="D19572" t="s">
        <v>23500</v>
      </c>
      <c r="E19572" t="s">
        <v>42047</v>
      </c>
    </row>
    <row r="19573" spans="1:5">
      <c r="A19573" t="s">
        <v>6</v>
      </c>
      <c r="B19573" t="s">
        <v>19578</v>
      </c>
      <c r="C19573">
        <f>HYPERLINK("C:\Users\franc\OneDrive\Documentos\MALENTIN KARIME\BANCO ESTADO\2012 DEPTO ESCRITURAS fata\2012 DEPTO ESCRITURAS\NOTARIOS Nombramientos\DECRETO PATRICIA ALFARO.doc", "Abrir Documento")</f>
        <v>0</v>
      </c>
      <c r="D19573" t="s">
        <v>23500</v>
      </c>
      <c r="E19573" t="s">
        <v>42048</v>
      </c>
    </row>
    <row r="19574" spans="1:5">
      <c r="A19574" t="s">
        <v>6</v>
      </c>
      <c r="B19574" t="s">
        <v>19579</v>
      </c>
      <c r="C19574">
        <f>HYPERLINK("C:\Users\franc\OneDrive\Documentos\MALENTIN KARIME\BANCO ESTADO\2012 DEPTO ESCRITURAS fata\2012 DEPTO ESCRITURAS\NOTARIOS Nombramientos\DECRETO MARIA INES NUÑEZ.doc", "Abrir Documento")</f>
        <v>0</v>
      </c>
      <c r="D19574" t="s">
        <v>23500</v>
      </c>
      <c r="E19574" t="s">
        <v>42049</v>
      </c>
    </row>
    <row r="19575" spans="1:5">
      <c r="A19575" t="s">
        <v>6</v>
      </c>
      <c r="B19575" t="s">
        <v>19580</v>
      </c>
      <c r="C19575">
        <f>HYPERLINK("C:\Users\franc\OneDrive\Documentos\MALENTIN KARIME\BANCO ESTADO\2012 DEPTO ESCRITURAS fata\2012 DEPTO ESCRITURAS\NOTARIOS Nombramientos\DECRETO JOYCE RALLIN.doc", "Abrir Documento")</f>
        <v>0</v>
      </c>
      <c r="D19575" t="s">
        <v>23500</v>
      </c>
      <c r="E19575" t="s">
        <v>42050</v>
      </c>
    </row>
    <row r="19576" spans="1:5">
      <c r="A19576" t="s">
        <v>6</v>
      </c>
      <c r="B19576" t="s">
        <v>19581</v>
      </c>
      <c r="C19576">
        <f>HYPERLINK("C:\Users\franc\OneDrive\Documentos\MALENTIN KARIME\BANCO ESTADO\2012 DEPTO ESCRITURAS fata\2012 DEPTO ESCRITURAS\NOTARIOS Nombramientos\DECRETO JOYCE RALLIN 2.doc", "Abrir Documento")</f>
        <v>0</v>
      </c>
      <c r="D19576" t="s">
        <v>23500</v>
      </c>
      <c r="E19576" t="s">
        <v>42051</v>
      </c>
    </row>
    <row r="19577" spans="1:5">
      <c r="A19577" t="s">
        <v>6</v>
      </c>
      <c r="B19577" t="s">
        <v>19582</v>
      </c>
      <c r="C19577">
        <f>HYPERLINK("C:\Users\franc\OneDrive\Documentos\MALENTIN KARIME\BANCO ESTADO\2012 DEPTO ESCRITURAS fata\2012 DEPTO ESCRITURAS\NOTARIOS Nombramientos\DECRETO ANDREA RODRIGUEZ.doc", "Abrir Documento")</f>
        <v>0</v>
      </c>
      <c r="D19577" t="s">
        <v>23500</v>
      </c>
      <c r="E19577" t="s">
        <v>42052</v>
      </c>
    </row>
    <row r="19578" spans="1:5">
      <c r="A19578" t="s">
        <v>6</v>
      </c>
      <c r="B19578" t="s">
        <v>19583</v>
      </c>
      <c r="C19578">
        <f>HYPERLINK("C:\Users\franc\OneDrive\Documentos\MALENTIN KARIME\BANCO ESTADO\2012 DEPTO ESCRITURAS fata\2012 DEPTO ESCRITURAS\NOTARIOS Nombramientos\DECRETO  CLAUDIO ARAYA.doc", "Abrir Documento")</f>
        <v>0</v>
      </c>
      <c r="D19578" t="s">
        <v>23500</v>
      </c>
      <c r="E19578" t="s">
        <v>42053</v>
      </c>
    </row>
    <row r="19579" spans="1:5">
      <c r="A19579" t="s">
        <v>6</v>
      </c>
      <c r="B19579" t="s">
        <v>19584</v>
      </c>
      <c r="C19579">
        <f>HYPERLINK("C:\Users\franc\OneDrive\Documentos\MALENTIN KARIME\BANCO ESTADO\2012 DEPTO ESCRITURAS fata\2012 DEPTO ESCRITURAS\mutuos\WILLIAMS ABUSLEME A GEMA LTDA..doc", "Abrir Documento")</f>
        <v>0</v>
      </c>
      <c r="D19579" t="s">
        <v>23500</v>
      </c>
      <c r="E19579" t="s">
        <v>42054</v>
      </c>
    </row>
    <row r="19580" spans="1:5">
      <c r="A19580" t="s">
        <v>6</v>
      </c>
      <c r="B19580" t="s">
        <v>19585</v>
      </c>
      <c r="C19580">
        <f>HYPERLINK("C:\Users\franc\OneDrive\Documentos\MALENTIN KARIME\BANCO ESTADO\2012 DEPTO ESCRITURAS fata\2012 DEPTO ESCRITURAS\mutuos\SERGIO ARAYA A ALEJANDRINA BOQUEZ.doc", "Abrir Documento")</f>
        <v>0</v>
      </c>
      <c r="D19580" t="s">
        <v>23500</v>
      </c>
      <c r="E19580" t="s">
        <v>42055</v>
      </c>
    </row>
    <row r="19581" spans="1:5">
      <c r="A19581" t="s">
        <v>6</v>
      </c>
      <c r="B19581" t="s">
        <v>19586</v>
      </c>
      <c r="C19581">
        <f>HYPERLINK("C:\Users\franc\OneDrive\Documentos\MALENTIN KARIME\BANCO ESTADO\2012 DEPTO ESCRITURAS fata\2012 DEPTO ESCRITURAS\mutuos\SERGIO ALVAREZ AMANTE.doc", "Abrir Documento")</f>
        <v>0</v>
      </c>
      <c r="D19581" t="s">
        <v>23500</v>
      </c>
      <c r="E19581" t="s">
        <v>42056</v>
      </c>
    </row>
    <row r="19582" spans="1:5">
      <c r="A19582" t="s">
        <v>6</v>
      </c>
      <c r="B19582" t="s">
        <v>19587</v>
      </c>
      <c r="C19582">
        <f>HYPERLINK("C:\Users\franc\OneDrive\Documentos\MALENTIN KARIME\BANCO ESTADO\2012 DEPTO ESCRITURAS fata\2012 DEPTO ESCRITURAS\mutuos\muto a plazo.doc", "Abrir Documento")</f>
        <v>0</v>
      </c>
      <c r="D19582" t="s">
        <v>23500</v>
      </c>
      <c r="E19582" t="s">
        <v>42057</v>
      </c>
    </row>
    <row r="19583" spans="1:5">
      <c r="A19583" t="s">
        <v>6</v>
      </c>
      <c r="B19583" t="s">
        <v>19588</v>
      </c>
      <c r="C19583">
        <f>HYPERLINK("C:\Users\franc\OneDrive\Documentos\MALENTIN KARIME\BANCO ESTADO\2012 DEPTO ESCRITURAS fata\2012 DEPTO ESCRITURAS\mutuos\muto a la vista.doc", "Abrir Documento")</f>
        <v>0</v>
      </c>
      <c r="D19583" t="s">
        <v>23500</v>
      </c>
      <c r="E19583" t="s">
        <v>42058</v>
      </c>
    </row>
    <row r="19584" spans="1:5">
      <c r="A19584" t="s">
        <v>6</v>
      </c>
      <c r="B19584" t="s">
        <v>19589</v>
      </c>
      <c r="C19584">
        <f>HYPERLINK("C:\Users\franc\OneDrive\Documentos\MALENTIN KARIME\BANCO ESTADO\2012 DEPTO ESCRITURAS fata\2012 DEPTO ESCRITURAS\mutuos\MARIO ARAYA VEGA.doc", "Abrir Documento")</f>
        <v>0</v>
      </c>
      <c r="D19584" t="s">
        <v>23500</v>
      </c>
      <c r="E19584" t="s">
        <v>42059</v>
      </c>
    </row>
    <row r="19585" spans="1:5">
      <c r="A19585" t="s">
        <v>6</v>
      </c>
      <c r="B19585" t="s">
        <v>19590</v>
      </c>
      <c r="C19585">
        <f>HYPERLINK("C:\Users\franc\OneDrive\Documentos\MALENTIN KARIME\BANCO ESTADO\2012 DEPTO ESCRITURAS fata\2012 DEPTO ESCRITURAS\mutuos\LUCY ASTUDILLO.doc", "Abrir Documento")</f>
        <v>0</v>
      </c>
      <c r="D19585" t="s">
        <v>23500</v>
      </c>
      <c r="E19585" t="s">
        <v>42060</v>
      </c>
    </row>
    <row r="19586" spans="1:5">
      <c r="A19586" t="s">
        <v>6</v>
      </c>
      <c r="B19586" t="s">
        <v>19591</v>
      </c>
      <c r="C19586">
        <f>HYPERLINK("C:\Users\franc\OneDrive\Documentos\MALENTIN KARIME\BANCO ESTADO\2012 DEPTO ESCRITURAS fata\2012 DEPTO ESCRITURAS\mutuos\LILIANA ALFARO LAGUNAS.doc", "Abrir Documento")</f>
        <v>0</v>
      </c>
      <c r="D19586" t="s">
        <v>23500</v>
      </c>
      <c r="E19586" t="s">
        <v>42061</v>
      </c>
    </row>
    <row r="19587" spans="1:5">
      <c r="A19587" t="s">
        <v>6</v>
      </c>
      <c r="B19587" t="s">
        <v>19592</v>
      </c>
      <c r="C19587">
        <f>HYPERLINK("C:\Users\franc\OneDrive\Documentos\MALENTIN KARIME\BANCO ESTADO\2012 DEPTO ESCRITURAS fata\2012 DEPTO ESCRITURAS\mutuos\JUAN PORTILLA ALBURQUENQUE.doc", "Abrir Documento")</f>
        <v>0</v>
      </c>
      <c r="D19587" t="s">
        <v>23500</v>
      </c>
      <c r="E19587" t="s">
        <v>42062</v>
      </c>
    </row>
    <row r="19588" spans="1:5">
      <c r="A19588" t="s">
        <v>6</v>
      </c>
      <c r="B19588" t="s">
        <v>19593</v>
      </c>
      <c r="C19588">
        <f>HYPERLINK("C:\Users\franc\OneDrive\Documentos\MALENTIN KARIME\BANCO ESTADO\2012 DEPTO ESCRITURAS fata\2012 DEPTO ESCRITURAS\mutuos\IVAN PAVLETIC A KATIA PAVLETICH.doc", "Abrir Documento")</f>
        <v>0</v>
      </c>
      <c r="D19588" t="s">
        <v>23500</v>
      </c>
      <c r="E19588" t="s">
        <v>42063</v>
      </c>
    </row>
    <row r="19589" spans="1:5">
      <c r="A19589" t="s">
        <v>6</v>
      </c>
      <c r="B19589" t="s">
        <v>19594</v>
      </c>
      <c r="C19589">
        <f>HYPERLINK("C:\Users\franc\OneDrive\Documentos\MALENTIN KARIME\BANCO ESTADO\2012 DEPTO ESCRITURAS fata\2012 DEPTO ESCRITURAS\mutuos\HERMOGENES RUBIO CHICO.doc", "Abrir Documento")</f>
        <v>0</v>
      </c>
      <c r="D19589" t="s">
        <v>23500</v>
      </c>
      <c r="E19589" t="s">
        <v>42064</v>
      </c>
    </row>
    <row r="19590" spans="1:5">
      <c r="A19590" t="s">
        <v>6</v>
      </c>
      <c r="B19590" t="s">
        <v>19595</v>
      </c>
      <c r="C19590">
        <f>HYPERLINK("C:\Users\franc\OneDrive\Documentos\MALENTIN KARIME\BANCO ESTADO\2012 DEPTO ESCRITURAS fata\2012 DEPTO ESCRITURAS\mutuos\GUILLERMO MARIN A CLEMENTINA MARIN.doc", "Abrir Documento")</f>
        <v>0</v>
      </c>
      <c r="D19590" t="s">
        <v>23500</v>
      </c>
      <c r="E19590" t="s">
        <v>42065</v>
      </c>
    </row>
    <row r="19591" spans="1:5">
      <c r="A19591" t="s">
        <v>6</v>
      </c>
      <c r="B19591" t="s">
        <v>19596</v>
      </c>
      <c r="C19591">
        <f>HYPERLINK("C:\Users\franc\OneDrive\Documentos\MALENTIN KARIME\BANCO ESTADO\2012 DEPTO ESCRITURAS fata\2012 DEPTO ESCRITURAS\mutuos\F 241.doc", "Abrir Documento")</f>
        <v>0</v>
      </c>
      <c r="D19591" t="s">
        <v>23500</v>
      </c>
      <c r="E19591" t="s">
        <v>42066</v>
      </c>
    </row>
    <row r="19592" spans="1:5">
      <c r="A19592" t="s">
        <v>6</v>
      </c>
      <c r="B19592" t="s">
        <v>19597</v>
      </c>
      <c r="C19592">
        <f>HYPERLINK("C:\Users\franc\OneDrive\Documentos\MALENTIN KARIME\BANCO ESTADO\2012 DEPTO ESCRITURAS fata\2012 DEPTO ESCRITURAS\mutuos\F 24.doc", "Abrir Documento")</f>
        <v>0</v>
      </c>
      <c r="D19592" t="s">
        <v>23500</v>
      </c>
      <c r="E19592" t="s">
        <v>42067</v>
      </c>
    </row>
    <row r="19593" spans="1:5">
      <c r="A19593" t="s">
        <v>6</v>
      </c>
      <c r="B19593" t="s">
        <v>19598</v>
      </c>
      <c r="C19593">
        <f>HYPERLINK("C:\Users\franc\OneDrive\Documentos\MALENTIN KARIME\BANCO ESTADO\2012 DEPTO ESCRITURAS fata\2012 DEPTO ESCRITURAS\mutuos\F 24 Alejandrina Borquez.doc", "Abrir Documento")</f>
        <v>0</v>
      </c>
      <c r="D19593" t="s">
        <v>23500</v>
      </c>
      <c r="E19593" t="s">
        <v>42068</v>
      </c>
    </row>
    <row r="19594" spans="1:5">
      <c r="A19594" t="s">
        <v>6</v>
      </c>
      <c r="B19594" t="s">
        <v>19599</v>
      </c>
      <c r="C19594">
        <f>HYPERLINK("C:\Users\franc\OneDrive\Documentos\MALENTIN KARIME\BANCO ESTADO\2012 DEPTO ESCRITURAS fata\2012 DEPTO ESCRITURAS\mutuos\CLAUDIA PEREZ DIAZ Privado.doc", "Abrir Documento")</f>
        <v>0</v>
      </c>
      <c r="D19594" t="s">
        <v>23500</v>
      </c>
      <c r="E19594" t="s">
        <v>42069</v>
      </c>
    </row>
    <row r="19595" spans="1:5">
      <c r="A19595" t="s">
        <v>6</v>
      </c>
      <c r="B19595" t="s">
        <v>19600</v>
      </c>
      <c r="C19595">
        <f>HYPERLINK("C:\Users\franc\OneDrive\Documentos\MALENTIN KARIME\BANCO ESTADO\2012 DEPTO ESCRITURAS fata\2012 DEPTO ESCRITURAS\mutuos\AGREGA IMPUESTO MUTUO.doc", "Abrir Documento")</f>
        <v>0</v>
      </c>
      <c r="D19595" t="s">
        <v>23500</v>
      </c>
      <c r="E19595" t="s">
        <v>42070</v>
      </c>
    </row>
    <row r="19596" spans="1:5">
      <c r="A19596" t="s">
        <v>6</v>
      </c>
      <c r="B19596" t="s">
        <v>19601</v>
      </c>
      <c r="C19596">
        <f>HYPERLINK("C:\Users\franc\OneDrive\Documentos\MALENTIN KARIME\BANCO ESTADO\2012 DEPTO ESCRITURAS fata\2012 DEPTO ESCRITURAS\MUSALEN\Transportes Alser AlzamientoCOVALSA.doc", "Abrir Documento")</f>
        <v>0</v>
      </c>
      <c r="D19596" t="s">
        <v>23500</v>
      </c>
      <c r="E19596" t="s">
        <v>42071</v>
      </c>
    </row>
    <row r="19597" spans="1:5">
      <c r="A19597" t="s">
        <v>6</v>
      </c>
      <c r="B19597" t="s">
        <v>19602</v>
      </c>
      <c r="C19597">
        <f>HYPERLINK("C:\Users\franc\OneDrive\Documentos\MALENTIN KARIME\BANCO ESTADO\2012 DEPTO ESCRITURAS fata\2012 DEPTO ESCRITURAS\MUSALEN\Malvina Valezuela Alzamiento.doc", "Abrir Documento")</f>
        <v>0</v>
      </c>
      <c r="D19597" t="s">
        <v>23500</v>
      </c>
      <c r="E19597" t="s">
        <v>42072</v>
      </c>
    </row>
    <row r="19598" spans="1:5">
      <c r="A19598" t="s">
        <v>6</v>
      </c>
      <c r="B19598" t="s">
        <v>19603</v>
      </c>
      <c r="C19598">
        <f>HYPERLINK("C:\Users\franc\OneDrive\Documentos\MALENTIN KARIME\BANCO ESTADO\2012 DEPTO ESCRITURAS fata\2012 DEPTO ESCRITURAS\MUSALEN\MAGDA VENEGAS PLAZA.doc", "Abrir Documento")</f>
        <v>0</v>
      </c>
      <c r="D19598" t="s">
        <v>23500</v>
      </c>
      <c r="E19598" t="s">
        <v>42073</v>
      </c>
    </row>
    <row r="19599" spans="1:5">
      <c r="A19599" t="s">
        <v>6</v>
      </c>
      <c r="B19599" t="s">
        <v>19604</v>
      </c>
      <c r="C19599">
        <f>HYPERLINK("C:\Users\franc\OneDrive\Documentos\MALENTIN KARIME\BANCO ESTADO\2012 DEPTO ESCRITURAS fata\2012 DEPTO ESCRITURAS\MUSALEN\LOGISTICA INDUSTRIAL Febr 2013.doc", "Abrir Documento")</f>
        <v>0</v>
      </c>
      <c r="D19599" t="s">
        <v>23500</v>
      </c>
      <c r="E19599" t="s">
        <v>42074</v>
      </c>
    </row>
    <row r="19600" spans="1:5">
      <c r="A19600" t="s">
        <v>6</v>
      </c>
      <c r="B19600" t="s">
        <v>19605</v>
      </c>
      <c r="C19600">
        <f>HYPERLINK("C:\Users\franc\OneDrive\Documentos\MALENTIN KARIME\BANCO ESTADO\2012 DEPTO ESCRITURAS fata\2012 DEPTO ESCRITURAS\MUSALEN\JOSE MICHEA MICHEA Alzamiento.doc", "Abrir Documento")</f>
        <v>0</v>
      </c>
      <c r="D19600" t="s">
        <v>23500</v>
      </c>
      <c r="E19600" t="s">
        <v>42075</v>
      </c>
    </row>
    <row r="19601" spans="1:5">
      <c r="A19601" t="s">
        <v>6</v>
      </c>
      <c r="B19601" t="s">
        <v>19606</v>
      </c>
      <c r="C19601">
        <f>HYPERLINK("C:\Users\franc\OneDrive\Documentos\MALENTIN KARIME\BANCO ESTADO\2012 DEPTO ESCRITURAS fata\2012 DEPTO ESCRITURAS\MUSALEN\FRIO LOA Febr 2013.doc", "Abrir Documento")</f>
        <v>0</v>
      </c>
      <c r="D19601" t="s">
        <v>23500</v>
      </c>
      <c r="E19601" t="s">
        <v>42076</v>
      </c>
    </row>
    <row r="19602" spans="1:5">
      <c r="A19602" t="s">
        <v>6</v>
      </c>
      <c r="B19602" t="s">
        <v>19607</v>
      </c>
      <c r="C19602">
        <f>HYPERLINK("C:\Users\franc\OneDrive\Documentos\MALENTIN KARIME\BANCO ESTADO\2012 DEPTO ESCRITURAS fata\2012 DEPTO ESCRITURAS\MUSALEN\FRANCISCO MOLINA ZORRICUELTAAlzamiento.doc", "Abrir Documento")</f>
        <v>0</v>
      </c>
      <c r="D19602" t="s">
        <v>23500</v>
      </c>
      <c r="E19602" t="s">
        <v>42077</v>
      </c>
    </row>
    <row r="19603" spans="1:5">
      <c r="A19603" t="s">
        <v>6</v>
      </c>
      <c r="B19603" t="s">
        <v>19608</v>
      </c>
      <c r="C19603">
        <f>HYPERLINK("C:\Users\franc\OneDrive\Documentos\MALENTIN KARIME\BANCO ESTADO\2012 DEPTO ESCRITURAS fata\2012 DEPTO ESCRITURAS\MUSALEN\CARLOS CONTRERAS CARVAJAL.doc", "Abrir Documento")</f>
        <v>0</v>
      </c>
      <c r="D19603" t="s">
        <v>23500</v>
      </c>
      <c r="E19603" t="s">
        <v>42078</v>
      </c>
    </row>
    <row r="19604" spans="1:5">
      <c r="A19604" t="s">
        <v>6</v>
      </c>
      <c r="B19604" t="s">
        <v>19609</v>
      </c>
      <c r="C19604">
        <f>HYPERLINK("C:\Users\franc\OneDrive\Documentos\MALENTIN KARIME\BANCO ESTADO\2012 DEPTO ESCRITURAS fata\2012 DEPTO ESCRITURAS\MUSALEN\ANA MARIA ROJAS BUGUEÑO Cvta.doc", "Abrir Documento")</f>
        <v>0</v>
      </c>
      <c r="D19604" t="s">
        <v>23500</v>
      </c>
      <c r="E19604" t="s">
        <v>42079</v>
      </c>
    </row>
    <row r="19605" spans="1:5">
      <c r="A19605" t="s">
        <v>6</v>
      </c>
      <c r="B19605" t="s">
        <v>19610</v>
      </c>
      <c r="C19605">
        <f>HYPERLINK("C:\Users\franc\OneDrive\Documentos\MALENTIN KARIME\BANCO ESTADO\2012 DEPTO ESCRITURAS fata\2012 DEPTO ESCRITURAS\MUNICIPALIDAD\YASMIN VEGA PIZARRO.doc", "Abrir Documento")</f>
        <v>0</v>
      </c>
      <c r="D19605" t="s">
        <v>23500</v>
      </c>
      <c r="E19605" t="s">
        <v>42080</v>
      </c>
    </row>
    <row r="19606" spans="1:5">
      <c r="A19606" t="s">
        <v>6</v>
      </c>
      <c r="B19606" t="s">
        <v>19611</v>
      </c>
      <c r="C19606">
        <f>HYPERLINK("C:\Users\franc\OneDrive\Documentos\MALENTIN KARIME\BANCO ESTADO\2012 DEPTO ESCRITURAS fata\2012 DEPTO ESCRITURAS\MUNICIPALIDAD\YASMIN VEGA PIZARRO rectificacion.doc", "Abrir Documento")</f>
        <v>0</v>
      </c>
      <c r="D19606" t="s">
        <v>23500</v>
      </c>
      <c r="E19606" t="s">
        <v>42081</v>
      </c>
    </row>
    <row r="19607" spans="1:5">
      <c r="A19607" t="s">
        <v>6</v>
      </c>
      <c r="B19607" t="s">
        <v>19612</v>
      </c>
      <c r="C19607">
        <f>HYPERLINK("C:\Users\franc\OneDrive\Documentos\MALENTIN KARIME\BANCO ESTADO\2012 DEPTO ESCRITURAS fata\2012 DEPTO ESCRITURAS\MUNICIPALIDAD\VALENTIN MONTENEGRO RIVDENEIRA.doc", "Abrir Documento")</f>
        <v>0</v>
      </c>
      <c r="D19607" t="s">
        <v>23500</v>
      </c>
      <c r="E19607" t="s">
        <v>42082</v>
      </c>
    </row>
    <row r="19608" spans="1:5">
      <c r="A19608" t="s">
        <v>6</v>
      </c>
      <c r="B19608" t="s">
        <v>19613</v>
      </c>
      <c r="C19608">
        <f>HYPERLINK("C:\Users\franc\OneDrive\Documentos\MALENTIN KARIME\BANCO ESTADO\2012 DEPTO ESCRITURAS fata\2012 DEPTO ESCRITURAS\MUNICIPALIDAD\VALENTIN MONTENEGRO RIVDENEIRA Subrogante.doc", "Abrir Documento")</f>
        <v>0</v>
      </c>
      <c r="D19608" t="s">
        <v>23500</v>
      </c>
      <c r="E19608" t="s">
        <v>42083</v>
      </c>
    </row>
    <row r="19609" spans="1:5">
      <c r="A19609" t="s">
        <v>6</v>
      </c>
      <c r="B19609" t="s">
        <v>19614</v>
      </c>
      <c r="C19609">
        <f>HYPERLINK("C:\Users\franc\OneDrive\Documentos\MALENTIN KARIME\BANCO ESTADO\2012 DEPTO ESCRITURAS fata\2012 DEPTO ESCRITURAS\MUNICIPALIDAD\SERGIO CORREA DIAZ Claudio Renteria.doc", "Abrir Documento")</f>
        <v>0</v>
      </c>
      <c r="D19609" t="s">
        <v>23500</v>
      </c>
      <c r="E19609" t="s">
        <v>42084</v>
      </c>
    </row>
    <row r="19610" spans="1:5">
      <c r="A19610" t="s">
        <v>6</v>
      </c>
      <c r="B19610" t="s">
        <v>19615</v>
      </c>
      <c r="C19610">
        <f>HYPERLINK("C:\Users\franc\OneDrive\Documentos\MALENTIN KARIME\BANCO ESTADO\2012 DEPTO ESCRITURAS fata\2012 DEPTO ESCRITURAS\MUNICIPALIDAD\RUBEN ARAYA MIRANDA Claudio Renteria.doc", "Abrir Documento")</f>
        <v>0</v>
      </c>
      <c r="D19610" t="s">
        <v>23500</v>
      </c>
      <c r="E19610" t="s">
        <v>42085</v>
      </c>
    </row>
    <row r="19611" spans="1:5">
      <c r="A19611" t="s">
        <v>6</v>
      </c>
      <c r="B19611" t="s">
        <v>19616</v>
      </c>
      <c r="C19611">
        <f>HYPERLINK("C:\Users\franc\OneDrive\Documentos\MALENTIN KARIME\BANCO ESTADO\2012 DEPTO ESCRITURAS fata\2012 DEPTO ESCRITURAS\MUNICIPALIDAD\RUBEN ARAYA MIRANDA Claudio Renteria NOTITULAR.doc", "Abrir Documento")</f>
        <v>0</v>
      </c>
      <c r="D19611" t="s">
        <v>23500</v>
      </c>
      <c r="E19611" t="s">
        <v>42086</v>
      </c>
    </row>
    <row r="19612" spans="1:5">
      <c r="A19612" t="s">
        <v>6</v>
      </c>
      <c r="B19612" t="s">
        <v>19617</v>
      </c>
      <c r="C19612">
        <f>HYPERLINK("C:\Users\franc\OneDrive\Documentos\MALENTIN KARIME\BANCO ESTADO\2012 DEPTO ESCRITURAS fata\2012 DEPTO ESCRITURAS\MUNICIPALIDAD\ROSA MELENDRE SANVENERO.doc", "Abrir Documento")</f>
        <v>0</v>
      </c>
      <c r="D19612" t="s">
        <v>23500</v>
      </c>
      <c r="E19612" t="s">
        <v>42087</v>
      </c>
    </row>
    <row r="19613" spans="1:5">
      <c r="A19613" t="s">
        <v>6</v>
      </c>
      <c r="B19613" t="s">
        <v>19618</v>
      </c>
      <c r="C19613">
        <f>HYPERLINK("C:\Users\franc\OneDrive\Documentos\MALENTIN KARIME\BANCO ESTADO\2012 DEPTO ESCRITURAS fata\2012 DEPTO ESCRITURAS\MUNICIPALIDAD\MUNICIPALIDAD OVALLE A Carlos Vargas.doc", "Abrir Documento")</f>
        <v>0</v>
      </c>
      <c r="D19613" t="s">
        <v>23500</v>
      </c>
      <c r="E19613" t="s">
        <v>42088</v>
      </c>
    </row>
    <row r="19614" spans="1:5">
      <c r="A19614" t="s">
        <v>6</v>
      </c>
      <c r="B19614" t="s">
        <v>19619</v>
      </c>
      <c r="C19614">
        <f>HYPERLINK("C:\Users\franc\OneDrive\Documentos\MALENTIN KARIME\BANCO ESTADO\2012 DEPTO ESCRITURAS fata\2012 DEPTO ESCRITURAS\MUNICIPALIDAD\MUNICIPALIDAD DE OVALLE C Renteria A SERGIO GALLEGUILLOS.doc", "Abrir Documento")</f>
        <v>0</v>
      </c>
      <c r="D19614" t="s">
        <v>23500</v>
      </c>
      <c r="E19614" t="s">
        <v>42089</v>
      </c>
    </row>
    <row r="19615" spans="1:5">
      <c r="A19615" t="s">
        <v>6</v>
      </c>
      <c r="B19615" t="s">
        <v>19620</v>
      </c>
      <c r="C19615">
        <f>HYPERLINK("C:\Users\franc\OneDrive\Documentos\MALENTIN KARIME\BANCO ESTADO\2012 DEPTO ESCRITURAS fata\2012 DEPTO ESCRITURAS\MUNICIPALIDAD\MUNICIPALIDAD DE OVALLE C Renteria A claudio ardiles.doc", "Abrir Documento")</f>
        <v>0</v>
      </c>
      <c r="D19615" t="s">
        <v>23500</v>
      </c>
      <c r="E19615" t="s">
        <v>42090</v>
      </c>
    </row>
    <row r="19616" spans="1:5">
      <c r="A19616" t="s">
        <v>6</v>
      </c>
      <c r="B19616" t="s">
        <v>19621</v>
      </c>
      <c r="C19616">
        <f>HYPERLINK("C:\Users\franc\OneDrive\Documentos\MALENTIN KARIME\BANCO ESTADO\2012 DEPTO ESCRITURAS fata\2012 DEPTO ESCRITURAS\MUNICIPALIDAD\MONICA ARAYA LASTARRIA.doc", "Abrir Documento")</f>
        <v>0</v>
      </c>
      <c r="D19616" t="s">
        <v>23500</v>
      </c>
      <c r="E19616" t="s">
        <v>42091</v>
      </c>
    </row>
    <row r="19617" spans="1:5">
      <c r="A19617" t="s">
        <v>6</v>
      </c>
      <c r="B19617" t="s">
        <v>19622</v>
      </c>
      <c r="C19617">
        <f>HYPERLINK("C:\Users\franc\OneDrive\Documentos\MALENTIN KARIME\BANCO ESTADO\2012 DEPTO ESCRITURAS fata\2012 DEPTO ESCRITURAS\MUNICIPALIDAD\MARTA SEGOVIA HONORES Claudio Renteria.doc", "Abrir Documento")</f>
        <v>0</v>
      </c>
      <c r="D19617" t="s">
        <v>23500</v>
      </c>
      <c r="E19617" t="s">
        <v>42092</v>
      </c>
    </row>
    <row r="19618" spans="1:5">
      <c r="A19618" t="s">
        <v>6</v>
      </c>
      <c r="B19618" t="s">
        <v>19623</v>
      </c>
      <c r="C19618">
        <f>HYPERLINK("C:\Users\franc\OneDrive\Documentos\MALENTIN KARIME\BANCO ESTADO\2012 DEPTO ESCRITURAS fata\2012 DEPTO ESCRITURAS\MUNICIPALIDAD\MARTA SEGOVIA HONORES Claudio Renteria II.doc", "Abrir Documento")</f>
        <v>0</v>
      </c>
      <c r="D19618" t="s">
        <v>23500</v>
      </c>
      <c r="E19618" t="s">
        <v>42093</v>
      </c>
    </row>
    <row r="19619" spans="1:5">
      <c r="A19619" t="s">
        <v>6</v>
      </c>
      <c r="B19619" t="s">
        <v>19624</v>
      </c>
      <c r="C19619">
        <f>HYPERLINK("C:\Users\franc\OneDrive\Documentos\MALENTIN KARIME\BANCO ESTADO\2012 DEPTO ESCRITURAS fata\2012 DEPTO ESCRITURAS\MUNICIPALIDAD\MARIA AGUILERA CASTILLO.doc", "Abrir Documento")</f>
        <v>0</v>
      </c>
      <c r="D19619" t="s">
        <v>23500</v>
      </c>
      <c r="E19619" t="s">
        <v>42094</v>
      </c>
    </row>
    <row r="19620" spans="1:5">
      <c r="A19620" t="s">
        <v>6</v>
      </c>
      <c r="B19620" t="s">
        <v>19625</v>
      </c>
      <c r="C19620">
        <f>HYPERLINK("C:\Users\franc\OneDrive\Documentos\MALENTIN KARIME\BANCO ESTADO\2012 DEPTO ESCRITURAS fata\2012 DEPTO ESCRITURAS\MUNICIPALIDAD\LILIAN GODOY Subrogante.doc", "Abrir Documento")</f>
        <v>0</v>
      </c>
      <c r="D19620" t="s">
        <v>23500</v>
      </c>
      <c r="E19620" t="s">
        <v>42095</v>
      </c>
    </row>
    <row r="19621" spans="1:5">
      <c r="A19621" t="s">
        <v>6</v>
      </c>
      <c r="B19621" t="s">
        <v>19626</v>
      </c>
      <c r="C19621">
        <f>HYPERLINK("C:\Users\franc\OneDrive\Documentos\MALENTIN KARIME\BANCO ESTADO\2012 DEPTO ESCRITURAS fata\2012 DEPTO ESCRITURAS\MUNICIPALIDAD\KARINA ANDREA RAMOS MOYA.doc", "Abrir Documento")</f>
        <v>0</v>
      </c>
      <c r="D19621" t="s">
        <v>23500</v>
      </c>
      <c r="E19621" t="s">
        <v>42096</v>
      </c>
    </row>
    <row r="19622" spans="1:5">
      <c r="A19622" t="s">
        <v>6</v>
      </c>
      <c r="B19622" t="s">
        <v>19627</v>
      </c>
      <c r="C19622">
        <f>HYPERLINK("C:\Users\franc\OneDrive\Documentos\MALENTIN KARIME\BANCO ESTADO\2012 DEPTO ESCRITURAS fata\2012 DEPTO ESCRITURAS\MUNICIPALIDAD\KARINA ANDREA RAMOS MOYA Not Suplente.doc", "Abrir Documento")</f>
        <v>0</v>
      </c>
      <c r="D19622" t="s">
        <v>23500</v>
      </c>
      <c r="E19622" t="s">
        <v>42097</v>
      </c>
    </row>
    <row r="19623" spans="1:5">
      <c r="A19623" t="s">
        <v>6</v>
      </c>
      <c r="B19623" t="s">
        <v>19628</v>
      </c>
      <c r="C19623">
        <f>HYPERLINK("C:\Users\franc\OneDrive\Documentos\MALENTIN KARIME\BANCO ESTADO\2012 DEPTO ESCRITURAS fata\2012 DEPTO ESCRITURAS\MUNICIPALIDAD\INGENIERIA SENDA URBANA Contrato.doc", "Abrir Documento")</f>
        <v>0</v>
      </c>
      <c r="D19623" t="s">
        <v>23500</v>
      </c>
      <c r="E19623" t="s">
        <v>42098</v>
      </c>
    </row>
    <row r="19624" spans="1:5">
      <c r="A19624" t="s">
        <v>6</v>
      </c>
      <c r="B19624" t="s">
        <v>19629</v>
      </c>
      <c r="C19624">
        <f>HYPERLINK("C:\Users\franc\OneDrive\Documentos\MALENTIN KARIME\BANCO ESTADO\2012 DEPTO ESCRITURAS fata\2012 DEPTO ESCRITURAS\MUNICIPALIDAD\INGENIERIA SENDA URBANA Contrato Modificacion.doc", "Abrir Documento")</f>
        <v>0</v>
      </c>
      <c r="D19624" t="s">
        <v>23500</v>
      </c>
      <c r="E19624" t="s">
        <v>42099</v>
      </c>
    </row>
    <row r="19625" spans="1:5">
      <c r="A19625" t="s">
        <v>6</v>
      </c>
      <c r="B19625" t="s">
        <v>19630</v>
      </c>
      <c r="C19625">
        <f>HYPERLINK("C:\Users\franc\OneDrive\Documentos\MALENTIN KARIME\BANCO ESTADO\2012 DEPTO ESCRITURAS fata\2012 DEPTO ESCRITURAS\MUNICIPALIDAD\INGENIERIA SENDA URBANA Contrato Modificacion Subrogante.doc", "Abrir Documento")</f>
        <v>0</v>
      </c>
      <c r="D19625" t="s">
        <v>23500</v>
      </c>
      <c r="E19625" t="s">
        <v>42100</v>
      </c>
    </row>
    <row r="19626" spans="1:5">
      <c r="A19626" t="s">
        <v>6</v>
      </c>
      <c r="B19626" t="s">
        <v>19631</v>
      </c>
      <c r="C19626">
        <f>HYPERLINK("C:\Users\franc\OneDrive\Documentos\MALENTIN KARIME\BANCO ESTADO\2012 DEPTO ESCRITURAS fata\2012 DEPTO ESCRITURAS\MUNICIPALIDAD\HUGO OPAZO CONTRERAS.doc", "Abrir Documento")</f>
        <v>0</v>
      </c>
      <c r="D19626" t="s">
        <v>23500</v>
      </c>
      <c r="E19626" t="s">
        <v>42101</v>
      </c>
    </row>
    <row r="19627" spans="1:5">
      <c r="A19627" t="s">
        <v>6</v>
      </c>
      <c r="B19627" t="s">
        <v>19632</v>
      </c>
      <c r="C19627">
        <f>HYPERLINK("C:\Users\franc\OneDrive\Documentos\MALENTIN KARIME\BANCO ESTADO\2012 DEPTO ESCRITURAS fata\2012 DEPTO ESCRITURAS\MUNICIPALIDAD\EN LO PRINCIPAL.doc", "Abrir Documento")</f>
        <v>0</v>
      </c>
      <c r="D19627" t="s">
        <v>23500</v>
      </c>
      <c r="E19627" t="s">
        <v>42102</v>
      </c>
    </row>
    <row r="19628" spans="1:5">
      <c r="A19628" t="s">
        <v>6</v>
      </c>
      <c r="B19628" t="s">
        <v>19633</v>
      </c>
      <c r="C19628">
        <f>HYPERLINK("C:\Users\franc\OneDrive\Documentos\MALENTIN KARIME\BANCO ESTADO\2012 DEPTO ESCRITURAS fata\2012 DEPTO ESCRITURAS\MUNICIPALIDAD\CUERPO DE BOMBEROS Resciliacion.doc", "Abrir Documento")</f>
        <v>0</v>
      </c>
      <c r="D19628" t="s">
        <v>23500</v>
      </c>
      <c r="E19628" t="s">
        <v>42103</v>
      </c>
    </row>
    <row r="19629" spans="1:5">
      <c r="A19629" t="s">
        <v>6</v>
      </c>
      <c r="B19629" t="s">
        <v>19634</v>
      </c>
      <c r="C19629">
        <f>HYPERLINK("C:\Users\franc\OneDrive\Documentos\MALENTIN KARIME\BANCO ESTADO\2012 DEPTO ESCRITURAS fata\2012 DEPTO ESCRITURAS\MUNICIPALIDAD\Autorizo la firma de doña MARTA ELISA LOBOS INZUNZA.doc", "Abrir Documento")</f>
        <v>0</v>
      </c>
      <c r="D19629" t="s">
        <v>23500</v>
      </c>
      <c r="E19629" t="s">
        <v>42104</v>
      </c>
    </row>
    <row r="19630" spans="1:5">
      <c r="A19630" t="s">
        <v>6</v>
      </c>
      <c r="B19630" t="s">
        <v>19635</v>
      </c>
      <c r="C19630">
        <f>HYPERLINK("C:\Users\franc\OneDrive\Documentos\MALENTIN KARIME\BANCO ESTADO\2012 DEPTO ESCRITURAS fata\2012 DEPTO ESCRITURAS\MUNICIPALIDAD\Autorizo la firma de doña MARTA ELISA LOBOS INZUNZA ALCALDESA.doc", "Abrir Documento")</f>
        <v>0</v>
      </c>
      <c r="D19630" t="s">
        <v>23500</v>
      </c>
      <c r="E19630" t="s">
        <v>42105</v>
      </c>
    </row>
    <row r="19631" spans="1:5">
      <c r="A19631" t="s">
        <v>6</v>
      </c>
      <c r="B19631" t="s">
        <v>19636</v>
      </c>
      <c r="C19631">
        <f>HYPERLINK("C:\Users\franc\OneDrive\Documentos\MALENTIN KARIME\BANCO ESTADO\2012 DEPTO ESCRITURAS fata\2012 DEPTO ESCRITURAS\MUNICIPALIDAD\Autorizo la firma de don RODRIGO IGNACIO VEGA GOMEZ.doc", "Abrir Documento")</f>
        <v>0</v>
      </c>
      <c r="D19631" t="s">
        <v>23500</v>
      </c>
      <c r="E19631" t="s">
        <v>42106</v>
      </c>
    </row>
    <row r="19632" spans="1:5">
      <c r="A19632" t="s">
        <v>6</v>
      </c>
      <c r="B19632" t="s">
        <v>19637</v>
      </c>
      <c r="C19632">
        <f>HYPERLINK("C:\Users\franc\OneDrive\Documentos\MALENTIN KARIME\BANCO ESTADO\2012 DEPTO ESCRITURAS fata\2012 DEPTO ESCRITURAS\MINERIA\SLM EL REVENTON A DMO MINERALS arriendo minero.doc", "Abrir Documento")</f>
        <v>0</v>
      </c>
      <c r="D19632" t="s">
        <v>23500</v>
      </c>
      <c r="E19632" t="s">
        <v>42107</v>
      </c>
    </row>
    <row r="19633" spans="1:5">
      <c r="A19633" t="s">
        <v>6</v>
      </c>
      <c r="B19633" t="s">
        <v>19638</v>
      </c>
      <c r="C19633">
        <f>HYPERLINK("C:\Users\franc\OneDrive\Documentos\MALENTIN KARIME\BANCO ESTADO\2012 DEPTO ESCRITURAS fata\2012 DEPTO ESCRITURAS\MINERIA\SLM EL REVENTON A DMO MINERALS arriendo minero II.doc", "Abrir Documento")</f>
        <v>0</v>
      </c>
      <c r="D19633" t="s">
        <v>23500</v>
      </c>
      <c r="E19633" t="s">
        <v>42108</v>
      </c>
    </row>
    <row r="19634" spans="1:5">
      <c r="A19634" t="s">
        <v>6</v>
      </c>
      <c r="B19634" t="s">
        <v>19639</v>
      </c>
      <c r="C19634">
        <f>HYPERLINK("C:\Users\franc\OneDrive\Documentos\MALENTIN KARIME\BANCO ESTADO\2012 DEPTO ESCRITURAS fata\2012 DEPTO ESCRITURAS\MINERIA\SLM EL REVENTON A DMO MINERALS A DMO Legal.doc", "Abrir Documento")</f>
        <v>0</v>
      </c>
      <c r="D19634" t="s">
        <v>23500</v>
      </c>
      <c r="E19634" t="s">
        <v>42109</v>
      </c>
    </row>
    <row r="19635" spans="1:5">
      <c r="A19635" t="s">
        <v>6</v>
      </c>
      <c r="B19635" t="s">
        <v>19640</v>
      </c>
      <c r="C19635">
        <f>HYPERLINK("C:\Users\franc\OneDrive\Documentos\MALENTIN KARIME\BANCO ESTADO\2012 DEPTO ESCRITURAS fata\2012 DEPTO ESCRITURAS\MINERIA\SLM DIVISADERO II DE SAN LORENZO.doc", "Abrir Documento")</f>
        <v>0</v>
      </c>
      <c r="D19635" t="s">
        <v>23500</v>
      </c>
      <c r="E19635" t="s">
        <v>42110</v>
      </c>
    </row>
    <row r="19636" spans="1:5">
      <c r="A19636" t="s">
        <v>6</v>
      </c>
      <c r="B19636" t="s">
        <v>19641</v>
      </c>
      <c r="C19636">
        <f>HYPERLINK("C:\Users\franc\OneDrive\Documentos\MALENTIN KARIME\BANCO ESTADO\2012 DEPTO ESCRITURAS fata\2012 DEPTO ESCRITURAS\MINERIA\S.L.M. MINA ISRAEL ANTONIO UNO DE PUNITAQUI junta acc.doc", "Abrir Documento")</f>
        <v>0</v>
      </c>
      <c r="D19636" t="s">
        <v>23500</v>
      </c>
      <c r="E19636" t="s">
        <v>42111</v>
      </c>
    </row>
    <row r="19637" spans="1:5">
      <c r="A19637" t="s">
        <v>6</v>
      </c>
      <c r="B19637" t="s">
        <v>19642</v>
      </c>
      <c r="C19637">
        <f>HYPERLINK("C:\Users\franc\OneDrive\Documentos\MALENTIN KARIME\BANCO ESTADO\2012 DEPTO ESCRITURAS fata\2012 DEPTO ESCRITURAS\MINERIA\PEDRO ACUÑA CASTRO A PEDRO ARAYA Ces. Acc. Mras Y Termino Soc..doc", "Abrir Documento")</f>
        <v>0</v>
      </c>
      <c r="D19637" t="s">
        <v>23500</v>
      </c>
      <c r="E19637" t="s">
        <v>42112</v>
      </c>
    </row>
    <row r="19638" spans="1:5">
      <c r="A19638" t="s">
        <v>6</v>
      </c>
      <c r="B19638" t="s">
        <v>19643</v>
      </c>
      <c r="C19638">
        <f>HYPERLINK("C:\Users\franc\OneDrive\Documentos\MALENTIN KARIME\BANCO ESTADO\2012 DEPTO ESCRITURAS fata\2012 DEPTO ESCRITURAS\MINERIA\NIVALDO CAMPOS SEGOVIA A SCM.doc", "Abrir Documento")</f>
        <v>0</v>
      </c>
      <c r="D19638" t="s">
        <v>23500</v>
      </c>
      <c r="E19638" t="s">
        <v>42113</v>
      </c>
    </row>
    <row r="19639" spans="1:5">
      <c r="A19639" t="s">
        <v>6</v>
      </c>
      <c r="B19639" t="s">
        <v>19644</v>
      </c>
      <c r="C19639">
        <f>HYPERLINK("C:\Users\franc\OneDrive\Documentos\MALENTIN KARIME\BANCO ESTADO\2012 DEPTO ESCRITURAS fata\2012 DEPTO ESCRITURAS\MINERIA\MARCIAL VEGA NUÑEZ A SINEP - ACCIONES.doc", "Abrir Documento")</f>
        <v>0</v>
      </c>
      <c r="D19639" t="s">
        <v>23500</v>
      </c>
      <c r="E19639" t="s">
        <v>42114</v>
      </c>
    </row>
    <row r="19640" spans="1:5">
      <c r="A19640" t="s">
        <v>6</v>
      </c>
      <c r="B19640" t="s">
        <v>19645</v>
      </c>
      <c r="C19640">
        <f>HYPERLINK("C:\Users\franc\OneDrive\Documentos\MALENTIN KARIME\BANCO ESTADO\2012 DEPTO ESCRITURAS fata\2012 DEPTO ESCRITURAS\MINERIA\LEONARDO LA FLOR A JUAN ARAYA  LA ELY 1 AL 20.doc", "Abrir Documento")</f>
        <v>0</v>
      </c>
      <c r="D19640" t="s">
        <v>23500</v>
      </c>
      <c r="E19640" t="s">
        <v>42115</v>
      </c>
    </row>
    <row r="19641" spans="1:5">
      <c r="A19641" t="s">
        <v>6</v>
      </c>
      <c r="B19641" t="s">
        <v>19646</v>
      </c>
      <c r="C19641">
        <f>HYPERLINK("C:\Users\franc\OneDrive\Documentos\MALENTIN KARIME\BANCO ESTADO\2012 DEPTO ESCRITURAS fata\2012 DEPTO ESCRITURAS\MINERIA\Junta de Accionistas sociedad legal minera 2 amigos Uno de Andacollo.doc", "Abrir Documento")</f>
        <v>0</v>
      </c>
      <c r="D19641" t="s">
        <v>23500</v>
      </c>
      <c r="E19641" t="s">
        <v>42116</v>
      </c>
    </row>
    <row r="19642" spans="1:5">
      <c r="A19642" t="s">
        <v>6</v>
      </c>
      <c r="B19642" t="s">
        <v>19647</v>
      </c>
      <c r="C19642">
        <f>HYPERLINK("C:\Users\franc\OneDrive\Documentos\MALENTIN KARIME\BANCO ESTADO\2012 DEPTO ESCRITURAS fata\2012 DEPTO ESCRITURAS\MINERIA\JUAN CARLOS DIAZ DIAZ.doc", "Abrir Documento")</f>
        <v>0</v>
      </c>
      <c r="D19642" t="s">
        <v>23500</v>
      </c>
      <c r="E19642" t="s">
        <v>42117</v>
      </c>
    </row>
    <row r="19643" spans="1:5">
      <c r="A19643" t="s">
        <v>6</v>
      </c>
      <c r="B19643" t="s">
        <v>19648</v>
      </c>
      <c r="C19643">
        <f>HYPERLINK("C:\Users\franc\OneDrive\Documentos\MALENTIN KARIME\BANCO ESTADO\2012 DEPTO ESCRITURAS fata\2012 DEPTO ESCRITURAS\MINERIA\JUAN ACUÑA CASTRO Y OT. Ces. Acc. Mras.doc", "Abrir Documento")</f>
        <v>0</v>
      </c>
      <c r="D19643" t="s">
        <v>23500</v>
      </c>
      <c r="E19643" t="s">
        <v>42118</v>
      </c>
    </row>
    <row r="19644" spans="1:5">
      <c r="A19644" t="s">
        <v>6</v>
      </c>
      <c r="B19644" t="s">
        <v>19649</v>
      </c>
      <c r="C19644">
        <f>HYPERLINK("C:\Users\franc\OneDrive\Documentos\MALENTIN KARIME\BANCO ESTADO\2012 DEPTO ESCRITURAS fata\2012 DEPTO ESCRITURAS\MINERIA\JUAN ACUÑA CASTRO a MINERA ZUPILOCOS Mensuras.doc", "Abrir Documento")</f>
        <v>0</v>
      </c>
      <c r="D19644" t="s">
        <v>23500</v>
      </c>
      <c r="E19644" t="s">
        <v>42119</v>
      </c>
    </row>
    <row r="19645" spans="1:5">
      <c r="A19645" t="s">
        <v>6</v>
      </c>
      <c r="B19645" t="s">
        <v>19650</v>
      </c>
      <c r="C19645">
        <f>HYPERLINK("C:\Users\franc\OneDrive\Documentos\MALENTIN KARIME\BANCO ESTADO\2012 DEPTO ESCRITURAS fata\2012 DEPTO ESCRITURAS\MINERIA\Instrucciones_notariales_recibo_de_pago_(febrero_2012)[1].DOC", "Abrir Documento")</f>
        <v>0</v>
      </c>
      <c r="D19645" t="s">
        <v>23500</v>
      </c>
      <c r="E19645" t="s">
        <v>42120</v>
      </c>
    </row>
    <row r="19646" spans="1:5">
      <c r="A19646" t="s">
        <v>6</v>
      </c>
      <c r="B19646" t="s">
        <v>19651</v>
      </c>
      <c r="C19646">
        <f>HYPERLINK("C:\Users\franc\OneDrive\Documentos\MALENTIN KARIME\BANCO ESTADO\2012 DEPTO ESCRITURAS fata\2012 DEPTO ESCRITURAS\MINERIA\Instrucciones notario rectificación y modificación cttos de cv, opción CMDT-1.DOC", "Abrir Documento")</f>
        <v>0</v>
      </c>
      <c r="D19646" t="s">
        <v>23500</v>
      </c>
      <c r="E19646" t="s">
        <v>42121</v>
      </c>
    </row>
    <row r="19647" spans="1:5">
      <c r="A19647" t="s">
        <v>6</v>
      </c>
      <c r="B19647" t="s">
        <v>19652</v>
      </c>
      <c r="C19647">
        <f>HYPERLINK("C:\Users\franc\OneDrive\Documentos\MALENTIN KARIME\BANCO ESTADO\2012 DEPTO ESCRITURAS fata\2012 DEPTO ESCRITURAS\MINERIA\HUMBERTO RIVERA a MINERA ZUPILOCOS Mensuras.doc", "Abrir Documento")</f>
        <v>0</v>
      </c>
      <c r="D19647" t="s">
        <v>23500</v>
      </c>
      <c r="E19647" t="s">
        <v>42122</v>
      </c>
    </row>
    <row r="19648" spans="1:5">
      <c r="A19648" t="s">
        <v>6</v>
      </c>
      <c r="B19648" t="s">
        <v>19653</v>
      </c>
      <c r="C19648">
        <f>HYPERLINK("C:\Users\franc\OneDrive\Documentos\MALENTIN KARIME\BANCO ESTADO\2012 DEPTO ESCRITURAS fata\2012 DEPTO ESCRITURAS\MINERIA\FORTUNE VALLE Rectifica.doc", "Abrir Documento")</f>
        <v>0</v>
      </c>
      <c r="D19648" t="s">
        <v>23500</v>
      </c>
      <c r="E19648" t="s">
        <v>42123</v>
      </c>
    </row>
    <row r="19649" spans="1:5">
      <c r="A19649" t="s">
        <v>6</v>
      </c>
      <c r="B19649" t="s">
        <v>19654</v>
      </c>
      <c r="C19649">
        <f>HYPERLINK("C:\Users\franc\OneDrive\Documentos\MALENTIN KARIME\BANCO ESTADO\2012 DEPTO ESCRITURAS fata\2012 DEPTO ESCRITURAS\MINERIA\COMPAÑIA DEMETRIO TELLO Dacion pago.doc", "Abrir Documento")</f>
        <v>0</v>
      </c>
      <c r="D19649" t="s">
        <v>23500</v>
      </c>
      <c r="E19649" t="s">
        <v>42124</v>
      </c>
    </row>
    <row r="19650" spans="1:5">
      <c r="A19650" t="s">
        <v>6</v>
      </c>
      <c r="B19650" t="s">
        <v>19655</v>
      </c>
      <c r="C19650">
        <f>HYPERLINK("C:\Users\franc\OneDrive\Documentos\MALENTIN KARIME\BANCO ESTADO\2012 DEPTO ESCRITURAS fata\2012 DEPTO ESCRITURAS\MINERIA\CIA DEMETRIO TELLO A FORTUNE VALLEY DIc.doc", "Abrir Documento")</f>
        <v>0</v>
      </c>
      <c r="D19650" t="s">
        <v>23500</v>
      </c>
      <c r="E19650" t="s">
        <v>42125</v>
      </c>
    </row>
    <row r="19651" spans="1:5">
      <c r="A19651" t="s">
        <v>6</v>
      </c>
      <c r="B19651" t="s">
        <v>19656</v>
      </c>
      <c r="C19651">
        <f>HYPERLINK("C:\Users\franc\OneDrive\Documentos\MALENTIN KARIME\BANCO ESTADO\2012 DEPTO ESCRITURAS fata\2012 DEPTO ESCRITURAS\MINERIA\ADRIAN TELLO MONDACA Ces. Acc. Mras.doc", "Abrir Documento")</f>
        <v>0</v>
      </c>
      <c r="D19651" t="s">
        <v>23500</v>
      </c>
      <c r="E19651" t="s">
        <v>42126</v>
      </c>
    </row>
    <row r="19652" spans="1:5">
      <c r="A19652" t="s">
        <v>6</v>
      </c>
      <c r="B19652" t="s">
        <v>19657</v>
      </c>
      <c r="C19652">
        <f>HYPERLINK("C:\Users\franc\OneDrive\Documentos\MALENTIN KARIME\BANCO ESTADO\2012 DEPTO ESCRITURAS fata\2012 DEPTO ESCRITURAS\MINERIA\24  7 SERVICIOS MINEROS.doc", "Abrir Documento")</f>
        <v>0</v>
      </c>
      <c r="D19652" t="s">
        <v>23500</v>
      </c>
      <c r="E19652" t="s">
        <v>42127</v>
      </c>
    </row>
    <row r="19653" spans="1:5">
      <c r="A19653" t="s">
        <v>6</v>
      </c>
      <c r="B19653" t="s">
        <v>19658</v>
      </c>
      <c r="C19653">
        <f>HYPERLINK("C:\Users\franc\OneDrive\Documentos\MALENTIN KARIME\BANCO ESTADO\2012 DEPTO ESCRITURAS fata\2012 DEPTO ESCRITURAS\Meson\recibo dinero.doc", "Abrir Documento")</f>
        <v>0</v>
      </c>
      <c r="D19653" t="s">
        <v>23500</v>
      </c>
      <c r="E19653" t="s">
        <v>42128</v>
      </c>
    </row>
    <row r="19654" spans="1:5">
      <c r="A19654" t="s">
        <v>6</v>
      </c>
      <c r="B19654" t="s">
        <v>19659</v>
      </c>
      <c r="C19654">
        <f>HYPERLINK("C:\Users\franc\OneDrive\Documentos\MALENTIN KARIME\BANCO ESTADO\2012 DEPTO ESCRITURAS fata\2012 DEPTO ESCRITURAS\Meson\recibo dinero contratista.doc", "Abrir Documento")</f>
        <v>0</v>
      </c>
      <c r="D19654" t="s">
        <v>23500</v>
      </c>
      <c r="E19654" t="s">
        <v>42129</v>
      </c>
    </row>
    <row r="19655" spans="1:5">
      <c r="A19655" t="s">
        <v>6</v>
      </c>
      <c r="B19655" t="s">
        <v>19660</v>
      </c>
      <c r="C19655">
        <f>HYPERLINK("C:\Users\franc\OneDrive\Documentos\MALENTIN KARIME\BANCO ESTADO\2012 DEPTO ESCRITURAS fata\2012 DEPTO ESCRITURAS\Meson\recibo dinero contratista 2.doc", "Abrir Documento")</f>
        <v>0</v>
      </c>
      <c r="D19655" t="s">
        <v>23500</v>
      </c>
      <c r="E19655" t="s">
        <v>42130</v>
      </c>
    </row>
    <row r="19656" spans="1:5">
      <c r="A19656" t="s">
        <v>6</v>
      </c>
      <c r="B19656" t="s">
        <v>19661</v>
      </c>
      <c r="C19656">
        <f>HYPERLINK("C:\Users\franc\OneDrive\Documentos\MALENTIN KARIME\BANCO ESTADO\2012 DEPTO ESCRITURAS fata\2012 DEPTO ESCRITURAS\Meson\DECLARACION  JURADA MARIO PIZARRO.doc", "Abrir Documento")</f>
        <v>0</v>
      </c>
      <c r="D19656" t="s">
        <v>23500</v>
      </c>
      <c r="E19656" t="s">
        <v>42131</v>
      </c>
    </row>
    <row r="19657" spans="1:5">
      <c r="A19657" t="s">
        <v>6</v>
      </c>
      <c r="B19657" t="s">
        <v>19662</v>
      </c>
      <c r="C19657">
        <f>HYPERLINK("C:\Users\franc\OneDrive\Documentos\MALENTIN KARIME\BANCO ESTADO\2012 DEPTO ESCRITURAS fata\2012 DEPTO ESCRITURAS\Meson\dec.jurada.doc", "Abrir Documento")</f>
        <v>0</v>
      </c>
      <c r="D19657" t="s">
        <v>23500</v>
      </c>
      <c r="E19657" t="s">
        <v>42132</v>
      </c>
    </row>
    <row r="19658" spans="1:5">
      <c r="A19658" t="s">
        <v>6</v>
      </c>
      <c r="B19658" t="s">
        <v>19663</v>
      </c>
      <c r="C19658">
        <f>HYPERLINK("C:\Users\franc\OneDrive\Documentos\MALENTIN KARIME\BANCO ESTADO\2012 DEPTO ESCRITURAS fata\2012 DEPTO ESCRITURAS\Meson\cese de convivencia.doc", "Abrir Documento")</f>
        <v>0</v>
      </c>
      <c r="D19658" t="s">
        <v>23500</v>
      </c>
      <c r="E19658" t="s">
        <v>42133</v>
      </c>
    </row>
    <row r="19659" spans="1:5">
      <c r="A19659" t="s">
        <v>6</v>
      </c>
      <c r="B19659" t="s">
        <v>19664</v>
      </c>
      <c r="C19659">
        <f>HYPERLINK("C:\Users\franc\OneDrive\Documentos\MALENTIN KARIME\BANCO ESTADO\2012 DEPTO ESCRITURAS fata\2012 DEPTO ESCRITURAS\Meson\autoriza.doc", "Abrir Documento")</f>
        <v>0</v>
      </c>
      <c r="D19659" t="s">
        <v>23500</v>
      </c>
      <c r="E19659" t="s">
        <v>42134</v>
      </c>
    </row>
    <row r="19660" spans="1:5">
      <c r="A19660" t="s">
        <v>6</v>
      </c>
      <c r="B19660" t="s">
        <v>19665</v>
      </c>
      <c r="C19660">
        <f>HYPERLINK("C:\Users\franc\OneDrive\Documentos\MALENTIN KARIME\BANCO ESTADO\2012 DEPTO ESCRITURAS fata\2012 DEPTO ESCRITURAS\maria isabel maluenda\MANDATO\EMILIA ZEPEDA.doc", "Abrir Documento")</f>
        <v>0</v>
      </c>
      <c r="D19660" t="s">
        <v>23500</v>
      </c>
      <c r="E19660" t="s">
        <v>42135</v>
      </c>
    </row>
    <row r="19661" spans="1:5">
      <c r="A19661" t="s">
        <v>6</v>
      </c>
      <c r="B19661" t="s">
        <v>19666</v>
      </c>
      <c r="C19661">
        <f>HYPERLINK("C:\Users\franc\OneDrive\Documentos\MALENTIN KARIME\BANCO ESTADO\2012 DEPTO ESCRITURAS fata\2012 DEPTO ESCRITURAS\maria isabel maluenda\VICTOR ALLENDE AGUILERA A María Maluenda.doc", "Abrir Documento")</f>
        <v>0</v>
      </c>
      <c r="D19661" t="s">
        <v>23500</v>
      </c>
      <c r="E19661" t="s">
        <v>42136</v>
      </c>
    </row>
    <row r="19662" spans="1:5">
      <c r="A19662" t="s">
        <v>6</v>
      </c>
      <c r="B19662" t="s">
        <v>19667</v>
      </c>
      <c r="C19662">
        <f>HYPERLINK("C:\Users\franc\OneDrive\Documentos\MALENTIN KARIME\BANCO ESTADO\2012 DEPTO ESCRITURAS fata\2012 DEPTO ESCRITURAS\maria isabel maluenda\MONICA MIRANDA A JORGE MIRANDA.doc", "Abrir Documento")</f>
        <v>0</v>
      </c>
      <c r="D19662" t="s">
        <v>23500</v>
      </c>
      <c r="E19662" t="s">
        <v>42137</v>
      </c>
    </row>
    <row r="19663" spans="1:5">
      <c r="A19663" t="s">
        <v>6</v>
      </c>
      <c r="B19663" t="s">
        <v>19668</v>
      </c>
      <c r="C19663">
        <f>HYPERLINK("C:\Users\franc\OneDrive\Documentos\MALENTIN KARIME\BANCO ESTADO\2012 DEPTO ESCRITURAS fata\2012 DEPTO ESCRITURAS\maria isabel maluenda\MONICA MIRANDA A JORGE MIRANDA copia.doc", "Abrir Documento")</f>
        <v>0</v>
      </c>
      <c r="D19663" t="s">
        <v>23500</v>
      </c>
      <c r="E19663" t="s">
        <v>42138</v>
      </c>
    </row>
    <row r="19664" spans="1:5">
      <c r="A19664" t="s">
        <v>6</v>
      </c>
      <c r="B19664" t="s">
        <v>19669</v>
      </c>
      <c r="C19664">
        <f>HYPERLINK("C:\Users\franc\OneDrive\Documentos\MALENTIN KARIME\BANCO ESTADO\2012 DEPTO ESCRITURAS fata\2012 DEPTO ESCRITURAS\maria isabel maluenda\MINERA LOS MAITENES RIO HURTADO A Elias Díaz.doc", "Abrir Documento")</f>
        <v>0</v>
      </c>
      <c r="D19664" t="s">
        <v>23500</v>
      </c>
      <c r="E19664" t="s">
        <v>42139</v>
      </c>
    </row>
    <row r="19665" spans="1:5">
      <c r="A19665" t="s">
        <v>6</v>
      </c>
      <c r="B19665" t="s">
        <v>19670</v>
      </c>
      <c r="C19665">
        <f>HYPERLINK("C:\Users\franc\OneDrive\Documentos\MALENTIN KARIME\BANCO ESTADO\2012 DEPTO ESCRITURAS fata\2012 DEPTO ESCRITURAS\maria isabel maluenda\MINERA LOS MAITENES RIO HURTADO A Elias Díaz Modificacion.doc", "Abrir Documento")</f>
        <v>0</v>
      </c>
      <c r="D19665" t="s">
        <v>23500</v>
      </c>
      <c r="E19665" t="s">
        <v>42140</v>
      </c>
    </row>
    <row r="19666" spans="1:5">
      <c r="A19666" t="s">
        <v>6</v>
      </c>
      <c r="B19666" t="s">
        <v>19671</v>
      </c>
      <c r="C19666">
        <f>HYPERLINK("C:\Users\franc\OneDrive\Documentos\MALENTIN KARIME\BANCO ESTADO\2012 DEPTO ESCRITURAS fata\2012 DEPTO ESCRITURAS\maria isabel maluenda\MINERA LOS MAITENES Cancelacion.doc", "Abrir Documento")</f>
        <v>0</v>
      </c>
      <c r="D19666" t="s">
        <v>23500</v>
      </c>
      <c r="E19666" t="s">
        <v>42141</v>
      </c>
    </row>
    <row r="19667" spans="1:5">
      <c r="A19667" t="s">
        <v>6</v>
      </c>
      <c r="B19667" t="s">
        <v>19672</v>
      </c>
      <c r="C19667">
        <f>HYPERLINK("C:\Users\franc\OneDrive\Documentos\MALENTIN KARIME\BANCO ESTADO\2012 DEPTO ESCRITURAS fata\2012 DEPTO ESCRITURAS\maria isabel maluenda\MARIA JIMENA PAYERO MJudicial.doc", "Abrir Documento")</f>
        <v>0</v>
      </c>
      <c r="D19667" t="s">
        <v>23500</v>
      </c>
      <c r="E19667" t="s">
        <v>42142</v>
      </c>
    </row>
    <row r="19668" spans="1:5">
      <c r="A19668" t="s">
        <v>6</v>
      </c>
      <c r="B19668" t="s">
        <v>19673</v>
      </c>
      <c r="C19668">
        <f>HYPERLINK("C:\Users\franc\OneDrive\Documentos\MALENTIN KARIME\BANCO ESTADO\2012 DEPTO ESCRITURAS fata\2012 DEPTO ESCRITURAS\maria isabel maluenda\MARIA JIMENA PAYERO MJudicial 2222.doc", "Abrir Documento")</f>
        <v>0</v>
      </c>
      <c r="D19668" t="s">
        <v>23500</v>
      </c>
      <c r="E19668" t="s">
        <v>42143</v>
      </c>
    </row>
    <row r="19669" spans="1:5">
      <c r="A19669" t="s">
        <v>6</v>
      </c>
      <c r="B19669" t="s">
        <v>19674</v>
      </c>
      <c r="C19669">
        <f>HYPERLINK("C:\Users\franc\OneDrive\Documentos\MALENTIN KARIME\BANCO ESTADO\2012 DEPTO ESCRITURAS fata\2012 DEPTO ESCRITURAS\maria isabel maluenda\MARCOS CUELLO VEGA.doc", "Abrir Documento")</f>
        <v>0</v>
      </c>
      <c r="D19669" t="s">
        <v>23500</v>
      </c>
      <c r="E19669" t="s">
        <v>42144</v>
      </c>
    </row>
    <row r="19670" spans="1:5">
      <c r="A19670" t="s">
        <v>6</v>
      </c>
      <c r="B19670" t="s">
        <v>19675</v>
      </c>
      <c r="C19670">
        <f>HYPERLINK("C:\Users\franc\OneDrive\Documentos\MALENTIN KARIME\BANCO ESTADO\2012 DEPTO ESCRITURAS fata\2012 DEPTO ESCRITURAS\maria isabel maluenda\MANDATO. PARA PERCIBIR SRA JIMENA.doc", "Abrir Documento")</f>
        <v>0</v>
      </c>
      <c r="D19670" t="s">
        <v>23500</v>
      </c>
      <c r="E19670" t="s">
        <v>42145</v>
      </c>
    </row>
    <row r="19671" spans="1:5">
      <c r="A19671" t="s">
        <v>6</v>
      </c>
      <c r="B19671" t="s">
        <v>19676</v>
      </c>
      <c r="C19671">
        <f>HYPERLINK("C:\Users\franc\OneDrive\Documentos\MALENTIN KARIME\BANCO ESTADO\2012 DEPTO ESCRITURAS fata\2012 DEPTO ESCRITURAS\maria isabel maluenda\mandato especial maría isabel maluenda.doc", "Abrir Documento")</f>
        <v>0</v>
      </c>
      <c r="D19671" t="s">
        <v>23500</v>
      </c>
      <c r="E19671" t="s">
        <v>42146</v>
      </c>
    </row>
    <row r="19672" spans="1:5">
      <c r="A19672" t="s">
        <v>6</v>
      </c>
      <c r="B19672" t="s">
        <v>19677</v>
      </c>
      <c r="C19672">
        <f>HYPERLINK("C:\Users\franc\OneDrive\Documentos\MALENTIN KARIME\BANCO ESTADO\2012 DEPTO ESCRITURAS fata\2012 DEPTO ESCRITURAS\maria isabel maluenda\JESUS MILLA DIAZ Y OTROS.doc", "Abrir Documento")</f>
        <v>0</v>
      </c>
      <c r="D19672" t="s">
        <v>23500</v>
      </c>
      <c r="E19672" t="s">
        <v>42147</v>
      </c>
    </row>
    <row r="19673" spans="1:5">
      <c r="A19673" t="s">
        <v>6</v>
      </c>
      <c r="B19673" t="s">
        <v>19678</v>
      </c>
      <c r="C19673">
        <f>HYPERLINK("C:\Users\franc\OneDrive\Documentos\MALENTIN KARIME\BANCO ESTADO\2012 DEPTO ESCRITURAS fata\2012 DEPTO ESCRITURAS\maria isabel maluenda\JAIME GONZALEZ CASTILLO Mjudicial.doc", "Abrir Documento")</f>
        <v>0</v>
      </c>
      <c r="D19673" t="s">
        <v>23500</v>
      </c>
      <c r="E19673" t="s">
        <v>42148</v>
      </c>
    </row>
    <row r="19674" spans="1:5">
      <c r="A19674" t="s">
        <v>6</v>
      </c>
      <c r="B19674" t="s">
        <v>19679</v>
      </c>
      <c r="C19674">
        <f>HYPERLINK("C:\Users\franc\OneDrive\Documentos\MALENTIN KARIME\BANCO ESTADO\2012 DEPTO ESCRITURAS fata\2012 DEPTO ESCRITURAS\maria isabel maluenda\GUILLERMO LEDEZMA ARACENA.doc", "Abrir Documento")</f>
        <v>0</v>
      </c>
      <c r="D19674" t="s">
        <v>23500</v>
      </c>
      <c r="E19674" t="s">
        <v>42149</v>
      </c>
    </row>
    <row r="19675" spans="1:5">
      <c r="A19675" t="s">
        <v>6</v>
      </c>
      <c r="B19675" t="s">
        <v>19680</v>
      </c>
      <c r="C19675">
        <f>HYPERLINK("C:\Users\franc\OneDrive\Documentos\MALENTIN KARIME\BANCO ESTADO\2012 DEPTO ESCRITURAS fata\2012 DEPTO ESCRITURAS\maria isabel maluenda\ELIANA AGUILAR AVALOS.doc", "Abrir Documento")</f>
        <v>0</v>
      </c>
      <c r="D19675" t="s">
        <v>23500</v>
      </c>
      <c r="E19675" t="s">
        <v>42150</v>
      </c>
    </row>
    <row r="19676" spans="1:5">
      <c r="A19676" t="s">
        <v>6</v>
      </c>
      <c r="B19676" t="s">
        <v>19681</v>
      </c>
      <c r="C19676">
        <f>HYPERLINK("C:\Users\franc\OneDrive\Documentos\MALENTIN KARIME\BANCO ESTADO\2012 DEPTO ESCRITURAS fata\2012 DEPTO ESCRITURAS\maria isabel maluenda\CARMEN CONTADOR Oct 13.doc", "Abrir Documento")</f>
        <v>0</v>
      </c>
      <c r="D19676" t="s">
        <v>23500</v>
      </c>
      <c r="E19676" t="s">
        <v>42151</v>
      </c>
    </row>
    <row r="19677" spans="1:5">
      <c r="A19677" t="s">
        <v>6</v>
      </c>
      <c r="B19677" t="s">
        <v>19682</v>
      </c>
      <c r="C19677">
        <f>HYPERLINK("C:\Users\franc\OneDrive\Documentos\MALENTIN KARIME\BANCO ESTADO\2012 DEPTO ESCRITURAS fata\2012 DEPTO ESCRITURAS\maria isabel maluenda\BALBINA DIAZ ARAYA.doc", "Abrir Documento")</f>
        <v>0</v>
      </c>
      <c r="D19677" t="s">
        <v>23500</v>
      </c>
      <c r="E19677" t="s">
        <v>42152</v>
      </c>
    </row>
    <row r="19678" spans="1:5">
      <c r="A19678" t="s">
        <v>6</v>
      </c>
      <c r="B19678" t="s">
        <v>19683</v>
      </c>
      <c r="C19678">
        <f>HYPERLINK("C:\Users\franc\OneDrive\Documentos\MALENTIN KARIME\BANCO ESTADO\2012 DEPTO ESCRITURAS fata\2012 DEPTO ESCRITURAS\MANDATOS JUDICIALES\TANYA PEÑA\PATRICIA TAPIA.doc", "Abrir Documento")</f>
        <v>0</v>
      </c>
      <c r="D19678" t="s">
        <v>23500</v>
      </c>
      <c r="E19678" t="s">
        <v>42153</v>
      </c>
    </row>
    <row r="19679" spans="1:5">
      <c r="A19679" t="s">
        <v>6</v>
      </c>
      <c r="B19679" t="s">
        <v>19684</v>
      </c>
      <c r="C19679">
        <f>HYPERLINK("C:\Users\franc\OneDrive\Documentos\MALENTIN KARIME\BANCO ESTADO\2012 DEPTO ESCRITURAS fata\2012 DEPTO ESCRITURAS\MANDATOS JUDICIALES\SERGIO SALFATE\LUCAS ROJAS HONORES.doc", "Abrir Documento")</f>
        <v>0</v>
      </c>
      <c r="D19679" t="s">
        <v>23500</v>
      </c>
      <c r="E19679" t="s">
        <v>42154</v>
      </c>
    </row>
    <row r="19680" spans="1:5">
      <c r="A19680" t="s">
        <v>6</v>
      </c>
      <c r="B19680" t="s">
        <v>19685</v>
      </c>
      <c r="C19680">
        <f>HYPERLINK("C:\Users\franc\OneDrive\Documentos\MALENTIN KARIME\BANCO ESTADO\2012 DEPTO ESCRITURAS fata\2012 DEPTO ESCRITURAS\MANDATOS JUDICIALES\SERGIO GALLEGUILLOS\ILUSTRE MUNICIPALIDAD DE OVALLE.doc", "Abrir Documento")</f>
        <v>0</v>
      </c>
      <c r="D19680" t="s">
        <v>23500</v>
      </c>
      <c r="E19680" t="s">
        <v>42155</v>
      </c>
    </row>
    <row r="19681" spans="1:5">
      <c r="A19681" t="s">
        <v>6</v>
      </c>
      <c r="B19681" t="s">
        <v>19686</v>
      </c>
      <c r="C19681">
        <f>HYPERLINK("C:\Users\franc\OneDrive\Documentos\MALENTIN KARIME\BANCO ESTADO\2012 DEPTO ESCRITURAS fata\2012 DEPTO ESCRITURAS\MANDATOS JUDICIALES\RUBEN MIRANDA\LUIS CHANDIA.doc", "Abrir Documento")</f>
        <v>0</v>
      </c>
      <c r="D19681" t="s">
        <v>23500</v>
      </c>
      <c r="E19681" t="s">
        <v>42156</v>
      </c>
    </row>
    <row r="19682" spans="1:5">
      <c r="A19682" t="s">
        <v>6</v>
      </c>
      <c r="B19682" t="s">
        <v>19687</v>
      </c>
      <c r="C19682">
        <f>HYPERLINK("C:\Users\franc\OneDrive\Documentos\MALENTIN KARIME\BANCO ESTADO\2012 DEPTO ESCRITURAS fata\2012 DEPTO ESCRITURAS\MANDATOS JUDICIALES\ROBERTO VEGA\JUSTO BARRIOS A Roberto Vega.doc", "Abrir Documento")</f>
        <v>0</v>
      </c>
      <c r="D19682" t="s">
        <v>23500</v>
      </c>
      <c r="E19682" t="s">
        <v>42157</v>
      </c>
    </row>
    <row r="19683" spans="1:5">
      <c r="A19683" t="s">
        <v>6</v>
      </c>
      <c r="B19683" t="s">
        <v>19688</v>
      </c>
      <c r="C19683">
        <f>HYPERLINK("C:\Users\franc\OneDrive\Documentos\MALENTIN KARIME\BANCO ESTADO\2012 DEPTO ESCRITURAS fata\2012 DEPTO ESCRITURAS\MANDATOS JUDICIALES\RAUL SALAMANCA\GRACE CIR A RAUL SALAMANCA.doc", "Abrir Documento")</f>
        <v>0</v>
      </c>
      <c r="D19683" t="s">
        <v>23500</v>
      </c>
      <c r="E19683" t="s">
        <v>42158</v>
      </c>
    </row>
    <row r="19684" spans="1:5">
      <c r="A19684" t="s">
        <v>6</v>
      </c>
      <c r="B19684" t="s">
        <v>19689</v>
      </c>
      <c r="C19684">
        <f>HYPERLINK("C:\Users\franc\OneDrive\Documentos\MALENTIN KARIME\BANCO ESTADO\2012 DEPTO ESCRITURAS fata\2012 DEPTO ESCRITURAS\MANDATOS JUDICIALES\RAUL SALAMANCA\CRISTIAN VAN DER A RAUL SALAMANCA.doc", "Abrir Documento")</f>
        <v>0</v>
      </c>
      <c r="D19684" t="s">
        <v>23500</v>
      </c>
      <c r="E19684" t="s">
        <v>42159</v>
      </c>
    </row>
    <row r="19685" spans="1:5">
      <c r="A19685" t="s">
        <v>6</v>
      </c>
      <c r="B19685" t="s">
        <v>19690</v>
      </c>
      <c r="C19685">
        <f>HYPERLINK("C:\Users\franc\OneDrive\Documentos\MALENTIN KARIME\BANCO ESTADO\2012 DEPTO ESCRITURAS fata\2012 DEPTO ESCRITURAS\MANDATOS JUDICIALES\PATRICIA ALFARO\SILVIA ROJAS SARRIA.doc", "Abrir Documento")</f>
        <v>0</v>
      </c>
      <c r="D19685" t="s">
        <v>23500</v>
      </c>
      <c r="E19685" t="s">
        <v>42160</v>
      </c>
    </row>
    <row r="19686" spans="1:5">
      <c r="A19686" t="s">
        <v>6</v>
      </c>
      <c r="B19686" t="s">
        <v>19691</v>
      </c>
      <c r="C19686">
        <f>HYPERLINK("C:\Users\franc\OneDrive\Documentos\MALENTIN KARIME\BANCO ESTADO\2012 DEPTO ESCRITURAS fata\2012 DEPTO ESCRITURAS\MANDATOS JUDICIALES\PATRICIA ALFARO\MODELO.doc", "Abrir Documento")</f>
        <v>0</v>
      </c>
      <c r="D19686" t="s">
        <v>23500</v>
      </c>
      <c r="E19686" t="s">
        <v>42161</v>
      </c>
    </row>
    <row r="19687" spans="1:5">
      <c r="A19687" t="s">
        <v>6</v>
      </c>
      <c r="B19687" t="s">
        <v>19692</v>
      </c>
      <c r="C19687">
        <f>HYPERLINK("C:\Users\franc\OneDrive\Documentos\MALENTIN KARIME\BANCO ESTADO\2012 DEPTO ESCRITURAS fata\2012 DEPTO ESCRITURAS\MANDATOS JUDICIALES\PATRICIA ALFARO\MIRIAM AVILA.doc", "Abrir Documento")</f>
        <v>0</v>
      </c>
      <c r="D19687" t="s">
        <v>23500</v>
      </c>
      <c r="E19687" t="s">
        <v>42162</v>
      </c>
    </row>
    <row r="19688" spans="1:5">
      <c r="A19688" t="s">
        <v>6</v>
      </c>
      <c r="B19688" t="s">
        <v>19693</v>
      </c>
      <c r="C19688">
        <f>HYPERLINK("C:\Users\franc\OneDrive\Documentos\MALENTIN KARIME\BANCO ESTADO\2012 DEPTO ESCRITURAS fata\2012 DEPTO ESCRITURAS\MANDATOS JUDICIALES\PATRICIA ALFARO\MARIO PIZARRO A VIVIANA ALFARO.doc", "Abrir Documento")</f>
        <v>0</v>
      </c>
      <c r="D19688" t="s">
        <v>23500</v>
      </c>
      <c r="E19688" t="s">
        <v>42163</v>
      </c>
    </row>
    <row r="19689" spans="1:5">
      <c r="A19689" t="s">
        <v>6</v>
      </c>
      <c r="B19689" t="s">
        <v>19694</v>
      </c>
      <c r="C19689">
        <f>HYPERLINK("C:\Users\franc\OneDrive\Documentos\MALENTIN KARIME\BANCO ESTADO\2012 DEPTO ESCRITURAS fata\2012 DEPTO ESCRITURAS\MANDATOS JUDICIALES\PATRICIA ALFARO\JUAN CORTES MURA.doc", "Abrir Documento")</f>
        <v>0</v>
      </c>
      <c r="D19689" t="s">
        <v>23500</v>
      </c>
      <c r="E19689" t="s">
        <v>42164</v>
      </c>
    </row>
    <row r="19690" spans="1:5">
      <c r="A19690" t="s">
        <v>6</v>
      </c>
      <c r="B19690" t="s">
        <v>19695</v>
      </c>
      <c r="C19690">
        <f>HYPERLINK("C:\Users\franc\OneDrive\Documentos\MALENTIN KARIME\BANCO ESTADO\2012 DEPTO ESCRITURAS fata\2012 DEPTO ESCRITURAS\MANDATOS JUDICIALES\PATRICIA ALFARO\JINCONG DENG.doc", "Abrir Documento")</f>
        <v>0</v>
      </c>
      <c r="D19690" t="s">
        <v>23500</v>
      </c>
      <c r="E19690" t="s">
        <v>42165</v>
      </c>
    </row>
    <row r="19691" spans="1:5">
      <c r="A19691" t="s">
        <v>6</v>
      </c>
      <c r="B19691" t="s">
        <v>19696</v>
      </c>
      <c r="C19691">
        <f>HYPERLINK("C:\Users\franc\OneDrive\Documentos\MALENTIN KARIME\BANCO ESTADO\2012 DEPTO ESCRITURAS fata\2012 DEPTO ESCRITURAS\MANDATOS JUDICIALES\PATRICIA ALFARO\FUL BUSS.doc", "Abrir Documento")</f>
        <v>0</v>
      </c>
      <c r="D19691" t="s">
        <v>23500</v>
      </c>
      <c r="E19691" t="s">
        <v>42166</v>
      </c>
    </row>
    <row r="19692" spans="1:5">
      <c r="A19692" t="s">
        <v>6</v>
      </c>
      <c r="B19692" t="s">
        <v>19697</v>
      </c>
      <c r="C19692">
        <f>HYPERLINK("C:\Users\franc\OneDrive\Documentos\MALENTIN KARIME\BANCO ESTADO\2012 DEPTO ESCRITURAS fata\2012 DEPTO ESCRITURAS\MANDATOS JUDICIALES\PABLO VEGA ETCHEVERRY\RONALD LANAS.doc", "Abrir Documento")</f>
        <v>0</v>
      </c>
      <c r="D19692" t="s">
        <v>23500</v>
      </c>
      <c r="E19692" t="s">
        <v>42167</v>
      </c>
    </row>
    <row r="19693" spans="1:5">
      <c r="A19693" t="s">
        <v>6</v>
      </c>
      <c r="B19693" t="s">
        <v>19698</v>
      </c>
      <c r="C19693">
        <f>HYPERLINK("C:\Users\franc\OneDrive\Documentos\MALENTIN KARIME\BANCO ESTADO\2012 DEPTO ESCRITURAS fata\2012 DEPTO ESCRITURAS\MANDATOS JUDICIALES\PABLO VEGA ETCHEVERRY\RONALD LANAS copia.doc", "Abrir Documento")</f>
        <v>0</v>
      </c>
      <c r="D19693" t="s">
        <v>23500</v>
      </c>
      <c r="E19693" t="s">
        <v>42168</v>
      </c>
    </row>
    <row r="19694" spans="1:5">
      <c r="A19694" t="s">
        <v>6</v>
      </c>
      <c r="B19694" t="s">
        <v>19699</v>
      </c>
      <c r="C19694">
        <f>HYPERLINK("C:\Users\franc\OneDrive\Documentos\MALENTIN KARIME\BANCO ESTADO\2012 DEPTO ESCRITURAS fata\2012 DEPTO ESCRITURAS\MANDATOS JUDICIALES\NATALIA ESPINOZA\JULIAN MORATA G.doc", "Abrir Documento")</f>
        <v>0</v>
      </c>
      <c r="D19694" t="s">
        <v>23500</v>
      </c>
      <c r="E19694" t="s">
        <v>42169</v>
      </c>
    </row>
    <row r="19695" spans="1:5">
      <c r="A19695" t="s">
        <v>6</v>
      </c>
      <c r="B19695" t="s">
        <v>19700</v>
      </c>
      <c r="C19695">
        <f>HYPERLINK("C:\Users\franc\OneDrive\Documentos\MALENTIN KARIME\BANCO ESTADO\2012 DEPTO ESCRITURAS fata\2012 DEPTO ESCRITURAS\MANDATOS JUDICIALES\MIGUEL ANGEL SANHUEZA\JOSE TORREJON VILLALOBOS.doc", "Abrir Documento")</f>
        <v>0</v>
      </c>
      <c r="D19695" t="s">
        <v>23500</v>
      </c>
      <c r="E19695" t="s">
        <v>42170</v>
      </c>
    </row>
    <row r="19696" spans="1:5">
      <c r="A19696" t="s">
        <v>6</v>
      </c>
      <c r="B19696" t="s">
        <v>19701</v>
      </c>
      <c r="C19696">
        <f>HYPERLINK("C:\Users\franc\OneDrive\Documentos\MALENTIN KARIME\BANCO ESTADO\2012 DEPTO ESCRITURAS fata\2012 DEPTO ESCRITURAS\MANDATOS JUDICIALES\MIGUEL ANGEL SANHUEZA\EDUARDO MILLA TRIGOS.doc", "Abrir Documento")</f>
        <v>0</v>
      </c>
      <c r="D19696" t="s">
        <v>23500</v>
      </c>
      <c r="E19696" t="s">
        <v>42171</v>
      </c>
    </row>
    <row r="19697" spans="1:5">
      <c r="A19697" t="s">
        <v>6</v>
      </c>
      <c r="B19697" t="s">
        <v>19702</v>
      </c>
      <c r="C19697">
        <f>HYPERLINK("C:\Users\franc\OneDrive\Documentos\MALENTIN KARIME\BANCO ESTADO\2012 DEPTO ESCRITURAS fata\2012 DEPTO ESCRITURAS\MANDATOS JUDICIALES\MIGUEL ANGEL\RODRIGO FLORES.doc", "Abrir Documento")</f>
        <v>0</v>
      </c>
      <c r="D19697" t="s">
        <v>23500</v>
      </c>
      <c r="E19697" t="s">
        <v>42172</v>
      </c>
    </row>
    <row r="19698" spans="1:5">
      <c r="A19698" t="s">
        <v>6</v>
      </c>
      <c r="B19698" t="s">
        <v>19703</v>
      </c>
      <c r="C19698">
        <f>HYPERLINK("C:\Users\franc\OneDrive\Documentos\MALENTIN KARIME\BANCO ESTADO\2012 DEPTO ESCRITURAS fata\2012 DEPTO ESCRITURAS\MANDATOS JUDICIALES\MARIO RODRIGUEZ\ANA LAZO VILLAR.doc", "Abrir Documento")</f>
        <v>0</v>
      </c>
      <c r="D19698" t="s">
        <v>23500</v>
      </c>
      <c r="E19698" t="s">
        <v>42173</v>
      </c>
    </row>
    <row r="19699" spans="1:5">
      <c r="A19699" t="s">
        <v>6</v>
      </c>
      <c r="B19699" t="s">
        <v>19704</v>
      </c>
      <c r="C19699">
        <f>HYPERLINK("C:\Users\franc\OneDrive\Documentos\MALENTIN KARIME\BANCO ESTADO\2012 DEPTO ESCRITURAS fata\2012 DEPTO ESCRITURAS\MANDATOS JUDICIALES\MARIO BARRIOS\NELSON CONTRERAS.doc", "Abrir Documento")</f>
        <v>0</v>
      </c>
      <c r="D19699" t="s">
        <v>23500</v>
      </c>
      <c r="E19699" t="s">
        <v>42174</v>
      </c>
    </row>
    <row r="19700" spans="1:5">
      <c r="A19700" t="s">
        <v>6</v>
      </c>
      <c r="B19700" t="s">
        <v>19705</v>
      </c>
      <c r="C19700">
        <f>HYPERLINK("C:\Users\franc\OneDrive\Documentos\MALENTIN KARIME\BANCO ESTADO\2012 DEPTO ESCRITURAS fata\2012 DEPTO ESCRITURAS\MANDATOS JUDICIALES\MARIO BARRIOS\ELIANA RAMIREZ DIAZ Minuta.doc", "Abrir Documento")</f>
        <v>0</v>
      </c>
      <c r="D19700" t="s">
        <v>23500</v>
      </c>
      <c r="E19700" t="s">
        <v>42175</v>
      </c>
    </row>
    <row r="19701" spans="1:5">
      <c r="A19701" t="s">
        <v>6</v>
      </c>
      <c r="B19701" t="s">
        <v>19706</v>
      </c>
      <c r="C19701">
        <f>HYPERLINK("C:\Users\franc\OneDrive\Documentos\MALENTIN KARIME\BANCO ESTADO\2012 DEPTO ESCRITURAS fata\2012 DEPTO ESCRITURAS\MANDATOS JUDICIALES\MARIO BARRIOS\ALEJANDRO AGUIRRE.doc", "Abrir Documento")</f>
        <v>0</v>
      </c>
      <c r="D19701" t="s">
        <v>23500</v>
      </c>
      <c r="E19701" t="s">
        <v>42176</v>
      </c>
    </row>
    <row r="19702" spans="1:5">
      <c r="A19702" t="s">
        <v>6</v>
      </c>
      <c r="B19702" t="s">
        <v>19707</v>
      </c>
      <c r="C19702">
        <f>HYPERLINK("C:\Users\franc\OneDrive\Documentos\MALENTIN KARIME\BANCO ESTADO\2012 DEPTO ESCRITURAS fata\2012 DEPTO ESCRITURAS\MANDATOS JUDICIALES\MARIO BARRIOS\ABELARDO ALCAYAGA A NORMA TAPIA Minuta.doc", "Abrir Documento")</f>
        <v>0</v>
      </c>
      <c r="D19702" t="s">
        <v>23500</v>
      </c>
      <c r="E19702" t="s">
        <v>42177</v>
      </c>
    </row>
    <row r="19703" spans="1:5">
      <c r="A19703" t="s">
        <v>6</v>
      </c>
      <c r="B19703" t="s">
        <v>19708</v>
      </c>
      <c r="C19703">
        <f>HYPERLINK("C:\Users\franc\OneDrive\Documentos\MALENTIN KARIME\BANCO ESTADO\2012 DEPTO ESCRITURAS fata\2012 DEPTO ESCRITURAS\MANDATOS JUDICIALES\MARIA NUÑEZ HERRERA\MUNICIPALIDAD DE OVALLE C Renteria.doc", "Abrir Documento")</f>
        <v>0</v>
      </c>
      <c r="D19703" t="s">
        <v>23500</v>
      </c>
      <c r="E19703" t="s">
        <v>42178</v>
      </c>
    </row>
    <row r="19704" spans="1:5">
      <c r="A19704" t="s">
        <v>6</v>
      </c>
      <c r="B19704" t="s">
        <v>19709</v>
      </c>
      <c r="C19704">
        <f>HYPERLINK("C:\Users\franc\OneDrive\Documentos\MALENTIN KARIME\BANCO ESTADO\2012 DEPTO ESCRITURAS fata\2012 DEPTO ESCRITURAS\MANDATOS JUDICIALES\MARIA NUÑEZ HERRERA\LUIS LOPEZ CORTES.doc", "Abrir Documento")</f>
        <v>0</v>
      </c>
      <c r="D19704" t="s">
        <v>23500</v>
      </c>
      <c r="E19704" t="s">
        <v>42179</v>
      </c>
    </row>
    <row r="19705" spans="1:5">
      <c r="A19705" t="s">
        <v>6</v>
      </c>
      <c r="B19705" t="s">
        <v>19710</v>
      </c>
      <c r="C19705">
        <f>HYPERLINK("C:\Users\franc\OneDrive\Documentos\MALENTIN KARIME\BANCO ESTADO\2012 DEPTO ESCRITURAS fata\2012 DEPTO ESCRITURAS\MANDATOS JUDICIALES\MARIA NUÑEZ HERRERA\LUIS GUIRALDES.doc", "Abrir Documento")</f>
        <v>0</v>
      </c>
      <c r="D19705" t="s">
        <v>23500</v>
      </c>
      <c r="E19705" t="s">
        <v>42180</v>
      </c>
    </row>
    <row r="19706" spans="1:5">
      <c r="A19706" t="s">
        <v>6</v>
      </c>
      <c r="B19706" t="s">
        <v>19711</v>
      </c>
      <c r="C19706">
        <f>HYPERLINK("C:\Users\franc\OneDrive\Documentos\MALENTIN KARIME\BANCO ESTADO\2012 DEPTO ESCRITURAS fata\2012 DEPTO ESCRITURAS\MANDATOS JUDICIALES\MARIA NUÑEZ HERRERA\JOSE JOFRE FUENTES.doc", "Abrir Documento")</f>
        <v>0</v>
      </c>
      <c r="D19706" t="s">
        <v>23500</v>
      </c>
      <c r="E19706" t="s">
        <v>42181</v>
      </c>
    </row>
    <row r="19707" spans="1:5">
      <c r="A19707" t="s">
        <v>6</v>
      </c>
      <c r="B19707" t="s">
        <v>19712</v>
      </c>
      <c r="C19707">
        <f>HYPERLINK("C:\Users\franc\OneDrive\Documentos\MALENTIN KARIME\BANCO ESTADO\2012 DEPTO ESCRITURAS fata\2012 DEPTO ESCRITURAS\MANDATOS JUDICIALES\MARIA NUÑEZ HERRERA\HECTOR ROJAS ARAYA.doc", "Abrir Documento")</f>
        <v>0</v>
      </c>
      <c r="D19707" t="s">
        <v>23500</v>
      </c>
      <c r="E19707" t="s">
        <v>42182</v>
      </c>
    </row>
    <row r="19708" spans="1:5">
      <c r="A19708" t="s">
        <v>6</v>
      </c>
      <c r="B19708" t="s">
        <v>19713</v>
      </c>
      <c r="C19708">
        <f>HYPERLINK("C:\Users\franc\OneDrive\Documentos\MALENTIN KARIME\BANCO ESTADO\2012 DEPTO ESCRITURAS fata\2012 DEPTO ESCRITURAS\MANDATOS JUDICIALES\MARIA NUÑEZ HERRERA\HUGO ZEPEDA PINTO.doc", "Abrir Documento")</f>
        <v>0</v>
      </c>
      <c r="D19708" t="s">
        <v>23500</v>
      </c>
      <c r="E19708" t="s">
        <v>42182</v>
      </c>
    </row>
    <row r="19709" spans="1:5">
      <c r="A19709" t="s">
        <v>6</v>
      </c>
      <c r="B19709" t="s">
        <v>19714</v>
      </c>
      <c r="C19709">
        <f>HYPERLINK("C:\Users\franc\OneDrive\Documentos\MALENTIN KARIME\BANCO ESTADO\2012 DEPTO ESCRITURAS fata\2012 DEPTO ESCRITURAS\MANDATOS JUDICIALES\MARIA NUÑEZ HERRERA\ARMANDO SALAMANCA C.doc", "Abrir Documento")</f>
        <v>0</v>
      </c>
      <c r="D19709" t="s">
        <v>23500</v>
      </c>
      <c r="E19709" t="s">
        <v>42183</v>
      </c>
    </row>
    <row r="19710" spans="1:5">
      <c r="A19710" t="s">
        <v>6</v>
      </c>
      <c r="B19710" t="s">
        <v>19715</v>
      </c>
      <c r="C19710">
        <f>HYPERLINK("C:\Users\franc\OneDrive\Documentos\MALENTIN KARIME\BANCO ESTADO\2012 DEPTO ESCRITURAS fata\2012 DEPTO ESCRITURAS\MANDATOS JUDICIALES\MARIA JOSE CERDA ARANCIBIA\GABRIEL MONDACA CONTRERAS Minuta.doc", "Abrir Documento")</f>
        <v>0</v>
      </c>
      <c r="D19710" t="s">
        <v>23500</v>
      </c>
      <c r="E19710" t="s">
        <v>42184</v>
      </c>
    </row>
    <row r="19711" spans="1:5">
      <c r="A19711" t="s">
        <v>6</v>
      </c>
      <c r="B19711" t="s">
        <v>19716</v>
      </c>
      <c r="C19711">
        <f>HYPERLINK("C:\Users\franc\OneDrive\Documentos\MALENTIN KARIME\BANCO ESTADO\2012 DEPTO ESCRITURAS fata\2012 DEPTO ESCRITURAS\MANDATOS JUDICIALES\MARIA CRISTINA DIAZ HERNANDEZ\CERRO CAMPAÑARIO.doc", "Abrir Documento")</f>
        <v>0</v>
      </c>
      <c r="D19711" t="s">
        <v>23500</v>
      </c>
      <c r="E19711" t="s">
        <v>42185</v>
      </c>
    </row>
    <row r="19712" spans="1:5">
      <c r="A19712" t="s">
        <v>6</v>
      </c>
      <c r="B19712" t="s">
        <v>19717</v>
      </c>
      <c r="C19712">
        <f>HYPERLINK("C:\Users\franc\OneDrive\Documentos\MALENTIN KARIME\BANCO ESTADO\2012 DEPTO ESCRITURAS fata\2012 DEPTO ESCRITURAS\MANDATOS JUDICIALES\MARIA CRISTINA DIAZ HERNANDEZ\CERRO CAMPANARIO Mayo 2014.doc", "Abrir Documento")</f>
        <v>0</v>
      </c>
      <c r="D19712" t="s">
        <v>23500</v>
      </c>
      <c r="E19712" t="s">
        <v>42186</v>
      </c>
    </row>
    <row r="19713" spans="1:5">
      <c r="A19713" t="s">
        <v>6</v>
      </c>
      <c r="B19713" t="s">
        <v>19718</v>
      </c>
      <c r="C19713">
        <f>HYPERLINK("C:\Users\franc\OneDrive\Documentos\MALENTIN KARIME\BANCO ESTADO\2012 DEPTO ESCRITURAS fata\2012 DEPTO ESCRITURAS\MANDATOS JUDICIALES\YASNA CORTES A SHERIEL BUSTOS.doc", "Abrir Documento")</f>
        <v>0</v>
      </c>
      <c r="D19713" t="s">
        <v>23500</v>
      </c>
      <c r="E19713" t="s">
        <v>42187</v>
      </c>
    </row>
    <row r="19714" spans="1:5">
      <c r="A19714" t="s">
        <v>6</v>
      </c>
      <c r="B19714" t="s">
        <v>19719</v>
      </c>
      <c r="C19714">
        <f>HYPERLINK("C:\Users\franc\OneDrive\Documentos\MALENTIN KARIME\BANCO ESTADO\2012 DEPTO ESCRITURAS fata\2012 DEPTO ESCRITURAS\MANDATOS JUDICIALES\YASNA CORTES A SHERIEL BUSTOS 2222.doc", "Abrir Documento")</f>
        <v>0</v>
      </c>
      <c r="D19714" t="s">
        <v>23500</v>
      </c>
      <c r="E19714" t="s">
        <v>42188</v>
      </c>
    </row>
    <row r="19715" spans="1:5">
      <c r="A19715" t="s">
        <v>6</v>
      </c>
      <c r="B19715" t="s">
        <v>19720</v>
      </c>
      <c r="C19715">
        <f>HYPERLINK("C:\Users\franc\OneDrive\Documentos\MALENTIN KARIME\BANCO ESTADO\2012 DEPTO ESCRITURAS fata\2012 DEPTO ESCRITURAS\MANDATOS JUDICIALES\VICTOR TAPIA ROJAS Minuta.doc", "Abrir Documento")</f>
        <v>0</v>
      </c>
      <c r="D19715" t="s">
        <v>23500</v>
      </c>
      <c r="E19715" t="s">
        <v>42189</v>
      </c>
    </row>
    <row r="19716" spans="1:5">
      <c r="A19716" t="s">
        <v>6</v>
      </c>
      <c r="B19716" t="s">
        <v>19721</v>
      </c>
      <c r="C19716">
        <f>HYPERLINK("C:\Users\franc\OneDrive\Documentos\MALENTIN KARIME\BANCO ESTADO\2012 DEPTO ESCRITURAS fata\2012 DEPTO ESCRITURAS\MANDATOS JUDICIALES\TERESA DEL TRANSITO CORTES TELLO.doc", "Abrir Documento")</f>
        <v>0</v>
      </c>
      <c r="D19716" t="s">
        <v>23500</v>
      </c>
      <c r="E19716" t="s">
        <v>42190</v>
      </c>
    </row>
    <row r="19717" spans="1:5">
      <c r="A19717" t="s">
        <v>6</v>
      </c>
      <c r="B19717" t="s">
        <v>19722</v>
      </c>
      <c r="C19717">
        <f>HYPERLINK("C:\Users\franc\OneDrive\Documentos\MALENTIN KARIME\BANCO ESTADO\2012 DEPTO ESCRITURAS fata\2012 DEPTO ESCRITURAS\MANDATOS JUDICIALES\SUCESION UREN CORTES.doc", "Abrir Documento")</f>
        <v>0</v>
      </c>
      <c r="D19717" t="s">
        <v>23500</v>
      </c>
      <c r="E19717" t="s">
        <v>42191</v>
      </c>
    </row>
    <row r="19718" spans="1:5">
      <c r="A19718" t="s">
        <v>6</v>
      </c>
      <c r="B19718" t="s">
        <v>19723</v>
      </c>
      <c r="C19718">
        <f>HYPERLINK("C:\Users\franc\OneDrive\Documentos\MALENTIN KARIME\BANCO ESTADO\2012 DEPTO ESCRITURAS fata\2012 DEPTO ESCRITURAS\MANDATOS JUDICIALES\SUCESION UREN CORTES II Parte.doc", "Abrir Documento")</f>
        <v>0</v>
      </c>
      <c r="D19718" t="s">
        <v>23500</v>
      </c>
      <c r="E19718" t="s">
        <v>42192</v>
      </c>
    </row>
    <row r="19719" spans="1:5">
      <c r="A19719" t="s">
        <v>6</v>
      </c>
      <c r="B19719" t="s">
        <v>19724</v>
      </c>
      <c r="C19719">
        <f>HYPERLINK("C:\Users\franc\OneDrive\Documentos\MALENTIN KARIME\BANCO ESTADO\2012 DEPTO ESCRITURAS fata\2012 DEPTO ESCRITURAS\MANDATOS JUDICIALES\SUCESION CASTILLO IBACACHE judicial especial.doc", "Abrir Documento")</f>
        <v>0</v>
      </c>
      <c r="D19719" t="s">
        <v>23500</v>
      </c>
      <c r="E19719" t="s">
        <v>42193</v>
      </c>
    </row>
    <row r="19720" spans="1:5">
      <c r="A19720" t="s">
        <v>6</v>
      </c>
      <c r="B19720" t="s">
        <v>19725</v>
      </c>
      <c r="C19720">
        <f>HYPERLINK("C:\Users\franc\OneDrive\Documentos\MALENTIN KARIME\BANCO ESTADO\2012 DEPTO ESCRITURAS fata\2012 DEPTO ESCRITURAS\MANDATOS JUDICIALES\SERGIO ROMAN.doc", "Abrir Documento")</f>
        <v>0</v>
      </c>
      <c r="D19720" t="s">
        <v>23500</v>
      </c>
      <c r="E19720" t="s">
        <v>42194</v>
      </c>
    </row>
    <row r="19721" spans="1:5">
      <c r="A19721" t="s">
        <v>6</v>
      </c>
      <c r="B19721" t="s">
        <v>19726</v>
      </c>
      <c r="C19721">
        <f>HYPERLINK("C:\Users\franc\OneDrive\Documentos\MALENTIN KARIME\BANCO ESTADO\2012 DEPTO ESCRITURAS fata\2012 DEPTO ESCRITURAS\MANDATOS JUDICIALES\PATRICIO CORTES Judicial Especial.doc", "Abrir Documento")</f>
        <v>0</v>
      </c>
      <c r="D19721" t="s">
        <v>23500</v>
      </c>
      <c r="E19721" t="s">
        <v>42195</v>
      </c>
    </row>
    <row r="19722" spans="1:5">
      <c r="A19722" t="s">
        <v>6</v>
      </c>
      <c r="B19722" t="s">
        <v>19727</v>
      </c>
      <c r="C19722">
        <f>HYPERLINK("C:\Users\franc\OneDrive\Documentos\MALENTIN KARIME\BANCO ESTADO\2012 DEPTO ESCRITURAS fata\2012 DEPTO ESCRITURAS\MANDATOS JUDICIALES\PATRICIA NERIA delegacion.doc", "Abrir Documento")</f>
        <v>0</v>
      </c>
      <c r="D19722" t="s">
        <v>23500</v>
      </c>
      <c r="E19722" t="s">
        <v>42196</v>
      </c>
    </row>
    <row r="19723" spans="1:5">
      <c r="A19723" t="s">
        <v>6</v>
      </c>
      <c r="B19723" t="s">
        <v>19728</v>
      </c>
      <c r="C19723">
        <f>HYPERLINK("C:\Users\franc\OneDrive\Documentos\MALENTIN KARIME\BANCO ESTADO\2012 DEPTO ESCRITURAS fata\2012 DEPTO ESCRITURAS\MANDATOS JUDICIALES\PABLO SOTO Ratificacion.doc", "Abrir Documento")</f>
        <v>0</v>
      </c>
      <c r="D19723" t="s">
        <v>23500</v>
      </c>
      <c r="E19723" t="s">
        <v>42197</v>
      </c>
    </row>
    <row r="19724" spans="1:5">
      <c r="A19724" t="s">
        <v>6</v>
      </c>
      <c r="B19724" t="s">
        <v>19729</v>
      </c>
      <c r="C19724">
        <f>HYPERLINK("C:\Users\franc\OneDrive\Documentos\MALENTIN KARIME\BANCO ESTADO\2012 DEPTO ESCRITURAS fata\2012 DEPTO ESCRITURAS\MANDATOS JUDICIALES\NORMA ANGELICA GUERRA SAFFA Municipalidad.doc", "Abrir Documento")</f>
        <v>0</v>
      </c>
      <c r="D19724" t="s">
        <v>23500</v>
      </c>
      <c r="E19724" t="s">
        <v>42198</v>
      </c>
    </row>
    <row r="19725" spans="1:5">
      <c r="A19725" t="s">
        <v>6</v>
      </c>
      <c r="B19725" t="s">
        <v>19730</v>
      </c>
      <c r="C19725">
        <f>HYPERLINK("C:\Users\franc\OneDrive\Documentos\MALENTIN KARIME\BANCO ESTADO\2012 DEPTO ESCRITURAS fata\2012 DEPTO ESCRITURAS\MANDATOS JUDICIALES\MOISES COLOMA A DAGOBERTO RAMOS.doc", "Abrir Documento")</f>
        <v>0</v>
      </c>
      <c r="D19725" t="s">
        <v>23500</v>
      </c>
      <c r="E19725" t="s">
        <v>42199</v>
      </c>
    </row>
    <row r="19726" spans="1:5">
      <c r="A19726" t="s">
        <v>6</v>
      </c>
      <c r="B19726" t="s">
        <v>19731</v>
      </c>
      <c r="C19726">
        <f>HYPERLINK("C:\Users\franc\OneDrive\Documentos\MALENTIN KARIME\BANCO ESTADO\2012 DEPTO ESCRITURAS fata\2012 DEPTO ESCRITURAS\MANDATOS JUDICIALES\MAURICIO MAZZARELLI A CAROLA OJEDA.doc", "Abrir Documento")</f>
        <v>0</v>
      </c>
      <c r="D19726" t="s">
        <v>23500</v>
      </c>
      <c r="E19726" t="s">
        <v>42200</v>
      </c>
    </row>
    <row r="19727" spans="1:5">
      <c r="A19727" t="s">
        <v>6</v>
      </c>
      <c r="B19727" t="s">
        <v>19732</v>
      </c>
      <c r="C19727">
        <f>HYPERLINK("C:\Users\franc\OneDrive\Documentos\MALENTIN KARIME\BANCO ESTADO\2012 DEPTO ESCRITURAS fata\2012 DEPTO ESCRITURAS\MANDATOS JUDICIALES\MARIA QUIZAJADA JARA.doc", "Abrir Documento")</f>
        <v>0</v>
      </c>
      <c r="D19727" t="s">
        <v>23500</v>
      </c>
      <c r="E19727" t="s">
        <v>42201</v>
      </c>
    </row>
    <row r="19728" spans="1:5">
      <c r="A19728" t="s">
        <v>6</v>
      </c>
      <c r="B19728" t="s">
        <v>19733</v>
      </c>
      <c r="C19728">
        <f>HYPERLINK("C:\Users\franc\OneDrive\Documentos\MALENTIN KARIME\BANCO ESTADO\2012 DEPTO ESCRITURAS fata\2012 DEPTO ESCRITURAS\MANDATOS JUDICIALES\MARIA MADARIAGA PIZARRO Judicial Especial.doc", "Abrir Documento")</f>
        <v>0</v>
      </c>
      <c r="D19728" t="s">
        <v>23500</v>
      </c>
      <c r="E19728" t="s">
        <v>42202</v>
      </c>
    </row>
    <row r="19729" spans="1:5">
      <c r="A19729" t="s">
        <v>6</v>
      </c>
      <c r="B19729" t="s">
        <v>19734</v>
      </c>
      <c r="C19729">
        <f>HYPERLINK("C:\Users\franc\OneDrive\Documentos\MALENTIN KARIME\BANCO ESTADO\2012 DEPTO ESCRITURAS fata\2012 DEPTO ESCRITURAS\MANDATOS JUDICIALES\MARIA MADARIAGA PIZARRO Judicial Especial II.doc", "Abrir Documento")</f>
        <v>0</v>
      </c>
      <c r="D19729" t="s">
        <v>23500</v>
      </c>
      <c r="E19729" t="s">
        <v>42203</v>
      </c>
    </row>
    <row r="19730" spans="1:5">
      <c r="A19730" t="s">
        <v>6</v>
      </c>
      <c r="B19730" t="s">
        <v>19735</v>
      </c>
      <c r="C19730">
        <f>HYPERLINK("C:\Users\franc\OneDrive\Documentos\MALENTIN KARIME\BANCO ESTADO\2012 DEPTO ESCRITURAS fata\2012 DEPTO ESCRITURAS\MANDATOS JUDICIALES\MARCOS ROJAS QUIROZ Judicial Especial MINUTA.doc", "Abrir Documento")</f>
        <v>0</v>
      </c>
      <c r="D19730" t="s">
        <v>23500</v>
      </c>
      <c r="E19730" t="s">
        <v>42204</v>
      </c>
    </row>
    <row r="19731" spans="1:5">
      <c r="A19731" t="s">
        <v>6</v>
      </c>
      <c r="B19731" t="s">
        <v>19736</v>
      </c>
      <c r="C19731">
        <f>HYPERLINK("C:\Users\franc\OneDrive\Documentos\MALENTIN KARIME\BANCO ESTADO\2012 DEPTO ESCRITURAS fata\2012 DEPTO ESCRITURAS\MANDATOS JUDICIALES\MARCIAL TORRES CONTRERAS Judicial Especial.doc", "Abrir Documento")</f>
        <v>0</v>
      </c>
      <c r="D19731" t="s">
        <v>23500</v>
      </c>
      <c r="E19731" t="s">
        <v>42205</v>
      </c>
    </row>
    <row r="19732" spans="1:5">
      <c r="A19732" t="s">
        <v>6</v>
      </c>
      <c r="B19732" t="s">
        <v>19737</v>
      </c>
      <c r="C19732">
        <f>HYPERLINK("C:\Users\franc\OneDrive\Documentos\MALENTIN KARIME\BANCO ESTADO\2012 DEPTO ESCRITURAS fata\2012 DEPTO ESCRITURAS\MANDATOS JUDICIALES\LOS AROMOS  A Barbara Salinas.doc", "Abrir Documento")</f>
        <v>0</v>
      </c>
      <c r="D19732" t="s">
        <v>23500</v>
      </c>
      <c r="E19732" t="s">
        <v>42206</v>
      </c>
    </row>
    <row r="19733" spans="1:5">
      <c r="A19733" t="s">
        <v>6</v>
      </c>
      <c r="B19733" t="s">
        <v>19738</v>
      </c>
      <c r="C19733">
        <f>HYPERLINK("C:\Users\franc\OneDrive\Documentos\MALENTIN KARIME\BANCO ESTADO\2012 DEPTO ESCRITURAS fata\2012 DEPTO ESCRITURAS\MANDATOS JUDICIALES\JUNTA VIGILANCIA RIO MOSTAZAL.doc", "Abrir Documento")</f>
        <v>0</v>
      </c>
      <c r="D19733" t="s">
        <v>23500</v>
      </c>
      <c r="E19733" t="s">
        <v>42207</v>
      </c>
    </row>
    <row r="19734" spans="1:5">
      <c r="A19734" t="s">
        <v>6</v>
      </c>
      <c r="B19734" t="s">
        <v>19739</v>
      </c>
      <c r="C19734">
        <f>HYPERLINK("C:\Users\franc\OneDrive\Documentos\MALENTIN KARIME\BANCO ESTADO\2012 DEPTO ESCRITURAS fata\2012 DEPTO ESCRITURAS\MANDATOS JUDICIALES\JULIO MONTERO.doc", "Abrir Documento")</f>
        <v>0</v>
      </c>
      <c r="D19734" t="s">
        <v>23500</v>
      </c>
      <c r="E19734" t="s">
        <v>42208</v>
      </c>
    </row>
    <row r="19735" spans="1:5">
      <c r="A19735" t="s">
        <v>6</v>
      </c>
      <c r="B19735" t="s">
        <v>19740</v>
      </c>
      <c r="C19735">
        <f>HYPERLINK("C:\Users\franc\OneDrive\Documentos\MALENTIN KARIME\BANCO ESTADO\2012 DEPTO ESCRITURAS fata\2012 DEPTO ESCRITURAS\MANDATOS JUDICIALES\JUAN MAZU  A ALFREDO ESCOBAR.doc", "Abrir Documento")</f>
        <v>0</v>
      </c>
      <c r="D19735" t="s">
        <v>23500</v>
      </c>
      <c r="E19735" t="s">
        <v>42209</v>
      </c>
    </row>
    <row r="19736" spans="1:5">
      <c r="A19736" t="s">
        <v>6</v>
      </c>
      <c r="B19736" t="s">
        <v>19741</v>
      </c>
      <c r="C19736">
        <f>HYPERLINK("C:\Users\franc\OneDrive\Documentos\MALENTIN KARIME\BANCO ESTADO\2012 DEPTO ESCRITURAS fata\2012 DEPTO ESCRITURAS\MANDATOS JUDICIALES\JUAN MARAMBIO ANDUEZA A Roberto Naranjo Coopeval.doc", "Abrir Documento")</f>
        <v>0</v>
      </c>
      <c r="D19736" t="s">
        <v>23500</v>
      </c>
      <c r="E19736" t="s">
        <v>42210</v>
      </c>
    </row>
    <row r="19737" spans="1:5">
      <c r="A19737" t="s">
        <v>6</v>
      </c>
      <c r="B19737" t="s">
        <v>19742</v>
      </c>
      <c r="C19737">
        <f>HYPERLINK("C:\Users\franc\OneDrive\Documentos\MALENTIN KARIME\BANCO ESTADO\2012 DEPTO ESCRITURAS fata\2012 DEPTO ESCRITURAS\MANDATOS JUDICIALES\JOSE SANTANDER A JACQUELINE PIZARRO.doc", "Abrir Documento")</f>
        <v>0</v>
      </c>
      <c r="D19737" t="s">
        <v>23500</v>
      </c>
      <c r="E19737" t="s">
        <v>42211</v>
      </c>
    </row>
    <row r="19738" spans="1:5">
      <c r="A19738" t="s">
        <v>6</v>
      </c>
      <c r="B19738" t="s">
        <v>19743</v>
      </c>
      <c r="C19738">
        <f>HYPERLINK("C:\Users\franc\OneDrive\Documentos\MALENTIN KARIME\BANCO ESTADO\2012 DEPTO ESCRITURAS fata\2012 DEPTO ESCRITURAS\MANDATOS JUDICIALES\JUAN CARLOS GARCIA COLLAO.doc", "Abrir Documento")</f>
        <v>0</v>
      </c>
      <c r="D19738" t="s">
        <v>23500</v>
      </c>
      <c r="E19738" t="s">
        <v>42211</v>
      </c>
    </row>
    <row r="19739" spans="1:5">
      <c r="A19739" t="s">
        <v>6</v>
      </c>
      <c r="B19739" t="s">
        <v>19744</v>
      </c>
      <c r="C19739">
        <f>HYPERLINK("C:\Users\franc\OneDrive\Documentos\MALENTIN KARIME\BANCO ESTADO\2012 DEPTO ESCRITURAS fata\2012 DEPTO ESCRITURAS\MANDATOS JUDICIALES\JOSE LUIS MARTINEZ CORDOVA A MIGUEL CHAPARRO.doc", "Abrir Documento")</f>
        <v>0</v>
      </c>
      <c r="D19739" t="s">
        <v>23500</v>
      </c>
      <c r="E19739" t="s">
        <v>42212</v>
      </c>
    </row>
    <row r="19740" spans="1:5">
      <c r="A19740" t="s">
        <v>6</v>
      </c>
      <c r="B19740" t="s">
        <v>19745</v>
      </c>
      <c r="C19740">
        <f>HYPERLINK("C:\Users\franc\OneDrive\Documentos\MALENTIN KARIME\BANCO ESTADO\2012 DEPTO ESCRITURAS fata\2012 DEPTO ESCRITURAS\MANDATOS JUDICIALES\JOSE LUIS MARTINEZ A MIGUEL CHAPARRO.doc", "Abrir Documento")</f>
        <v>0</v>
      </c>
      <c r="D19740" t="s">
        <v>23500</v>
      </c>
      <c r="E19740" t="s">
        <v>42213</v>
      </c>
    </row>
    <row r="19741" spans="1:5">
      <c r="A19741" t="s">
        <v>6</v>
      </c>
      <c r="B19741" t="s">
        <v>19746</v>
      </c>
      <c r="C19741">
        <f>HYPERLINK("C:\Users\franc\OneDrive\Documentos\MALENTIN KARIME\BANCO ESTADO\2012 DEPTO ESCRITURAS fata\2012 DEPTO ESCRITURAS\MANDATOS JUDICIALES\JOSE JIMENEZ A EUGENIO RAMIREZ.doc", "Abrir Documento")</f>
        <v>0</v>
      </c>
      <c r="D19741" t="s">
        <v>23500</v>
      </c>
      <c r="E19741" t="s">
        <v>42214</v>
      </c>
    </row>
    <row r="19742" spans="1:5">
      <c r="A19742" t="s">
        <v>6</v>
      </c>
      <c r="B19742" t="s">
        <v>19747</v>
      </c>
      <c r="C19742">
        <f>HYPERLINK("C:\Users\franc\OneDrive\Documentos\MALENTIN KARIME\BANCO ESTADO\2012 DEPTO ESCRITURAS fata\2012 DEPTO ESCRITURAS\MANDATOS JUDICIALES\JOSE ANGEL ROJAS.doc", "Abrir Documento")</f>
        <v>0</v>
      </c>
      <c r="D19742" t="s">
        <v>23500</v>
      </c>
      <c r="E19742" t="s">
        <v>42215</v>
      </c>
    </row>
    <row r="19743" spans="1:5">
      <c r="A19743" t="s">
        <v>6</v>
      </c>
      <c r="B19743" t="s">
        <v>19748</v>
      </c>
      <c r="C19743">
        <f>HYPERLINK("C:\Users\franc\OneDrive\Documentos\MALENTIN KARIME\BANCO ESTADO\2012 DEPTO ESCRITURAS fata\2012 DEPTO ESCRITURAS\MANDATOS JUDICIALES\JORGE RIVERA CARVAJA A ALEJANDRO VILLEGAS.doc", "Abrir Documento")</f>
        <v>0</v>
      </c>
      <c r="D19743" t="s">
        <v>23500</v>
      </c>
      <c r="E19743" t="s">
        <v>42216</v>
      </c>
    </row>
    <row r="19744" spans="1:5">
      <c r="A19744" t="s">
        <v>6</v>
      </c>
      <c r="B19744" t="s">
        <v>19749</v>
      </c>
      <c r="C19744">
        <f>HYPERLINK("C:\Users\franc\OneDrive\Documentos\MALENTIN KARIME\BANCO ESTADO\2012 DEPTO ESCRITURAS fata\2012 DEPTO ESCRITURAS\MANDATOS JUDICIALES\JORGE CORTEZ GONZALEZ A PATRICIA VELASQUEZ.doc", "Abrir Documento")</f>
        <v>0</v>
      </c>
      <c r="D19744" t="s">
        <v>23500</v>
      </c>
      <c r="E19744" t="s">
        <v>42217</v>
      </c>
    </row>
    <row r="19745" spans="1:5">
      <c r="A19745" t="s">
        <v>6</v>
      </c>
      <c r="B19745" t="s">
        <v>19750</v>
      </c>
      <c r="C19745">
        <f>HYPERLINK("C:\Users\franc\OneDrive\Documentos\MALENTIN KARIME\BANCO ESTADO\2012 DEPTO ESCRITURAS fata\2012 DEPTO ESCRITURAS\MANDATOS JUDICIALES\JAVIER CONTADOR A Barbara Salinas.doc", "Abrir Documento")</f>
        <v>0</v>
      </c>
      <c r="D19745" t="s">
        <v>23500</v>
      </c>
      <c r="E19745" t="s">
        <v>42218</v>
      </c>
    </row>
    <row r="19746" spans="1:5">
      <c r="A19746" t="s">
        <v>6</v>
      </c>
      <c r="B19746" t="s">
        <v>19751</v>
      </c>
      <c r="C19746">
        <f>HYPERLINK("C:\Users\franc\OneDrive\Documentos\MALENTIN KARIME\BANCO ESTADO\2012 DEPTO ESCRITURAS fata\2012 DEPTO ESCRITURAS\MANDATOS JUDICIALES\JAVIER CONTADOR A Barbara Salinas II.doc", "Abrir Documento")</f>
        <v>0</v>
      </c>
      <c r="D19746" t="s">
        <v>23500</v>
      </c>
      <c r="E19746" t="s">
        <v>42219</v>
      </c>
    </row>
    <row r="19747" spans="1:5">
      <c r="A19747" t="s">
        <v>6</v>
      </c>
      <c r="B19747" t="s">
        <v>19752</v>
      </c>
      <c r="C19747">
        <f>HYPERLINK("C:\Users\franc\OneDrive\Documentos\MALENTIN KARIME\BANCO ESTADO\2012 DEPTO ESCRITURAS fata\2012 DEPTO ESCRITURAS\MANDATOS JUDICIALES\HONORIA AGUERO Judicial Especial.doc", "Abrir Documento")</f>
        <v>0</v>
      </c>
      <c r="D19747" t="s">
        <v>23500</v>
      </c>
      <c r="E19747" t="s">
        <v>42220</v>
      </c>
    </row>
    <row r="19748" spans="1:5">
      <c r="A19748" t="s">
        <v>6</v>
      </c>
      <c r="B19748" t="s">
        <v>19753</v>
      </c>
      <c r="C19748">
        <f>HYPERLINK("C:\Users\franc\OneDrive\Documentos\MALENTIN KARIME\BANCO ESTADO\2012 DEPTO ESCRITURAS fata\2012 DEPTO ESCRITURAS\MANDATOS JUDICIALES\HERMAN ANDRADES MORENO.doc", "Abrir Documento")</f>
        <v>0</v>
      </c>
      <c r="D19748" t="s">
        <v>23500</v>
      </c>
      <c r="E19748" t="s">
        <v>42221</v>
      </c>
    </row>
    <row r="19749" spans="1:5">
      <c r="A19749" t="s">
        <v>6</v>
      </c>
      <c r="B19749" t="s">
        <v>19754</v>
      </c>
      <c r="C19749">
        <f>HYPERLINK("C:\Users\franc\OneDrive\Documentos\MALENTIN KARIME\BANCO ESTADO\2012 DEPTO ESCRITURAS fata\2012 DEPTO ESCRITURAS\MANDATOS JUDICIALES\GUILLERMO VIDAURRE Judicial Especial.doc", "Abrir Documento")</f>
        <v>0</v>
      </c>
      <c r="D19749" t="s">
        <v>23500</v>
      </c>
      <c r="E19749" t="s">
        <v>42222</v>
      </c>
    </row>
    <row r="19750" spans="1:5">
      <c r="A19750" t="s">
        <v>6</v>
      </c>
      <c r="B19750" t="s">
        <v>19755</v>
      </c>
      <c r="C19750">
        <f>HYPERLINK("C:\Users\franc\OneDrive\Documentos\MALENTIN KARIME\BANCO ESTADO\2012 DEPTO ESCRITURAS fata\2012 DEPTO ESCRITURAS\MANDATOS JUDICIALES\GLADYS AROS A ETNA VARAS.doc", "Abrir Documento")</f>
        <v>0</v>
      </c>
      <c r="D19750" t="s">
        <v>23500</v>
      </c>
      <c r="E19750" t="s">
        <v>42223</v>
      </c>
    </row>
    <row r="19751" spans="1:5">
      <c r="A19751" t="s">
        <v>6</v>
      </c>
      <c r="B19751" t="s">
        <v>19756</v>
      </c>
      <c r="C19751">
        <f>HYPERLINK("C:\Users\franc\OneDrive\Documentos\MALENTIN KARIME\BANCO ESTADO\2012 DEPTO ESCRITURAS fata\2012 DEPTO ESCRITURAS\MANDATOS JUDICIALES\FRANCO RIETTA Judicial Especial.doc", "Abrir Documento")</f>
        <v>0</v>
      </c>
      <c r="D19751" t="s">
        <v>23500</v>
      </c>
      <c r="E19751" t="s">
        <v>42224</v>
      </c>
    </row>
    <row r="19752" spans="1:5">
      <c r="A19752" t="s">
        <v>6</v>
      </c>
      <c r="B19752" t="s">
        <v>19757</v>
      </c>
      <c r="C19752">
        <f>HYPERLINK("C:\Users\franc\OneDrive\Documentos\MALENTIN KARIME\BANCO ESTADO\2012 DEPTO ESCRITURAS fata\2012 DEPTO ESCRITURAS\MANDATOS JUDICIALES\FRANCISCO JAVIER MORGADO SALFATE A CRISTIAN ZEPEDA Menor edad.doc", "Abrir Documento")</f>
        <v>0</v>
      </c>
      <c r="D19752" t="s">
        <v>23500</v>
      </c>
      <c r="E19752" t="s">
        <v>42225</v>
      </c>
    </row>
    <row r="19753" spans="1:5">
      <c r="A19753" t="s">
        <v>6</v>
      </c>
      <c r="B19753" t="s">
        <v>19758</v>
      </c>
      <c r="C19753">
        <f>HYPERLINK("C:\Users\franc\OneDrive\Documentos\MALENTIN KARIME\BANCO ESTADO\2012 DEPTO ESCRITURAS fata\2012 DEPTO ESCRITURAS\MANDATOS JUDICIALES\FARMACEUTICA PRAD.doc", "Abrir Documento")</f>
        <v>0</v>
      </c>
      <c r="D19753" t="s">
        <v>23500</v>
      </c>
      <c r="E19753" t="s">
        <v>42226</v>
      </c>
    </row>
    <row r="19754" spans="1:5">
      <c r="A19754" t="s">
        <v>6</v>
      </c>
      <c r="B19754" t="s">
        <v>19759</v>
      </c>
      <c r="C19754">
        <f>HYPERLINK("C:\Users\franc\OneDrive\Documentos\MALENTIN KARIME\BANCO ESTADO\2012 DEPTO ESCRITURAS fata\2012 DEPTO ESCRITURAS\MANDATOS JUDICIALES\EXPORTADORA VALLE DEL LIMARI SpA.doc", "Abrir Documento")</f>
        <v>0</v>
      </c>
      <c r="D19754" t="s">
        <v>23500</v>
      </c>
      <c r="E19754" t="s">
        <v>42227</v>
      </c>
    </row>
    <row r="19755" spans="1:5">
      <c r="A19755" t="s">
        <v>6</v>
      </c>
      <c r="B19755" t="s">
        <v>19760</v>
      </c>
      <c r="C19755">
        <f>HYPERLINK("C:\Users\franc\OneDrive\Documentos\MALENTIN KARIME\BANCO ESTADO\2012 DEPTO ESCRITURAS fata\2012 DEPTO ESCRITURAS\MANDATOS JUDICIALES\ERIC MELLADAO A PATRICIA VIDAL Y OTRA.doc", "Abrir Documento")</f>
        <v>0</v>
      </c>
      <c r="D19755" t="s">
        <v>23500</v>
      </c>
      <c r="E19755" t="s">
        <v>42228</v>
      </c>
    </row>
    <row r="19756" spans="1:5">
      <c r="A19756" t="s">
        <v>6</v>
      </c>
      <c r="B19756" t="s">
        <v>19761</v>
      </c>
      <c r="C19756">
        <f>HYPERLINK("C:\Users\franc\OneDrive\Documentos\MALENTIN KARIME\BANCO ESTADO\2012 DEPTO ESCRITURAS fata\2012 DEPTO ESCRITURAS\MANDATOS JUDICIALES\ERCILIA ORTIZ.doc", "Abrir Documento")</f>
        <v>0</v>
      </c>
      <c r="D19756" t="s">
        <v>23500</v>
      </c>
      <c r="E19756" t="s">
        <v>42229</v>
      </c>
    </row>
    <row r="19757" spans="1:5">
      <c r="A19757" t="s">
        <v>6</v>
      </c>
      <c r="B19757" t="s">
        <v>19762</v>
      </c>
      <c r="C19757">
        <f>HYPERLINK("C:\Users\franc\OneDrive\Documentos\MALENTIN KARIME\BANCO ESTADO\2012 DEPTO ESCRITURAS fata\2012 DEPTO ESCRITURAS\MANDATOS JUDICIALES\EMMA ALCAYAGA LOPEZ A DANIEL SALFATE.doc", "Abrir Documento")</f>
        <v>0</v>
      </c>
      <c r="D19757" t="s">
        <v>23500</v>
      </c>
      <c r="E19757" t="s">
        <v>42230</v>
      </c>
    </row>
    <row r="19758" spans="1:5">
      <c r="A19758" t="s">
        <v>6</v>
      </c>
      <c r="B19758" t="s">
        <v>19763</v>
      </c>
      <c r="C19758">
        <f>HYPERLINK("C:\Users\franc\OneDrive\Documentos\MALENTIN KARIME\BANCO ESTADO\2012 DEPTO ESCRITURAS fata\2012 DEPTO ESCRITURAS\MANDATOS JUDICIALES\EDUVIGIS MANZANOJudicial Especial.doc", "Abrir Documento")</f>
        <v>0</v>
      </c>
      <c r="D19758" t="s">
        <v>23500</v>
      </c>
      <c r="E19758" t="s">
        <v>42231</v>
      </c>
    </row>
    <row r="19759" spans="1:5">
      <c r="A19759" t="s">
        <v>6</v>
      </c>
      <c r="B19759" t="s">
        <v>19764</v>
      </c>
      <c r="C19759">
        <f>HYPERLINK("C:\Users\franc\OneDrive\Documentos\MALENTIN KARIME\BANCO ESTADO\2012 DEPTO ESCRITURAS fata\2012 DEPTO ESCRITURAS\MANDATOS JUDICIALES\EDUARDO RIVERA A RENE YAÑEZ.docx", "Abrir Documento")</f>
        <v>0</v>
      </c>
      <c r="D19759" t="s">
        <v>23501</v>
      </c>
      <c r="E19759" t="s">
        <v>42232</v>
      </c>
    </row>
    <row r="19760" spans="1:5">
      <c r="A19760" t="s">
        <v>6</v>
      </c>
      <c r="B19760" t="s">
        <v>19765</v>
      </c>
      <c r="C19760">
        <f>HYPERLINK("C:\Users\franc\OneDrive\Documentos\MALENTIN KARIME\BANCO ESTADO\2012 DEPTO ESCRITURAS fata\2012 DEPTO ESCRITURAS\MANDATOS JUDICIALES\EDUARDO RIVERA A Rene Yañez minuta.doc", "Abrir Documento")</f>
        <v>0</v>
      </c>
      <c r="D19760" t="s">
        <v>23500</v>
      </c>
      <c r="E19760" t="s">
        <v>42233</v>
      </c>
    </row>
    <row r="19761" spans="1:5">
      <c r="A19761" t="s">
        <v>6</v>
      </c>
      <c r="B19761" t="s">
        <v>19766</v>
      </c>
      <c r="C19761">
        <f>HYPERLINK("C:\Users\franc\OneDrive\Documentos\MALENTIN KARIME\BANCO ESTADO\2012 DEPTO ESCRITURAS fata\2012 DEPTO ESCRITURAS\MANDATOS JUDICIALES\DANIEL GUERRA A ROCIO RODRIGUEZ.doc", "Abrir Documento")</f>
        <v>0</v>
      </c>
      <c r="D19761" t="s">
        <v>23500</v>
      </c>
      <c r="E19761" t="s">
        <v>42234</v>
      </c>
    </row>
    <row r="19762" spans="1:5">
      <c r="A19762" t="s">
        <v>6</v>
      </c>
      <c r="B19762" t="s">
        <v>19767</v>
      </c>
      <c r="C19762">
        <f>HYPERLINK("C:\Users\franc\OneDrive\Documentos\MALENTIN KARIME\BANCO ESTADO\2012 DEPTO ESCRITURAS fata\2012 DEPTO ESCRITURAS\MANDATOS JUDICIALES\DANIEL ARTURO SALFATE.doc", "Abrir Documento")</f>
        <v>0</v>
      </c>
      <c r="D19762" t="s">
        <v>23500</v>
      </c>
      <c r="E19762" t="s">
        <v>42235</v>
      </c>
    </row>
    <row r="19763" spans="1:5">
      <c r="A19763" t="s">
        <v>6</v>
      </c>
      <c r="B19763" t="s">
        <v>19768</v>
      </c>
      <c r="C19763">
        <f>HYPERLINK("C:\Users\franc\OneDrive\Documentos\MALENTIN KARIME\BANCO ESTADO\2012 DEPTO ESCRITURAS fata\2012 DEPTO ESCRITURAS\MANDATOS JUDICIALES\CONTADOR FRUTOS S.A. A Barbara Salinas.doc", "Abrir Documento")</f>
        <v>0</v>
      </c>
      <c r="D19763" t="s">
        <v>23500</v>
      </c>
      <c r="E19763" t="s">
        <v>42236</v>
      </c>
    </row>
    <row r="19764" spans="1:5">
      <c r="A19764" t="s">
        <v>6</v>
      </c>
      <c r="B19764" t="s">
        <v>19769</v>
      </c>
      <c r="C19764">
        <f>HYPERLINK("C:\Users\franc\OneDrive\Documentos\MALENTIN KARIME\BANCO ESTADO\2012 DEPTO ESCRITURAS fata\2012 DEPTO ESCRITURAS\MANDATOS JUDICIALES\CLEMENTE FUENTEALBA A Pedro Gutierrez.doc", "Abrir Documento")</f>
        <v>0</v>
      </c>
      <c r="D19764" t="s">
        <v>23500</v>
      </c>
      <c r="E19764" t="s">
        <v>42237</v>
      </c>
    </row>
    <row r="19765" spans="1:5">
      <c r="A19765" t="s">
        <v>6</v>
      </c>
      <c r="B19765" t="s">
        <v>19770</v>
      </c>
      <c r="C19765">
        <f>HYPERLINK("C:\Users\franc\OneDrive\Documentos\MALENTIN KARIME\BANCO ESTADO\2012 DEPTO ESCRITURAS fata\2012 DEPTO ESCRITURAS\MANDATOS JUDICIALES\carlos pinto a gabriela negrette.doc", "Abrir Documento")</f>
        <v>0</v>
      </c>
      <c r="D19765" t="s">
        <v>23500</v>
      </c>
      <c r="E19765" t="s">
        <v>42238</v>
      </c>
    </row>
    <row r="19766" spans="1:5">
      <c r="A19766" t="s">
        <v>6</v>
      </c>
      <c r="B19766" t="s">
        <v>19771</v>
      </c>
      <c r="C19766">
        <f>HYPERLINK("C:\Users\franc\OneDrive\Documentos\MALENTIN KARIME\BANCO ESTADO\2012 DEPTO ESCRITURAS fata\2012 DEPTO ESCRITURAS\MANDATOS JUDICIALES\CARLOS OTAROLA A OROMPELLO PALACIOS.doc", "Abrir Documento")</f>
        <v>0</v>
      </c>
      <c r="D19766" t="s">
        <v>23500</v>
      </c>
      <c r="E19766" t="s">
        <v>42239</v>
      </c>
    </row>
    <row r="19767" spans="1:5">
      <c r="A19767" t="s">
        <v>6</v>
      </c>
      <c r="B19767" t="s">
        <v>19772</v>
      </c>
      <c r="C19767">
        <f>HYPERLINK("C:\Users\franc\OneDrive\Documentos\MALENTIN KARIME\BANCO ESTADO\2012 DEPTO ESCRITURAS fata\2012 DEPTO ESCRITURAS\MANDATOS JUDICIALES\CARLOS ALARCON A NURYS ALARCON  Grisell abogada.doc", "Abrir Documento")</f>
        <v>0</v>
      </c>
      <c r="D19767" t="s">
        <v>23500</v>
      </c>
      <c r="E19767" t="s">
        <v>42240</v>
      </c>
    </row>
    <row r="19768" spans="1:5">
      <c r="A19768" t="s">
        <v>6</v>
      </c>
      <c r="B19768" t="s">
        <v>19773</v>
      </c>
      <c r="C19768">
        <f>HYPERLINK("C:\Users\franc\OneDrive\Documentos\MALENTIN KARIME\BANCO ESTADO\2012 DEPTO ESCRITURAS fata\2012 DEPTO ESCRITURAS\MANDATOS JUDICIALES\BRIGINA OLMOS A MARIA ORREGO.doc", "Abrir Documento")</f>
        <v>0</v>
      </c>
      <c r="D19768" t="s">
        <v>23500</v>
      </c>
      <c r="E19768" t="s">
        <v>42241</v>
      </c>
    </row>
    <row r="19769" spans="1:5">
      <c r="A19769" t="s">
        <v>6</v>
      </c>
      <c r="B19769" t="s">
        <v>19774</v>
      </c>
      <c r="C19769">
        <f>HYPERLINK("C:\Users\franc\OneDrive\Documentos\MALENTIN KARIME\BANCO ESTADO\2012 DEPTO ESCRITURAS fata\2012 DEPTO ESCRITURAS\MANDATOS JUDICIALES\BORIS JIMENEZ BORQUEZ A Israel Gutierrez.doc", "Abrir Documento")</f>
        <v>0</v>
      </c>
      <c r="D19769" t="s">
        <v>23500</v>
      </c>
      <c r="E19769" t="s">
        <v>42242</v>
      </c>
    </row>
    <row r="19770" spans="1:5">
      <c r="A19770" t="s">
        <v>6</v>
      </c>
      <c r="B19770" t="s">
        <v>19775</v>
      </c>
      <c r="C19770">
        <f>HYPERLINK("C:\Users\franc\OneDrive\Documentos\MALENTIN KARIME\BANCO ESTADO\2012 DEPTO ESCRITURAS fata\2012 DEPTO ESCRITURAS\SERGIO BUGUEÑO ROSALES.doc", "Abrir Documento")</f>
        <v>0</v>
      </c>
      <c r="D19770" t="s">
        <v>23500</v>
      </c>
      <c r="E19770" t="s">
        <v>42243</v>
      </c>
    </row>
    <row r="19771" spans="1:5">
      <c r="A19771" t="s">
        <v>6</v>
      </c>
      <c r="B19771" t="s">
        <v>19776</v>
      </c>
      <c r="C19771">
        <f>HYPERLINK("C:\Users\franc\OneDrive\Documentos\MALENTIN KARIME\BANCO ESTADO\2012 DEPTO ESCRITURAS fata\2012 DEPTO ESCRITURAS\reduccion EL SAUCE Reglamento.doc", "Abrir Documento")</f>
        <v>0</v>
      </c>
      <c r="D19771" t="s">
        <v>23500</v>
      </c>
      <c r="E19771" t="s">
        <v>42244</v>
      </c>
    </row>
    <row r="19772" spans="1:5">
      <c r="A19772" t="s">
        <v>6</v>
      </c>
      <c r="B19772" t="s">
        <v>19777</v>
      </c>
      <c r="C19772">
        <f>HYPERLINK("C:\Users\franc\OneDrive\Documentos\MALENTIN KARIME\BANCO ESTADO\2012 DEPTO ESCRITURAS fata\2012 DEPTO ESCRITURAS\personeria capel.doc", "Abrir Documento")</f>
        <v>0</v>
      </c>
      <c r="D19772" t="s">
        <v>23500</v>
      </c>
      <c r="E19772" t="s">
        <v>42245</v>
      </c>
    </row>
    <row r="19773" spans="1:5">
      <c r="A19773" t="s">
        <v>6</v>
      </c>
      <c r="B19773" t="s">
        <v>19778</v>
      </c>
      <c r="C19773">
        <f>HYPERLINK("C:\Users\franc\OneDrive\Documentos\MALENTIN KARIME\BANCO ESTADO\2012 DEPTO ESCRITURAS fata\2012 DEPTO ESCRITURAS\PEDRO ALFARO Y OTROS A Comité Agua Potable Rural SONORA.doc", "Abrir Documento")</f>
        <v>0</v>
      </c>
      <c r="D19773" t="s">
        <v>23500</v>
      </c>
      <c r="E19773" t="s">
        <v>42246</v>
      </c>
    </row>
    <row r="19774" spans="1:5">
      <c r="A19774" t="s">
        <v>6</v>
      </c>
      <c r="B19774" t="s">
        <v>19779</v>
      </c>
      <c r="C19774">
        <f>HYPERLINK("C:\Users\franc\OneDrive\Documentos\MALENTIN KARIME\BANCO ESTADO\2012 DEPTO ESCRITURAS fata\2012 DEPTO ESCRITURAS\PARTICION PARCIAL VEGA SOGOVIA (2).doc", "Abrir Documento")</f>
        <v>0</v>
      </c>
      <c r="D19774" t="s">
        <v>23500</v>
      </c>
      <c r="E19774" t="s">
        <v>42247</v>
      </c>
    </row>
    <row r="19775" spans="1:5">
      <c r="A19775" t="s">
        <v>6</v>
      </c>
      <c r="B19775" t="s">
        <v>19780</v>
      </c>
      <c r="C19775">
        <f>HYPERLINK("C:\Users\franc\OneDrive\Documentos\MALENTIN KARIME\BANCO ESTADO\2012 DEPTO ESCRITURAS fata\2012 DEPTO ESCRITURAS\notificacion.doc", "Abrir Documento")</f>
        <v>0</v>
      </c>
      <c r="D19775" t="s">
        <v>23500</v>
      </c>
      <c r="E19775" t="s">
        <v>42248</v>
      </c>
    </row>
    <row r="19776" spans="1:5">
      <c r="A19776" t="s">
        <v>6</v>
      </c>
      <c r="B19776" t="s">
        <v>19781</v>
      </c>
      <c r="C19776">
        <f>HYPERLINK("C:\Users\franc\OneDrive\Documentos\MALENTIN KARIME\BANCO ESTADO\2012 DEPTO ESCRITURAS fata\2012 DEPTO ESCRITURAS\NOTIFICA Gamal.doc", "Abrir Documento")</f>
        <v>0</v>
      </c>
      <c r="D19776" t="s">
        <v>23500</v>
      </c>
      <c r="E19776" t="s">
        <v>42249</v>
      </c>
    </row>
    <row r="19777" spans="1:5">
      <c r="A19777" t="s">
        <v>6</v>
      </c>
      <c r="B19777" t="s">
        <v>19782</v>
      </c>
      <c r="C19777">
        <f>HYPERLINK("C:\Users\franc\OneDrive\Documentos\MALENTIN KARIME\BANCO ESTADO\2012 DEPTO ESCRITURAS fata\2012 DEPTO ESCRITURAS\MODELO E.I.R.L Carlos Carvajal.doc", "Abrir Documento")</f>
        <v>0</v>
      </c>
      <c r="D19777" t="s">
        <v>23500</v>
      </c>
      <c r="E19777" t="s">
        <v>42250</v>
      </c>
    </row>
    <row r="19778" spans="1:5">
      <c r="A19778" t="s">
        <v>6</v>
      </c>
      <c r="B19778" t="s">
        <v>19783</v>
      </c>
      <c r="C19778">
        <f>HYPERLINK("C:\Users\franc\OneDrive\Documentos\MALENTIN KARIME\BANCO ESTADO\2012 DEPTO ESCRITURAS fata\2012 DEPTO ESCRITURAS\MANDATO JUDICIAL MODESTO FLORES LA VERDIONA OVALLE-2.doc", "Abrir Documento")</f>
        <v>0</v>
      </c>
      <c r="D19778" t="s">
        <v>23500</v>
      </c>
      <c r="E19778" t="s">
        <v>42251</v>
      </c>
    </row>
    <row r="19779" spans="1:5">
      <c r="A19779" t="s">
        <v>6</v>
      </c>
      <c r="B19779" t="s">
        <v>19784</v>
      </c>
      <c r="C19779">
        <f>HYPERLINK("C:\Users\franc\OneDrive\Documentos\MALENTIN KARIME\BANCO ESTADO\2012 DEPTO ESCRITURAS fata\2012 DEPTO ESCRITURAS\LUZ CORONADO A OCTAVIO MIRANDA.doc", "Abrir Documento")</f>
        <v>0</v>
      </c>
      <c r="D19779" t="s">
        <v>23500</v>
      </c>
      <c r="E19779" t="s">
        <v>42252</v>
      </c>
    </row>
    <row r="19780" spans="1:5">
      <c r="A19780" t="s">
        <v>6</v>
      </c>
      <c r="B19780" t="s">
        <v>19785</v>
      </c>
      <c r="C19780">
        <f>HYPERLINK("C:\Users\franc\OneDrive\Documentos\MALENTIN KARIME\BANCO ESTADO\2012 DEPTO ESCRITURAS fata\2012 DEPTO ESCRITURAS\LUIS TORREJON OVALLE.doc", "Abrir Documento")</f>
        <v>0</v>
      </c>
      <c r="D19780" t="s">
        <v>23500</v>
      </c>
      <c r="E19780" t="s">
        <v>42253</v>
      </c>
    </row>
    <row r="19781" spans="1:5">
      <c r="A19781" t="s">
        <v>6</v>
      </c>
      <c r="B19781" t="s">
        <v>19786</v>
      </c>
      <c r="C19781">
        <f>HYPERLINK("C:\Users\franc\OneDrive\Documentos\MALENTIN KARIME\BANCO ESTADO\2012 DEPTO ESCRITURAS fata\2012 DEPTO ESCRITURAS\LOGOS.doc", "Abrir Documento")</f>
        <v>0</v>
      </c>
      <c r="D19781" t="s">
        <v>23500</v>
      </c>
      <c r="E19781" t="s">
        <v>42254</v>
      </c>
    </row>
    <row r="19782" spans="1:5">
      <c r="A19782" t="s">
        <v>6</v>
      </c>
      <c r="B19782" t="s">
        <v>19787</v>
      </c>
      <c r="C19782">
        <f>HYPERLINK("C:\Users\franc\OneDrive\Documentos\MALENTIN KARIME\BANCO ESTADO\2012 DEPTO ESCRITURAS fata\2012 DEPTO ESCRITURAS\Libro1.xls", "Abrir Documento")</f>
        <v>0</v>
      </c>
      <c r="D19782" t="s">
        <v>23500</v>
      </c>
      <c r="E19782" t="s">
        <v>42255</v>
      </c>
    </row>
    <row r="19783" spans="1:5">
      <c r="A19783" t="s">
        <v>6</v>
      </c>
      <c r="B19783" t="s">
        <v>19788</v>
      </c>
      <c r="C19783">
        <f>HYPERLINK("C:\Users\franc\OneDrive\Documentos\MALENTIN KARIME\BANCO ESTADO\2012 DEPTO ESCRITURAS fata\2012 DEPTO ESCRITURAS\KARIME DCTOS.doc", "Abrir Documento")</f>
        <v>0</v>
      </c>
      <c r="D19783" t="s">
        <v>23500</v>
      </c>
      <c r="E19783" t="s">
        <v>42256</v>
      </c>
    </row>
    <row r="19784" spans="1:5">
      <c r="A19784" t="s">
        <v>6</v>
      </c>
      <c r="B19784" t="s">
        <v>19789</v>
      </c>
      <c r="C19784">
        <f>HYPERLINK("C:\Users\franc\OneDrive\Documentos\MALENTIN KARIME\BANCO ESTADO\2012 DEPTO ESCRITURAS fata\2012 DEPTO ESCRITURAS\JEANETTE GIANZO E.R.I.L..doc", "Abrir Documento")</f>
        <v>0</v>
      </c>
      <c r="D19784" t="s">
        <v>23500</v>
      </c>
      <c r="E19784" t="s">
        <v>42257</v>
      </c>
    </row>
    <row r="19785" spans="1:5">
      <c r="A19785" t="s">
        <v>6</v>
      </c>
      <c r="B19785" t="s">
        <v>19790</v>
      </c>
      <c r="C19785">
        <f>HYPERLINK("C:\Users\franc\OneDrive\Documentos\MALENTIN KARIME\BANCO ESTADO\2012 DEPTO ESCRITURAS fata\2012 DEPTO ESCRITURAS\JAVIER PIZARRO - CV DOBLE M.doc", "Abrir Documento")</f>
        <v>0</v>
      </c>
      <c r="D19785" t="s">
        <v>23500</v>
      </c>
      <c r="E19785" t="s">
        <v>42258</v>
      </c>
    </row>
    <row r="19786" spans="1:5">
      <c r="A19786" t="s">
        <v>6</v>
      </c>
      <c r="B19786" t="s">
        <v>19791</v>
      </c>
      <c r="C19786">
        <f>HYPERLINK("C:\Users\franc\OneDrive\Documentos\MALENTIN KARIME\BANCO ESTADO\2012 DEPTO ESCRITURAS fata\2012 DEPTO ESCRITURAS\INSTRUCCIONESSoc Comercial y Minera El Reloj Ltda BCH.doc", "Abrir Documento")</f>
        <v>0</v>
      </c>
      <c r="D19786" t="s">
        <v>23500</v>
      </c>
      <c r="E19786" t="s">
        <v>42259</v>
      </c>
    </row>
    <row r="19787" spans="1:5">
      <c r="A19787" t="s">
        <v>6</v>
      </c>
      <c r="B19787" t="s">
        <v>19792</v>
      </c>
      <c r="C19787">
        <f>HYPERLINK("C:\Users\franc\OneDrive\Documentos\MALENTIN KARIME\BANCO ESTADO\2012 DEPTO ESCRITURAS fata\2012 DEPTO ESCRITURAS\F 24.doc", "Abrir Documento")</f>
        <v>0</v>
      </c>
      <c r="D19787" t="s">
        <v>23500</v>
      </c>
      <c r="E19787" t="s">
        <v>42260</v>
      </c>
    </row>
    <row r="19788" spans="1:5">
      <c r="A19788" t="s">
        <v>6</v>
      </c>
      <c r="B19788" t="s">
        <v>19793</v>
      </c>
      <c r="C19788">
        <f>HYPERLINK("C:\Users\franc\OneDrive\Documentos\MALENTIN KARIME\BANCO ESTADO\2012 DEPTO ESCRITURAS fata\2012 DEPTO ESCRITURAS\F 24 5.doc", "Abrir Documento")</f>
        <v>0</v>
      </c>
      <c r="D19788" t="s">
        <v>23500</v>
      </c>
      <c r="E19788" t="s">
        <v>42261</v>
      </c>
    </row>
    <row r="19789" spans="1:5">
      <c r="A19789" t="s">
        <v>6</v>
      </c>
      <c r="B19789" t="s">
        <v>19794</v>
      </c>
      <c r="C19789">
        <f>HYPERLINK("C:\Users\franc\OneDrive\Documentos\MALENTIN KARIME\BANCO ESTADO\2012 DEPTO ESCRITURAS fata\2012 DEPTO ESCRITURAS\El Notario que suscribe  certifica que los cinco ciudadanos.doc", "Abrir Documento")</f>
        <v>0</v>
      </c>
      <c r="D19789" t="s">
        <v>23500</v>
      </c>
      <c r="E19789" t="s">
        <v>42262</v>
      </c>
    </row>
    <row r="19790" spans="1:5">
      <c r="A19790" t="s">
        <v>6</v>
      </c>
      <c r="B19790" t="s">
        <v>19795</v>
      </c>
      <c r="C19790">
        <f>HYPERLINK("C:\Users\franc\OneDrive\Documentos\MALENTIN KARIME\BANCO ESTADO\2012 DEPTO ESCRITURAS fata\2012 DEPTO ESCRITURAS\DIRECTORIO NOTARIOS.xls", "Abrir Documento")</f>
        <v>0</v>
      </c>
      <c r="D19790" t="s">
        <v>23500</v>
      </c>
      <c r="E19790" t="s">
        <v>42263</v>
      </c>
    </row>
    <row r="19791" spans="1:5">
      <c r="A19791" t="s">
        <v>6</v>
      </c>
      <c r="B19791" t="s">
        <v>19796</v>
      </c>
      <c r="C19791">
        <f>HYPERLINK("C:\Users\franc\OneDrive\Documentos\MALENTIN KARIME\BANCO ESTADO\2012 DEPTO ESCRITURAS fata\2012 DEPTO ESCRITURAS\Curriculum miriam.doc", "Abrir Documento")</f>
        <v>0</v>
      </c>
      <c r="D19791" t="s">
        <v>23500</v>
      </c>
      <c r="E19791" t="s">
        <v>42264</v>
      </c>
    </row>
    <row r="19792" spans="1:5">
      <c r="A19792" t="s">
        <v>6</v>
      </c>
      <c r="B19792" t="s">
        <v>19797</v>
      </c>
      <c r="C19792">
        <f>HYPERLINK("C:\Users\franc\OneDrive\Documentos\MALENTIN KARIME\BANCO ESTADO\2012 DEPTO ESCRITURAS fata\2012 DEPTO ESCRITURAS\COMPRAVENTA PAOLA VEGA DS Nº1 SUBSIDIO sergio galleguillos.doc", "Abrir Documento")</f>
        <v>0</v>
      </c>
      <c r="D19792" t="s">
        <v>23500</v>
      </c>
      <c r="E19792" t="s">
        <v>42265</v>
      </c>
    </row>
    <row r="19793" spans="1:5">
      <c r="A19793" t="s">
        <v>6</v>
      </c>
      <c r="B19793" t="s">
        <v>19798</v>
      </c>
      <c r="C19793">
        <f>HYPERLINK("C:\Users\franc\OneDrive\Documentos\MALENTIN KARIME\BANCO ESTADO\2012 DEPTO ESCRITURAS fata\2012 DEPTO ESCRITURAS\CERTIFICO CARTA.doc", "Abrir Documento")</f>
        <v>0</v>
      </c>
      <c r="D19793" t="s">
        <v>23500</v>
      </c>
      <c r="E19793" t="s">
        <v>42266</v>
      </c>
    </row>
    <row r="19794" spans="1:5">
      <c r="A19794" t="s">
        <v>6</v>
      </c>
      <c r="B19794" t="s">
        <v>19799</v>
      </c>
      <c r="C19794">
        <f>HYPERLINK("C:\Users\franc\OneDrive\Documentos\MALENTIN KARIME\BANCO ESTADO\2012 DEPTO ESCRITURAS fata\2012 DEPTO ESCRITURAS\carta Andrea.doc", "Abrir Documento")</f>
        <v>0</v>
      </c>
      <c r="D19794" t="s">
        <v>23500</v>
      </c>
      <c r="E19794" t="s">
        <v>42267</v>
      </c>
    </row>
    <row r="19795" spans="1:5">
      <c r="A19795" t="s">
        <v>6</v>
      </c>
      <c r="B19795" t="s">
        <v>19800</v>
      </c>
      <c r="C19795">
        <f>HYPERLINK("C:\Users\franc\OneDrive\Documentos\MALENTIN KARIME\BANCO ESTADO\2012 DEPTO ESCRITURAS fata\2012 DEPTO ESCRITURAS\Autorizo la firma de AGRONOBLE.doc", "Abrir Documento")</f>
        <v>0</v>
      </c>
      <c r="D19795" t="s">
        <v>23500</v>
      </c>
      <c r="E19795" t="s">
        <v>42268</v>
      </c>
    </row>
    <row r="19796" spans="1:5">
      <c r="A19796" t="s">
        <v>6</v>
      </c>
      <c r="B19796" t="s">
        <v>19801</v>
      </c>
      <c r="C19796">
        <f>HYPERLINK("C:\Users\franc\OneDrive\Documentos\MALENTIN KARIME\BANCO ESTADO\2012 DEPTO ESCRITURAS fata\2012 DEPTO ESCRITURAS\ANTONIO GALAZ A MIRZA ARAYA.doc", "Abrir Documento")</f>
        <v>0</v>
      </c>
      <c r="D19796" t="s">
        <v>23500</v>
      </c>
      <c r="E19796" t="s">
        <v>42269</v>
      </c>
    </row>
    <row r="19797" spans="1:5">
      <c r="A19797" t="s">
        <v>6</v>
      </c>
      <c r="B19797" t="s">
        <v>19802</v>
      </c>
      <c r="C19797">
        <f>HYPERLINK("C:\Users\franc\OneDrive\Documentos\MALENTIN KARIME\BANCO ESTADO\2012 DEPTO ESCRITURAS fata\2012 DEPTO ESCRITURAS\ANDRES DIAZ CORTES A SARA DIAZ.doc", "Abrir Documento")</f>
        <v>0</v>
      </c>
      <c r="D19797" t="s">
        <v>23500</v>
      </c>
      <c r="E19797" t="s">
        <v>42270</v>
      </c>
    </row>
    <row r="19798" spans="1:5">
      <c r="A19798" t="s">
        <v>6</v>
      </c>
      <c r="B19798" t="s">
        <v>19803</v>
      </c>
      <c r="C19798">
        <f>HYPERLINK("C:\Users\franc\OneDrive\Documentos\MALENTIN KARIME\BANCO ESTADO\2012 DEPTO ESCRITURAS fata\2012 DEPTO ESCRITURAS\ANDRES DIAZ CORTES A JORGE DIAZ.doc", "Abrir Documento")</f>
        <v>0</v>
      </c>
      <c r="D19798" t="s">
        <v>23500</v>
      </c>
      <c r="E19798" t="s">
        <v>42271</v>
      </c>
    </row>
    <row r="19799" spans="1:5">
      <c r="A19799" t="s">
        <v>6</v>
      </c>
      <c r="B19799" t="s">
        <v>19804</v>
      </c>
      <c r="C19799">
        <f>HYPERLINK("C:\Users\franc\OneDrive\Documentos\MALENTIN KARIME\BANCO ESTADO\2012 DEPTO ESCRITURAS fata\2012 DEPTO ESCRITURAS\ANDRES DIAZ CORTES A IVANJA DIAZ.doc", "Abrir Documento")</f>
        <v>0</v>
      </c>
      <c r="D19799" t="s">
        <v>23500</v>
      </c>
      <c r="E19799" t="s">
        <v>42272</v>
      </c>
    </row>
    <row r="19800" spans="1:5">
      <c r="A19800" t="s">
        <v>6</v>
      </c>
      <c r="B19800" t="s">
        <v>19805</v>
      </c>
      <c r="C19800">
        <f>HYPERLINK("C:\Users\franc\OneDrive\Documentos\MALENTIN KARIME\BANCO ESTADO\2012 DEPTO ESCRITURAS fata\2012 DEPTO ESCRITURAS\ALBERTO SEGUNDO NAVEA CASTILLO.doc", "Abrir Documento")</f>
        <v>0</v>
      </c>
      <c r="D19800" t="s">
        <v>23500</v>
      </c>
      <c r="E19800" t="s">
        <v>42273</v>
      </c>
    </row>
    <row r="19801" spans="1:5">
      <c r="A19801" t="s">
        <v>6</v>
      </c>
      <c r="B19801" t="s">
        <v>19806</v>
      </c>
      <c r="C19801">
        <f>HYPERLINK("C:\Users\franc\OneDrive\Documentos\MALENTIN KARIME\BANCO ESTADO\2012 DEPTO ESCRITURAS fata\2012 DEPTO ESCRITURAS\2010743 Kong-Frang Confecciones Limitada (Instrumento Privado).doc", "Abrir Documento")</f>
        <v>0</v>
      </c>
      <c r="D19801" t="s">
        <v>23500</v>
      </c>
      <c r="E19801" t="s">
        <v>42274</v>
      </c>
    </row>
    <row r="19802" spans="1:5">
      <c r="A19802" t="s">
        <v>6</v>
      </c>
      <c r="B19802" t="s">
        <v>19807</v>
      </c>
      <c r="C19802">
        <f>HYPERLINK("C:\Users\franc\OneDrive\Documentos\MALENTIN KARIME\BANCO ESTADO\YULAN LEON Octubre.doc", "Abrir Documento")</f>
        <v>0</v>
      </c>
      <c r="D19802" t="s">
        <v>23500</v>
      </c>
      <c r="E19802" t="s">
        <v>42275</v>
      </c>
    </row>
    <row r="19803" spans="1:5">
      <c r="A19803" t="s">
        <v>6</v>
      </c>
      <c r="B19803" t="s">
        <v>19808</v>
      </c>
      <c r="C19803">
        <f>HYPERLINK("C:\Users\franc\OneDrive\Documentos\MALENTIN KARIME\BANCO ESTADO\YOLANDA VEGA PIZARRO  A Angelina Lopez.doc", "Abrir Documento")</f>
        <v>0</v>
      </c>
      <c r="D19803" t="s">
        <v>23500</v>
      </c>
      <c r="E19803" t="s">
        <v>42276</v>
      </c>
    </row>
    <row r="19804" spans="1:5">
      <c r="A19804" t="s">
        <v>6</v>
      </c>
      <c r="B19804" t="s">
        <v>19809</v>
      </c>
      <c r="C19804">
        <f>HYPERLINK("C:\Users\franc\OneDrive\Documentos\MALENTIN KARIME\BANCO ESTADO\YENNY OSSANDON ESPINOZA octubre.doc", "Abrir Documento")</f>
        <v>0</v>
      </c>
      <c r="D19804" t="s">
        <v>23500</v>
      </c>
      <c r="E19804" t="s">
        <v>42277</v>
      </c>
    </row>
    <row r="19805" spans="1:5">
      <c r="A19805" t="s">
        <v>6</v>
      </c>
      <c r="B19805" t="s">
        <v>19810</v>
      </c>
      <c r="C19805">
        <f>HYPERLINK("C:\Users\franc\OneDrive\Documentos\MALENTIN KARIME\BANCO ESTADO\YENNY OSSANDON ESPINOZA octubre Armas.doc", "Abrir Documento")</f>
        <v>0</v>
      </c>
      <c r="D19805" t="s">
        <v>23500</v>
      </c>
      <c r="E19805" t="s">
        <v>42278</v>
      </c>
    </row>
    <row r="19806" spans="1:5">
      <c r="A19806" t="s">
        <v>6</v>
      </c>
      <c r="B19806" t="s">
        <v>19811</v>
      </c>
      <c r="C19806">
        <f>HYPERLINK("C:\Users\franc\OneDrive\Documentos\MALENTIN KARIME\BANCO ESTADO\VIGESIMO QUINTO.doc", "Abrir Documento")</f>
        <v>0</v>
      </c>
      <c r="D19806" t="s">
        <v>23500</v>
      </c>
      <c r="E19806" t="s">
        <v>42279</v>
      </c>
    </row>
    <row r="19807" spans="1:5">
      <c r="A19807" t="s">
        <v>6</v>
      </c>
      <c r="B19807" t="s">
        <v>19812</v>
      </c>
      <c r="C19807">
        <f>HYPERLINK("C:\Users\franc\OneDrive\Documentos\MALENTIN KARIME\BANCO ESTADO\SEGUNDO MARTINEZ ROJAS Y BANCO ESTADO Cvta Mutuo.doc", "Abrir Documento")</f>
        <v>0</v>
      </c>
      <c r="D19807" t="s">
        <v>23500</v>
      </c>
      <c r="E19807" t="s">
        <v>42280</v>
      </c>
    </row>
    <row r="19808" spans="1:5">
      <c r="A19808" t="s">
        <v>6</v>
      </c>
      <c r="B19808" t="s">
        <v>19813</v>
      </c>
      <c r="C19808">
        <f>HYPERLINK("C:\Users\franc\OneDrive\Documentos\MALENTIN KARIME\BANCO ESTADO\Scotiabank pers.doc", "Abrir Documento")</f>
        <v>0</v>
      </c>
      <c r="D19808" t="s">
        <v>23500</v>
      </c>
      <c r="E19808" t="s">
        <v>42281</v>
      </c>
    </row>
    <row r="19809" spans="1:5">
      <c r="A19809" t="s">
        <v>6</v>
      </c>
      <c r="B19809" t="s">
        <v>19814</v>
      </c>
      <c r="C19809">
        <f>HYPERLINK("C:\Users\franc\OneDrive\Documentos\MALENTIN KARIME\BANCO ESTADO\RODRIGO TORRES CISTERNAS y OTRA (Doble M - Del Atardecer 3º Etapa) - Banco Chile.doc", "Abrir Documento")</f>
        <v>0</v>
      </c>
      <c r="D19809" t="s">
        <v>23500</v>
      </c>
      <c r="E19809" t="s">
        <v>42282</v>
      </c>
    </row>
    <row r="19810" spans="1:5">
      <c r="A19810" t="s">
        <v>6</v>
      </c>
      <c r="B19810" t="s">
        <v>19815</v>
      </c>
      <c r="C19810">
        <f>HYPERLINK("C:\Users\franc\OneDrive\Documentos\MALENTIN KARIME\BANCO ESTADO\ROBERTO ZEPEDA ALFARO rectifica.doc", "Abrir Documento")</f>
        <v>0</v>
      </c>
      <c r="D19810" t="s">
        <v>23500</v>
      </c>
      <c r="E19810" t="s">
        <v>42283</v>
      </c>
    </row>
    <row r="19811" spans="1:5">
      <c r="A19811" t="s">
        <v>6</v>
      </c>
      <c r="B19811" t="s">
        <v>19816</v>
      </c>
      <c r="C19811">
        <f>HYPERLINK("C:\Users\franc\OneDrive\Documentos\MALENTIN KARIME\BANCO ESTADO\OSCAR MIRANDA ARAYA AL bec particular.doc", "Abrir Documento")</f>
        <v>0</v>
      </c>
      <c r="D19811" t="s">
        <v>23500</v>
      </c>
      <c r="E19811" t="s">
        <v>42284</v>
      </c>
    </row>
    <row r="19812" spans="1:5">
      <c r="A19812" t="s">
        <v>6</v>
      </c>
      <c r="B19812" t="s">
        <v>19817</v>
      </c>
      <c r="C19812">
        <f>HYPERLINK("C:\Users\franc\OneDrive\Documentos\MALENTIN KARIME\BANCO ESTADO\OSCAR MIRANDA ARAYA AL bec particular registro prenda.doc", "Abrir Documento")</f>
        <v>0</v>
      </c>
      <c r="D19812" t="s">
        <v>23500</v>
      </c>
      <c r="E19812" t="s">
        <v>42285</v>
      </c>
    </row>
    <row r="19813" spans="1:5">
      <c r="A19813" t="s">
        <v>6</v>
      </c>
      <c r="B19813" t="s">
        <v>19818</v>
      </c>
      <c r="C19813">
        <f>HYPERLINK("C:\Users\franc\OneDrive\Documentos\MALENTIN KARIME\BANCO ESTADO\ORLANDA SANTANDER SIERRA A IVAN LEON GONZALEZ Dic Sucesion.doc", "Abrir Documento")</f>
        <v>0</v>
      </c>
      <c r="D19813" t="s">
        <v>23500</v>
      </c>
      <c r="E19813" t="s">
        <v>42286</v>
      </c>
    </row>
    <row r="19814" spans="1:5">
      <c r="A19814" t="s">
        <v>6</v>
      </c>
      <c r="B19814" t="s">
        <v>19819</v>
      </c>
      <c r="C19814">
        <f>HYPERLINK("C:\Users\franc\OneDrive\Documentos\MALENTIN KARIME\BANCO ESTADO\OMAR GALLEGUILLOS Escritura.doc", "Abrir Documento")</f>
        <v>0</v>
      </c>
      <c r="D19814" t="s">
        <v>23500</v>
      </c>
      <c r="E19814" t="s">
        <v>42287</v>
      </c>
    </row>
    <row r="19815" spans="1:5">
      <c r="A19815" t="s">
        <v>6</v>
      </c>
      <c r="B19815" t="s">
        <v>19820</v>
      </c>
      <c r="C19815">
        <f>HYPERLINK("C:\Users\franc\OneDrive\Documentos\MALENTIN KARIME\BANCO ESTADO\OMAR GALLEGUILLOS Escritura publica.doc", "Abrir Documento")</f>
        <v>0</v>
      </c>
      <c r="D19815" t="s">
        <v>23500</v>
      </c>
      <c r="E19815" t="s">
        <v>42288</v>
      </c>
    </row>
    <row r="19816" spans="1:5">
      <c r="A19816" t="s">
        <v>6</v>
      </c>
      <c r="B19816" t="s">
        <v>19821</v>
      </c>
      <c r="C19816">
        <f>HYPERLINK("C:\Users\franc\OneDrive\Documentos\MALENTIN KARIME\BANCO ESTADO\OMAR GALLEGUILLOS carta resguardo.doc", "Abrir Documento")</f>
        <v>0</v>
      </c>
      <c r="D19816" t="s">
        <v>23500</v>
      </c>
      <c r="E19816" t="s">
        <v>42289</v>
      </c>
    </row>
    <row r="19817" spans="1:5">
      <c r="A19817" t="s">
        <v>6</v>
      </c>
      <c r="B19817" t="s">
        <v>19822</v>
      </c>
      <c r="C19817">
        <f>HYPERLINK("C:\Users\franc\OneDrive\Documentos\MALENTIN KARIME\BANCO ESTADO\NELSON MIRANDA Carta resguardo.doc", "Abrir Documento")</f>
        <v>0</v>
      </c>
      <c r="D19817" t="s">
        <v>23500</v>
      </c>
      <c r="E19817" t="s">
        <v>42290</v>
      </c>
    </row>
    <row r="19818" spans="1:5">
      <c r="A19818" t="s">
        <v>6</v>
      </c>
      <c r="B19818" t="s">
        <v>19823</v>
      </c>
      <c r="C19818">
        <f>HYPERLINK("C:\Users\franc\OneDrive\Documentos\MALENTIN KARIME\BANCO ESTADO\NELSON MIRANDA CACERES Y DOBLE M.doc", "Abrir Documento")</f>
        <v>0</v>
      </c>
      <c r="D19818" t="s">
        <v>23500</v>
      </c>
      <c r="E19818" t="s">
        <v>42291</v>
      </c>
    </row>
    <row r="19819" spans="1:5">
      <c r="A19819" t="s">
        <v>6</v>
      </c>
      <c r="B19819" t="s">
        <v>19824</v>
      </c>
      <c r="C19819">
        <f>HYPERLINK("C:\Users\franc\OneDrive\Documentos\MALENTIN KARIME\BANCO ESTADO\MIRTA CACERES TAPJIA diciembre.doc", "Abrir Documento")</f>
        <v>0</v>
      </c>
      <c r="D19819" t="s">
        <v>23500</v>
      </c>
      <c r="E19819" t="s">
        <v>42292</v>
      </c>
    </row>
    <row r="19820" spans="1:5">
      <c r="A19820" t="s">
        <v>6</v>
      </c>
      <c r="B19820" t="s">
        <v>19825</v>
      </c>
      <c r="C19820">
        <f>HYPERLINK("C:\Users\franc\OneDrive\Documentos\MALENTIN KARIME\BANCO ESTADO\MIRTA CACERES TAPJIA diciembre ejecutivo.doc", "Abrir Documento")</f>
        <v>0</v>
      </c>
      <c r="D19820" t="s">
        <v>23500</v>
      </c>
      <c r="E19820" t="s">
        <v>42293</v>
      </c>
    </row>
    <row r="19821" spans="1:5">
      <c r="A19821" t="s">
        <v>6</v>
      </c>
      <c r="B19821" t="s">
        <v>19826</v>
      </c>
      <c r="C19821">
        <f>HYPERLINK("C:\Users\franc\OneDrive\Documentos\MALENTIN KARIME\BANCO ESTADO\MILTON SANHUEZA Escrirtura.doc", "Abrir Documento")</f>
        <v>0</v>
      </c>
      <c r="D19821" t="s">
        <v>23500</v>
      </c>
      <c r="E19821" t="s">
        <v>42294</v>
      </c>
    </row>
    <row r="19822" spans="1:5">
      <c r="A19822" t="s">
        <v>6</v>
      </c>
      <c r="B19822" t="s">
        <v>19827</v>
      </c>
      <c r="C19822">
        <f>HYPERLINK("C:\Users\franc\OneDrive\Documentos\MALENTIN KARIME\BANCO ESTADO\MILTON SANHUEZA Escrirtura publica.doc", "Abrir Documento")</f>
        <v>0</v>
      </c>
      <c r="D19822" t="s">
        <v>23500</v>
      </c>
      <c r="E19822" t="s">
        <v>42295</v>
      </c>
    </row>
    <row r="19823" spans="1:5">
      <c r="A19823" t="s">
        <v>6</v>
      </c>
      <c r="B19823" t="s">
        <v>19828</v>
      </c>
      <c r="C19823">
        <f>HYPERLINK("C:\Users\franc\OneDrive\Documentos\MALENTIN KARIME\BANCO ESTADO\MILTON SANHUEZA c resgurado.doc", "Abrir Documento")</f>
        <v>0</v>
      </c>
      <c r="D19823" t="s">
        <v>23500</v>
      </c>
      <c r="E19823" t="s">
        <v>42296</v>
      </c>
    </row>
    <row r="19824" spans="1:5">
      <c r="A19824" t="s">
        <v>6</v>
      </c>
      <c r="B19824" t="s">
        <v>19829</v>
      </c>
      <c r="C19824">
        <f>HYPERLINK("C:\Users\franc\OneDrive\Documentos\MALENTIN KARIME\BANCO ESTADO\MARIA ACUÑA ORDENES octubre.doc", "Abrir Documento")</f>
        <v>0</v>
      </c>
      <c r="D19824" t="s">
        <v>23500</v>
      </c>
      <c r="E19824" t="s">
        <v>42297</v>
      </c>
    </row>
    <row r="19825" spans="1:5">
      <c r="A19825" t="s">
        <v>6</v>
      </c>
      <c r="B19825" t="s">
        <v>19830</v>
      </c>
      <c r="C19825">
        <f>HYPERLINK("C:\Users\franc\OneDrive\Documentos\MALENTIN KARIME\BANCO ESTADO\MARIA ACUÑA ORDENES octubre escritura armas.doc", "Abrir Documento")</f>
        <v>0</v>
      </c>
      <c r="D19825" t="s">
        <v>23500</v>
      </c>
      <c r="E19825" t="s">
        <v>42298</v>
      </c>
    </row>
    <row r="19826" spans="1:5">
      <c r="A19826" t="s">
        <v>6</v>
      </c>
      <c r="B19826" t="s">
        <v>19831</v>
      </c>
      <c r="C19826">
        <f>HYPERLINK("C:\Users\franc\OneDrive\Documentos\MALENTIN KARIME\BANCO ESTADO\JUSEF ARAYA LUNA  Y Doble M.doc", "Abrir Documento")</f>
        <v>0</v>
      </c>
      <c r="D19826" t="s">
        <v>23500</v>
      </c>
      <c r="E19826" t="s">
        <v>42299</v>
      </c>
    </row>
    <row r="19827" spans="1:5">
      <c r="A19827" t="s">
        <v>6</v>
      </c>
      <c r="B19827" t="s">
        <v>19832</v>
      </c>
      <c r="C19827">
        <f>HYPERLINK("C:\Users\franc\OneDrive\Documentos\MALENTIN KARIME\BANCO ESTADO\JUSEF ARAYA LUNA  Carta Resguardo.doc", "Abrir Documento")</f>
        <v>0</v>
      </c>
      <c r="D19827" t="s">
        <v>23500</v>
      </c>
      <c r="E19827" t="s">
        <v>42300</v>
      </c>
    </row>
    <row r="19828" spans="1:5">
      <c r="A19828" t="s">
        <v>6</v>
      </c>
      <c r="B19828" t="s">
        <v>19833</v>
      </c>
      <c r="C19828">
        <f>HYPERLINK("C:\Users\franc\OneDrive\Documentos\MALENTIN KARIME\BANCO ESTADO\JUAN SUMBA GARCIA Mutuo.doc", "Abrir Documento")</f>
        <v>0</v>
      </c>
      <c r="D19828" t="s">
        <v>23500</v>
      </c>
      <c r="E19828" t="s">
        <v>42301</v>
      </c>
    </row>
    <row r="19829" spans="1:5">
      <c r="A19829" t="s">
        <v>6</v>
      </c>
      <c r="B19829" t="s">
        <v>19834</v>
      </c>
      <c r="C19829">
        <f>HYPERLINK("C:\Users\franc\OneDrive\Documentos\MALENTIN KARIME\BANCO ESTADO\JUAN SUMBA GARCIA Mutuo escritura refinan.doc", "Abrir Documento")</f>
        <v>0</v>
      </c>
      <c r="D19829" t="s">
        <v>23500</v>
      </c>
      <c r="E19829" t="s">
        <v>42302</v>
      </c>
    </row>
    <row r="19830" spans="1:5">
      <c r="A19830" t="s">
        <v>6</v>
      </c>
      <c r="B19830" t="s">
        <v>19835</v>
      </c>
      <c r="C19830">
        <f>HYPERLINK("C:\Users\franc\OneDrive\Documentos\MALENTIN KARIME\BANCO ESTADO\JUAN MUÑOZ ARAYA Escritura Octubre.doc", "Abrir Documento")</f>
        <v>0</v>
      </c>
      <c r="D19830" t="s">
        <v>23500</v>
      </c>
      <c r="E19830" t="s">
        <v>42303</v>
      </c>
    </row>
    <row r="19831" spans="1:5">
      <c r="A19831" t="s">
        <v>6</v>
      </c>
      <c r="B19831" t="s">
        <v>19836</v>
      </c>
      <c r="C19831">
        <f>HYPERLINK("C:\Users\franc\OneDrive\Documentos\MALENTIN KARIME\BANCO ESTADO\JUAN MUÑOZ ARAYA Escritura CAMBIO AGENTE.doc", "Abrir Documento")</f>
        <v>0</v>
      </c>
      <c r="D19831" t="s">
        <v>23500</v>
      </c>
      <c r="E19831" t="s">
        <v>42304</v>
      </c>
    </row>
    <row r="19832" spans="1:5">
      <c r="A19832" t="s">
        <v>6</v>
      </c>
      <c r="B19832" t="s">
        <v>19837</v>
      </c>
      <c r="C19832">
        <f>HYPERLINK("C:\Users\franc\OneDrive\Documentos\MALENTIN KARIME\BANCO ESTADO\JOSUE COFRE NAVARRO Carta Resguardo.doc", "Abrir Documento")</f>
        <v>0</v>
      </c>
      <c r="D19832" t="s">
        <v>23500</v>
      </c>
      <c r="E19832" t="s">
        <v>42305</v>
      </c>
    </row>
    <row r="19833" spans="1:5">
      <c r="A19833" t="s">
        <v>6</v>
      </c>
      <c r="B19833" t="s">
        <v>19838</v>
      </c>
      <c r="C19833">
        <f>HYPERLINK("C:\Users\franc\OneDrive\Documentos\MALENTIN KARIME\BANCO ESTADO\GONZALO CACERES IRIARTE.doc", "Abrir Documento")</f>
        <v>0</v>
      </c>
      <c r="D19833" t="s">
        <v>23500</v>
      </c>
      <c r="E19833" t="s">
        <v>42306</v>
      </c>
    </row>
    <row r="19834" spans="1:5">
      <c r="A19834" t="s">
        <v>6</v>
      </c>
      <c r="B19834" t="s">
        <v>19839</v>
      </c>
      <c r="C19834">
        <f>HYPERLINK("C:\Users\franc\OneDrive\Documentos\MALENTIN KARIME\BANCO ESTADO\GONZALO CACERES Carta resguardo.doc", "Abrir Documento")</f>
        <v>0</v>
      </c>
      <c r="D19834" t="s">
        <v>23500</v>
      </c>
      <c r="E19834" t="s">
        <v>42307</v>
      </c>
    </row>
    <row r="19835" spans="1:5">
      <c r="A19835" t="s">
        <v>6</v>
      </c>
      <c r="B19835" t="s">
        <v>19840</v>
      </c>
      <c r="C19835">
        <f>HYPERLINK("C:\Users\franc\OneDrive\Documentos\MALENTIN KARIME\BANCO ESTADO\F 24 YULAN MERI.doc", "Abrir Documento")</f>
        <v>0</v>
      </c>
      <c r="D19835" t="s">
        <v>23500</v>
      </c>
      <c r="E19835" t="s">
        <v>42308</v>
      </c>
    </row>
    <row r="19836" spans="1:5">
      <c r="A19836" t="s">
        <v>6</v>
      </c>
      <c r="B19836" t="s">
        <v>19841</v>
      </c>
      <c r="C19836">
        <f>HYPERLINK("C:\Users\franc\OneDrive\Documentos\MALENTIN KARIME\BANCO ESTADO\F 24 YOLANDA VEGA 22.doc", "Abrir Documento")</f>
        <v>0</v>
      </c>
      <c r="D19836" t="s">
        <v>23500</v>
      </c>
      <c r="E19836" t="s">
        <v>42309</v>
      </c>
    </row>
    <row r="19837" spans="1:5">
      <c r="A19837" t="s">
        <v>6</v>
      </c>
      <c r="B19837" t="s">
        <v>19842</v>
      </c>
      <c r="C19837">
        <f>HYPERLINK("C:\Users\franc\OneDrive\Documentos\MALENTIN KARIME\BANCO ESTADO\F 24 RODRIGO TORRES.doc", "Abrir Documento")</f>
        <v>0</v>
      </c>
      <c r="D19837" t="s">
        <v>23500</v>
      </c>
      <c r="E19837" t="s">
        <v>42310</v>
      </c>
    </row>
    <row r="19838" spans="1:5">
      <c r="A19838" t="s">
        <v>6</v>
      </c>
      <c r="B19838" t="s">
        <v>19843</v>
      </c>
      <c r="C19838">
        <f>HYPERLINK("C:\Users\franc\OneDrive\Documentos\MALENTIN KARIME\BANCO ESTADO\F 24 RODRIGO TORRES 22.doc", "Abrir Documento")</f>
        <v>0</v>
      </c>
      <c r="D19838" t="s">
        <v>23500</v>
      </c>
      <c r="E19838" t="s">
        <v>42311</v>
      </c>
    </row>
    <row r="19839" spans="1:5">
      <c r="A19839" t="s">
        <v>6</v>
      </c>
      <c r="B19839" t="s">
        <v>19844</v>
      </c>
      <c r="C19839">
        <f>HYPERLINK("C:\Users\franc\OneDrive\Documentos\MALENTIN KARIME\BANCO ESTADO\F 24 PEDRO MUÑOZ 22.doc", "Abrir Documento")</f>
        <v>0</v>
      </c>
      <c r="D19839" t="s">
        <v>23500</v>
      </c>
      <c r="E19839" t="s">
        <v>42312</v>
      </c>
    </row>
    <row r="19840" spans="1:5">
      <c r="A19840" t="s">
        <v>6</v>
      </c>
      <c r="B19840" t="s">
        <v>19845</v>
      </c>
      <c r="C19840">
        <f>HYPERLINK("C:\Users\franc\OneDrive\Documentos\MALENTIN KARIME\BANCO ESTADO\F 24 Nelson Miranda Cáceres.doc", "Abrir Documento")</f>
        <v>0</v>
      </c>
      <c r="D19840" t="s">
        <v>23500</v>
      </c>
      <c r="E19840" t="s">
        <v>42313</v>
      </c>
    </row>
    <row r="19841" spans="1:5">
      <c r="A19841" t="s">
        <v>6</v>
      </c>
      <c r="B19841" t="s">
        <v>19846</v>
      </c>
      <c r="C19841">
        <f>HYPERLINK("C:\Users\franc\OneDrive\Documentos\MALENTIN KARIME\BANCO ESTADO\F 24 MIRTA CACERES.doc", "Abrir Documento")</f>
        <v>0</v>
      </c>
      <c r="D19841" t="s">
        <v>23500</v>
      </c>
      <c r="E19841" t="s">
        <v>42314</v>
      </c>
    </row>
    <row r="19842" spans="1:5">
      <c r="A19842" t="s">
        <v>6</v>
      </c>
      <c r="B19842" t="s">
        <v>19847</v>
      </c>
      <c r="C19842">
        <f>HYPERLINK("C:\Users\franc\OneDrive\Documentos\MALENTIN KARIME\BANCO ESTADO\F 24 LUIS TOREJON.doc", "Abrir Documento")</f>
        <v>0</v>
      </c>
      <c r="D19842" t="s">
        <v>23500</v>
      </c>
      <c r="E19842" t="s">
        <v>42315</v>
      </c>
    </row>
    <row r="19843" spans="1:5">
      <c r="A19843" t="s">
        <v>6</v>
      </c>
      <c r="B19843" t="s">
        <v>19848</v>
      </c>
      <c r="C19843">
        <f>HYPERLINK("C:\Users\franc\OneDrive\Documentos\MALENTIN KARIME\BANCO ESTADO\F 24 juan sumba ley 20130.doc", "Abrir Documento")</f>
        <v>0</v>
      </c>
      <c r="D19843" t="s">
        <v>23500</v>
      </c>
      <c r="E19843" t="s">
        <v>42316</v>
      </c>
    </row>
    <row r="19844" spans="1:5">
      <c r="A19844" t="s">
        <v>6</v>
      </c>
      <c r="B19844" t="s">
        <v>19849</v>
      </c>
      <c r="C19844">
        <f>HYPERLINK("C:\Users\franc\OneDrive\Documentos\MALENTIN KARIME\BANCO ESTADO\F 24 JOSUE COFRE.doc", "Abrir Documento")</f>
        <v>0</v>
      </c>
      <c r="D19844" t="s">
        <v>23500</v>
      </c>
      <c r="E19844" t="s">
        <v>42317</v>
      </c>
    </row>
    <row r="19845" spans="1:5">
      <c r="A19845" t="s">
        <v>6</v>
      </c>
      <c r="B19845" t="s">
        <v>19850</v>
      </c>
      <c r="C19845">
        <f>HYPERLINK("C:\Users\franc\OneDrive\Documentos\MALENTIN KARIME\BANCO ESTADO\F 24 IVAN LEON.doc", "Abrir Documento")</f>
        <v>0</v>
      </c>
      <c r="D19845" t="s">
        <v>23500</v>
      </c>
      <c r="E19845" t="s">
        <v>42318</v>
      </c>
    </row>
    <row r="19846" spans="1:5">
      <c r="A19846" t="s">
        <v>6</v>
      </c>
      <c r="B19846" t="s">
        <v>19851</v>
      </c>
      <c r="C19846">
        <f>HYPERLINK("C:\Users\franc\OneDrive\Documentos\MALENTIN KARIME\BANCO ESTADO\F 24 GONZALO CACERES.doc", "Abrir Documento")</f>
        <v>0</v>
      </c>
      <c r="D19846" t="s">
        <v>23500</v>
      </c>
      <c r="E19846" t="s">
        <v>42319</v>
      </c>
    </row>
    <row r="19847" spans="1:5">
      <c r="A19847" t="s">
        <v>6</v>
      </c>
      <c r="B19847" t="s">
        <v>19852</v>
      </c>
      <c r="C19847">
        <f>HYPERLINK("C:\Users\franc\OneDrive\Documentos\MALENTIN KARIME\BANCO ESTADO\F 24 DANIEL CONTRERAS.doc", "Abrir Documento")</f>
        <v>0</v>
      </c>
      <c r="D19847" t="s">
        <v>23500</v>
      </c>
      <c r="E19847" t="s">
        <v>42320</v>
      </c>
    </row>
    <row r="19848" spans="1:5">
      <c r="A19848" t="s">
        <v>6</v>
      </c>
      <c r="B19848" t="s">
        <v>19853</v>
      </c>
      <c r="C19848">
        <f>HYPERLINK("C:\Users\franc\OneDrive\Documentos\MALENTIN KARIME\BANCO ESTADO\F 24 CRISTIAN CORTES.doc", "Abrir Documento")</f>
        <v>0</v>
      </c>
      <c r="D19848" t="s">
        <v>23500</v>
      </c>
      <c r="E19848" t="s">
        <v>42321</v>
      </c>
    </row>
    <row r="19849" spans="1:5">
      <c r="A19849" t="s">
        <v>6</v>
      </c>
      <c r="B19849" t="s">
        <v>19854</v>
      </c>
      <c r="C19849">
        <f>HYPERLINK("C:\Users\franc\OneDrive\Documentos\MALENTIN KARIME\BANCO ESTADO\F 24 BORIS JIMENEZ.doc", "Abrir Documento")</f>
        <v>0</v>
      </c>
      <c r="D19849" t="s">
        <v>23500</v>
      </c>
      <c r="E19849" t="s">
        <v>42322</v>
      </c>
    </row>
    <row r="19850" spans="1:5">
      <c r="A19850" t="s">
        <v>6</v>
      </c>
      <c r="B19850" t="s">
        <v>19855</v>
      </c>
      <c r="C19850">
        <f>HYPERLINK("C:\Users\franc\OneDrive\Documentos\MALENTIN KARIME\BANCO ESTADO\DUBERLY MUNDACA ORTIZ (CIUDAD DEL ENCANTO I ETAPA - BCI) - Octubre C Resguardo.doc", "Abrir Documento")</f>
        <v>0</v>
      </c>
      <c r="D19850" t="s">
        <v>23500</v>
      </c>
      <c r="E19850" t="s">
        <v>42323</v>
      </c>
    </row>
    <row r="19851" spans="1:5">
      <c r="A19851" t="s">
        <v>6</v>
      </c>
      <c r="B19851" t="s">
        <v>19856</v>
      </c>
      <c r="C19851">
        <f>HYPERLINK("C:\Users\franc\OneDrive\Documentos\MALENTIN KARIME\BANCO ESTADO\DOBLE M A RODRIGO TORRES.doc", "Abrir Documento")</f>
        <v>0</v>
      </c>
      <c r="D19851" t="s">
        <v>23500</v>
      </c>
      <c r="E19851" t="s">
        <v>42324</v>
      </c>
    </row>
    <row r="19852" spans="1:5">
      <c r="A19852" t="s">
        <v>6</v>
      </c>
      <c r="B19852" t="s">
        <v>19857</v>
      </c>
      <c r="C19852">
        <f>HYPERLINK("C:\Users\franc\OneDrive\Documentos\MALENTIN KARIME\BANCO ESTADO\DOBLE M A RODRIGO TORRES definitiva.doc", "Abrir Documento")</f>
        <v>0</v>
      </c>
      <c r="D19852" t="s">
        <v>23500</v>
      </c>
      <c r="E19852" t="s">
        <v>42325</v>
      </c>
    </row>
    <row r="19853" spans="1:5">
      <c r="A19853" t="s">
        <v>6</v>
      </c>
      <c r="B19853" t="s">
        <v>19858</v>
      </c>
      <c r="C19853">
        <f>HYPERLINK("C:\Users\franc\OneDrive\Documentos\MALENTIN KARIME\BANCO ESTADO\DOBLE M A JOSUE COFRE definitiva.doc", "Abrir Documento")</f>
        <v>0</v>
      </c>
      <c r="D19853" t="s">
        <v>23500</v>
      </c>
      <c r="E19853" t="s">
        <v>42326</v>
      </c>
    </row>
    <row r="19854" spans="1:5">
      <c r="A19854" t="s">
        <v>6</v>
      </c>
      <c r="B19854" t="s">
        <v>19859</v>
      </c>
      <c r="C19854">
        <f>HYPERLINK("C:\Users\franc\OneDrive\Documentos\MALENTIN KARIME\BANCO ESTADO\DIEGO ARANCIBIA Octubre Escritura.doc", "Abrir Documento")</f>
        <v>0</v>
      </c>
      <c r="D19854" t="s">
        <v>23500</v>
      </c>
      <c r="E19854" t="s">
        <v>42327</v>
      </c>
    </row>
    <row r="19855" spans="1:5">
      <c r="A19855" t="s">
        <v>6</v>
      </c>
      <c r="B19855" t="s">
        <v>19860</v>
      </c>
      <c r="C19855">
        <f>HYPERLINK("C:\Users\franc\OneDrive\Documentos\MALENTIN KARIME\BANCO ESTADO\DANIEL CONTRERAS UBILLO Carta Resguardo.doc", "Abrir Documento")</f>
        <v>0</v>
      </c>
      <c r="D19855" t="s">
        <v>23500</v>
      </c>
      <c r="E19855" t="s">
        <v>42328</v>
      </c>
    </row>
    <row r="19856" spans="1:5">
      <c r="A19856" t="s">
        <v>6</v>
      </c>
      <c r="B19856" t="s">
        <v>19861</v>
      </c>
      <c r="C19856">
        <f>HYPERLINK("C:\Users\franc\OneDrive\Documentos\MALENTIN KARIME\BANCO ESTADO\DANIEL CONTRERAS UBILLO  A DOBLE M.doc", "Abrir Documento")</f>
        <v>0</v>
      </c>
      <c r="D19856" t="s">
        <v>23500</v>
      </c>
      <c r="E19856" t="s">
        <v>42329</v>
      </c>
    </row>
    <row r="19857" spans="1:5">
      <c r="A19857" t="s">
        <v>6</v>
      </c>
      <c r="B19857" t="s">
        <v>19862</v>
      </c>
      <c r="C19857">
        <f>HYPERLINK("C:\Users\franc\OneDrive\Documentos\MALENTIN KARIME\BANCO ESTADO\CV Mutuo Hipotecario (DOBLE M DEL ATARDECER III ETAPA) CRISTIAN CORTES PINTO - Septiembre (2)(2).doc", "Abrir Documento")</f>
        <v>0</v>
      </c>
      <c r="D19857" t="s">
        <v>23500</v>
      </c>
      <c r="E19857" t="s">
        <v>42330</v>
      </c>
    </row>
    <row r="19858" spans="1:5">
      <c r="A19858" t="s">
        <v>6</v>
      </c>
      <c r="B19858" t="s">
        <v>19863</v>
      </c>
      <c r="C19858">
        <f>HYPERLINK("C:\Users\franc\OneDrive\Documentos\MALENTIN KARIME\BANCO ESTADO\CV Mutuo Hipotecario (Doble M - Del Crepúculo) DANIEL CONTRERAS UBILLO - Febrero (2).doc", "Abrir Documento")</f>
        <v>0</v>
      </c>
      <c r="D19858" t="s">
        <v>23500</v>
      </c>
      <c r="E19858" t="s">
        <v>42331</v>
      </c>
    </row>
    <row r="19859" spans="1:5">
      <c r="A19859" t="s">
        <v>6</v>
      </c>
      <c r="B19859" t="s">
        <v>19864</v>
      </c>
      <c r="C19859">
        <f>HYPERLINK("C:\Users\franc\OneDrive\Documentos\MALENTIN KARIME\BANCO ESTADO\CRISTIAN DIAZ andrea.doc", "Abrir Documento")</f>
        <v>0</v>
      </c>
      <c r="D19859" t="s">
        <v>23500</v>
      </c>
      <c r="E19859" t="s">
        <v>42332</v>
      </c>
    </row>
    <row r="19860" spans="1:5">
      <c r="A19860" t="s">
        <v>6</v>
      </c>
      <c r="B19860" t="s">
        <v>19865</v>
      </c>
      <c r="C19860">
        <f>HYPERLINK("C:\Users\franc\OneDrive\Documentos\MALENTIN KARIME\BANCO ESTADO\CRISTIAN CORTES PINTO Y DOBLE M.doc", "Abrir Documento")</f>
        <v>0</v>
      </c>
      <c r="D19860" t="s">
        <v>23500</v>
      </c>
      <c r="E19860" t="s">
        <v>42333</v>
      </c>
    </row>
    <row r="19861" spans="1:5">
      <c r="A19861" t="s">
        <v>6</v>
      </c>
      <c r="B19861" t="s">
        <v>19866</v>
      </c>
      <c r="C19861">
        <f>HYPERLINK("C:\Users\franc\OneDrive\Documentos\MALENTIN KARIME\BANCO ESTADO\CRISTIAN CORTES PINTO Y DOBLE M 2.doc", "Abrir Documento")</f>
        <v>0</v>
      </c>
      <c r="D19861" t="s">
        <v>23500</v>
      </c>
      <c r="E19861" t="s">
        <v>42334</v>
      </c>
    </row>
    <row r="19862" spans="1:5">
      <c r="A19862" t="s">
        <v>6</v>
      </c>
      <c r="B19862" t="s">
        <v>19867</v>
      </c>
      <c r="C19862">
        <f>HYPERLINK("C:\Users\franc\OneDrive\Documentos\MALENTIN KARIME\BANCO ESTADO\CRISTIAN CORTES PINTO (Doble M - Del Atardecer 3º Etapa) - Banco Chile(2) CARTA RESGUARDO 2.doc", "Abrir Documento")</f>
        <v>0</v>
      </c>
      <c r="D19862" t="s">
        <v>23500</v>
      </c>
      <c r="E19862" t="s">
        <v>42335</v>
      </c>
    </row>
    <row r="19863" spans="1:5">
      <c r="A19863" t="s">
        <v>6</v>
      </c>
      <c r="B19863" t="s">
        <v>19868</v>
      </c>
      <c r="C19863">
        <f>HYPERLINK("C:\Users\franc\OneDrive\Documentos\MALENTIN KARIME\BANCO ESTADO\CRISTIAN CORTES PINTO (Doble M - Del Atardecer 3º Etapa) - Banco Chile.doc", "Abrir Documento")</f>
        <v>0</v>
      </c>
      <c r="D19863" t="s">
        <v>23500</v>
      </c>
      <c r="E19863" t="s">
        <v>42335</v>
      </c>
    </row>
    <row r="19864" spans="1:5">
      <c r="A19864" t="s">
        <v>6</v>
      </c>
      <c r="B19864" t="s">
        <v>19869</v>
      </c>
      <c r="C19864">
        <f>HYPERLINK("C:\Users\franc\OneDrive\Documentos\MALENTIN KARIME\BANCO ESTADO\compraventa y alzamiento MIGUEL MALUENDA Y BEATRIZ CARVAJAL_000038.pdf", "Abrir Documento")</f>
        <v>0</v>
      </c>
      <c r="D19864" t="s">
        <v>23500</v>
      </c>
      <c r="E19864" t="s">
        <v>42336</v>
      </c>
    </row>
    <row r="19865" spans="1:5">
      <c r="A19865" t="s">
        <v>6</v>
      </c>
      <c r="B19865" t="s">
        <v>19870</v>
      </c>
      <c r="C19865">
        <f>HYPERLINK("C:\Users\franc\OneDrive\Documentos\MALENTIN KARIME\BANCO ESTADO\CLAUDIO GARRIDO ROJAS Octubre.doc", "Abrir Documento")</f>
        <v>0</v>
      </c>
      <c r="D19865" t="s">
        <v>23500</v>
      </c>
      <c r="E19865" t="s">
        <v>42337</v>
      </c>
    </row>
    <row r="19866" spans="1:5">
      <c r="A19866" t="s">
        <v>6</v>
      </c>
      <c r="B19866" t="s">
        <v>19871</v>
      </c>
      <c r="C19866">
        <f>HYPERLINK("C:\Users\franc\OneDrive\Documentos\MALENTIN KARIME\BANCO ESTADO\CLAUDIO GARRIDO ROJAS Octubre escritura publica.doc", "Abrir Documento")</f>
        <v>0</v>
      </c>
      <c r="D19866" t="s">
        <v>23500</v>
      </c>
      <c r="E19866" t="s">
        <v>42338</v>
      </c>
    </row>
    <row r="19867" spans="1:5">
      <c r="A19867" t="s">
        <v>6</v>
      </c>
      <c r="B19867" t="s">
        <v>19872</v>
      </c>
      <c r="C19867">
        <f>HYPERLINK("C:\Users\franc\OneDrive\Documentos\MALENTIN KARIME\BANCO ESTADO\certificado hipotecas MIGUEL MALUENDA_000039.pdf", "Abrir Documento")</f>
        <v>0</v>
      </c>
      <c r="D19867" t="s">
        <v>23500</v>
      </c>
      <c r="E19867" t="s">
        <v>42339</v>
      </c>
    </row>
    <row r="19868" spans="1:5">
      <c r="A19868" t="s">
        <v>6</v>
      </c>
      <c r="B19868" t="s">
        <v>19873</v>
      </c>
      <c r="C19868">
        <f>HYPERLINK("C:\Users\franc\OneDrive\Documentos\MALENTIN KARIME\BANCO ESTADO\CARTA.doc", "Abrir Documento")</f>
        <v>0</v>
      </c>
      <c r="D19868" t="s">
        <v>23500</v>
      </c>
      <c r="E19868" t="s">
        <v>42340</v>
      </c>
    </row>
    <row r="19869" spans="1:5">
      <c r="A19869" t="s">
        <v>6</v>
      </c>
      <c r="B19869" t="s">
        <v>19874</v>
      </c>
      <c r="C19869">
        <f>HYPERLINK("C:\Users\franc\OneDrive\Documentos\MALENTIN KARIME\BANCO ESTADO\carta resguardo  MIGUEL MALUENDA_000040.pdf", "Abrir Documento")</f>
        <v>0</v>
      </c>
      <c r="D19869" t="s">
        <v>23500</v>
      </c>
      <c r="E19869" t="s">
        <v>42341</v>
      </c>
    </row>
    <row r="19870" spans="1:5">
      <c r="A19870" t="s">
        <v>6</v>
      </c>
      <c r="B19870" t="s">
        <v>19875</v>
      </c>
      <c r="C19870">
        <f>HYPERLINK("C:\Users\franc\OneDrive\Documentos\MALENTIN KARIME\BANCO ESTADO\BORIS JIMENEZ BORQUEZ (Doble M - Del Crepúsculo) - Banco Chile.doc", "Abrir Documento")</f>
        <v>0</v>
      </c>
      <c r="D19870" t="s">
        <v>23500</v>
      </c>
      <c r="E19870" t="s">
        <v>42342</v>
      </c>
    </row>
    <row r="19871" spans="1:5">
      <c r="A19871" t="s">
        <v>6</v>
      </c>
      <c r="B19871" t="s">
        <v>19876</v>
      </c>
      <c r="C19871">
        <f>HYPERLINK("C:\Users\franc\OneDrive\Documentos\MALENTIN KARIME\BANCO ESTADO\BORIS JIMENEZ BORQUEZ  A DOBLE M.doc", "Abrir Documento")</f>
        <v>0</v>
      </c>
      <c r="D19871" t="s">
        <v>23500</v>
      </c>
      <c r="E19871" t="s">
        <v>42343</v>
      </c>
    </row>
    <row r="19872" spans="1:5">
      <c r="A19872" t="s">
        <v>6</v>
      </c>
      <c r="B19872" t="s">
        <v>19877</v>
      </c>
      <c r="C19872">
        <f>HYPERLINK("C:\Users\franc\OneDrive\Documentos\MALENTIN KARIME\BANCO ESTADO\BORIS JIMENEZ  Complementacion.doc", "Abrir Documento")</f>
        <v>0</v>
      </c>
      <c r="D19872" t="s">
        <v>23500</v>
      </c>
      <c r="E19872" t="s">
        <v>42344</v>
      </c>
    </row>
    <row r="19873" spans="1:5">
      <c r="A19873" t="s">
        <v>6</v>
      </c>
      <c r="B19873" t="s">
        <v>19878</v>
      </c>
      <c r="C19873">
        <f>HYPERLINK("C:\Users\franc\OneDrive\Documentos\MALENTIN KARIME\BANCO ESTADO\Bech Yuran Mery Leon Octubre.doc", "Abrir Documento")</f>
        <v>0</v>
      </c>
      <c r="D19873" t="s">
        <v>23500</v>
      </c>
      <c r="E19873" t="s">
        <v>42345</v>
      </c>
    </row>
    <row r="19874" spans="1:5">
      <c r="A19874" t="s">
        <v>6</v>
      </c>
      <c r="B19874" t="s">
        <v>19879</v>
      </c>
      <c r="C19874">
        <f>HYPERLINK("C:\Users\franc\OneDrive\Documentos\MALENTIN KARIME\BANCO ESTADO\Bech JUAN MUÑOZ ARAYA (soltero - UNION CIVIL) - Octubre.doc", "Abrir Documento")</f>
        <v>0</v>
      </c>
      <c r="D19874" t="s">
        <v>23500</v>
      </c>
      <c r="E19874" t="s">
        <v>42346</v>
      </c>
    </row>
    <row r="19875" spans="1:5">
      <c r="A19875" t="s">
        <v>6</v>
      </c>
      <c r="B19875" t="s">
        <v>19880</v>
      </c>
      <c r="C19875">
        <f>HYPERLINK("C:\Users\franc\OneDrive\Documentos\MALENTIN KARIME\BANCO ESTADO\Bech JUAN MUÑOZ ARAYA (soltero - UNION CIVIL) - CResguardo.doc", "Abrir Documento")</f>
        <v>0</v>
      </c>
      <c r="D19875" t="s">
        <v>23500</v>
      </c>
      <c r="E19875" t="s">
        <v>42347</v>
      </c>
    </row>
    <row r="19876" spans="1:5">
      <c r="A19876" t="s">
        <v>6</v>
      </c>
      <c r="B19876" t="s">
        <v>19881</v>
      </c>
      <c r="C19876">
        <f>HYPERLINK("C:\Users\franc\OneDrive\Documentos\MALENTIN KARIME\BANCO ESTADO\Bech DUBERLY MUNDACA ORTIZ (CIUDAD DEL ENCANTO I ETAPA - BCI) - Octubre C Resguardo.doc", "Abrir Documento")</f>
        <v>0</v>
      </c>
      <c r="D19876" t="s">
        <v>23500</v>
      </c>
      <c r="E19876" t="s">
        <v>42348</v>
      </c>
    </row>
    <row r="19877" spans="1:5">
      <c r="A19877" t="s">
        <v>6</v>
      </c>
      <c r="B19877" t="s">
        <v>19882</v>
      </c>
      <c r="C19877">
        <f>HYPERLINK("C:\Users\franc\OneDrive\Documentos\MALENTIN KARIME\BANCO ESTADO\Bech DIEGO ARANCIBIA CASTILLO (csc - soltero) - Octubre.doc", "Abrir Documento")</f>
        <v>0</v>
      </c>
      <c r="D19877" t="s">
        <v>23500</v>
      </c>
      <c r="E19877" t="s">
        <v>42349</v>
      </c>
    </row>
    <row r="19878" spans="1:5">
      <c r="A19878" t="s">
        <v>6</v>
      </c>
      <c r="B19878" t="s">
        <v>19883</v>
      </c>
      <c r="C19878">
        <f>HYPERLINK("C:\Users\franc\OneDrive\Documentos\MALENTIN KARIME\BANCO ESTADO\BEATRIZ CARVAJAL.doc", "Abrir Documento")</f>
        <v>0</v>
      </c>
      <c r="D19878" t="s">
        <v>23500</v>
      </c>
      <c r="E19878" t="s">
        <v>42350</v>
      </c>
    </row>
    <row r="19879" spans="1:5">
      <c r="A19879" t="s">
        <v>6</v>
      </c>
      <c r="B19879" t="s">
        <v>19884</v>
      </c>
      <c r="C19879">
        <f>HYPERLINK("C:\Users\franc\OneDrive\Documentos\MALENTIN KARIME\BANCO ESTADO\BEATRIZ CARVAJAL Escritura.doc", "Abrir Documento")</f>
        <v>0</v>
      </c>
      <c r="D19879" t="s">
        <v>23500</v>
      </c>
      <c r="E19879" t="s">
        <v>42351</v>
      </c>
    </row>
    <row r="19880" spans="1:5">
      <c r="A19880" t="s">
        <v>6</v>
      </c>
      <c r="B19880" t="s">
        <v>19885</v>
      </c>
      <c r="C19880">
        <f>HYPERLINK("C:\Users\franc\OneDrive\Documentos\MALENTIN KARIME\BANCO ESTADO\BEATRIZ CARVAJAL carta resguardo.doc", "Abrir Documento")</f>
        <v>0</v>
      </c>
      <c r="D19880" t="s">
        <v>23500</v>
      </c>
      <c r="E19880" t="s">
        <v>42352</v>
      </c>
    </row>
    <row r="19881" spans="1:5">
      <c r="A19881" t="s">
        <v>6</v>
      </c>
      <c r="B19881" t="s">
        <v>19886</v>
      </c>
      <c r="C19881">
        <f>HYPERLINK("C:\Users\franc\OneDrive\Documentos\MALENTIN KARIME\BANCO ESTADO\BEATRIZ CARVAJAL Escritura publica.doc", "Abrir Documento")</f>
        <v>0</v>
      </c>
      <c r="D19881" t="s">
        <v>23500</v>
      </c>
      <c r="E19881" t="s">
        <v>42352</v>
      </c>
    </row>
    <row r="19882" spans="1:5">
      <c r="A19882" t="s">
        <v>6</v>
      </c>
      <c r="B19882" t="s">
        <v>19887</v>
      </c>
      <c r="C19882">
        <f>HYPERLINK("C:\Users\franc\OneDrive\Documentos\MALENTIN KARIME\BANCO ESTADO\ALEXIS CAMPOS escritura.doc", "Abrir Documento")</f>
        <v>0</v>
      </c>
      <c r="D19882" t="s">
        <v>23500</v>
      </c>
      <c r="E19882" t="s">
        <v>42353</v>
      </c>
    </row>
    <row r="19883" spans="1:5">
      <c r="A19883" t="s">
        <v>6</v>
      </c>
      <c r="B19883" t="s">
        <v>19888</v>
      </c>
      <c r="C19883">
        <f>HYPERLINK("C:\Users\franc\OneDrive\Documentos\MALENTIN KARIME\BANCO ESTADO\ALEXIS CAMPOS escritura publica.doc", "Abrir Documento")</f>
        <v>0</v>
      </c>
      <c r="D19883" t="s">
        <v>23500</v>
      </c>
      <c r="E19883" t="s">
        <v>42354</v>
      </c>
    </row>
    <row r="19884" spans="1:5">
      <c r="A19884" t="s">
        <v>6</v>
      </c>
      <c r="B19884" t="s">
        <v>19889</v>
      </c>
      <c r="C19884">
        <f>HYPERLINK("C:\Users\franc\OneDrive\Documentos\MALENTIN KARIME\BANCO ESTADO\ALDO JAVIER PORTILLO escritura.doc", "Abrir Documento")</f>
        <v>0</v>
      </c>
      <c r="D19884" t="s">
        <v>23500</v>
      </c>
      <c r="E19884" t="s">
        <v>42355</v>
      </c>
    </row>
    <row r="19885" spans="1:5">
      <c r="A19885" t="s">
        <v>6</v>
      </c>
      <c r="B19885" t="s">
        <v>19890</v>
      </c>
      <c r="C19885">
        <f>HYPERLINK("C:\Users\franc\OneDrive\Documentos\MALENTIN KARIME\BANCO ESTADO\ALDO JAVIER PORTILLO carta resguardo.doc", "Abrir Documento")</f>
        <v>0</v>
      </c>
      <c r="D19885" t="s">
        <v>23500</v>
      </c>
      <c r="E19885" t="s">
        <v>42356</v>
      </c>
    </row>
    <row r="19886" spans="1:5">
      <c r="A19886" t="s">
        <v>6</v>
      </c>
      <c r="B19886" t="s">
        <v>19891</v>
      </c>
      <c r="C19886">
        <f>HYPERLINK("C:\Users\franc\OneDrive\Documentos\MALENTIN KARIME\BANCO CREDITO\FER LORCA en ROSITA (Rosita)\VISITA\VISITA 4º BIMESTRE 2009.doc", "Abrir Documento")</f>
        <v>0</v>
      </c>
      <c r="D19886" t="s">
        <v>23500</v>
      </c>
      <c r="E19886" t="s">
        <v>42357</v>
      </c>
    </row>
    <row r="19887" spans="1:5">
      <c r="A19887" t="s">
        <v>6</v>
      </c>
      <c r="B19887" t="s">
        <v>19892</v>
      </c>
      <c r="C19887">
        <f>HYPERLINK("C:\Users\franc\OneDrive\Documentos\MALENTIN KARIME\BANCO CREDITO\FER LORCA en ROSITA (Rosita)\VISITA\VISITA 3º BIMESTRE 2009.doc", "Abrir Documento")</f>
        <v>0</v>
      </c>
      <c r="D19887" t="s">
        <v>23500</v>
      </c>
      <c r="E19887" t="s">
        <v>42358</v>
      </c>
    </row>
    <row r="19888" spans="1:5">
      <c r="A19888" t="s">
        <v>6</v>
      </c>
      <c r="B19888" t="s">
        <v>19893</v>
      </c>
      <c r="C19888">
        <f>HYPERLINK("C:\Users\franc\OneDrive\Documentos\MALENTIN KARIME\BANCO CREDITO\FER LORCA en ROSITA (Rosita)\VISITA\VISITA 2º BIMESTRE 2009.doc", "Abrir Documento")</f>
        <v>0</v>
      </c>
      <c r="D19888" t="s">
        <v>23500</v>
      </c>
      <c r="E19888" t="s">
        <v>42359</v>
      </c>
    </row>
    <row r="19889" spans="1:5">
      <c r="A19889" t="s">
        <v>6</v>
      </c>
      <c r="B19889" t="s">
        <v>19894</v>
      </c>
      <c r="C19889">
        <f>HYPERLINK("C:\Users\franc\OneDrive\Documentos\MALENTIN KARIME\BANCO CREDITO\FER LORCA en ROSITA (Rosita)\VISITA\SIN EFECTO.doc", "Abrir Documento")</f>
        <v>0</v>
      </c>
      <c r="D19889" t="s">
        <v>23500</v>
      </c>
      <c r="E19889" t="s">
        <v>42360</v>
      </c>
    </row>
    <row r="19890" spans="1:5">
      <c r="A19890" t="s">
        <v>6</v>
      </c>
      <c r="B19890" t="s">
        <v>19895</v>
      </c>
      <c r="C19890">
        <f>HYPERLINK("C:\Users\franc\OneDrive\Documentos\MALENTIN KARIME\BANCO CREDITO\FER LORCA en ROSITA (Rosita)\VISITA\SIN EFECTO..doc", "Abrir Documento")</f>
        <v>0</v>
      </c>
      <c r="D19890" t="s">
        <v>23500</v>
      </c>
      <c r="E19890" t="s">
        <v>42361</v>
      </c>
    </row>
    <row r="19891" spans="1:5">
      <c r="A19891" t="s">
        <v>6</v>
      </c>
      <c r="B19891" t="s">
        <v>19896</v>
      </c>
      <c r="C19891">
        <f>HYPERLINK("C:\Users\franc\OneDrive\Documentos\MALENTIN KARIME\BANCO CREDITO\FER LORCA en ROSITA (Rosita)\VISITA\SIN EFECTO.-.doc", "Abrir Documento")</f>
        <v>0</v>
      </c>
      <c r="D19891" t="s">
        <v>23500</v>
      </c>
      <c r="E19891" t="s">
        <v>42362</v>
      </c>
    </row>
    <row r="19892" spans="1:5">
      <c r="A19892" t="s">
        <v>6</v>
      </c>
      <c r="B19892" t="s">
        <v>19897</v>
      </c>
      <c r="C19892">
        <f>HYPERLINK("C:\Users\franc\OneDrive\Documentos\MALENTIN KARIME\BANCO CREDITO\FER LORCA en ROSITA (Rosita)\VISITA\SIN EFECTO HORIZONTAL2.doc", "Abrir Documento")</f>
        <v>0</v>
      </c>
      <c r="D19892" t="s">
        <v>23500</v>
      </c>
      <c r="E19892" t="s">
        <v>42363</v>
      </c>
    </row>
    <row r="19893" spans="1:5">
      <c r="A19893" t="s">
        <v>6</v>
      </c>
      <c r="B19893" t="s">
        <v>19898</v>
      </c>
      <c r="C19893">
        <f>HYPERLINK("C:\Users\franc\OneDrive\Documentos\MALENTIN KARIME\BANCO CREDITO\FER LORCA en ROSITA (Rosita)\VISITA\SIN EFECTO HORIZONTAL2.- RETIRO DE FIRMA.-.doc", "Abrir Documento")</f>
        <v>0</v>
      </c>
      <c r="D19893" t="s">
        <v>23500</v>
      </c>
      <c r="E19893" t="s">
        <v>42364</v>
      </c>
    </row>
    <row r="19894" spans="1:5">
      <c r="A19894" t="s">
        <v>6</v>
      </c>
      <c r="B19894" t="s">
        <v>19899</v>
      </c>
      <c r="C19894">
        <f>HYPERLINK("C:\Users\franc\OneDrive\Documentos\MALENTIN KARIME\BANCO CREDITO\FER LORCA en ROSITA (Rosita)\VISITA\SIN EFECTO HORIZONTAL.doc", "Abrir Documento")</f>
        <v>0</v>
      </c>
      <c r="D19894" t="s">
        <v>23500</v>
      </c>
      <c r="E19894" t="s">
        <v>42365</v>
      </c>
    </row>
    <row r="19895" spans="1:5">
      <c r="A19895" t="s">
        <v>6</v>
      </c>
      <c r="B19895" t="s">
        <v>19900</v>
      </c>
      <c r="C19895">
        <f>HYPERLINK("C:\Users\franc\OneDrive\Documentos\MALENTIN KARIME\BANCO CREDITO\FER LORCA en ROSITA (Rosita)\VISITA\SIN EFECTO HORIZONTAL.-.doc", "Abrir Documento")</f>
        <v>0</v>
      </c>
      <c r="D19895" t="s">
        <v>23500</v>
      </c>
      <c r="E19895" t="s">
        <v>42366</v>
      </c>
    </row>
    <row r="19896" spans="1:5">
      <c r="A19896" t="s">
        <v>6</v>
      </c>
      <c r="B19896" t="s">
        <v>19901</v>
      </c>
      <c r="C19896">
        <f>HYPERLINK("C:\Users\franc\OneDrive\Documentos\MALENTIN KARIME\BANCO CREDITO\FER LORCA en ROSITA (Rosita)\VISITA\SIN EFECTO HORIZONTAL.- 1.doc", "Abrir Documento")</f>
        <v>0</v>
      </c>
      <c r="D19896" t="s">
        <v>23500</v>
      </c>
      <c r="E19896" t="s">
        <v>42367</v>
      </c>
    </row>
    <row r="19897" spans="1:5">
      <c r="A19897" t="s">
        <v>6</v>
      </c>
      <c r="B19897" t="s">
        <v>19902</v>
      </c>
      <c r="C19897">
        <f>HYPERLINK("C:\Users\franc\OneDrive\Documentos\MALENTIN KARIME\BANCO CREDITO\FER LORCA en ROSITA (Rosita)\VISITA\CERTIFICO.- primera hoja visita.doc", "Abrir Documento")</f>
        <v>0</v>
      </c>
      <c r="D19897" t="s">
        <v>23500</v>
      </c>
      <c r="E19897" t="s">
        <v>42368</v>
      </c>
    </row>
    <row r="19898" spans="1:5">
      <c r="A19898" t="s">
        <v>6</v>
      </c>
      <c r="B19898" t="s">
        <v>19903</v>
      </c>
      <c r="C19898">
        <f>HYPERLINK("C:\Users\franc\OneDrive\Documentos\MALENTIN KARIME\BANCO CREDITO\FER LORCA en ROSITA (Rosita)\VISITA\CERTIFICO.- primera hoja visita..doc", "Abrir Documento")</f>
        <v>0</v>
      </c>
      <c r="D19898" t="s">
        <v>23500</v>
      </c>
      <c r="E19898" t="s">
        <v>42369</v>
      </c>
    </row>
    <row r="19899" spans="1:5">
      <c r="A19899" t="s">
        <v>6</v>
      </c>
      <c r="B19899" t="s">
        <v>19904</v>
      </c>
      <c r="C19899">
        <f>HYPERLINK("C:\Users\franc\OneDrive\Documentos\MALENTIN KARIME\BANCO CREDITO\FER LORCA en ROSITA (Rosita)\VISITA\ACTA VISITA ANUAL.- oct. 2009 - 2010.doc", "Abrir Documento")</f>
        <v>0</v>
      </c>
      <c r="D19899" t="s">
        <v>23500</v>
      </c>
      <c r="E19899" t="s">
        <v>42370</v>
      </c>
    </row>
    <row r="19900" spans="1:5">
      <c r="A19900" t="s">
        <v>6</v>
      </c>
      <c r="B19900" t="s">
        <v>19905</v>
      </c>
      <c r="C19900">
        <f>HYPERLINK("C:\Users\franc\OneDrive\Documentos\MALENTIN KARIME\BANCO CREDITO\FER LORCA en ROSITA (Rosita)\VISITA\ACTA VISITA 5º BIMESTRE 2010.doc", "Abrir Documento")</f>
        <v>0</v>
      </c>
      <c r="D19900" t="s">
        <v>23500</v>
      </c>
      <c r="E19900" t="s">
        <v>42371</v>
      </c>
    </row>
    <row r="19901" spans="1:5">
      <c r="A19901" t="s">
        <v>6</v>
      </c>
      <c r="B19901" t="s">
        <v>19906</v>
      </c>
      <c r="C19901">
        <f>HYPERLINK("C:\Users\franc\OneDrive\Documentos\MALENTIN KARIME\BANCO CREDITO\FER LORCA en ROSITA (Rosita)\VISITA\1.doc", "Abrir Documento")</f>
        <v>0</v>
      </c>
      <c r="D19901" t="s">
        <v>23500</v>
      </c>
      <c r="E19901" t="s">
        <v>42372</v>
      </c>
    </row>
    <row r="19902" spans="1:5">
      <c r="A19902" t="s">
        <v>6</v>
      </c>
      <c r="B19902" t="s">
        <v>19907</v>
      </c>
      <c r="C19902">
        <f>HYPERLINK("C:\Users\franc\OneDrive\Documentos\MALENTIN KARIME\BANCO CREDITO\FER LORCA en ROSITA (Rosita)\VARIOS\VARIOS\CIBERGESTION\CIBERGESTION.doc", "Abrir Documento")</f>
        <v>0</v>
      </c>
      <c r="D19902" t="s">
        <v>23500</v>
      </c>
      <c r="E19902" t="s">
        <v>42373</v>
      </c>
    </row>
    <row r="19903" spans="1:5">
      <c r="A19903" t="s">
        <v>6</v>
      </c>
      <c r="B19903" t="s">
        <v>19908</v>
      </c>
      <c r="C19903">
        <f>HYPERLINK("C:\Users\franc\OneDrive\Documentos\MALENTIN KARIME\BANCO CREDITO\FER LORCA en ROSITA (Rosita)\VARIOS\VARIOS\CARTAS ASICOM 09\CARTA DICIEMBRE 09.doc", "Abrir Documento")</f>
        <v>0</v>
      </c>
      <c r="D19903" t="s">
        <v>23500</v>
      </c>
      <c r="E19903" t="s">
        <v>42374</v>
      </c>
    </row>
    <row r="19904" spans="1:5">
      <c r="A19904" t="s">
        <v>6</v>
      </c>
      <c r="B19904" t="s">
        <v>19909</v>
      </c>
      <c r="C19904">
        <f>HYPERLINK("C:\Users\franc\OneDrive\Documentos\MALENTIN KARIME\BANCO CREDITO\FER LORCA en ROSITA (Rosita)\VARIOS\VARIOS\CARTAS ASICOM 09\CARTA ASICOM.doc", "Abrir Documento")</f>
        <v>0</v>
      </c>
      <c r="D19904" t="s">
        <v>23500</v>
      </c>
      <c r="E19904" t="s">
        <v>42375</v>
      </c>
    </row>
    <row r="19905" spans="1:5">
      <c r="A19905" t="s">
        <v>6</v>
      </c>
      <c r="B19905" t="s">
        <v>19910</v>
      </c>
      <c r="C19905">
        <f>HYPERLINK("C:\Users\franc\OneDrive\Documentos\MALENTIN KARIME\BANCO CREDITO\FER LORCA en ROSITA (Rosita)\VARIOS\VARIOS\CARTAS ASICOM 09\CARTA ASICOM sept..doc", "Abrir Documento")</f>
        <v>0</v>
      </c>
      <c r="D19905" t="s">
        <v>23500</v>
      </c>
      <c r="E19905" t="s">
        <v>42376</v>
      </c>
    </row>
    <row r="19906" spans="1:5">
      <c r="A19906" t="s">
        <v>6</v>
      </c>
      <c r="B19906" t="s">
        <v>19911</v>
      </c>
      <c r="C19906">
        <f>HYPERLINK("C:\Users\franc\OneDrive\Documentos\MALENTIN KARIME\BANCO CREDITO\FER LORCA en ROSITA (Rosita)\VARIOS\VARIOS\CARTAS ASICOM 09\CARTA ASICOM OCTUBRE.doc", "Abrir Documento")</f>
        <v>0</v>
      </c>
      <c r="D19906" t="s">
        <v>23500</v>
      </c>
      <c r="E19906" t="s">
        <v>42377</v>
      </c>
    </row>
    <row r="19907" spans="1:5">
      <c r="A19907" t="s">
        <v>6</v>
      </c>
      <c r="B19907" t="s">
        <v>19912</v>
      </c>
      <c r="C19907">
        <f>HYPERLINK("C:\Users\franc\OneDrive\Documentos\MALENTIN KARIME\BANCO CREDITO\FER LORCA en ROSITA (Rosita)\VARIOS\VARIOS\CARTAS ASICOM 09\CARTA ASICOM JULIO.doc", "Abrir Documento")</f>
        <v>0</v>
      </c>
      <c r="D19907" t="s">
        <v>23500</v>
      </c>
      <c r="E19907" t="s">
        <v>42378</v>
      </c>
    </row>
    <row r="19908" spans="1:5">
      <c r="A19908" t="s">
        <v>6</v>
      </c>
      <c r="B19908" t="s">
        <v>19913</v>
      </c>
      <c r="C19908">
        <f>HYPERLINK("C:\Users\franc\OneDrive\Documentos\MALENTIN KARIME\BANCO CREDITO\FER LORCA en ROSITA (Rosita)\VARIOS\VARIOS\CARTAS ASICOM 09\CARTA ASICOM ESC. MES DE OCTUBRE.doc", "Abrir Documento")</f>
        <v>0</v>
      </c>
      <c r="D19908" t="s">
        <v>23500</v>
      </c>
      <c r="E19908" t="s">
        <v>42379</v>
      </c>
    </row>
    <row r="19909" spans="1:5">
      <c r="A19909" t="s">
        <v>6</v>
      </c>
      <c r="B19909" t="s">
        <v>19914</v>
      </c>
      <c r="C19909">
        <f>HYPERLINK("C:\Users\franc\OneDrive\Documentos\MALENTIN KARIME\BANCO CREDITO\FER LORCA en ROSITA (Rosita)\VARIOS\VARIOS\SOBRE BIGGERASICOM.doc", "Abrir Documento")</f>
        <v>0</v>
      </c>
      <c r="D19909" t="s">
        <v>23500</v>
      </c>
      <c r="E19909" t="s">
        <v>42380</v>
      </c>
    </row>
    <row r="19910" spans="1:5">
      <c r="A19910" t="s">
        <v>6</v>
      </c>
      <c r="B19910" t="s">
        <v>19915</v>
      </c>
      <c r="C19910">
        <f>HYPERLINK("C:\Users\franc\OneDrive\Documentos\MALENTIN KARIME\BANCO CREDITO\FER LORCA en ROSITA (Rosita)\VARIOS\VARIOS\SOBRE BIGGER.doc", "Abrir Documento")</f>
        <v>0</v>
      </c>
      <c r="D19910" t="s">
        <v>23500</v>
      </c>
      <c r="E19910" t="s">
        <v>42381</v>
      </c>
    </row>
    <row r="19911" spans="1:5">
      <c r="A19911" t="s">
        <v>6</v>
      </c>
      <c r="B19911" t="s">
        <v>19916</v>
      </c>
      <c r="C19911">
        <f>HYPERLINK("C:\Users\franc\OneDrive\Documentos\MALENTIN KARIME\BANCO CREDITO\FER LORCA en ROSITA (Rosita)\VARIOS\VARIOS\LOGOS.doc", "Abrir Documento")</f>
        <v>0</v>
      </c>
      <c r="D19911" t="s">
        <v>23500</v>
      </c>
      <c r="E19911" t="s">
        <v>42382</v>
      </c>
    </row>
    <row r="19912" spans="1:5">
      <c r="A19912" t="s">
        <v>6</v>
      </c>
      <c r="B19912" t="s">
        <v>19917</v>
      </c>
      <c r="C19912">
        <f>HYPERLINK("C:\Users\franc\OneDrive\Documentos\MALENTIN KARIME\BANCO CREDITO\FER LORCA en ROSITA (Rosita)\VARIOS\VARIOS\LOGOS .-.doc", "Abrir Documento")</f>
        <v>0</v>
      </c>
      <c r="D19912" t="s">
        <v>23500</v>
      </c>
      <c r="E19912" t="s">
        <v>42383</v>
      </c>
    </row>
    <row r="19913" spans="1:5">
      <c r="A19913" t="s">
        <v>6</v>
      </c>
      <c r="B19913" t="s">
        <v>19918</v>
      </c>
      <c r="C19913">
        <f>HYPERLINK("C:\Users\franc\OneDrive\Documentos\MALENTIN KARIME\BANCO CREDITO\FER LORCA en ROSITA (Rosita)\VARIOS\VARIOS\FS.doc", "Abrir Documento")</f>
        <v>0</v>
      </c>
      <c r="D19913" t="s">
        <v>23500</v>
      </c>
      <c r="E19913" t="s">
        <v>42384</v>
      </c>
    </row>
    <row r="19914" spans="1:5">
      <c r="A19914" t="s">
        <v>6</v>
      </c>
      <c r="B19914" t="s">
        <v>19919</v>
      </c>
      <c r="C19914">
        <f>HYPERLINK("C:\Users\franc\OneDrive\Documentos\MALENTIN KARIME\BANCO CREDITO\FER LORCA en ROSITA (Rosita)\VARIOS\VARIOS\Copia de PROTOCOLIZADOS.xls", "Abrir Documento")</f>
        <v>0</v>
      </c>
      <c r="D19914" t="s">
        <v>23500</v>
      </c>
      <c r="E19914" t="s">
        <v>42385</v>
      </c>
    </row>
    <row r="19915" spans="1:5">
      <c r="A19915" t="s">
        <v>6</v>
      </c>
      <c r="B19915" t="s">
        <v>19920</v>
      </c>
      <c r="C19915">
        <f>HYPERLINK("C:\Users\franc\OneDrive\Documentos\MALENTIN KARIME\BANCO CREDITO\FER LORCA en ROSITA (Rosita)\VARIOS\VARIOS\CARTA.doc", "Abrir Documento")</f>
        <v>0</v>
      </c>
      <c r="D19915" t="s">
        <v>23500</v>
      </c>
      <c r="E19915" t="s">
        <v>42386</v>
      </c>
    </row>
    <row r="19916" spans="1:5">
      <c r="A19916" t="s">
        <v>6</v>
      </c>
      <c r="B19916" t="s">
        <v>19921</v>
      </c>
      <c r="C19916">
        <f>HYPERLINK("C:\Users\franc\OneDrive\Documentos\MALENTIN KARIME\BANCO CREDITO\FER LORCA en ROSITA (Rosita)\VARIOS\VARIOS\CARTA STGO- CORPBANCA.doc", "Abrir Documento")</f>
        <v>0</v>
      </c>
      <c r="D19916" t="s">
        <v>23500</v>
      </c>
      <c r="E19916" t="s">
        <v>42387</v>
      </c>
    </row>
    <row r="19917" spans="1:5">
      <c r="A19917" t="s">
        <v>6</v>
      </c>
      <c r="B19917" t="s">
        <v>19922</v>
      </c>
      <c r="C19917">
        <f>HYPERLINK("C:\Users\franc\OneDrive\Documentos\MALENTIN KARIME\BANCO CREDITO\FER LORCA en ROSITA (Rosita)\VARIOS\VARIOS\CARTA entrega.doc", "Abrir Documento")</f>
        <v>0</v>
      </c>
      <c r="D19917" t="s">
        <v>23500</v>
      </c>
      <c r="E19917" t="s">
        <v>42388</v>
      </c>
    </row>
    <row r="19918" spans="1:5">
      <c r="A19918" t="s">
        <v>6</v>
      </c>
      <c r="B19918" t="s">
        <v>19923</v>
      </c>
      <c r="C19918">
        <f>HYPERLINK("C:\Users\franc\OneDrive\Documentos\MALENTIN KARIME\BANCO CREDITO\FER LORCA en ROSITA (Rosita)\VARIOS\VARIOS\CARTA ENTREGA DOCUMENTOS.doc", "Abrir Documento")</f>
        <v>0</v>
      </c>
      <c r="D19918" t="s">
        <v>23500</v>
      </c>
      <c r="E19918" t="s">
        <v>42389</v>
      </c>
    </row>
    <row r="19919" spans="1:5">
      <c r="A19919" t="s">
        <v>6</v>
      </c>
      <c r="B19919" t="s">
        <v>19924</v>
      </c>
      <c r="C19919">
        <f>HYPERLINK("C:\Users\franc\OneDrive\Documentos\MALENTIN KARIME\BANCO CREDITO\FER LORCA en ROSITA (Rosita)\VARIOS\VICTOR MARTINEZ.doc", "Abrir Documento")</f>
        <v>0</v>
      </c>
      <c r="D19919" t="s">
        <v>23500</v>
      </c>
      <c r="E19919" t="s">
        <v>42390</v>
      </c>
    </row>
    <row r="19920" spans="1:5">
      <c r="A19920" t="s">
        <v>6</v>
      </c>
      <c r="B19920" t="s">
        <v>19925</v>
      </c>
      <c r="C19920">
        <f>HYPERLINK("C:\Users\franc\OneDrive\Documentos\MALENTIN KARIME\BANCO CREDITO\FER LORCA en ROSITA (Rosita)\VARIOS\SOBRE.doc", "Abrir Documento")</f>
        <v>0</v>
      </c>
      <c r="D19920" t="s">
        <v>23500</v>
      </c>
      <c r="E19920" t="s">
        <v>42391</v>
      </c>
    </row>
    <row r="19921" spans="1:5">
      <c r="A19921" t="s">
        <v>6</v>
      </c>
      <c r="B19921" t="s">
        <v>19926</v>
      </c>
      <c r="C19921">
        <f>HYPERLINK("C:\Users\franc\OneDrive\Documentos\MALENTIN KARIME\BANCO CREDITO\FER LORCA en ROSITA (Rosita)\VARIOS\SOBRE RMTE.- AMERICANO.doc", "Abrir Documento")</f>
        <v>0</v>
      </c>
      <c r="D19921" t="s">
        <v>23500</v>
      </c>
      <c r="E19921" t="s">
        <v>42392</v>
      </c>
    </row>
    <row r="19922" spans="1:5">
      <c r="A19922" t="s">
        <v>6</v>
      </c>
      <c r="B19922" t="s">
        <v>19927</v>
      </c>
      <c r="C19922">
        <f>HYPERLINK("C:\Users\franc\OneDrive\Documentos\MALENTIN KARIME\BANCO CREDITO\FER LORCA en ROSITA (Rosita)\VARIOS\SOBRE MEDIO OFICIO.doc", "Abrir Documento")</f>
        <v>0</v>
      </c>
      <c r="D19922" t="s">
        <v>23500</v>
      </c>
      <c r="E19922" t="s">
        <v>42393</v>
      </c>
    </row>
    <row r="19923" spans="1:5">
      <c r="A19923" t="s">
        <v>6</v>
      </c>
      <c r="B19923" t="s">
        <v>19928</v>
      </c>
      <c r="C19923">
        <f>HYPERLINK("C:\Users\franc\OneDrive\Documentos\MALENTIN KARIME\BANCO CREDITO\FER LORCA en ROSITA (Rosita)\VARIOS\SOBRE BIGGER.doc", "Abrir Documento")</f>
        <v>0</v>
      </c>
      <c r="D19923" t="s">
        <v>23500</v>
      </c>
      <c r="E19923" t="s">
        <v>42394</v>
      </c>
    </row>
    <row r="19924" spans="1:5">
      <c r="A19924" t="s">
        <v>6</v>
      </c>
      <c r="B19924" t="s">
        <v>19929</v>
      </c>
      <c r="C19924">
        <f>HYPERLINK("C:\Users\franc\OneDrive\Documentos\MALENTIN KARIME\BANCO CREDITO\FER LORCA en ROSITA (Rosita)\VARIOS\SOBRE BIGGER. TIO NANO.-.doc", "Abrir Documento")</f>
        <v>0</v>
      </c>
      <c r="D19924" t="s">
        <v>23500</v>
      </c>
      <c r="E19924" t="s">
        <v>42395</v>
      </c>
    </row>
    <row r="19925" spans="1:5">
      <c r="A19925" t="s">
        <v>6</v>
      </c>
      <c r="B19925" t="s">
        <v>19930</v>
      </c>
      <c r="C19925">
        <f>HYPERLINK("C:\Users\franc\OneDrive\Documentos\MALENTIN KARIME\BANCO CREDITO\FER LORCA en ROSITA (Rosita)\VARIOS\SOBRE BIGGER. MANLIO.doc", "Abrir Documento")</f>
        <v>0</v>
      </c>
      <c r="D19925" t="s">
        <v>23500</v>
      </c>
      <c r="E19925" t="s">
        <v>42396</v>
      </c>
    </row>
    <row r="19926" spans="1:5">
      <c r="A19926" t="s">
        <v>6</v>
      </c>
      <c r="B19926" t="s">
        <v>19931</v>
      </c>
      <c r="C19926">
        <f>HYPERLINK("C:\Users\franc\OneDrive\Documentos\MALENTIN KARIME\BANCO CREDITO\FER LORCA en ROSITA (Rosita)\VARIOS\SOBRE BIGGER. JOHN HUNTER.doc", "Abrir Documento")</f>
        <v>0</v>
      </c>
      <c r="D19926" t="s">
        <v>23500</v>
      </c>
      <c r="E19926" t="s">
        <v>42397</v>
      </c>
    </row>
    <row r="19927" spans="1:5">
      <c r="A19927" t="s">
        <v>6</v>
      </c>
      <c r="B19927" t="s">
        <v>19932</v>
      </c>
      <c r="C19927">
        <f>HYPERLINK("C:\Users\franc\OneDrive\Documentos\MALENTIN KARIME\BANCO CREDITO\FER LORCA en ROSITA (Rosita)\VARIOS\SOBRE A6.doc", "Abrir Documento")</f>
        <v>0</v>
      </c>
      <c r="D19927" t="s">
        <v>23500</v>
      </c>
      <c r="E19927" t="s">
        <v>42398</v>
      </c>
    </row>
    <row r="19928" spans="1:5">
      <c r="A19928" t="s">
        <v>6</v>
      </c>
      <c r="B19928" t="s">
        <v>19933</v>
      </c>
      <c r="C19928">
        <f>HYPERLINK("C:\Users\franc\OneDrive\Documentos\MALENTIN KARIME\BANCO CREDITO\FER LORCA en ROSITA (Rosita)\VARIOS\SEPARACION BIENES.doc", "Abrir Documento")</f>
        <v>0</v>
      </c>
      <c r="D19928" t="s">
        <v>23500</v>
      </c>
      <c r="E19928" t="s">
        <v>42399</v>
      </c>
    </row>
    <row r="19929" spans="1:5">
      <c r="A19929" t="s">
        <v>6</v>
      </c>
      <c r="B19929" t="s">
        <v>19934</v>
      </c>
      <c r="C19929">
        <f>HYPERLINK("C:\Users\franc\OneDrive\Documentos\MALENTIN KARIME\BANCO CREDITO\FER LORCA en ROSITA (Rosita)\VARIOS\RMTE..doc", "Abrir Documento")</f>
        <v>0</v>
      </c>
      <c r="D19929" t="s">
        <v>23500</v>
      </c>
      <c r="E19929" t="s">
        <v>42400</v>
      </c>
    </row>
    <row r="19930" spans="1:5">
      <c r="A19930" t="s">
        <v>6</v>
      </c>
      <c r="B19930" t="s">
        <v>19935</v>
      </c>
      <c r="C19930">
        <f>HYPERLINK("C:\Users\franc\OneDrive\Documentos\MALENTIN KARIME\BANCO CREDITO\FER LORCA en ROSITA (Rosita)\VARIOS\PAGO IMPUESTOS F 24.doc", "Abrir Documento")</f>
        <v>0</v>
      </c>
      <c r="D19930" t="s">
        <v>23500</v>
      </c>
      <c r="E19930" t="s">
        <v>42401</v>
      </c>
    </row>
    <row r="19931" spans="1:5">
      <c r="A19931" t="s">
        <v>6</v>
      </c>
      <c r="B19931" t="s">
        <v>19936</v>
      </c>
      <c r="C19931">
        <f>HYPERLINK("C:\Users\franc\OneDrive\Documentos\MALENTIN KARIME\BANCO CREDITO\FER LORCA en ROSITA (Rosita)\VARIOS\PAGO IMPUESTOS F 24..doc", "Abrir Documento")</f>
        <v>0</v>
      </c>
      <c r="D19931" t="s">
        <v>23500</v>
      </c>
      <c r="E19931" t="s">
        <v>42402</v>
      </c>
    </row>
    <row r="19932" spans="1:5">
      <c r="A19932" t="s">
        <v>6</v>
      </c>
      <c r="B19932" t="s">
        <v>19937</v>
      </c>
      <c r="C19932">
        <f>HYPERLINK("C:\Users\franc\OneDrive\Documentos\MALENTIN KARIME\BANCO CREDITO\FER LORCA en ROSITA (Rosita)\VARIOS\PAGARE A PLAZO.doc", "Abrir Documento")</f>
        <v>0</v>
      </c>
      <c r="D19932" t="s">
        <v>23500</v>
      </c>
      <c r="E19932" t="s">
        <v>42403</v>
      </c>
    </row>
    <row r="19933" spans="1:5">
      <c r="A19933" t="s">
        <v>6</v>
      </c>
      <c r="B19933" t="s">
        <v>19938</v>
      </c>
      <c r="C19933">
        <f>HYPERLINK("C:\Users\franc\OneDrive\Documentos\MALENTIN KARIME\BANCO CREDITO\FER LORCA en ROSITA (Rosita)\VARIOS\PAGARE A PLAZO .-.doc", "Abrir Documento")</f>
        <v>0</v>
      </c>
      <c r="D19933" t="s">
        <v>23500</v>
      </c>
      <c r="E19933" t="s">
        <v>42404</v>
      </c>
    </row>
    <row r="19934" spans="1:5">
      <c r="A19934" t="s">
        <v>6</v>
      </c>
      <c r="B19934" t="s">
        <v>19939</v>
      </c>
      <c r="C19934">
        <f>HYPERLINK("C:\Users\franc\OneDrive\Documentos\MALENTIN KARIME\BANCO CREDITO\FER LORCA en ROSITA (Rosita)\VARIOS\otros.doc", "Abrir Documento")</f>
        <v>0</v>
      </c>
      <c r="D19934" t="s">
        <v>23500</v>
      </c>
      <c r="E19934" t="s">
        <v>42405</v>
      </c>
    </row>
    <row r="19935" spans="1:5">
      <c r="A19935" t="s">
        <v>6</v>
      </c>
      <c r="B19935" t="s">
        <v>19940</v>
      </c>
      <c r="C19935">
        <f>HYPERLINK("C:\Users\franc\OneDrive\Documentos\MALENTIN KARIME\BANCO CREDITO\FER LORCA en ROSITA (Rosita)\VARIOS\notificacion.doc", "Abrir Documento")</f>
        <v>0</v>
      </c>
      <c r="D19935" t="s">
        <v>23500</v>
      </c>
      <c r="E19935" t="s">
        <v>42406</v>
      </c>
    </row>
    <row r="19936" spans="1:5">
      <c r="A19936" t="s">
        <v>6</v>
      </c>
      <c r="B19936" t="s">
        <v>19941</v>
      </c>
      <c r="C19936">
        <f>HYPERLINK("C:\Users\franc\OneDrive\Documentos\MALENTIN KARIME\BANCO CREDITO\FER LORCA en ROSITA (Rosita)\VARIOS\notas al margen. 2..doc", "Abrir Documento")</f>
        <v>0</v>
      </c>
      <c r="D19936" t="s">
        <v>23500</v>
      </c>
      <c r="E19936" t="s">
        <v>42407</v>
      </c>
    </row>
    <row r="19937" spans="1:5">
      <c r="A19937" t="s">
        <v>6</v>
      </c>
      <c r="B19937" t="s">
        <v>19942</v>
      </c>
      <c r="C19937">
        <f>HYPERLINK("C:\Users\franc\OneDrive\Documentos\MALENTIN KARIME\BANCO CREDITO\FER LORCA en ROSITA (Rosita)\VARIOS\notas al margen OTRA.-.doc", "Abrir Documento")</f>
        <v>0</v>
      </c>
      <c r="D19937" t="s">
        <v>23500</v>
      </c>
      <c r="E19937" t="s">
        <v>42408</v>
      </c>
    </row>
    <row r="19938" spans="1:5">
      <c r="A19938" t="s">
        <v>6</v>
      </c>
      <c r="B19938" t="s">
        <v>19943</v>
      </c>
      <c r="C19938">
        <f>HYPERLINK("C:\Users\franc\OneDrive\Documentos\MALENTIN KARIME\BANCO CREDITO\FER LORCA en ROSITA (Rosita)\VARIOS\notas al margen OT.-.doc", "Abrir Documento")</f>
        <v>0</v>
      </c>
      <c r="D19938" t="s">
        <v>23500</v>
      </c>
      <c r="E19938" t="s">
        <v>42409</v>
      </c>
    </row>
    <row r="19939" spans="1:5">
      <c r="A19939" t="s">
        <v>6</v>
      </c>
      <c r="B19939" t="s">
        <v>19944</v>
      </c>
      <c r="C19939">
        <f>HYPERLINK("C:\Users\franc\OneDrive\Documentos\MALENTIN KARIME\BANCO CREDITO\FER LORCA en ROSITA (Rosita)\VARIOS\notas al margen 2.- FTO. LUIS DIAZ.doc", "Abrir Documento")</f>
        <v>0</v>
      </c>
      <c r="D19939" t="s">
        <v>23500</v>
      </c>
      <c r="E19939" t="s">
        <v>42410</v>
      </c>
    </row>
    <row r="19940" spans="1:5">
      <c r="A19940" t="s">
        <v>6</v>
      </c>
      <c r="B19940" t="s">
        <v>19945</v>
      </c>
      <c r="C19940">
        <f>HYPERLINK("C:\Users\franc\OneDrive\Documentos\MALENTIN KARIME\BANCO CREDITO\FER LORCA en ROSITA (Rosita)\VARIOS\notas al margen 2.- FTO. LUIS DIAZ-.doc", "Abrir Documento")</f>
        <v>0</v>
      </c>
      <c r="D19940" t="s">
        <v>23500</v>
      </c>
      <c r="E19940" t="s">
        <v>42411</v>
      </c>
    </row>
    <row r="19941" spans="1:5">
      <c r="A19941" t="s">
        <v>6</v>
      </c>
      <c r="B19941" t="s">
        <v>19946</v>
      </c>
      <c r="C19941">
        <f>HYPERLINK("C:\Users\franc\OneDrive\Documentos\MALENTIN KARIME\BANCO CREDITO\FER LORCA en ROSITA (Rosita)\VARIOS\nota al margen.1.doc", "Abrir Documento")</f>
        <v>0</v>
      </c>
      <c r="D19941" t="s">
        <v>23500</v>
      </c>
      <c r="E19941" t="s">
        <v>42412</v>
      </c>
    </row>
    <row r="19942" spans="1:5">
      <c r="A19942" t="s">
        <v>6</v>
      </c>
      <c r="B19942" t="s">
        <v>19947</v>
      </c>
      <c r="C19942">
        <f>HYPERLINK("C:\Users\franc\OneDrive\Documentos\MALENTIN KARIME\BANCO CREDITO\FER LORCA en ROSITA (Rosita)\VARIOS\nota al margen RATIFICACION.doc", "Abrir Documento")</f>
        <v>0</v>
      </c>
      <c r="D19942" t="s">
        <v>23500</v>
      </c>
      <c r="E19942" t="s">
        <v>42413</v>
      </c>
    </row>
    <row r="19943" spans="1:5">
      <c r="A19943" t="s">
        <v>6</v>
      </c>
      <c r="B19943" t="s">
        <v>19948</v>
      </c>
      <c r="C19943">
        <f>HYPERLINK("C:\Users\franc\OneDrive\Documentos\MALENTIN KARIME\BANCO CREDITO\FER LORCA en ROSITA (Rosita)\VARIOS\nota al margen CANCELACION PRECIO..doc", "Abrir Documento")</f>
        <v>0</v>
      </c>
      <c r="D19943" t="s">
        <v>23500</v>
      </c>
      <c r="E19943" t="s">
        <v>42414</v>
      </c>
    </row>
    <row r="19944" spans="1:5">
      <c r="A19944" t="s">
        <v>6</v>
      </c>
      <c r="B19944" t="s">
        <v>19949</v>
      </c>
      <c r="C19944">
        <f>HYPERLINK("C:\Users\franc\OneDrive\Documentos\MALENTIN KARIME\BANCO CREDITO\FER LORCA en ROSITA (Rosita)\VARIOS\nota al margen 1..doc", "Abrir Documento")</f>
        <v>0</v>
      </c>
      <c r="D19944" t="s">
        <v>23500</v>
      </c>
      <c r="E19944" t="s">
        <v>42415</v>
      </c>
    </row>
    <row r="19945" spans="1:5">
      <c r="A19945" t="s">
        <v>6</v>
      </c>
      <c r="B19945" t="s">
        <v>19950</v>
      </c>
      <c r="C19945">
        <f>HYPERLINK("C:\Users\franc\OneDrive\Documentos\MALENTIN KARIME\BANCO CREDITO\FER LORCA en ROSITA (Rosita)\VARIOS\nota al margen 1.- rectific. cvta con subs.-.doc", "Abrir Documento")</f>
        <v>0</v>
      </c>
      <c r="D19945" t="s">
        <v>23500</v>
      </c>
      <c r="E19945" t="s">
        <v>42416</v>
      </c>
    </row>
    <row r="19946" spans="1:5">
      <c r="A19946" t="s">
        <v>6</v>
      </c>
      <c r="B19946" t="s">
        <v>19951</v>
      </c>
      <c r="C19946">
        <f>HYPERLINK("C:\Users\franc\OneDrive\Documentos\MALENTIN KARIME\BANCO CREDITO\FER LORCA en ROSITA (Rosita)\VARIOS\nota al margen ..doc", "Abrir Documento")</f>
        <v>0</v>
      </c>
      <c r="D19946" t="s">
        <v>23500</v>
      </c>
      <c r="E19946" t="s">
        <v>42417</v>
      </c>
    </row>
    <row r="19947" spans="1:5">
      <c r="A19947" t="s">
        <v>6</v>
      </c>
      <c r="B19947" t="s">
        <v>19952</v>
      </c>
      <c r="C19947">
        <f>HYPERLINK("C:\Users\franc\OneDrive\Documentos\MALENTIN KARIME\BANCO CREDITO\FER LORCA en ROSITA (Rosita)\VARIOS\NO TIENE REV. TECNICA.doc", "Abrir Documento")</f>
        <v>0</v>
      </c>
      <c r="D19947" t="s">
        <v>23500</v>
      </c>
      <c r="E19947" t="s">
        <v>42418</v>
      </c>
    </row>
    <row r="19948" spans="1:5">
      <c r="A19948" t="s">
        <v>6</v>
      </c>
      <c r="B19948" t="s">
        <v>19953</v>
      </c>
      <c r="C19948">
        <f>HYPERLINK("C:\Users\franc\OneDrive\Documentos\MALENTIN KARIME\BANCO CREDITO\FER LORCA en ROSITA (Rosita)\VARIOS\MODELO   FORMULARIO  24.doc", "Abrir Documento")</f>
        <v>0</v>
      </c>
      <c r="D19948" t="s">
        <v>23500</v>
      </c>
      <c r="E19948" t="s">
        <v>42419</v>
      </c>
    </row>
    <row r="19949" spans="1:5">
      <c r="A19949" t="s">
        <v>6</v>
      </c>
      <c r="B19949" t="s">
        <v>19954</v>
      </c>
      <c r="C19949">
        <f>HYPERLINK("C:\Users\franc\OneDrive\Documentos\MALENTIN KARIME\BANCO CREDITO\FER LORCA en ROSITA (Rosita)\VARIOS\MODELO   FORMULARIO  24.- OTROÇ.doc", "Abrir Documento")</f>
        <v>0</v>
      </c>
      <c r="D19949" t="s">
        <v>23500</v>
      </c>
      <c r="E19949" t="s">
        <v>42420</v>
      </c>
    </row>
    <row r="19950" spans="1:5">
      <c r="A19950" t="s">
        <v>6</v>
      </c>
      <c r="B19950" t="s">
        <v>19955</v>
      </c>
      <c r="C19950">
        <f>HYPERLINK("C:\Users\franc\OneDrive\Documentos\MALENTIN KARIME\BANCO CREDITO\FER LORCA en ROSITA (Rosita)\VARIOS\MODELO   FORMULARIO  24.- MUTUOS HIPOTECARIO.doc", "Abrir Documento")</f>
        <v>0</v>
      </c>
      <c r="D19950" t="s">
        <v>23500</v>
      </c>
      <c r="E19950" t="s">
        <v>42421</v>
      </c>
    </row>
    <row r="19951" spans="1:5">
      <c r="A19951" t="s">
        <v>6</v>
      </c>
      <c r="B19951" t="s">
        <v>19956</v>
      </c>
      <c r="C19951">
        <f>HYPERLINK("C:\Users\franc\OneDrive\Documentos\MALENTIN KARIME\BANCO CREDITO\FER LORCA en ROSITA (Rosita)\VARIOS\MODELO   FORMULARIO  24. SILIM DABED.doc", "Abrir Documento")</f>
        <v>0</v>
      </c>
      <c r="D19951" t="s">
        <v>23500</v>
      </c>
      <c r="E19951" t="s">
        <v>42422</v>
      </c>
    </row>
    <row r="19952" spans="1:5">
      <c r="A19952" t="s">
        <v>6</v>
      </c>
      <c r="B19952" t="s">
        <v>19957</v>
      </c>
      <c r="C19952">
        <f>HYPERLINK("C:\Users\franc\OneDrive\Documentos\MALENTIN KARIME\BANCO CREDITO\FER LORCA en ROSITA (Rosita)\VARIOS\MODELO   FORMULARIO  24 NORA[1].doc", "Abrir Documento")</f>
        <v>0</v>
      </c>
      <c r="D19952" t="s">
        <v>23500</v>
      </c>
      <c r="E19952" t="s">
        <v>42423</v>
      </c>
    </row>
    <row r="19953" spans="1:5">
      <c r="A19953" t="s">
        <v>6</v>
      </c>
      <c r="B19953" t="s">
        <v>19958</v>
      </c>
      <c r="C19953">
        <f>HYPERLINK("C:\Users\franc\OneDrive\Documentos\MALENTIN KARIME\BANCO CREDITO\FER LORCA en ROSITA (Rosita)\VARIOS\LOGOS.doc", "Abrir Documento")</f>
        <v>0</v>
      </c>
      <c r="D19953" t="s">
        <v>23500</v>
      </c>
      <c r="E19953" t="s">
        <v>42424</v>
      </c>
    </row>
    <row r="19954" spans="1:5">
      <c r="A19954" t="s">
        <v>6</v>
      </c>
      <c r="B19954" t="s">
        <v>19959</v>
      </c>
      <c r="C19954">
        <f>HYPERLINK("C:\Users\franc\OneDrive\Documentos\MALENTIN KARIME\BANCO CREDITO\FER LORCA en ROSITA (Rosita)\VARIOS\LOGOS MINAS.doc", "Abrir Documento")</f>
        <v>0</v>
      </c>
      <c r="D19954" t="s">
        <v>23500</v>
      </c>
      <c r="E19954" t="s">
        <v>42425</v>
      </c>
    </row>
    <row r="19955" spans="1:5">
      <c r="A19955" t="s">
        <v>6</v>
      </c>
      <c r="B19955" t="s">
        <v>19960</v>
      </c>
      <c r="C19955">
        <f>HYPERLINK("C:\Users\franc\OneDrive\Documentos\MALENTIN KARIME\BANCO CREDITO\FER LORCA en ROSITA (Rosita)\VARIOS\LOGOS MINAS TAPA.doc", "Abrir Documento")</f>
        <v>0</v>
      </c>
      <c r="D19955" t="s">
        <v>23500</v>
      </c>
      <c r="E19955" t="s">
        <v>42426</v>
      </c>
    </row>
    <row r="19956" spans="1:5">
      <c r="A19956" t="s">
        <v>6</v>
      </c>
      <c r="B19956" t="s">
        <v>19961</v>
      </c>
      <c r="C19956">
        <f>HYPERLINK("C:\Users\franc\OneDrive\Documentos\MALENTIN KARIME\BANCO CREDITO\FER LORCA en ROSITA (Rosita)\VARIOS\Libro1.- HOJA CARTA INSTRUCCIONES.xls", "Abrir Documento")</f>
        <v>0</v>
      </c>
      <c r="D19956" t="s">
        <v>23500</v>
      </c>
      <c r="E19956" t="s">
        <v>42427</v>
      </c>
    </row>
    <row r="19957" spans="1:5">
      <c r="A19957" t="s">
        <v>6</v>
      </c>
      <c r="B19957" t="s">
        <v>19962</v>
      </c>
      <c r="C19957">
        <f>HYPERLINK("C:\Users\franc\OneDrive\Documentos\MALENTIN KARIME\BANCO CREDITO\FER LORCA en ROSITA (Rosita)\VARIOS\LETRA DE CAMBIO MODELO.doc", "Abrir Documento")</f>
        <v>0</v>
      </c>
      <c r="D19957" t="s">
        <v>23500</v>
      </c>
      <c r="E19957" t="s">
        <v>42428</v>
      </c>
    </row>
    <row r="19958" spans="1:5">
      <c r="A19958" t="s">
        <v>6</v>
      </c>
      <c r="B19958" t="s">
        <v>19963</v>
      </c>
      <c r="C19958">
        <f>HYPERLINK("C:\Users\franc\OneDrive\Documentos\MALENTIN KARIME\BANCO CREDITO\FER LORCA en ROSITA (Rosita)\VARIOS\INFORME INTERNO.xls", "Abrir Documento")</f>
        <v>0</v>
      </c>
      <c r="D19958" t="s">
        <v>23500</v>
      </c>
      <c r="E19958" t="s">
        <v>42429</v>
      </c>
    </row>
    <row r="19959" spans="1:5">
      <c r="A19959" t="s">
        <v>6</v>
      </c>
      <c r="B19959" t="s">
        <v>19964</v>
      </c>
      <c r="C19959">
        <f>HYPERLINK("C:\Users\franc\OneDrive\Documentos\MALENTIN KARIME\BANCO CREDITO\FER LORCA en ROSITA (Rosita)\VARIOS\IMPUESTOS VEHICULOS.doc", "Abrir Documento")</f>
        <v>0</v>
      </c>
      <c r="D19959" t="s">
        <v>23500</v>
      </c>
      <c r="E19959" t="s">
        <v>42430</v>
      </c>
    </row>
    <row r="19960" spans="1:5">
      <c r="A19960" t="s">
        <v>6</v>
      </c>
      <c r="B19960" t="s">
        <v>19965</v>
      </c>
      <c r="C19960">
        <f>HYPERLINK("C:\Users\franc\OneDrive\Documentos\MALENTIN KARIME\BANCO CREDITO\FER LORCA en ROSITA (Rosita)\VARIOS\IMPUESTOS VEHICULOS.-.doc", "Abrir Documento")</f>
        <v>0</v>
      </c>
      <c r="D19960" t="s">
        <v>23500</v>
      </c>
      <c r="E19960" t="s">
        <v>42431</v>
      </c>
    </row>
    <row r="19961" spans="1:5">
      <c r="A19961" t="s">
        <v>6</v>
      </c>
      <c r="B19961" t="s">
        <v>19966</v>
      </c>
      <c r="C19961">
        <f>HYPERLINK("C:\Users\franc\OneDrive\Documentos\MALENTIN KARIME\BANCO CREDITO\FER LORCA en ROSITA (Rosita)\VARIOS\IMPUESTOS EN PROMESA DE COMPRAVENTA.doc", "Abrir Documento")</f>
        <v>0</v>
      </c>
      <c r="D19961" t="s">
        <v>23500</v>
      </c>
      <c r="E19961" t="s">
        <v>42432</v>
      </c>
    </row>
    <row r="19962" spans="1:5">
      <c r="A19962" t="s">
        <v>6</v>
      </c>
      <c r="B19962" t="s">
        <v>19967</v>
      </c>
      <c r="C19962">
        <f>HYPERLINK("C:\Users\franc\OneDrive\Documentos\MALENTIN KARIME\BANCO CREDITO\FER LORCA en ROSITA (Rosita)\VARIOS\FORMULARIO  24.doc", "Abrir Documento")</f>
        <v>0</v>
      </c>
      <c r="D19962" t="s">
        <v>23500</v>
      </c>
      <c r="E19962" t="s">
        <v>42433</v>
      </c>
    </row>
    <row r="19963" spans="1:5">
      <c r="A19963" t="s">
        <v>6</v>
      </c>
      <c r="B19963" t="s">
        <v>19968</v>
      </c>
      <c r="C19963">
        <f>HYPERLINK("C:\Users\franc\OneDrive\Documentos\MALENTIN KARIME\BANCO CREDITO\FER LORCA en ROSITA (Rosita)\VARIOS\FORMULARIO  24.- ALBERTO SCHENFELD.- BCO. CHILE.doc", "Abrir Documento")</f>
        <v>0</v>
      </c>
      <c r="D19963" t="s">
        <v>23500</v>
      </c>
      <c r="E19963" t="s">
        <v>42434</v>
      </c>
    </row>
    <row r="19964" spans="1:5">
      <c r="A19964" t="s">
        <v>6</v>
      </c>
      <c r="B19964" t="s">
        <v>19969</v>
      </c>
      <c r="C19964">
        <f>HYPERLINK("C:\Users\franc\OneDrive\Documentos\MALENTIN KARIME\BANCO CREDITO\FER LORCA en ROSITA (Rosita)\VARIOS\DEC JURADA SIMPLE....EDG.S..doc", "Abrir Documento")</f>
        <v>0</v>
      </c>
      <c r="D19964" t="s">
        <v>23500</v>
      </c>
      <c r="E19964" t="s">
        <v>42435</v>
      </c>
    </row>
    <row r="19965" spans="1:5">
      <c r="A19965" t="s">
        <v>6</v>
      </c>
      <c r="B19965" t="s">
        <v>19970</v>
      </c>
      <c r="C19965">
        <f>HYPERLINK("C:\Users\franc\OneDrive\Documentos\MALENTIN KARIME\BANCO CREDITO\FER LORCA en ROSITA (Rosita)\VARIOS\CXARTA INSTRUCCION.doc", "Abrir Documento")</f>
        <v>0</v>
      </c>
      <c r="D19965" t="s">
        <v>23500</v>
      </c>
      <c r="E19965" t="s">
        <v>42436</v>
      </c>
    </row>
    <row r="19966" spans="1:5">
      <c r="A19966" t="s">
        <v>6</v>
      </c>
      <c r="B19966" t="s">
        <v>19971</v>
      </c>
      <c r="C19966">
        <f>HYPERLINK("C:\Users\franc\OneDrive\Documentos\MALENTIN KARIME\BANCO CREDITO\FER LORCA en ROSITA (Rosita)\VARIOS\Copia de Libro1.- HOJA CARTA INSTRUCCIONES..xls", "Abrir Documento")</f>
        <v>0</v>
      </c>
      <c r="D19966" t="s">
        <v>23500</v>
      </c>
      <c r="E19966" t="s">
        <v>42437</v>
      </c>
    </row>
    <row r="19967" spans="1:5">
      <c r="A19967" t="s">
        <v>6</v>
      </c>
      <c r="B19967" t="s">
        <v>19972</v>
      </c>
      <c r="C19967">
        <f>HYPERLINK("C:\Users\franc\OneDrive\Documentos\MALENTIN KARIME\BANCO CREDITO\FER LORCA en ROSITA (Rosita)\VARIOS\Copia de Copia de PROTOCOLIZADOS.-.xls", "Abrir Documento")</f>
        <v>0</v>
      </c>
      <c r="D19967" t="s">
        <v>23500</v>
      </c>
      <c r="E19967" t="s">
        <v>42438</v>
      </c>
    </row>
    <row r="19968" spans="1:5">
      <c r="A19968" t="s">
        <v>6</v>
      </c>
      <c r="B19968" t="s">
        <v>19973</v>
      </c>
      <c r="C19968">
        <f>HYPERLINK("C:\Users\franc\OneDrive\Documentos\MALENTIN KARIME\BANCO CREDITO\FER LORCA en ROSITA (Rosita)\VARIOS\CARTA.doc", "Abrir Documento")</f>
        <v>0</v>
      </c>
      <c r="D19968" t="s">
        <v>23500</v>
      </c>
      <c r="E19968" t="s">
        <v>42439</v>
      </c>
    </row>
    <row r="19969" spans="1:5">
      <c r="A19969" t="s">
        <v>6</v>
      </c>
      <c r="B19969" t="s">
        <v>19974</v>
      </c>
      <c r="C19969">
        <f>HYPERLINK("C:\Users\franc\OneDrive\Documentos\MALENTIN KARIME\BANCO CREDITO\FER LORCA en ROSITA (Rosita)\VARIOS\CARTA.-.doc", "Abrir Documento")</f>
        <v>0</v>
      </c>
      <c r="D19969" t="s">
        <v>23500</v>
      </c>
      <c r="E19969" t="s">
        <v>42440</v>
      </c>
    </row>
    <row r="19970" spans="1:5">
      <c r="A19970" t="s">
        <v>6</v>
      </c>
      <c r="B19970" t="s">
        <v>19975</v>
      </c>
      <c r="C19970">
        <f>HYPERLINK("C:\Users\franc\OneDrive\Documentos\MALENTIN KARIME\BANCO CREDITO\FER LORCA en ROSITA (Rosita)\VARIOS\CARTA.- GABRIEL.doc", "Abrir Documento")</f>
        <v>0</v>
      </c>
      <c r="D19970" t="s">
        <v>23500</v>
      </c>
      <c r="E19970" t="s">
        <v>42441</v>
      </c>
    </row>
    <row r="19971" spans="1:5">
      <c r="A19971" t="s">
        <v>6</v>
      </c>
      <c r="B19971" t="s">
        <v>19976</v>
      </c>
      <c r="C19971">
        <f>HYPERLINK("C:\Users\franc\OneDrive\Documentos\MALENTIN KARIME\BANCO CREDITO\FER LORCA en ROSITA (Rosita)\VARIOS\CARTA.- GABRIEL.- B.C.I. SEGUROS.doc", "Abrir Documento")</f>
        <v>0</v>
      </c>
      <c r="D19971" t="s">
        <v>23500</v>
      </c>
      <c r="E19971" t="s">
        <v>42442</v>
      </c>
    </row>
    <row r="19972" spans="1:5">
      <c r="A19972" t="s">
        <v>6</v>
      </c>
      <c r="B19972" t="s">
        <v>19977</v>
      </c>
      <c r="C19972">
        <f>HYPERLINK("C:\Users\franc\OneDrive\Documentos\MALENTIN KARIME\BANCO CREDITO\FER LORCA en ROSITA (Rosita)\VARIOS\CARTA JUZGADO.doc", "Abrir Documento")</f>
        <v>0</v>
      </c>
      <c r="D19972" t="s">
        <v>23500</v>
      </c>
      <c r="E19972" t="s">
        <v>42443</v>
      </c>
    </row>
    <row r="19973" spans="1:5">
      <c r="A19973" t="s">
        <v>6</v>
      </c>
      <c r="B19973" t="s">
        <v>19978</v>
      </c>
      <c r="C19973">
        <f>HYPERLINK("C:\Users\franc\OneDrive\Documentos\MALENTIN KARIME\BANCO CREDITO\FER LORCA en ROSITA (Rosita)\VARIOS\CARTA JUZGADO.- ENERO.doc", "Abrir Documento")</f>
        <v>0</v>
      </c>
      <c r="D19973" t="s">
        <v>23500</v>
      </c>
      <c r="E19973" t="s">
        <v>42444</v>
      </c>
    </row>
    <row r="19974" spans="1:5">
      <c r="A19974" t="s">
        <v>6</v>
      </c>
      <c r="B19974" t="s">
        <v>19979</v>
      </c>
      <c r="C19974">
        <f>HYPERLINK("C:\Users\franc\OneDrive\Documentos\MALENTIN KARIME\BANCO CREDITO\FER LORCA en ROSITA (Rosita)\VARIOS\CARTA JUZGADO.- ENERO 2011.doc", "Abrir Documento")</f>
        <v>0</v>
      </c>
      <c r="D19974" t="s">
        <v>23500</v>
      </c>
      <c r="E19974" t="s">
        <v>42445</v>
      </c>
    </row>
    <row r="19975" spans="1:5">
      <c r="A19975" t="s">
        <v>6</v>
      </c>
      <c r="B19975" t="s">
        <v>19980</v>
      </c>
      <c r="C19975">
        <f>HYPERLINK("C:\Users\franc\OneDrive\Documentos\MALENTIN KARIME\BANCO CREDITO\FER LORCA en ROSITA (Rosita)\VARIOS\CARTA INSTRUCCIONES.-1.doc", "Abrir Documento")</f>
        <v>0</v>
      </c>
      <c r="D19975" t="s">
        <v>23500</v>
      </c>
      <c r="E19975" t="s">
        <v>42446</v>
      </c>
    </row>
    <row r="19976" spans="1:5">
      <c r="A19976" t="s">
        <v>6</v>
      </c>
      <c r="B19976" t="s">
        <v>19981</v>
      </c>
      <c r="C19976">
        <f>HYPERLINK("C:\Users\franc\OneDrive\Documentos\MALENTIN KARIME\BANCO CREDITO\FER LORCA en ROSITA (Rosita)\VARIOS\CARTA INSTRUCCIONES.-.doc", "Abrir Documento")</f>
        <v>0</v>
      </c>
      <c r="D19976" t="s">
        <v>23500</v>
      </c>
      <c r="E19976" t="s">
        <v>42447</v>
      </c>
    </row>
    <row r="19977" spans="1:5">
      <c r="A19977" t="s">
        <v>6</v>
      </c>
      <c r="B19977" t="s">
        <v>19982</v>
      </c>
      <c r="C19977">
        <f>HYPERLINK("C:\Users\franc\OneDrive\Documentos\MALENTIN KARIME\BANCO CREDITO\FER LORCA en ROSITA (Rosita)\VARIOS\CARTA INSTRUCCION.doc", "Abrir Documento")</f>
        <v>0</v>
      </c>
      <c r="D19977" t="s">
        <v>23500</v>
      </c>
      <c r="E19977" t="s">
        <v>42448</v>
      </c>
    </row>
    <row r="19978" spans="1:5">
      <c r="A19978" t="s">
        <v>6</v>
      </c>
      <c r="B19978" t="s">
        <v>19983</v>
      </c>
      <c r="C19978">
        <f>HYPERLINK("C:\Users\franc\OneDrive\Documentos\MALENTIN KARIME\BANCO CREDITO\FER LORCA en ROSITA (Rosita)\VARIOS\CARTA bci.doc", "Abrir Documento")</f>
        <v>0</v>
      </c>
      <c r="D19978" t="s">
        <v>23500</v>
      </c>
      <c r="E19978" t="s">
        <v>42449</v>
      </c>
    </row>
    <row r="19979" spans="1:5">
      <c r="A19979" t="s">
        <v>6</v>
      </c>
      <c r="B19979" t="s">
        <v>19984</v>
      </c>
      <c r="C19979">
        <f>HYPERLINK("C:\Users\franc\OneDrive\Documentos\MALENTIN KARIME\BANCO CREDITO\FER LORCA en ROSITA (Rosita)\VARIOS\CARTA AL C.B.R. PROT. PLANO.doc", "Abrir Documento")</f>
        <v>0</v>
      </c>
      <c r="D19979" t="s">
        <v>23500</v>
      </c>
      <c r="E19979" t="s">
        <v>42450</v>
      </c>
    </row>
    <row r="19980" spans="1:5">
      <c r="A19980" t="s">
        <v>6</v>
      </c>
      <c r="B19980" t="s">
        <v>19985</v>
      </c>
      <c r="C19980">
        <f>HYPERLINK("C:\Users\franc\OneDrive\Documentos\MALENTIN KARIME\BANCO CREDITO\FER LORCA en ROSITA (Rosita)\VARIOS\CARTA AL  C.B.R. PROTOC. PLANOOTRA.doc", "Abrir Documento")</f>
        <v>0</v>
      </c>
      <c r="D19980" t="s">
        <v>23500</v>
      </c>
      <c r="E19980" t="s">
        <v>42451</v>
      </c>
    </row>
    <row r="19981" spans="1:5">
      <c r="A19981" t="s">
        <v>6</v>
      </c>
      <c r="B19981" t="s">
        <v>19986</v>
      </c>
      <c r="C19981">
        <f>HYPERLINK("C:\Users\franc\OneDrive\Documentos\MALENTIN KARIME\BANCO CREDITO\FER LORCA en ROSITA (Rosita)\VARIOS\CARTA AL  C.B.R. PROTOC. PLANO.doc", "Abrir Documento")</f>
        <v>0</v>
      </c>
      <c r="D19981" t="s">
        <v>23500</v>
      </c>
      <c r="E19981" t="s">
        <v>42452</v>
      </c>
    </row>
    <row r="19982" spans="1:5">
      <c r="A19982" t="s">
        <v>6</v>
      </c>
      <c r="B19982" t="s">
        <v>19987</v>
      </c>
      <c r="C19982">
        <f>HYPERLINK("C:\Users\franc\OneDrive\Documentos\MALENTIN KARIME\BANCO CREDITO\FER LORCA en ROSITA (Rosita)\VARIOS\CARTA AL  C.B.R. PROTOC. PLANO.- MONTE PATRIA.doc", "Abrir Documento")</f>
        <v>0</v>
      </c>
      <c r="D19982" t="s">
        <v>23500</v>
      </c>
      <c r="E19982" t="s">
        <v>42453</v>
      </c>
    </row>
    <row r="19983" spans="1:5">
      <c r="A19983" t="s">
        <v>6</v>
      </c>
      <c r="B19983" t="s">
        <v>19988</v>
      </c>
      <c r="C19983">
        <f>HYPERLINK("C:\Users\franc\OneDrive\Documentos\MALENTIN KARIME\BANCO CREDITO\FER LORCA en ROSITA (Rosita)\VARIOS\CARTA .C.B.R. PEDRO GAHONA.doc", "Abrir Documento")</f>
        <v>0</v>
      </c>
      <c r="D19983" t="s">
        <v>23500</v>
      </c>
      <c r="E19983" t="s">
        <v>42454</v>
      </c>
    </row>
    <row r="19984" spans="1:5">
      <c r="A19984" t="s">
        <v>6</v>
      </c>
      <c r="B19984" t="s">
        <v>19989</v>
      </c>
      <c r="C19984">
        <f>HYPERLINK("C:\Users\franc\OneDrive\Documentos\MALENTIN KARIME\BANCO CREDITO\FER LORCA en ROSITA (Rosita)\VARIOS\AUTORIZACION ESCRITRUAS CON VIGENCIA.doc", "Abrir Documento")</f>
        <v>0</v>
      </c>
      <c r="D19984" t="s">
        <v>23500</v>
      </c>
      <c r="E19984" t="s">
        <v>42455</v>
      </c>
    </row>
    <row r="19985" spans="1:5">
      <c r="A19985" t="s">
        <v>6</v>
      </c>
      <c r="B19985" t="s">
        <v>19990</v>
      </c>
      <c r="C19985">
        <f>HYPERLINK("C:\Users\franc\OneDrive\Documentos\MALENTIN KARIME\BANCO CREDITO\FER LORCA en ROSITA (Rosita)\VARIOS\AUTORIZACION ESCRITRUAS CON VIGENCIA otro.doc", "Abrir Documento")</f>
        <v>0</v>
      </c>
      <c r="D19985" t="s">
        <v>23500</v>
      </c>
      <c r="E19985" t="s">
        <v>42456</v>
      </c>
    </row>
    <row r="19986" spans="1:5">
      <c r="A19986" t="s">
        <v>6</v>
      </c>
      <c r="B19986" t="s">
        <v>19991</v>
      </c>
      <c r="C19986">
        <f>HYPERLINK("C:\Users\franc\OneDrive\Documentos\MALENTIN KARIME\BANCO CREDITO\FER LORCA en ROSITA (Rosita)\VARIOS\AUTORIZACION ESCRITRUAS CON VIGENCIA horizontal.doc", "Abrir Documento")</f>
        <v>0</v>
      </c>
      <c r="D19986" t="s">
        <v>23500</v>
      </c>
      <c r="E19986" t="s">
        <v>42457</v>
      </c>
    </row>
    <row r="19987" spans="1:5">
      <c r="A19987" t="s">
        <v>6</v>
      </c>
      <c r="B19987" t="s">
        <v>19992</v>
      </c>
      <c r="C19987">
        <f>HYPERLINK("C:\Users\franc\OneDrive\Documentos\MALENTIN KARIME\BANCO CREDITO\FER LORCA en ROSITA (Rosita)\VARIOS\AUTORIZACION DIARIO..doc", "Abrir Documento")</f>
        <v>0</v>
      </c>
      <c r="D19987" t="s">
        <v>23500</v>
      </c>
      <c r="E19987" t="s">
        <v>42458</v>
      </c>
    </row>
    <row r="19988" spans="1:5">
      <c r="A19988" t="s">
        <v>6</v>
      </c>
      <c r="B19988" t="s">
        <v>19993</v>
      </c>
      <c r="C19988">
        <f>HYPERLINK("C:\Users\franc\OneDrive\Documentos\MALENTIN KARIME\BANCO CREDITO\FER LORCA en ROSITA (Rosita)\VARIOS\AUTORIZACION DIARIO digital.doc", "Abrir Documento")</f>
        <v>0</v>
      </c>
      <c r="D19988" t="s">
        <v>23500</v>
      </c>
      <c r="E19988" t="s">
        <v>42459</v>
      </c>
    </row>
    <row r="19989" spans="1:5">
      <c r="A19989" t="s">
        <v>6</v>
      </c>
      <c r="B19989" t="s">
        <v>19994</v>
      </c>
      <c r="C19989">
        <f>HYPERLINK("C:\Users\franc\OneDrive\Documentos\MALENTIN KARIME\BANCO CREDITO\FER LORCA en ROSITA (Rosita)\VARIOS\AUTORIZACION BOLETÍN MINERIA.doc", "Abrir Documento")</f>
        <v>0</v>
      </c>
      <c r="D19989" t="s">
        <v>23500</v>
      </c>
      <c r="E19989" t="s">
        <v>42460</v>
      </c>
    </row>
    <row r="19990" spans="1:5">
      <c r="A19990" t="s">
        <v>6</v>
      </c>
      <c r="B19990" t="s">
        <v>19995</v>
      </c>
      <c r="C19990">
        <f>HYPERLINK("C:\Users\franc\OneDrive\Documentos\MALENTIN KARIME\BANCO CREDITO\FER LORCA en ROSITA (Rosita)\VARIOS\AUT. FIRMAS.doc", "Abrir Documento")</f>
        <v>0</v>
      </c>
      <c r="D19990" t="s">
        <v>23500</v>
      </c>
      <c r="E19990" t="s">
        <v>42461</v>
      </c>
    </row>
    <row r="19991" spans="1:5">
      <c r="A19991" t="s">
        <v>6</v>
      </c>
      <c r="B19991" t="s">
        <v>19996</v>
      </c>
      <c r="C19991">
        <f>HYPERLINK("C:\Users\franc\OneDrive\Documentos\MALENTIN KARIME\BANCO CREDITO\FER LORCA en ROSITA (Rosita)\VARIOS\AUT. FIRMAS. ALFONSO ARTIGUES POR ANGOSTURA.doc", "Abrir Documento")</f>
        <v>0</v>
      </c>
      <c r="D19991" t="s">
        <v>23500</v>
      </c>
      <c r="E19991" t="s">
        <v>42462</v>
      </c>
    </row>
    <row r="19992" spans="1:5">
      <c r="A19992" t="s">
        <v>6</v>
      </c>
      <c r="B19992" t="s">
        <v>19997</v>
      </c>
      <c r="C19992">
        <f>HYPERLINK("C:\Users\franc\OneDrive\Documentos\MALENTIN KARIME\BANCO CREDITO\FER LORCA en ROSITA (Rosita)\VARIOS\AGREGA IMPUESTO.doc", "Abrir Documento")</f>
        <v>0</v>
      </c>
      <c r="D19992" t="s">
        <v>23500</v>
      </c>
      <c r="E19992" t="s">
        <v>42463</v>
      </c>
    </row>
    <row r="19993" spans="1:5">
      <c r="A19993" t="s">
        <v>6</v>
      </c>
      <c r="B19993" t="s">
        <v>19998</v>
      </c>
      <c r="C19993">
        <f>HYPERLINK("C:\Users\franc\OneDrive\Documentos\MALENTIN KARIME\BANCO CREDITO\FER LORCA en ROSITA (Rosita)\VARIOS\AGREGA IMPUESTO.-.doc", "Abrir Documento")</f>
        <v>0</v>
      </c>
      <c r="D19993" t="s">
        <v>23500</v>
      </c>
      <c r="E19993" t="s">
        <v>42464</v>
      </c>
    </row>
    <row r="19994" spans="1:5">
      <c r="A19994" t="s">
        <v>6</v>
      </c>
      <c r="B19994" t="s">
        <v>19999</v>
      </c>
      <c r="C19994">
        <f>HYPERLINK("C:\Users\franc\OneDrive\Documentos\MALENTIN KARIME\BANCO CREDITO\FER LORCA en ROSITA (Rosita)\VARIOS\AGREGA IMPUESTO MUTUO.doc", "Abrir Documento")</f>
        <v>0</v>
      </c>
      <c r="D19994" t="s">
        <v>23500</v>
      </c>
      <c r="E19994" t="s">
        <v>42465</v>
      </c>
    </row>
    <row r="19995" spans="1:5">
      <c r="A19995" t="s">
        <v>6</v>
      </c>
      <c r="B19995" t="s">
        <v>20000</v>
      </c>
      <c r="C19995">
        <f>HYPERLINK("C:\Users\franc\OneDrive\Documentos\MALENTIN KARIME\BANCO CREDITO\FER LORCA en ROSITA (Rosita)\VARIOS\AGREGA IMPUESTO MUTUO..doc", "Abrir Documento")</f>
        <v>0</v>
      </c>
      <c r="D19995" t="s">
        <v>23500</v>
      </c>
      <c r="E19995" t="s">
        <v>42466</v>
      </c>
    </row>
    <row r="19996" spans="1:5">
      <c r="A19996" t="s">
        <v>6</v>
      </c>
      <c r="B19996" t="s">
        <v>20001</v>
      </c>
      <c r="C19996">
        <f>HYPERLINK("C:\Users\franc\OneDrive\Documentos\MALENTIN KARIME\BANCO CREDITO\FER LORCA en ROSITA (Rosita)\VARIOS\AGREGA IMPUESTO MUTUO.-.doc", "Abrir Documento")</f>
        <v>0</v>
      </c>
      <c r="D19996" t="s">
        <v>23500</v>
      </c>
      <c r="E19996" t="s">
        <v>42467</v>
      </c>
    </row>
    <row r="19997" spans="1:5">
      <c r="A19997" t="s">
        <v>6</v>
      </c>
      <c r="B19997" t="s">
        <v>20002</v>
      </c>
      <c r="C19997">
        <f>HYPERLINK("C:\Users\franc\OneDrive\Documentos\MALENTIN KARIME\BANCO CREDITO\FER LORCA en ROSITA (Rosita)\VARIOS\AGREGA IMPUESTO MUTUO.-..doc", "Abrir Documento")</f>
        <v>0</v>
      </c>
      <c r="D19997" t="s">
        <v>23500</v>
      </c>
      <c r="E19997" t="s">
        <v>42468</v>
      </c>
    </row>
    <row r="19998" spans="1:5">
      <c r="A19998" t="s">
        <v>6</v>
      </c>
      <c r="B19998" t="s">
        <v>20003</v>
      </c>
      <c r="C19998">
        <f>HYPERLINK("C:\Users\franc\OneDrive\Documentos\MALENTIN KARIME\BANCO CREDITO\FER LORCA en ROSITA (Rosita)\VARIOS\AGREGA CERTIFICADO.doc", "Abrir Documento")</f>
        <v>0</v>
      </c>
      <c r="D19998" t="s">
        <v>23500</v>
      </c>
      <c r="E19998" t="s">
        <v>42469</v>
      </c>
    </row>
    <row r="19999" spans="1:5">
      <c r="A19999" t="s">
        <v>6</v>
      </c>
      <c r="B19999" t="s">
        <v>20004</v>
      </c>
      <c r="C19999">
        <f>HYPERLINK("C:\Users\franc\OneDrive\Documentos\MALENTIN KARIME\BANCO CREDITO\FER LORCA en ROSITA (Rosita)\VARIOS\AGREGA CERTIFICADO PAGO CONTRIB..doc", "Abrir Documento")</f>
        <v>0</v>
      </c>
      <c r="D19999" t="s">
        <v>23500</v>
      </c>
      <c r="E19999" t="s">
        <v>42470</v>
      </c>
    </row>
    <row r="20000" spans="1:5">
      <c r="A20000" t="s">
        <v>6</v>
      </c>
      <c r="B20000" t="s">
        <v>20005</v>
      </c>
      <c r="C20000">
        <f>HYPERLINK("C:\Users\franc\OneDrive\Documentos\MALENTIN KARIME\BANCO CREDITO\FER LORCA en ROSITA (Rosita)\VARIOS\AGREGA CERTIFICADO matrimonio.doc", "Abrir Documento")</f>
        <v>0</v>
      </c>
      <c r="D20000" t="s">
        <v>23500</v>
      </c>
      <c r="E20000" t="s">
        <v>42471</v>
      </c>
    </row>
    <row r="20001" spans="1:5">
      <c r="A20001" t="s">
        <v>6</v>
      </c>
      <c r="B20001" t="s">
        <v>20006</v>
      </c>
      <c r="C20001">
        <f>HYPERLINK("C:\Users\franc\OneDrive\Documentos\MALENTIN KARIME\BANCO CREDITO\FER LORCA en ROSITA (Rosita)\VARIOS\AGREGA CERTIFICADO MAT. MARCELO CORRAL SEP. DE BIENESÇ.doc", "Abrir Documento")</f>
        <v>0</v>
      </c>
      <c r="D20001" t="s">
        <v>23500</v>
      </c>
      <c r="E20001" t="s">
        <v>42472</v>
      </c>
    </row>
    <row r="20002" spans="1:5">
      <c r="A20002" t="s">
        <v>6</v>
      </c>
      <c r="B20002" t="s">
        <v>20007</v>
      </c>
      <c r="C20002">
        <f>HYPERLINK("C:\Users\franc\OneDrive\Documentos\MALENTIN KARIME\BANCO CREDITO\FER LORCA en ROSITA (Rosita)\VARIOS\2SOBRE BIGGER.doc", "Abrir Documento")</f>
        <v>0</v>
      </c>
      <c r="D20002" t="s">
        <v>23500</v>
      </c>
      <c r="E20002" t="s">
        <v>42473</v>
      </c>
    </row>
    <row r="20003" spans="1:5">
      <c r="A20003" t="s">
        <v>6</v>
      </c>
      <c r="B20003" t="s">
        <v>20008</v>
      </c>
      <c r="C20003">
        <f>HYPERLINK("C:\Users\franc\OneDrive\Documentos\MALENTIN KARIME\BANCO CREDITO\FER LORCA en ROSITA (Rosita)\U.A.F.-\UAF.- 2009\ROE.II 09..xls", "Abrir Documento")</f>
        <v>0</v>
      </c>
      <c r="D20003" t="s">
        <v>23500</v>
      </c>
      <c r="E20003" t="s">
        <v>42474</v>
      </c>
    </row>
    <row r="20004" spans="1:5">
      <c r="A20004" t="s">
        <v>6</v>
      </c>
      <c r="B20004" t="s">
        <v>20009</v>
      </c>
      <c r="C20004">
        <f>HYPERLINK("C:\Users\franc\OneDrive\Documentos\MALENTIN KARIME\BANCO CREDITO\FER LORCA en ROSITA (Rosita)\U.A.F.-\UAF.- 2009\ROE.-.xls", "Abrir Documento")</f>
        <v>0</v>
      </c>
      <c r="D20004" t="s">
        <v>23500</v>
      </c>
      <c r="E20004" t="s">
        <v>42475</v>
      </c>
    </row>
    <row r="20005" spans="1:5">
      <c r="A20005" t="s">
        <v>6</v>
      </c>
      <c r="B20005" t="s">
        <v>20010</v>
      </c>
      <c r="C20005">
        <f>HYPERLINK("C:\Users\franc\OneDrive\Documentos\MALENTIN KARIME\BANCO CREDITO\FER LORCA en ROSITA (Rosita)\U.A.F.-\2011\ROE. I SEMESTRE.xls", "Abrir Documento")</f>
        <v>0</v>
      </c>
      <c r="D20005" t="s">
        <v>23500</v>
      </c>
      <c r="E20005" t="s">
        <v>42476</v>
      </c>
    </row>
    <row r="20006" spans="1:5">
      <c r="A20006" t="s">
        <v>6</v>
      </c>
      <c r="B20006" t="s">
        <v>20011</v>
      </c>
      <c r="C20006">
        <f>HYPERLINK("C:\Users\franc\OneDrive\Documentos\MALENTIN KARIME\BANCO CREDITO\FER LORCA en ROSITA (Rosita)\U.A.F.-\2010\ROE. II SEMESTRE..xls", "Abrir Documento")</f>
        <v>0</v>
      </c>
      <c r="D20006" t="s">
        <v>23500</v>
      </c>
      <c r="E20006" t="s">
        <v>42477</v>
      </c>
    </row>
    <row r="20007" spans="1:5">
      <c r="A20007" t="s">
        <v>6</v>
      </c>
      <c r="B20007" t="s">
        <v>20012</v>
      </c>
      <c r="C20007">
        <f>HYPERLINK("C:\Users\franc\OneDrive\Documentos\MALENTIN KARIME\BANCO CREDITO\FER LORCA en ROSITA (Rosita)\U.A.F.-\2010\ROE. I SEMESTRE.xls", "Abrir Documento")</f>
        <v>0</v>
      </c>
      <c r="D20007" t="s">
        <v>23500</v>
      </c>
      <c r="E20007" t="s">
        <v>42478</v>
      </c>
    </row>
    <row r="20008" spans="1:5">
      <c r="A20008" t="s">
        <v>6</v>
      </c>
      <c r="B20008" t="s">
        <v>20013</v>
      </c>
      <c r="C20008">
        <f>HYPERLINK("C:\Users\franc\OneDrive\Documentos\MALENTIN KARIME\BANCO CREDITO\FER LORCA en ROSITA (Rosita)\U.A.F.-\2010\Copia de ROE. II SEMESTRE..xls", "Abrir Documento")</f>
        <v>0</v>
      </c>
      <c r="D20008" t="s">
        <v>23500</v>
      </c>
      <c r="E20008" t="s">
        <v>42479</v>
      </c>
    </row>
    <row r="20009" spans="1:5">
      <c r="A20009" t="s">
        <v>6</v>
      </c>
      <c r="B20009" t="s">
        <v>20014</v>
      </c>
      <c r="C20009">
        <f>HYPERLINK("C:\Users\franc\OneDrive\Documentos\MALENTIN KARIME\BANCO CREDITO\FER LORCA en ROSITA (Rosita)\U.A.F.-\Copia de TABLA UAF 1º SEMESTRE.xls", "Abrir Documento")</f>
        <v>0</v>
      </c>
      <c r="D20009" t="s">
        <v>23500</v>
      </c>
      <c r="E20009" t="s">
        <v>42480</v>
      </c>
    </row>
    <row r="20010" spans="1:5">
      <c r="A20010" t="s">
        <v>6</v>
      </c>
      <c r="B20010" t="s">
        <v>20015</v>
      </c>
      <c r="C20010">
        <f>HYPERLINK("C:\Users\franc\OneDrive\Documentos\MALENTIN KARIME\BANCO CREDITO\FER LORCA en ROSITA (Rosita)\TRANSACCION\OVALLE .-.doc", "Abrir Documento")</f>
        <v>0</v>
      </c>
      <c r="D20010" t="s">
        <v>23500</v>
      </c>
      <c r="E20010" t="s">
        <v>42481</v>
      </c>
    </row>
    <row r="20011" spans="1:5">
      <c r="A20011" t="s">
        <v>6</v>
      </c>
      <c r="B20011" t="s">
        <v>20016</v>
      </c>
      <c r="C20011">
        <f>HYPERLINK("C:\Users\franc\OneDrive\Documentos\MALENTIN KARIME\BANCO CREDITO\FER LORCA en ROSITA (Rosita)\TESTAMENTOS\Testamento Mario  Gonzalez Morales. ADOLFO LAY.doc", "Abrir Documento")</f>
        <v>0</v>
      </c>
      <c r="D20011" t="s">
        <v>23500</v>
      </c>
      <c r="E20011" t="s">
        <v>42482</v>
      </c>
    </row>
    <row r="20012" spans="1:5">
      <c r="A20012" t="s">
        <v>6</v>
      </c>
      <c r="B20012" t="s">
        <v>20017</v>
      </c>
      <c r="C20012">
        <f>HYPERLINK("C:\Users\franc\OneDrive\Documentos\MALENTIN KARIME\BANCO CREDITO\FER LORCA en ROSITA (Rosita)\TESTAMENTOS\MARIA E. MOLINA OMON.doc", "Abrir Documento")</f>
        <v>0</v>
      </c>
      <c r="D20012" t="s">
        <v>23500</v>
      </c>
      <c r="E20012" t="s">
        <v>42483</v>
      </c>
    </row>
    <row r="20013" spans="1:5">
      <c r="A20013" t="s">
        <v>6</v>
      </c>
      <c r="B20013" t="s">
        <v>20018</v>
      </c>
      <c r="C20013">
        <f>HYPERLINK("C:\Users\franc\OneDrive\Documentos\MALENTIN KARIME\BANCO CREDITO\FER LORCA en ROSITA (Rosita)\TESTAMENTOS\Formulario para Testamentos[2].doc", "Abrir Documento")</f>
        <v>0</v>
      </c>
      <c r="D20013" t="s">
        <v>23500</v>
      </c>
      <c r="E20013" t="s">
        <v>42484</v>
      </c>
    </row>
    <row r="20014" spans="1:5">
      <c r="A20014" t="s">
        <v>6</v>
      </c>
      <c r="B20014" t="s">
        <v>20019</v>
      </c>
      <c r="C20014">
        <f>HYPERLINK("C:\Users\franc\OneDrive\Documentos\MALENTIN KARIME\BANCO CREDITO\FER LORCA en ROSITA (Rosita)\SOCIEDAD\MODIF. SOC\EDITH PIZARRO.doc", "Abrir Documento")</f>
        <v>0</v>
      </c>
      <c r="D20014" t="s">
        <v>23500</v>
      </c>
      <c r="E20014" t="s">
        <v>42485</v>
      </c>
    </row>
    <row r="20015" spans="1:5">
      <c r="A20015" t="s">
        <v>6</v>
      </c>
      <c r="B20015" t="s">
        <v>20020</v>
      </c>
      <c r="C20015">
        <f>HYPERLINK("C:\Users\franc\OneDrive\Documentos\MALENTIN KARIME\BANCO CREDITO\FER LORCA en ROSITA (Rosita)\SOCIEDAD\SOC. TRANSCAP LTDA.-.doc", "Abrir Documento")</f>
        <v>0</v>
      </c>
      <c r="D20015" t="s">
        <v>23500</v>
      </c>
      <c r="E20015" t="s">
        <v>42486</v>
      </c>
    </row>
    <row r="20016" spans="1:5">
      <c r="A20016" t="s">
        <v>6</v>
      </c>
      <c r="B20016" t="s">
        <v>20021</v>
      </c>
      <c r="C20016">
        <f>HYPERLINK("C:\Users\franc\OneDrive\Documentos\MALENTIN KARIME\BANCO CREDITO\FER LORCA en ROSITA (Rosita)\SOCIEDAD\SOC. SCM. LOS 4 AMIGOS.doc", "Abrir Documento")</f>
        <v>0</v>
      </c>
      <c r="D20016" t="s">
        <v>23500</v>
      </c>
      <c r="E20016" t="s">
        <v>42487</v>
      </c>
    </row>
    <row r="20017" spans="1:5">
      <c r="A20017" t="s">
        <v>6</v>
      </c>
      <c r="B20017" t="s">
        <v>20022</v>
      </c>
      <c r="C20017">
        <f>HYPERLINK("C:\Users\franc\OneDrive\Documentos\MALENTIN KARIME\BANCO CREDITO\FER LORCA en ROSITA (Rosita)\SOCIEDAD\extracto sociedad transcap[1].doc", "Abrir Documento")</f>
        <v>0</v>
      </c>
      <c r="D20017" t="s">
        <v>23500</v>
      </c>
      <c r="E20017" t="s">
        <v>42488</v>
      </c>
    </row>
    <row r="20018" spans="1:5">
      <c r="A20018" t="s">
        <v>6</v>
      </c>
      <c r="B20018" t="s">
        <v>20023</v>
      </c>
      <c r="C20018">
        <f>HYPERLINK("C:\Users\franc\OneDrive\Documentos\MALENTIN KARIME\BANCO CREDITO\FER LORCA en ROSITA (Rosita)\SOCIEDAD\EXTRACTO SOC. MINERALES CHILECITO LTDA.doc", "Abrir Documento")</f>
        <v>0</v>
      </c>
      <c r="D20018" t="s">
        <v>23500</v>
      </c>
      <c r="E20018" t="s">
        <v>42489</v>
      </c>
    </row>
    <row r="20019" spans="1:5">
      <c r="A20019" t="s">
        <v>6</v>
      </c>
      <c r="B20019" t="s">
        <v>20024</v>
      </c>
      <c r="C20019">
        <f>HYPERLINK("C:\Users\franc\OneDrive\Documentos\MALENTIN KARIME\BANCO CREDITO\FER LORCA en ROSITA (Rosita)\SOCIEDAD\EXTRACTO SERGIO HENRIQUEZ (OVALLE).-.doc", "Abrir Documento")</f>
        <v>0</v>
      </c>
      <c r="D20019" t="s">
        <v>23500</v>
      </c>
      <c r="E20019" t="s">
        <v>42490</v>
      </c>
    </row>
    <row r="20020" spans="1:5">
      <c r="A20020" t="s">
        <v>6</v>
      </c>
      <c r="B20020" t="s">
        <v>20025</v>
      </c>
      <c r="C20020">
        <f>HYPERLINK("C:\Users\franc\OneDrive\Documentos\MALENTIN KARIME\BANCO CREDITO\FER LORCA en ROSITA (Rosita)\SOC. FRESSO LTDA.-\PAGARE  A PLAZO.- MARTA MULET.doc", "Abrir Documento")</f>
        <v>0</v>
      </c>
      <c r="D20020" t="s">
        <v>23500</v>
      </c>
      <c r="E20020" t="s">
        <v>42491</v>
      </c>
    </row>
    <row r="20021" spans="1:5">
      <c r="A20021" t="s">
        <v>6</v>
      </c>
      <c r="B20021" t="s">
        <v>20026</v>
      </c>
      <c r="C20021">
        <f>HYPERLINK("C:\Users\franc\OneDrive\Documentos\MALENTIN KARIME\BANCO CREDITO\FER LORCA en ROSITA (Rosita)\SOC. FRESSO LTDA.-\MODELO   FORMULARIO  24.- MARTA MULET. JULIO 2010.doc", "Abrir Documento")</f>
        <v>0</v>
      </c>
      <c r="D20021" t="s">
        <v>23500</v>
      </c>
      <c r="E20021" t="s">
        <v>42492</v>
      </c>
    </row>
    <row r="20022" spans="1:5">
      <c r="A20022" t="s">
        <v>6</v>
      </c>
      <c r="B20022" t="s">
        <v>20027</v>
      </c>
      <c r="C20022">
        <f>HYPERLINK("C:\Users\franc\OneDrive\Documentos\MALENTIN KARIME\BANCO CREDITO\FER LORCA en ROSITA (Rosita)\SOC. FRESSO LTDA.-\MANDATO Especial.Nogales del Norte_v2.- ESTEBAN INO..doc", "Abrir Documento")</f>
        <v>0</v>
      </c>
      <c r="D20022" t="s">
        <v>23500</v>
      </c>
      <c r="E20022" t="s">
        <v>42493</v>
      </c>
    </row>
    <row r="20023" spans="1:5">
      <c r="A20023" t="s">
        <v>6</v>
      </c>
      <c r="B20023" t="s">
        <v>20028</v>
      </c>
      <c r="C20023">
        <f>HYPERLINK("C:\Users\franc\OneDrive\Documentos\MALENTIN KARIME\BANCO CREDITO\FER LORCA en ROSITA (Rosita)\SOC. FRESSO LTDA.-\LIQUIDAC. SOC. CONYUGAL.doc", "Abrir Documento")</f>
        <v>0</v>
      </c>
      <c r="D20023" t="s">
        <v>23500</v>
      </c>
      <c r="E20023" t="s">
        <v>42494</v>
      </c>
    </row>
    <row r="20024" spans="1:5">
      <c r="A20024" t="s">
        <v>6</v>
      </c>
      <c r="B20024" t="s">
        <v>20029</v>
      </c>
      <c r="C20024">
        <f>HYPERLINK("C:\Users\franc\OneDrive\Documentos\MALENTIN KARIME\BANCO CREDITO\FER LORCA en ROSITA (Rosita)\SOC. FRESSO LTDA.-\FRESSO.COMPRAVENTA A MARTA MULET.doc", "Abrir Documento")</f>
        <v>0</v>
      </c>
      <c r="D20024" t="s">
        <v>23500</v>
      </c>
      <c r="E20024" t="s">
        <v>42495</v>
      </c>
    </row>
    <row r="20025" spans="1:5">
      <c r="A20025" t="s">
        <v>6</v>
      </c>
      <c r="B20025" t="s">
        <v>20030</v>
      </c>
      <c r="C20025">
        <f>HYPERLINK("C:\Users\franc\OneDrive\Documentos\MALENTIN KARIME\BANCO CREDITO\FER LORCA en ROSITA (Rosita)\SOC. FRESSO LTDA.-\FRESSO.COMPRAVENTA A MARTA MULET.-.doc", "Abrir Documento")</f>
        <v>0</v>
      </c>
      <c r="D20025" t="s">
        <v>23500</v>
      </c>
      <c r="E20025" t="s">
        <v>42496</v>
      </c>
    </row>
    <row r="20026" spans="1:5">
      <c r="A20026" t="s">
        <v>6</v>
      </c>
      <c r="B20026" t="s">
        <v>20031</v>
      </c>
      <c r="C20026">
        <f>HYPERLINK("C:\Users\franc\OneDrive\Documentos\MALENTIN KARIME\BANCO CREDITO\FER LORCA en ROSITA (Rosita)\SERVIDUMBRE\servidumbre herrera-godoy definitiva.- JULIO 2010.doc", "Abrir Documento")</f>
        <v>0</v>
      </c>
      <c r="D20026" t="s">
        <v>23500</v>
      </c>
      <c r="E20026" t="s">
        <v>42497</v>
      </c>
    </row>
    <row r="20027" spans="1:5">
      <c r="A20027" t="s">
        <v>6</v>
      </c>
      <c r="B20027" t="s">
        <v>20032</v>
      </c>
      <c r="C20027">
        <f>HYPERLINK("C:\Users\franc\OneDrive\Documentos\MALENTIN KARIME\BANCO CREDITO\FER LORCA en ROSITA (Rosita)\SERVIDUMBRE\AGRICOLA ARBOLITO.doc", "Abrir Documento")</f>
        <v>0</v>
      </c>
      <c r="D20027" t="s">
        <v>23500</v>
      </c>
      <c r="E20027" t="s">
        <v>42498</v>
      </c>
    </row>
    <row r="20028" spans="1:5">
      <c r="A20028" t="s">
        <v>6</v>
      </c>
      <c r="B20028" t="s">
        <v>20033</v>
      </c>
      <c r="C20028">
        <f>HYPERLINK("C:\Users\franc\OneDrive\Documentos\MALENTIN KARIME\BANCO CREDITO\FER LORCA en ROSITA (Rosita)\SERGIO HENRIQUEZ CARTER\SOC. SCM. LOS 4 AMIGOS.- OCTUBRE.doc", "Abrir Documento")</f>
        <v>0</v>
      </c>
      <c r="D20028" t="s">
        <v>23500</v>
      </c>
      <c r="E20028" t="s">
        <v>42499</v>
      </c>
    </row>
    <row r="20029" spans="1:5">
      <c r="A20029" t="s">
        <v>6</v>
      </c>
      <c r="B20029" t="s">
        <v>20034</v>
      </c>
      <c r="C20029">
        <f>HYPERLINK("C:\Users\franc\OneDrive\Documentos\MALENTIN KARIME\BANCO CREDITO\FER LORCA en ROSITA (Rosita)\SERGIO HENRIQUEZ CARTER\POSIBLE MUTUO......doc", "Abrir Documento")</f>
        <v>0</v>
      </c>
      <c r="D20029" t="s">
        <v>23500</v>
      </c>
      <c r="E20029" t="s">
        <v>42500</v>
      </c>
    </row>
    <row r="20030" spans="1:5">
      <c r="A20030" t="s">
        <v>6</v>
      </c>
      <c r="B20030" t="s">
        <v>20035</v>
      </c>
      <c r="C20030">
        <f>HYPERLINK("C:\Users\franc\OneDrive\Documentos\MALENTIN KARIME\BANCO CREDITO\FER LORCA en ROSITA (Rosita)\SERGIO HENRIQUEZ CARTER\JORGE QUINTANA A JORGE BRITO.doc", "Abrir Documento")</f>
        <v>0</v>
      </c>
      <c r="D20030" t="s">
        <v>23500</v>
      </c>
      <c r="E20030" t="s">
        <v>42501</v>
      </c>
    </row>
    <row r="20031" spans="1:5">
      <c r="A20031" t="s">
        <v>6</v>
      </c>
      <c r="B20031" t="s">
        <v>20036</v>
      </c>
      <c r="C20031">
        <f>HYPERLINK("C:\Users\franc\OneDrive\Documentos\MALENTIN KARIME\BANCO CREDITO\FER LORCA en ROSITA (Rosita)\SERGIO HENRIQUEZ CARTER\EXTRACTO VISTA AL VALLE.- NOVIOEM,BRE.doc", "Abrir Documento")</f>
        <v>0</v>
      </c>
      <c r="D20031" t="s">
        <v>23500</v>
      </c>
      <c r="E20031" t="s">
        <v>42502</v>
      </c>
    </row>
    <row r="20032" spans="1:5">
      <c r="A20032" t="s">
        <v>6</v>
      </c>
      <c r="B20032" t="s">
        <v>20037</v>
      </c>
      <c r="C20032">
        <f>HYPERLINK("C:\Users\franc\OneDrive\Documentos\MALENTIN KARIME\BANCO CREDITO\FER LORCA en ROSITA (Rosita)\SERGIO HENRIQUEZ CARTER\EXTRACTO SERGIO HENRIQUEZ (OVALLE).doc", "Abrir Documento")</f>
        <v>0</v>
      </c>
      <c r="D20032" t="s">
        <v>23500</v>
      </c>
      <c r="E20032" t="s">
        <v>42503</v>
      </c>
    </row>
    <row r="20033" spans="1:5">
      <c r="A20033" t="s">
        <v>6</v>
      </c>
      <c r="B20033" t="s">
        <v>20038</v>
      </c>
      <c r="C20033">
        <f>HYPERLINK("C:\Users\franc\OneDrive\Documentos\MALENTIN KARIME\BANCO CREDITO\FER LORCA en ROSITA (Rosita)\SERGIO HENRIQUEZ CARTER\carta instrucc.doc", "Abrir Documento")</f>
        <v>0</v>
      </c>
      <c r="D20033" t="s">
        <v>23500</v>
      </c>
      <c r="E20033" t="s">
        <v>42504</v>
      </c>
    </row>
    <row r="20034" spans="1:5">
      <c r="A20034" t="s">
        <v>6</v>
      </c>
      <c r="B20034" t="s">
        <v>20039</v>
      </c>
      <c r="C20034">
        <f>HYPERLINK("C:\Users\franc\OneDrive\Documentos\MALENTIN KARIME\BANCO CREDITO\FER LORCA en ROSITA (Rosita)\SERGIO HENRIQUEZ CARTER\carta instrucc..-.doc", "Abrir Documento")</f>
        <v>0</v>
      </c>
      <c r="D20034" t="s">
        <v>23500</v>
      </c>
      <c r="E20034" t="s">
        <v>42505</v>
      </c>
    </row>
    <row r="20035" spans="1:5">
      <c r="A20035" t="s">
        <v>6</v>
      </c>
      <c r="B20035" t="s">
        <v>20040</v>
      </c>
      <c r="C20035">
        <f>HYPERLINK("C:\Users\franc\OneDrive\Documentos\MALENTIN KARIME\BANCO CREDITO\FER LORCA en ROSITA (Rosita)\SEPARACIONES DE BIENES\GABRIEL CARMONA SALFATE Y PATRICIA URETA.doc", "Abrir Documento")</f>
        <v>0</v>
      </c>
      <c r="D20035" t="s">
        <v>23500</v>
      </c>
      <c r="E20035" t="s">
        <v>42506</v>
      </c>
    </row>
    <row r="20036" spans="1:5">
      <c r="A20036" t="s">
        <v>6</v>
      </c>
      <c r="B20036" t="s">
        <v>20041</v>
      </c>
      <c r="C20036">
        <f>HYPERLINK("C:\Users\franc\OneDrive\Documentos\MALENTIN KARIME\BANCO CREDITO\FER LORCA en ROSITA (Rosita)\SEPARACIONES DE BIENES\ALBERTO NUÑEZ Y HILDA ANJEL+.doc", "Abrir Documento")</f>
        <v>0</v>
      </c>
      <c r="D20036" t="s">
        <v>23500</v>
      </c>
      <c r="E20036" t="s">
        <v>42507</v>
      </c>
    </row>
    <row r="20037" spans="1:5">
      <c r="A20037" t="s">
        <v>6</v>
      </c>
      <c r="B20037" t="s">
        <v>20042</v>
      </c>
      <c r="C20037">
        <f>HYPERLINK("C:\Users\franc\OneDrive\Documentos\MALENTIN KARIME\BANCO CREDITO\FER LORCA en ROSITA (Rosita)\RESCILIACION\ROMELIO HONORES.- MINERO.doc", "Abrir Documento")</f>
        <v>0</v>
      </c>
      <c r="D20037" t="s">
        <v>23500</v>
      </c>
      <c r="E20037" t="s">
        <v>42508</v>
      </c>
    </row>
    <row r="20038" spans="1:5">
      <c r="A20038" t="s">
        <v>6</v>
      </c>
      <c r="B20038" t="s">
        <v>20043</v>
      </c>
      <c r="C20038">
        <f>HYPERLINK("C:\Users\franc\OneDrive\Documentos\MALENTIN KARIME\BANCO CREDITO\FER LORCA en ROSITA (Rosita)\RESCILIACION\MIGUEL TAPIA LAGUNAS.doc", "Abrir Documento")</f>
        <v>0</v>
      </c>
      <c r="D20038" t="s">
        <v>23500</v>
      </c>
      <c r="E20038" t="s">
        <v>42509</v>
      </c>
    </row>
    <row r="20039" spans="1:5">
      <c r="A20039" t="s">
        <v>6</v>
      </c>
      <c r="B20039" t="s">
        <v>20044</v>
      </c>
      <c r="C20039">
        <f>HYPERLINK("C:\Users\franc\OneDrive\Documentos\MALENTIN KARIME\BANCO CREDITO\FER LORCA en ROSITA (Rosita)\RESCILIACION\CARMEN MUNIZAGA Y ROSA TIRADO.- PROMESA DE VENTA Y ARRIENDO.doc", "Abrir Documento")</f>
        <v>0</v>
      </c>
      <c r="D20039" t="s">
        <v>23500</v>
      </c>
      <c r="E20039" t="s">
        <v>42510</v>
      </c>
    </row>
    <row r="20040" spans="1:5">
      <c r="A20040" t="s">
        <v>6</v>
      </c>
      <c r="B20040" t="s">
        <v>20045</v>
      </c>
      <c r="C20040">
        <f>HYPERLINK("C:\Users\franc\OneDrive\Documentos\MALENTIN KARIME\BANCO CREDITO\FER LORCA en ROSITA (Rosita)\REPUDIO\RENE PINTO.- SEPT. 2010.-.doc", "Abrir Documento")</f>
        <v>0</v>
      </c>
      <c r="D20040" t="s">
        <v>23500</v>
      </c>
      <c r="E20040" t="s">
        <v>42511</v>
      </c>
    </row>
    <row r="20041" spans="1:5">
      <c r="A20041" t="s">
        <v>6</v>
      </c>
      <c r="B20041" t="s">
        <v>20046</v>
      </c>
      <c r="C20041">
        <f>HYPERLINK("C:\Users\franc\OneDrive\Documentos\MALENTIN KARIME\BANCO CREDITO\FER LORCA en ROSITA (Rosita)\REPUDIO\FELIX ARAYA ADONES.doc", "Abrir Documento")</f>
        <v>0</v>
      </c>
      <c r="D20041" t="s">
        <v>23500</v>
      </c>
      <c r="E20041" t="s">
        <v>42512</v>
      </c>
    </row>
    <row r="20042" spans="1:5">
      <c r="A20042" t="s">
        <v>6</v>
      </c>
      <c r="B20042" t="s">
        <v>20047</v>
      </c>
      <c r="C20042">
        <f>HYPERLINK("C:\Users\franc\OneDrive\Documentos\MALENTIN KARIME\BANCO CREDITO\FER LORCA en ROSITA (Rosita)\REPUDIO\BERNARDO MUÑOZ.doc", "Abrir Documento")</f>
        <v>0</v>
      </c>
      <c r="D20042" t="s">
        <v>23500</v>
      </c>
      <c r="E20042" t="s">
        <v>42513</v>
      </c>
    </row>
    <row r="20043" spans="1:5">
      <c r="A20043" t="s">
        <v>6</v>
      </c>
      <c r="B20043" t="s">
        <v>20048</v>
      </c>
      <c r="C20043">
        <f>HYPERLINK("C:\Users\franc\OneDrive\Documentos\MALENTIN KARIME\BANCO CREDITO\FER LORCA en ROSITA (Rosita)\RENUNCIA USUFRUCTO\PABLO CORTES.doc", "Abrir Documento")</f>
        <v>0</v>
      </c>
      <c r="D20043" t="s">
        <v>23500</v>
      </c>
      <c r="E20043" t="s">
        <v>42514</v>
      </c>
    </row>
    <row r="20044" spans="1:5">
      <c r="A20044" t="s">
        <v>6</v>
      </c>
      <c r="B20044" t="s">
        <v>20049</v>
      </c>
      <c r="C20044">
        <f>HYPERLINK("C:\Users\franc\OneDrive\Documentos\MALENTIN KARIME\BANCO CREDITO\FER LORCA en ROSITA (Rosita)\RENUNCIA USUFRUCTO\DORALIZA CARVAJAL LOPEZ.doc", "Abrir Documento")</f>
        <v>0</v>
      </c>
      <c r="D20044" t="s">
        <v>23500</v>
      </c>
      <c r="E20044" t="s">
        <v>42515</v>
      </c>
    </row>
    <row r="20045" spans="1:5">
      <c r="A20045" t="s">
        <v>6</v>
      </c>
      <c r="B20045" t="s">
        <v>20050</v>
      </c>
      <c r="C20045">
        <f>HYPERLINK("C:\Users\franc\OneDrive\Documentos\MALENTIN KARIME\BANCO CREDITO\FER LORCA en ROSITA (Rosita)\RENUNCIA MANDATOS\RAFAEL REPETTO Y OTRO.doc", "Abrir Documento")</f>
        <v>0</v>
      </c>
      <c r="D20045" t="s">
        <v>23500</v>
      </c>
      <c r="E20045" t="s">
        <v>42516</v>
      </c>
    </row>
    <row r="20046" spans="1:5">
      <c r="A20046" t="s">
        <v>6</v>
      </c>
      <c r="B20046" t="s">
        <v>20051</v>
      </c>
      <c r="C20046">
        <f>HYPERLINK("C:\Users\franc\OneDrive\Documentos\MALENTIN KARIME\BANCO CREDITO\FER LORCA en ROSITA (Rosita)\RENUNCIA GANANCIALES\LIDIA OPAZO MONARDEZ.doc", "Abrir Documento")</f>
        <v>0</v>
      </c>
      <c r="D20046" t="s">
        <v>23500</v>
      </c>
      <c r="E20046" t="s">
        <v>42517</v>
      </c>
    </row>
    <row r="20047" spans="1:5">
      <c r="A20047" t="s">
        <v>6</v>
      </c>
      <c r="B20047" t="s">
        <v>20052</v>
      </c>
      <c r="C20047">
        <f>HYPERLINK("C:\Users\franc\OneDrive\Documentos\MALENTIN KARIME\BANCO CREDITO\FER LORCA en ROSITA (Rosita)\RED.ESC.PUBLICA\RIO MOSTAZAL\JTA.GRAL. RIO MOSTAZAL.doc", "Abrir Documento")</f>
        <v>0</v>
      </c>
      <c r="D20047" t="s">
        <v>23500</v>
      </c>
      <c r="E20047" t="s">
        <v>42518</v>
      </c>
    </row>
    <row r="20048" spans="1:5">
      <c r="A20048" t="s">
        <v>6</v>
      </c>
      <c r="B20048" t="s">
        <v>20053</v>
      </c>
      <c r="C20048">
        <f>HYPERLINK("C:\Users\franc\OneDrive\Documentos\MALENTIN KARIME\BANCO CREDITO\FER LORCA en ROSITA (Rosita)\RED.ESC.PUBLICA\RIO MOSTAZAL\CONST. DE DIRECT. RIO MOSTAZAL.doc", "Abrir Documento")</f>
        <v>0</v>
      </c>
      <c r="D20048" t="s">
        <v>23500</v>
      </c>
      <c r="E20048" t="s">
        <v>42519</v>
      </c>
    </row>
    <row r="20049" spans="1:5">
      <c r="A20049" t="s">
        <v>6</v>
      </c>
      <c r="B20049" t="s">
        <v>20054</v>
      </c>
      <c r="C20049">
        <f>HYPERLINK("C:\Users\franc\OneDrive\Documentos\MALENTIN KARIME\BANCO CREDITO\FER LORCA en ROSITA (Rosita)\RED.ESC.PUBLICA\LOS MANTOS\Reducción Acta JEA Tamaya - Ovalle.doc", "Abrir Documento")</f>
        <v>0</v>
      </c>
      <c r="D20049" t="s">
        <v>23500</v>
      </c>
      <c r="E20049" t="s">
        <v>42520</v>
      </c>
    </row>
    <row r="20050" spans="1:5">
      <c r="A20050" t="s">
        <v>6</v>
      </c>
      <c r="B20050" t="s">
        <v>20055</v>
      </c>
      <c r="C20050">
        <f>HYPERLINK("C:\Users\franc\OneDrive\Documentos\MALENTIN KARIME\BANCO CREDITO\FER LORCA en ROSITA (Rosita)\RED.ESC.PUBLICA\LOS MANTOS\Reducción Acta JEA Los Mantos - Ovalle.doc", "Abrir Documento")</f>
        <v>0</v>
      </c>
      <c r="D20050" t="s">
        <v>23500</v>
      </c>
      <c r="E20050" t="s">
        <v>42521</v>
      </c>
    </row>
    <row r="20051" spans="1:5">
      <c r="A20051" t="s">
        <v>6</v>
      </c>
      <c r="B20051" t="s">
        <v>20056</v>
      </c>
      <c r="C20051">
        <f>HYPERLINK("C:\Users\franc\OneDrive\Documentos\MALENTIN KARIME\BANCO CREDITO\FER LORCA en ROSITA (Rosita)\RED.ESC.PUBLICA\CESAR ALUCEMA\Contrato[1] MINUTA.-.doc", "Abrir Documento")</f>
        <v>0</v>
      </c>
      <c r="D20051" t="s">
        <v>23500</v>
      </c>
      <c r="E20051" t="s">
        <v>42522</v>
      </c>
    </row>
    <row r="20052" spans="1:5">
      <c r="A20052" t="s">
        <v>6</v>
      </c>
      <c r="B20052" t="s">
        <v>20057</v>
      </c>
      <c r="C20052">
        <f>HYPERLINK("C:\Users\franc\OneDrive\Documentos\MALENTIN KARIME\BANCO CREDITO\FER LORCA en ROSITA (Rosita)\RED.ESC.PUBLICA\CESAR ALUCEMA\CEASR ALUCEMA.- RED. ESCR..doc", "Abrir Documento")</f>
        <v>0</v>
      </c>
      <c r="D20052" t="s">
        <v>23500</v>
      </c>
      <c r="E20052" t="s">
        <v>42523</v>
      </c>
    </row>
    <row r="20053" spans="1:5">
      <c r="A20053" t="s">
        <v>6</v>
      </c>
      <c r="B20053" t="s">
        <v>20058</v>
      </c>
      <c r="C20053">
        <f>HYPERLINK("C:\Users\franc\OneDrive\Documentos\MALENTIN KARIME\BANCO CREDITO\FER LORCA en ROSITA (Rosita)\RED.ESC.PUBLICA\CANAL CAMARICO\Estatutos_Camarico_Asamblea_OK[1].doc", "Abrir Documento")</f>
        <v>0</v>
      </c>
      <c r="D20053" t="s">
        <v>23500</v>
      </c>
      <c r="E20053" t="s">
        <v>42524</v>
      </c>
    </row>
    <row r="20054" spans="1:5">
      <c r="A20054" t="s">
        <v>6</v>
      </c>
      <c r="B20054" t="s">
        <v>20059</v>
      </c>
      <c r="C20054">
        <f>HYPERLINK("C:\Users\franc\OneDrive\Documentos\MALENTIN KARIME\BANCO CREDITO\FER LORCA en ROSITA (Rosita)\RED.ESC.PUBLICA\CANAL CAMARICO\Acta_Junta_Extrord_ACCC__Aprobaci%C3%B3n_Nuevos_Estatutos[1].doc", "Abrir Documento")</f>
        <v>0</v>
      </c>
      <c r="D20054" t="s">
        <v>23500</v>
      </c>
      <c r="E20054" t="s">
        <v>42525</v>
      </c>
    </row>
    <row r="20055" spans="1:5">
      <c r="A20055" t="s">
        <v>6</v>
      </c>
      <c r="B20055" t="s">
        <v>20060</v>
      </c>
      <c r="C20055">
        <f>HYPERLINK("C:\Users\franc\OneDrive\Documentos\MALENTIN KARIME\BANCO CREDITO\FER LORCA en ROSITA (Rosita)\RED.ESC.PUBLICA\CANAL CAMARICO\Acta_Junta_Extrord_ACCC__Aprobaci%C3%B3n_Informe_Ref_Estatutos[1].doc", "Abrir Documento")</f>
        <v>0</v>
      </c>
      <c r="D20055" t="s">
        <v>23500</v>
      </c>
      <c r="E20055" t="s">
        <v>42526</v>
      </c>
    </row>
    <row r="20056" spans="1:5">
      <c r="A20056" t="s">
        <v>6</v>
      </c>
      <c r="B20056" t="s">
        <v>20061</v>
      </c>
      <c r="C20056">
        <f>HYPERLINK("C:\Users\franc\OneDrive\Documentos\MALENTIN KARIME\BANCO CREDITO\FER LORCA en ROSITA (Rosita)\RED.ESC.PUBLICA\CANAL CAMARICO\ACTA 1º.doc", "Abrir Documento")</f>
        <v>0</v>
      </c>
      <c r="D20056" t="s">
        <v>23500</v>
      </c>
      <c r="E20056" t="s">
        <v>42527</v>
      </c>
    </row>
    <row r="20057" spans="1:5">
      <c r="A20057" t="s">
        <v>6</v>
      </c>
      <c r="B20057" t="s">
        <v>20062</v>
      </c>
      <c r="C20057">
        <f>HYPERLINK("C:\Users\franc\OneDrive\Documentos\MALENTIN KARIME\BANCO CREDITO\FER LORCA en ROSITA (Rosita)\RED.ESC.PUBLICA\BOMBEROS OVALLE\ANEXO ACTA DE CONSTITUCION[1].doc", "Abrir Documento")</f>
        <v>0</v>
      </c>
      <c r="D20057" t="s">
        <v>23500</v>
      </c>
      <c r="E20057" t="s">
        <v>42528</v>
      </c>
    </row>
    <row r="20058" spans="1:5">
      <c r="A20058" t="s">
        <v>6</v>
      </c>
      <c r="B20058" t="s">
        <v>20063</v>
      </c>
      <c r="C20058">
        <f>HYPERLINK("C:\Users\franc\OneDrive\Documentos\MALENTIN KARIME\BANCO CREDITO\FER LORCA en ROSITA (Rosita)\RED.ESC.PUBLICA\BOMBEROS OVALLE\ACTA DE CONSTITUCION AÑO 2011.doc", "Abrir Documento")</f>
        <v>0</v>
      </c>
      <c r="D20058" t="s">
        <v>23500</v>
      </c>
      <c r="E20058" t="s">
        <v>42529</v>
      </c>
    </row>
    <row r="20059" spans="1:5">
      <c r="A20059" t="s">
        <v>6</v>
      </c>
      <c r="B20059" t="s">
        <v>20064</v>
      </c>
      <c r="C20059">
        <f>HYPERLINK("C:\Users\franc\OneDrive\Documentos\MALENTIN KARIME\BANCO CREDITO\FER LORCA en ROSITA (Rosita)\RED.ESC.PUBLICA\VIÑA OCHOTIERRAS.doc", "Abrir Documento")</f>
        <v>0</v>
      </c>
      <c r="D20059" t="s">
        <v>23500</v>
      </c>
      <c r="E20059" t="s">
        <v>42530</v>
      </c>
    </row>
    <row r="20060" spans="1:5">
      <c r="A20060" t="s">
        <v>6</v>
      </c>
      <c r="B20060" t="s">
        <v>20065</v>
      </c>
      <c r="C20060">
        <f>HYPERLINK("C:\Users\franc\OneDrive\Documentos\MALENTIN KARIME\BANCO CREDITO\FER LORCA en ROSITA (Rosita)\RED.ESC.PUBLICA\VIÑA OCHOTIERRAS.- agosto 2009.doc", "Abrir Documento")</f>
        <v>0</v>
      </c>
      <c r="D20060" t="s">
        <v>23500</v>
      </c>
      <c r="E20060" t="s">
        <v>42531</v>
      </c>
    </row>
    <row r="20061" spans="1:5">
      <c r="A20061" t="s">
        <v>6</v>
      </c>
      <c r="B20061" t="s">
        <v>20066</v>
      </c>
      <c r="C20061">
        <f>HYPERLINK("C:\Users\franc\OneDrive\Documentos\MALENTIN KARIME\BANCO CREDITO\FER LORCA en ROSITA (Rosita)\RED.ESC.PUBLICA\SOC. INMOBILIARIA AYLLU S.A.-.doc", "Abrir Documento")</f>
        <v>0</v>
      </c>
      <c r="D20061" t="s">
        <v>23500</v>
      </c>
      <c r="E20061" t="s">
        <v>42532</v>
      </c>
    </row>
    <row r="20062" spans="1:5">
      <c r="A20062" t="s">
        <v>6</v>
      </c>
      <c r="B20062" t="s">
        <v>20067</v>
      </c>
      <c r="C20062">
        <f>HYPERLINK("C:\Users\franc\OneDrive\Documentos\MALENTIN KARIME\BANCO CREDITO\FER LORCA en ROSITA (Rosita)\RED.ESC.PUBLICA\SOC. EDUC. SOST. STA. MARIA.doc", "Abrir Documento")</f>
        <v>0</v>
      </c>
      <c r="D20062" t="s">
        <v>23500</v>
      </c>
      <c r="E20062" t="s">
        <v>42533</v>
      </c>
    </row>
    <row r="20063" spans="1:5">
      <c r="A20063" t="s">
        <v>6</v>
      </c>
      <c r="B20063" t="s">
        <v>20068</v>
      </c>
      <c r="C20063">
        <f>HYPERLINK("C:\Users\franc\OneDrive\Documentos\MALENTIN KARIME\BANCO CREDITO\FER LORCA en ROSITA (Rosita)\RED.ESC.PUBLICA\SOC. EDUC. SOST. STA. MARIA.- II.doc", "Abrir Documento")</f>
        <v>0</v>
      </c>
      <c r="D20063" t="s">
        <v>23500</v>
      </c>
      <c r="E20063" t="s">
        <v>42534</v>
      </c>
    </row>
    <row r="20064" spans="1:5">
      <c r="A20064" t="s">
        <v>6</v>
      </c>
      <c r="B20064" t="s">
        <v>20069</v>
      </c>
      <c r="C20064">
        <f>HYPERLINK("C:\Users\franc\OneDrive\Documentos\MALENTIN KARIME\BANCO CREDITO\FER LORCA en ROSITA (Rosita)\RED.ESC.PUBLICA\SERGIO HERNANDEZ].doc", "Abrir Documento")</f>
        <v>0</v>
      </c>
      <c r="D20064" t="s">
        <v>23500</v>
      </c>
      <c r="E20064" t="s">
        <v>42535</v>
      </c>
    </row>
    <row r="20065" spans="1:5">
      <c r="A20065" t="s">
        <v>6</v>
      </c>
      <c r="B20065" t="s">
        <v>20070</v>
      </c>
      <c r="C20065">
        <f>HYPERLINK("C:\Users\franc\OneDrive\Documentos\MALENTIN KARIME\BANCO CREDITO\FER LORCA en ROSITA (Rosita)\RED.ESC.PUBLICA\JUAN CORTES MERCADO.doc", "Abrir Documento")</f>
        <v>0</v>
      </c>
      <c r="D20065" t="s">
        <v>23500</v>
      </c>
      <c r="E20065" t="s">
        <v>42536</v>
      </c>
    </row>
    <row r="20066" spans="1:5">
      <c r="A20066" t="s">
        <v>6</v>
      </c>
      <c r="B20066" t="s">
        <v>20071</v>
      </c>
      <c r="C20066">
        <f>HYPERLINK("C:\Users\franc\OneDrive\Documentos\MALENTIN KARIME\BANCO CREDITO\FER LORCA en ROSITA (Rosita)\RED.ESC.PUBLICA\CARRIZALITO.doc", "Abrir Documento")</f>
        <v>0</v>
      </c>
      <c r="D20066" t="s">
        <v>23500</v>
      </c>
      <c r="E20066" t="s">
        <v>42537</v>
      </c>
    </row>
    <row r="20067" spans="1:5">
      <c r="A20067" t="s">
        <v>6</v>
      </c>
      <c r="B20067" t="s">
        <v>20072</v>
      </c>
      <c r="C20067">
        <f>HYPERLINK("C:\Users\franc\OneDrive\Documentos\MALENTIN KARIME\BANCO CREDITO\FER LORCA en ROSITA (Rosita)\RED.ESC.PUBLICA\5º cia. bomberos sotaqui.doc", "Abrir Documento")</f>
        <v>0</v>
      </c>
      <c r="D20067" t="s">
        <v>23500</v>
      </c>
      <c r="E20067" t="s">
        <v>42538</v>
      </c>
    </row>
    <row r="20068" spans="1:5">
      <c r="A20068" t="s">
        <v>6</v>
      </c>
      <c r="B20068" t="s">
        <v>20073</v>
      </c>
      <c r="C20068">
        <f>HYPERLINK("C:\Users\franc\OneDrive\Documentos\MALENTIN KARIME\BANCO CREDITO\FER LORCA en ROSITA (Rosita)\RECTIFICACION\PRIVADA\COMPLEMENTACION_FRAN_EDUARDO_SEGOVIA_SEGOVIA[1].doc", "Abrir Documento")</f>
        <v>0</v>
      </c>
      <c r="D20068" t="s">
        <v>23500</v>
      </c>
      <c r="E20068" t="s">
        <v>42539</v>
      </c>
    </row>
    <row r="20069" spans="1:5">
      <c r="A20069" t="s">
        <v>6</v>
      </c>
      <c r="B20069" t="s">
        <v>20074</v>
      </c>
      <c r="C20069">
        <f>HYPERLINK("C:\Users\franc\OneDrive\Documentos\MALENTIN KARIME\BANCO CREDITO\FER LORCA en ROSITA (Rosita)\RECTIFICACION\SOC. PACIFICO LTDA.doc", "Abrir Documento")</f>
        <v>0</v>
      </c>
      <c r="D20069" t="s">
        <v>23500</v>
      </c>
      <c r="E20069" t="s">
        <v>42540</v>
      </c>
    </row>
    <row r="20070" spans="1:5">
      <c r="A20070" t="s">
        <v>6</v>
      </c>
      <c r="B20070" t="s">
        <v>20075</v>
      </c>
      <c r="C20070">
        <f>HYPERLINK("C:\Users\franc\OneDrive\Documentos\MALENTIN KARIME\BANCO CREDITO\FER LORCA en ROSITA (Rosita)\RECTIFICACION\ROLANDO CONCHA.doc", "Abrir Documento")</f>
        <v>0</v>
      </c>
      <c r="D20070" t="s">
        <v>23500</v>
      </c>
      <c r="E20070" t="s">
        <v>42541</v>
      </c>
    </row>
    <row r="20071" spans="1:5">
      <c r="A20071" t="s">
        <v>6</v>
      </c>
      <c r="B20071" t="s">
        <v>20076</v>
      </c>
      <c r="C20071">
        <f>HYPERLINK("C:\Users\franc\OneDrive\Documentos\MALENTIN KARIME\BANCO CREDITO\FER LORCA en ROSITA (Rosita)\RECTIFICACION\Rectifica__vallejos_a_medina[1].doc", "Abrir Documento")</f>
        <v>0</v>
      </c>
      <c r="D20071" t="s">
        <v>23500</v>
      </c>
      <c r="E20071" t="s">
        <v>42542</v>
      </c>
    </row>
    <row r="20072" spans="1:5">
      <c r="A20072" t="s">
        <v>6</v>
      </c>
      <c r="B20072" t="s">
        <v>20077</v>
      </c>
      <c r="C20072">
        <f>HYPERLINK("C:\Users\franc\OneDrive\Documentos\MALENTIN KARIME\BANCO CREDITO\FER LORCA en ROSITA (Rosita)\RECTIFICACION\RECTIFICACION CRISTIAN.doc", "Abrir Documento")</f>
        <v>0</v>
      </c>
      <c r="D20072" t="s">
        <v>23500</v>
      </c>
      <c r="E20072" t="s">
        <v>42543</v>
      </c>
    </row>
    <row r="20073" spans="1:5">
      <c r="A20073" t="s">
        <v>6</v>
      </c>
      <c r="B20073" t="s">
        <v>20078</v>
      </c>
      <c r="C20073">
        <f>HYPERLINK("C:\Users\franc\OneDrive\Documentos\MALENTIN KARIME\BANCO CREDITO\FER LORCA en ROSITA (Rosita)\RECTIFICACION\RECTIFICAC. MANDATO GENERAL. RUT. ABRIL 2011.doc", "Abrir Documento")</f>
        <v>0</v>
      </c>
      <c r="D20073" t="s">
        <v>23500</v>
      </c>
      <c r="E20073" t="s">
        <v>42544</v>
      </c>
    </row>
    <row r="20074" spans="1:5">
      <c r="A20074" t="s">
        <v>6</v>
      </c>
      <c r="B20074" t="s">
        <v>20079</v>
      </c>
      <c r="C20074">
        <f>HYPERLINK("C:\Users\franc\OneDrive\Documentos\MALENTIN KARIME\BANCO CREDITO\FER LORCA en ROSITA (Rosita)\RECTIFICACION\RECTIF. JORGE.-.doc", "Abrir Documento")</f>
        <v>0</v>
      </c>
      <c r="D20074" t="s">
        <v>23500</v>
      </c>
      <c r="E20074" t="s">
        <v>42545</v>
      </c>
    </row>
    <row r="20075" spans="1:5">
      <c r="A20075" t="s">
        <v>6</v>
      </c>
      <c r="B20075" t="s">
        <v>20080</v>
      </c>
      <c r="C20075">
        <f>HYPERLINK("C:\Users\franc\OneDrive\Documentos\MALENTIN KARIME\BANCO CREDITO\FER LORCA en ROSITA (Rosita)\RECTIFICACION\RECTIF. CVTA. JUNIO 2010.- OSCAR LUZA.doc", "Abrir Documento")</f>
        <v>0</v>
      </c>
      <c r="D20075" t="s">
        <v>23500</v>
      </c>
      <c r="E20075" t="s">
        <v>42546</v>
      </c>
    </row>
    <row r="20076" spans="1:5">
      <c r="A20076" t="s">
        <v>6</v>
      </c>
      <c r="B20076" t="s">
        <v>20081</v>
      </c>
      <c r="C20076">
        <f>HYPERLINK("C:\Users\franc\OneDrive\Documentos\MALENTIN KARIME\BANCO CREDITO\FER LORCA en ROSITA (Rosita)\RECTIFICACION\RECTIF. COMPLEMENTACION CVTA. JUNIO 2010.- NATIVIDAD CORTES.doc", "Abrir Documento")</f>
        <v>0</v>
      </c>
      <c r="D20076" t="s">
        <v>23500</v>
      </c>
      <c r="E20076" t="s">
        <v>42547</v>
      </c>
    </row>
    <row r="20077" spans="1:5">
      <c r="A20077" t="s">
        <v>6</v>
      </c>
      <c r="B20077" t="s">
        <v>20082</v>
      </c>
      <c r="C20077">
        <f>HYPERLINK("C:\Users\franc\OneDrive\Documentos\MALENTIN KARIME\BANCO CREDITO\FER LORCA en ROSITA (Rosita)\RECTIFICACION\RECTIF. COMPLEMENTACION CVTA. JULIO 2010.- NATIVIDAD CORTES.- II.doc", "Abrir Documento")</f>
        <v>0</v>
      </c>
      <c r="D20077" t="s">
        <v>23500</v>
      </c>
      <c r="E20077" t="s">
        <v>42548</v>
      </c>
    </row>
    <row r="20078" spans="1:5">
      <c r="A20078" t="s">
        <v>6</v>
      </c>
      <c r="B20078" t="s">
        <v>20083</v>
      </c>
      <c r="C20078">
        <f>HYPERLINK("C:\Users\franc\OneDrive\Documentos\MALENTIN KARIME\BANCO CREDITO\FER LORCA en ROSITA (Rosita)\RECTIFICACION\RECT. POR MINUTA.doc", "Abrir Documento")</f>
        <v>0</v>
      </c>
      <c r="D20078" t="s">
        <v>23500</v>
      </c>
      <c r="E20078" t="s">
        <v>42549</v>
      </c>
    </row>
    <row r="20079" spans="1:5">
      <c r="A20079" t="s">
        <v>6</v>
      </c>
      <c r="B20079" t="s">
        <v>20084</v>
      </c>
      <c r="C20079">
        <f>HYPERLINK("C:\Users\franc\OneDrive\Documentos\MALENTIN KARIME\BANCO CREDITO\FER LORCA en ROSITA (Rosita)\RECTIFICACION\RATIFICACION.- COMPRAVENTA CONYUGE.-2010.doc", "Abrir Documento")</f>
        <v>0</v>
      </c>
      <c r="D20079" t="s">
        <v>23500</v>
      </c>
      <c r="E20079" t="s">
        <v>42550</v>
      </c>
    </row>
    <row r="20080" spans="1:5">
      <c r="A20080" t="s">
        <v>6</v>
      </c>
      <c r="B20080" t="s">
        <v>20085</v>
      </c>
      <c r="C20080">
        <f>HYPERLINK("C:\Users\franc\OneDrive\Documentos\MALENTIN KARIME\BANCO CREDITO\FER LORCA en ROSITA (Rosita)\RECTIFICACION\RATIFICACION.- COMPRAVENTA CONYUGE.-.doc", "Abrir Documento")</f>
        <v>0</v>
      </c>
      <c r="D20080" t="s">
        <v>23500</v>
      </c>
      <c r="E20080" t="s">
        <v>42551</v>
      </c>
    </row>
    <row r="20081" spans="1:5">
      <c r="A20081" t="s">
        <v>6</v>
      </c>
      <c r="B20081" t="s">
        <v>20086</v>
      </c>
      <c r="C20081">
        <f>HYPERLINK("C:\Users\franc\OneDrive\Documentos\MALENTIN KARIME\BANCO CREDITO\FER LORCA en ROSITA (Rosita)\RECTIFICACION\MTYO. BCO. SANTANDER. R. GUSTAVO CORRAL.doc", "Abrir Documento")</f>
        <v>0</v>
      </c>
      <c r="D20081" t="s">
        <v>23500</v>
      </c>
      <c r="E20081" t="s">
        <v>42552</v>
      </c>
    </row>
    <row r="20082" spans="1:5">
      <c r="A20082" t="s">
        <v>6</v>
      </c>
      <c r="B20082" t="s">
        <v>20087</v>
      </c>
      <c r="C20082">
        <f>HYPERLINK("C:\Users\franc\OneDrive\Documentos\MALENTIN KARIME\BANCO CREDITO\FER LORCA en ROSITA (Rosita)\RECTIFICACION\JAMIS NETTLE LAZO.doc", "Abrir Documento")</f>
        <v>0</v>
      </c>
      <c r="D20082" t="s">
        <v>23500</v>
      </c>
      <c r="E20082" t="s">
        <v>42553</v>
      </c>
    </row>
    <row r="20083" spans="1:5">
      <c r="A20083" t="s">
        <v>6</v>
      </c>
      <c r="B20083" t="s">
        <v>20088</v>
      </c>
      <c r="C20083">
        <f>HYPERLINK("C:\Users\franc\OneDrive\Documentos\MALENTIN KARIME\BANCO CREDITO\FER LORCA en ROSITA (Rosita)\RECTIFICACION\CVTA. REP. 354.- MAYO 2010.doc", "Abrir Documento")</f>
        <v>0</v>
      </c>
      <c r="D20083" t="s">
        <v>23500</v>
      </c>
      <c r="E20083" t="s">
        <v>42554</v>
      </c>
    </row>
    <row r="20084" spans="1:5">
      <c r="A20084" t="s">
        <v>6</v>
      </c>
      <c r="B20084" t="s">
        <v>20089</v>
      </c>
      <c r="C20084">
        <f>HYPERLINK("C:\Users\franc\OneDrive\Documentos\MALENTIN KARIME\BANCO CREDITO\FER LORCA en ROSITA (Rosita)\RECTIFICACION\COMPLEMENTACION.doc", "Abrir Documento")</f>
        <v>0</v>
      </c>
      <c r="D20084" t="s">
        <v>23500</v>
      </c>
      <c r="E20084" t="s">
        <v>42555</v>
      </c>
    </row>
    <row r="20085" spans="1:5">
      <c r="A20085" t="s">
        <v>6</v>
      </c>
      <c r="B20085" t="s">
        <v>20090</v>
      </c>
      <c r="C20085">
        <f>HYPERLINK("C:\Users\franc\OneDrive\Documentos\MALENTIN KARIME\BANCO CREDITO\FER LORCA en ROSITA (Rosita)\RECTIFICACION\COMPLEMENTACION.- REP. 159.doc", "Abrir Documento")</f>
        <v>0</v>
      </c>
      <c r="D20085" t="s">
        <v>23500</v>
      </c>
      <c r="E20085" t="s">
        <v>42556</v>
      </c>
    </row>
    <row r="20086" spans="1:5">
      <c r="A20086" t="s">
        <v>6</v>
      </c>
      <c r="B20086" t="s">
        <v>20091</v>
      </c>
      <c r="C20086">
        <f>HYPERLINK("C:\Users\franc\OneDrive\Documentos\MALENTIN KARIME\BANCO CREDITO\FER LORCA en ROSITA (Rosita)\RECTIFICACION\COMPLEMENTACION CVTA. REP. 198.doc", "Abrir Documento")</f>
        <v>0</v>
      </c>
      <c r="D20086" t="s">
        <v>23500</v>
      </c>
      <c r="E20086" t="s">
        <v>42557</v>
      </c>
    </row>
    <row r="20087" spans="1:5">
      <c r="A20087" t="s">
        <v>6</v>
      </c>
      <c r="B20087" t="s">
        <v>20092</v>
      </c>
      <c r="C20087">
        <f>HYPERLINK("C:\Users\franc\OneDrive\Documentos\MALENTIN KARIME\BANCO CREDITO\FER LORCA en ROSITA (Rosita)\PUNITAQUI MINERA\PUNITAQUI\VICTOR ESCALANTE BROCHON.doc", "Abrir Documento")</f>
        <v>0</v>
      </c>
      <c r="D20087" t="s">
        <v>23500</v>
      </c>
      <c r="E20087" t="s">
        <v>42558</v>
      </c>
    </row>
    <row r="20088" spans="1:5">
      <c r="A20088" t="s">
        <v>6</v>
      </c>
      <c r="B20088" t="s">
        <v>20093</v>
      </c>
      <c r="C20088">
        <f>HYPERLINK("C:\Users\franc\OneDrive\Documentos\MALENTIN KARIME\BANCO CREDITO\FER LORCA en ROSITA (Rosita)\PUNITAQUI MINERA\PUNITAQUI\MODELOS.doc", "Abrir Documento")</f>
        <v>0</v>
      </c>
      <c r="D20088" t="s">
        <v>23500</v>
      </c>
      <c r="E20088" t="s">
        <v>42559</v>
      </c>
    </row>
    <row r="20089" spans="1:5">
      <c r="A20089" t="s">
        <v>6</v>
      </c>
      <c r="B20089" t="s">
        <v>20094</v>
      </c>
      <c r="C20089">
        <f>HYPERLINK("C:\Users\franc\OneDrive\Documentos\MALENTIN KARIME\BANCO CREDITO\FER LORCA en ROSITA (Rosita)\PUNITAQUI MINERA\PUNITAQUI\MODELO.doc", "Abrir Documento")</f>
        <v>0</v>
      </c>
      <c r="D20089" t="s">
        <v>23500</v>
      </c>
      <c r="E20089" t="s">
        <v>42560</v>
      </c>
    </row>
    <row r="20090" spans="1:5">
      <c r="A20090" t="s">
        <v>6</v>
      </c>
      <c r="B20090" t="s">
        <v>20095</v>
      </c>
      <c r="C20090">
        <f>HYPERLINK("C:\Users\franc\OneDrive\Documentos\MALENTIN KARIME\BANCO CREDITO\FER LORCA en ROSITA (Rosita)\PUNITAQUI MINERA\MAYO 2009\JORGE TAPIA CORTES.doc", "Abrir Documento")</f>
        <v>0</v>
      </c>
      <c r="D20090" t="s">
        <v>23500</v>
      </c>
      <c r="E20090" t="s">
        <v>42561</v>
      </c>
    </row>
    <row r="20091" spans="1:5">
      <c r="A20091" t="s">
        <v>6</v>
      </c>
      <c r="B20091" t="s">
        <v>20096</v>
      </c>
      <c r="C20091">
        <f>HYPERLINK("C:\Users\franc\OneDrive\Documentos\MALENTIN KARIME\BANCO CREDITO\FER LORCA en ROSITA (Rosita)\PUNITAQUI MINERA\MAYO 2009\I.- MAYO.doc", "Abrir Documento")</f>
        <v>0</v>
      </c>
      <c r="D20091" t="s">
        <v>23500</v>
      </c>
      <c r="E20091" t="s">
        <v>42562</v>
      </c>
    </row>
    <row r="20092" spans="1:5">
      <c r="A20092" t="s">
        <v>6</v>
      </c>
      <c r="B20092" t="s">
        <v>20097</v>
      </c>
      <c r="C20092">
        <f>HYPERLINK("C:\Users\franc\OneDrive\Documentos\MALENTIN KARIME\BANCO CREDITO\FER LORCA en ROSITA (Rosita)\PUNITAQUI MINERA\MAYO 2009\FIRMAS.doc", "Abrir Documento")</f>
        <v>0</v>
      </c>
      <c r="D20092" t="s">
        <v>23500</v>
      </c>
      <c r="E20092" t="s">
        <v>42563</v>
      </c>
    </row>
    <row r="20093" spans="1:5">
      <c r="A20093" t="s">
        <v>6</v>
      </c>
      <c r="B20093" t="s">
        <v>20098</v>
      </c>
      <c r="C20093">
        <f>HYPERLINK("C:\Users\franc\OneDrive\Documentos\MALENTIN KARIME\BANCO CREDITO\FER LORCA en ROSITA (Rosita)\PUNITAQUI MINERA\MATOS. JACQUELINE PIZARRO\punitaqui.doc", "Abrir Documento")</f>
        <v>0</v>
      </c>
      <c r="D20093" t="s">
        <v>23500</v>
      </c>
      <c r="E20093" t="s">
        <v>42564</v>
      </c>
    </row>
    <row r="20094" spans="1:5">
      <c r="A20094" t="s">
        <v>6</v>
      </c>
      <c r="B20094" t="s">
        <v>20099</v>
      </c>
      <c r="C20094">
        <f>HYPERLINK("C:\Users\franc\OneDrive\Documentos\MALENTIN KARIME\BANCO CREDITO\FER LORCA en ROSITA (Rosita)\PUNITAQUI MINERA\MATOS. JACQUELINE PIZARRO\MODELO.doc", "Abrir Documento")</f>
        <v>0</v>
      </c>
      <c r="D20094" t="s">
        <v>23500</v>
      </c>
      <c r="E20094" t="s">
        <v>42565</v>
      </c>
    </row>
    <row r="20095" spans="1:5">
      <c r="A20095" t="s">
        <v>6</v>
      </c>
      <c r="B20095" t="s">
        <v>20100</v>
      </c>
      <c r="C20095">
        <f>HYPERLINK("C:\Users\franc\OneDrive\Documentos\MALENTIN KARIME\BANCO CREDITO\FER LORCA en ROSITA (Rosita)\PUNITAQUI MINERA\MATOS. JACQUELINE PIZARRO\JOSE CORTES Y OTRO.doc", "Abrir Documento")</f>
        <v>0</v>
      </c>
      <c r="D20095" t="s">
        <v>23500</v>
      </c>
      <c r="E20095" t="s">
        <v>42566</v>
      </c>
    </row>
    <row r="20096" spans="1:5">
      <c r="A20096" t="s">
        <v>6</v>
      </c>
      <c r="B20096" t="s">
        <v>20101</v>
      </c>
      <c r="C20096">
        <f>HYPERLINK("C:\Users\franc\OneDrive\Documentos\MALENTIN KARIME\BANCO CREDITO\FER LORCA en ROSITA (Rosita)\PUNITAQUI MINERA\MATOS. JACQUELINE PIZARRO\I.-.doc", "Abrir Documento")</f>
        <v>0</v>
      </c>
      <c r="D20096" t="s">
        <v>23500</v>
      </c>
      <c r="E20096" t="s">
        <v>42567</v>
      </c>
    </row>
    <row r="20097" spans="1:5">
      <c r="A20097" t="s">
        <v>6</v>
      </c>
      <c r="B20097" t="s">
        <v>20102</v>
      </c>
      <c r="C20097">
        <f>HYPERLINK("C:\Users\franc\OneDrive\Documentos\MALENTIN KARIME\BANCO CREDITO\FER LORCA en ROSITA (Rosita)\PUNITAQUI MINERA\MATOS. JACQUELINE PIZARRO\ANGELO TATAN.doc", "Abrir Documento")</f>
        <v>0</v>
      </c>
      <c r="D20097" t="s">
        <v>23500</v>
      </c>
      <c r="E20097" t="s">
        <v>42568</v>
      </c>
    </row>
    <row r="20098" spans="1:5">
      <c r="A20098" t="s">
        <v>6</v>
      </c>
      <c r="B20098" t="s">
        <v>20103</v>
      </c>
      <c r="C20098">
        <f>HYPERLINK("C:\Users\franc\OneDrive\Documentos\MALENTIN KARIME\BANCO CREDITO\FER LORCA en ROSITA (Rosita)\PUNITAQUI MINERA\MATOS. JACQUELINE PIZARRO\ALDO MUÑOZ PARRA.doc", "Abrir Documento")</f>
        <v>0</v>
      </c>
      <c r="D20098" t="s">
        <v>23500</v>
      </c>
      <c r="E20098" t="s">
        <v>42569</v>
      </c>
    </row>
    <row r="20099" spans="1:5">
      <c r="A20099" t="s">
        <v>6</v>
      </c>
      <c r="B20099" t="s">
        <v>20104</v>
      </c>
      <c r="C20099">
        <f>HYPERLINK("C:\Users\franc\OneDrive\Documentos\MALENTIN KARIME\BANCO CREDITO\FER LORCA en ROSITA (Rosita)\PUNITAQUI MINERA\SOLO.- ALEJANDRO MIRANDA.doc", "Abrir Documento")</f>
        <v>0</v>
      </c>
      <c r="D20099" t="s">
        <v>23500</v>
      </c>
      <c r="E20099" t="s">
        <v>42570</v>
      </c>
    </row>
    <row r="20100" spans="1:5">
      <c r="A20100" t="s">
        <v>6</v>
      </c>
      <c r="B20100" t="s">
        <v>20105</v>
      </c>
      <c r="C20100">
        <f>HYPERLINK("C:\Users\franc\OneDrive\Documentos\MALENTIN KARIME\BANCO CREDITO\FER LORCA en ROSITA (Rosita)\PUNITAQUI MINERA\MTO. MAYO.doc", "Abrir Documento")</f>
        <v>0</v>
      </c>
      <c r="D20100" t="s">
        <v>23500</v>
      </c>
      <c r="E20100" t="s">
        <v>42571</v>
      </c>
    </row>
    <row r="20101" spans="1:5">
      <c r="A20101" t="s">
        <v>6</v>
      </c>
      <c r="B20101" t="s">
        <v>20106</v>
      </c>
      <c r="C20101">
        <f>HYPERLINK("C:\Users\franc\OneDrive\Documentos\MALENTIN KARIME\BANCO CREDITO\FER LORCA en ROSITA (Rosita)\PUNITAQUI MINERA\mandato.doc", "Abrir Documento")</f>
        <v>0</v>
      </c>
      <c r="D20101" t="s">
        <v>23500</v>
      </c>
      <c r="E20101" t="s">
        <v>42572</v>
      </c>
    </row>
    <row r="20102" spans="1:5">
      <c r="A20102" t="s">
        <v>6</v>
      </c>
      <c r="B20102" t="s">
        <v>20107</v>
      </c>
      <c r="C20102">
        <f>HYPERLINK("C:\Users\franc\OneDrive\Documentos\MALENTIN KARIME\BANCO CREDITO\FER LORCA en ROSITA (Rosita)\PUNITAQUI MINERA\FIRMAS.doc", "Abrir Documento")</f>
        <v>0</v>
      </c>
      <c r="D20102" t="s">
        <v>23500</v>
      </c>
      <c r="E20102" t="s">
        <v>42573</v>
      </c>
    </row>
    <row r="20103" spans="1:5">
      <c r="A20103" t="s">
        <v>6</v>
      </c>
      <c r="B20103" t="s">
        <v>20108</v>
      </c>
      <c r="C20103">
        <f>HYPERLINK("C:\Users\franc\OneDrive\Documentos\MALENTIN KARIME\BANCO CREDITO\FER LORCA en ROSITA (Rosita)\PROTOCOLIZACION\PROTOC. SOC.-\SOC. MINERA EL COBRE LTDA.-.doc", "Abrir Documento")</f>
        <v>0</v>
      </c>
      <c r="D20103" t="s">
        <v>23500</v>
      </c>
      <c r="E20103" t="s">
        <v>42574</v>
      </c>
    </row>
    <row r="20104" spans="1:5">
      <c r="A20104" t="s">
        <v>6</v>
      </c>
      <c r="B20104" t="s">
        <v>20109</v>
      </c>
      <c r="C20104">
        <f>HYPERLINK("C:\Users\franc\OneDrive\Documentos\MALENTIN KARIME\BANCO CREDITO\FER LORCA en ROSITA (Rosita)\PROTOCOLIZACION\NOTARIO SUPLENTE\SERGIO CORTES BELTRAN- 29-07-2009.doc", "Abrir Documento")</f>
        <v>0</v>
      </c>
      <c r="D20104" t="s">
        <v>23500</v>
      </c>
      <c r="E20104" t="s">
        <v>42575</v>
      </c>
    </row>
    <row r="20105" spans="1:5">
      <c r="A20105" t="s">
        <v>6</v>
      </c>
      <c r="B20105" t="s">
        <v>20110</v>
      </c>
      <c r="C20105">
        <f>HYPERLINK("C:\Users\franc\OneDrive\Documentos\MALENTIN KARIME\BANCO CREDITO\FER LORCA en ROSITA (Rosita)\PROTOCOLIZACION\NOTARIO SUPLENTE\SERGIO CORTES BELTRAN- 26-07-2009.doc", "Abrir Documento")</f>
        <v>0</v>
      </c>
      <c r="D20105" t="s">
        <v>23500</v>
      </c>
      <c r="E20105" t="s">
        <v>42576</v>
      </c>
    </row>
    <row r="20106" spans="1:5">
      <c r="A20106" t="s">
        <v>6</v>
      </c>
      <c r="B20106" t="s">
        <v>20111</v>
      </c>
      <c r="C20106">
        <f>HYPERLINK("C:\Users\franc\OneDrive\Documentos\MALENTIN KARIME\BANCO CREDITO\FER LORCA en ROSITA (Rosita)\PROTOCOLIZACION\NOTARIO SUPLENTE\SERGIO CORTES BELTRAN- 19-08-2009.doc", "Abrir Documento")</f>
        <v>0</v>
      </c>
      <c r="D20106" t="s">
        <v>23500</v>
      </c>
      <c r="E20106" t="s">
        <v>42577</v>
      </c>
    </row>
    <row r="20107" spans="1:5">
      <c r="A20107" t="s">
        <v>6</v>
      </c>
      <c r="B20107" t="s">
        <v>20112</v>
      </c>
      <c r="C20107">
        <f>HYPERLINK("C:\Users\franc\OneDrive\Documentos\MALENTIN KARIME\BANCO CREDITO\FER LORCA en ROSITA (Rosita)\PROTOCOLIZACION\NOTARIO SUPLENTE\SERGIO CORTES BELTRAN- 17-07-2009.doc", "Abrir Documento")</f>
        <v>0</v>
      </c>
      <c r="D20107" t="s">
        <v>23500</v>
      </c>
      <c r="E20107" t="s">
        <v>42578</v>
      </c>
    </row>
    <row r="20108" spans="1:5">
      <c r="A20108" t="s">
        <v>6</v>
      </c>
      <c r="B20108" t="s">
        <v>20113</v>
      </c>
      <c r="C20108">
        <f>HYPERLINK("C:\Users\franc\OneDrive\Documentos\MALENTIN KARIME\BANCO CREDITO\FER LORCA en ROSITA (Rosita)\PROTOCOLIZACION\NOTARIO SUPLENTE\SERGIO CORTES BELTRAN- 12-08-2009.doc", "Abrir Documento")</f>
        <v>0</v>
      </c>
      <c r="D20108" t="s">
        <v>23500</v>
      </c>
      <c r="E20108" t="s">
        <v>42579</v>
      </c>
    </row>
    <row r="20109" spans="1:5">
      <c r="A20109" t="s">
        <v>6</v>
      </c>
      <c r="B20109" t="s">
        <v>20114</v>
      </c>
      <c r="C20109">
        <f>HYPERLINK("C:\Users\franc\OneDrive\Documentos\MALENTIN KARIME\BANCO CREDITO\FER LORCA en ROSITA (Rosita)\PROTOCOLIZACION\NOTARIO SUPLENTE\SERGIO CORTES BELTRAN- 08-07-2009.doc", "Abrir Documento")</f>
        <v>0</v>
      </c>
      <c r="D20109" t="s">
        <v>23500</v>
      </c>
      <c r="E20109" t="s">
        <v>42580</v>
      </c>
    </row>
    <row r="20110" spans="1:5">
      <c r="A20110" t="s">
        <v>6</v>
      </c>
      <c r="B20110" t="s">
        <v>20115</v>
      </c>
      <c r="C20110">
        <f>HYPERLINK("C:\Users\franc\OneDrive\Documentos\MALENTIN KARIME\BANCO CREDITO\FER LORCA en ROSITA (Rosita)\PROTOCOLIZACION\NOTARIO SUPLENTE\SERGIO CORTES BELTRAN- 05-08-2009.doc", "Abrir Documento")</f>
        <v>0</v>
      </c>
      <c r="D20110" t="s">
        <v>23500</v>
      </c>
      <c r="E20110" t="s">
        <v>42581</v>
      </c>
    </row>
    <row r="20111" spans="1:5">
      <c r="A20111" t="s">
        <v>6</v>
      </c>
      <c r="B20111" t="s">
        <v>20116</v>
      </c>
      <c r="C20111">
        <f>HYPERLINK("C:\Users\franc\OneDrive\Documentos\MALENTIN KARIME\BANCO CREDITO\FER LORCA en ROSITA (Rosita)\PROTOCOLIZACION\NOTARIO SUPLENTE\ROBERTO VEGA 30-12-2009.doc", "Abrir Documento")</f>
        <v>0</v>
      </c>
      <c r="D20111" t="s">
        <v>23500</v>
      </c>
      <c r="E20111" t="s">
        <v>42582</v>
      </c>
    </row>
    <row r="20112" spans="1:5">
      <c r="A20112" t="s">
        <v>6</v>
      </c>
      <c r="B20112" t="s">
        <v>20117</v>
      </c>
      <c r="C20112">
        <f>HYPERLINK("C:\Users\franc\OneDrive\Documentos\MALENTIN KARIME\BANCO CREDITO\FER LORCA en ROSITA (Rosita)\PROTOCOLIZACION\NOTARIO SUPLENTE\ROBERTO VEGA 25-01-10 HASTA 15-02.doc", "Abrir Documento")</f>
        <v>0</v>
      </c>
      <c r="D20112" t="s">
        <v>23500</v>
      </c>
      <c r="E20112" t="s">
        <v>42583</v>
      </c>
    </row>
    <row r="20113" spans="1:5">
      <c r="A20113" t="s">
        <v>6</v>
      </c>
      <c r="B20113" t="s">
        <v>20118</v>
      </c>
      <c r="C20113">
        <f>HYPERLINK("C:\Users\franc\OneDrive\Documentos\MALENTIN KARIME\BANCO CREDITO\FER LORCA en ROSITA (Rosita)\PROTOCOLIZACION\NOTARIO SUPLENTE\ROBERTO VEGA 24-12-2009.doc", "Abrir Documento")</f>
        <v>0</v>
      </c>
      <c r="D20113" t="s">
        <v>23500</v>
      </c>
      <c r="E20113" t="s">
        <v>42584</v>
      </c>
    </row>
    <row r="20114" spans="1:5">
      <c r="A20114" t="s">
        <v>6</v>
      </c>
      <c r="B20114" t="s">
        <v>20119</v>
      </c>
      <c r="C20114">
        <f>HYPERLINK("C:\Users\franc\OneDrive\Documentos\MALENTIN KARIME\BANCO CREDITO\FER LORCA en ROSITA (Rosita)\PROTOCOLIZACION\NOTARIO SUPLENTE\ROBERTO VEGA 23-09-2009.doc", "Abrir Documento")</f>
        <v>0</v>
      </c>
      <c r="D20114" t="s">
        <v>23500</v>
      </c>
      <c r="E20114" t="s">
        <v>42585</v>
      </c>
    </row>
    <row r="20115" spans="1:5">
      <c r="A20115" t="s">
        <v>6</v>
      </c>
      <c r="B20115" t="s">
        <v>20120</v>
      </c>
      <c r="C20115">
        <f>HYPERLINK("C:\Users\franc\OneDrive\Documentos\MALENTIN KARIME\BANCO CREDITO\FER LORCA en ROSITA (Rosita)\PROTOCOLIZACION\NOTARIO SUPLENTE\ROBERTO VEGA 22-03-2010 HASTA 26-03-2010.doc", "Abrir Documento")</f>
        <v>0</v>
      </c>
      <c r="D20115" t="s">
        <v>23500</v>
      </c>
      <c r="E20115" t="s">
        <v>42586</v>
      </c>
    </row>
    <row r="20116" spans="1:5">
      <c r="A20116" t="s">
        <v>6</v>
      </c>
      <c r="B20116" t="s">
        <v>20121</v>
      </c>
      <c r="C20116">
        <f>HYPERLINK("C:\Users\franc\OneDrive\Documentos\MALENTIN KARIME\BANCO CREDITO\FER LORCA en ROSITA (Rosita)\PROTOCOLIZACION\NOTARIO SUPLENTE\ROBERTO VEGA 18-10-2010.doc", "Abrir Documento")</f>
        <v>0</v>
      </c>
      <c r="D20116" t="s">
        <v>23500</v>
      </c>
      <c r="E20116" t="s">
        <v>42587</v>
      </c>
    </row>
    <row r="20117" spans="1:5">
      <c r="A20117" t="s">
        <v>6</v>
      </c>
      <c r="B20117" t="s">
        <v>20122</v>
      </c>
      <c r="C20117">
        <f>HYPERLINK("C:\Users\franc\OneDrive\Documentos\MALENTIN KARIME\BANCO CREDITO\FER LORCA en ROSITA (Rosita)\PROTOCOLIZACION\NOTARIO SUPLENTE\ROBERTO VEGA 16-04-2010.doc", "Abrir Documento")</f>
        <v>0</v>
      </c>
      <c r="D20117" t="s">
        <v>23500</v>
      </c>
      <c r="E20117" t="s">
        <v>42588</v>
      </c>
    </row>
    <row r="20118" spans="1:5">
      <c r="A20118" t="s">
        <v>6</v>
      </c>
      <c r="B20118" t="s">
        <v>20123</v>
      </c>
      <c r="C20118">
        <f>HYPERLINK("C:\Users\franc\OneDrive\Documentos\MALENTIN KARIME\BANCO CREDITO\FER LORCA en ROSITA (Rosita)\PROTOCOLIZACION\NOTARIO SUPLENTE\ROBERTO VEGA 12-01-2010.doc", "Abrir Documento")</f>
        <v>0</v>
      </c>
      <c r="D20118" t="s">
        <v>23500</v>
      </c>
      <c r="E20118" t="s">
        <v>42589</v>
      </c>
    </row>
    <row r="20119" spans="1:5">
      <c r="A20119" t="s">
        <v>6</v>
      </c>
      <c r="B20119" t="s">
        <v>20124</v>
      </c>
      <c r="C20119">
        <f>HYPERLINK("C:\Users\franc\OneDrive\Documentos\MALENTIN KARIME\BANCO CREDITO\FER LORCA en ROSITA (Rosita)\PROTOCOLIZACION\NOTARIO SUPLENTE\ROBERTO VEGA 11-12-2009.doc", "Abrir Documento")</f>
        <v>0</v>
      </c>
      <c r="D20119" t="s">
        <v>23500</v>
      </c>
      <c r="E20119" t="s">
        <v>42590</v>
      </c>
    </row>
    <row r="20120" spans="1:5">
      <c r="A20120" t="s">
        <v>6</v>
      </c>
      <c r="B20120" t="s">
        <v>20125</v>
      </c>
      <c r="C20120">
        <f>HYPERLINK("C:\Users\franc\OneDrive\Documentos\MALENTIN KARIME\BANCO CREDITO\FER LORCA en ROSITA (Rosita)\PROTOCOLIZACION\NOTARIO SUPLENTE\REASUME CARGO RODRIGO CABRERA ALBARRAN.doc", "Abrir Documento")</f>
        <v>0</v>
      </c>
      <c r="D20120" t="s">
        <v>23500</v>
      </c>
      <c r="E20120" t="s">
        <v>42591</v>
      </c>
    </row>
    <row r="20121" spans="1:5">
      <c r="A20121" t="s">
        <v>6</v>
      </c>
      <c r="B20121" t="s">
        <v>20126</v>
      </c>
      <c r="C20121">
        <f>HYPERLINK("C:\Users\franc\OneDrive\Documentos\MALENTIN KARIME\BANCO CREDITO\FER LORCA en ROSITA (Rosita)\PROTOCOLIZACION\NOTARIO SUPLENTE\MARIO YAÑEZ- 04-10-2009.doc", "Abrir Documento")</f>
        <v>0</v>
      </c>
      <c r="D20121" t="s">
        <v>23500</v>
      </c>
      <c r="E20121" t="s">
        <v>42592</v>
      </c>
    </row>
    <row r="20122" spans="1:5">
      <c r="A20122" t="s">
        <v>6</v>
      </c>
      <c r="B20122" t="s">
        <v>20127</v>
      </c>
      <c r="C20122">
        <f>HYPERLINK("C:\Users\franc\OneDrive\Documentos\MALENTIN KARIME\BANCO CREDITO\FER LORCA en ROSITA (Rosita)\PROTOCOLIZACION\NOTARIO SUPLENTE\MARIA INES NUÑEZ.doc", "Abrir Documento")</f>
        <v>0</v>
      </c>
      <c r="D20122" t="s">
        <v>23500</v>
      </c>
      <c r="E20122" t="s">
        <v>42593</v>
      </c>
    </row>
    <row r="20123" spans="1:5">
      <c r="A20123" t="s">
        <v>6</v>
      </c>
      <c r="B20123" t="s">
        <v>20128</v>
      </c>
      <c r="C20123">
        <f>HYPERLINK("C:\Users\franc\OneDrive\Documentos\MALENTIN KARIME\BANCO CREDITO\FER LORCA en ROSITA (Rosita)\PROTOCOLIZACION\NOTARIO SUPLENTE\CTALINA MULET DIAZ.- ABRIL 2011.doc", "Abrir Documento")</f>
        <v>0</v>
      </c>
      <c r="D20123" t="s">
        <v>23500</v>
      </c>
      <c r="E20123" t="s">
        <v>42594</v>
      </c>
    </row>
    <row r="20124" spans="1:5">
      <c r="A20124" t="s">
        <v>6</v>
      </c>
      <c r="B20124" t="s">
        <v>20129</v>
      </c>
      <c r="C20124">
        <f>HYPERLINK("C:\Users\franc\OneDrive\Documentos\MALENTIN KARIME\BANCO CREDITO\FER LORCA en ROSITA (Rosita)\PROTOCOLIZACION\NOTARIO SUPLENTE\CLAUDIO ARAYA CASTILLO.- 25-JUNIO 2010.doc", "Abrir Documento")</f>
        <v>0</v>
      </c>
      <c r="D20124" t="s">
        <v>23500</v>
      </c>
      <c r="E20124" t="s">
        <v>42595</v>
      </c>
    </row>
    <row r="20125" spans="1:5">
      <c r="A20125" t="s">
        <v>6</v>
      </c>
      <c r="B20125" t="s">
        <v>20130</v>
      </c>
      <c r="C20125">
        <f>HYPERLINK("C:\Users\franc\OneDrive\Documentos\MALENTIN KARIME\BANCO CREDITO\FER LORCA en ROSITA (Rosita)\PROTOCOLIZACION\NOTARIO SUPLENTE\CLAUDIO ARAYA CASTILLO.- 12 DE JULIO 2010.doc", "Abrir Documento")</f>
        <v>0</v>
      </c>
      <c r="D20125" t="s">
        <v>23500</v>
      </c>
      <c r="E20125" t="s">
        <v>42596</v>
      </c>
    </row>
    <row r="20126" spans="1:5">
      <c r="A20126" t="s">
        <v>6</v>
      </c>
      <c r="B20126" t="s">
        <v>20131</v>
      </c>
      <c r="C20126">
        <f>HYPERLINK("C:\Users\franc\OneDrive\Documentos\MALENTIN KARIME\BANCO CREDITO\FER LORCA en ROSITA (Rosita)\PROTOCOLIZACION\NOMB. NOTARIO\SERGIO CORTES BELTRAN.doc", "Abrir Documento")</f>
        <v>0</v>
      </c>
      <c r="D20126" t="s">
        <v>23500</v>
      </c>
      <c r="E20126" t="s">
        <v>42597</v>
      </c>
    </row>
    <row r="20127" spans="1:5">
      <c r="A20127" t="s">
        <v>6</v>
      </c>
      <c r="B20127" t="s">
        <v>20132</v>
      </c>
      <c r="C20127">
        <f>HYPERLINK("C:\Users\franc\OneDrive\Documentos\MALENTIN KARIME\BANCO CREDITO\FER LORCA en ROSITA (Rosita)\PROTOCOLIZACION\NOMB. NOTARIO\PROTO. NOMB. NOTARIO FRANCISCO SAAVEDRA.doc", "Abrir Documento")</f>
        <v>0</v>
      </c>
      <c r="D20127" t="s">
        <v>23500</v>
      </c>
      <c r="E20127" t="s">
        <v>42598</v>
      </c>
    </row>
    <row r="20128" spans="1:5">
      <c r="A20128" t="s">
        <v>6</v>
      </c>
      <c r="B20128" t="s">
        <v>20133</v>
      </c>
      <c r="C20128">
        <f>HYPERLINK("C:\Users\franc\OneDrive\Documentos\MALENTIN KARIME\BANCO CREDITO\FER LORCA en ROSITA (Rosita)\PROTOCOLIZACION\NOMB. NOTARIO\MANLIO METTIFOGO.doc", "Abrir Documento")</f>
        <v>0</v>
      </c>
      <c r="D20128" t="s">
        <v>23500</v>
      </c>
      <c r="E20128" t="s">
        <v>42599</v>
      </c>
    </row>
    <row r="20129" spans="1:5">
      <c r="A20129" t="s">
        <v>6</v>
      </c>
      <c r="B20129" t="s">
        <v>20134</v>
      </c>
      <c r="C20129">
        <f>HYPERLINK("C:\Users\franc\OneDrive\Documentos\MALENTIN KARIME\BANCO CREDITO\FER LORCA en ROSITA (Rosita)\PROTOCOLIZACION\NOMB. NOTARIO\MANLIO METTIFOGO.- 05 JUNIO 2009.doc", "Abrir Documento")</f>
        <v>0</v>
      </c>
      <c r="D20129" t="s">
        <v>23500</v>
      </c>
      <c r="E20129" t="s">
        <v>42600</v>
      </c>
    </row>
    <row r="20130" spans="1:5">
      <c r="A20130" t="s">
        <v>6</v>
      </c>
      <c r="B20130" t="s">
        <v>20135</v>
      </c>
      <c r="C20130">
        <f>HYPERLINK("C:\Users\franc\OneDrive\Documentos\MALENTIN KARIME\BANCO CREDITO\FER LORCA en ROSITA (Rosita)\PROTOCOLIZACION\NOMB. NOTARIO\MANLIO METTIFOGO. 20-ABRIL-09.doc", "Abrir Documento")</f>
        <v>0</v>
      </c>
      <c r="D20130" t="s">
        <v>23500</v>
      </c>
      <c r="E20130" t="s">
        <v>42601</v>
      </c>
    </row>
    <row r="20131" spans="1:5">
      <c r="A20131" t="s">
        <v>6</v>
      </c>
      <c r="B20131" t="s">
        <v>20136</v>
      </c>
      <c r="C20131">
        <f>HYPERLINK("C:\Users\franc\OneDrive\Documentos\MALENTIN KARIME\BANCO CREDITO\FER LORCA en ROSITA (Rosita)\PROTOCOLIZACION\NOMB. NOTARIO\MANLIO METTIFOGO. 04MAYO-2009.doc", "Abrir Documento")</f>
        <v>0</v>
      </c>
      <c r="D20131" t="s">
        <v>23500</v>
      </c>
      <c r="E20131" t="s">
        <v>42602</v>
      </c>
    </row>
    <row r="20132" spans="1:5">
      <c r="A20132" t="s">
        <v>6</v>
      </c>
      <c r="B20132" t="s">
        <v>20137</v>
      </c>
      <c r="C20132">
        <f>HYPERLINK("C:\Users\franc\OneDrive\Documentos\MALENTIN KARIME\BANCO CREDITO\FER LORCA en ROSITA (Rosita)\PROTOCOLIZACION\NOMB. NOTARIO\MANLIO METTIFOGO NOVIEMBRE.doc", "Abrir Documento")</f>
        <v>0</v>
      </c>
      <c r="D20132" t="s">
        <v>23500</v>
      </c>
      <c r="E20132" t="s">
        <v>42603</v>
      </c>
    </row>
    <row r="20133" spans="1:5">
      <c r="A20133" t="s">
        <v>6</v>
      </c>
      <c r="B20133" t="s">
        <v>20138</v>
      </c>
      <c r="C20133">
        <f>HYPERLINK("C:\Users\franc\OneDrive\Documentos\MALENTIN KARIME\BANCO CREDITO\FER LORCA en ROSITA (Rosita)\PROTOCOLIZACION\NOMB. NOTARIO\ADOLFO LAY.- 04-10-2008.doc", "Abrir Documento")</f>
        <v>0</v>
      </c>
      <c r="D20133" t="s">
        <v>23500</v>
      </c>
      <c r="E20133" t="s">
        <v>42604</v>
      </c>
    </row>
    <row r="20134" spans="1:5">
      <c r="A20134" t="s">
        <v>6</v>
      </c>
      <c r="B20134" t="s">
        <v>20139</v>
      </c>
      <c r="C20134">
        <f>HYPERLINK("C:\Users\franc\OneDrive\Documentos\MALENTIN KARIME\BANCO CREDITO\FER LORCA en ROSITA (Rosita)\PROTOCOLIZACION\INVENTARIO\PROTOCOLIZACION  INVENTARIO SIMPLE. CARLOS PIZARRO FERNANDEZ.doc", "Abrir Documento")</f>
        <v>0</v>
      </c>
      <c r="D20134" t="s">
        <v>23500</v>
      </c>
      <c r="E20134" t="s">
        <v>42605</v>
      </c>
    </row>
    <row r="20135" spans="1:5">
      <c r="A20135" t="s">
        <v>6</v>
      </c>
      <c r="B20135" t="s">
        <v>20140</v>
      </c>
      <c r="C20135">
        <f>HYPERLINK("C:\Users\franc\OneDrive\Documentos\MALENTIN KARIME\BANCO CREDITO\FER LORCA en ROSITA (Rosita)\PROTOCOLIZACION\INVENTARIO\PROTOCOLIZACION  INVENTARIO . IVO BACIC.doc", "Abrir Documento")</f>
        <v>0</v>
      </c>
      <c r="D20135" t="s">
        <v>23500</v>
      </c>
      <c r="E20135" t="s">
        <v>42606</v>
      </c>
    </row>
    <row r="20136" spans="1:5">
      <c r="A20136" t="s">
        <v>6</v>
      </c>
      <c r="B20136" t="s">
        <v>20141</v>
      </c>
      <c r="C20136">
        <f>HYPERLINK("C:\Users\franc\OneDrive\Documentos\MALENTIN KARIME\BANCO CREDITO\FER LORCA en ROSITA (Rosita)\PROTOCOLIZACION\INVENTARIO\PROTOCOLIZACION  INVENTARIO  YOLANDA MAURIN MAURIN.doc", "Abrir Documento")</f>
        <v>0</v>
      </c>
      <c r="D20136" t="s">
        <v>23500</v>
      </c>
      <c r="E20136" t="s">
        <v>42607</v>
      </c>
    </row>
    <row r="20137" spans="1:5">
      <c r="A20137" t="s">
        <v>6</v>
      </c>
      <c r="B20137" t="s">
        <v>20142</v>
      </c>
      <c r="C20137">
        <f>HYPERLINK("C:\Users\franc\OneDrive\Documentos\MALENTIN KARIME\BANCO CREDITO\FER LORCA en ROSITA (Rosita)\PROTOCOLIZACION\INVENTARIO\MERCEDES CARVAJAL ROJAS.doc", "Abrir Documento")</f>
        <v>0</v>
      </c>
      <c r="D20137" t="s">
        <v>23500</v>
      </c>
      <c r="E20137" t="s">
        <v>42608</v>
      </c>
    </row>
    <row r="20138" spans="1:5">
      <c r="A20138" t="s">
        <v>6</v>
      </c>
      <c r="B20138" t="s">
        <v>20143</v>
      </c>
      <c r="C20138">
        <f>HYPERLINK("C:\Users\franc\OneDrive\Documentos\MALENTIN KARIME\BANCO CREDITO\FER LORCA en ROSITA (Rosita)\PROTOCOLIZACION\INVENTARIO\MARIA GRACIELA ROJAS GUZMAN.doc", "Abrir Documento")</f>
        <v>0</v>
      </c>
      <c r="D20138" t="s">
        <v>23500</v>
      </c>
      <c r="E20138" t="s">
        <v>42609</v>
      </c>
    </row>
    <row r="20139" spans="1:5">
      <c r="A20139" t="s">
        <v>6</v>
      </c>
      <c r="B20139" t="s">
        <v>20144</v>
      </c>
      <c r="C20139">
        <f>HYPERLINK("C:\Users\franc\OneDrive\Documentos\MALENTIN KARIME\BANCO CREDITO\FER LORCA en ROSITA (Rosita)\PROTOCOLIZACION\INVENTARIO\MARIA ANG. LOPEZ CAIMANQUE.doc", "Abrir Documento")</f>
        <v>0</v>
      </c>
      <c r="D20139" t="s">
        <v>23500</v>
      </c>
      <c r="E20139" t="s">
        <v>42610</v>
      </c>
    </row>
    <row r="20140" spans="1:5">
      <c r="A20140" t="s">
        <v>6</v>
      </c>
      <c r="B20140" t="s">
        <v>20145</v>
      </c>
      <c r="C20140">
        <f>HYPERLINK("C:\Users\franc\OneDrive\Documentos\MALENTIN KARIME\BANCO CREDITO\FER LORCA en ROSITA (Rosita)\PROTOCOLIZACION\INVENTARIO\INVENTARIO. LUIS GALLARDO OSORIO.doc", "Abrir Documento")</f>
        <v>0</v>
      </c>
      <c r="D20140" t="s">
        <v>23500</v>
      </c>
      <c r="E20140" t="s">
        <v>42611</v>
      </c>
    </row>
    <row r="20141" spans="1:5">
      <c r="A20141" t="s">
        <v>6</v>
      </c>
      <c r="B20141" t="s">
        <v>20146</v>
      </c>
      <c r="C20141">
        <f>HYPERLINK("C:\Users\franc\OneDrive\Documentos\MALENTIN KARIME\BANCO CREDITO\FER LORCA en ROSITA (Rosita)\PROTOCOLIZACION\INVENTARIO\ELENA NANJARI LUCO.doc", "Abrir Documento")</f>
        <v>0</v>
      </c>
      <c r="D20141" t="s">
        <v>23500</v>
      </c>
      <c r="E20141" t="s">
        <v>42612</v>
      </c>
    </row>
    <row r="20142" spans="1:5">
      <c r="A20142" t="s">
        <v>6</v>
      </c>
      <c r="B20142" t="s">
        <v>20147</v>
      </c>
      <c r="C20142">
        <f>HYPERLINK("C:\Users\franc\OneDrive\Documentos\MALENTIN KARIME\BANCO CREDITO\FER LORCA en ROSITA (Rosita)\PROTOCOLIZACION\CVTA. SUB. DS.174\RECTIFICATORIAS 2010\ORIANA VILLARROEL.doc", "Abrir Documento")</f>
        <v>0</v>
      </c>
      <c r="D20142" t="s">
        <v>23500</v>
      </c>
      <c r="E20142" t="s">
        <v>42613</v>
      </c>
    </row>
    <row r="20143" spans="1:5">
      <c r="A20143" t="s">
        <v>6</v>
      </c>
      <c r="B20143" t="s">
        <v>20148</v>
      </c>
      <c r="C20143">
        <f>HYPERLINK("C:\Users\franc\OneDrive\Documentos\MALENTIN KARIME\BANCO CREDITO\FER LORCA en ROSITA (Rosita)\PROTOCOLIZACION\CVTA. SUB. DS.174\FONDO SOLIDARIO\WILSON HENRIQUEZ A FERNANDO ARAYA.doc", "Abrir Documento")</f>
        <v>0</v>
      </c>
      <c r="D20143" t="s">
        <v>23500</v>
      </c>
      <c r="E20143" t="s">
        <v>42614</v>
      </c>
    </row>
    <row r="20144" spans="1:5">
      <c r="A20144" t="s">
        <v>6</v>
      </c>
      <c r="B20144" t="s">
        <v>20149</v>
      </c>
      <c r="C20144">
        <f>HYPERLINK("C:\Users\franc\OneDrive\Documentos\MALENTIN KARIME\BANCO CREDITO\FER LORCA en ROSITA (Rosita)\PROTOCOLIZACION\CVTA. SUB. DS.174\FONDO SOLIDARIO\ROSA NICOLA TALAMILLA A NORA ALVAREZ TALAMILLA.doc", "Abrir Documento")</f>
        <v>0</v>
      </c>
      <c r="D20144" t="s">
        <v>23500</v>
      </c>
      <c r="E20144" t="s">
        <v>42615</v>
      </c>
    </row>
    <row r="20145" spans="1:5">
      <c r="A20145" t="s">
        <v>6</v>
      </c>
      <c r="B20145" t="s">
        <v>20150</v>
      </c>
      <c r="C20145">
        <f>HYPERLINK("C:\Users\franc\OneDrive\Documentos\MALENTIN KARIME\BANCO CREDITO\FER LORCA en ROSITA (Rosita)\PROTOCOLIZACION\CVTA. SUB. DS.174\FONDO SOLIDARIO\LUISA TAPIA PIZARRO A JOHANNA ZEPEDA.doc", "Abrir Documento")</f>
        <v>0</v>
      </c>
      <c r="D20145" t="s">
        <v>23500</v>
      </c>
      <c r="E20145" t="s">
        <v>42616</v>
      </c>
    </row>
    <row r="20146" spans="1:5">
      <c r="A20146" t="s">
        <v>6</v>
      </c>
      <c r="B20146" t="s">
        <v>20151</v>
      </c>
      <c r="C20146">
        <f>HYPERLINK("C:\Users\franc\OneDrive\Documentos\MALENTIN KARIME\BANCO CREDITO\FER LORCA en ROSITA (Rosita)\PROTOCOLIZACION\CVTA. SUB. DS.174\FONDO SOLIDARIO\LINA ROJAS A GABRIELA ROJAS.doc", "Abrir Documento")</f>
        <v>0</v>
      </c>
      <c r="D20146" t="s">
        <v>23500</v>
      </c>
      <c r="E20146" t="s">
        <v>42617</v>
      </c>
    </row>
    <row r="20147" spans="1:5">
      <c r="A20147" t="s">
        <v>6</v>
      </c>
      <c r="B20147" t="s">
        <v>20152</v>
      </c>
      <c r="C20147">
        <f>HYPERLINK("C:\Users\franc\OneDrive\Documentos\MALENTIN KARIME\BANCO CREDITO\FER LORCA en ROSITA (Rosita)\PROTOCOLIZACION\CVTA. SUB. DS.174\CERTIFICADOS\SEPTIEMBRE\COSME MICHEA.doc", "Abrir Documento")</f>
        <v>0</v>
      </c>
      <c r="D20147" t="s">
        <v>23500</v>
      </c>
      <c r="E20147" t="s">
        <v>42618</v>
      </c>
    </row>
    <row r="20148" spans="1:5">
      <c r="A20148" t="s">
        <v>6</v>
      </c>
      <c r="B20148" t="s">
        <v>20153</v>
      </c>
      <c r="C20148">
        <f>HYPERLINK("C:\Users\franc\OneDrive\Documentos\MALENTIN KARIME\BANCO CREDITO\FER LORCA en ROSITA (Rosita)\PROTOCOLIZACION\CVTA. SUB. DS.174\CERTIFICADOS\ROSA SEGOVIA.doc", "Abrir Documento")</f>
        <v>0</v>
      </c>
      <c r="D20148" t="s">
        <v>23500</v>
      </c>
      <c r="E20148" t="s">
        <v>42619</v>
      </c>
    </row>
    <row r="20149" spans="1:5">
      <c r="A20149" t="s">
        <v>6</v>
      </c>
      <c r="B20149" t="s">
        <v>20154</v>
      </c>
      <c r="C20149">
        <f>HYPERLINK("C:\Users\franc\OneDrive\Documentos\MALENTIN KARIME\BANCO CREDITO\FER LORCA en ROSITA (Rosita)\PROTOCOLIZACION\CVTA. SUB. DS.174\CERTIFICADOS\MARIA VALLEJOS A CLAUDIO OLIVARES.doc", "Abrir Documento")</f>
        <v>0</v>
      </c>
      <c r="D20149" t="s">
        <v>23500</v>
      </c>
      <c r="E20149" t="s">
        <v>42620</v>
      </c>
    </row>
    <row r="20150" spans="1:5">
      <c r="A20150" t="s">
        <v>6</v>
      </c>
      <c r="B20150" t="s">
        <v>20155</v>
      </c>
      <c r="C20150">
        <f>HYPERLINK("C:\Users\franc\OneDrive\Documentos\MALENTIN KARIME\BANCO CREDITO\FER LORCA en ROSITA (Rosita)\PROTOCOLIZACION\CVTA. SUB. DS.174\CERTIFICADOS\JUAN OLMOS CORTES.doc", "Abrir Documento")</f>
        <v>0</v>
      </c>
      <c r="D20150" t="s">
        <v>23500</v>
      </c>
      <c r="E20150" t="s">
        <v>42621</v>
      </c>
    </row>
    <row r="20151" spans="1:5">
      <c r="A20151" t="s">
        <v>6</v>
      </c>
      <c r="B20151" t="s">
        <v>20156</v>
      </c>
      <c r="C20151">
        <f>HYPERLINK("C:\Users\franc\OneDrive\Documentos\MALENTIN KARIME\BANCO CREDITO\FER LORCA en ROSITA (Rosita)\PROTOCOLIZACION\CVTA. SUB. DS.174\CERTIFICADOS\GUILLERMO CHACANA.doc", "Abrir Documento")</f>
        <v>0</v>
      </c>
      <c r="D20151" t="s">
        <v>23500</v>
      </c>
      <c r="E20151" t="s">
        <v>42622</v>
      </c>
    </row>
    <row r="20152" spans="1:5">
      <c r="A20152" t="s">
        <v>6</v>
      </c>
      <c r="B20152" t="s">
        <v>20157</v>
      </c>
      <c r="C20152">
        <f>HYPERLINK("C:\Users\franc\OneDrive\Documentos\MALENTIN KARIME\BANCO CREDITO\FER LORCA en ROSITA (Rosita)\PROTOCOLIZACION\CVTA. SUB. DS.174\CERTIFICADOS\GLADYS PLAZA A JONATHAN ROJAS.doc", "Abrir Documento")</f>
        <v>0</v>
      </c>
      <c r="D20152" t="s">
        <v>23500</v>
      </c>
      <c r="E20152" t="s">
        <v>42623</v>
      </c>
    </row>
    <row r="20153" spans="1:5">
      <c r="A20153" t="s">
        <v>6</v>
      </c>
      <c r="B20153" t="s">
        <v>20158</v>
      </c>
      <c r="C20153">
        <f>HYPERLINK("C:\Users\franc\OneDrive\Documentos\MALENTIN KARIME\BANCO CREDITO\FER LORCA en ROSITA (Rosita)\PROTOCOLIZACION\CVTA. SUB. DS.174\CERTIFICADOS\ELBA CASTILLO A MARGARITA ACUÑA LARA.doc", "Abrir Documento")</f>
        <v>0</v>
      </c>
      <c r="D20153" t="s">
        <v>23500</v>
      </c>
      <c r="E20153" t="s">
        <v>42624</v>
      </c>
    </row>
    <row r="20154" spans="1:5">
      <c r="A20154" t="s">
        <v>6</v>
      </c>
      <c r="B20154" t="s">
        <v>20159</v>
      </c>
      <c r="C20154">
        <f>HYPERLINK("C:\Users\franc\OneDrive\Documentos\MALENTIN KARIME\BANCO CREDITO\FER LORCA en ROSITA (Rosita)\PROTOCOLIZACION\CVTA. SUB. DS.174\CERTIFICADOS\CERT. CVTA. HUGO A. a SANDRA A..doc", "Abrir Documento")</f>
        <v>0</v>
      </c>
      <c r="D20154" t="s">
        <v>23500</v>
      </c>
      <c r="E20154" t="s">
        <v>42625</v>
      </c>
    </row>
    <row r="20155" spans="1:5">
      <c r="A20155" t="s">
        <v>6</v>
      </c>
      <c r="B20155" t="s">
        <v>20160</v>
      </c>
      <c r="C20155">
        <f>HYPERLINK("C:\Users\franc\OneDrive\Documentos\MALENTIN KARIME\BANCO CREDITO\FER LORCA en ROSITA (Rosita)\PROTOCOLIZACION\CVTA. SUB. DS.174\CERTIFICADOS\CERT. CARLOS CONTRERAS A ANA MOLINA.doc", "Abrir Documento")</f>
        <v>0</v>
      </c>
      <c r="D20155" t="s">
        <v>23500</v>
      </c>
      <c r="E20155" t="s">
        <v>42626</v>
      </c>
    </row>
    <row r="20156" spans="1:5">
      <c r="A20156" t="s">
        <v>6</v>
      </c>
      <c r="B20156" t="s">
        <v>20161</v>
      </c>
      <c r="C20156">
        <f>HYPERLINK("C:\Users\franc\OneDrive\Documentos\MALENTIN KARIME\BANCO CREDITO\FER LORCA en ROSITA (Rosita)\PROTOCOLIZACION\CVTA. SUB. DS.174\AUTORIZ. FIRMAS CVI 174 HUGO ARAYA.doc", "Abrir Documento")</f>
        <v>0</v>
      </c>
      <c r="D20156" t="s">
        <v>23500</v>
      </c>
      <c r="E20156" t="s">
        <v>42627</v>
      </c>
    </row>
    <row r="20157" spans="1:5">
      <c r="A20157" t="s">
        <v>6</v>
      </c>
      <c r="B20157" t="s">
        <v>20162</v>
      </c>
      <c r="C20157">
        <f>HYPERLINK("C:\Users\franc\OneDrive\Documentos\MALENTIN KARIME\BANCO CREDITO\FER LORCA en ROSITA (Rosita)\PROTOCOLIZACION\CVTA. SUB. DS.174\AUTORIZ. FIRMAS CVI 174  (2).doc", "Abrir Documento")</f>
        <v>0</v>
      </c>
      <c r="D20157" t="s">
        <v>23500</v>
      </c>
      <c r="E20157" t="s">
        <v>42628</v>
      </c>
    </row>
    <row r="20158" spans="1:5">
      <c r="A20158" t="s">
        <v>6</v>
      </c>
      <c r="B20158" t="s">
        <v>20163</v>
      </c>
      <c r="C20158">
        <f>HYPERLINK("C:\Users\franc\OneDrive\Documentos\MALENTIN KARIME\BANCO CREDITO\FER LORCA en ROSITA (Rosita)\PROTOCOLIZACION\CVTA. SUB. DS.174\AUT. COPIA RECTIFICADA.doc", "Abrir Documento")</f>
        <v>0</v>
      </c>
      <c r="D20158" t="s">
        <v>23500</v>
      </c>
      <c r="E20158" t="s">
        <v>42629</v>
      </c>
    </row>
    <row r="20159" spans="1:5">
      <c r="A20159" t="s">
        <v>6</v>
      </c>
      <c r="B20159" t="s">
        <v>20164</v>
      </c>
      <c r="C20159">
        <f>HYPERLINK("C:\Users\franc\OneDrive\Documentos\MALENTIN KARIME\BANCO CREDITO\FER LORCA en ROSITA (Rosita)\PROTOCOLIZACION\CUARTO CAJON\REUNION ORDINARIA.doc", "Abrir Documento")</f>
        <v>0</v>
      </c>
      <c r="D20159" t="s">
        <v>23500</v>
      </c>
      <c r="E20159" t="s">
        <v>42630</v>
      </c>
    </row>
    <row r="20160" spans="1:5">
      <c r="A20160" t="s">
        <v>6</v>
      </c>
      <c r="B20160" t="s">
        <v>20165</v>
      </c>
      <c r="C20160">
        <f>HYPERLINK("C:\Users\franc\OneDrive\Documentos\MALENTIN KARIME\BANCO CREDITO\FER LORCA en ROSITA (Rosita)\PROTOCOLIZACION\COMITE SUEÑO PROPIO\COMITE PRO-CASA.doc", "Abrir Documento")</f>
        <v>0</v>
      </c>
      <c r="D20160" t="s">
        <v>23500</v>
      </c>
      <c r="E20160" t="s">
        <v>42631</v>
      </c>
    </row>
    <row r="20161" spans="1:5">
      <c r="A20161" t="s">
        <v>6</v>
      </c>
      <c r="B20161" t="s">
        <v>20166</v>
      </c>
      <c r="C20161">
        <f>HYPERLINK("C:\Users\franc\OneDrive\Documentos\MALENTIN KARIME\BANCO CREDITO\FER LORCA en ROSITA (Rosita)\PROTOCOLIZACION\COMITE SUEÑO PROPIO\COMITE - SUEÑO PROPIO. JACQUELINE OLMOS.doc", "Abrir Documento")</f>
        <v>0</v>
      </c>
      <c r="D20161" t="s">
        <v>23500</v>
      </c>
      <c r="E20161" t="s">
        <v>42632</v>
      </c>
    </row>
    <row r="20162" spans="1:5">
      <c r="A20162" t="s">
        <v>6</v>
      </c>
      <c r="B20162" t="s">
        <v>20167</v>
      </c>
      <c r="C20162">
        <f>HYPERLINK("C:\Users\franc\OneDrive\Documentos\MALENTIN KARIME\BANCO CREDITO\FER LORCA en ROSITA (Rosita)\PROTOCOLIZACION\COMITE SUEÑO PROPIO\ACTA SAMBLEA.doc", "Abrir Documento")</f>
        <v>0</v>
      </c>
      <c r="D20162" t="s">
        <v>23500</v>
      </c>
      <c r="E20162" t="s">
        <v>42633</v>
      </c>
    </row>
    <row r="20163" spans="1:5">
      <c r="A20163" t="s">
        <v>6</v>
      </c>
      <c r="B20163" t="s">
        <v>20168</v>
      </c>
      <c r="C20163">
        <f>HYPERLINK("C:\Users\franc\OneDrive\Documentos\MALENTIN KARIME\BANCO CREDITO\FER LORCA en ROSITA (Rosita)\PROTOCOLIZACION\COM. ALCONES\ELIANA LOPEZ.- 07-mayo-2009.doc", "Abrir Documento")</f>
        <v>0</v>
      </c>
      <c r="D20163" t="s">
        <v>23500</v>
      </c>
      <c r="E20163" t="s">
        <v>42634</v>
      </c>
    </row>
    <row r="20164" spans="1:5">
      <c r="A20164" t="s">
        <v>6</v>
      </c>
      <c r="B20164" t="s">
        <v>20169</v>
      </c>
      <c r="C20164">
        <f>HYPERLINK("C:\Users\franc\OneDrive\Documentos\MALENTIN KARIME\BANCO CREDITO\FER LORCA en ROSITA (Rosita)\PROTOCOLIZACION\COM. ALCONES\AUTORIZA LIBRO PARA COPIAS.doc", "Abrir Documento")</f>
        <v>0</v>
      </c>
      <c r="D20164" t="s">
        <v>23500</v>
      </c>
      <c r="E20164" t="s">
        <v>42635</v>
      </c>
    </row>
    <row r="20165" spans="1:5">
      <c r="A20165" t="s">
        <v>6</v>
      </c>
      <c r="B20165" t="s">
        <v>20170</v>
      </c>
      <c r="C20165">
        <f>HYPERLINK("C:\Users\franc\OneDrive\Documentos\MALENTIN KARIME\BANCO CREDITO\FER LORCA en ROSITA (Rosita)\PROTOCOLIZACION\COM. ALCONES\AUTORIZA LIBRO PARA COPIAS HORIZ..doc", "Abrir Documento")</f>
        <v>0</v>
      </c>
      <c r="D20165" t="s">
        <v>23500</v>
      </c>
      <c r="E20165" t="s">
        <v>42636</v>
      </c>
    </row>
    <row r="20166" spans="1:5">
      <c r="A20166" t="s">
        <v>6</v>
      </c>
      <c r="B20166" t="s">
        <v>20171</v>
      </c>
      <c r="C20166">
        <f>HYPERLINK("C:\Users\franc\OneDrive\Documentos\MALENTIN KARIME\BANCO CREDITO\FER LORCA en ROSITA (Rosita)\PROTOCOLIZACION\COM. ALCONES\ALCONES SRA.ELIANA LOPEZ.doc", "Abrir Documento")</f>
        <v>0</v>
      </c>
      <c r="D20166" t="s">
        <v>23500</v>
      </c>
      <c r="E20166" t="s">
        <v>42637</v>
      </c>
    </row>
    <row r="20167" spans="1:5">
      <c r="A20167" t="s">
        <v>6</v>
      </c>
      <c r="B20167" t="s">
        <v>20172</v>
      </c>
      <c r="C20167">
        <f>HYPERLINK("C:\Users\franc\OneDrive\Documentos\MALENTIN KARIME\BANCO CREDITO\FER LORCA en ROSITA (Rosita)\PROTOCOLIZACION\COM. ALCONES\ALCONES (JUAN CARLOS).doc", "Abrir Documento")</f>
        <v>0</v>
      </c>
      <c r="D20167" t="s">
        <v>23500</v>
      </c>
      <c r="E20167" t="s">
        <v>42638</v>
      </c>
    </row>
    <row r="20168" spans="1:5">
      <c r="A20168" t="s">
        <v>6</v>
      </c>
      <c r="B20168" t="s">
        <v>20173</v>
      </c>
      <c r="C20168">
        <f>HYPERLINK("C:\Users\franc\OneDrive\Documentos\MALENTIN KARIME\BANCO CREDITO\FER LORCA en ROSITA (Rosita)\PROTOCOLIZACION\COM. ALCONES\ALCONES (JUAN CARLOS) 2.doc", "Abrir Documento")</f>
        <v>0</v>
      </c>
      <c r="D20168" t="s">
        <v>23500</v>
      </c>
      <c r="E20168" t="s">
        <v>42639</v>
      </c>
    </row>
    <row r="20169" spans="1:5">
      <c r="A20169" t="s">
        <v>6</v>
      </c>
      <c r="B20169" t="s">
        <v>20174</v>
      </c>
      <c r="C20169">
        <f>HYPERLINK("C:\Users\franc\OneDrive\Documentos\MALENTIN KARIME\BANCO CREDITO\FER LORCA en ROSITA (Rosita)\PROTOCOLIZACION\COM. ALCONES\ALCONES (JUAN CARLOS) .- OCTUBRE.doc", "Abrir Documento")</f>
        <v>0</v>
      </c>
      <c r="D20169" t="s">
        <v>23500</v>
      </c>
      <c r="E20169" t="s">
        <v>42640</v>
      </c>
    </row>
    <row r="20170" spans="1:5">
      <c r="A20170" t="s">
        <v>6</v>
      </c>
      <c r="B20170" t="s">
        <v>20175</v>
      </c>
      <c r="C20170">
        <f>HYPERLINK("C:\Users\franc\OneDrive\Documentos\MALENTIN KARIME\BANCO CREDITO\FER LORCA en ROSITA (Rosita)\PROTOCOLIZACION\COM. ALCONES\29 MAYO 2008.doc", "Abrir Documento")</f>
        <v>0</v>
      </c>
      <c r="D20170" t="s">
        <v>23500</v>
      </c>
      <c r="E20170" t="s">
        <v>42641</v>
      </c>
    </row>
    <row r="20171" spans="1:5">
      <c r="A20171" t="s">
        <v>6</v>
      </c>
      <c r="B20171" t="s">
        <v>20176</v>
      </c>
      <c r="C20171">
        <f>HYPERLINK("C:\Users\franc\OneDrive\Documentos\MALENTIN KARIME\BANCO CREDITO\FER LORCA en ROSITA (Rosita)\PROTOCOLIZACION\COM. ALCONES\18 MAYO 2008.doc", "Abrir Documento")</f>
        <v>0</v>
      </c>
      <c r="D20171" t="s">
        <v>23500</v>
      </c>
      <c r="E20171" t="s">
        <v>42642</v>
      </c>
    </row>
    <row r="20172" spans="1:5">
      <c r="A20172" t="s">
        <v>6</v>
      </c>
      <c r="B20172" t="s">
        <v>20177</v>
      </c>
      <c r="C20172">
        <f>HYPERLINK("C:\Users\franc\OneDrive\Documentos\MALENTIN KARIME\BANCO CREDITO\FER LORCA en ROSITA (Rosita)\PROTOCOLIZACION\COM. AGUAS CANAL GRANDE Y LOS AZULES DE SOTAQUIÇ\ACTA Nº 3.doc", "Abrir Documento")</f>
        <v>0</v>
      </c>
      <c r="D20172" t="s">
        <v>23500</v>
      </c>
      <c r="E20172" t="s">
        <v>42643</v>
      </c>
    </row>
    <row r="20173" spans="1:5">
      <c r="A20173" t="s">
        <v>6</v>
      </c>
      <c r="B20173" t="s">
        <v>20178</v>
      </c>
      <c r="C20173">
        <f>HYPERLINK("C:\Users\franc\OneDrive\Documentos\MALENTIN KARIME\BANCO CREDITO\FER LORCA en ROSITA (Rosita)\PROTOCOLIZACION\COM. AGUAS CANAL GRANDE Y LOS AZULES DE SOTAQUIÇ\ACTA Nº 2.doc", "Abrir Documento")</f>
        <v>0</v>
      </c>
      <c r="D20173" t="s">
        <v>23500</v>
      </c>
      <c r="E20173" t="s">
        <v>42644</v>
      </c>
    </row>
    <row r="20174" spans="1:5">
      <c r="A20174" t="s">
        <v>6</v>
      </c>
      <c r="B20174" t="s">
        <v>20179</v>
      </c>
      <c r="C20174">
        <f>HYPERLINK("C:\Users\franc\OneDrive\Documentos\MALENTIN KARIME\BANCO CREDITO\FER LORCA en ROSITA (Rosita)\PROTOCOLIZACION\COM. AGUAS CANAL GRANDE Y LOS AZULES DE SOTAQUIÇ\ACTA Nº 1.doc", "Abrir Documento")</f>
        <v>0</v>
      </c>
      <c r="D20174" t="s">
        <v>23500</v>
      </c>
      <c r="E20174" t="s">
        <v>42645</v>
      </c>
    </row>
    <row r="20175" spans="1:5">
      <c r="A20175" t="s">
        <v>6</v>
      </c>
      <c r="B20175" t="s">
        <v>20180</v>
      </c>
      <c r="C20175">
        <f>HYPERLINK("C:\Users\franc\OneDrive\Documentos\MALENTIN KARIME\BANCO CREDITO\FER LORCA en ROSITA (Rosita)\PROTOCOLIZACION\CLUB DE RODEO\CLUB DE RODEO.doc", "Abrir Documento")</f>
        <v>0</v>
      </c>
      <c r="D20175" t="s">
        <v>23500</v>
      </c>
      <c r="E20175" t="s">
        <v>42646</v>
      </c>
    </row>
    <row r="20176" spans="1:5">
      <c r="A20176" t="s">
        <v>6</v>
      </c>
      <c r="B20176" t="s">
        <v>20181</v>
      </c>
      <c r="C20176">
        <f>HYPERLINK("C:\Users\franc\OneDrive\Documentos\MALENTIN KARIME\BANCO CREDITO\FER LORCA en ROSITA (Rosita)\PROTOCOLIZACION\CLUB DE RODEO\CLUB DE RODEO.- MAYO 2010.-.doc", "Abrir Documento")</f>
        <v>0</v>
      </c>
      <c r="D20176" t="s">
        <v>23500</v>
      </c>
      <c r="E20176" t="s">
        <v>42647</v>
      </c>
    </row>
    <row r="20177" spans="1:5">
      <c r="A20177" t="s">
        <v>6</v>
      </c>
      <c r="B20177" t="s">
        <v>20182</v>
      </c>
      <c r="C20177">
        <f>HYPERLINK("C:\Users\franc\OneDrive\Documentos\MALENTIN KARIME\BANCO CREDITO\FER LORCA en ROSITA (Rosita)\PROTOCOLIZACION\CLUB DE RODEO\CLUB DE RODEO.- MARZO 2010.-.doc", "Abrir Documento")</f>
        <v>0</v>
      </c>
      <c r="D20177" t="s">
        <v>23500</v>
      </c>
      <c r="E20177" t="s">
        <v>42648</v>
      </c>
    </row>
    <row r="20178" spans="1:5">
      <c r="A20178" t="s">
        <v>6</v>
      </c>
      <c r="B20178" t="s">
        <v>20183</v>
      </c>
      <c r="C20178">
        <f>HYPERLINK("C:\Users\franc\OneDrive\Documentos\MALENTIN KARIME\BANCO CREDITO\FER LORCA en ROSITA (Rosita)\PROTOCOLIZACION\CLUB DE RODEO\CLUB DE RODEO.- 15- JUNIO 2010.-.doc", "Abrir Documento")</f>
        <v>0</v>
      </c>
      <c r="D20178" t="s">
        <v>23500</v>
      </c>
      <c r="E20178" t="s">
        <v>42649</v>
      </c>
    </row>
    <row r="20179" spans="1:5">
      <c r="A20179" t="s">
        <v>6</v>
      </c>
      <c r="B20179" t="s">
        <v>20184</v>
      </c>
      <c r="C20179">
        <f>HYPERLINK("C:\Users\franc\OneDrive\Documentos\MALENTIN KARIME\BANCO CREDITO\FER LORCA en ROSITA (Rosita)\PROTOCOLIZACION\BASILIO AGUIRRE\MEJORAMIENTO IST. AGUA POTABLE DE EL SAUCE.doc", "Abrir Documento")</f>
        <v>0</v>
      </c>
      <c r="D20179" t="s">
        <v>23500</v>
      </c>
      <c r="E20179" t="s">
        <v>42650</v>
      </c>
    </row>
    <row r="20180" spans="1:5">
      <c r="A20180" t="s">
        <v>6</v>
      </c>
      <c r="B20180" t="s">
        <v>20185</v>
      </c>
      <c r="C20180">
        <f>HYPERLINK("C:\Users\franc\OneDrive\Documentos\MALENTIN KARIME\BANCO CREDITO\FER LORCA en ROSITA (Rosita)\PROTOCOLIZACION\BASILIO AGUIRRE\MEJORAMIENTO IST. AGUA POTABLE DE COLLIGUAY.doc", "Abrir Documento")</f>
        <v>0</v>
      </c>
      <c r="D20180" t="s">
        <v>23500</v>
      </c>
      <c r="E20180" t="s">
        <v>42651</v>
      </c>
    </row>
    <row r="20181" spans="1:5">
      <c r="A20181" t="s">
        <v>6</v>
      </c>
      <c r="B20181" t="s">
        <v>20186</v>
      </c>
      <c r="C20181">
        <f>HYPERLINK("C:\Users\franc\OneDrive\Documentos\MALENTIN KARIME\BANCO CREDITO\FER LORCA en ROSITA (Rosita)\PROTOCOLIZACION\TALLER PROD. APICOLA U. CAMP.II.doc", "Abrir Documento")</f>
        <v>0</v>
      </c>
      <c r="D20181" t="s">
        <v>23500</v>
      </c>
      <c r="E20181" t="s">
        <v>42652</v>
      </c>
    </row>
    <row r="20182" spans="1:5">
      <c r="A20182" t="s">
        <v>6</v>
      </c>
      <c r="B20182" t="s">
        <v>20187</v>
      </c>
      <c r="C20182">
        <f>HYPERLINK("C:\Users\franc\OneDrive\Documentos\MALENTIN KARIME\BANCO CREDITO\FER LORCA en ROSITA (Rosita)\PROTOCOLIZACION\TALLER PROD. APICOLA U. CAMP..doc", "Abrir Documento")</f>
        <v>0</v>
      </c>
      <c r="D20182" t="s">
        <v>23500</v>
      </c>
      <c r="E20182" t="s">
        <v>42653</v>
      </c>
    </row>
    <row r="20183" spans="1:5">
      <c r="A20183" t="s">
        <v>6</v>
      </c>
      <c r="B20183" t="s">
        <v>20188</v>
      </c>
      <c r="C20183">
        <f>HYPERLINK("C:\Users\franc\OneDrive\Documentos\MALENTIN KARIME\BANCO CREDITO\FER LORCA en ROSITA (Rosita)\PROTOCOLIZACION\SONIA CAIMANQUE.doc", "Abrir Documento")</f>
        <v>0</v>
      </c>
      <c r="D20183" t="s">
        <v>23500</v>
      </c>
      <c r="E20183" t="s">
        <v>42654</v>
      </c>
    </row>
    <row r="20184" spans="1:5">
      <c r="A20184" t="s">
        <v>6</v>
      </c>
      <c r="B20184" t="s">
        <v>20189</v>
      </c>
      <c r="C20184">
        <f>HYPERLINK("C:\Users\franc\OneDrive\Documentos\MALENTIN KARIME\BANCO CREDITO\FER LORCA en ROSITA (Rosita)\PROTOCOLIZACION\SOC. VERANEO PACIFICO LTDA.-.doc", "Abrir Documento")</f>
        <v>0</v>
      </c>
      <c r="D20184" t="s">
        <v>23500</v>
      </c>
      <c r="E20184" t="s">
        <v>42655</v>
      </c>
    </row>
    <row r="20185" spans="1:5">
      <c r="A20185" t="s">
        <v>6</v>
      </c>
      <c r="B20185" t="s">
        <v>20190</v>
      </c>
      <c r="C20185">
        <f>HYPERLINK("C:\Users\franc\OneDrive\Documentos\MALENTIN KARIME\BANCO CREDITO\FER LORCA en ROSITA (Rosita)\PROTOCOLIZACION\SOC. INMOB. E INVERS. ATRIA Y PEREZ LTDA..doc", "Abrir Documento")</f>
        <v>0</v>
      </c>
      <c r="D20185" t="s">
        <v>23500</v>
      </c>
      <c r="E20185" t="s">
        <v>42656</v>
      </c>
    </row>
    <row r="20186" spans="1:5">
      <c r="A20186" t="s">
        <v>6</v>
      </c>
      <c r="B20186" t="s">
        <v>20191</v>
      </c>
      <c r="C20186">
        <f>HYPERLINK("C:\Users\franc\OneDrive\Documentos\MALENTIN KARIME\BANCO CREDITO\FER LORCA en ROSITA (Rosita)\PROTOCOLIZACION\SOC. EXPORT. RIO RAPELS.A.doc", "Abrir Documento")</f>
        <v>0</v>
      </c>
      <c r="D20186" t="s">
        <v>23500</v>
      </c>
      <c r="E20186" t="s">
        <v>42657</v>
      </c>
    </row>
    <row r="20187" spans="1:5">
      <c r="A20187" t="s">
        <v>6</v>
      </c>
      <c r="B20187" t="s">
        <v>20192</v>
      </c>
      <c r="C20187">
        <f>HYPERLINK("C:\Users\franc\OneDrive\Documentos\MALENTIN KARIME\BANCO CREDITO\FER LORCA en ROSITA (Rosita)\PROTOCOLIZACION\SOC. CARRIZAL (LINO HERNANDEZ).doc", "Abrir Documento")</f>
        <v>0</v>
      </c>
      <c r="D20187" t="s">
        <v>23500</v>
      </c>
      <c r="E20187" t="s">
        <v>42658</v>
      </c>
    </row>
    <row r="20188" spans="1:5">
      <c r="A20188" t="s">
        <v>6</v>
      </c>
      <c r="B20188" t="s">
        <v>20193</v>
      </c>
      <c r="C20188">
        <f>HYPERLINK("C:\Users\franc\OneDrive\Documentos\MALENTIN KARIME\BANCO CREDITO\FER LORCA en ROSITA (Rosita)\PROTOCOLIZACION\SINDICATO TRABAJADORES.doc", "Abrir Documento")</f>
        <v>0</v>
      </c>
      <c r="D20188" t="s">
        <v>23500</v>
      </c>
      <c r="E20188" t="s">
        <v>42659</v>
      </c>
    </row>
    <row r="20189" spans="1:5">
      <c r="A20189" t="s">
        <v>6</v>
      </c>
      <c r="B20189" t="s">
        <v>20194</v>
      </c>
      <c r="C20189">
        <f>HYPERLINK("C:\Users\franc\OneDrive\Documentos\MALENTIN KARIME\BANCO CREDITO\FER LORCA en ROSITA (Rosita)\PROTOCOLIZACION\SIDICATO TRABAJADORES.doc", "Abrir Documento")</f>
        <v>0</v>
      </c>
      <c r="D20189" t="s">
        <v>23500</v>
      </c>
      <c r="E20189" t="s">
        <v>42660</v>
      </c>
    </row>
    <row r="20190" spans="1:5">
      <c r="A20190" t="s">
        <v>6</v>
      </c>
      <c r="B20190" t="s">
        <v>20195</v>
      </c>
      <c r="C20190">
        <f>HYPERLINK("C:\Users\franc\OneDrive\Documentos\MALENTIN KARIME\BANCO CREDITO\FER LORCA en ROSITA (Rosita)\PROTOCOLIZACION\RADIO CLUB. PROVINCIA LIMARI.doc", "Abrir Documento")</f>
        <v>0</v>
      </c>
      <c r="D20190" t="s">
        <v>23500</v>
      </c>
      <c r="E20190" t="s">
        <v>42661</v>
      </c>
    </row>
    <row r="20191" spans="1:5">
      <c r="A20191" t="s">
        <v>6</v>
      </c>
      <c r="B20191" t="s">
        <v>20196</v>
      </c>
      <c r="C20191">
        <f>HYPERLINK("C:\Users\franc\OneDrive\Documentos\MALENTIN KARIME\BANCO CREDITO\FER LORCA en ROSITA (Rosita)\PROTOCOLIZACION\PROTOCOLIZACION DECLARACIONES NOTARIA ANIBAL SERRANO.-.doc", "Abrir Documento")</f>
        <v>0</v>
      </c>
      <c r="D20191" t="s">
        <v>23500</v>
      </c>
      <c r="E20191" t="s">
        <v>42662</v>
      </c>
    </row>
    <row r="20192" spans="1:5">
      <c r="A20192" t="s">
        <v>6</v>
      </c>
      <c r="B20192" t="s">
        <v>20197</v>
      </c>
      <c r="C20192">
        <f>HYPERLINK("C:\Users\franc\OneDrive\Documentos\MALENTIN KARIME\BANCO CREDITO\FER LORCA en ROSITA (Rosita)\PROTOCOLIZACION\PROP. PUBLICA 87. SOC. LINCOQUEO Y MUÑOZ Y OTRO.doc", "Abrir Documento")</f>
        <v>0</v>
      </c>
      <c r="D20192" t="s">
        <v>23500</v>
      </c>
      <c r="E20192" t="s">
        <v>42663</v>
      </c>
    </row>
    <row r="20193" spans="1:5">
      <c r="A20193" t="s">
        <v>6</v>
      </c>
      <c r="B20193" t="s">
        <v>20198</v>
      </c>
      <c r="C20193">
        <f>HYPERLINK("C:\Users\franc\OneDrive\Documentos\MALENTIN KARIME\BANCO CREDITO\FER LORCA en ROSITA (Rosita)\PROTOCOLIZACION\PODER EXTRANJERO.- ORLANDO ARAYA CODOCEO.- NOVIEMBRE.doc", "Abrir Documento")</f>
        <v>0</v>
      </c>
      <c r="D20193" t="s">
        <v>23500</v>
      </c>
      <c r="E20193" t="s">
        <v>42664</v>
      </c>
    </row>
    <row r="20194" spans="1:5">
      <c r="A20194" t="s">
        <v>6</v>
      </c>
      <c r="B20194" t="s">
        <v>20199</v>
      </c>
      <c r="C20194">
        <f>HYPERLINK("C:\Users\franc\OneDrive\Documentos\MALENTIN KARIME\BANCO CREDITO\FER LORCA en ROSITA (Rosita)\PROTOCOLIZACION\PEDRO BARRIOS.doc", "Abrir Documento")</f>
        <v>0</v>
      </c>
      <c r="D20194" t="s">
        <v>23500</v>
      </c>
      <c r="E20194" t="s">
        <v>42665</v>
      </c>
    </row>
    <row r="20195" spans="1:5">
      <c r="A20195" t="s">
        <v>6</v>
      </c>
      <c r="B20195" t="s">
        <v>20200</v>
      </c>
      <c r="C20195">
        <f>HYPERLINK("C:\Users\franc\OneDrive\Documentos\MALENTIN KARIME\BANCO CREDITO\FER LORCA en ROSITA (Rosita)\PROTOCOLIZACION\PAOLA CARVAJAL.doc", "Abrir Documento")</f>
        <v>0</v>
      </c>
      <c r="D20195" t="s">
        <v>23500</v>
      </c>
      <c r="E20195" t="s">
        <v>42666</v>
      </c>
    </row>
    <row r="20196" spans="1:5">
      <c r="A20196" t="s">
        <v>6</v>
      </c>
      <c r="B20196" t="s">
        <v>20201</v>
      </c>
      <c r="C20196">
        <f>HYPERLINK("C:\Users\franc\OneDrive\Documentos\MALENTIN KARIME\BANCO CREDITO\FER LORCA en ROSITA (Rosita)\PROTOCOLIZACION\OFERTA DE COMPRA.- CLAUDIO ANDRADE Y HERNAN ARAYA.doc", "Abrir Documento")</f>
        <v>0</v>
      </c>
      <c r="D20196" t="s">
        <v>23500</v>
      </c>
      <c r="E20196" t="s">
        <v>42667</v>
      </c>
    </row>
    <row r="20197" spans="1:5">
      <c r="A20197" t="s">
        <v>6</v>
      </c>
      <c r="B20197" t="s">
        <v>20202</v>
      </c>
      <c r="C20197">
        <f>HYPERLINK("C:\Users\franc\OneDrive\Documentos\MALENTIN KARIME\BANCO CREDITO\FER LORCA en ROSITA (Rosita)\PROTOCOLIZACION\MEMO Nº 54.doc", "Abrir Documento")</f>
        <v>0</v>
      </c>
      <c r="D20197" t="s">
        <v>23500</v>
      </c>
      <c r="E20197" t="s">
        <v>42668</v>
      </c>
    </row>
    <row r="20198" spans="1:5">
      <c r="A20198" t="s">
        <v>6</v>
      </c>
      <c r="B20198" t="s">
        <v>20203</v>
      </c>
      <c r="C20198">
        <f>HYPERLINK("C:\Users\franc\OneDrive\Documentos\MALENTIN KARIME\BANCO CREDITO\FER LORCA en ROSITA (Rosita)\PROTOCOLIZACION\MARIO AGUILERA.- ABRIL 2011.doc", "Abrir Documento")</f>
        <v>0</v>
      </c>
      <c r="D20198" t="s">
        <v>23500</v>
      </c>
      <c r="E20198" t="s">
        <v>42669</v>
      </c>
    </row>
    <row r="20199" spans="1:5">
      <c r="A20199" t="s">
        <v>6</v>
      </c>
      <c r="B20199" t="s">
        <v>20204</v>
      </c>
      <c r="C20199">
        <f>HYPERLINK("C:\Users\franc\OneDrive\Documentos\MALENTIN KARIME\BANCO CREDITO\FER LORCA en ROSITA (Rosita)\PROTOCOLIZACION\MARIA MOYA MARQUEZ. PROP. PUBLICA.doc", "Abrir Documento")</f>
        <v>0</v>
      </c>
      <c r="D20199" t="s">
        <v>23500</v>
      </c>
      <c r="E20199" t="s">
        <v>42670</v>
      </c>
    </row>
    <row r="20200" spans="1:5">
      <c r="A20200" t="s">
        <v>6</v>
      </c>
      <c r="B20200" t="s">
        <v>20205</v>
      </c>
      <c r="C20200">
        <f>HYPERLINK("C:\Users\franc\OneDrive\Documentos\MALENTIN KARIME\BANCO CREDITO\FER LORCA en ROSITA (Rosita)\PROTOCOLIZACION\LAS DAMAS NOVIEMBRE 2009.doc", "Abrir Documento")</f>
        <v>0</v>
      </c>
      <c r="D20200" t="s">
        <v>23500</v>
      </c>
      <c r="E20200" t="s">
        <v>42671</v>
      </c>
    </row>
    <row r="20201" spans="1:5">
      <c r="A20201" t="s">
        <v>6</v>
      </c>
      <c r="B20201" t="s">
        <v>20206</v>
      </c>
      <c r="C20201">
        <f>HYPERLINK("C:\Users\franc\OneDrive\Documentos\MALENTIN KARIME\BANCO CREDITO\FER LORCA en ROSITA (Rosita)\PROTOCOLIZACION\KAREN ALFARO LOPEZ.doc", "Abrir Documento")</f>
        <v>0</v>
      </c>
      <c r="D20201" t="s">
        <v>23500</v>
      </c>
      <c r="E20201" t="s">
        <v>42672</v>
      </c>
    </row>
    <row r="20202" spans="1:5">
      <c r="A20202" t="s">
        <v>6</v>
      </c>
      <c r="B20202" t="s">
        <v>20207</v>
      </c>
      <c r="C20202">
        <f>HYPERLINK("C:\Users\franc\OneDrive\Documentos\MALENTIN KARIME\BANCO CREDITO\FER LORCA en ROSITA (Rosita)\PROTOCOLIZACION\KAREN ALFARO LOPEZ. DEC. JURA. SIMPLE.doc", "Abrir Documento")</f>
        <v>0</v>
      </c>
      <c r="D20202" t="s">
        <v>23500</v>
      </c>
      <c r="E20202" t="s">
        <v>42673</v>
      </c>
    </row>
    <row r="20203" spans="1:5">
      <c r="A20203" t="s">
        <v>6</v>
      </c>
      <c r="B20203" t="s">
        <v>20208</v>
      </c>
      <c r="C20203">
        <f>HYPERLINK("C:\Users\franc\OneDrive\Documentos\MALENTIN KARIME\BANCO CREDITO\FER LORCA en ROSITA (Rosita)\PROTOCOLIZACION\JUNTA DE VECINOS VILLA AGRICOLA II.- AGOSTO 2010.doc", "Abrir Documento")</f>
        <v>0</v>
      </c>
      <c r="D20203" t="s">
        <v>23500</v>
      </c>
      <c r="E20203" t="s">
        <v>42674</v>
      </c>
    </row>
    <row r="20204" spans="1:5">
      <c r="A20204" t="s">
        <v>6</v>
      </c>
      <c r="B20204" t="s">
        <v>20209</v>
      </c>
      <c r="C20204">
        <f>HYPERLINK("C:\Users\franc\OneDrive\Documentos\MALENTIN KARIME\BANCO CREDITO\FER LORCA en ROSITA (Rosita)\PROTOCOLIZACION\JUNTA DE VECINOS PEÑABLANCA.doc", "Abrir Documento")</f>
        <v>0</v>
      </c>
      <c r="D20204" t="s">
        <v>23500</v>
      </c>
      <c r="E20204" t="s">
        <v>42675</v>
      </c>
    </row>
    <row r="20205" spans="1:5">
      <c r="A20205" t="s">
        <v>6</v>
      </c>
      <c r="B20205" t="s">
        <v>20210</v>
      </c>
      <c r="C20205">
        <f>HYPERLINK("C:\Users\franc\OneDrive\Documentos\MALENTIN KARIME\BANCO CREDITO\FER LORCA en ROSITA (Rosita)\PROTOCOLIZACION\JUNTA DE VECINOS EL DURAZNO DE QUILES.- DIC. 2010.doc", "Abrir Documento")</f>
        <v>0</v>
      </c>
      <c r="D20205" t="s">
        <v>23500</v>
      </c>
      <c r="E20205" t="s">
        <v>42676</v>
      </c>
    </row>
    <row r="20206" spans="1:5">
      <c r="A20206" t="s">
        <v>6</v>
      </c>
      <c r="B20206" t="s">
        <v>20211</v>
      </c>
      <c r="C20206">
        <f>HYPERLINK("C:\Users\franc\OneDrive\Documentos\MALENTIN KARIME\BANCO CREDITO\FER LORCA en ROSITA (Rosita)\PROTOCOLIZACION\JUNTA DE VECINOS ALEJANDRO GARCIA PICA.- ABRIL 2011.doc", "Abrir Documento")</f>
        <v>0</v>
      </c>
      <c r="D20206" t="s">
        <v>23500</v>
      </c>
      <c r="E20206" t="s">
        <v>42677</v>
      </c>
    </row>
    <row r="20207" spans="1:5">
      <c r="A20207" t="s">
        <v>6</v>
      </c>
      <c r="B20207" t="s">
        <v>20212</v>
      </c>
      <c r="C20207">
        <f>HYPERLINK("C:\Users\franc\OneDrive\Documentos\MALENTIN KARIME\BANCO CREDITO\FER LORCA en ROSITA (Rosita)\PROTOCOLIZACION\JUAN FRANCISCO SOTO.- ENERO 2011.doc", "Abrir Documento")</f>
        <v>0</v>
      </c>
      <c r="D20207" t="s">
        <v>23500</v>
      </c>
      <c r="E20207" t="s">
        <v>42678</v>
      </c>
    </row>
    <row r="20208" spans="1:5">
      <c r="A20208" t="s">
        <v>6</v>
      </c>
      <c r="B20208" t="s">
        <v>20213</v>
      </c>
      <c r="C20208">
        <f>HYPERLINK("C:\Users\franc\OneDrive\Documentos\MALENTIN KARIME\BANCO CREDITO\FER LORCA en ROSITA (Rosita)\PROTOCOLIZACION\JOSE EGAÑA.- ADOLFO LAY.doc", "Abrir Documento")</f>
        <v>0</v>
      </c>
      <c r="D20208" t="s">
        <v>23500</v>
      </c>
      <c r="E20208" t="s">
        <v>42679</v>
      </c>
    </row>
    <row r="20209" spans="1:5">
      <c r="A20209" t="s">
        <v>6</v>
      </c>
      <c r="B20209" t="s">
        <v>20214</v>
      </c>
      <c r="C20209">
        <f>HYPERLINK("C:\Users\franc\OneDrive\Documentos\MALENTIN KARIME\BANCO CREDITO\FER LORCA en ROSITA (Rosita)\PROTOCOLIZACION\GOTA DE LECHE 92.doc", "Abrir Documento")</f>
        <v>0</v>
      </c>
      <c r="D20209" t="s">
        <v>23500</v>
      </c>
      <c r="E20209" t="s">
        <v>42680</v>
      </c>
    </row>
    <row r="20210" spans="1:5">
      <c r="A20210" t="s">
        <v>6</v>
      </c>
      <c r="B20210" t="s">
        <v>20215</v>
      </c>
      <c r="C20210">
        <f>HYPERLINK("C:\Users\franc\OneDrive\Documentos\MALENTIN KARIME\BANCO CREDITO\FER LORCA en ROSITA (Rosita)\PROTOCOLIZACION\GOTA DE LECHE 91.doc", "Abrir Documento")</f>
        <v>0</v>
      </c>
      <c r="D20210" t="s">
        <v>23500</v>
      </c>
      <c r="E20210" t="s">
        <v>42681</v>
      </c>
    </row>
    <row r="20211" spans="1:5">
      <c r="A20211" t="s">
        <v>6</v>
      </c>
      <c r="B20211" t="s">
        <v>20216</v>
      </c>
      <c r="C20211">
        <f>HYPERLINK("C:\Users\franc\OneDrive\Documentos\MALENTIN KARIME\BANCO CREDITO\FER LORCA en ROSITA (Rosita)\PROTOCOLIZACION\GOTA DE LECHE 91 Cyntia.doc", "Abrir Documento")</f>
        <v>0</v>
      </c>
      <c r="D20211" t="s">
        <v>23500</v>
      </c>
      <c r="E20211" t="s">
        <v>42682</v>
      </c>
    </row>
    <row r="20212" spans="1:5">
      <c r="A20212" t="s">
        <v>6</v>
      </c>
      <c r="B20212" t="s">
        <v>20217</v>
      </c>
      <c r="C20212">
        <f>HYPERLINK("C:\Users\franc\OneDrive\Documentos\MALENTIN KARIME\BANCO CREDITO\FER LORCA en ROSITA (Rosita)\PROTOCOLIZACION\GLENDA EQUILUZ CASTILLO.doc", "Abrir Documento")</f>
        <v>0</v>
      </c>
      <c r="D20212" t="s">
        <v>23500</v>
      </c>
      <c r="E20212" t="s">
        <v>42683</v>
      </c>
    </row>
    <row r="20213" spans="1:5">
      <c r="A20213" t="s">
        <v>6</v>
      </c>
      <c r="B20213" t="s">
        <v>20218</v>
      </c>
      <c r="C20213">
        <f>HYPERLINK("C:\Users\franc\OneDrive\Documentos\MALENTIN KARIME\BANCO CREDITO\FER LORCA en ROSITA (Rosita)\PROTOCOLIZACION\GLENDA EQUILUZ CASTILLO II.doc", "Abrir Documento")</f>
        <v>0</v>
      </c>
      <c r="D20213" t="s">
        <v>23500</v>
      </c>
      <c r="E20213" t="s">
        <v>42684</v>
      </c>
    </row>
    <row r="20214" spans="1:5">
      <c r="A20214" t="s">
        <v>6</v>
      </c>
      <c r="B20214" t="s">
        <v>20219</v>
      </c>
      <c r="C20214">
        <f>HYPERLINK("C:\Users\franc\OneDrive\Documentos\MALENTIN KARIME\BANCO CREDITO\FER LORCA en ROSITA (Rosita)\PROTOCOLIZACION\GILBERTO ARAYA GALVEZ.doc", "Abrir Documento")</f>
        <v>0</v>
      </c>
      <c r="D20214" t="s">
        <v>23500</v>
      </c>
      <c r="E20214" t="s">
        <v>42685</v>
      </c>
    </row>
    <row r="20215" spans="1:5">
      <c r="A20215" t="s">
        <v>6</v>
      </c>
      <c r="B20215" t="s">
        <v>20220</v>
      </c>
      <c r="C20215">
        <f>HYPERLINK("C:\Users\franc\OneDrive\Documentos\MALENTIN KARIME\BANCO CREDITO\FER LORCA en ROSITA (Rosita)\PROTOCOLIZACION\GEORGINA FERNANDEZ.doc", "Abrir Documento")</f>
        <v>0</v>
      </c>
      <c r="D20215" t="s">
        <v>23500</v>
      </c>
      <c r="E20215" t="s">
        <v>42686</v>
      </c>
    </row>
    <row r="20216" spans="1:5">
      <c r="A20216" t="s">
        <v>6</v>
      </c>
      <c r="B20216" t="s">
        <v>20221</v>
      </c>
      <c r="C20216">
        <f>HYPERLINK("C:\Users\franc\OneDrive\Documentos\MALENTIN KARIME\BANCO CREDITO\FER LORCA en ROSITA (Rosita)\PROTOCOLIZACION\FIRMAS.AUT MUNICIP..doc", "Abrir Documento")</f>
        <v>0</v>
      </c>
      <c r="D20216" t="s">
        <v>23500</v>
      </c>
      <c r="E20216" t="s">
        <v>42687</v>
      </c>
    </row>
    <row r="20217" spans="1:5">
      <c r="A20217" t="s">
        <v>6</v>
      </c>
      <c r="B20217" t="s">
        <v>20222</v>
      </c>
      <c r="C20217">
        <f>HYPERLINK("C:\Users\franc\OneDrive\Documentos\MALENTIN KARIME\BANCO CREDITO\FER LORCA en ROSITA (Rosita)\PROTOCOLIZACION\ESC. SOC. Y CULTURAL PRODED.. ABRIL 2010.doc", "Abrir Documento")</f>
        <v>0</v>
      </c>
      <c r="D20217" t="s">
        <v>23500</v>
      </c>
      <c r="E20217" t="s">
        <v>42688</v>
      </c>
    </row>
    <row r="20218" spans="1:5">
      <c r="A20218" t="s">
        <v>6</v>
      </c>
      <c r="B20218" t="s">
        <v>20223</v>
      </c>
      <c r="C20218">
        <f>HYPERLINK("C:\Users\franc\OneDrive\Documentos\MALENTIN KARIME\BANCO CREDITO\FER LORCA en ROSITA (Rosita)\PROTOCOLIZACION\EDUARDO RAMIREZ. JUEZ SUPL. JUZG. GARANTIA.doc", "Abrir Documento")</f>
        <v>0</v>
      </c>
      <c r="D20218" t="s">
        <v>23500</v>
      </c>
      <c r="E20218" t="s">
        <v>42689</v>
      </c>
    </row>
    <row r="20219" spans="1:5">
      <c r="A20219" t="s">
        <v>6</v>
      </c>
      <c r="B20219" t="s">
        <v>20224</v>
      </c>
      <c r="C20219">
        <f>HYPERLINK("C:\Users\franc\OneDrive\Documentos\MALENTIN KARIME\BANCO CREDITO\FER LORCA en ROSITA (Rosita)\PROTOCOLIZACION\DECLARACIONES NOTARIA SERRANO.doc", "Abrir Documento")</f>
        <v>0</v>
      </c>
      <c r="D20219" t="s">
        <v>23500</v>
      </c>
      <c r="E20219" t="s">
        <v>42690</v>
      </c>
    </row>
    <row r="20220" spans="1:5">
      <c r="A20220" t="s">
        <v>6</v>
      </c>
      <c r="B20220" t="s">
        <v>20225</v>
      </c>
      <c r="C20220">
        <f>HYPERLINK("C:\Users\franc\OneDrive\Documentos\MALENTIN KARIME\BANCO CREDITO\FER LORCA en ROSITA (Rosita)\PROTOCOLIZACION\COMUNIDAD QUEBRADA LAS MOLLACAS.doc", "Abrir Documento")</f>
        <v>0</v>
      </c>
      <c r="D20220" t="s">
        <v>23500</v>
      </c>
      <c r="E20220" t="s">
        <v>42691</v>
      </c>
    </row>
    <row r="20221" spans="1:5">
      <c r="A20221" t="s">
        <v>6</v>
      </c>
      <c r="B20221" t="s">
        <v>20226</v>
      </c>
      <c r="C20221">
        <f>HYPERLINK("C:\Users\franc\OneDrive\Documentos\MALENTIN KARIME\BANCO CREDITO\FER LORCA en ROSITA (Rosita)\PROTOCOLIZACION\COMUNIDAD EMPEDRADO LOS HOYOS.doc", "Abrir Documento")</f>
        <v>0</v>
      </c>
      <c r="D20221" t="s">
        <v>23500</v>
      </c>
      <c r="E20221" t="s">
        <v>42692</v>
      </c>
    </row>
    <row r="20222" spans="1:5">
      <c r="A20222" t="s">
        <v>6</v>
      </c>
      <c r="B20222" t="s">
        <v>20227</v>
      </c>
      <c r="C20222">
        <f>HYPERLINK("C:\Users\franc\OneDrive\Documentos\MALENTIN KARIME\BANCO CREDITO\FER LORCA en ROSITA (Rosita)\PROTOCOLIZACION\COMUNIDAD CHACARILLA.doc", "Abrir Documento")</f>
        <v>0</v>
      </c>
      <c r="D20222" t="s">
        <v>23500</v>
      </c>
      <c r="E20222" t="s">
        <v>42693</v>
      </c>
    </row>
    <row r="20223" spans="1:5">
      <c r="A20223" t="s">
        <v>6</v>
      </c>
      <c r="B20223" t="s">
        <v>20228</v>
      </c>
      <c r="C20223">
        <f>HYPERLINK("C:\Users\franc\OneDrive\Documentos\MALENTIN KARIME\BANCO CREDITO\FER LORCA en ROSITA (Rosita)\PROTOCOLIZACION\COMUNIDAD AGRICOLA ORURO.doc", "Abrir Documento")</f>
        <v>0</v>
      </c>
      <c r="D20223" t="s">
        <v>23500</v>
      </c>
      <c r="E20223" t="s">
        <v>42694</v>
      </c>
    </row>
    <row r="20224" spans="1:5">
      <c r="A20224" t="s">
        <v>6</v>
      </c>
      <c r="B20224" t="s">
        <v>20229</v>
      </c>
      <c r="C20224">
        <f>HYPERLINK("C:\Users\franc\OneDrive\Documentos\MALENTIN KARIME\BANCO CREDITO\FER LORCA en ROSITA (Rosita)\PROTOCOLIZACION\COMUNIDAD AGRICOLA LA VERDIONA.doc", "Abrir Documento")</f>
        <v>0</v>
      </c>
      <c r="D20224" t="s">
        <v>23500</v>
      </c>
      <c r="E20224" t="s">
        <v>42695</v>
      </c>
    </row>
    <row r="20225" spans="1:5">
      <c r="A20225" t="s">
        <v>6</v>
      </c>
      <c r="B20225" t="s">
        <v>20230</v>
      </c>
      <c r="C20225">
        <f>HYPERLINK("C:\Users\franc\OneDrive\Documentos\MALENTIN KARIME\BANCO CREDITO\FER LORCA en ROSITA (Rosita)\PROTOCOLIZACION\COMUNIDAD AGRICOLA BUENOS AIRES DE PUNILLA.doc", "Abrir Documento")</f>
        <v>0</v>
      </c>
      <c r="D20225" t="s">
        <v>23500</v>
      </c>
      <c r="E20225" t="s">
        <v>42696</v>
      </c>
    </row>
    <row r="20226" spans="1:5">
      <c r="A20226" t="s">
        <v>6</v>
      </c>
      <c r="B20226" t="s">
        <v>20231</v>
      </c>
      <c r="C20226">
        <f>HYPERLINK("C:\Users\franc\OneDrive\Documentos\MALENTIN KARIME\BANCO CREDITO\FER LORCA en ROSITA (Rosita)\PROTOCOLIZACION\COMUNIDAD AGRIC. HIGUERITAS UNIDAS.doc", "Abrir Documento")</f>
        <v>0</v>
      </c>
      <c r="D20226" t="s">
        <v>23500</v>
      </c>
      <c r="E20226" t="s">
        <v>42697</v>
      </c>
    </row>
    <row r="20227" spans="1:5">
      <c r="A20227" t="s">
        <v>6</v>
      </c>
      <c r="B20227" t="s">
        <v>20232</v>
      </c>
      <c r="C20227">
        <f>HYPERLINK("C:\Users\franc\OneDrive\Documentos\MALENTIN KARIME\BANCO CREDITO\FER LORCA en ROSITA (Rosita)\PROTOCOLIZACION\COMUNIDAD AGRIC. EL TOME.doc", "Abrir Documento")</f>
        <v>0</v>
      </c>
      <c r="D20227" t="s">
        <v>23500</v>
      </c>
      <c r="E20227" t="s">
        <v>42698</v>
      </c>
    </row>
    <row r="20228" spans="1:5">
      <c r="A20228" t="s">
        <v>6</v>
      </c>
      <c r="B20228" t="s">
        <v>20233</v>
      </c>
      <c r="C20228">
        <f>HYPERLINK("C:\Users\franc\OneDrive\Documentos\MALENTIN KARIME\BANCO CREDITO\FER LORCA en ROSITA (Rosita)\PROTOCOLIZACION\COMUNIDAD AGRIC. EL TOME.- DICIEMBRE.doc", "Abrir Documento")</f>
        <v>0</v>
      </c>
      <c r="D20228" t="s">
        <v>23500</v>
      </c>
      <c r="E20228" t="s">
        <v>42699</v>
      </c>
    </row>
    <row r="20229" spans="1:5">
      <c r="A20229" t="s">
        <v>6</v>
      </c>
      <c r="B20229" t="s">
        <v>20234</v>
      </c>
      <c r="C20229">
        <f>HYPERLINK("C:\Users\franc\OneDrive\Documentos\MALENTIN KARIME\BANCO CREDITO\FER LORCA en ROSITA (Rosita)\PROTOCOLIZACION\COMUNIDAD AGRIC. EL POTRERO DE HUATULAME.doc", "Abrir Documento")</f>
        <v>0</v>
      </c>
      <c r="D20229" t="s">
        <v>23500</v>
      </c>
      <c r="E20229" t="s">
        <v>42700</v>
      </c>
    </row>
    <row r="20230" spans="1:5">
      <c r="A20230" t="s">
        <v>6</v>
      </c>
      <c r="B20230" t="s">
        <v>20235</v>
      </c>
      <c r="C20230">
        <f>HYPERLINK("C:\Users\franc\OneDrive\Documentos\MALENTIN KARIME\BANCO CREDITO\FER LORCA en ROSITA (Rosita)\PROTOCOLIZACION\COMUNIDAD AGRIC EL ALTAR.doc", "Abrir Documento")</f>
        <v>0</v>
      </c>
      <c r="D20230" t="s">
        <v>23500</v>
      </c>
      <c r="E20230" t="s">
        <v>42701</v>
      </c>
    </row>
    <row r="20231" spans="1:5">
      <c r="A20231" t="s">
        <v>6</v>
      </c>
      <c r="B20231" t="s">
        <v>20236</v>
      </c>
      <c r="C20231">
        <f>HYPERLINK("C:\Users\franc\OneDrive\Documentos\MALENTIN KARIME\BANCO CREDITO\FER LORCA en ROSITA (Rosita)\PROTOCOLIZACION\COMUNI.AGRIC.INCA PICHASCA.doc", "Abrir Documento")</f>
        <v>0</v>
      </c>
      <c r="D20231" t="s">
        <v>23500</v>
      </c>
      <c r="E20231" t="s">
        <v>42702</v>
      </c>
    </row>
    <row r="20232" spans="1:5">
      <c r="A20232" t="s">
        <v>6</v>
      </c>
      <c r="B20232" t="s">
        <v>20237</v>
      </c>
      <c r="C20232">
        <f>HYPERLINK("C:\Users\franc\OneDrive\Documentos\MALENTIN KARIME\BANCO CREDITO\FER LORCA en ROSITA (Rosita)\PROTOCOLIZACION\COMUNI.AGRIC.INCA PICHASCA II.-.doc", "Abrir Documento")</f>
        <v>0</v>
      </c>
      <c r="D20232" t="s">
        <v>23500</v>
      </c>
      <c r="E20232" t="s">
        <v>42703</v>
      </c>
    </row>
    <row r="20233" spans="1:5">
      <c r="A20233" t="s">
        <v>6</v>
      </c>
      <c r="B20233" t="s">
        <v>20238</v>
      </c>
      <c r="C20233">
        <f>HYPERLINK("C:\Users\franc\OneDrive\Documentos\MALENTIN KARIME\BANCO CREDITO\FER LORCA en ROSITA (Rosita)\PROTOCOLIZACION\COMITE PRO CASA SANTA ELENA. SEPT. 2010.doc", "Abrir Documento")</f>
        <v>0</v>
      </c>
      <c r="D20233" t="s">
        <v>23500</v>
      </c>
      <c r="E20233" t="s">
        <v>42704</v>
      </c>
    </row>
    <row r="20234" spans="1:5">
      <c r="A20234" t="s">
        <v>6</v>
      </c>
      <c r="B20234" t="s">
        <v>20239</v>
      </c>
      <c r="C20234">
        <f>HYPERLINK("C:\Users\franc\OneDrive\Documentos\MALENTIN KARIME\BANCO CREDITO\FER LORCA en ROSITA (Rosita)\PROTOCOLIZACION\COMITE PRO CASA EBENEZER.- NOVIEMBREÇ.doc", "Abrir Documento")</f>
        <v>0</v>
      </c>
      <c r="D20234" t="s">
        <v>23500</v>
      </c>
      <c r="E20234" t="s">
        <v>42705</v>
      </c>
    </row>
    <row r="20235" spans="1:5">
      <c r="A20235" t="s">
        <v>6</v>
      </c>
      <c r="B20235" t="s">
        <v>20240</v>
      </c>
      <c r="C20235">
        <f>HYPERLINK("C:\Users\franc\OneDrive\Documentos\MALENTIN KARIME\BANCO CREDITO\FER LORCA en ROSITA (Rosita)\PROTOCOLIZACION\COMITE PRO - AGUA BARRAZA ALTO.doc", "Abrir Documento")</f>
        <v>0</v>
      </c>
      <c r="D20235" t="s">
        <v>23500</v>
      </c>
      <c r="E20235" t="s">
        <v>42706</v>
      </c>
    </row>
    <row r="20236" spans="1:5">
      <c r="A20236" t="s">
        <v>6</v>
      </c>
      <c r="B20236" t="s">
        <v>20241</v>
      </c>
      <c r="C20236">
        <f>HYPERLINK("C:\Users\franc\OneDrive\Documentos\MALENTIN KARIME\BANCO CREDITO\FER LORCA en ROSITA (Rosita)\PROTOCOLIZACION\COMITE EL PERAL.doc", "Abrir Documento")</f>
        <v>0</v>
      </c>
      <c r="D20236" t="s">
        <v>23500</v>
      </c>
      <c r="E20236" t="s">
        <v>42707</v>
      </c>
    </row>
    <row r="20237" spans="1:5">
      <c r="A20237" t="s">
        <v>6</v>
      </c>
      <c r="B20237" t="s">
        <v>20242</v>
      </c>
      <c r="C20237">
        <f>HYPERLINK("C:\Users\franc\OneDrive\Documentos\MALENTIN KARIME\BANCO CREDITO\FER LORCA en ROSITA (Rosita)\PROTOCOLIZACION\COMITE EL MIRADOR EL PERAL.- TULAHUEN.doc", "Abrir Documento")</f>
        <v>0</v>
      </c>
      <c r="D20237" t="s">
        <v>23500</v>
      </c>
      <c r="E20237" t="s">
        <v>42708</v>
      </c>
    </row>
    <row r="20238" spans="1:5">
      <c r="A20238" t="s">
        <v>6</v>
      </c>
      <c r="B20238" t="s">
        <v>20243</v>
      </c>
      <c r="C20238">
        <f>HYPERLINK("C:\Users\franc\OneDrive\Documentos\MALENTIN KARIME\BANCO CREDITO\FER LORCA en ROSITA (Rosita)\PROTOCOLIZACION\COMITE EBENEZER.- GONZALEZ DEL RIO.doc", "Abrir Documento")</f>
        <v>0</v>
      </c>
      <c r="D20238" t="s">
        <v>23500</v>
      </c>
      <c r="E20238" t="s">
        <v>42709</v>
      </c>
    </row>
    <row r="20239" spans="1:5">
      <c r="A20239" t="s">
        <v>6</v>
      </c>
      <c r="B20239" t="s">
        <v>20244</v>
      </c>
      <c r="C20239">
        <f>HYPERLINK("C:\Users\franc\OneDrive\Documentos\MALENTIN KARIME\BANCO CREDITO\FER LORCA en ROSITA (Rosita)\PROTOCOLIZACION\COMERCIANTES MAYORISTAS FERIA MODELO.doc", "Abrir Documento")</f>
        <v>0</v>
      </c>
      <c r="D20239" t="s">
        <v>23500</v>
      </c>
      <c r="E20239" t="s">
        <v>42710</v>
      </c>
    </row>
    <row r="20240" spans="1:5">
      <c r="A20240" t="s">
        <v>6</v>
      </c>
      <c r="B20240" t="s">
        <v>20245</v>
      </c>
      <c r="C20240">
        <f>HYPERLINK("C:\Users\franc\OneDrive\Documentos\MALENTIN KARIME\BANCO CREDITO\FER LORCA en ROSITA (Rosita)\PROTOCOLIZACION\COM. PIEDRA LISA.doc", "Abrir Documento")</f>
        <v>0</v>
      </c>
      <c r="D20240" t="s">
        <v>23500</v>
      </c>
      <c r="E20240" t="s">
        <v>42711</v>
      </c>
    </row>
    <row r="20241" spans="1:5">
      <c r="A20241" t="s">
        <v>6</v>
      </c>
      <c r="B20241" t="s">
        <v>20246</v>
      </c>
      <c r="C20241">
        <f>HYPERLINK("C:\Users\franc\OneDrive\Documentos\MALENTIN KARIME\BANCO CREDITO\FER LORCA en ROSITA (Rosita)\PROTOCOLIZACION\COM. PIEDRA LISA II.doc", "Abrir Documento")</f>
        <v>0</v>
      </c>
      <c r="D20241" t="s">
        <v>23500</v>
      </c>
      <c r="E20241" t="s">
        <v>42712</v>
      </c>
    </row>
    <row r="20242" spans="1:5">
      <c r="A20242" t="s">
        <v>6</v>
      </c>
      <c r="B20242" t="s">
        <v>20247</v>
      </c>
      <c r="C20242">
        <f>HYPERLINK("C:\Users\franc\OneDrive\Documentos\MALENTIN KARIME\BANCO CREDITO\FER LORCA en ROSITA (Rosita)\PROTOCOLIZACION\COM. LOS MOSOS.doc", "Abrir Documento")</f>
        <v>0</v>
      </c>
      <c r="D20242" t="s">
        <v>23500</v>
      </c>
      <c r="E20242" t="s">
        <v>42713</v>
      </c>
    </row>
    <row r="20243" spans="1:5">
      <c r="A20243" t="s">
        <v>6</v>
      </c>
      <c r="B20243" t="s">
        <v>20248</v>
      </c>
      <c r="C20243">
        <f>HYPERLINK("C:\Users\franc\OneDrive\Documentos\MALENTIN KARIME\BANCO CREDITO\FER LORCA en ROSITA (Rosita)\PROTOCOLIZACION\COM. LOS MAITENES. ELEC. DIRECTIVA.doc", "Abrir Documento")</f>
        <v>0</v>
      </c>
      <c r="D20243" t="s">
        <v>23500</v>
      </c>
      <c r="E20243" t="s">
        <v>42714</v>
      </c>
    </row>
    <row r="20244" spans="1:5">
      <c r="A20244" t="s">
        <v>6</v>
      </c>
      <c r="B20244" t="s">
        <v>20249</v>
      </c>
      <c r="C20244">
        <f>HYPERLINK("C:\Users\franc\OneDrive\Documentos\MALENTIN KARIME\BANCO CREDITO\FER LORCA en ROSITA (Rosita)\PROTOCOLIZACION\COM. LOS MAITENES DE SAMO ALTO.doc", "Abrir Documento")</f>
        <v>0</v>
      </c>
      <c r="D20244" t="s">
        <v>23500</v>
      </c>
      <c r="E20244" t="s">
        <v>42715</v>
      </c>
    </row>
    <row r="20245" spans="1:5">
      <c r="A20245" t="s">
        <v>6</v>
      </c>
      <c r="B20245" t="s">
        <v>20250</v>
      </c>
      <c r="C20245">
        <f>HYPERLINK("C:\Users\franc\OneDrive\Documentos\MALENTIN KARIME\BANCO CREDITO\FER LORCA en ROSITA (Rosita)\PROTOCOLIZACION\COM. FERNDO. ALVAREZ LOS CANELOS.doc", "Abrir Documento")</f>
        <v>0</v>
      </c>
      <c r="D20245" t="s">
        <v>23500</v>
      </c>
      <c r="E20245" t="s">
        <v>42716</v>
      </c>
    </row>
    <row r="20246" spans="1:5">
      <c r="A20246" t="s">
        <v>6</v>
      </c>
      <c r="B20246" t="s">
        <v>20251</v>
      </c>
      <c r="C20246">
        <f>HYPERLINK("C:\Users\franc\OneDrive\Documentos\MALENTIN KARIME\BANCO CREDITO\FER LORCA en ROSITA (Rosita)\PROTOCOLIZACION\COM. estancia carrizal y laguna de seron.doc", "Abrir Documento")</f>
        <v>0</v>
      </c>
      <c r="D20246" t="s">
        <v>23500</v>
      </c>
      <c r="E20246" t="s">
        <v>42717</v>
      </c>
    </row>
    <row r="20247" spans="1:5">
      <c r="A20247" t="s">
        <v>6</v>
      </c>
      <c r="B20247" t="s">
        <v>20252</v>
      </c>
      <c r="C20247">
        <f>HYPERLINK("C:\Users\franc\OneDrive\Documentos\MALENTIN KARIME\BANCO CREDITO\FER LORCA en ROSITA (Rosita)\PROTOCOLIZACION\COM. EL ESPINAL.doc", "Abrir Documento")</f>
        <v>0</v>
      </c>
      <c r="D20247" t="s">
        <v>23500</v>
      </c>
      <c r="E20247" t="s">
        <v>42718</v>
      </c>
    </row>
    <row r="20248" spans="1:5">
      <c r="A20248" t="s">
        <v>6</v>
      </c>
      <c r="B20248" t="s">
        <v>20253</v>
      </c>
      <c r="C20248">
        <f>HYPERLINK("C:\Users\franc\OneDrive\Documentos\MALENTIN KARIME\BANCO CREDITO\FER LORCA en ROSITA (Rosita)\PROTOCOLIZACION\COM. EDIFICIO NUEVIO CENTRO.doc", "Abrir Documento")</f>
        <v>0</v>
      </c>
      <c r="D20248" t="s">
        <v>23500</v>
      </c>
      <c r="E20248" t="s">
        <v>42719</v>
      </c>
    </row>
    <row r="20249" spans="1:5">
      <c r="A20249" t="s">
        <v>6</v>
      </c>
      <c r="B20249" t="s">
        <v>20254</v>
      </c>
      <c r="C20249">
        <f>HYPERLINK("C:\Users\franc\OneDrive\Documentos\MALENTIN KARIME\BANCO CREDITO\FER LORCA en ROSITA (Rosita)\PROTOCOLIZACION\COM. AGUAS NUEVO FUTURO.doc", "Abrir Documento")</f>
        <v>0</v>
      </c>
      <c r="D20249" t="s">
        <v>23500</v>
      </c>
      <c r="E20249" t="s">
        <v>42720</v>
      </c>
    </row>
    <row r="20250" spans="1:5">
      <c r="A20250" t="s">
        <v>6</v>
      </c>
      <c r="B20250" t="s">
        <v>20255</v>
      </c>
      <c r="C20250">
        <f>HYPERLINK("C:\Users\franc\OneDrive\Documentos\MALENTIN KARIME\BANCO CREDITO\FER LORCA en ROSITA (Rosita)\PROTOCOLIZACION\COM. AGUAS NUEVO FUTURO.-17 MARZO 09.doc", "Abrir Documento")</f>
        <v>0</v>
      </c>
      <c r="D20250" t="s">
        <v>23500</v>
      </c>
      <c r="E20250" t="s">
        <v>42721</v>
      </c>
    </row>
    <row r="20251" spans="1:5">
      <c r="A20251" t="s">
        <v>6</v>
      </c>
      <c r="B20251" t="s">
        <v>20256</v>
      </c>
      <c r="C20251">
        <f>HYPERLINK("C:\Users\franc\OneDrive\Documentos\MALENTIN KARIME\BANCO CREDITO\FER LORCA en ROSITA (Rosita)\PROTOCOLIZACION\COM. AGUAS HIGUERITAS UNIDAS.doc", "Abrir Documento")</f>
        <v>0</v>
      </c>
      <c r="D20251" t="s">
        <v>23500</v>
      </c>
      <c r="E20251" t="s">
        <v>42722</v>
      </c>
    </row>
    <row r="20252" spans="1:5">
      <c r="A20252" t="s">
        <v>6</v>
      </c>
      <c r="B20252" t="s">
        <v>20257</v>
      </c>
      <c r="C20252">
        <f>HYPERLINK("C:\Users\franc\OneDrive\Documentos\MALENTIN KARIME\BANCO CREDITO\FER LORCA en ROSITA (Rosita)\PROTOCOLIZACION\COM. AGUAS HIGUERITAS UNIDAS.- 2.doc", "Abrir Documento")</f>
        <v>0</v>
      </c>
      <c r="D20252" t="s">
        <v>23500</v>
      </c>
      <c r="E20252" t="s">
        <v>42723</v>
      </c>
    </row>
    <row r="20253" spans="1:5">
      <c r="A20253" t="s">
        <v>6</v>
      </c>
      <c r="B20253" t="s">
        <v>20258</v>
      </c>
      <c r="C20253">
        <f>HYPERLINK("C:\Users\franc\OneDrive\Documentos\MALENTIN KARIME\BANCO CREDITO\FER LORCA en ROSITA (Rosita)\PROTOCOLIZACION\COM. AGUAS CANAL SAN JULIAN.doc", "Abrir Documento")</f>
        <v>0</v>
      </c>
      <c r="D20253" t="s">
        <v>23500</v>
      </c>
      <c r="E20253" t="s">
        <v>42724</v>
      </c>
    </row>
    <row r="20254" spans="1:5">
      <c r="A20254" t="s">
        <v>6</v>
      </c>
      <c r="B20254" t="s">
        <v>20259</v>
      </c>
      <c r="C20254">
        <f>HYPERLINK("C:\Users\franc\OneDrive\Documentos\MALENTIN KARIME\BANCO CREDITO\FER LORCA en ROSITA (Rosita)\PROTOCOLIZACION\COM. AGUAS CANAL ROJO.doc", "Abrir Documento")</f>
        <v>0</v>
      </c>
      <c r="D20254" t="s">
        <v>23500</v>
      </c>
      <c r="E20254" t="s">
        <v>42725</v>
      </c>
    </row>
    <row r="20255" spans="1:5">
      <c r="A20255" t="s">
        <v>6</v>
      </c>
      <c r="B20255" t="s">
        <v>20260</v>
      </c>
      <c r="C20255">
        <f>HYPERLINK("C:\Users\franc\OneDrive\Documentos\MALENTIN KARIME\BANCO CREDITO\FER LORCA en ROSITA (Rosita)\PROTOCOLIZACION\COM. AGUAS CANAL ISLONES.- NOVIEMBRE.doc", "Abrir Documento")</f>
        <v>0</v>
      </c>
      <c r="D20255" t="s">
        <v>23500</v>
      </c>
      <c r="E20255" t="s">
        <v>42726</v>
      </c>
    </row>
    <row r="20256" spans="1:5">
      <c r="A20256" t="s">
        <v>6</v>
      </c>
      <c r="B20256" t="s">
        <v>20261</v>
      </c>
      <c r="C20256">
        <f>HYPERLINK("C:\Users\franc\OneDrive\Documentos\MALENTIN KARIME\BANCO CREDITO\FER LORCA en ROSITA (Rosita)\PROTOCOLIZACION\COM. AGUA POTABLE. SERON.doc", "Abrir Documento")</f>
        <v>0</v>
      </c>
      <c r="D20256" t="s">
        <v>23500</v>
      </c>
      <c r="E20256" t="s">
        <v>42727</v>
      </c>
    </row>
    <row r="20257" spans="1:5">
      <c r="A20257" t="s">
        <v>6</v>
      </c>
      <c r="B20257" t="s">
        <v>20262</v>
      </c>
      <c r="C20257">
        <f>HYPERLINK("C:\Users\franc\OneDrive\Documentos\MALENTIN KARIME\BANCO CREDITO\FER LORCA en ROSITA (Rosita)\PROTOCOLIZACION\COM. AGUA POTABLE. CAREN.doc", "Abrir Documento")</f>
        <v>0</v>
      </c>
      <c r="D20257" t="s">
        <v>23500</v>
      </c>
      <c r="E20257" t="s">
        <v>42728</v>
      </c>
    </row>
    <row r="20258" spans="1:5">
      <c r="A20258" t="s">
        <v>6</v>
      </c>
      <c r="B20258" t="s">
        <v>20263</v>
      </c>
      <c r="C20258">
        <f>HYPERLINK("C:\Users\franc\OneDrive\Documentos\MALENTIN KARIME\BANCO CREDITO\FER LORCA en ROSITA (Rosita)\PROTOCOLIZACION\COM. AGUA POTABLE. CAREN.- II.doc", "Abrir Documento")</f>
        <v>0</v>
      </c>
      <c r="D20258" t="s">
        <v>23500</v>
      </c>
      <c r="E20258" t="s">
        <v>42729</v>
      </c>
    </row>
    <row r="20259" spans="1:5">
      <c r="A20259" t="s">
        <v>6</v>
      </c>
      <c r="B20259" t="s">
        <v>20264</v>
      </c>
      <c r="C20259">
        <f>HYPERLINK("C:\Users\franc\OneDrive\Documentos\MALENTIN KARIME\BANCO CREDITO\FER LORCA en ROSITA (Rosita)\PROTOCOLIZACION\COM. AGUA POT. LA HIGUERA DE PUNITAQUI.doc", "Abrir Documento")</f>
        <v>0</v>
      </c>
      <c r="D20259" t="s">
        <v>23500</v>
      </c>
      <c r="E20259" t="s">
        <v>42730</v>
      </c>
    </row>
    <row r="20260" spans="1:5">
      <c r="A20260" t="s">
        <v>6</v>
      </c>
      <c r="B20260" t="s">
        <v>20265</v>
      </c>
      <c r="C20260">
        <f>HYPERLINK("C:\Users\franc\OneDrive\Documentos\MALENTIN KARIME\BANCO CREDITO\FER LORCA en ROSITA (Rosita)\PROTOCOLIZACION\COM. AGUA POT. LA HIGUERA DE PUNITAQUI.- 2.doc", "Abrir Documento")</f>
        <v>0</v>
      </c>
      <c r="D20260" t="s">
        <v>23500</v>
      </c>
      <c r="E20260" t="s">
        <v>42731</v>
      </c>
    </row>
    <row r="20261" spans="1:5">
      <c r="A20261" t="s">
        <v>6</v>
      </c>
      <c r="B20261" t="s">
        <v>20266</v>
      </c>
      <c r="C20261">
        <f>HYPERLINK("C:\Users\franc\OneDrive\Documentos\MALENTIN KARIME\BANCO CREDITO\FER LORCA en ROSITA (Rosita)\PROTOCOLIZACION\COM. AGRIC. EL ROMERAL. RIO HURTADO.doc", "Abrir Documento")</f>
        <v>0</v>
      </c>
      <c r="D20261" t="s">
        <v>23500</v>
      </c>
      <c r="E20261" t="s">
        <v>42732</v>
      </c>
    </row>
    <row r="20262" spans="1:5">
      <c r="A20262" t="s">
        <v>6</v>
      </c>
      <c r="B20262" t="s">
        <v>20267</v>
      </c>
      <c r="C20262">
        <f>HYPERLINK("C:\Users\franc\OneDrive\Documentos\MALENTIN KARIME\BANCO CREDITO\FER LORCA en ROSITA (Rosita)\PROTOCOLIZACION\COM. AGRIC. DAHIN Y CORTADERILLA.doc", "Abrir Documento")</f>
        <v>0</v>
      </c>
      <c r="D20262" t="s">
        <v>23500</v>
      </c>
      <c r="E20262" t="s">
        <v>42733</v>
      </c>
    </row>
    <row r="20263" spans="1:5">
      <c r="A20263" t="s">
        <v>6</v>
      </c>
      <c r="B20263" t="s">
        <v>20268</v>
      </c>
      <c r="C20263">
        <f>HYPERLINK("C:\Users\franc\OneDrive\Documentos\MALENTIN KARIME\BANCO CREDITO\FER LORCA en ROSITA (Rosita)\PROTOCOLIZACION\COM AGRIC. CERRO GIGANTE.doc", "Abrir Documento")</f>
        <v>0</v>
      </c>
      <c r="D20263" t="s">
        <v>23500</v>
      </c>
      <c r="E20263" t="s">
        <v>42734</v>
      </c>
    </row>
    <row r="20264" spans="1:5">
      <c r="A20264" t="s">
        <v>6</v>
      </c>
      <c r="B20264" t="s">
        <v>20269</v>
      </c>
      <c r="C20264">
        <f>HYPERLINK("C:\Users\franc\OneDrive\Documentos\MALENTIN KARIME\BANCO CREDITO\FER LORCA en ROSITA (Rosita)\PROTOCOLIZACION\CLUB DEP. LOS CANELOS.doc", "Abrir Documento")</f>
        <v>0</v>
      </c>
      <c r="D20264" t="s">
        <v>23500</v>
      </c>
      <c r="E20264" t="s">
        <v>42735</v>
      </c>
    </row>
    <row r="20265" spans="1:5">
      <c r="A20265" t="s">
        <v>6</v>
      </c>
      <c r="B20265" t="s">
        <v>20270</v>
      </c>
      <c r="C20265">
        <f>HYPERLINK("C:\Users\franc\OneDrive\Documentos\MALENTIN KARIME\BANCO CREDITO\FER LORCA en ROSITA (Rosita)\PROTOCOLIZACION\CLUB DEP. ESCUELA BELGICA.doc", "Abrir Documento")</f>
        <v>0</v>
      </c>
      <c r="D20265" t="s">
        <v>23500</v>
      </c>
      <c r="E20265" t="s">
        <v>42736</v>
      </c>
    </row>
    <row r="20266" spans="1:5">
      <c r="A20266" t="s">
        <v>6</v>
      </c>
      <c r="B20266" t="s">
        <v>20271</v>
      </c>
      <c r="C20266">
        <f>HYPERLINK("C:\Users\franc\OneDrive\Documentos\MALENTIN KARIME\BANCO CREDITO\FER LORCA en ROSITA (Rosita)\PROTOCOLIZACION\CLUB DE LEONES.doc", "Abrir Documento")</f>
        <v>0</v>
      </c>
      <c r="D20266" t="s">
        <v>23500</v>
      </c>
      <c r="E20266" t="s">
        <v>42737</v>
      </c>
    </row>
    <row r="20267" spans="1:5">
      <c r="A20267" t="s">
        <v>6</v>
      </c>
      <c r="B20267" t="s">
        <v>20272</v>
      </c>
      <c r="C20267">
        <f>HYPERLINK("C:\Users\franc\OneDrive\Documentos\MALENTIN KARIME\BANCO CREDITO\FER LORCA en ROSITA (Rosita)\PROTOCOLIZACION\CLUB ADULTO MAYOR .- ABRIL 2011.doc", "Abrir Documento")</f>
        <v>0</v>
      </c>
      <c r="D20267" t="s">
        <v>23500</v>
      </c>
      <c r="E20267" t="s">
        <v>42738</v>
      </c>
    </row>
    <row r="20268" spans="1:5">
      <c r="A20268" t="s">
        <v>6</v>
      </c>
      <c r="B20268" t="s">
        <v>20273</v>
      </c>
      <c r="C20268">
        <f>HYPERLINK("C:\Users\franc\OneDrive\Documentos\MALENTIN KARIME\BANCO CREDITO\FER LORCA en ROSITA (Rosita)\PROTOCOLIZACION\CLAUDIO MARCHANT.......doc", "Abrir Documento")</f>
        <v>0</v>
      </c>
      <c r="D20268" t="s">
        <v>23500</v>
      </c>
      <c r="E20268" t="s">
        <v>42739</v>
      </c>
    </row>
    <row r="20269" spans="1:5">
      <c r="A20269" t="s">
        <v>6</v>
      </c>
      <c r="B20269" t="s">
        <v>20274</v>
      </c>
      <c r="C20269">
        <f>HYPERLINK("C:\Users\franc\OneDrive\Documentos\MALENTIN KARIME\BANCO CREDITO\FER LORCA en ROSITA (Rosita)\PROTOCOLIZACION\CIRC. SUBOFICIALES CARABINEROS EN RETIRO.doc", "Abrir Documento")</f>
        <v>0</v>
      </c>
      <c r="D20269" t="s">
        <v>23500</v>
      </c>
      <c r="E20269" t="s">
        <v>42740</v>
      </c>
    </row>
    <row r="20270" spans="1:5">
      <c r="A20270" t="s">
        <v>6</v>
      </c>
      <c r="B20270" t="s">
        <v>20275</v>
      </c>
      <c r="C20270">
        <f>HYPERLINK("C:\Users\franc\OneDrive\Documentos\MALENTIN KARIME\BANCO CREDITO\FER LORCA en ROSITA (Rosita)\PROTOCOLIZACION\CIRC. SUBOFICIALES CARABINEROS EN RETIRO.- MARZO 2010.- LUIS REGODECEVES.doc", "Abrir Documento")</f>
        <v>0</v>
      </c>
      <c r="D20270" t="s">
        <v>23500</v>
      </c>
      <c r="E20270" t="s">
        <v>42741</v>
      </c>
    </row>
    <row r="20271" spans="1:5">
      <c r="A20271" t="s">
        <v>6</v>
      </c>
      <c r="B20271" t="s">
        <v>20276</v>
      </c>
      <c r="C20271">
        <f>HYPERLINK("C:\Users\franc\OneDrive\Documentos\MALENTIN KARIME\BANCO CREDITO\FER LORCA en ROSITA (Rosita)\PROTOCOLIZACION\CENRTO DE PADRES EL DIVISADERO.doc", "Abrir Documento")</f>
        <v>0</v>
      </c>
      <c r="D20271" t="s">
        <v>23500</v>
      </c>
      <c r="E20271" t="s">
        <v>42742</v>
      </c>
    </row>
    <row r="20272" spans="1:5">
      <c r="A20272" t="s">
        <v>6</v>
      </c>
      <c r="B20272" t="s">
        <v>20277</v>
      </c>
      <c r="C20272">
        <f>HYPERLINK("C:\Users\franc\OneDrive\Documentos\MALENTIN KARIME\BANCO CREDITO\FER LORCA en ROSITA (Rosita)\PROTOCOLIZACION\C. BOMBEROS DE EL PALQUI.doc", "Abrir Documento")</f>
        <v>0</v>
      </c>
      <c r="D20272" t="s">
        <v>23500</v>
      </c>
      <c r="E20272" t="s">
        <v>42743</v>
      </c>
    </row>
    <row r="20273" spans="1:5">
      <c r="A20273" t="s">
        <v>6</v>
      </c>
      <c r="B20273" t="s">
        <v>20278</v>
      </c>
      <c r="C20273">
        <f>HYPERLINK("C:\Users\franc\OneDrive\Documentos\MALENTIN KARIME\BANCO CREDITO\FER LORCA en ROSITA (Rosita)\PROTOCOLIZACION\BOMBEROS 7º COMPAÑIA OVALLE.doc", "Abrir Documento")</f>
        <v>0</v>
      </c>
      <c r="D20273" t="s">
        <v>23500</v>
      </c>
      <c r="E20273" t="s">
        <v>42744</v>
      </c>
    </row>
    <row r="20274" spans="1:5">
      <c r="A20274" t="s">
        <v>6</v>
      </c>
      <c r="B20274" t="s">
        <v>20279</v>
      </c>
      <c r="C20274">
        <f>HYPERLINK("C:\Users\franc\OneDrive\Documentos\MALENTIN KARIME\BANCO CREDITO\FER LORCA en ROSITA (Rosita)\PROTOCOLIZACION\BOMBEROS 4º COMPAÑIA OVALLE.doc", "Abrir Documento")</f>
        <v>0</v>
      </c>
      <c r="D20274" t="s">
        <v>23500</v>
      </c>
      <c r="E20274" t="s">
        <v>42745</v>
      </c>
    </row>
    <row r="20275" spans="1:5">
      <c r="A20275" t="s">
        <v>6</v>
      </c>
      <c r="B20275" t="s">
        <v>20280</v>
      </c>
      <c r="C20275">
        <f>HYPERLINK("C:\Users\franc\OneDrive\Documentos\MALENTIN KARIME\BANCO CREDITO\FER LORCA en ROSITA (Rosita)\PROTOCOLIZACION\BOMBEROS 3º COMPAÑIA OVALLE.doc", "Abrir Documento")</f>
        <v>0</v>
      </c>
      <c r="D20275" t="s">
        <v>23500</v>
      </c>
      <c r="E20275" t="s">
        <v>42746</v>
      </c>
    </row>
    <row r="20276" spans="1:5">
      <c r="A20276" t="s">
        <v>6</v>
      </c>
      <c r="B20276" t="s">
        <v>20281</v>
      </c>
      <c r="C20276">
        <f>HYPERLINK("C:\Users\franc\OneDrive\Documentos\MALENTIN KARIME\BANCO CREDITO\FER LORCA en ROSITA (Rosita)\PROTOCOLIZACION\BOMBEROS 1º COMPAÑIA OVALLE.doc", "Abrir Documento")</f>
        <v>0</v>
      </c>
      <c r="D20276" t="s">
        <v>23500</v>
      </c>
      <c r="E20276" t="s">
        <v>42747</v>
      </c>
    </row>
    <row r="20277" spans="1:5">
      <c r="A20277" t="s">
        <v>6</v>
      </c>
      <c r="B20277" t="s">
        <v>20282</v>
      </c>
      <c r="C20277">
        <f>HYPERLINK("C:\Users\franc\OneDrive\Documentos\MALENTIN KARIME\BANCO CREDITO\FER LORCA en ROSITA (Rosita)\PROTOCOLIZACION\BENJAMIN SANCHEZ - VIÑA CONCHA Y TORO.doc", "Abrir Documento")</f>
        <v>0</v>
      </c>
      <c r="D20277" t="s">
        <v>23500</v>
      </c>
      <c r="E20277" t="s">
        <v>42748</v>
      </c>
    </row>
    <row r="20278" spans="1:5">
      <c r="A20278" t="s">
        <v>6</v>
      </c>
      <c r="B20278" t="s">
        <v>20283</v>
      </c>
      <c r="C20278">
        <f>HYPERLINK("C:\Users\franc\OneDrive\Documentos\MALENTIN KARIME\BANCO CREDITO\FER LORCA en ROSITA (Rosita)\PROTOCOLIZACION\BASILIO AGUIRRE (LIQUIDACION FINAL).doc", "Abrir Documento")</f>
        <v>0</v>
      </c>
      <c r="D20278" t="s">
        <v>23500</v>
      </c>
      <c r="E20278" t="s">
        <v>42749</v>
      </c>
    </row>
    <row r="20279" spans="1:5">
      <c r="A20279" t="s">
        <v>6</v>
      </c>
      <c r="B20279" t="s">
        <v>20284</v>
      </c>
      <c r="C20279">
        <f>HYPERLINK("C:\Users\franc\OneDrive\Documentos\MALENTIN KARIME\BANCO CREDITO\FER LORCA en ROSITA (Rosita)\PROTOCOLIZACION\AUTORIZA LIBRO PARA COPIAS.doc", "Abrir Documento")</f>
        <v>0</v>
      </c>
      <c r="D20279" t="s">
        <v>23500</v>
      </c>
      <c r="E20279" t="s">
        <v>42750</v>
      </c>
    </row>
    <row r="20280" spans="1:5">
      <c r="A20280" t="s">
        <v>6</v>
      </c>
      <c r="B20280" t="s">
        <v>20285</v>
      </c>
      <c r="C20280">
        <f>HYPERLINK("C:\Users\franc\OneDrive\Documentos\MALENTIN KARIME\BANCO CREDITO\FER LORCA en ROSITA (Rosita)\PROTOCOLIZACION\AUTORIZA LIBRO PARA COPIAS..doc", "Abrir Documento")</f>
        <v>0</v>
      </c>
      <c r="D20280" t="s">
        <v>23500</v>
      </c>
      <c r="E20280" t="s">
        <v>42751</v>
      </c>
    </row>
    <row r="20281" spans="1:5">
      <c r="A20281" t="s">
        <v>6</v>
      </c>
      <c r="B20281" t="s">
        <v>20286</v>
      </c>
      <c r="C20281">
        <f>HYPERLINK("C:\Users\franc\OneDrive\Documentos\MALENTIN KARIME\BANCO CREDITO\FER LORCA en ROSITA (Rosita)\PROTOCOLIZACION\AUTORIZA LIBRO PARA COPIAS.-.doc", "Abrir Documento")</f>
        <v>0</v>
      </c>
      <c r="D20281" t="s">
        <v>23500</v>
      </c>
      <c r="E20281" t="s">
        <v>42752</v>
      </c>
    </row>
    <row r="20282" spans="1:5">
      <c r="A20282" t="s">
        <v>6</v>
      </c>
      <c r="B20282" t="s">
        <v>20287</v>
      </c>
      <c r="C20282">
        <f>HYPERLINK("C:\Users\franc\OneDrive\Documentos\MALENTIN KARIME\BANCO CREDITO\FER LORCA en ROSITA (Rosita)\PROTOCOLIZACION\AUTORIZA LIBRO PARA COPIAS.- HORIZONTAL.doc", "Abrir Documento")</f>
        <v>0</v>
      </c>
      <c r="D20282" t="s">
        <v>23500</v>
      </c>
      <c r="E20282" t="s">
        <v>42753</v>
      </c>
    </row>
    <row r="20283" spans="1:5">
      <c r="A20283" t="s">
        <v>6</v>
      </c>
      <c r="B20283" t="s">
        <v>20288</v>
      </c>
      <c r="C20283">
        <f>HYPERLINK("C:\Users\franc\OneDrive\Documentos\MALENTIN KARIME\BANCO CREDITO\FER LORCA en ROSITA (Rosita)\PROTOCOLIZACION\AUTORIZA LIBRO PARA COPIAS.- HORIZONTAL..doc", "Abrir Documento")</f>
        <v>0</v>
      </c>
      <c r="D20283" t="s">
        <v>23500</v>
      </c>
      <c r="E20283" t="s">
        <v>42754</v>
      </c>
    </row>
    <row r="20284" spans="1:5">
      <c r="A20284" t="s">
        <v>6</v>
      </c>
      <c r="B20284" t="s">
        <v>20289</v>
      </c>
      <c r="C20284">
        <f>HYPERLINK("C:\Users\franc\OneDrive\Documentos\MALENTIN KARIME\BANCO CREDITO\FER LORCA en ROSITA (Rosita)\PROTOCOLIZACION\AUTORIZA LIBRO PARA COPIAS.- HORIZONTAL.-.doc", "Abrir Documento")</f>
        <v>0</v>
      </c>
      <c r="D20284" t="s">
        <v>23500</v>
      </c>
      <c r="E20284" t="s">
        <v>42755</v>
      </c>
    </row>
    <row r="20285" spans="1:5">
      <c r="A20285" t="s">
        <v>6</v>
      </c>
      <c r="B20285" t="s">
        <v>20290</v>
      </c>
      <c r="C20285">
        <f>HYPERLINK("C:\Users\franc\OneDrive\Documentos\MALENTIN KARIME\BANCO CREDITO\FER LORCA en ROSITA (Rosita)\PROTOCOLIZACION\ASS.doc", "Abrir Documento")</f>
        <v>0</v>
      </c>
      <c r="D20285" t="s">
        <v>23500</v>
      </c>
      <c r="E20285" t="s">
        <v>42756</v>
      </c>
    </row>
    <row r="20286" spans="1:5">
      <c r="A20286" t="s">
        <v>6</v>
      </c>
      <c r="B20286" t="s">
        <v>20291</v>
      </c>
      <c r="C20286">
        <f>HYPERLINK("C:\Users\franc\OneDrive\Documentos\MALENTIN KARIME\BANCO CREDITO\FER LORCA en ROSITA (Rosita)\PROTOCOLIZACION\ASOC. GREMIAL DE PESCADORES.doc", "Abrir Documento")</f>
        <v>0</v>
      </c>
      <c r="D20286" t="s">
        <v>23500</v>
      </c>
      <c r="E20286" t="s">
        <v>42757</v>
      </c>
    </row>
    <row r="20287" spans="1:5">
      <c r="A20287" t="s">
        <v>6</v>
      </c>
      <c r="B20287" t="s">
        <v>20292</v>
      </c>
      <c r="C20287">
        <f>HYPERLINK("C:\Users\franc\OneDrive\Documentos\MALENTIN KARIME\BANCO CREDITO\FER LORCA en ROSITA (Rosita)\PROTOCOLIZACION\ASOC. CANALISTAS CAREN.doc", "Abrir Documento")</f>
        <v>0</v>
      </c>
      <c r="D20287" t="s">
        <v>23500</v>
      </c>
      <c r="E20287" t="s">
        <v>42758</v>
      </c>
    </row>
    <row r="20288" spans="1:5">
      <c r="A20288" t="s">
        <v>6</v>
      </c>
      <c r="B20288" t="s">
        <v>20293</v>
      </c>
      <c r="C20288">
        <f>HYPERLINK("C:\Users\franc\OneDrive\Documentos\MALENTIN KARIME\BANCO CREDITO\FER LORCA en ROSITA (Rosita)\PROTOCOLIZACION\ARRENDAMIENTO ERASMO CORTES A MARIO RIVERA.doc", "Abrir Documento")</f>
        <v>0</v>
      </c>
      <c r="D20288" t="s">
        <v>23500</v>
      </c>
      <c r="E20288" t="s">
        <v>42759</v>
      </c>
    </row>
    <row r="20289" spans="1:5">
      <c r="A20289" t="s">
        <v>6</v>
      </c>
      <c r="B20289" t="s">
        <v>20294</v>
      </c>
      <c r="C20289">
        <f>HYPERLINK("C:\Users\franc\OneDrive\Documentos\MALENTIN KARIME\BANCO CREDITO\FER LORCA en ROSITA (Rosita)\PROTOCOLIZACION\ANIBAL GONZALO SERRANO DEL SOLAR Dcl. Intereses.doc", "Abrir Documento")</f>
        <v>0</v>
      </c>
      <c r="D20289" t="s">
        <v>23500</v>
      </c>
      <c r="E20289" t="s">
        <v>42760</v>
      </c>
    </row>
    <row r="20290" spans="1:5">
      <c r="A20290" t="s">
        <v>6</v>
      </c>
      <c r="B20290" t="s">
        <v>20295</v>
      </c>
      <c r="C20290">
        <f>HYPERLINK("C:\Users\franc\OneDrive\Documentos\MALENTIN KARIME\BANCO CREDITO\FER LORCA en ROSITA (Rosita)\PROTOCOLIZACION\ANDRES GALVEZ KELLY.doc", "Abrir Documento")</f>
        <v>0</v>
      </c>
      <c r="D20290" t="s">
        <v>23500</v>
      </c>
      <c r="E20290" t="s">
        <v>42761</v>
      </c>
    </row>
    <row r="20291" spans="1:5">
      <c r="A20291" t="s">
        <v>6</v>
      </c>
      <c r="B20291" t="s">
        <v>20296</v>
      </c>
      <c r="C20291">
        <f>HYPERLINK("C:\Users\franc\OneDrive\Documentos\MALENTIN KARIME\BANCO CREDITO\FER LORCA en ROSITA (Rosita)\PROTOCOLIZACION\ALEJANDRA ARAYA F. JUEZ SUPL. FAMILIA.doc", "Abrir Documento")</f>
        <v>0</v>
      </c>
      <c r="D20291" t="s">
        <v>23500</v>
      </c>
      <c r="E20291" t="s">
        <v>42762</v>
      </c>
    </row>
    <row r="20292" spans="1:5">
      <c r="A20292" t="s">
        <v>6</v>
      </c>
      <c r="B20292" t="s">
        <v>20297</v>
      </c>
      <c r="C20292">
        <f>HYPERLINK("C:\Users\franc\OneDrive\Documentos\MALENTIN KARIME\BANCO CREDITO\FER LORCA en ROSITA (Rosita)\PROTOCOLIZACION\AGRUPACION FOLKLORICA AGUAS DEL AJIAL.- AGOSTO 2010.doc", "Abrir Documento")</f>
        <v>0</v>
      </c>
      <c r="D20292" t="s">
        <v>23500</v>
      </c>
      <c r="E20292" t="s">
        <v>42763</v>
      </c>
    </row>
    <row r="20293" spans="1:5">
      <c r="A20293" t="s">
        <v>6</v>
      </c>
      <c r="B20293" t="s">
        <v>20298</v>
      </c>
      <c r="C20293">
        <f>HYPERLINK("C:\Users\franc\OneDrive\Documentos\MALENTIN KARIME\BANCO CREDITO\FER LORCA en ROSITA (Rosita)\PROTOCOLIZACION\ACTA. COM. AGRIC. COLLIGUAY.doc", "Abrir Documento")</f>
        <v>0</v>
      </c>
      <c r="D20293" t="s">
        <v>23500</v>
      </c>
      <c r="E20293" t="s">
        <v>42764</v>
      </c>
    </row>
    <row r="20294" spans="1:5">
      <c r="A20294" t="s">
        <v>6</v>
      </c>
      <c r="B20294" t="s">
        <v>20299</v>
      </c>
      <c r="C20294">
        <f>HYPERLINK("C:\Users\franc\OneDrive\Documentos\MALENTIN KARIME\BANCO CREDITO\FER LORCA en ROSITA (Rosita)\PROTOCOLIZACION\ACTA Nº 38 CLUB DE LEONES.doc", "Abrir Documento")</f>
        <v>0</v>
      </c>
      <c r="D20294" t="s">
        <v>23500</v>
      </c>
      <c r="E20294" t="s">
        <v>42765</v>
      </c>
    </row>
    <row r="20295" spans="1:5">
      <c r="A20295" t="s">
        <v>6</v>
      </c>
      <c r="B20295" t="s">
        <v>20300</v>
      </c>
      <c r="C20295">
        <f>HYPERLINK("C:\Users\franc\OneDrive\Documentos\MALENTIN KARIME\BANCO CREDITO\FER LORCA en ROSITA (Rosita)\PROMESAS PRIVADAS\PROMESA DE COMPRAVENTA RORRO.doc", "Abrir Documento")</f>
        <v>0</v>
      </c>
      <c r="D20295" t="s">
        <v>23500</v>
      </c>
      <c r="E20295" t="s">
        <v>42766</v>
      </c>
    </row>
    <row r="20296" spans="1:5">
      <c r="A20296" t="s">
        <v>6</v>
      </c>
      <c r="B20296" t="s">
        <v>20301</v>
      </c>
      <c r="C20296">
        <f>HYPERLINK("C:\Users\franc\OneDrive\Documentos\MALENTIN KARIME\BANCO CREDITO\FER LORCA en ROSITA (Rosita)\PROMESAS PRIVADAS\alfonso pineda - abril 2010[1] (1).doc", "Abrir Documento")</f>
        <v>0</v>
      </c>
      <c r="D20296" t="s">
        <v>23500</v>
      </c>
      <c r="E20296" t="s">
        <v>42767</v>
      </c>
    </row>
    <row r="20297" spans="1:5">
      <c r="A20297" t="s">
        <v>6</v>
      </c>
      <c r="B20297" t="s">
        <v>20302</v>
      </c>
      <c r="C20297">
        <f>HYPERLINK("C:\Users\franc\OneDrive\Documentos\MALENTIN KARIME\BANCO CREDITO\FER LORCA en ROSITA (Rosita)\PROMESAS\VEHICULOS\ROBERTO VASQUEZ A GLADYS PEÑA(VEHICULO).doc", "Abrir Documento")</f>
        <v>0</v>
      </c>
      <c r="D20297" t="s">
        <v>23500</v>
      </c>
      <c r="E20297" t="s">
        <v>42768</v>
      </c>
    </row>
    <row r="20298" spans="1:5">
      <c r="A20298" t="s">
        <v>6</v>
      </c>
      <c r="B20298" t="s">
        <v>20303</v>
      </c>
      <c r="C20298">
        <f>HYPERLINK("C:\Users\franc\OneDrive\Documentos\MALENTIN KARIME\BANCO CREDITO\FER LORCA en ROSITA (Rosita)\PROMESAS\VEHICULOS\PLACIDO RUBINA A JORGE ANTIVILO.- DIC. 2010.-.doc", "Abrir Documento")</f>
        <v>0</v>
      </c>
      <c r="D20298" t="s">
        <v>23500</v>
      </c>
      <c r="E20298" t="s">
        <v>42769</v>
      </c>
    </row>
    <row r="20299" spans="1:5">
      <c r="A20299" t="s">
        <v>6</v>
      </c>
      <c r="B20299" t="s">
        <v>20304</v>
      </c>
      <c r="C20299">
        <f>HYPERLINK("C:\Users\franc\OneDrive\Documentos\MALENTIN KARIME\BANCO CREDITO\FER LORCA en ROSITA (Rosita)\PROMESAS\VEHICULOS\MODELO.doc", "Abrir Documento")</f>
        <v>0</v>
      </c>
      <c r="D20299" t="s">
        <v>23500</v>
      </c>
      <c r="E20299" t="s">
        <v>42770</v>
      </c>
    </row>
    <row r="20300" spans="1:5">
      <c r="A20300" t="s">
        <v>6</v>
      </c>
      <c r="B20300" t="s">
        <v>20305</v>
      </c>
      <c r="C20300">
        <f>HYPERLINK("C:\Users\franc\OneDrive\Documentos\MALENTIN KARIME\BANCO CREDITO\FER LORCA en ROSITA (Rosita)\PROMESAS\VEHICULOS\MODELO..doc", "Abrir Documento")</f>
        <v>0</v>
      </c>
      <c r="D20300" t="s">
        <v>23500</v>
      </c>
      <c r="E20300" t="s">
        <v>42771</v>
      </c>
    </row>
    <row r="20301" spans="1:5">
      <c r="A20301" t="s">
        <v>6</v>
      </c>
      <c r="B20301" t="s">
        <v>20306</v>
      </c>
      <c r="C20301">
        <f>HYPERLINK("C:\Users\franc\OneDrive\Documentos\MALENTIN KARIME\BANCO CREDITO\FER LORCA en ROSITA (Rosita)\PROMESAS\VEHICULOS\MAYO 2010.doc", "Abrir Documento")</f>
        <v>0</v>
      </c>
      <c r="D20301" t="s">
        <v>23500</v>
      </c>
      <c r="E20301" t="s">
        <v>42772</v>
      </c>
    </row>
    <row r="20302" spans="1:5">
      <c r="A20302" t="s">
        <v>6</v>
      </c>
      <c r="B20302" t="s">
        <v>20307</v>
      </c>
      <c r="C20302">
        <f>HYPERLINK("C:\Users\franc\OneDrive\Documentos\MALENTIN KARIME\BANCO CREDITO\FER LORCA en ROSITA (Rosita)\PROMESAS\VEHICULOS\MARTA ALVAREZ A ORLANDO BUGUEÑO.- AGOSTO 2010.doc", "Abrir Documento")</f>
        <v>0</v>
      </c>
      <c r="D20302" t="s">
        <v>23500</v>
      </c>
      <c r="E20302" t="s">
        <v>42773</v>
      </c>
    </row>
    <row r="20303" spans="1:5">
      <c r="A20303" t="s">
        <v>6</v>
      </c>
      <c r="B20303" t="s">
        <v>20308</v>
      </c>
      <c r="C20303">
        <f>HYPERLINK("C:\Users\franc\OneDrive\Documentos\MALENTIN KARIME\BANCO CREDITO\FER LORCA en ROSITA (Rosita)\PROMESAS\VEHICULOS\LEONARDO FREDES A EDUARDO CODOCEO.doc", "Abrir Documento")</f>
        <v>0</v>
      </c>
      <c r="D20303" t="s">
        <v>23500</v>
      </c>
      <c r="E20303" t="s">
        <v>42774</v>
      </c>
    </row>
    <row r="20304" spans="1:5">
      <c r="A20304" t="s">
        <v>6</v>
      </c>
      <c r="B20304" t="s">
        <v>20309</v>
      </c>
      <c r="C20304">
        <f>HYPERLINK("C:\Users\franc\OneDrive\Documentos\MALENTIN KARIME\BANCO CREDITO\FER LORCA en ROSITA (Rosita)\PROMESAS\VEHICULOS\JUAN SANTELICES.- JULIO 2010.-.doc", "Abrir Documento")</f>
        <v>0</v>
      </c>
      <c r="D20304" t="s">
        <v>23500</v>
      </c>
      <c r="E20304" t="s">
        <v>42775</v>
      </c>
    </row>
    <row r="20305" spans="1:5">
      <c r="A20305" t="s">
        <v>6</v>
      </c>
      <c r="B20305" t="s">
        <v>20310</v>
      </c>
      <c r="C20305">
        <f>HYPERLINK("C:\Users\franc\OneDrive\Documentos\MALENTIN KARIME\BANCO CREDITO\FER LORCA en ROSITA (Rosita)\PROMESAS\VEHICULOS\ANDRES BARRERA A JULIO MALUENDA.- ENERO 2011.doc", "Abrir Documento")</f>
        <v>0</v>
      </c>
      <c r="D20305" t="s">
        <v>23500</v>
      </c>
      <c r="E20305" t="s">
        <v>42776</v>
      </c>
    </row>
    <row r="20306" spans="1:5">
      <c r="A20306" t="s">
        <v>6</v>
      </c>
      <c r="B20306" t="s">
        <v>20311</v>
      </c>
      <c r="C20306">
        <f>HYPERLINK("C:\Users\franc\OneDrive\Documentos\MALENTIN KARIME\BANCO CREDITO\FER LORCA en ROSITA (Rosita)\PROMESAS\VEHICULOS\alfonso pineda - abril 2010[1].doc", "Abrir Documento")</f>
        <v>0</v>
      </c>
      <c r="D20306" t="s">
        <v>23500</v>
      </c>
      <c r="E20306" t="s">
        <v>42777</v>
      </c>
    </row>
    <row r="20307" spans="1:5">
      <c r="A20307" t="s">
        <v>6</v>
      </c>
      <c r="B20307" t="s">
        <v>20312</v>
      </c>
      <c r="C20307">
        <f>HYPERLINK("C:\Users\franc\OneDrive\Documentos\MALENTIN KARIME\BANCO CREDITO\FER LORCA en ROSITA (Rosita)\PROMESAS\VEHICULOS\ALEXIS CORTES A MARIA DIAZ.- SEPT. 2010.-.doc", "Abrir Documento")</f>
        <v>0</v>
      </c>
      <c r="D20307" t="s">
        <v>23500</v>
      </c>
      <c r="E20307" t="s">
        <v>42778</v>
      </c>
    </row>
    <row r="20308" spans="1:5">
      <c r="A20308" t="s">
        <v>6</v>
      </c>
      <c r="B20308" t="s">
        <v>20313</v>
      </c>
      <c r="C20308">
        <f>HYPERLINK("C:\Users\franc\OneDrive\Documentos\MALENTIN KARIME\BANCO CREDITO\FER LORCA en ROSITA (Rosita)\PROMESAS\YARELLA ROJAS.-.doc", "Abrir Documento")</f>
        <v>0</v>
      </c>
      <c r="D20308" t="s">
        <v>23500</v>
      </c>
      <c r="E20308" t="s">
        <v>42779</v>
      </c>
    </row>
    <row r="20309" spans="1:5">
      <c r="A20309" t="s">
        <v>6</v>
      </c>
      <c r="B20309" t="s">
        <v>20314</v>
      </c>
      <c r="C20309">
        <f>HYPERLINK("C:\Users\franc\OneDrive\Documentos\MALENTIN KARIME\BANCO CREDITO\FER LORCA en ROSITA (Rosita)\PROMESAS\PROMESA COMPRAVENTA - MARCELA PEÑA LEDEZMA - Junio.doc", "Abrir Documento")</f>
        <v>0</v>
      </c>
      <c r="D20309" t="s">
        <v>23500</v>
      </c>
      <c r="E20309" t="s">
        <v>42780</v>
      </c>
    </row>
    <row r="20310" spans="1:5">
      <c r="A20310" t="s">
        <v>6</v>
      </c>
      <c r="B20310" t="s">
        <v>20315</v>
      </c>
      <c r="C20310">
        <f>HYPERLINK("C:\Users\franc\OneDrive\Documentos\MALENTIN KARIME\BANCO CREDITO\FER LORCA en ROSITA (Rosita)\PROMESAS\PEDRO VEGA GARCIA A VAN DER BERGH.- DIC. 2010.doc", "Abrir Documento")</f>
        <v>0</v>
      </c>
      <c r="D20310" t="s">
        <v>23500</v>
      </c>
      <c r="E20310" t="s">
        <v>42781</v>
      </c>
    </row>
    <row r="20311" spans="1:5">
      <c r="A20311" t="s">
        <v>6</v>
      </c>
      <c r="B20311" t="s">
        <v>20316</v>
      </c>
      <c r="C20311">
        <f>HYPERLINK("C:\Users\franc\OneDrive\Documentos\MALENTIN KARIME\BANCO CREDITO\FER LORCA en ROSITA (Rosita)\PROMESAS\PEDO PEREZ PEÑA A ARIEL GALLEGUILLOS.- AUT. CONYUGE.doc", "Abrir Documento")</f>
        <v>0</v>
      </c>
      <c r="D20311" t="s">
        <v>23500</v>
      </c>
      <c r="E20311" t="s">
        <v>42782</v>
      </c>
    </row>
    <row r="20312" spans="1:5">
      <c r="A20312" t="s">
        <v>6</v>
      </c>
      <c r="B20312" t="s">
        <v>20317</v>
      </c>
      <c r="C20312">
        <f>HYPERLINK("C:\Users\franc\OneDrive\Documentos\MALENTIN KARIME\BANCO CREDITO\FER LORCA en ROSITA (Rosita)\PROMESAS\PATRICIA GIMENEZ A ELDA OLIVARES.doc", "Abrir Documento")</f>
        <v>0</v>
      </c>
      <c r="D20312" t="s">
        <v>23500</v>
      </c>
      <c r="E20312" t="s">
        <v>42783</v>
      </c>
    </row>
    <row r="20313" spans="1:5">
      <c r="A20313" t="s">
        <v>6</v>
      </c>
      <c r="B20313" t="s">
        <v>20318</v>
      </c>
      <c r="C20313">
        <f>HYPERLINK("C:\Users\franc\OneDrive\Documentos\MALENTIN KARIME\BANCO CREDITO\FER LORCA en ROSITA (Rosita)\PROMESAS\PATRICIA GIMENEZ A ELDA OLIVARES 2.doc", "Abrir Documento")</f>
        <v>0</v>
      </c>
      <c r="D20313" t="s">
        <v>23500</v>
      </c>
      <c r="E20313" t="s">
        <v>42784</v>
      </c>
    </row>
    <row r="20314" spans="1:5">
      <c r="A20314" t="s">
        <v>6</v>
      </c>
      <c r="B20314" t="s">
        <v>20319</v>
      </c>
      <c r="C20314">
        <f>HYPERLINK("C:\Users\franc\OneDrive\Documentos\MALENTIN KARIME\BANCO CREDITO\FER LORCA en ROSITA (Rosita)\PROMESAS\PAGARE A PLAZO.-  MARGARITAÇ.doc", "Abrir Documento")</f>
        <v>0</v>
      </c>
      <c r="D20314" t="s">
        <v>23500</v>
      </c>
      <c r="E20314" t="s">
        <v>42785</v>
      </c>
    </row>
    <row r="20315" spans="1:5">
      <c r="A20315" t="s">
        <v>6</v>
      </c>
      <c r="B20315" t="s">
        <v>20320</v>
      </c>
      <c r="C20315">
        <f>HYPERLINK("C:\Users\franc\OneDrive\Documentos\MALENTIN KARIME\BANCO CREDITO\FER LORCA en ROSITA (Rosita)\PROMESAS\PAGARE A PLAZO.-  ENERO 2011.doc", "Abrir Documento")</f>
        <v>0</v>
      </c>
      <c r="D20315" t="s">
        <v>23500</v>
      </c>
      <c r="E20315" t="s">
        <v>42786</v>
      </c>
    </row>
    <row r="20316" spans="1:5">
      <c r="A20316" t="s">
        <v>6</v>
      </c>
      <c r="B20316" t="s">
        <v>20321</v>
      </c>
      <c r="C20316">
        <f>HYPERLINK("C:\Users\franc\OneDrive\Documentos\MALENTIN KARIME\BANCO CREDITO\FER LORCA en ROSITA (Rosita)\PROMESAS\PAGARE A LA VISTA.doc", "Abrir Documento")</f>
        <v>0</v>
      </c>
      <c r="D20316" t="s">
        <v>23500</v>
      </c>
      <c r="E20316" t="s">
        <v>42787</v>
      </c>
    </row>
    <row r="20317" spans="1:5">
      <c r="A20317" t="s">
        <v>6</v>
      </c>
      <c r="B20317" t="s">
        <v>20322</v>
      </c>
      <c r="C20317">
        <f>HYPERLINK("C:\Users\franc\OneDrive\Documentos\MALENTIN KARIME\BANCO CREDITO\FER LORCA en ROSITA (Rosita)\PROMESAS\PABLO CORTES.- A JAIME ROBLES.- OCTUBRE 2010.-.doc", "Abrir Documento")</f>
        <v>0</v>
      </c>
      <c r="D20317" t="s">
        <v>23500</v>
      </c>
      <c r="E20317" t="s">
        <v>42788</v>
      </c>
    </row>
    <row r="20318" spans="1:5">
      <c r="A20318" t="s">
        <v>6</v>
      </c>
      <c r="B20318" t="s">
        <v>20323</v>
      </c>
      <c r="C20318">
        <f>HYPERLINK("C:\Users\franc\OneDrive\Documentos\MALENTIN KARIME\BANCO CREDITO\FER LORCA en ROSITA (Rosita)\PROMESAS\modelo.doc", "Abrir Documento")</f>
        <v>0</v>
      </c>
      <c r="D20318" t="s">
        <v>23500</v>
      </c>
      <c r="E20318" t="s">
        <v>42789</v>
      </c>
    </row>
    <row r="20319" spans="1:5">
      <c r="A20319" t="s">
        <v>6</v>
      </c>
      <c r="B20319" t="s">
        <v>20324</v>
      </c>
      <c r="C20319">
        <f>HYPERLINK("C:\Users\franc\OneDrive\Documentos\MALENTIN KARIME\BANCO CREDITO\FER LORCA en ROSITA (Rosita)\PROMESAS\MODELO COMPLETO.doc", "Abrir Documento")</f>
        <v>0</v>
      </c>
      <c r="D20319" t="s">
        <v>23500</v>
      </c>
      <c r="E20319" t="s">
        <v>42790</v>
      </c>
    </row>
    <row r="20320" spans="1:5">
      <c r="A20320" t="s">
        <v>6</v>
      </c>
      <c r="B20320" t="s">
        <v>20325</v>
      </c>
      <c r="C20320">
        <f>HYPERLINK("C:\Users\franc\OneDrive\Documentos\MALENTIN KARIME\BANCO CREDITO\FER LORCA en ROSITA (Rosita)\PROMESAS\MIGUEL ACUÑA A CELINDA NUÑEZ (PTE. ALCOHOL).doc", "Abrir Documento")</f>
        <v>0</v>
      </c>
      <c r="D20320" t="s">
        <v>23500</v>
      </c>
      <c r="E20320" t="s">
        <v>42791</v>
      </c>
    </row>
    <row r="20321" spans="1:5">
      <c r="A20321" t="s">
        <v>6</v>
      </c>
      <c r="B20321" t="s">
        <v>20326</v>
      </c>
      <c r="C20321">
        <f>HYPERLINK("C:\Users\franc\OneDrive\Documentos\MALENTIN KARIME\BANCO CREDITO\FER LORCA en ROSITA (Rosita)\PROMESAS\MICCONO MUNIZAGA A ROSA TIRADO.doc", "Abrir Documento")</f>
        <v>0</v>
      </c>
      <c r="D20321" t="s">
        <v>23500</v>
      </c>
      <c r="E20321" t="s">
        <v>42792</v>
      </c>
    </row>
    <row r="20322" spans="1:5">
      <c r="A20322" t="s">
        <v>6</v>
      </c>
      <c r="B20322" t="s">
        <v>20327</v>
      </c>
      <c r="C20322">
        <f>HYPERLINK("C:\Users\franc\OneDrive\Documentos\MALENTIN KARIME\BANCO CREDITO\FER LORCA en ROSITA (Rosita)\PROMESAS\MARIA BARRAZA A CARLOS GODOY. (CASA).doc", "Abrir Documento")</f>
        <v>0</v>
      </c>
      <c r="D20322" t="s">
        <v>23500</v>
      </c>
      <c r="E20322" t="s">
        <v>42793</v>
      </c>
    </row>
    <row r="20323" spans="1:5">
      <c r="A20323" t="s">
        <v>6</v>
      </c>
      <c r="B20323" t="s">
        <v>20328</v>
      </c>
      <c r="C20323">
        <f>HYPERLINK("C:\Users\franc\OneDrive\Documentos\MALENTIN KARIME\BANCO CREDITO\FER LORCA en ROSITA (Rosita)\PROMESAS\MARGARITA ARAYA.doc", "Abrir Documento")</f>
        <v>0</v>
      </c>
      <c r="D20323" t="s">
        <v>23500</v>
      </c>
      <c r="E20323" t="s">
        <v>42794</v>
      </c>
    </row>
    <row r="20324" spans="1:5">
      <c r="A20324" t="s">
        <v>6</v>
      </c>
      <c r="B20324" t="s">
        <v>20329</v>
      </c>
      <c r="C20324">
        <f>HYPERLINK("C:\Users\franc\OneDrive\Documentos\MALENTIN KARIME\BANCO CREDITO\FER LORCA en ROSITA (Rosita)\PROMESAS\IRENE A IDILIO CORTES.doc", "Abrir Documento")</f>
        <v>0</v>
      </c>
      <c r="D20324" t="s">
        <v>23500</v>
      </c>
      <c r="E20324" t="s">
        <v>42795</v>
      </c>
    </row>
    <row r="20325" spans="1:5">
      <c r="A20325" t="s">
        <v>6</v>
      </c>
      <c r="B20325" t="s">
        <v>20330</v>
      </c>
      <c r="C20325">
        <f>HYPERLINK("C:\Users\franc\OneDrive\Documentos\MALENTIN KARIME\BANCO CREDITO\FER LORCA en ROSITA (Rosita)\PROMESAS\ALBERTO MUÑOZ A HERMENEGILDO GARCIA.doc", "Abrir Documento")</f>
        <v>0</v>
      </c>
      <c r="D20325" t="s">
        <v>23500</v>
      </c>
      <c r="E20325" t="s">
        <v>42796</v>
      </c>
    </row>
    <row r="20326" spans="1:5">
      <c r="A20326" t="s">
        <v>6</v>
      </c>
      <c r="B20326" t="s">
        <v>20331</v>
      </c>
      <c r="C20326">
        <f>HYPERLINK("C:\Users\franc\OneDrive\Documentos\MALENTIN KARIME\BANCO CREDITO\FER LORCA en ROSITA (Rosita)\PROHIBICION\ALICIA CUEVAS\DANIEL CAMPUSANO.doc", "Abrir Documento")</f>
        <v>0</v>
      </c>
      <c r="D20326" t="s">
        <v>23500</v>
      </c>
      <c r="E20326" t="s">
        <v>42797</v>
      </c>
    </row>
    <row r="20327" spans="1:5">
      <c r="A20327" t="s">
        <v>6</v>
      </c>
      <c r="B20327" t="s">
        <v>20332</v>
      </c>
      <c r="C20327">
        <f>HYPERLINK("C:\Users\franc\OneDrive\Documentos\MALENTIN KARIME\BANCO CREDITO\FER LORCA en ROSITA (Rosita)\PROHIBICION\PROHIBICION JULIO CARVAJAL AGUILERA.doc", "Abrir Documento")</f>
        <v>0</v>
      </c>
      <c r="D20327" t="s">
        <v>23500</v>
      </c>
      <c r="E20327" t="s">
        <v>42798</v>
      </c>
    </row>
    <row r="20328" spans="1:5">
      <c r="A20328" t="s">
        <v>6</v>
      </c>
      <c r="B20328" t="s">
        <v>20333</v>
      </c>
      <c r="C20328">
        <f>HYPERLINK("C:\Users\franc\OneDrive\Documentos\MALENTIN KARIME\BANCO CREDITO\FER LORCA en ROSITA (Rosita)\PROHIBICION\LEONARDO PUJADO ESCOBAR.doc", "Abrir Documento")</f>
        <v>0</v>
      </c>
      <c r="D20328" t="s">
        <v>23500</v>
      </c>
      <c r="E20328" t="s">
        <v>42799</v>
      </c>
    </row>
    <row r="20329" spans="1:5">
      <c r="A20329" t="s">
        <v>6</v>
      </c>
      <c r="B20329" t="s">
        <v>20334</v>
      </c>
      <c r="C20329">
        <f>HYPERLINK("C:\Users\franc\OneDrive\Documentos\MALENTIN KARIME\BANCO CREDITO\FER LORCA en ROSITA (Rosita)\PROHIBICION\JOSE MERCEDES VALDIVIA.doc", "Abrir Documento")</f>
        <v>0</v>
      </c>
      <c r="D20329" t="s">
        <v>23500</v>
      </c>
      <c r="E20329" t="s">
        <v>42800</v>
      </c>
    </row>
    <row r="20330" spans="1:5">
      <c r="A20330" t="s">
        <v>6</v>
      </c>
      <c r="B20330" t="s">
        <v>20335</v>
      </c>
      <c r="C20330">
        <f>HYPERLINK("C:\Users\franc\OneDrive\Documentos\MALENTIN KARIME\BANCO CREDITO\FER LORCA en ROSITA (Rosita)\PROHIBICION\JIL TAPIA.doc", "Abrir Documento")</f>
        <v>0</v>
      </c>
      <c r="D20330" t="s">
        <v>23500</v>
      </c>
      <c r="E20330" t="s">
        <v>42801</v>
      </c>
    </row>
    <row r="20331" spans="1:5">
      <c r="A20331" t="s">
        <v>6</v>
      </c>
      <c r="B20331" t="s">
        <v>20336</v>
      </c>
      <c r="C20331">
        <f>HYPERLINK("C:\Users\franc\OneDrive\Documentos\MALENTIN KARIME\BANCO CREDITO\FER LORCA en ROSITA (Rosita)\PROHIBICION\GERARDO ROJAS ROJAS.doc", "Abrir Documento")</f>
        <v>0</v>
      </c>
      <c r="D20331" t="s">
        <v>23500</v>
      </c>
      <c r="E20331" t="s">
        <v>42802</v>
      </c>
    </row>
    <row r="20332" spans="1:5">
      <c r="A20332" t="s">
        <v>6</v>
      </c>
      <c r="B20332" t="s">
        <v>20337</v>
      </c>
      <c r="C20332">
        <f>HYPERLINK("C:\Users\franc\OneDrive\Documentos\MALENTIN KARIME\BANCO CREDITO\FER LORCA en ROSITA (Rosita)\PROHIBICION\EVA ALFARO CASTILLO.doc", "Abrir Documento")</f>
        <v>0</v>
      </c>
      <c r="D20332" t="s">
        <v>23500</v>
      </c>
      <c r="E20332" t="s">
        <v>42803</v>
      </c>
    </row>
    <row r="20333" spans="1:5">
      <c r="A20333" t="s">
        <v>6</v>
      </c>
      <c r="B20333" t="s">
        <v>20338</v>
      </c>
      <c r="C20333">
        <f>HYPERLINK("C:\Users\franc\OneDrive\Documentos\MALENTIN KARIME\BANCO CREDITO\FER LORCA en ROSITA (Rosita)\PROHIBICION\DECLARACION NO PARENTESCO.doc", "Abrir Documento")</f>
        <v>0</v>
      </c>
      <c r="D20333" t="s">
        <v>23500</v>
      </c>
      <c r="E20333" t="s">
        <v>42804</v>
      </c>
    </row>
    <row r="20334" spans="1:5">
      <c r="A20334" t="s">
        <v>6</v>
      </c>
      <c r="B20334" t="s">
        <v>20339</v>
      </c>
      <c r="C20334">
        <f>HYPERLINK("C:\Users\franc\OneDrive\Documentos\MALENTIN KARIME\BANCO CREDITO\FER LORCA en ROSITA (Rosita)\PROHIBICION\DECLARACION NO PARENTESCO.- VICTOR .- MABEL.....doc", "Abrir Documento")</f>
        <v>0</v>
      </c>
      <c r="D20334" t="s">
        <v>23500</v>
      </c>
      <c r="E20334" t="s">
        <v>42805</v>
      </c>
    </row>
    <row r="20335" spans="1:5">
      <c r="A20335" t="s">
        <v>6</v>
      </c>
      <c r="B20335" t="s">
        <v>20340</v>
      </c>
      <c r="C20335">
        <f>HYPERLINK("C:\Users\franc\OneDrive\Documentos\MALENTIN KARIME\BANCO CREDITO\FER LORCA en ROSITA (Rosita)\PROHIBICION\CLARA BUGUEÑO.doc", "Abrir Documento")</f>
        <v>0</v>
      </c>
      <c r="D20335" t="s">
        <v>23500</v>
      </c>
      <c r="E20335" t="s">
        <v>42806</v>
      </c>
    </row>
    <row r="20336" spans="1:5">
      <c r="A20336" t="s">
        <v>6</v>
      </c>
      <c r="B20336" t="s">
        <v>20341</v>
      </c>
      <c r="C20336">
        <f>HYPERLINK("C:\Users\franc\OneDrive\Documentos\MALENTIN KARIME\BANCO CREDITO\FER LORCA en ROSITA (Rosita)\PROHIBICION\CAROLINA RODRIGUEZ GUERRERO.- JUNIO 2010.doc", "Abrir Documento")</f>
        <v>0</v>
      </c>
      <c r="D20336" t="s">
        <v>23500</v>
      </c>
      <c r="E20336" t="s">
        <v>42807</v>
      </c>
    </row>
    <row r="20337" spans="1:5">
      <c r="A20337" t="s">
        <v>6</v>
      </c>
      <c r="B20337" t="s">
        <v>20342</v>
      </c>
      <c r="C20337">
        <f>HYPERLINK("C:\Users\franc\OneDrive\Documentos\MALENTIN KARIME\BANCO CREDITO\FER LORCA en ROSITA (Rosita)\PROHIBICION\ANGEL CUSTODIO ESPINOZA.doc", "Abrir Documento")</f>
        <v>0</v>
      </c>
      <c r="D20337" t="s">
        <v>23500</v>
      </c>
      <c r="E20337" t="s">
        <v>42808</v>
      </c>
    </row>
    <row r="20338" spans="1:5">
      <c r="A20338" t="s">
        <v>6</v>
      </c>
      <c r="B20338" t="s">
        <v>20343</v>
      </c>
      <c r="C20338">
        <f>HYPERLINK("C:\Users\franc\OneDrive\Documentos\MALENTIN KARIME\BANCO CREDITO\FER LORCA en ROSITA (Rosita)\PRENDA SIN DESPLAZAMIENTO\HERMAN CARVAJAL A MARCELO ONETTO.doc", "Abrir Documento")</f>
        <v>0</v>
      </c>
      <c r="D20338" t="s">
        <v>23500</v>
      </c>
      <c r="E20338" t="s">
        <v>42809</v>
      </c>
    </row>
    <row r="20339" spans="1:5">
      <c r="A20339" t="s">
        <v>6</v>
      </c>
      <c r="B20339" t="s">
        <v>20344</v>
      </c>
      <c r="C20339">
        <f>HYPERLINK("C:\Users\franc\OneDrive\Documentos\MALENTIN KARIME\BANCO CREDITO\FER LORCA en ROSITA (Rosita)\PRENDA SIN DESPLAZAMIENTO\herman carvajal a marcelo oneto.doc", "Abrir Documento")</f>
        <v>0</v>
      </c>
      <c r="D20339" t="s">
        <v>23500</v>
      </c>
      <c r="E20339" t="s">
        <v>42810</v>
      </c>
    </row>
    <row r="20340" spans="1:5">
      <c r="A20340" t="s">
        <v>6</v>
      </c>
      <c r="B20340" t="s">
        <v>20345</v>
      </c>
      <c r="C20340">
        <f>HYPERLINK("C:\Users\franc\OneDrive\Documentos\MALENTIN KARIME\BANCO CREDITO\FER LORCA en ROSITA (Rosita)\PRENDA\ARKON CON DABED.doc", "Abrir Documento")</f>
        <v>0</v>
      </c>
      <c r="D20340" t="s">
        <v>23500</v>
      </c>
      <c r="E20340" t="s">
        <v>42811</v>
      </c>
    </row>
    <row r="20341" spans="1:5">
      <c r="A20341" t="s">
        <v>6</v>
      </c>
      <c r="B20341" t="s">
        <v>20346</v>
      </c>
      <c r="C20341">
        <f>HYPERLINK("C:\Users\franc\OneDrive\Documentos\MALENTIN KARIME\BANCO CREDITO\FER LORCA en ROSITA (Rosita)\PRENDA\ARKON CON DABED.-.doc", "Abrir Documento")</f>
        <v>0</v>
      </c>
      <c r="D20341" t="s">
        <v>23500</v>
      </c>
      <c r="E20341" t="s">
        <v>42812</v>
      </c>
    </row>
    <row r="20342" spans="1:5">
      <c r="A20342" t="s">
        <v>6</v>
      </c>
      <c r="B20342" t="s">
        <v>20347</v>
      </c>
      <c r="C20342">
        <f>HYPERLINK("C:\Users\franc\OneDrive\Documentos\MALENTIN KARIME\BANCO CREDITO\FER LORCA en ROSITA (Rosita)\PLANILLAS AGUAS\OFICIOS\OFICIO SEPTIEMBRE.doc", "Abrir Documento")</f>
        <v>0</v>
      </c>
      <c r="D20342" t="s">
        <v>23500</v>
      </c>
      <c r="E20342" t="s">
        <v>42813</v>
      </c>
    </row>
    <row r="20343" spans="1:5">
      <c r="A20343" t="s">
        <v>6</v>
      </c>
      <c r="B20343" t="s">
        <v>20348</v>
      </c>
      <c r="C20343">
        <f>HYPERLINK("C:\Users\franc\OneDrive\Documentos\MALENTIN KARIME\BANCO CREDITO\FER LORCA en ROSITA (Rosita)\PLANILLAS AGUAS\OFICIOS\OFICIO SEPT. 2009.doc", "Abrir Documento")</f>
        <v>0</v>
      </c>
      <c r="D20343" t="s">
        <v>23500</v>
      </c>
      <c r="E20343" t="s">
        <v>42814</v>
      </c>
    </row>
    <row r="20344" spans="1:5">
      <c r="A20344" t="s">
        <v>6</v>
      </c>
      <c r="B20344" t="s">
        <v>20349</v>
      </c>
      <c r="C20344">
        <f>HYPERLINK("C:\Users\franc\OneDrive\Documentos\MALENTIN KARIME\BANCO CREDITO\FER LORCA en ROSITA (Rosita)\PLANILLAS AGUAS\OFICIOS\OFICIO OCTUBRE.doc", "Abrir Documento")</f>
        <v>0</v>
      </c>
      <c r="D20344" t="s">
        <v>23500</v>
      </c>
      <c r="E20344" t="s">
        <v>42815</v>
      </c>
    </row>
    <row r="20345" spans="1:5">
      <c r="A20345" t="s">
        <v>6</v>
      </c>
      <c r="B20345" t="s">
        <v>20350</v>
      </c>
      <c r="C20345">
        <f>HYPERLINK("C:\Users\franc\OneDrive\Documentos\MALENTIN KARIME\BANCO CREDITO\FER LORCA en ROSITA (Rosita)\PLANILLAS AGUAS\OFICIOS\OFICIO OCTUBRE 2009.doc", "Abrir Documento")</f>
        <v>0</v>
      </c>
      <c r="D20345" t="s">
        <v>23500</v>
      </c>
      <c r="E20345" t="s">
        <v>42816</v>
      </c>
    </row>
    <row r="20346" spans="1:5">
      <c r="A20346" t="s">
        <v>6</v>
      </c>
      <c r="B20346" t="s">
        <v>20351</v>
      </c>
      <c r="C20346">
        <f>HYPERLINK("C:\Users\franc\OneDrive\Documentos\MALENTIN KARIME\BANCO CREDITO\FER LORCA en ROSITA (Rosita)\PLANILLAS AGUAS\OFICIOS\OFICIO NOVIEMBRE.doc", "Abrir Documento")</f>
        <v>0</v>
      </c>
      <c r="D20346" t="s">
        <v>23500</v>
      </c>
      <c r="E20346" t="s">
        <v>42817</v>
      </c>
    </row>
    <row r="20347" spans="1:5">
      <c r="A20347" t="s">
        <v>6</v>
      </c>
      <c r="B20347" t="s">
        <v>20352</v>
      </c>
      <c r="C20347">
        <f>HYPERLINK("C:\Users\franc\OneDrive\Documentos\MALENTIN KARIME\BANCO CREDITO\FER LORCA en ROSITA (Rosita)\PLANILLAS AGUAS\OFICIOS\OFICIO DICIEMBRE.doc", "Abrir Documento")</f>
        <v>0</v>
      </c>
      <c r="D20347" t="s">
        <v>23500</v>
      </c>
      <c r="E20347" t="s">
        <v>42818</v>
      </c>
    </row>
    <row r="20348" spans="1:5">
      <c r="A20348" t="s">
        <v>6</v>
      </c>
      <c r="B20348" t="s">
        <v>20353</v>
      </c>
      <c r="C20348">
        <f>HYPERLINK("C:\Users\franc\OneDrive\Documentos\MALENTIN KARIME\BANCO CREDITO\FER LORCA en ROSITA (Rosita)\PLANILLAS AGUAS\OFICIOS\OFICIO AGOSTO.doc", "Abrir Documento")</f>
        <v>0</v>
      </c>
      <c r="D20348" t="s">
        <v>23500</v>
      </c>
      <c r="E20348" t="s">
        <v>42819</v>
      </c>
    </row>
    <row r="20349" spans="1:5">
      <c r="A20349" t="s">
        <v>6</v>
      </c>
      <c r="B20349" t="s">
        <v>20354</v>
      </c>
      <c r="C20349">
        <f>HYPERLINK("C:\Users\franc\OneDrive\Documentos\MALENTIN KARIME\BANCO CREDITO\FER LORCA en ROSITA (Rosita)\PLANILLAS AGUAS\OFICIOS\NO HUBO.doc", "Abrir Documento")</f>
        <v>0</v>
      </c>
      <c r="D20349" t="s">
        <v>23500</v>
      </c>
      <c r="E20349" t="s">
        <v>42820</v>
      </c>
    </row>
    <row r="20350" spans="1:5">
      <c r="A20350" t="s">
        <v>6</v>
      </c>
      <c r="B20350" t="s">
        <v>20355</v>
      </c>
      <c r="C20350">
        <f>HYPERLINK("C:\Users\franc\OneDrive\Documentos\MALENTIN KARIME\BANCO CREDITO\FER LORCA en ROSITA (Rosita)\PLANILLAS AGUAS\PLANILLA SEPTIEMBRE.doc", "Abrir Documento")</f>
        <v>0</v>
      </c>
      <c r="D20350" t="s">
        <v>23500</v>
      </c>
      <c r="E20350" t="s">
        <v>42821</v>
      </c>
    </row>
    <row r="20351" spans="1:5">
      <c r="A20351" t="s">
        <v>6</v>
      </c>
      <c r="B20351" t="s">
        <v>20356</v>
      </c>
      <c r="C20351">
        <f>HYPERLINK("C:\Users\franc\OneDrive\Documentos\MALENTIN KARIME\BANCO CREDITO\FER LORCA en ROSITA (Rosita)\PLANILLAS AGUAS\PLANILLA SEPT. 2009.doc", "Abrir Documento")</f>
        <v>0</v>
      </c>
      <c r="D20351" t="s">
        <v>23500</v>
      </c>
      <c r="E20351" t="s">
        <v>42822</v>
      </c>
    </row>
    <row r="20352" spans="1:5">
      <c r="A20352" t="s">
        <v>6</v>
      </c>
      <c r="B20352" t="s">
        <v>20357</v>
      </c>
      <c r="C20352">
        <f>HYPERLINK("C:\Users\franc\OneDrive\Documentos\MALENTIN KARIME\BANCO CREDITO\FER LORCA en ROSITA (Rosita)\PLANILLAS AGUAS\PLANILLA OCTUBRE.doc", "Abrir Documento")</f>
        <v>0</v>
      </c>
      <c r="D20352" t="s">
        <v>23500</v>
      </c>
      <c r="E20352" t="s">
        <v>42823</v>
      </c>
    </row>
    <row r="20353" spans="1:5">
      <c r="A20353" t="s">
        <v>6</v>
      </c>
      <c r="B20353" t="s">
        <v>20358</v>
      </c>
      <c r="C20353">
        <f>HYPERLINK("C:\Users\franc\OneDrive\Documentos\MALENTIN KARIME\BANCO CREDITO\FER LORCA en ROSITA (Rosita)\PLANILLAS AGUAS\PLANILLA OCTUBRE 2009.doc", "Abrir Documento")</f>
        <v>0</v>
      </c>
      <c r="D20353" t="s">
        <v>23500</v>
      </c>
      <c r="E20353" t="s">
        <v>42824</v>
      </c>
    </row>
    <row r="20354" spans="1:5">
      <c r="A20354" t="s">
        <v>6</v>
      </c>
      <c r="B20354" t="s">
        <v>20359</v>
      </c>
      <c r="C20354">
        <f>HYPERLINK("C:\Users\franc\OneDrive\Documentos\MALENTIN KARIME\BANCO CREDITO\FER LORCA en ROSITA (Rosita)\PLANILLAS AGUAS\PLANILLA NOVIEMBRE.doc", "Abrir Documento")</f>
        <v>0</v>
      </c>
      <c r="D20354" t="s">
        <v>23500</v>
      </c>
      <c r="E20354" t="s">
        <v>42825</v>
      </c>
    </row>
    <row r="20355" spans="1:5">
      <c r="A20355" t="s">
        <v>6</v>
      </c>
      <c r="B20355" t="s">
        <v>20360</v>
      </c>
      <c r="C20355">
        <f>HYPERLINK("C:\Users\franc\OneDrive\Documentos\MALENTIN KARIME\BANCO CREDITO\FER LORCA en ROSITA (Rosita)\PLANILLAS AGUAS\PLANILLA JUNIO -2009.doc", "Abrir Documento")</f>
        <v>0</v>
      </c>
      <c r="D20355" t="s">
        <v>23500</v>
      </c>
      <c r="E20355" t="s">
        <v>42826</v>
      </c>
    </row>
    <row r="20356" spans="1:5">
      <c r="A20356" t="s">
        <v>6</v>
      </c>
      <c r="B20356" t="s">
        <v>20361</v>
      </c>
      <c r="C20356">
        <f>HYPERLINK("C:\Users\franc\OneDrive\Documentos\MALENTIN KARIME\BANCO CREDITO\FER LORCA en ROSITA (Rosita)\PLANILLAS AGUAS\PLANILLA JULIO -2009.doc", "Abrir Documento")</f>
        <v>0</v>
      </c>
      <c r="D20356" t="s">
        <v>23500</v>
      </c>
      <c r="E20356" t="s">
        <v>42827</v>
      </c>
    </row>
    <row r="20357" spans="1:5">
      <c r="A20357" t="s">
        <v>6</v>
      </c>
      <c r="B20357" t="s">
        <v>20362</v>
      </c>
      <c r="C20357">
        <f>HYPERLINK("C:\Users\franc\OneDrive\Documentos\MALENTIN KARIME\BANCO CREDITO\FER LORCA en ROSITA (Rosita)\PLANILLAS AGUAS\PLANILLA DIRECCION GENERAL DE AGUAS.doc", "Abrir Documento")</f>
        <v>0</v>
      </c>
      <c r="D20357" t="s">
        <v>23500</v>
      </c>
      <c r="E20357" t="s">
        <v>42828</v>
      </c>
    </row>
    <row r="20358" spans="1:5">
      <c r="A20358" t="s">
        <v>6</v>
      </c>
      <c r="B20358" t="s">
        <v>20363</v>
      </c>
      <c r="C20358">
        <f>HYPERLINK("C:\Users\franc\OneDrive\Documentos\MALENTIN KARIME\BANCO CREDITO\FER LORCA en ROSITA (Rosita)\PLANILLAS AGUAS\PLANILLA DICIEMBRE.doc", "Abrir Documento")</f>
        <v>0</v>
      </c>
      <c r="D20358" t="s">
        <v>23500</v>
      </c>
      <c r="E20358" t="s">
        <v>42829</v>
      </c>
    </row>
    <row r="20359" spans="1:5">
      <c r="A20359" t="s">
        <v>6</v>
      </c>
      <c r="B20359" t="s">
        <v>20364</v>
      </c>
      <c r="C20359">
        <f>HYPERLINK("C:\Users\franc\OneDrive\Documentos\MALENTIN KARIME\BANCO CREDITO\FER LORCA en ROSITA (Rosita)\PLANILLAS AGUAS\PLANILLA AGOSTO 2009.doc", "Abrir Documento")</f>
        <v>0</v>
      </c>
      <c r="D20359" t="s">
        <v>23500</v>
      </c>
      <c r="E20359" t="s">
        <v>42830</v>
      </c>
    </row>
    <row r="20360" spans="1:5">
      <c r="A20360" t="s">
        <v>6</v>
      </c>
      <c r="B20360" t="s">
        <v>20365</v>
      </c>
      <c r="C20360">
        <f>HYPERLINK("C:\Users\franc\OneDrive\Documentos\MALENTIN KARIME\BANCO CREDITO\FER LORCA en ROSITA (Rosita)\PLANILLAS AGUAS\OFICIO MAYO.doc", "Abrir Documento")</f>
        <v>0</v>
      </c>
      <c r="D20360" t="s">
        <v>23500</v>
      </c>
      <c r="E20360" t="s">
        <v>42831</v>
      </c>
    </row>
    <row r="20361" spans="1:5">
      <c r="A20361" t="s">
        <v>6</v>
      </c>
      <c r="B20361" t="s">
        <v>20366</v>
      </c>
      <c r="C20361">
        <f>HYPERLINK("C:\Users\franc\OneDrive\Documentos\MALENTIN KARIME\BANCO CREDITO\FER LORCA en ROSITA (Rosita)\PLANILLAS AGUAS\OFICIO JULIO.doc", "Abrir Documento")</f>
        <v>0</v>
      </c>
      <c r="D20361" t="s">
        <v>23500</v>
      </c>
      <c r="E20361" t="s">
        <v>42832</v>
      </c>
    </row>
    <row r="20362" spans="1:5">
      <c r="A20362" t="s">
        <v>6</v>
      </c>
      <c r="B20362" t="s">
        <v>20367</v>
      </c>
      <c r="C20362">
        <f>HYPERLINK("C:\Users\franc\OneDrive\Documentos\MALENTIN KARIME\BANCO CREDITO\FER LORCA en ROSITA (Rosita)\PLANILLAS AGUAS\OF. SEPT. 2009.doc", "Abrir Documento")</f>
        <v>0</v>
      </c>
      <c r="D20362" t="s">
        <v>23500</v>
      </c>
      <c r="E20362" t="s">
        <v>42833</v>
      </c>
    </row>
    <row r="20363" spans="1:5">
      <c r="A20363" t="s">
        <v>6</v>
      </c>
      <c r="B20363" t="s">
        <v>20368</v>
      </c>
      <c r="C20363">
        <f>HYPERLINK("C:\Users\franc\OneDrive\Documentos\MALENTIN KARIME\BANCO CREDITO\FER LORCA en ROSITA (Rosita)\PET\OCTUBRE\REPETIDAS\JUAN C. TAPIA escritura_resciliada.doc", "Abrir Documento")</f>
        <v>0</v>
      </c>
      <c r="D20363" t="s">
        <v>23500</v>
      </c>
      <c r="E20363" t="s">
        <v>42834</v>
      </c>
    </row>
    <row r="20364" spans="1:5">
      <c r="A20364" t="s">
        <v>6</v>
      </c>
      <c r="B20364" t="s">
        <v>20369</v>
      </c>
      <c r="C20364">
        <f>HYPERLINK("C:\Users\franc\OneDrive\Documentos\MALENTIN KARIME\BANCO CREDITO\FER LORCA en ROSITA (Rosita)\PET\OCTUBRE\CERTIFICADOS\VICENTE GALLARDO OSSANDON.doc", "Abrir Documento")</f>
        <v>0</v>
      </c>
      <c r="D20364" t="s">
        <v>23500</v>
      </c>
      <c r="E20364" t="s">
        <v>42835</v>
      </c>
    </row>
    <row r="20365" spans="1:5">
      <c r="A20365" t="s">
        <v>6</v>
      </c>
      <c r="B20365" t="s">
        <v>20370</v>
      </c>
      <c r="C20365">
        <f>HYPERLINK("C:\Users\franc\OneDrive\Documentos\MALENTIN KARIME\BANCO CREDITO\FER LORCA en ROSITA (Rosita)\PET\OCTUBRE\CERTIFICADOS\SOLANGE BARRAZA MUÑOZ.doc", "Abrir Documento")</f>
        <v>0</v>
      </c>
      <c r="D20365" t="s">
        <v>23500</v>
      </c>
      <c r="E20365" t="s">
        <v>42836</v>
      </c>
    </row>
    <row r="20366" spans="1:5">
      <c r="A20366" t="s">
        <v>6</v>
      </c>
      <c r="B20366" t="s">
        <v>20371</v>
      </c>
      <c r="C20366">
        <f>HYPERLINK("C:\Users\franc\OneDrive\Documentos\MALENTIN KARIME\BANCO CREDITO\FER LORCA en ROSITA (Rosita)\PET\OCTUBRE\CERTIFICADOS\ROSA GONZALEZ SANTIAGO.doc", "Abrir Documento")</f>
        <v>0</v>
      </c>
      <c r="D20366" t="s">
        <v>23500</v>
      </c>
      <c r="E20366" t="s">
        <v>42837</v>
      </c>
    </row>
    <row r="20367" spans="1:5">
      <c r="A20367" t="s">
        <v>6</v>
      </c>
      <c r="B20367" t="s">
        <v>20372</v>
      </c>
      <c r="C20367">
        <f>HYPERLINK("C:\Users\franc\OneDrive\Documentos\MALENTIN KARIME\BANCO CREDITO\FER LORCA en ROSITA (Rosita)\PET\OCTUBRE\CERTIFICADOS\PEDRO ALVAREZ.doc", "Abrir Documento")</f>
        <v>0</v>
      </c>
      <c r="D20367" t="s">
        <v>23500</v>
      </c>
      <c r="E20367" t="s">
        <v>42838</v>
      </c>
    </row>
    <row r="20368" spans="1:5">
      <c r="A20368" t="s">
        <v>6</v>
      </c>
      <c r="B20368" t="s">
        <v>20373</v>
      </c>
      <c r="C20368">
        <f>HYPERLINK("C:\Users\franc\OneDrive\Documentos\MALENTIN KARIME\BANCO CREDITO\FER LORCA en ROSITA (Rosita)\PET\OCTUBRE\CERTIFICADOS\PAOLA GARCIA VALDIVIA.doc", "Abrir Documento")</f>
        <v>0</v>
      </c>
      <c r="D20368" t="s">
        <v>23500</v>
      </c>
      <c r="E20368" t="s">
        <v>42839</v>
      </c>
    </row>
    <row r="20369" spans="1:5">
      <c r="A20369" t="s">
        <v>6</v>
      </c>
      <c r="B20369" t="s">
        <v>20374</v>
      </c>
      <c r="C20369">
        <f>HYPERLINK("C:\Users\franc\OneDrive\Documentos\MALENTIN KARIME\BANCO CREDITO\FER LORCA en ROSITA (Rosita)\PET\OCTUBRE\CERTIFICADOS\ORIETA CHACANA VEGA.doc", "Abrir Documento")</f>
        <v>0</v>
      </c>
      <c r="D20369" t="s">
        <v>23500</v>
      </c>
      <c r="E20369" t="s">
        <v>42840</v>
      </c>
    </row>
    <row r="20370" spans="1:5">
      <c r="A20370" t="s">
        <v>6</v>
      </c>
      <c r="B20370" t="s">
        <v>20375</v>
      </c>
      <c r="C20370">
        <f>HYPERLINK("C:\Users\franc\OneDrive\Documentos\MALENTIN KARIME\BANCO CREDITO\FER LORCA en ROSITA (Rosita)\PET\OCTUBRE\CERTIFICADOS\MARIA CARVAJAL VILLALOBOS.doc", "Abrir Documento")</f>
        <v>0</v>
      </c>
      <c r="D20370" t="s">
        <v>23500</v>
      </c>
      <c r="E20370" t="s">
        <v>42841</v>
      </c>
    </row>
    <row r="20371" spans="1:5">
      <c r="A20371" t="s">
        <v>6</v>
      </c>
      <c r="B20371" t="s">
        <v>20376</v>
      </c>
      <c r="C20371">
        <f>HYPERLINK("C:\Users\franc\OneDrive\Documentos\MALENTIN KARIME\BANCO CREDITO\FER LORCA en ROSITA (Rosita)\PET\OCTUBRE\CERTIFICADOS\LUISA GONZALEZ DIAZ.doc", "Abrir Documento")</f>
        <v>0</v>
      </c>
      <c r="D20371" t="s">
        <v>23500</v>
      </c>
      <c r="E20371" t="s">
        <v>42842</v>
      </c>
    </row>
    <row r="20372" spans="1:5">
      <c r="A20372" t="s">
        <v>6</v>
      </c>
      <c r="B20372" t="s">
        <v>20377</v>
      </c>
      <c r="C20372">
        <f>HYPERLINK("C:\Users\franc\OneDrive\Documentos\MALENTIN KARIME\BANCO CREDITO\FER LORCA en ROSITA (Rosita)\PET\OCTUBRE\CERTIFICADOS\LILIANA VERGARA RAMOS.doc", "Abrir Documento")</f>
        <v>0</v>
      </c>
      <c r="D20372" t="s">
        <v>23500</v>
      </c>
      <c r="E20372" t="s">
        <v>42843</v>
      </c>
    </row>
    <row r="20373" spans="1:5">
      <c r="A20373" t="s">
        <v>6</v>
      </c>
      <c r="B20373" t="s">
        <v>20378</v>
      </c>
      <c r="C20373">
        <f>HYPERLINK("C:\Users\franc\OneDrive\Documentos\MALENTIN KARIME\BANCO CREDITO\FER LORCA en ROSITA (Rosita)\PET\OCTUBRE\CERTIFICADOS\JUAN CARLOS CONCHA GALLARDO.doc", "Abrir Documento")</f>
        <v>0</v>
      </c>
      <c r="D20373" t="s">
        <v>23500</v>
      </c>
      <c r="E20373" t="s">
        <v>42844</v>
      </c>
    </row>
    <row r="20374" spans="1:5">
      <c r="A20374" t="s">
        <v>6</v>
      </c>
      <c r="B20374" t="s">
        <v>20379</v>
      </c>
      <c r="C20374">
        <f>HYPERLINK("C:\Users\franc\OneDrive\Documentos\MALENTIN KARIME\BANCO CREDITO\FER LORCA en ROSITA (Rosita)\PET\OCTUBRE\CERTIFICADOS\JESUS PIZARRO BARRIOS.doc", "Abrir Documento")</f>
        <v>0</v>
      </c>
      <c r="D20374" t="s">
        <v>23500</v>
      </c>
      <c r="E20374" t="s">
        <v>42845</v>
      </c>
    </row>
    <row r="20375" spans="1:5">
      <c r="A20375" t="s">
        <v>6</v>
      </c>
      <c r="B20375" t="s">
        <v>20380</v>
      </c>
      <c r="C20375">
        <f>HYPERLINK("C:\Users\franc\OneDrive\Documentos\MALENTIN KARIME\BANCO CREDITO\FER LORCA en ROSITA (Rosita)\PET\OCTUBRE\CERTIFICADOS\HUGO VARGAS OPORTO.doc", "Abrir Documento")</f>
        <v>0</v>
      </c>
      <c r="D20375" t="s">
        <v>23500</v>
      </c>
      <c r="E20375" t="s">
        <v>42846</v>
      </c>
    </row>
    <row r="20376" spans="1:5">
      <c r="A20376" t="s">
        <v>6</v>
      </c>
      <c r="B20376" t="s">
        <v>20381</v>
      </c>
      <c r="C20376">
        <f>HYPERLINK("C:\Users\franc\OneDrive\Documentos\MALENTIN KARIME\BANCO CREDITO\FER LORCA en ROSITA (Rosita)\PET\OCTUBRE\CERTIFICADOS\HECTO VEGA CHACANA.doc", "Abrir Documento")</f>
        <v>0</v>
      </c>
      <c r="D20376" t="s">
        <v>23500</v>
      </c>
      <c r="E20376" t="s">
        <v>42847</v>
      </c>
    </row>
    <row r="20377" spans="1:5">
      <c r="A20377" t="s">
        <v>6</v>
      </c>
      <c r="B20377" t="s">
        <v>20382</v>
      </c>
      <c r="C20377">
        <f>HYPERLINK("C:\Users\franc\OneDrive\Documentos\MALENTIN KARIME\BANCO CREDITO\FER LORCA en ROSITA (Rosita)\PET\OCTUBRE\CERTIFICADOS\GINO GALLEGUILLOS VELIZ.doc", "Abrir Documento")</f>
        <v>0</v>
      </c>
      <c r="D20377" t="s">
        <v>23500</v>
      </c>
      <c r="E20377" t="s">
        <v>42848</v>
      </c>
    </row>
    <row r="20378" spans="1:5">
      <c r="A20378" t="s">
        <v>6</v>
      </c>
      <c r="B20378" t="s">
        <v>20383</v>
      </c>
      <c r="C20378">
        <f>HYPERLINK("C:\Users\franc\OneDrive\Documentos\MALENTIN KARIME\BANCO CREDITO\FER LORCA en ROSITA (Rosita)\PET\OCTUBRE\CERTIFICADOS\GABRIEL RODRIGUEZ AQUEA.doc", "Abrir Documento")</f>
        <v>0</v>
      </c>
      <c r="D20378" t="s">
        <v>23500</v>
      </c>
      <c r="E20378" t="s">
        <v>42849</v>
      </c>
    </row>
    <row r="20379" spans="1:5">
      <c r="A20379" t="s">
        <v>6</v>
      </c>
      <c r="B20379" t="s">
        <v>20384</v>
      </c>
      <c r="C20379">
        <f>HYPERLINK("C:\Users\franc\OneDrive\Documentos\MALENTIN KARIME\BANCO CREDITO\FER LORCA en ROSITA (Rosita)\PET\OCTUBRE\CERTIFICADOS\CLAUDIA TABILO CERDA.doc", "Abrir Documento")</f>
        <v>0</v>
      </c>
      <c r="D20379" t="s">
        <v>23500</v>
      </c>
      <c r="E20379" t="s">
        <v>42850</v>
      </c>
    </row>
    <row r="20380" spans="1:5">
      <c r="A20380" t="s">
        <v>6</v>
      </c>
      <c r="B20380" t="s">
        <v>20385</v>
      </c>
      <c r="C20380">
        <f>HYPERLINK("C:\Users\franc\OneDrive\Documentos\MALENTIN KARIME\BANCO CREDITO\FER LORCA en ROSITA (Rosita)\PET\OCTUBRE\CERTIFICADOS\CLARA CONTRERAS ARAYA.doc", "Abrir Documento")</f>
        <v>0</v>
      </c>
      <c r="D20380" t="s">
        <v>23500</v>
      </c>
      <c r="E20380" t="s">
        <v>42851</v>
      </c>
    </row>
    <row r="20381" spans="1:5">
      <c r="A20381" t="s">
        <v>6</v>
      </c>
      <c r="B20381" t="s">
        <v>20386</v>
      </c>
      <c r="C20381">
        <f>HYPERLINK("C:\Users\franc\OneDrive\Documentos\MALENTIN KARIME\BANCO CREDITO\FER LORCA en ROSITA (Rosita)\PET\OCTUBRE\CERTIFICADOS\CARLOS TELLO ULLOA.doc", "Abrir Documento")</f>
        <v>0</v>
      </c>
      <c r="D20381" t="s">
        <v>23500</v>
      </c>
      <c r="E20381" t="s">
        <v>42852</v>
      </c>
    </row>
    <row r="20382" spans="1:5">
      <c r="A20382" t="s">
        <v>6</v>
      </c>
      <c r="B20382" t="s">
        <v>20387</v>
      </c>
      <c r="C20382">
        <f>HYPERLINK("C:\Users\franc\OneDrive\Documentos\MALENTIN KARIME\BANCO CREDITO\FER LORCA en ROSITA (Rosita)\PET\OCTUBRE\CARTA\carta_de_renuncia_beneficio_pet_(2)[1].doc", "Abrir Documento")</f>
        <v>0</v>
      </c>
      <c r="D20382" t="s">
        <v>23500</v>
      </c>
      <c r="E20382" t="s">
        <v>42853</v>
      </c>
    </row>
    <row r="20383" spans="1:5">
      <c r="A20383" t="s">
        <v>6</v>
      </c>
      <c r="B20383" t="s">
        <v>20388</v>
      </c>
      <c r="C20383">
        <f>HYPERLINK("C:\Users\franc\OneDrive\Documentos\MALENTIN KARIME\BANCO CREDITO\FER LORCA en ROSITA (Rosita)\PET\OCTUBRE\VICENTE GALARDO OSSANDON.doc", "Abrir Documento")</f>
        <v>0</v>
      </c>
      <c r="D20383" t="s">
        <v>23500</v>
      </c>
      <c r="E20383" t="s">
        <v>42854</v>
      </c>
    </row>
    <row r="20384" spans="1:5">
      <c r="A20384" t="s">
        <v>6</v>
      </c>
      <c r="B20384" t="s">
        <v>20389</v>
      </c>
      <c r="C20384">
        <f>HYPERLINK("C:\Users\franc\OneDrive\Documentos\MALENTIN KARIME\BANCO CREDITO\FER LORCA en ROSITA (Rosita)\PET\OCTUBRE\SOLANGE BARRAZA MUÑOZ.doc", "Abrir Documento")</f>
        <v>0</v>
      </c>
      <c r="D20384" t="s">
        <v>23500</v>
      </c>
      <c r="E20384" t="s">
        <v>42855</v>
      </c>
    </row>
    <row r="20385" spans="1:5">
      <c r="A20385" t="s">
        <v>6</v>
      </c>
      <c r="B20385" t="s">
        <v>20390</v>
      </c>
      <c r="C20385">
        <f>HYPERLINK("C:\Users\franc\OneDrive\Documentos\MALENTIN KARIME\BANCO CREDITO\FER LORCA en ROSITA (Rosita)\PET\OCTUBRE\SIRLE MIRANDA HENRIQUEZ.doc", "Abrir Documento")</f>
        <v>0</v>
      </c>
      <c r="D20385" t="s">
        <v>23500</v>
      </c>
      <c r="E20385" t="s">
        <v>42856</v>
      </c>
    </row>
    <row r="20386" spans="1:5">
      <c r="A20386" t="s">
        <v>6</v>
      </c>
      <c r="B20386" t="s">
        <v>20391</v>
      </c>
      <c r="C20386">
        <f>HYPERLINK("C:\Users\franc\OneDrive\Documentos\MALENTIN KARIME\BANCO CREDITO\FER LORCA en ROSITA (Rosita)\PET\OCTUBRE\ROSA MONDACA SANTIAGO.doc", "Abrir Documento")</f>
        <v>0</v>
      </c>
      <c r="D20386" t="s">
        <v>23500</v>
      </c>
      <c r="E20386" t="s">
        <v>42857</v>
      </c>
    </row>
    <row r="20387" spans="1:5">
      <c r="A20387" t="s">
        <v>6</v>
      </c>
      <c r="B20387" t="s">
        <v>20392</v>
      </c>
      <c r="C20387">
        <f>HYPERLINK("C:\Users\franc\OneDrive\Documentos\MALENTIN KARIME\BANCO CREDITO\FER LORCA en ROSITA (Rosita)\PET\OCTUBRE\PEDRO ALVAREZ RAMOS.doc", "Abrir Documento")</f>
        <v>0</v>
      </c>
      <c r="D20387" t="s">
        <v>23500</v>
      </c>
      <c r="E20387" t="s">
        <v>42858</v>
      </c>
    </row>
    <row r="20388" spans="1:5">
      <c r="A20388" t="s">
        <v>6</v>
      </c>
      <c r="B20388" t="s">
        <v>20393</v>
      </c>
      <c r="C20388">
        <f>HYPERLINK("C:\Users\franc\OneDrive\Documentos\MALENTIN KARIME\BANCO CREDITO\FER LORCA en ROSITA (Rosita)\PET\OCTUBRE\PATRICIO VELIZ ESTAY.doc", "Abrir Documento")</f>
        <v>0</v>
      </c>
      <c r="D20388" t="s">
        <v>23500</v>
      </c>
      <c r="E20388" t="s">
        <v>42859</v>
      </c>
    </row>
    <row r="20389" spans="1:5">
      <c r="A20389" t="s">
        <v>6</v>
      </c>
      <c r="B20389" t="s">
        <v>20394</v>
      </c>
      <c r="C20389">
        <f>HYPERLINK("C:\Users\franc\OneDrive\Documentos\MALENTIN KARIME\BANCO CREDITO\FER LORCA en ROSITA (Rosita)\PET\OCTUBRE\PATRICIA MARTINEZ PIZARRO.doc", "Abrir Documento")</f>
        <v>0</v>
      </c>
      <c r="D20389" t="s">
        <v>23500</v>
      </c>
      <c r="E20389" t="s">
        <v>42860</v>
      </c>
    </row>
    <row r="20390" spans="1:5">
      <c r="A20390" t="s">
        <v>6</v>
      </c>
      <c r="B20390" t="s">
        <v>20395</v>
      </c>
      <c r="C20390">
        <f>HYPERLINK("C:\Users\franc\OneDrive\Documentos\MALENTIN KARIME\BANCO CREDITO\FER LORCA en ROSITA (Rosita)\PET\OCTUBRE\PAOLA GARCIA VALDIVIA.doc", "Abrir Documento")</f>
        <v>0</v>
      </c>
      <c r="D20390" t="s">
        <v>23500</v>
      </c>
      <c r="E20390" t="s">
        <v>42861</v>
      </c>
    </row>
    <row r="20391" spans="1:5">
      <c r="A20391" t="s">
        <v>6</v>
      </c>
      <c r="B20391" t="s">
        <v>20396</v>
      </c>
      <c r="C20391">
        <f>HYPERLINK("C:\Users\franc\OneDrive\Documentos\MALENTIN KARIME\BANCO CREDITO\FER LORCA en ROSITA (Rosita)\PET\OCTUBRE\ORIETA CHACANA VEGA.doc", "Abrir Documento")</f>
        <v>0</v>
      </c>
      <c r="D20391" t="s">
        <v>23500</v>
      </c>
      <c r="E20391" t="s">
        <v>42862</v>
      </c>
    </row>
    <row r="20392" spans="1:5">
      <c r="A20392" t="s">
        <v>6</v>
      </c>
      <c r="B20392" t="s">
        <v>20397</v>
      </c>
      <c r="C20392">
        <f>HYPERLINK("C:\Users\franc\OneDrive\Documentos\MALENTIN KARIME\BANCO CREDITO\FER LORCA en ROSITA (Rosita)\PET\OCTUBRE\MONICA MILLA CORTES.doc", "Abrir Documento")</f>
        <v>0</v>
      </c>
      <c r="D20392" t="s">
        <v>23500</v>
      </c>
      <c r="E20392" t="s">
        <v>42863</v>
      </c>
    </row>
    <row r="20393" spans="1:5">
      <c r="A20393" t="s">
        <v>6</v>
      </c>
      <c r="B20393" t="s">
        <v>20398</v>
      </c>
      <c r="C20393">
        <f>HYPERLINK("C:\Users\franc\OneDrive\Documentos\MALENTIN KARIME\BANCO CREDITO\FER LORCA en ROSITA (Rosita)\PET\OCTUBRE\MARIA GAMBOA BAHAMONDES.doc", "Abrir Documento")</f>
        <v>0</v>
      </c>
      <c r="D20393" t="s">
        <v>23500</v>
      </c>
      <c r="E20393" t="s">
        <v>42864</v>
      </c>
    </row>
    <row r="20394" spans="1:5">
      <c r="A20394" t="s">
        <v>6</v>
      </c>
      <c r="B20394" t="s">
        <v>20399</v>
      </c>
      <c r="C20394">
        <f>HYPERLINK("C:\Users\franc\OneDrive\Documentos\MALENTIN KARIME\BANCO CREDITO\FER LORCA en ROSITA (Rosita)\PET\OCTUBRE\MARIA CONTRERAS VEAS.doc", "Abrir Documento")</f>
        <v>0</v>
      </c>
      <c r="D20394" t="s">
        <v>23500</v>
      </c>
      <c r="E20394" t="s">
        <v>42865</v>
      </c>
    </row>
    <row r="20395" spans="1:5">
      <c r="A20395" t="s">
        <v>6</v>
      </c>
      <c r="B20395" t="s">
        <v>20400</v>
      </c>
      <c r="C20395">
        <f>HYPERLINK("C:\Users\franc\OneDrive\Documentos\MALENTIN KARIME\BANCO CREDITO\FER LORCA en ROSITA (Rosita)\PET\OCTUBRE\MARIA CARVAJAL VILLALOBOS.doc", "Abrir Documento")</f>
        <v>0</v>
      </c>
      <c r="D20395" t="s">
        <v>23500</v>
      </c>
      <c r="E20395" t="s">
        <v>42866</v>
      </c>
    </row>
    <row r="20396" spans="1:5">
      <c r="A20396" t="s">
        <v>6</v>
      </c>
      <c r="B20396" t="s">
        <v>20401</v>
      </c>
      <c r="C20396">
        <f>HYPERLINK("C:\Users\franc\OneDrive\Documentos\MALENTIN KARIME\BANCO CREDITO\FER LORCA en ROSITA (Rosita)\PET\OCTUBRE\LUISA GONZALEZ DIAZ.doc", "Abrir Documento")</f>
        <v>0</v>
      </c>
      <c r="D20396" t="s">
        <v>23500</v>
      </c>
      <c r="E20396" t="s">
        <v>42867</v>
      </c>
    </row>
    <row r="20397" spans="1:5">
      <c r="A20397" t="s">
        <v>6</v>
      </c>
      <c r="B20397" t="s">
        <v>20402</v>
      </c>
      <c r="C20397">
        <f>HYPERLINK("C:\Users\franc\OneDrive\Documentos\MALENTIN KARIME\BANCO CREDITO\FER LORCA en ROSITA (Rosita)\PET\OCTUBRE\LUIS PIZARRO AGUILAR.doc", "Abrir Documento")</f>
        <v>0</v>
      </c>
      <c r="D20397" t="s">
        <v>23500</v>
      </c>
      <c r="E20397" t="s">
        <v>42868</v>
      </c>
    </row>
    <row r="20398" spans="1:5">
      <c r="A20398" t="s">
        <v>6</v>
      </c>
      <c r="B20398" t="s">
        <v>20403</v>
      </c>
      <c r="C20398">
        <f>HYPERLINK("C:\Users\franc\OneDrive\Documentos\MALENTIN KARIME\BANCO CREDITO\FER LORCA en ROSITA (Rosita)\PET\OCTUBRE\LILIANA VERGARA RAMOS.doc", "Abrir Documento")</f>
        <v>0</v>
      </c>
      <c r="D20398" t="s">
        <v>23500</v>
      </c>
      <c r="E20398" t="s">
        <v>42869</v>
      </c>
    </row>
    <row r="20399" spans="1:5">
      <c r="A20399" t="s">
        <v>6</v>
      </c>
      <c r="B20399" t="s">
        <v>20404</v>
      </c>
      <c r="C20399">
        <f>HYPERLINK("C:\Users\franc\OneDrive\Documentos\MALENTIN KARIME\BANCO CREDITO\FER LORCA en ROSITA (Rosita)\PET\OCTUBRE\JUAN CONCHA GALLARDO.doc", "Abrir Documento")</f>
        <v>0</v>
      </c>
      <c r="D20399" t="s">
        <v>23500</v>
      </c>
      <c r="E20399" t="s">
        <v>42870</v>
      </c>
    </row>
    <row r="20400" spans="1:5">
      <c r="A20400" t="s">
        <v>6</v>
      </c>
      <c r="B20400" t="s">
        <v>20405</v>
      </c>
      <c r="C20400">
        <f>HYPERLINK("C:\Users\franc\OneDrive\Documentos\MALENTIN KARIME\BANCO CREDITO\FER LORCA en ROSITA (Rosita)\PET\OCTUBRE\JORGE OLIVARES CORTES.doc", "Abrir Documento")</f>
        <v>0</v>
      </c>
      <c r="D20400" t="s">
        <v>23500</v>
      </c>
      <c r="E20400" t="s">
        <v>42871</v>
      </c>
    </row>
    <row r="20401" spans="1:5">
      <c r="A20401" t="s">
        <v>6</v>
      </c>
      <c r="B20401" t="s">
        <v>20406</v>
      </c>
      <c r="C20401">
        <f>HYPERLINK("C:\Users\franc\OneDrive\Documentos\MALENTIN KARIME\BANCO CREDITO\FER LORCA en ROSITA (Rosita)\PET\OCTUBRE\JESUS PIZARRO BARRIO (28-10).doc", "Abrir Documento")</f>
        <v>0</v>
      </c>
      <c r="D20401" t="s">
        <v>23500</v>
      </c>
      <c r="E20401" t="s">
        <v>42872</v>
      </c>
    </row>
    <row r="20402" spans="1:5">
      <c r="A20402" t="s">
        <v>6</v>
      </c>
      <c r="B20402" t="s">
        <v>20407</v>
      </c>
      <c r="C20402">
        <f>HYPERLINK("C:\Users\franc\OneDrive\Documentos\MALENTIN KARIME\BANCO CREDITO\FER LORCA en ROSITA (Rosita)\PET\OCTUBRE\HUGO VARGAS OPORTO.doc", "Abrir Documento")</f>
        <v>0</v>
      </c>
      <c r="D20402" t="s">
        <v>23500</v>
      </c>
      <c r="E20402" t="s">
        <v>42873</v>
      </c>
    </row>
    <row r="20403" spans="1:5">
      <c r="A20403" t="s">
        <v>6</v>
      </c>
      <c r="B20403" t="s">
        <v>20408</v>
      </c>
      <c r="C20403">
        <f>HYPERLINK("C:\Users\franc\OneDrive\Documentos\MALENTIN KARIME\BANCO CREDITO\FER LORCA en ROSITA (Rosita)\PET\OCTUBRE\HECTOR VEGA CHACANA.doc", "Abrir Documento")</f>
        <v>0</v>
      </c>
      <c r="D20403" t="s">
        <v>23500</v>
      </c>
      <c r="E20403" t="s">
        <v>42874</v>
      </c>
    </row>
    <row r="20404" spans="1:5">
      <c r="A20404" t="s">
        <v>6</v>
      </c>
      <c r="B20404" t="s">
        <v>20409</v>
      </c>
      <c r="C20404">
        <f>HYPERLINK("C:\Users\franc\OneDrive\Documentos\MALENTIN KARIME\BANCO CREDITO\FER LORCA en ROSITA (Rosita)\PET\OCTUBRE\GINO GALLEGUILLOS VELIZ.doc", "Abrir Documento")</f>
        <v>0</v>
      </c>
      <c r="D20404" t="s">
        <v>23500</v>
      </c>
      <c r="E20404" t="s">
        <v>42875</v>
      </c>
    </row>
    <row r="20405" spans="1:5">
      <c r="A20405" t="s">
        <v>6</v>
      </c>
      <c r="B20405" t="s">
        <v>20410</v>
      </c>
      <c r="C20405">
        <f>HYPERLINK("C:\Users\franc\OneDrive\Documentos\MALENTIN KARIME\BANCO CREDITO\FER LORCA en ROSITA (Rosita)\PET\OCTUBRE\GABRIEL RODRIGUEZ AQUEA.doc", "Abrir Documento")</f>
        <v>0</v>
      </c>
      <c r="D20405" t="s">
        <v>23500</v>
      </c>
      <c r="E20405" t="s">
        <v>42876</v>
      </c>
    </row>
    <row r="20406" spans="1:5">
      <c r="A20406" t="s">
        <v>6</v>
      </c>
      <c r="B20406" t="s">
        <v>20411</v>
      </c>
      <c r="C20406">
        <f>HYPERLINK("C:\Users\franc\OneDrive\Documentos\MALENTIN KARIME\BANCO CREDITO\FER LORCA en ROSITA (Rosita)\PET\OCTUBRE\ESTRELLA ARANCIBIA MUÑOZ.doc", "Abrir Documento")</f>
        <v>0</v>
      </c>
      <c r="D20406" t="s">
        <v>23500</v>
      </c>
      <c r="E20406" t="s">
        <v>42877</v>
      </c>
    </row>
    <row r="20407" spans="1:5">
      <c r="A20407" t="s">
        <v>6</v>
      </c>
      <c r="B20407" t="s">
        <v>20412</v>
      </c>
      <c r="C20407">
        <f>HYPERLINK("C:\Users\franc\OneDrive\Documentos\MALENTIN KARIME\BANCO CREDITO\FER LORCA en ROSITA (Rosita)\PET\OCTUBRE\DIONISIA BERNAL VERA.doc", "Abrir Documento")</f>
        <v>0</v>
      </c>
      <c r="D20407" t="s">
        <v>23500</v>
      </c>
      <c r="E20407" t="s">
        <v>42878</v>
      </c>
    </row>
    <row r="20408" spans="1:5">
      <c r="A20408" t="s">
        <v>6</v>
      </c>
      <c r="B20408" t="s">
        <v>20413</v>
      </c>
      <c r="C20408">
        <f>HYPERLINK("C:\Users\franc\OneDrive\Documentos\MALENTIN KARIME\BANCO CREDITO\FER LORCA en ROSITA (Rosita)\PET\OCTUBRE\DIONISIA BERNAL VERA 2.doc", "Abrir Documento")</f>
        <v>0</v>
      </c>
      <c r="D20408" t="s">
        <v>23500</v>
      </c>
      <c r="E20408" t="s">
        <v>42879</v>
      </c>
    </row>
    <row r="20409" spans="1:5">
      <c r="A20409" t="s">
        <v>6</v>
      </c>
      <c r="B20409" t="s">
        <v>20414</v>
      </c>
      <c r="C20409">
        <f>HYPERLINK("C:\Users\franc\OneDrive\Documentos\MALENTIN KARIME\BANCO CREDITO\FER LORCA en ROSITA (Rosita)\PET\OCTUBRE\DIMITILA DIAZ LOPEZ.doc", "Abrir Documento")</f>
        <v>0</v>
      </c>
      <c r="D20409" t="s">
        <v>23500</v>
      </c>
      <c r="E20409" t="s">
        <v>42880</v>
      </c>
    </row>
    <row r="20410" spans="1:5">
      <c r="A20410" t="s">
        <v>6</v>
      </c>
      <c r="B20410" t="s">
        <v>20415</v>
      </c>
      <c r="C20410">
        <f>HYPERLINK("C:\Users\franc\OneDrive\Documentos\MALENTIN KARIME\BANCO CREDITO\FER LORCA en ROSITA (Rosita)\PET\OCTUBRE\CLAUDIA TABILO CERDA.doc", "Abrir Documento")</f>
        <v>0</v>
      </c>
      <c r="D20410" t="s">
        <v>23500</v>
      </c>
      <c r="E20410" t="s">
        <v>42881</v>
      </c>
    </row>
    <row r="20411" spans="1:5">
      <c r="A20411" t="s">
        <v>6</v>
      </c>
      <c r="B20411" t="s">
        <v>20416</v>
      </c>
      <c r="C20411">
        <f>HYPERLINK("C:\Users\franc\OneDrive\Documentos\MALENTIN KARIME\BANCO CREDITO\FER LORCA en ROSITA (Rosita)\PET\OCTUBRE\CLARA CONTRERAS ARAYA.doc", "Abrir Documento")</f>
        <v>0</v>
      </c>
      <c r="D20411" t="s">
        <v>23500</v>
      </c>
      <c r="E20411" t="s">
        <v>42882</v>
      </c>
    </row>
    <row r="20412" spans="1:5">
      <c r="A20412" t="s">
        <v>6</v>
      </c>
      <c r="B20412" t="s">
        <v>20417</v>
      </c>
      <c r="C20412">
        <f>HYPERLINK("C:\Users\franc\OneDrive\Documentos\MALENTIN KARIME\BANCO CREDITO\FER LORCA en ROSITA (Rosita)\PET\OCTUBRE\CESAR DIAZ NAVARRO.doc", "Abrir Documento")</f>
        <v>0</v>
      </c>
      <c r="D20412" t="s">
        <v>23500</v>
      </c>
      <c r="E20412" t="s">
        <v>42883</v>
      </c>
    </row>
    <row r="20413" spans="1:5">
      <c r="A20413" t="s">
        <v>6</v>
      </c>
      <c r="B20413" t="s">
        <v>20418</v>
      </c>
      <c r="C20413">
        <f>HYPERLINK("C:\Users\franc\OneDrive\Documentos\MALENTIN KARIME\BANCO CREDITO\FER LORCA en ROSITA (Rosita)\PET\OCTUBRE\CARMEN DIAZ AGUILERA.doc", "Abrir Documento")</f>
        <v>0</v>
      </c>
      <c r="D20413" t="s">
        <v>23500</v>
      </c>
      <c r="E20413" t="s">
        <v>42884</v>
      </c>
    </row>
    <row r="20414" spans="1:5">
      <c r="A20414" t="s">
        <v>6</v>
      </c>
      <c r="B20414" t="s">
        <v>20419</v>
      </c>
      <c r="C20414">
        <f>HYPERLINK("C:\Users\franc\OneDrive\Documentos\MALENTIN KARIME\BANCO CREDITO\FER LORCA en ROSITA (Rosita)\PET\OCTUBRE\CARLOS TELLO ULLOA.doc", "Abrir Documento")</f>
        <v>0</v>
      </c>
      <c r="D20414" t="s">
        <v>23500</v>
      </c>
      <c r="E20414" t="s">
        <v>42885</v>
      </c>
    </row>
    <row r="20415" spans="1:5">
      <c r="A20415" t="s">
        <v>6</v>
      </c>
      <c r="B20415" t="s">
        <v>20420</v>
      </c>
      <c r="C20415">
        <f>HYPERLINK("C:\Users\franc\OneDrive\Documentos\MALENTIN KARIME\BANCO CREDITO\FER LORCA en ROSITA (Rosita)\PET\OCTUBRE\BENITO ALFARO ALFARO.doc", "Abrir Documento")</f>
        <v>0</v>
      </c>
      <c r="D20415" t="s">
        <v>23500</v>
      </c>
      <c r="E20415" t="s">
        <v>42886</v>
      </c>
    </row>
    <row r="20416" spans="1:5">
      <c r="A20416" t="s">
        <v>6</v>
      </c>
      <c r="B20416" t="s">
        <v>20421</v>
      </c>
      <c r="C20416">
        <f>HYPERLINK("C:\Users\franc\OneDrive\Documentos\MALENTIN KARIME\BANCO CREDITO\FER LORCA en ROSITA (Rosita)\PET\NOVIEMBRE\CERTIFICADOS\FIRMA MANLIO\ROSA VEGA ARAYA.doc", "Abrir Documento")</f>
        <v>0</v>
      </c>
      <c r="D20416" t="s">
        <v>23500</v>
      </c>
      <c r="E20416" t="s">
        <v>42887</v>
      </c>
    </row>
    <row r="20417" spans="1:5">
      <c r="A20417" t="s">
        <v>6</v>
      </c>
      <c r="B20417" t="s">
        <v>20422</v>
      </c>
      <c r="C20417">
        <f>HYPERLINK("C:\Users\franc\OneDrive\Documentos\MALENTIN KARIME\BANCO CREDITO\FER LORCA en ROSITA (Rosita)\PET\NOVIEMBRE\CERTIFICADOS\FIRMA MANLIO\HUGO VARGAS OPORTO.doc", "Abrir Documento")</f>
        <v>0</v>
      </c>
      <c r="D20417" t="s">
        <v>23500</v>
      </c>
      <c r="E20417" t="s">
        <v>42888</v>
      </c>
    </row>
    <row r="20418" spans="1:5">
      <c r="A20418" t="s">
        <v>6</v>
      </c>
      <c r="B20418" t="s">
        <v>20423</v>
      </c>
      <c r="C20418">
        <f>HYPERLINK("C:\Users\franc\OneDrive\Documentos\MALENTIN KARIME\BANCO CREDITO\FER LORCA en ROSITA (Rosita)\PET\NOVIEMBRE\CERTIFICADOS\SILVANA BARRAZA MUÑOZ.doc", "Abrir Documento")</f>
        <v>0</v>
      </c>
      <c r="D20418" t="s">
        <v>23500</v>
      </c>
      <c r="E20418" t="s">
        <v>42889</v>
      </c>
    </row>
    <row r="20419" spans="1:5">
      <c r="A20419" t="s">
        <v>6</v>
      </c>
      <c r="B20419" t="s">
        <v>20424</v>
      </c>
      <c r="C20419">
        <f>HYPERLINK("C:\Users\franc\OneDrive\Documentos\MALENTIN KARIME\BANCO CREDITO\FER LORCA en ROSITA (Rosita)\PET\NOVIEMBRE\CERTIFICADOS\PATRICIO CONTRERAS TORO.doc", "Abrir Documento")</f>
        <v>0</v>
      </c>
      <c r="D20419" t="s">
        <v>23500</v>
      </c>
      <c r="E20419" t="s">
        <v>42890</v>
      </c>
    </row>
    <row r="20420" spans="1:5">
      <c r="A20420" t="s">
        <v>6</v>
      </c>
      <c r="B20420" t="s">
        <v>20425</v>
      </c>
      <c r="C20420">
        <f>HYPERLINK("C:\Users\franc\OneDrive\Documentos\MALENTIN KARIME\BANCO CREDITO\FER LORCA en ROSITA (Rosita)\PET\NOVIEMBRE\CERTIFICADOS\NELLY BUSTAMANTE.doc", "Abrir Documento")</f>
        <v>0</v>
      </c>
      <c r="D20420" t="s">
        <v>23500</v>
      </c>
      <c r="E20420" t="s">
        <v>42891</v>
      </c>
    </row>
    <row r="20421" spans="1:5">
      <c r="A20421" t="s">
        <v>6</v>
      </c>
      <c r="B20421" t="s">
        <v>20426</v>
      </c>
      <c r="C20421">
        <f>HYPERLINK("C:\Users\franc\OneDrive\Documentos\MALENTIN KARIME\BANCO CREDITO\FER LORCA en ROSITA (Rosita)\PET\NOVIEMBRE\CERTIFICADOS\MARIELA PEREZ CHAZARRO.doc", "Abrir Documento")</f>
        <v>0</v>
      </c>
      <c r="D20421" t="s">
        <v>23500</v>
      </c>
      <c r="E20421" t="s">
        <v>42892</v>
      </c>
    </row>
    <row r="20422" spans="1:5">
      <c r="A20422" t="s">
        <v>6</v>
      </c>
      <c r="B20422" t="s">
        <v>20427</v>
      </c>
      <c r="C20422">
        <f>HYPERLINK("C:\Users\franc\OneDrive\Documentos\MALENTIN KARIME\BANCO CREDITO\FER LORCA en ROSITA (Rosita)\PET\NOVIEMBRE\SILVIO DOLL MENESES.doc", "Abrir Documento")</f>
        <v>0</v>
      </c>
      <c r="D20422" t="s">
        <v>23500</v>
      </c>
      <c r="E20422" t="s">
        <v>42893</v>
      </c>
    </row>
    <row r="20423" spans="1:5">
      <c r="A20423" t="s">
        <v>6</v>
      </c>
      <c r="B20423" t="s">
        <v>20428</v>
      </c>
      <c r="C20423">
        <f>HYPERLINK("C:\Users\franc\OneDrive\Documentos\MALENTIN KARIME\BANCO CREDITO\FER LORCA en ROSITA (Rosita)\PET\NOVIEMBRE\SILVANA BARRAZA MUÑOZ.doc", "Abrir Documento")</f>
        <v>0</v>
      </c>
      <c r="D20423" t="s">
        <v>23500</v>
      </c>
      <c r="E20423" t="s">
        <v>42894</v>
      </c>
    </row>
    <row r="20424" spans="1:5">
      <c r="A20424" t="s">
        <v>6</v>
      </c>
      <c r="B20424" t="s">
        <v>20429</v>
      </c>
      <c r="C20424">
        <f>HYPERLINK("C:\Users\franc\OneDrive\Documentos\MALENTIN KARIME\BANCO CREDITO\FER LORCA en ROSITA (Rosita)\PET\NOVIEMBRE\RUBEN MARCOS ROJAS TABILO.doc", "Abrir Documento")</f>
        <v>0</v>
      </c>
      <c r="D20424" t="s">
        <v>23500</v>
      </c>
      <c r="E20424" t="s">
        <v>42895</v>
      </c>
    </row>
    <row r="20425" spans="1:5">
      <c r="A20425" t="s">
        <v>6</v>
      </c>
      <c r="B20425" t="s">
        <v>20430</v>
      </c>
      <c r="C20425">
        <f>HYPERLINK("C:\Users\franc\OneDrive\Documentos\MALENTIN KARIME\BANCO CREDITO\FER LORCA en ROSITA (Rosita)\PET\NOVIEMBRE\ROSA VEGA ARAYA.doc", "Abrir Documento")</f>
        <v>0</v>
      </c>
      <c r="D20425" t="s">
        <v>23500</v>
      </c>
      <c r="E20425" t="s">
        <v>42896</v>
      </c>
    </row>
    <row r="20426" spans="1:5">
      <c r="A20426" t="s">
        <v>6</v>
      </c>
      <c r="B20426" t="s">
        <v>20431</v>
      </c>
      <c r="C20426">
        <f>HYPERLINK("C:\Users\franc\OneDrive\Documentos\MALENTIN KARIME\BANCO CREDITO\FER LORCA en ROSITA (Rosita)\PET\NOVIEMBRE\PATRICIO VELIZ ESTAY.doc", "Abrir Documento")</f>
        <v>0</v>
      </c>
      <c r="D20426" t="s">
        <v>23500</v>
      </c>
      <c r="E20426" t="s">
        <v>42897</v>
      </c>
    </row>
    <row r="20427" spans="1:5">
      <c r="A20427" t="s">
        <v>6</v>
      </c>
      <c r="B20427" t="s">
        <v>20432</v>
      </c>
      <c r="C20427">
        <f>HYPERLINK("C:\Users\franc\OneDrive\Documentos\MALENTIN KARIME\BANCO CREDITO\FER LORCA en ROSITA (Rosita)\PET\NOVIEMBRE\PATRICIO CONTRERAS TORO.doc", "Abrir Documento")</f>
        <v>0</v>
      </c>
      <c r="D20427" t="s">
        <v>23500</v>
      </c>
      <c r="E20427" t="s">
        <v>42898</v>
      </c>
    </row>
    <row r="20428" spans="1:5">
      <c r="A20428" t="s">
        <v>6</v>
      </c>
      <c r="B20428" t="s">
        <v>20433</v>
      </c>
      <c r="C20428">
        <f>HYPERLINK("C:\Users\franc\OneDrive\Documentos\MALENTIN KARIME\BANCO CREDITO\FER LORCA en ROSITA (Rosita)\PET\NOVIEMBRE\PATRICIA MARTINEZ PIZARR.doc", "Abrir Documento")</f>
        <v>0</v>
      </c>
      <c r="D20428" t="s">
        <v>23500</v>
      </c>
      <c r="E20428" t="s">
        <v>42899</v>
      </c>
    </row>
    <row r="20429" spans="1:5">
      <c r="A20429" t="s">
        <v>6</v>
      </c>
      <c r="B20429" t="s">
        <v>20434</v>
      </c>
      <c r="C20429">
        <f>HYPERLINK("C:\Users\franc\OneDrive\Documentos\MALENTIN KARIME\BANCO CREDITO\FER LORCA en ROSITA (Rosita)\PET\NOVIEMBRE\NELLY DEL CARMEN BUSTAMANTE.doc", "Abrir Documento")</f>
        <v>0</v>
      </c>
      <c r="D20429" t="s">
        <v>23500</v>
      </c>
      <c r="E20429" t="s">
        <v>42900</v>
      </c>
    </row>
    <row r="20430" spans="1:5">
      <c r="A20430" t="s">
        <v>6</v>
      </c>
      <c r="B20430" t="s">
        <v>20435</v>
      </c>
      <c r="C20430">
        <f>HYPERLINK("C:\Users\franc\OneDrive\Documentos\MALENTIN KARIME\BANCO CREDITO\FER LORCA en ROSITA (Rosita)\PET\NOVIEMBRE\MONICA MUÑOZ MUÑOZ.doc", "Abrir Documento")</f>
        <v>0</v>
      </c>
      <c r="D20430" t="s">
        <v>23500</v>
      </c>
      <c r="E20430" t="s">
        <v>42901</v>
      </c>
    </row>
    <row r="20431" spans="1:5">
      <c r="A20431" t="s">
        <v>6</v>
      </c>
      <c r="B20431" t="s">
        <v>20436</v>
      </c>
      <c r="C20431">
        <f>HYPERLINK("C:\Users\franc\OneDrive\Documentos\MALENTIN KARIME\BANCO CREDITO\FER LORCA en ROSITA (Rosita)\PET\NOVIEMBRE\MONICA MILLA CORTES.doc", "Abrir Documento")</f>
        <v>0</v>
      </c>
      <c r="D20431" t="s">
        <v>23500</v>
      </c>
      <c r="E20431" t="s">
        <v>42902</v>
      </c>
    </row>
    <row r="20432" spans="1:5">
      <c r="A20432" t="s">
        <v>6</v>
      </c>
      <c r="B20432" t="s">
        <v>20437</v>
      </c>
      <c r="C20432">
        <f>HYPERLINK("C:\Users\franc\OneDrive\Documentos\MALENTIN KARIME\BANCO CREDITO\FER LORCA en ROSITA (Rosita)\PET\NOVIEMBRE\MARIELA PEREZ CHAZARRO.doc", "Abrir Documento")</f>
        <v>0</v>
      </c>
      <c r="D20432" t="s">
        <v>23500</v>
      </c>
      <c r="E20432" t="s">
        <v>42903</v>
      </c>
    </row>
    <row r="20433" spans="1:5">
      <c r="A20433" t="s">
        <v>6</v>
      </c>
      <c r="B20433" t="s">
        <v>20438</v>
      </c>
      <c r="C20433">
        <f>HYPERLINK("C:\Users\franc\OneDrive\Documentos\MALENTIN KARIME\BANCO CREDITO\FER LORCA en ROSITA (Rosita)\PET\NOVIEMBRE\MARIA GAMBOA BAHAMONDES.doc", "Abrir Documento")</f>
        <v>0</v>
      </c>
      <c r="D20433" t="s">
        <v>23500</v>
      </c>
      <c r="E20433" t="s">
        <v>42904</v>
      </c>
    </row>
    <row r="20434" spans="1:5">
      <c r="A20434" t="s">
        <v>6</v>
      </c>
      <c r="B20434" t="s">
        <v>20439</v>
      </c>
      <c r="C20434">
        <f>HYPERLINK("C:\Users\franc\OneDrive\Documentos\MALENTIN KARIME\BANCO CREDITO\FER LORCA en ROSITA (Rosita)\PET\NOVIEMBRE\MARIA CONTRERAS VEAS.doc", "Abrir Documento")</f>
        <v>0</v>
      </c>
      <c r="D20434" t="s">
        <v>23500</v>
      </c>
      <c r="E20434" t="s">
        <v>42905</v>
      </c>
    </row>
    <row r="20435" spans="1:5">
      <c r="A20435" t="s">
        <v>6</v>
      </c>
      <c r="B20435" t="s">
        <v>20440</v>
      </c>
      <c r="C20435">
        <f>HYPERLINK("C:\Users\franc\OneDrive\Documentos\MALENTIN KARIME\BANCO CREDITO\FER LORCA en ROSITA (Rosita)\PET\NOVIEMBRE\JUAN CARLOS TAPIA BARRERA. RESCILIACION.doc", "Abrir Documento")</f>
        <v>0</v>
      </c>
      <c r="D20435" t="s">
        <v>23500</v>
      </c>
      <c r="E20435" t="s">
        <v>42906</v>
      </c>
    </row>
    <row r="20436" spans="1:5">
      <c r="A20436" t="s">
        <v>6</v>
      </c>
      <c r="B20436" t="s">
        <v>20441</v>
      </c>
      <c r="C20436">
        <f>HYPERLINK("C:\Users\franc\OneDrive\Documentos\MALENTIN KARIME\BANCO CREDITO\FER LORCA en ROSITA (Rosita)\PET\NOVIEMBRE\LUIS PIZARRO AGUILAR.doc", "Abrir Documento")</f>
        <v>0</v>
      </c>
      <c r="D20436" t="s">
        <v>23500</v>
      </c>
      <c r="E20436" t="s">
        <v>42906</v>
      </c>
    </row>
    <row r="20437" spans="1:5">
      <c r="A20437" t="s">
        <v>6</v>
      </c>
      <c r="B20437" t="s">
        <v>20442</v>
      </c>
      <c r="C20437">
        <f>HYPERLINK("C:\Users\franc\OneDrive\Documentos\MALENTIN KARIME\BANCO CREDITO\FER LORCA en ROSITA (Rosita)\PET\NOVIEMBRE\HUGO VARGAS OPORTO.doc", "Abrir Documento")</f>
        <v>0</v>
      </c>
      <c r="D20437" t="s">
        <v>23500</v>
      </c>
      <c r="E20437" t="s">
        <v>42907</v>
      </c>
    </row>
    <row r="20438" spans="1:5">
      <c r="A20438" t="s">
        <v>6</v>
      </c>
      <c r="B20438" t="s">
        <v>20443</v>
      </c>
      <c r="C20438">
        <f>HYPERLINK("C:\Users\franc\OneDrive\Documentos\MALENTIN KARIME\BANCO CREDITO\FER LORCA en ROSITA (Rosita)\PET\NOVIEMBRE\HILDA AEDO YAÑEZ.doc", "Abrir Documento")</f>
        <v>0</v>
      </c>
      <c r="D20438" t="s">
        <v>23500</v>
      </c>
      <c r="E20438" t="s">
        <v>42908</v>
      </c>
    </row>
    <row r="20439" spans="1:5">
      <c r="A20439" t="s">
        <v>6</v>
      </c>
      <c r="B20439" t="s">
        <v>20444</v>
      </c>
      <c r="C20439">
        <f>HYPERLINK("C:\Users\franc\OneDrive\Documentos\MALENTIN KARIME\BANCO CREDITO\FER LORCA en ROSITA (Rosita)\PET\NOVIEMBRE\ESTRELLA ARANCIBIA MUÑOZ.doc", "Abrir Documento")</f>
        <v>0</v>
      </c>
      <c r="D20439" t="s">
        <v>23500</v>
      </c>
      <c r="E20439" t="s">
        <v>42909</v>
      </c>
    </row>
    <row r="20440" spans="1:5">
      <c r="A20440" t="s">
        <v>6</v>
      </c>
      <c r="B20440" t="s">
        <v>20445</v>
      </c>
      <c r="C20440">
        <f>HYPERLINK("C:\Users\franc\OneDrive\Documentos\MALENTIN KARIME\BANCO CREDITO\FER LORCA en ROSITA (Rosita)\PET\NOVIEMBRE\DOMITILA DIAZ LOPEZ.doc", "Abrir Documento")</f>
        <v>0</v>
      </c>
      <c r="D20440" t="s">
        <v>23500</v>
      </c>
      <c r="E20440" t="s">
        <v>42910</v>
      </c>
    </row>
    <row r="20441" spans="1:5">
      <c r="A20441" t="s">
        <v>6</v>
      </c>
      <c r="B20441" t="s">
        <v>20446</v>
      </c>
      <c r="C20441">
        <f>HYPERLINK("C:\Users\franc\OneDrive\Documentos\MALENTIN KARIME\BANCO CREDITO\FER LORCA en ROSITA (Rosita)\PET\NOVIEMBRE\DIONISIA BERNAL VERA.doc", "Abrir Documento")</f>
        <v>0</v>
      </c>
      <c r="D20441" t="s">
        <v>23500</v>
      </c>
      <c r="E20441" t="s">
        <v>42911</v>
      </c>
    </row>
    <row r="20442" spans="1:5">
      <c r="A20442" t="s">
        <v>6</v>
      </c>
      <c r="B20442" t="s">
        <v>20447</v>
      </c>
      <c r="C20442">
        <f>HYPERLINK("C:\Users\franc\OneDrive\Documentos\MALENTIN KARIME\BANCO CREDITO\FER LORCA en ROSITA (Rosita)\PET\NOVIEMBRE\CESAR DIAZ NAVARRO.doc", "Abrir Documento")</f>
        <v>0</v>
      </c>
      <c r="D20442" t="s">
        <v>23500</v>
      </c>
      <c r="E20442" t="s">
        <v>42912</v>
      </c>
    </row>
    <row r="20443" spans="1:5">
      <c r="A20443" t="s">
        <v>6</v>
      </c>
      <c r="B20443" t="s">
        <v>20448</v>
      </c>
      <c r="C20443">
        <f>HYPERLINK("C:\Users\franc\OneDrive\Documentos\MALENTIN KARIME\BANCO CREDITO\FER LORCA en ROSITA (Rosita)\PET\NOVIEMBRE\CARMEN DIAZ AGUILERA.doc", "Abrir Documento")</f>
        <v>0</v>
      </c>
      <c r="D20443" t="s">
        <v>23500</v>
      </c>
      <c r="E20443" t="s">
        <v>42913</v>
      </c>
    </row>
    <row r="20444" spans="1:5">
      <c r="A20444" t="s">
        <v>6</v>
      </c>
      <c r="B20444" t="s">
        <v>20449</v>
      </c>
      <c r="C20444">
        <f>HYPERLINK("C:\Users\franc\OneDrive\Documentos\MALENTIN KARIME\BANCO CREDITO\FER LORCA en ROSITA (Rosita)\PET\NOVIEMBRE\BENITO ALFARO ALFARO.doc", "Abrir Documento")</f>
        <v>0</v>
      </c>
      <c r="D20444" t="s">
        <v>23500</v>
      </c>
      <c r="E20444" t="s">
        <v>42914</v>
      </c>
    </row>
    <row r="20445" spans="1:5">
      <c r="A20445" t="s">
        <v>6</v>
      </c>
      <c r="B20445" t="s">
        <v>20450</v>
      </c>
      <c r="C20445">
        <f>HYPERLINK("C:\Users\franc\OneDrive\Documentos\MALENTIN KARIME\BANCO CREDITO\FER LORCA en ROSITA (Rosita)\PET\MAYO\SUSANA LEMUS VICENCIO.doc", "Abrir Documento")</f>
        <v>0</v>
      </c>
      <c r="D20445" t="s">
        <v>23500</v>
      </c>
      <c r="E20445" t="s">
        <v>42915</v>
      </c>
    </row>
    <row r="20446" spans="1:5">
      <c r="A20446" t="s">
        <v>6</v>
      </c>
      <c r="B20446" t="s">
        <v>20451</v>
      </c>
      <c r="C20446">
        <f>HYPERLINK("C:\Users\franc\OneDrive\Documentos\MALENTIN KARIME\BANCO CREDITO\FER LORCA en ROSITA (Rosita)\PET\MAYO\SANDRA TAPIA CASTILLO.doc", "Abrir Documento")</f>
        <v>0</v>
      </c>
      <c r="D20446" t="s">
        <v>23500</v>
      </c>
      <c r="E20446" t="s">
        <v>42916</v>
      </c>
    </row>
    <row r="20447" spans="1:5">
      <c r="A20447" t="s">
        <v>6</v>
      </c>
      <c r="B20447" t="s">
        <v>20452</v>
      </c>
      <c r="C20447">
        <f>HYPERLINK("C:\Users\franc\OneDrive\Documentos\MALENTIN KARIME\BANCO CREDITO\FER LORCA en ROSITA (Rosita)\PET\MAYO\ROBERTO ALEGRE GUZMAN.doc", "Abrir Documento")</f>
        <v>0</v>
      </c>
      <c r="D20447" t="s">
        <v>23500</v>
      </c>
      <c r="E20447" t="s">
        <v>42917</v>
      </c>
    </row>
    <row r="20448" spans="1:5">
      <c r="A20448" t="s">
        <v>6</v>
      </c>
      <c r="B20448" t="s">
        <v>20453</v>
      </c>
      <c r="C20448">
        <f>HYPERLINK("C:\Users\franc\OneDrive\Documentos\MALENTIN KARIME\BANCO CREDITO\FER LORCA en ROSITA (Rosita)\PET\MAYO\RAUL PIZARRO ARAYA.doc", "Abrir Documento")</f>
        <v>0</v>
      </c>
      <c r="D20448" t="s">
        <v>23500</v>
      </c>
      <c r="E20448" t="s">
        <v>42918</v>
      </c>
    </row>
    <row r="20449" spans="1:5">
      <c r="A20449" t="s">
        <v>6</v>
      </c>
      <c r="B20449" t="s">
        <v>20454</v>
      </c>
      <c r="C20449">
        <f>HYPERLINK("C:\Users\franc\OneDrive\Documentos\MALENTIN KARIME\BANCO CREDITO\FER LORCA en ROSITA (Rosita)\PET\MAYO\OSCAR PIÑONEZ ROJAS.doc", "Abrir Documento")</f>
        <v>0</v>
      </c>
      <c r="D20449" t="s">
        <v>23500</v>
      </c>
      <c r="E20449" t="s">
        <v>42919</v>
      </c>
    </row>
    <row r="20450" spans="1:5">
      <c r="A20450" t="s">
        <v>6</v>
      </c>
      <c r="B20450" t="s">
        <v>20455</v>
      </c>
      <c r="C20450">
        <f>HYPERLINK("C:\Users\franc\OneDrive\Documentos\MALENTIN KARIME\BANCO CREDITO\FER LORCA en ROSITA (Rosita)\PET\MAYO\Nelson Sandoval Rojas.doc", "Abrir Documento")</f>
        <v>0</v>
      </c>
      <c r="D20450" t="s">
        <v>23500</v>
      </c>
      <c r="E20450" t="s">
        <v>42920</v>
      </c>
    </row>
    <row r="20451" spans="1:5">
      <c r="A20451" t="s">
        <v>6</v>
      </c>
      <c r="B20451" t="s">
        <v>20456</v>
      </c>
      <c r="C20451">
        <f>HYPERLINK("C:\Users\franc\OneDrive\Documentos\MALENTIN KARIME\BANCO CREDITO\FER LORCA en ROSITA (Rosita)\PET\MAYO\MARIO ECHEVERRIA TAPIA.doc", "Abrir Documento")</f>
        <v>0</v>
      </c>
      <c r="D20451" t="s">
        <v>23500</v>
      </c>
      <c r="E20451" t="s">
        <v>42921</v>
      </c>
    </row>
    <row r="20452" spans="1:5">
      <c r="A20452" t="s">
        <v>6</v>
      </c>
      <c r="B20452" t="s">
        <v>20457</v>
      </c>
      <c r="C20452">
        <f>HYPERLINK("C:\Users\franc\OneDrive\Documentos\MALENTIN KARIME\BANCO CREDITO\FER LORCA en ROSITA (Rosita)\PET\MAYO\MARIA VELIZ ROJAS.doc", "Abrir Documento")</f>
        <v>0</v>
      </c>
      <c r="D20452" t="s">
        <v>23500</v>
      </c>
      <c r="E20452" t="s">
        <v>42922</v>
      </c>
    </row>
    <row r="20453" spans="1:5">
      <c r="A20453" t="s">
        <v>6</v>
      </c>
      <c r="B20453" t="s">
        <v>20458</v>
      </c>
      <c r="C20453">
        <f>HYPERLINK("C:\Users\franc\OneDrive\Documentos\MALENTIN KARIME\BANCO CREDITO\FER LORCA en ROSITA (Rosita)\PET\MAYO\MARCELA MUÑOZ MOLINA.doc", "Abrir Documento")</f>
        <v>0</v>
      </c>
      <c r="D20453" t="s">
        <v>23500</v>
      </c>
      <c r="E20453" t="s">
        <v>42923</v>
      </c>
    </row>
    <row r="20454" spans="1:5">
      <c r="A20454" t="s">
        <v>6</v>
      </c>
      <c r="B20454" t="s">
        <v>20459</v>
      </c>
      <c r="C20454">
        <f>HYPERLINK("C:\Users\franc\OneDrive\Documentos\MALENTIN KARIME\BANCO CREDITO\FER LORCA en ROSITA (Rosita)\PET\MAYO\LUIS PEREZ CONTRERAS.doc", "Abrir Documento")</f>
        <v>0</v>
      </c>
      <c r="D20454" t="s">
        <v>23500</v>
      </c>
      <c r="E20454" t="s">
        <v>42924</v>
      </c>
    </row>
    <row r="20455" spans="1:5">
      <c r="A20455" t="s">
        <v>6</v>
      </c>
      <c r="B20455" t="s">
        <v>20460</v>
      </c>
      <c r="C20455">
        <f>HYPERLINK("C:\Users\franc\OneDrive\Documentos\MALENTIN KARIME\BANCO CREDITO\FER LORCA en ROSITA (Rosita)\PET\MAYO\JUAN VEGA MUNDACA.doc", "Abrir Documento")</f>
        <v>0</v>
      </c>
      <c r="D20455" t="s">
        <v>23500</v>
      </c>
      <c r="E20455" t="s">
        <v>42925</v>
      </c>
    </row>
    <row r="20456" spans="1:5">
      <c r="A20456" t="s">
        <v>6</v>
      </c>
      <c r="B20456" t="s">
        <v>20461</v>
      </c>
      <c r="C20456">
        <f>HYPERLINK("C:\Users\franc\OneDrive\Documentos\MALENTIN KARIME\BANCO CREDITO\FER LORCA en ROSITA (Rosita)\PET\MAYO\JOSE LUIS BARRAZA ARAYA.doc", "Abrir Documento")</f>
        <v>0</v>
      </c>
      <c r="D20456" t="s">
        <v>23500</v>
      </c>
      <c r="E20456" t="s">
        <v>42926</v>
      </c>
    </row>
    <row r="20457" spans="1:5">
      <c r="A20457" t="s">
        <v>6</v>
      </c>
      <c r="B20457" t="s">
        <v>20462</v>
      </c>
      <c r="C20457">
        <f>HYPERLINK("C:\Users\franc\OneDrive\Documentos\MALENTIN KARIME\BANCO CREDITO\FER LORCA en ROSITA (Rosita)\PET\MAYO\ETHEL BRAVO AVALOS.doc", "Abrir Documento")</f>
        <v>0</v>
      </c>
      <c r="D20457" t="s">
        <v>23500</v>
      </c>
      <c r="E20457" t="s">
        <v>42927</v>
      </c>
    </row>
    <row r="20458" spans="1:5">
      <c r="A20458" t="s">
        <v>6</v>
      </c>
      <c r="B20458" t="s">
        <v>20463</v>
      </c>
      <c r="C20458">
        <f>HYPERLINK("C:\Users\franc\OneDrive\Documentos\MALENTIN KARIME\BANCO CREDITO\FER LORCA en ROSITA (Rosita)\PET\MAYO\ELIANA OLMOS GARCIA.doc", "Abrir Documento")</f>
        <v>0</v>
      </c>
      <c r="D20458" t="s">
        <v>23500</v>
      </c>
      <c r="E20458" t="s">
        <v>42928</v>
      </c>
    </row>
    <row r="20459" spans="1:5">
      <c r="A20459" t="s">
        <v>6</v>
      </c>
      <c r="B20459" t="s">
        <v>20464</v>
      </c>
      <c r="C20459">
        <f>HYPERLINK("C:\Users\franc\OneDrive\Documentos\MALENTIN KARIME\BANCO CREDITO\FER LORCA en ROSITA (Rosita)\PET\MAYO\ALEX ROJAS MIRANDA- MANLIO.doc", "Abrir Documento")</f>
        <v>0</v>
      </c>
      <c r="D20459" t="s">
        <v>23500</v>
      </c>
      <c r="E20459" t="s">
        <v>42929</v>
      </c>
    </row>
    <row r="20460" spans="1:5">
      <c r="A20460" t="s">
        <v>6</v>
      </c>
      <c r="B20460" t="s">
        <v>20465</v>
      </c>
      <c r="C20460">
        <f>HYPERLINK("C:\Users\franc\OneDrive\Documentos\MALENTIN KARIME\BANCO CREDITO\FER LORCA en ROSITA (Rosita)\PET\FIRMA- MANLIO\VIOLETA MENA SAGUA.doc", "Abrir Documento")</f>
        <v>0</v>
      </c>
      <c r="D20460" t="s">
        <v>23500</v>
      </c>
      <c r="E20460" t="s">
        <v>42930</v>
      </c>
    </row>
    <row r="20461" spans="1:5">
      <c r="A20461" t="s">
        <v>6</v>
      </c>
      <c r="B20461" t="s">
        <v>20466</v>
      </c>
      <c r="C20461">
        <f>HYPERLINK("C:\Users\franc\OneDrive\Documentos\MALENTIN KARIME\BANCO CREDITO\FER LORCA en ROSITA (Rosita)\PET\FIRMA- MANLIO\SARA VASQUEZ ESPINOZA.doc", "Abrir Documento")</f>
        <v>0</v>
      </c>
      <c r="D20461" t="s">
        <v>23500</v>
      </c>
      <c r="E20461" t="s">
        <v>42931</v>
      </c>
    </row>
    <row r="20462" spans="1:5">
      <c r="A20462" t="s">
        <v>6</v>
      </c>
      <c r="B20462" t="s">
        <v>20467</v>
      </c>
      <c r="C20462">
        <f>HYPERLINK("C:\Users\franc\OneDrive\Documentos\MALENTIN KARIME\BANCO CREDITO\FER LORCA en ROSITA (Rosita)\PET\FIRMA- MANLIO\RICARDO P. COLLAO CASTILLO.doc", "Abrir Documento")</f>
        <v>0</v>
      </c>
      <c r="D20462" t="s">
        <v>23500</v>
      </c>
      <c r="E20462" t="s">
        <v>42932</v>
      </c>
    </row>
    <row r="20463" spans="1:5">
      <c r="A20463" t="s">
        <v>6</v>
      </c>
      <c r="B20463" t="s">
        <v>20468</v>
      </c>
      <c r="C20463">
        <f>HYPERLINK("C:\Users\franc\OneDrive\Documentos\MALENTIN KARIME\BANCO CREDITO\FER LORCA en ROSITA (Rosita)\PET\FIRMA- MANLIO\RICARDO MORALES ECHEVERRIA.doc", "Abrir Documento")</f>
        <v>0</v>
      </c>
      <c r="D20463" t="s">
        <v>23500</v>
      </c>
      <c r="E20463" t="s">
        <v>42933</v>
      </c>
    </row>
    <row r="20464" spans="1:5">
      <c r="A20464" t="s">
        <v>6</v>
      </c>
      <c r="B20464" t="s">
        <v>20469</v>
      </c>
      <c r="C20464">
        <f>HYPERLINK("C:\Users\franc\OneDrive\Documentos\MALENTIN KARIME\BANCO CREDITO\FER LORCA en ROSITA (Rosita)\PET\FIRMA- MANLIO\RICARDO ALFARO SAPIAIN.doc", "Abrir Documento")</f>
        <v>0</v>
      </c>
      <c r="D20464" t="s">
        <v>23500</v>
      </c>
      <c r="E20464" t="s">
        <v>42934</v>
      </c>
    </row>
    <row r="20465" spans="1:5">
      <c r="A20465" t="s">
        <v>6</v>
      </c>
      <c r="B20465" t="s">
        <v>20470</v>
      </c>
      <c r="C20465">
        <f>HYPERLINK("C:\Users\franc\OneDrive\Documentos\MALENTIN KARIME\BANCO CREDITO\FER LORCA en ROSITA (Rosita)\PET\FIRMA- MANLIO\PATRICIO VELIZ ESTAY.doc", "Abrir Documento")</f>
        <v>0</v>
      </c>
      <c r="D20465" t="s">
        <v>23500</v>
      </c>
      <c r="E20465" t="s">
        <v>42935</v>
      </c>
    </row>
    <row r="20466" spans="1:5">
      <c r="A20466" t="s">
        <v>6</v>
      </c>
      <c r="B20466" t="s">
        <v>20471</v>
      </c>
      <c r="C20466">
        <f>HYPERLINK("C:\Users\franc\OneDrive\Documentos\MALENTIN KARIME\BANCO CREDITO\FER LORCA en ROSITA (Rosita)\PET\FIRMA- MANLIO\PATRICIO ESPINOZA JIMENEZ.doc", "Abrir Documento")</f>
        <v>0</v>
      </c>
      <c r="D20466" t="s">
        <v>23500</v>
      </c>
      <c r="E20466" t="s">
        <v>42936</v>
      </c>
    </row>
    <row r="20467" spans="1:5">
      <c r="A20467" t="s">
        <v>6</v>
      </c>
      <c r="B20467" t="s">
        <v>20472</v>
      </c>
      <c r="C20467">
        <f>HYPERLINK("C:\Users\franc\OneDrive\Documentos\MALENTIN KARIME\BANCO CREDITO\FER LORCA en ROSITA (Rosita)\PET\FIRMA- MANLIO\PATRICIA ZAMBRANO ARRIAGADA.doc", "Abrir Documento")</f>
        <v>0</v>
      </c>
      <c r="D20467" t="s">
        <v>23500</v>
      </c>
      <c r="E20467" t="s">
        <v>42937</v>
      </c>
    </row>
    <row r="20468" spans="1:5">
      <c r="A20468" t="s">
        <v>6</v>
      </c>
      <c r="B20468" t="s">
        <v>20473</v>
      </c>
      <c r="C20468">
        <f>HYPERLINK("C:\Users\franc\OneDrive\Documentos\MALENTIN KARIME\BANCO CREDITO\FER LORCA en ROSITA (Rosita)\PET\FIRMA- MANLIO\PAOLA PEREZ TORRES.doc", "Abrir Documento")</f>
        <v>0</v>
      </c>
      <c r="D20468" t="s">
        <v>23500</v>
      </c>
      <c r="E20468" t="s">
        <v>42938</v>
      </c>
    </row>
    <row r="20469" spans="1:5">
      <c r="A20469" t="s">
        <v>6</v>
      </c>
      <c r="B20469" t="s">
        <v>20474</v>
      </c>
      <c r="C20469">
        <f>HYPERLINK("C:\Users\franc\OneDrive\Documentos\MALENTIN KARIME\BANCO CREDITO\FER LORCA en ROSITA (Rosita)\PET\FIRMA- MANLIO\OSCAR ROJAS CARVAJAL.doc", "Abrir Documento")</f>
        <v>0</v>
      </c>
      <c r="D20469" t="s">
        <v>23500</v>
      </c>
      <c r="E20469" t="s">
        <v>42939</v>
      </c>
    </row>
    <row r="20470" spans="1:5">
      <c r="A20470" t="s">
        <v>6</v>
      </c>
      <c r="B20470" t="s">
        <v>20475</v>
      </c>
      <c r="C20470">
        <f>HYPERLINK("C:\Users\franc\OneDrive\Documentos\MALENTIN KARIME\BANCO CREDITO\FER LORCA en ROSITA (Rosita)\PET\FIRMA- MANLIO\ORLANDO CACERES ELIZONDO.doc", "Abrir Documento")</f>
        <v>0</v>
      </c>
      <c r="D20470" t="s">
        <v>23500</v>
      </c>
      <c r="E20470" t="s">
        <v>42940</v>
      </c>
    </row>
    <row r="20471" spans="1:5">
      <c r="A20471" t="s">
        <v>6</v>
      </c>
      <c r="B20471" t="s">
        <v>20476</v>
      </c>
      <c r="C20471">
        <f>HYPERLINK("C:\Users\franc\OneDrive\Documentos\MALENTIN KARIME\BANCO CREDITO\FER LORCA en ROSITA (Rosita)\PET\FIRMA- MANLIO\NOEMI CARVAJAL CARVAJAL.doc", "Abrir Documento")</f>
        <v>0</v>
      </c>
      <c r="D20471" t="s">
        <v>23500</v>
      </c>
      <c r="E20471" t="s">
        <v>42941</v>
      </c>
    </row>
    <row r="20472" spans="1:5">
      <c r="A20472" t="s">
        <v>6</v>
      </c>
      <c r="B20472" t="s">
        <v>20477</v>
      </c>
      <c r="C20472">
        <f>HYPERLINK("C:\Users\franc\OneDrive\Documentos\MALENTIN KARIME\BANCO CREDITO\FER LORCA en ROSITA (Rosita)\PET\FIRMA- MANLIO\MERCEDES ZEPEDA CORTES.doc", "Abrir Documento")</f>
        <v>0</v>
      </c>
      <c r="D20472" t="s">
        <v>23500</v>
      </c>
      <c r="E20472" t="s">
        <v>42942</v>
      </c>
    </row>
    <row r="20473" spans="1:5">
      <c r="A20473" t="s">
        <v>6</v>
      </c>
      <c r="B20473" t="s">
        <v>20478</v>
      </c>
      <c r="C20473">
        <f>HYPERLINK("C:\Users\franc\OneDrive\Documentos\MALENTIN KARIME\BANCO CREDITO\FER LORCA en ROSITA (Rosita)\PET\FIRMA- MANLIO\MELISSA RODRIGUEZ CASANOVA.doc", "Abrir Documento")</f>
        <v>0</v>
      </c>
      <c r="D20473" t="s">
        <v>23500</v>
      </c>
      <c r="E20473" t="s">
        <v>42943</v>
      </c>
    </row>
    <row r="20474" spans="1:5">
      <c r="A20474" t="s">
        <v>6</v>
      </c>
      <c r="B20474" t="s">
        <v>20479</v>
      </c>
      <c r="C20474">
        <f>HYPERLINK("C:\Users\franc\OneDrive\Documentos\MALENTIN KARIME\BANCO CREDITO\FER LORCA en ROSITA (Rosita)\PET\FIRMA- MANLIO\MARIO MUTARELLO VERGARA.doc", "Abrir Documento")</f>
        <v>0</v>
      </c>
      <c r="D20474" t="s">
        <v>23500</v>
      </c>
      <c r="E20474" t="s">
        <v>42944</v>
      </c>
    </row>
    <row r="20475" spans="1:5">
      <c r="A20475" t="s">
        <v>6</v>
      </c>
      <c r="B20475" t="s">
        <v>20480</v>
      </c>
      <c r="C20475">
        <f>HYPERLINK("C:\Users\franc\OneDrive\Documentos\MALENTIN KARIME\BANCO CREDITO\FER LORCA en ROSITA (Rosita)\PET\FIRMA- MANLIO\MARGARITA SILVA MILLA.doc", "Abrir Documento")</f>
        <v>0</v>
      </c>
      <c r="D20475" t="s">
        <v>23500</v>
      </c>
      <c r="E20475" t="s">
        <v>42945</v>
      </c>
    </row>
    <row r="20476" spans="1:5">
      <c r="A20476" t="s">
        <v>6</v>
      </c>
      <c r="B20476" t="s">
        <v>20481</v>
      </c>
      <c r="C20476">
        <f>HYPERLINK("C:\Users\franc\OneDrive\Documentos\MALENTIN KARIME\BANCO CREDITO\FER LORCA en ROSITA (Rosita)\PET\FIRMA- MANLIO\MARCELO JIMENEZ GUERRERO.doc", "Abrir Documento")</f>
        <v>0</v>
      </c>
      <c r="D20476" t="s">
        <v>23500</v>
      </c>
      <c r="E20476" t="s">
        <v>42946</v>
      </c>
    </row>
    <row r="20477" spans="1:5">
      <c r="A20477" t="s">
        <v>6</v>
      </c>
      <c r="B20477" t="s">
        <v>20482</v>
      </c>
      <c r="C20477">
        <f>HYPERLINK("C:\Users\franc\OneDrive\Documentos\MALENTIN KARIME\BANCO CREDITO\FER LORCA en ROSITA (Rosita)\PET\FIRMA- MANLIO\MANUEL CISTERNAS MUÑOZ.doc", "Abrir Documento")</f>
        <v>0</v>
      </c>
      <c r="D20477" t="s">
        <v>23500</v>
      </c>
      <c r="E20477" t="s">
        <v>42947</v>
      </c>
    </row>
    <row r="20478" spans="1:5">
      <c r="A20478" t="s">
        <v>6</v>
      </c>
      <c r="B20478" t="s">
        <v>20483</v>
      </c>
      <c r="C20478">
        <f>HYPERLINK("C:\Users\franc\OneDrive\Documentos\MALENTIN KARIME\BANCO CREDITO\FER LORCA en ROSITA (Rosita)\PET\FIRMA- MANLIO\LUS MARIA TORRES DIAZ.doc", "Abrir Documento")</f>
        <v>0</v>
      </c>
      <c r="D20478" t="s">
        <v>23500</v>
      </c>
      <c r="E20478" t="s">
        <v>42948</v>
      </c>
    </row>
    <row r="20479" spans="1:5">
      <c r="A20479" t="s">
        <v>6</v>
      </c>
      <c r="B20479" t="s">
        <v>20484</v>
      </c>
      <c r="C20479">
        <f>HYPERLINK("C:\Users\franc\OneDrive\Documentos\MALENTIN KARIME\BANCO CREDITO\FER LORCA en ROSITA (Rosita)\PET\FIRMA- MANLIO\LUIS ALVARADO VEGA.doc", "Abrir Documento")</f>
        <v>0</v>
      </c>
      <c r="D20479" t="s">
        <v>23500</v>
      </c>
      <c r="E20479" t="s">
        <v>42949</v>
      </c>
    </row>
    <row r="20480" spans="1:5">
      <c r="A20480" t="s">
        <v>6</v>
      </c>
      <c r="B20480" t="s">
        <v>20485</v>
      </c>
      <c r="C20480">
        <f>HYPERLINK("C:\Users\franc\OneDrive\Documentos\MALENTIN KARIME\BANCO CREDITO\FER LORCA en ROSITA (Rosita)\PET\FIRMA- MANLIO\LORENA CORTES CORTES.doc", "Abrir Documento")</f>
        <v>0</v>
      </c>
      <c r="D20480" t="s">
        <v>23500</v>
      </c>
      <c r="E20480" t="s">
        <v>42950</v>
      </c>
    </row>
    <row r="20481" spans="1:5">
      <c r="A20481" t="s">
        <v>6</v>
      </c>
      <c r="B20481" t="s">
        <v>20486</v>
      </c>
      <c r="C20481">
        <f>HYPERLINK("C:\Users\franc\OneDrive\Documentos\MALENTIN KARIME\BANCO CREDITO\FER LORCA en ROSITA (Rosita)\PET\FIRMA- MANLIO\LEONADO PIZARRO SALFATE.doc", "Abrir Documento")</f>
        <v>0</v>
      </c>
      <c r="D20481" t="s">
        <v>23500</v>
      </c>
      <c r="E20481" t="s">
        <v>42951</v>
      </c>
    </row>
    <row r="20482" spans="1:5">
      <c r="A20482" t="s">
        <v>6</v>
      </c>
      <c r="B20482" t="s">
        <v>20487</v>
      </c>
      <c r="C20482">
        <f>HYPERLINK("C:\Users\franc\OneDrive\Documentos\MALENTIN KARIME\BANCO CREDITO\FER LORCA en ROSITA (Rosita)\PET\FIRMA- MANLIO\JUAN CARLOS GUERRA VENEGAS.doc", "Abrir Documento")</f>
        <v>0</v>
      </c>
      <c r="D20482" t="s">
        <v>23500</v>
      </c>
      <c r="E20482" t="s">
        <v>42952</v>
      </c>
    </row>
    <row r="20483" spans="1:5">
      <c r="A20483" t="s">
        <v>6</v>
      </c>
      <c r="B20483" t="s">
        <v>20488</v>
      </c>
      <c r="C20483">
        <f>HYPERLINK("C:\Users\franc\OneDrive\Documentos\MALENTIN KARIME\BANCO CREDITO\FER LORCA en ROSITA (Rosita)\PET\FIRMA- MANLIO\JOSE AGUILERA ALBORNOZ.doc", "Abrir Documento")</f>
        <v>0</v>
      </c>
      <c r="D20483" t="s">
        <v>23500</v>
      </c>
      <c r="E20483" t="s">
        <v>42953</v>
      </c>
    </row>
    <row r="20484" spans="1:5">
      <c r="A20484" t="s">
        <v>6</v>
      </c>
      <c r="B20484" t="s">
        <v>20489</v>
      </c>
      <c r="C20484">
        <f>HYPERLINK("C:\Users\franc\OneDrive\Documentos\MALENTIN KARIME\BANCO CREDITO\FER LORCA en ROSITA (Rosita)\PET\FIRMA- MANLIO\JAVIER ORO BAEZA.doc", "Abrir Documento")</f>
        <v>0</v>
      </c>
      <c r="D20484" t="s">
        <v>23500</v>
      </c>
      <c r="E20484" t="s">
        <v>42954</v>
      </c>
    </row>
    <row r="20485" spans="1:5">
      <c r="A20485" t="s">
        <v>6</v>
      </c>
      <c r="B20485" t="s">
        <v>20490</v>
      </c>
      <c r="C20485">
        <f>HYPERLINK("C:\Users\franc\OneDrive\Documentos\MALENTIN KARIME\BANCO CREDITO\FER LORCA en ROSITA (Rosita)\PET\FIRMA- MANLIO\JACOB MUNDACA GUERRERO.doc", "Abrir Documento")</f>
        <v>0</v>
      </c>
      <c r="D20485" t="s">
        <v>23500</v>
      </c>
      <c r="E20485" t="s">
        <v>42955</v>
      </c>
    </row>
    <row r="20486" spans="1:5">
      <c r="A20486" t="s">
        <v>6</v>
      </c>
      <c r="B20486" t="s">
        <v>20491</v>
      </c>
      <c r="C20486">
        <f>HYPERLINK("C:\Users\franc\OneDrive\Documentos\MALENTIN KARIME\BANCO CREDITO\FER LORCA en ROSITA (Rosita)\PET\FIRMA- MANLIO\ISABEL MARTINEZ PIZARRO.doc", "Abrir Documento")</f>
        <v>0</v>
      </c>
      <c r="D20486" t="s">
        <v>23500</v>
      </c>
      <c r="E20486" t="s">
        <v>42956</v>
      </c>
    </row>
    <row r="20487" spans="1:5">
      <c r="A20487" t="s">
        <v>6</v>
      </c>
      <c r="B20487" t="s">
        <v>20492</v>
      </c>
      <c r="C20487">
        <f>HYPERLINK("C:\Users\franc\OneDrive\Documentos\MALENTIN KARIME\BANCO CREDITO\FER LORCA en ROSITA (Rosita)\PET\FIRMA- MANLIO\INGRID CASTILLO MUÑOZ.doc", "Abrir Documento")</f>
        <v>0</v>
      </c>
      <c r="D20487" t="s">
        <v>23500</v>
      </c>
      <c r="E20487" t="s">
        <v>42957</v>
      </c>
    </row>
    <row r="20488" spans="1:5">
      <c r="A20488" t="s">
        <v>6</v>
      </c>
      <c r="B20488" t="s">
        <v>20493</v>
      </c>
      <c r="C20488">
        <f>HYPERLINK("C:\Users\franc\OneDrive\Documentos\MALENTIN KARIME\BANCO CREDITO\FER LORCA en ROSITA (Rosita)\PET\FIRMA- MANLIO\GUILLERMO VIDAURRE ANDRADES.doc", "Abrir Documento")</f>
        <v>0</v>
      </c>
      <c r="D20488" t="s">
        <v>23500</v>
      </c>
      <c r="E20488" t="s">
        <v>42958</v>
      </c>
    </row>
    <row r="20489" spans="1:5">
      <c r="A20489" t="s">
        <v>6</v>
      </c>
      <c r="B20489" t="s">
        <v>20494</v>
      </c>
      <c r="C20489">
        <f>HYPERLINK("C:\Users\franc\OneDrive\Documentos\MALENTIN KARIME\BANCO CREDITO\FER LORCA en ROSITA (Rosita)\PET\FIRMA- MANLIO\GREGORIO PEREZ CONTRERAS.doc", "Abrir Documento")</f>
        <v>0</v>
      </c>
      <c r="D20489" t="s">
        <v>23500</v>
      </c>
      <c r="E20489" t="s">
        <v>42959</v>
      </c>
    </row>
    <row r="20490" spans="1:5">
      <c r="A20490" t="s">
        <v>6</v>
      </c>
      <c r="B20490" t="s">
        <v>20495</v>
      </c>
      <c r="C20490">
        <f>HYPERLINK("C:\Users\franc\OneDrive\Documentos\MALENTIN KARIME\BANCO CREDITO\FER LORCA en ROSITA (Rosita)\PET\FIRMA- MANLIO\GARY CARVAJAL ALFARO.doc", "Abrir Documento")</f>
        <v>0</v>
      </c>
      <c r="D20490" t="s">
        <v>23500</v>
      </c>
      <c r="E20490" t="s">
        <v>42960</v>
      </c>
    </row>
    <row r="20491" spans="1:5">
      <c r="A20491" t="s">
        <v>6</v>
      </c>
      <c r="B20491" t="s">
        <v>20496</v>
      </c>
      <c r="C20491">
        <f>HYPERLINK("C:\Users\franc\OneDrive\Documentos\MALENTIN KARIME\BANCO CREDITO\FER LORCA en ROSITA (Rosita)\PET\FIRMA- MANLIO\EDUARDO OLIVARES CAMUS.doc", "Abrir Documento")</f>
        <v>0</v>
      </c>
      <c r="D20491" t="s">
        <v>23500</v>
      </c>
      <c r="E20491" t="s">
        <v>42961</v>
      </c>
    </row>
    <row r="20492" spans="1:5">
      <c r="A20492" t="s">
        <v>6</v>
      </c>
      <c r="B20492" t="s">
        <v>20497</v>
      </c>
      <c r="C20492">
        <f>HYPERLINK("C:\Users\franc\OneDrive\Documentos\MALENTIN KARIME\BANCO CREDITO\FER LORCA en ROSITA (Rosita)\PET\FIRMA- MANLIO\DAVID MARIN CASTILLO.doc", "Abrir Documento")</f>
        <v>0</v>
      </c>
      <c r="D20492" t="s">
        <v>23500</v>
      </c>
      <c r="E20492" t="s">
        <v>42962</v>
      </c>
    </row>
    <row r="20493" spans="1:5">
      <c r="A20493" t="s">
        <v>6</v>
      </c>
      <c r="B20493" t="s">
        <v>20498</v>
      </c>
      <c r="C20493">
        <f>HYPERLINK("C:\Users\franc\OneDrive\Documentos\MALENTIN KARIME\BANCO CREDITO\FER LORCA en ROSITA (Rosita)\PET\FIRMA- MANLIO\DANIEL TORRES MENA.doc", "Abrir Documento")</f>
        <v>0</v>
      </c>
      <c r="D20493" t="s">
        <v>23500</v>
      </c>
      <c r="E20493" t="s">
        <v>42963</v>
      </c>
    </row>
    <row r="20494" spans="1:5">
      <c r="A20494" t="s">
        <v>6</v>
      </c>
      <c r="B20494" t="s">
        <v>20499</v>
      </c>
      <c r="C20494">
        <f>HYPERLINK("C:\Users\franc\OneDrive\Documentos\MALENTIN KARIME\BANCO CREDITO\FER LORCA en ROSITA (Rosita)\PET\FIRMA- MANLIO\CLAUDIA NUÑEZ MARTINEZ.doc", "Abrir Documento")</f>
        <v>0</v>
      </c>
      <c r="D20494" t="s">
        <v>23500</v>
      </c>
      <c r="E20494" t="s">
        <v>42964</v>
      </c>
    </row>
    <row r="20495" spans="1:5">
      <c r="A20495" t="s">
        <v>6</v>
      </c>
      <c r="B20495" t="s">
        <v>20500</v>
      </c>
      <c r="C20495">
        <f>HYPERLINK("C:\Users\franc\OneDrive\Documentos\MALENTIN KARIME\BANCO CREDITO\FER LORCA en ROSITA (Rosita)\PET\FIRMA- MANLIO\CAROLINA MALDONADO PIZARRO.doc", "Abrir Documento")</f>
        <v>0</v>
      </c>
      <c r="D20495" t="s">
        <v>23500</v>
      </c>
      <c r="E20495" t="s">
        <v>42965</v>
      </c>
    </row>
    <row r="20496" spans="1:5">
      <c r="A20496" t="s">
        <v>6</v>
      </c>
      <c r="B20496" t="s">
        <v>20501</v>
      </c>
      <c r="C20496">
        <f>HYPERLINK("C:\Users\franc\OneDrive\Documentos\MALENTIN KARIME\BANCO CREDITO\FER LORCA en ROSITA (Rosita)\PET\FIRMA- MANLIO\CARMEN GLORIA CASTILLO CABRERA.doc", "Abrir Documento")</f>
        <v>0</v>
      </c>
      <c r="D20496" t="s">
        <v>23500</v>
      </c>
      <c r="E20496" t="s">
        <v>42966</v>
      </c>
    </row>
    <row r="20497" spans="1:5">
      <c r="A20497" t="s">
        <v>6</v>
      </c>
      <c r="B20497" t="s">
        <v>20502</v>
      </c>
      <c r="C20497">
        <f>HYPERLINK("C:\Users\franc\OneDrive\Documentos\MALENTIN KARIME\BANCO CREDITO\FER LORCA en ROSITA (Rosita)\PET\FIRMA- MANLIO\AURELIA CARVAJAL.doc", "Abrir Documento")</f>
        <v>0</v>
      </c>
      <c r="D20497" t="s">
        <v>23500</v>
      </c>
      <c r="E20497" t="s">
        <v>42967</v>
      </c>
    </row>
    <row r="20498" spans="1:5">
      <c r="A20498" t="s">
        <v>6</v>
      </c>
      <c r="B20498" t="s">
        <v>20503</v>
      </c>
      <c r="C20498">
        <f>HYPERLINK("C:\Users\franc\OneDrive\Documentos\MALENTIN KARIME\BANCO CREDITO\FER LORCA en ROSITA (Rosita)\PET\FIRMA- MANLIO\ARNOLDO CORTES VEGAS.doc", "Abrir Documento")</f>
        <v>0</v>
      </c>
      <c r="D20498" t="s">
        <v>23500</v>
      </c>
      <c r="E20498" t="s">
        <v>42968</v>
      </c>
    </row>
    <row r="20499" spans="1:5">
      <c r="A20499" t="s">
        <v>6</v>
      </c>
      <c r="B20499" t="s">
        <v>20504</v>
      </c>
      <c r="C20499">
        <f>HYPERLINK("C:\Users\franc\OneDrive\Documentos\MALENTIN KARIME\BANCO CREDITO\FER LORCA en ROSITA (Rosita)\PET\FIRMA- MANLIO\ANA MARCELA MILLA NETTLE.doc", "Abrir Documento")</f>
        <v>0</v>
      </c>
      <c r="D20499" t="s">
        <v>23500</v>
      </c>
      <c r="E20499" t="s">
        <v>42969</v>
      </c>
    </row>
    <row r="20500" spans="1:5">
      <c r="A20500" t="s">
        <v>6</v>
      </c>
      <c r="B20500" t="s">
        <v>20505</v>
      </c>
      <c r="C20500">
        <f>HYPERLINK("C:\Users\franc\OneDrive\Documentos\MALENTIN KARIME\BANCO CREDITO\FER LORCA en ROSITA (Rosita)\PET\FIRMA- MANLIO\ALIAN URQUETA AGUIRRE.doc", "Abrir Documento")</f>
        <v>0</v>
      </c>
      <c r="D20500" t="s">
        <v>23500</v>
      </c>
      <c r="E20500" t="s">
        <v>42970</v>
      </c>
    </row>
    <row r="20501" spans="1:5">
      <c r="A20501" t="s">
        <v>6</v>
      </c>
      <c r="B20501" t="s">
        <v>20506</v>
      </c>
      <c r="C20501">
        <f>HYPERLINK("C:\Users\franc\OneDrive\Documentos\MALENTIN KARIME\BANCO CREDITO\FER LORCA en ROSITA (Rosita)\PET\FIRMA- MANLIO\ALFREDO MONSALVE PIZARRO.doc", "Abrir Documento")</f>
        <v>0</v>
      </c>
      <c r="D20501" t="s">
        <v>23500</v>
      </c>
      <c r="E20501" t="s">
        <v>42971</v>
      </c>
    </row>
    <row r="20502" spans="1:5">
      <c r="A20502" t="s">
        <v>6</v>
      </c>
      <c r="B20502" t="s">
        <v>20507</v>
      </c>
      <c r="C20502">
        <f>HYPERLINK("C:\Users\franc\OneDrive\Documentos\MALENTIN KARIME\BANCO CREDITO\FER LORCA en ROSITA (Rosita)\PET\FIRMA- MANLIO\ADELINA SALAZAR ZEPEDA.doc", "Abrir Documento")</f>
        <v>0</v>
      </c>
      <c r="D20502" t="s">
        <v>23500</v>
      </c>
      <c r="E20502" t="s">
        <v>42972</v>
      </c>
    </row>
    <row r="20503" spans="1:5">
      <c r="A20503" t="s">
        <v>6</v>
      </c>
      <c r="B20503" t="s">
        <v>20508</v>
      </c>
      <c r="C20503">
        <f>HYPERLINK("C:\Users\franc\OneDrive\Documentos\MALENTIN KARIME\BANCO CREDITO\FER LORCA en ROSITA (Rosita)\PET\ENERO 09\CERTIFICADOS\CARMEN BERNARDA DIAZ AGUILERA.doc", "Abrir Documento")</f>
        <v>0</v>
      </c>
      <c r="D20503" t="s">
        <v>23500</v>
      </c>
      <c r="E20503" t="s">
        <v>42973</v>
      </c>
    </row>
    <row r="20504" spans="1:5">
      <c r="A20504" t="s">
        <v>6</v>
      </c>
      <c r="B20504" t="s">
        <v>20509</v>
      </c>
      <c r="C20504">
        <f>HYPERLINK("C:\Users\franc\OneDrive\Documentos\MALENTIN KARIME\BANCO CREDITO\FER LORCA en ROSITA (Rosita)\PET\ENERO 09\RUBEN MARCOS ROJAS TABILO.doc", "Abrir Documento")</f>
        <v>0</v>
      </c>
      <c r="D20504" t="s">
        <v>23500</v>
      </c>
      <c r="E20504" t="s">
        <v>42974</v>
      </c>
    </row>
    <row r="20505" spans="1:5">
      <c r="A20505" t="s">
        <v>6</v>
      </c>
      <c r="B20505" t="s">
        <v>20510</v>
      </c>
      <c r="C20505">
        <f>HYPERLINK("C:\Users\franc\OneDrive\Documentos\MALENTIN KARIME\BANCO CREDITO\FER LORCA en ROSITA (Rosita)\PET\ENERO 09\PATRICIO PIZARRO MENDIZABAL.doc", "Abrir Documento")</f>
        <v>0</v>
      </c>
      <c r="D20505" t="s">
        <v>23500</v>
      </c>
      <c r="E20505" t="s">
        <v>42975</v>
      </c>
    </row>
    <row r="20506" spans="1:5">
      <c r="A20506" t="s">
        <v>6</v>
      </c>
      <c r="B20506" t="s">
        <v>20511</v>
      </c>
      <c r="C20506">
        <f>HYPERLINK("C:\Users\franc\OneDrive\Documentos\MALENTIN KARIME\BANCO CREDITO\FER LORCA en ROSITA (Rosita)\PET\ENERO 09\PATRICIO GERARDO VELIZ ESTAY.doc", "Abrir Documento")</f>
        <v>0</v>
      </c>
      <c r="D20506" t="s">
        <v>23500</v>
      </c>
      <c r="E20506" t="s">
        <v>42976</v>
      </c>
    </row>
    <row r="20507" spans="1:5">
      <c r="A20507" t="s">
        <v>6</v>
      </c>
      <c r="B20507" t="s">
        <v>20512</v>
      </c>
      <c r="C20507">
        <f>HYPERLINK("C:\Users\franc\OneDrive\Documentos\MALENTIN KARIME\BANCO CREDITO\FER LORCA en ROSITA (Rosita)\PET\ENERO 09\PATRICIA ELIZABETH MARTINEZ PIZARR.doc", "Abrir Documento")</f>
        <v>0</v>
      </c>
      <c r="D20507" t="s">
        <v>23500</v>
      </c>
      <c r="E20507" t="s">
        <v>42977</v>
      </c>
    </row>
    <row r="20508" spans="1:5">
      <c r="A20508" t="s">
        <v>6</v>
      </c>
      <c r="B20508" t="s">
        <v>20513</v>
      </c>
      <c r="C20508">
        <f>HYPERLINK("C:\Users\franc\OneDrive\Documentos\MALENTIN KARIME\BANCO CREDITO\FER LORCA en ROSITA (Rosita)\PET\ENERO 09\MONICA HAYDEE MILLA CORTES.doc", "Abrir Documento")</f>
        <v>0</v>
      </c>
      <c r="D20508" t="s">
        <v>23500</v>
      </c>
      <c r="E20508" t="s">
        <v>42978</v>
      </c>
    </row>
    <row r="20509" spans="1:5">
      <c r="A20509" t="s">
        <v>6</v>
      </c>
      <c r="B20509" t="s">
        <v>20514</v>
      </c>
      <c r="C20509">
        <f>HYPERLINK("C:\Users\franc\OneDrive\Documentos\MALENTIN KARIME\BANCO CREDITO\FER LORCA en ROSITA (Rosita)\PET\ENERO 09\MAº ELENA GAMBOA BAHAMONDES.doc", "Abrir Documento")</f>
        <v>0</v>
      </c>
      <c r="D20509" t="s">
        <v>23500</v>
      </c>
      <c r="E20509" t="s">
        <v>42979</v>
      </c>
    </row>
    <row r="20510" spans="1:5">
      <c r="A20510" t="s">
        <v>6</v>
      </c>
      <c r="B20510" t="s">
        <v>20515</v>
      </c>
      <c r="C20510">
        <f>HYPERLINK("C:\Users\franc\OneDrive\Documentos\MALENTIN KARIME\BANCO CREDITO\FER LORCA en ROSITA (Rosita)\PET\ENERO 09\MARIA ELENA CONTRERAS VEAS.doc", "Abrir Documento")</f>
        <v>0</v>
      </c>
      <c r="D20510" t="s">
        <v>23500</v>
      </c>
      <c r="E20510" t="s">
        <v>42980</v>
      </c>
    </row>
    <row r="20511" spans="1:5">
      <c r="A20511" t="s">
        <v>6</v>
      </c>
      <c r="B20511" t="s">
        <v>20516</v>
      </c>
      <c r="C20511">
        <f>HYPERLINK("C:\Users\franc\OneDrive\Documentos\MALENTIN KARIME\BANCO CREDITO\FER LORCA en ROSITA (Rosita)\PET\ENERO 09\LUIS ALBERTO PIZARRO AGUILAR.doc", "Abrir Documento")</f>
        <v>0</v>
      </c>
      <c r="D20511" t="s">
        <v>23500</v>
      </c>
      <c r="E20511" t="s">
        <v>42981</v>
      </c>
    </row>
    <row r="20512" spans="1:5">
      <c r="A20512" t="s">
        <v>6</v>
      </c>
      <c r="B20512" t="s">
        <v>20517</v>
      </c>
      <c r="C20512">
        <f>HYPERLINK("C:\Users\franc\OneDrive\Documentos\MALENTIN KARIME\BANCO CREDITO\FER LORCA en ROSITA (Rosita)\PET\ENERO 09\HILDA ALEJANDRA AEDO YAÑEZ.doc", "Abrir Documento")</f>
        <v>0</v>
      </c>
      <c r="D20512" t="s">
        <v>23500</v>
      </c>
      <c r="E20512" t="s">
        <v>42982</v>
      </c>
    </row>
    <row r="20513" spans="1:5">
      <c r="A20513" t="s">
        <v>6</v>
      </c>
      <c r="B20513" t="s">
        <v>20518</v>
      </c>
      <c r="C20513">
        <f>HYPERLINK("C:\Users\franc\OneDrive\Documentos\MALENTIN KARIME\BANCO CREDITO\FER LORCA en ROSITA (Rosita)\PET\ENERO 09\ESTRELLA DEL CARMEN ARANCIBIA MUÑOZ.doc", "Abrir Documento")</f>
        <v>0</v>
      </c>
      <c r="D20513" t="s">
        <v>23500</v>
      </c>
      <c r="E20513" t="s">
        <v>42983</v>
      </c>
    </row>
    <row r="20514" spans="1:5">
      <c r="A20514" t="s">
        <v>6</v>
      </c>
      <c r="B20514" t="s">
        <v>20519</v>
      </c>
      <c r="C20514">
        <f>HYPERLINK("C:\Users\franc\OneDrive\Documentos\MALENTIN KARIME\BANCO CREDITO\FER LORCA en ROSITA (Rosita)\PET\ENERO 09\DOMITILA DEL CARMEN DIAZ LOPEZ.doc", "Abrir Documento")</f>
        <v>0</v>
      </c>
      <c r="D20514" t="s">
        <v>23500</v>
      </c>
      <c r="E20514" t="s">
        <v>42984</v>
      </c>
    </row>
    <row r="20515" spans="1:5">
      <c r="A20515" t="s">
        <v>6</v>
      </c>
      <c r="B20515" t="s">
        <v>20520</v>
      </c>
      <c r="C20515">
        <f>HYPERLINK("C:\Users\franc\OneDrive\Documentos\MALENTIN KARIME\BANCO CREDITO\FER LORCA en ROSITA (Rosita)\PET\ENERO 09\DIONISIA BERNAL VERA.doc", "Abrir Documento")</f>
        <v>0</v>
      </c>
      <c r="D20515" t="s">
        <v>23500</v>
      </c>
      <c r="E20515" t="s">
        <v>42985</v>
      </c>
    </row>
    <row r="20516" spans="1:5">
      <c r="A20516" t="s">
        <v>6</v>
      </c>
      <c r="B20516" t="s">
        <v>20521</v>
      </c>
      <c r="C20516">
        <f>HYPERLINK("C:\Users\franc\OneDrive\Documentos\MALENTIN KARIME\BANCO CREDITO\FER LORCA en ROSITA (Rosita)\PET\ENERO 09\CLAUDIO ALFONSO CASTRO FLORES.doc", "Abrir Documento")</f>
        <v>0</v>
      </c>
      <c r="D20516" t="s">
        <v>23500</v>
      </c>
      <c r="E20516" t="s">
        <v>42986</v>
      </c>
    </row>
    <row r="20517" spans="1:5">
      <c r="A20517" t="s">
        <v>6</v>
      </c>
      <c r="B20517" t="s">
        <v>20522</v>
      </c>
      <c r="C20517">
        <f>HYPERLINK("C:\Users\franc\OneDrive\Documentos\MALENTIN KARIME\BANCO CREDITO\FER LORCA en ROSITA (Rosita)\PET\ENERO 09\CESAR ANTONIO DIAZ NAVARRO.doc", "Abrir Documento")</f>
        <v>0</v>
      </c>
      <c r="D20517" t="s">
        <v>23500</v>
      </c>
      <c r="E20517" t="s">
        <v>42987</v>
      </c>
    </row>
    <row r="20518" spans="1:5">
      <c r="A20518" t="s">
        <v>6</v>
      </c>
      <c r="B20518" t="s">
        <v>20523</v>
      </c>
      <c r="C20518">
        <f>HYPERLINK("C:\Users\franc\OneDrive\Documentos\MALENTIN KARIME\BANCO CREDITO\FER LORCA en ROSITA (Rosita)\PET\ENERO 09\CARMEN BERNARDA DIAZ AGUILERA. (AG.SUP.).doc", "Abrir Documento")</f>
        <v>0</v>
      </c>
      <c r="D20518" t="s">
        <v>23500</v>
      </c>
      <c r="E20518" t="s">
        <v>42988</v>
      </c>
    </row>
    <row r="20519" spans="1:5">
      <c r="A20519" t="s">
        <v>6</v>
      </c>
      <c r="B20519" t="s">
        <v>20524</v>
      </c>
      <c r="C20519">
        <f>HYPERLINK("C:\Users\franc\OneDrive\Documentos\MALENTIN KARIME\BANCO CREDITO\FER LORCA en ROSITA (Rosita)\PET\ENERO 09\BENITO DE LA CRUZ ALFARO ALFARO.doc", "Abrir Documento")</f>
        <v>0</v>
      </c>
      <c r="D20519" t="s">
        <v>23500</v>
      </c>
      <c r="E20519" t="s">
        <v>42989</v>
      </c>
    </row>
    <row r="20520" spans="1:5">
      <c r="A20520" t="s">
        <v>6</v>
      </c>
      <c r="B20520" t="s">
        <v>20525</v>
      </c>
      <c r="C20520">
        <f>HYPERLINK("C:\Users\franc\OneDrive\Documentos\MALENTIN KARIME\BANCO CREDITO\FER LORCA en ROSITA (Rosita)\PET\ENERO 09\AMADIEL DEL ROSARIO ROJO.doc", "Abrir Documento")</f>
        <v>0</v>
      </c>
      <c r="D20520" t="s">
        <v>23500</v>
      </c>
      <c r="E20520" t="s">
        <v>42990</v>
      </c>
    </row>
    <row r="20521" spans="1:5">
      <c r="A20521" t="s">
        <v>6</v>
      </c>
      <c r="B20521" t="s">
        <v>20526</v>
      </c>
      <c r="C20521">
        <f>HYPERLINK("C:\Users\franc\OneDrive\Documentos\MALENTIN KARIME\BANCO CREDITO\FER LORCA en ROSITA (Rosita)\PET\CERTIFICADO SIN EFECTO\NELSON CUELLAR.doc", "Abrir Documento")</f>
        <v>0</v>
      </c>
      <c r="D20521" t="s">
        <v>23500</v>
      </c>
      <c r="E20521" t="s">
        <v>42991</v>
      </c>
    </row>
    <row r="20522" spans="1:5">
      <c r="A20522" t="s">
        <v>6</v>
      </c>
      <c r="B20522" t="s">
        <v>20527</v>
      </c>
      <c r="C20522">
        <f>HYPERLINK("C:\Users\franc\OneDrive\Documentos\MALENTIN KARIME\BANCO CREDITO\FER LORCA en ROSITA (Rosita)\PET\AGOSTO\CERTIFICADOS\VILMA LASTARRIA PERALTA, REP. 1678.doc", "Abrir Documento")</f>
        <v>0</v>
      </c>
      <c r="D20522" t="s">
        <v>23500</v>
      </c>
      <c r="E20522" t="s">
        <v>42992</v>
      </c>
    </row>
    <row r="20523" spans="1:5">
      <c r="A20523" t="s">
        <v>6</v>
      </c>
      <c r="B20523" t="s">
        <v>20528</v>
      </c>
      <c r="C20523">
        <f>HYPERLINK("C:\Users\franc\OneDrive\Documentos\MALENTIN KARIME\BANCO CREDITO\FER LORCA en ROSITA (Rosita)\PET\AGOSTO\CERTIFICADOS\VERONICA FLORES FARIAS.doc", "Abrir Documento")</f>
        <v>0</v>
      </c>
      <c r="D20523" t="s">
        <v>23500</v>
      </c>
      <c r="E20523" t="s">
        <v>42993</v>
      </c>
    </row>
    <row r="20524" spans="1:5">
      <c r="A20524" t="s">
        <v>6</v>
      </c>
      <c r="B20524" t="s">
        <v>20529</v>
      </c>
      <c r="C20524">
        <f>HYPERLINK("C:\Users\franc\OneDrive\Documentos\MALENTIN KARIME\BANCO CREDITO\FER LORCA en ROSITA (Rosita)\PET\AGOSTO\CERTIFICADOS\SANTIAGO URQUETA HENRIQUEZ, REP. 1687..doc", "Abrir Documento")</f>
        <v>0</v>
      </c>
      <c r="D20524" t="s">
        <v>23500</v>
      </c>
      <c r="E20524" t="s">
        <v>42994</v>
      </c>
    </row>
    <row r="20525" spans="1:5">
      <c r="A20525" t="s">
        <v>6</v>
      </c>
      <c r="B20525" t="s">
        <v>20530</v>
      </c>
      <c r="C20525">
        <f>HYPERLINK("C:\Users\franc\OneDrive\Documentos\MALENTIN KARIME\BANCO CREDITO\FER LORCA en ROSITA (Rosita)\PET\AGOSTO\CERTIFICADOS\RICARDO CORTES CARVAJAL.doc", "Abrir Documento")</f>
        <v>0</v>
      </c>
      <c r="D20525" t="s">
        <v>23500</v>
      </c>
      <c r="E20525" t="s">
        <v>42995</v>
      </c>
    </row>
    <row r="20526" spans="1:5">
      <c r="A20526" t="s">
        <v>6</v>
      </c>
      <c r="B20526" t="s">
        <v>20531</v>
      </c>
      <c r="C20526">
        <f>HYPERLINK("C:\Users\franc\OneDrive\Documentos\MALENTIN KARIME\BANCO CREDITO\FER LORCA en ROSITA (Rosita)\PET\AGOSTO\CERTIFICADOS\OMAR CAMPOS. REP.1598.doc", "Abrir Documento")</f>
        <v>0</v>
      </c>
      <c r="D20526" t="s">
        <v>23500</v>
      </c>
      <c r="E20526" t="s">
        <v>42996</v>
      </c>
    </row>
    <row r="20527" spans="1:5">
      <c r="A20527" t="s">
        <v>6</v>
      </c>
      <c r="B20527" t="s">
        <v>20532</v>
      </c>
      <c r="C20527">
        <f>HYPERLINK("C:\Users\franc\OneDrive\Documentos\MALENTIN KARIME\BANCO CREDITO\FER LORCA en ROSITA (Rosita)\PET\AGOSTO\CERTIFICADOS\OLGA ALFARO GAMBOA, REP. 1674.doc", "Abrir Documento")</f>
        <v>0</v>
      </c>
      <c r="D20527" t="s">
        <v>23500</v>
      </c>
      <c r="E20527" t="s">
        <v>42997</v>
      </c>
    </row>
    <row r="20528" spans="1:5">
      <c r="A20528" t="s">
        <v>6</v>
      </c>
      <c r="B20528" t="s">
        <v>20533</v>
      </c>
      <c r="C20528">
        <f>HYPERLINK("C:\Users\franc\OneDrive\Documentos\MALENTIN KARIME\BANCO CREDITO\FER LORCA en ROSITA (Rosita)\PET\AGOSTO\CERTIFICADOS\NELSON CORTES BARRAZA, REP. 1672.doc", "Abrir Documento")</f>
        <v>0</v>
      </c>
      <c r="D20528" t="s">
        <v>23500</v>
      </c>
      <c r="E20528" t="s">
        <v>42998</v>
      </c>
    </row>
    <row r="20529" spans="1:5">
      <c r="A20529" t="s">
        <v>6</v>
      </c>
      <c r="B20529" t="s">
        <v>20534</v>
      </c>
      <c r="C20529">
        <f>HYPERLINK("C:\Users\franc\OneDrive\Documentos\MALENTIN KARIME\BANCO CREDITO\FER LORCA en ROSITA (Rosita)\PET\AGOSTO\CERTIFICADOS\MARIA LUCY AVILA.doc", "Abrir Documento")</f>
        <v>0</v>
      </c>
      <c r="D20529" t="s">
        <v>23500</v>
      </c>
      <c r="E20529" t="s">
        <v>42999</v>
      </c>
    </row>
    <row r="20530" spans="1:5">
      <c r="A20530" t="s">
        <v>6</v>
      </c>
      <c r="B20530" t="s">
        <v>20535</v>
      </c>
      <c r="C20530">
        <f>HYPERLINK("C:\Users\franc\OneDrive\Documentos\MALENTIN KARIME\BANCO CREDITO\FER LORCA en ROSITA (Rosita)\PET\AGOSTO\CERTIFICADOS\MARIA CONTRERAS VEAS.doc", "Abrir Documento")</f>
        <v>0</v>
      </c>
      <c r="D20530" t="s">
        <v>23500</v>
      </c>
      <c r="E20530" t="s">
        <v>43000</v>
      </c>
    </row>
    <row r="20531" spans="1:5">
      <c r="A20531" t="s">
        <v>6</v>
      </c>
      <c r="B20531" t="s">
        <v>20536</v>
      </c>
      <c r="C20531">
        <f>HYPERLINK("C:\Users\franc\OneDrive\Documentos\MALENTIN KARIME\BANCO CREDITO\FER LORCA en ROSITA (Rosita)\PET\AGOSTO\CERTIFICADOS\JUAN CARLOS TAPIA BARRERA.doc", "Abrir Documento")</f>
        <v>0</v>
      </c>
      <c r="D20531" t="s">
        <v>23500</v>
      </c>
      <c r="E20531" t="s">
        <v>43001</v>
      </c>
    </row>
    <row r="20532" spans="1:5">
      <c r="A20532" t="s">
        <v>6</v>
      </c>
      <c r="B20532" t="s">
        <v>20537</v>
      </c>
      <c r="C20532">
        <f>HYPERLINK("C:\Users\franc\OneDrive\Documentos\MALENTIN KARIME\BANCO CREDITO\FER LORCA en ROSITA (Rosita)\PET\AGOSTO\CERTIFICADOS\JAVIER ROJAS MIRANDA, REP. 1673.doc", "Abrir Documento")</f>
        <v>0</v>
      </c>
      <c r="D20532" t="s">
        <v>23500</v>
      </c>
      <c r="E20532" t="s">
        <v>43002</v>
      </c>
    </row>
    <row r="20533" spans="1:5">
      <c r="A20533" t="s">
        <v>6</v>
      </c>
      <c r="B20533" t="s">
        <v>20538</v>
      </c>
      <c r="C20533">
        <f>HYPERLINK("C:\Users\franc\OneDrive\Documentos\MALENTIN KARIME\BANCO CREDITO\FER LORCA en ROSITA (Rosita)\PET\AGOSTO\CERTIFICADOS\IRMA ARAYA CORTES.doc", "Abrir Documento")</f>
        <v>0</v>
      </c>
      <c r="D20533" t="s">
        <v>23500</v>
      </c>
      <c r="E20533" t="s">
        <v>43003</v>
      </c>
    </row>
    <row r="20534" spans="1:5">
      <c r="A20534" t="s">
        <v>6</v>
      </c>
      <c r="B20534" t="s">
        <v>20539</v>
      </c>
      <c r="C20534">
        <f>HYPERLINK("C:\Users\franc\OneDrive\Documentos\MALENTIN KARIME\BANCO CREDITO\FER LORCA en ROSITA (Rosita)\PET\AGOSTO\CERTIFICADOS\DAVID JIMENEZ BRUCE.doc", "Abrir Documento")</f>
        <v>0</v>
      </c>
      <c r="D20534" t="s">
        <v>23500</v>
      </c>
      <c r="E20534" t="s">
        <v>43004</v>
      </c>
    </row>
    <row r="20535" spans="1:5">
      <c r="A20535" t="s">
        <v>6</v>
      </c>
      <c r="B20535" t="s">
        <v>20540</v>
      </c>
      <c r="C20535">
        <f>HYPERLINK("C:\Users\franc\OneDrive\Documentos\MALENTIN KARIME\BANCO CREDITO\FER LORCA en ROSITA (Rosita)\PET\AGOSTO\CERTIFICADOS\CRISTIAN JARA ENCINAREP.1649.doc", "Abrir Documento")</f>
        <v>0</v>
      </c>
      <c r="D20535" t="s">
        <v>23500</v>
      </c>
      <c r="E20535" t="s">
        <v>43005</v>
      </c>
    </row>
    <row r="20536" spans="1:5">
      <c r="A20536" t="s">
        <v>6</v>
      </c>
      <c r="B20536" t="s">
        <v>20541</v>
      </c>
      <c r="C20536">
        <f>HYPERLINK("C:\Users\franc\OneDrive\Documentos\MALENTIN KARIME\BANCO CREDITO\FER LORCA en ROSITA (Rosita)\PET\AGOSTO\CERTIFICADOS\CERT. PEDRO BRITO CASTILLO.doc", "Abrir Documento")</f>
        <v>0</v>
      </c>
      <c r="D20536" t="s">
        <v>23500</v>
      </c>
      <c r="E20536" t="s">
        <v>43006</v>
      </c>
    </row>
    <row r="20537" spans="1:5">
      <c r="A20537" t="s">
        <v>6</v>
      </c>
      <c r="B20537" t="s">
        <v>20542</v>
      </c>
      <c r="C20537">
        <f>HYPERLINK("C:\Users\franc\OneDrive\Documentos\MALENTIN KARIME\BANCO CREDITO\FER LORCA en ROSITA (Rosita)\PET\AGOSTO\CERTIFICADOS\CERT. PAULINA CASANOVA REP.1604.doc", "Abrir Documento")</f>
        <v>0</v>
      </c>
      <c r="D20537" t="s">
        <v>23500</v>
      </c>
      <c r="E20537" t="s">
        <v>43007</v>
      </c>
    </row>
    <row r="20538" spans="1:5">
      <c r="A20538" t="s">
        <v>6</v>
      </c>
      <c r="B20538" t="s">
        <v>20543</v>
      </c>
      <c r="C20538">
        <f>HYPERLINK("C:\Users\franc\OneDrive\Documentos\MALENTIN KARIME\BANCO CREDITO\FER LORCA en ROSITA (Rosita)\PET\AGOSTO\CERTIFICADOS\CARMEN FAJARDO ROJAS.doc", "Abrir Documento")</f>
        <v>0</v>
      </c>
      <c r="D20538" t="s">
        <v>23500</v>
      </c>
      <c r="E20538" t="s">
        <v>43008</v>
      </c>
    </row>
    <row r="20539" spans="1:5">
      <c r="A20539" t="s">
        <v>6</v>
      </c>
      <c r="B20539" t="s">
        <v>20544</v>
      </c>
      <c r="C20539">
        <f>HYPERLINK("C:\Users\franc\OneDrive\Documentos\MALENTIN KARIME\BANCO CREDITO\FER LORCA en ROSITA (Rosita)\PET\AGOSTO\CERTIFICADOS\ARMINDA ABALOS REP. 1688.doc", "Abrir Documento")</f>
        <v>0</v>
      </c>
      <c r="D20539" t="s">
        <v>23500</v>
      </c>
      <c r="E20539" t="s">
        <v>43009</v>
      </c>
    </row>
    <row r="20540" spans="1:5">
      <c r="A20540" t="s">
        <v>6</v>
      </c>
      <c r="B20540" t="s">
        <v>20545</v>
      </c>
      <c r="C20540">
        <f>HYPERLINK("C:\Users\franc\OneDrive\Documentos\MALENTIN KARIME\BANCO CREDITO\FER LORCA en ROSITA (Rosita)\PET\AGOSTO\VILMA LASTARRIA PERALTA.doc", "Abrir Documento")</f>
        <v>0</v>
      </c>
      <c r="D20540" t="s">
        <v>23500</v>
      </c>
      <c r="E20540" t="s">
        <v>43010</v>
      </c>
    </row>
    <row r="20541" spans="1:5">
      <c r="A20541" t="s">
        <v>6</v>
      </c>
      <c r="B20541" t="s">
        <v>20546</v>
      </c>
      <c r="C20541">
        <f>HYPERLINK("C:\Users\franc\OneDrive\Documentos\MALENTIN KARIME\BANCO CREDITO\FER LORCA en ROSITA (Rosita)\PET\AGOSTO\VERONICA FLORES FARIAS.doc", "Abrir Documento")</f>
        <v>0</v>
      </c>
      <c r="D20541" t="s">
        <v>23500</v>
      </c>
      <c r="E20541" t="s">
        <v>43011</v>
      </c>
    </row>
    <row r="20542" spans="1:5">
      <c r="A20542" t="s">
        <v>6</v>
      </c>
      <c r="B20542" t="s">
        <v>20547</v>
      </c>
      <c r="C20542">
        <f>HYPERLINK("C:\Users\franc\OneDrive\Documentos\MALENTIN KARIME\BANCO CREDITO\FER LORCA en ROSITA (Rosita)\PET\AGOSTO\SOLANGE BARRAZA MUÑOZ.doc", "Abrir Documento")</f>
        <v>0</v>
      </c>
      <c r="D20542" t="s">
        <v>23500</v>
      </c>
      <c r="E20542" t="s">
        <v>43012</v>
      </c>
    </row>
    <row r="20543" spans="1:5">
      <c r="A20543" t="s">
        <v>6</v>
      </c>
      <c r="B20543" t="s">
        <v>20548</v>
      </c>
      <c r="C20543">
        <f>HYPERLINK("C:\Users\franc\OneDrive\Documentos\MALENTIN KARIME\BANCO CREDITO\FER LORCA en ROSITA (Rosita)\PET\AGOSTO\SIRLE MIRANDA HENRIQUEZ.doc", "Abrir Documento")</f>
        <v>0</v>
      </c>
      <c r="D20543" t="s">
        <v>23500</v>
      </c>
      <c r="E20543" t="s">
        <v>43013</v>
      </c>
    </row>
    <row r="20544" spans="1:5">
      <c r="A20544" t="s">
        <v>6</v>
      </c>
      <c r="B20544" t="s">
        <v>20549</v>
      </c>
      <c r="C20544">
        <f>HYPERLINK("C:\Users\franc\OneDrive\Documentos\MALENTIN KARIME\BANCO CREDITO\FER LORCA en ROSITA (Rosita)\PET\AGOSTO\SERGIO CORREA AGUILERA.doc", "Abrir Documento")</f>
        <v>0</v>
      </c>
      <c r="D20544" t="s">
        <v>23500</v>
      </c>
      <c r="E20544" t="s">
        <v>43014</v>
      </c>
    </row>
    <row r="20545" spans="1:5">
      <c r="A20545" t="s">
        <v>6</v>
      </c>
      <c r="B20545" t="s">
        <v>20550</v>
      </c>
      <c r="C20545">
        <f>HYPERLINK("C:\Users\franc\OneDrive\Documentos\MALENTIN KARIME\BANCO CREDITO\FER LORCA en ROSITA (Rosita)\PET\AGOSTO\SANTIAGO URQUETA HENRIQUEZ].doc", "Abrir Documento")</f>
        <v>0</v>
      </c>
      <c r="D20545" t="s">
        <v>23500</v>
      </c>
      <c r="E20545" t="s">
        <v>43015</v>
      </c>
    </row>
    <row r="20546" spans="1:5">
      <c r="A20546" t="s">
        <v>6</v>
      </c>
      <c r="B20546" t="s">
        <v>20551</v>
      </c>
      <c r="C20546">
        <f>HYPERLINK("C:\Users\franc\OneDrive\Documentos\MALENTIN KARIME\BANCO CREDITO\FER LORCA en ROSITA (Rosita)\PET\AGOSTO\RICARDO CORTES CARVAJAL.doc", "Abrir Documento")</f>
        <v>0</v>
      </c>
      <c r="D20546" t="s">
        <v>23500</v>
      </c>
      <c r="E20546" t="s">
        <v>43016</v>
      </c>
    </row>
    <row r="20547" spans="1:5">
      <c r="A20547" t="s">
        <v>6</v>
      </c>
      <c r="B20547" t="s">
        <v>20552</v>
      </c>
      <c r="C20547">
        <f>HYPERLINK("C:\Users\franc\OneDrive\Documentos\MALENTIN KARIME\BANCO CREDITO\FER LORCA en ROSITA (Rosita)\PET\AGOSTO\PAULINA CASANOVA BARRAZA.SIN_CONYUGE.doc", "Abrir Documento")</f>
        <v>0</v>
      </c>
      <c r="D20547" t="s">
        <v>23500</v>
      </c>
      <c r="E20547" t="s">
        <v>43017</v>
      </c>
    </row>
    <row r="20548" spans="1:5">
      <c r="A20548" t="s">
        <v>6</v>
      </c>
      <c r="B20548" t="s">
        <v>20553</v>
      </c>
      <c r="C20548">
        <f>HYPERLINK("C:\Users\franc\OneDrive\Documentos\MALENTIN KARIME\BANCO CREDITO\FER LORCA en ROSITA (Rosita)\PET\AGOSTO\PATRICIO VELIZ ESTAY.doc", "Abrir Documento")</f>
        <v>0</v>
      </c>
      <c r="D20548" t="s">
        <v>23500</v>
      </c>
      <c r="E20548" t="s">
        <v>43018</v>
      </c>
    </row>
    <row r="20549" spans="1:5">
      <c r="A20549" t="s">
        <v>6</v>
      </c>
      <c r="B20549" t="s">
        <v>20554</v>
      </c>
      <c r="C20549">
        <f>HYPERLINK("C:\Users\franc\OneDrive\Documentos\MALENTIN KARIME\BANCO CREDITO\FER LORCA en ROSITA (Rosita)\PET\AGOSTO\OMAR CAMPOS RAMOS.doc", "Abrir Documento")</f>
        <v>0</v>
      </c>
      <c r="D20549" t="s">
        <v>23500</v>
      </c>
      <c r="E20549" t="s">
        <v>43019</v>
      </c>
    </row>
    <row r="20550" spans="1:5">
      <c r="A20550" t="s">
        <v>6</v>
      </c>
      <c r="B20550" t="s">
        <v>20555</v>
      </c>
      <c r="C20550">
        <f>HYPERLINK("C:\Users\franc\OneDrive\Documentos\MALENTIN KARIME\BANCO CREDITO\FER LORCA en ROSITA (Rosita)\PET\AGOSTO\OLGA ALFARO GAMBOA.doc", "Abrir Documento")</f>
        <v>0</v>
      </c>
      <c r="D20550" t="s">
        <v>23500</v>
      </c>
      <c r="E20550" t="s">
        <v>43020</v>
      </c>
    </row>
    <row r="20551" spans="1:5">
      <c r="A20551" t="s">
        <v>6</v>
      </c>
      <c r="B20551" t="s">
        <v>20556</v>
      </c>
      <c r="C20551">
        <f>HYPERLINK("C:\Users\franc\OneDrive\Documentos\MALENTIN KARIME\BANCO CREDITO\FER LORCA en ROSITA (Rosita)\PET\AGOSTO\NELSON VARGAS OPORTO.doc", "Abrir Documento")</f>
        <v>0</v>
      </c>
      <c r="D20551" t="s">
        <v>23500</v>
      </c>
      <c r="E20551" t="s">
        <v>43021</v>
      </c>
    </row>
    <row r="20552" spans="1:5">
      <c r="A20552" t="s">
        <v>6</v>
      </c>
      <c r="B20552" t="s">
        <v>20557</v>
      </c>
      <c r="C20552">
        <f>HYPERLINK("C:\Users\franc\OneDrive\Documentos\MALENTIN KARIME\BANCO CREDITO\FER LORCA en ROSITA (Rosita)\PET\AGOSTO\NELSON CORTES BARRAZA+.doc", "Abrir Documento")</f>
        <v>0</v>
      </c>
      <c r="D20552" t="s">
        <v>23500</v>
      </c>
      <c r="E20552" t="s">
        <v>43022</v>
      </c>
    </row>
    <row r="20553" spans="1:5">
      <c r="A20553" t="s">
        <v>6</v>
      </c>
      <c r="B20553" t="s">
        <v>20558</v>
      </c>
      <c r="C20553">
        <f>HYPERLINK("C:\Users\franc\OneDrive\Documentos\MALENTIN KARIME\BANCO CREDITO\FER LORCA en ROSITA (Rosita)\PET\AGOSTO\MONICA MILLA CORTES.doc", "Abrir Documento")</f>
        <v>0</v>
      </c>
      <c r="D20553" t="s">
        <v>23500</v>
      </c>
      <c r="E20553" t="s">
        <v>43023</v>
      </c>
    </row>
    <row r="20554" spans="1:5">
      <c r="A20554" t="s">
        <v>6</v>
      </c>
      <c r="B20554" t="s">
        <v>20559</v>
      </c>
      <c r="C20554">
        <f>HYPERLINK("C:\Users\franc\OneDrive\Documentos\MALENTIN KARIME\BANCO CREDITO\FER LORCA en ROSITA (Rosita)\PET\AGOSTO\MARIA LUCY AVILA AVILA.doc", "Abrir Documento")</f>
        <v>0</v>
      </c>
      <c r="D20554" t="s">
        <v>23500</v>
      </c>
      <c r="E20554" t="s">
        <v>43024</v>
      </c>
    </row>
    <row r="20555" spans="1:5">
      <c r="A20555" t="s">
        <v>6</v>
      </c>
      <c r="B20555" t="s">
        <v>20560</v>
      </c>
      <c r="C20555">
        <f>HYPERLINK("C:\Users\franc\OneDrive\Documentos\MALENTIN KARIME\BANCO CREDITO\FER LORCA en ROSITA (Rosita)\PET\AGOSTO\MARIA GAMBOA BAHAMONDES.doc", "Abrir Documento")</f>
        <v>0</v>
      </c>
      <c r="D20555" t="s">
        <v>23500</v>
      </c>
      <c r="E20555" t="s">
        <v>43025</v>
      </c>
    </row>
    <row r="20556" spans="1:5">
      <c r="A20556" t="s">
        <v>6</v>
      </c>
      <c r="B20556" t="s">
        <v>20561</v>
      </c>
      <c r="C20556">
        <f>HYPERLINK("C:\Users\franc\OneDrive\Documentos\MALENTIN KARIME\BANCO CREDITO\FER LORCA en ROSITA (Rosita)\PET\AGOSTO\MARIA CONTRERAS VEAS.doc", "Abrir Documento")</f>
        <v>0</v>
      </c>
      <c r="D20556" t="s">
        <v>23500</v>
      </c>
      <c r="E20556" t="s">
        <v>43026</v>
      </c>
    </row>
    <row r="20557" spans="1:5">
      <c r="A20557" t="s">
        <v>6</v>
      </c>
      <c r="B20557" t="s">
        <v>20562</v>
      </c>
      <c r="C20557">
        <f>HYPERLINK("C:\Users\franc\OneDrive\Documentos\MALENTIN KARIME\BANCO CREDITO\FER LORCA en ROSITA (Rosita)\PET\AGOSTO\LUISA GONZALEZ DIAZ.doc", "Abrir Documento")</f>
        <v>0</v>
      </c>
      <c r="D20557" t="s">
        <v>23500</v>
      </c>
      <c r="E20557" t="s">
        <v>43027</v>
      </c>
    </row>
    <row r="20558" spans="1:5">
      <c r="A20558" t="s">
        <v>6</v>
      </c>
      <c r="B20558" t="s">
        <v>20563</v>
      </c>
      <c r="C20558">
        <f>HYPERLINK("C:\Users\franc\OneDrive\Documentos\MALENTIN KARIME\BANCO CREDITO\FER LORCA en ROSITA (Rosita)\PET\AGOSTO\LUIS PIZARRO AGUILAR.doc", "Abrir Documento")</f>
        <v>0</v>
      </c>
      <c r="D20558" t="s">
        <v>23500</v>
      </c>
      <c r="E20558" t="s">
        <v>43028</v>
      </c>
    </row>
    <row r="20559" spans="1:5">
      <c r="A20559" t="s">
        <v>6</v>
      </c>
      <c r="B20559" t="s">
        <v>20564</v>
      </c>
      <c r="C20559">
        <f>HYPERLINK("C:\Users\franc\OneDrive\Documentos\MALENTIN KARIME\BANCO CREDITO\FER LORCA en ROSITA (Rosita)\PET\AGOSTO\LORENA FAJARDO ROJAS.doc", "Abrir Documento")</f>
        <v>0</v>
      </c>
      <c r="D20559" t="s">
        <v>23500</v>
      </c>
      <c r="E20559" t="s">
        <v>43029</v>
      </c>
    </row>
    <row r="20560" spans="1:5">
      <c r="A20560" t="s">
        <v>6</v>
      </c>
      <c r="B20560" t="s">
        <v>20565</v>
      </c>
      <c r="C20560">
        <f>HYPERLINK("C:\Users\franc\OneDrive\Documentos\MALENTIN KARIME\BANCO CREDITO\FER LORCA en ROSITA (Rosita)\PET\AGOSTO\JUAN CARLOS TAPIA BARRERA].doc", "Abrir Documento")</f>
        <v>0</v>
      </c>
      <c r="D20560" t="s">
        <v>23500</v>
      </c>
      <c r="E20560" t="s">
        <v>43030</v>
      </c>
    </row>
    <row r="20561" spans="1:5">
      <c r="A20561" t="s">
        <v>6</v>
      </c>
      <c r="B20561" t="s">
        <v>20566</v>
      </c>
      <c r="C20561">
        <f>HYPERLINK("C:\Users\franc\OneDrive\Documentos\MALENTIN KARIME\BANCO CREDITO\FER LORCA en ROSITA (Rosita)\PET\AGOSTO\JUAN CARLOS CONCHA GALLARDO.doc", "Abrir Documento")</f>
        <v>0</v>
      </c>
      <c r="D20561" t="s">
        <v>23500</v>
      </c>
      <c r="E20561" t="s">
        <v>43031</v>
      </c>
    </row>
    <row r="20562" spans="1:5">
      <c r="A20562" t="s">
        <v>6</v>
      </c>
      <c r="B20562" t="s">
        <v>20567</v>
      </c>
      <c r="C20562">
        <f>HYPERLINK("C:\Users\franc\OneDrive\Documentos\MALENTIN KARIME\BANCO CREDITO\FER LORCA en ROSITA (Rosita)\PET\AGOSTO\JOSE TAPIA MUJICA.doc", "Abrir Documento")</f>
        <v>0</v>
      </c>
      <c r="D20562" t="s">
        <v>23500</v>
      </c>
      <c r="E20562" t="s">
        <v>43032</v>
      </c>
    </row>
    <row r="20563" spans="1:5">
      <c r="A20563" t="s">
        <v>6</v>
      </c>
      <c r="B20563" t="s">
        <v>20568</v>
      </c>
      <c r="C20563">
        <f>HYPERLINK("C:\Users\franc\OneDrive\Documentos\MALENTIN KARIME\BANCO CREDITO\FER LORCA en ROSITA (Rosita)\PET\AGOSTO\JHON TELLO MERELLO.doc", "Abrir Documento")</f>
        <v>0</v>
      </c>
      <c r="D20563" t="s">
        <v>23500</v>
      </c>
      <c r="E20563" t="s">
        <v>43033</v>
      </c>
    </row>
    <row r="20564" spans="1:5">
      <c r="A20564" t="s">
        <v>6</v>
      </c>
      <c r="B20564" t="s">
        <v>20569</v>
      </c>
      <c r="C20564">
        <f>HYPERLINK("C:\Users\franc\OneDrive\Documentos\MALENTIN KARIME\BANCO CREDITO\FER LORCA en ROSITA (Rosita)\PET\AGOSTO\JEISY GALLARDO OSSANDON.doc", "Abrir Documento")</f>
        <v>0</v>
      </c>
      <c r="D20564" t="s">
        <v>23500</v>
      </c>
      <c r="E20564" t="s">
        <v>43034</v>
      </c>
    </row>
    <row r="20565" spans="1:5">
      <c r="A20565" t="s">
        <v>6</v>
      </c>
      <c r="B20565" t="s">
        <v>20570</v>
      </c>
      <c r="C20565">
        <f>HYPERLINK("C:\Users\franc\OneDrive\Documentos\MALENTIN KARIME\BANCO CREDITO\FER LORCA en ROSITA (Rosita)\PET\AGOSTO\JAVIER ROJAS MIRANDA.doc", "Abrir Documento")</f>
        <v>0</v>
      </c>
      <c r="D20565" t="s">
        <v>23500</v>
      </c>
      <c r="E20565" t="s">
        <v>43035</v>
      </c>
    </row>
    <row r="20566" spans="1:5">
      <c r="A20566" t="s">
        <v>6</v>
      </c>
      <c r="B20566" t="s">
        <v>20571</v>
      </c>
      <c r="C20566">
        <f>HYPERLINK("C:\Users\franc\OneDrive\Documentos\MALENTIN KARIME\BANCO CREDITO\FER LORCA en ROSITA (Rosita)\PET\AGOSTO\IRMA ARAYA CORTES.doc", "Abrir Documento")</f>
        <v>0</v>
      </c>
      <c r="D20566" t="s">
        <v>23500</v>
      </c>
      <c r="E20566" t="s">
        <v>43036</v>
      </c>
    </row>
    <row r="20567" spans="1:5">
      <c r="A20567" t="s">
        <v>6</v>
      </c>
      <c r="B20567" t="s">
        <v>20572</v>
      </c>
      <c r="C20567">
        <f>HYPERLINK("C:\Users\franc\OneDrive\Documentos\MALENTIN KARIME\BANCO CREDITO\FER LORCA en ROSITA (Rosita)\PET\AGOSTO\GINO GALEGUILLOS.doc", "Abrir Documento")</f>
        <v>0</v>
      </c>
      <c r="D20567" t="s">
        <v>23500</v>
      </c>
      <c r="E20567" t="s">
        <v>43037</v>
      </c>
    </row>
    <row r="20568" spans="1:5">
      <c r="A20568" t="s">
        <v>6</v>
      </c>
      <c r="B20568" t="s">
        <v>20573</v>
      </c>
      <c r="C20568">
        <f>HYPERLINK("C:\Users\franc\OneDrive\Documentos\MALENTIN KARIME\BANCO CREDITO\FER LORCA en ROSITA (Rosita)\PET\AGOSTO\ESTRELLA ARANCIBIA MUÑOZ.doc", "Abrir Documento")</f>
        <v>0</v>
      </c>
      <c r="D20568" t="s">
        <v>23500</v>
      </c>
      <c r="E20568" t="s">
        <v>43038</v>
      </c>
    </row>
    <row r="20569" spans="1:5">
      <c r="A20569" t="s">
        <v>6</v>
      </c>
      <c r="B20569" t="s">
        <v>20574</v>
      </c>
      <c r="C20569">
        <f>HYPERLINK("C:\Users\franc\OneDrive\Documentos\MALENTIN KARIME\BANCO CREDITO\FER LORCA en ROSITA (Rosita)\PET\AGOSTO\DOMITILA DIAZ LOPEZ.doc", "Abrir Documento")</f>
        <v>0</v>
      </c>
      <c r="D20569" t="s">
        <v>23500</v>
      </c>
      <c r="E20569" t="s">
        <v>43039</v>
      </c>
    </row>
    <row r="20570" spans="1:5">
      <c r="A20570" t="s">
        <v>6</v>
      </c>
      <c r="B20570" t="s">
        <v>20575</v>
      </c>
      <c r="C20570">
        <f>HYPERLINK("C:\Users\franc\OneDrive\Documentos\MALENTIN KARIME\BANCO CREDITO\FER LORCA en ROSITA (Rosita)\PET\AGOSTO\DIONISIA BERNAL VERA.doc", "Abrir Documento")</f>
        <v>0</v>
      </c>
      <c r="D20570" t="s">
        <v>23500</v>
      </c>
      <c r="E20570" t="s">
        <v>43040</v>
      </c>
    </row>
    <row r="20571" spans="1:5">
      <c r="A20571" t="s">
        <v>6</v>
      </c>
      <c r="B20571" t="s">
        <v>20576</v>
      </c>
      <c r="C20571">
        <f>HYPERLINK("C:\Users\franc\OneDrive\Documentos\MALENTIN KARIME\BANCO CREDITO\FER LORCA en ROSITA (Rosita)\PET\AGOSTO\DAVID JIMENEZ BRUCE- CLAUSULA ESPE.doc", "Abrir Documento")</f>
        <v>0</v>
      </c>
      <c r="D20571" t="s">
        <v>23500</v>
      </c>
      <c r="E20571" t="s">
        <v>43041</v>
      </c>
    </row>
    <row r="20572" spans="1:5">
      <c r="A20572" t="s">
        <v>6</v>
      </c>
      <c r="B20572" t="s">
        <v>20577</v>
      </c>
      <c r="C20572">
        <f>HYPERLINK("C:\Users\franc\OneDrive\Documentos\MALENTIN KARIME\BANCO CREDITO\FER LORCA en ROSITA (Rosita)\PET\AGOSTO\CRISTIAN JARA ENCINA.doc", "Abrir Documento")</f>
        <v>0</v>
      </c>
      <c r="D20572" t="s">
        <v>23500</v>
      </c>
      <c r="E20572" t="s">
        <v>43042</v>
      </c>
    </row>
    <row r="20573" spans="1:5">
      <c r="A20573" t="s">
        <v>6</v>
      </c>
      <c r="B20573" t="s">
        <v>20578</v>
      </c>
      <c r="C20573">
        <f>HYPERLINK("C:\Users\franc\OneDrive\Documentos\MALENTIN KARIME\BANCO CREDITO\FER LORCA en ROSITA (Rosita)\PET\AGOSTO\CLAUDIA TABILO CERDA.doc", "Abrir Documento")</f>
        <v>0</v>
      </c>
      <c r="D20573" t="s">
        <v>23500</v>
      </c>
      <c r="E20573" t="s">
        <v>43043</v>
      </c>
    </row>
    <row r="20574" spans="1:5">
      <c r="A20574" t="s">
        <v>6</v>
      </c>
      <c r="B20574" t="s">
        <v>20579</v>
      </c>
      <c r="C20574">
        <f>HYPERLINK("C:\Users\franc\OneDrive\Documentos\MALENTIN KARIME\BANCO CREDITO\FER LORCA en ROSITA (Rosita)\PET\AGOSTO\CESAR DIAZ NAVARRO.doc", "Abrir Documento")</f>
        <v>0</v>
      </c>
      <c r="D20574" t="s">
        <v>23500</v>
      </c>
      <c r="E20574" t="s">
        <v>43044</v>
      </c>
    </row>
    <row r="20575" spans="1:5">
      <c r="A20575" t="s">
        <v>6</v>
      </c>
      <c r="B20575" t="s">
        <v>20580</v>
      </c>
      <c r="C20575">
        <f>HYPERLINK("C:\Users\franc\OneDrive\Documentos\MALENTIN KARIME\BANCO CREDITO\FER LORCA en ROSITA (Rosita)\PET\AGOSTO\CESAR DIAZ NAVARRO 2.doc", "Abrir Documento")</f>
        <v>0</v>
      </c>
      <c r="D20575" t="s">
        <v>23500</v>
      </c>
      <c r="E20575" t="s">
        <v>43045</v>
      </c>
    </row>
    <row r="20576" spans="1:5">
      <c r="A20576" t="s">
        <v>6</v>
      </c>
      <c r="B20576" t="s">
        <v>20581</v>
      </c>
      <c r="C20576">
        <f>HYPERLINK("C:\Users\franc\OneDrive\Documentos\MALENTIN KARIME\BANCO CREDITO\FER LORCA en ROSITA (Rosita)\PET\AGOSTO\CARMEN DIAZ AGUILERA.doc", "Abrir Documento")</f>
        <v>0</v>
      </c>
      <c r="D20576" t="s">
        <v>23500</v>
      </c>
      <c r="E20576" t="s">
        <v>43046</v>
      </c>
    </row>
    <row r="20577" spans="1:5">
      <c r="A20577" t="s">
        <v>6</v>
      </c>
      <c r="B20577" t="s">
        <v>20582</v>
      </c>
      <c r="C20577">
        <f>HYPERLINK("C:\Users\franc\OneDrive\Documentos\MALENTIN KARIME\BANCO CREDITO\FER LORCA en ROSITA (Rosita)\PET\AGOSTO\CARLOS TELLO ULLOA.doc", "Abrir Documento")</f>
        <v>0</v>
      </c>
      <c r="D20577" t="s">
        <v>23500</v>
      </c>
      <c r="E20577" t="s">
        <v>43047</v>
      </c>
    </row>
    <row r="20578" spans="1:5">
      <c r="A20578" t="s">
        <v>6</v>
      </c>
      <c r="B20578" t="s">
        <v>20583</v>
      </c>
      <c r="C20578">
        <f>HYPERLINK("C:\Users\franc\OneDrive\Documentos\MALENTIN KARIME\BANCO CREDITO\FER LORCA en ROSITA (Rosita)\PET\AGOSTO\BRITO CASTILLO.doc", "Abrir Documento")</f>
        <v>0</v>
      </c>
      <c r="D20578" t="s">
        <v>23500</v>
      </c>
      <c r="E20578" t="s">
        <v>43048</v>
      </c>
    </row>
    <row r="20579" spans="1:5">
      <c r="A20579" t="s">
        <v>6</v>
      </c>
      <c r="B20579" t="s">
        <v>20584</v>
      </c>
      <c r="C20579">
        <f>HYPERLINK("C:\Users\franc\OneDrive\Documentos\MALENTIN KARIME\BANCO CREDITO\FER LORCA en ROSITA (Rosita)\PET\AGOSTO\BENITO ALFARO ALFARO[1].doc", "Abrir Documento")</f>
        <v>0</v>
      </c>
      <c r="D20579" t="s">
        <v>23500</v>
      </c>
      <c r="E20579" t="s">
        <v>43049</v>
      </c>
    </row>
    <row r="20580" spans="1:5">
      <c r="A20580" t="s">
        <v>6</v>
      </c>
      <c r="B20580" t="s">
        <v>20585</v>
      </c>
      <c r="C20580">
        <f>HYPERLINK("C:\Users\franc\OneDrive\Documentos\MALENTIN KARIME\BANCO CREDITO\FER LORCA en ROSITA (Rosita)\PET\AGOSTO\ARMINDA DE MERCEDES ABALOS.doc", "Abrir Documento")</f>
        <v>0</v>
      </c>
      <c r="D20580" t="s">
        <v>23500</v>
      </c>
      <c r="E20580" t="s">
        <v>43050</v>
      </c>
    </row>
    <row r="20581" spans="1:5">
      <c r="A20581" t="s">
        <v>6</v>
      </c>
      <c r="B20581" t="s">
        <v>20586</v>
      </c>
      <c r="C20581">
        <f>HYPERLINK("C:\Users\franc\OneDrive\Documentos\MALENTIN KARIME\BANCO CREDITO\FER LORCA en ROSITA (Rosita)\PET\YESSICA ARAYA CAÑETE.doc", "Abrir Documento")</f>
        <v>0</v>
      </c>
      <c r="D20581" t="s">
        <v>23500</v>
      </c>
      <c r="E20581" t="s">
        <v>43051</v>
      </c>
    </row>
    <row r="20582" spans="1:5">
      <c r="A20582" t="s">
        <v>6</v>
      </c>
      <c r="B20582" t="s">
        <v>20587</v>
      </c>
      <c r="C20582">
        <f>HYPERLINK("C:\Users\franc\OneDrive\Documentos\MALENTIN KARIME\BANCO CREDITO\FER LORCA en ROSITA (Rosita)\PET\VICTOR CORTES REGODECEVES.doc", "Abrir Documento")</f>
        <v>0</v>
      </c>
      <c r="D20582" t="s">
        <v>23500</v>
      </c>
      <c r="E20582" t="s">
        <v>43052</v>
      </c>
    </row>
    <row r="20583" spans="1:5">
      <c r="A20583" t="s">
        <v>6</v>
      </c>
      <c r="B20583" t="s">
        <v>20588</v>
      </c>
      <c r="C20583">
        <f>HYPERLINK("C:\Users\franc\OneDrive\Documentos\MALENTIN KARIME\BANCO CREDITO\FER LORCA en ROSITA (Rosita)\PET\ULISES ROJAS MUÑOZ.doc", "Abrir Documento")</f>
        <v>0</v>
      </c>
      <c r="D20583" t="s">
        <v>23500</v>
      </c>
      <c r="E20583" t="s">
        <v>43053</v>
      </c>
    </row>
    <row r="20584" spans="1:5">
      <c r="A20584" t="s">
        <v>6</v>
      </c>
      <c r="B20584" t="s">
        <v>20589</v>
      </c>
      <c r="C20584">
        <f>HYPERLINK("C:\Users\franc\OneDrive\Documentos\MALENTIN KARIME\BANCO CREDITO\FER LORCA en ROSITA (Rosita)\PET\SILVERIO CONTRERAS CARVAJAL.doc", "Abrir Documento")</f>
        <v>0</v>
      </c>
      <c r="D20584" t="s">
        <v>23500</v>
      </c>
      <c r="E20584" t="s">
        <v>43054</v>
      </c>
    </row>
    <row r="20585" spans="1:5">
      <c r="A20585" t="s">
        <v>6</v>
      </c>
      <c r="B20585" t="s">
        <v>20590</v>
      </c>
      <c r="C20585">
        <f>HYPERLINK("C:\Users\franc\OneDrive\Documentos\MALENTIN KARIME\BANCO CREDITO\FER LORCA en ROSITA (Rosita)\PET\SERGIO CARVAJAL PONCE.doc", "Abrir Documento")</f>
        <v>0</v>
      </c>
      <c r="D20585" t="s">
        <v>23500</v>
      </c>
      <c r="E20585" t="s">
        <v>43055</v>
      </c>
    </row>
    <row r="20586" spans="1:5">
      <c r="A20586" t="s">
        <v>6</v>
      </c>
      <c r="B20586" t="s">
        <v>20591</v>
      </c>
      <c r="C20586">
        <f>HYPERLINK("C:\Users\franc\OneDrive\Documentos\MALENTIN KARIME\BANCO CREDITO\FER LORCA en ROSITA (Rosita)\PET\RAUL CORTES OSSANDON.doc", "Abrir Documento")</f>
        <v>0</v>
      </c>
      <c r="D20586" t="s">
        <v>23500</v>
      </c>
      <c r="E20586" t="s">
        <v>43056</v>
      </c>
    </row>
    <row r="20587" spans="1:5">
      <c r="A20587" t="s">
        <v>6</v>
      </c>
      <c r="B20587" t="s">
        <v>20592</v>
      </c>
      <c r="C20587">
        <f>HYPERLINK("C:\Users\franc\OneDrive\Documentos\MALENTIN KARIME\BANCO CREDITO\FER LORCA en ROSITA (Rosita)\PET\RAIMUNDO ROJAS MALUENDA.doc", "Abrir Documento")</f>
        <v>0</v>
      </c>
      <c r="D20587" t="s">
        <v>23500</v>
      </c>
      <c r="E20587" t="s">
        <v>43057</v>
      </c>
    </row>
    <row r="20588" spans="1:5">
      <c r="A20588" t="s">
        <v>6</v>
      </c>
      <c r="B20588" t="s">
        <v>20593</v>
      </c>
      <c r="C20588">
        <f>HYPERLINK("C:\Users\franc\OneDrive\Documentos\MALENTIN KARIME\BANCO CREDITO\FER LORCA en ROSITA (Rosita)\PET\PATRICIO CARVAJAL PONCE 09.doc", "Abrir Documento")</f>
        <v>0</v>
      </c>
      <c r="D20588" t="s">
        <v>23500</v>
      </c>
      <c r="E20588" t="s">
        <v>43058</v>
      </c>
    </row>
    <row r="20589" spans="1:5">
      <c r="A20589" t="s">
        <v>6</v>
      </c>
      <c r="B20589" t="s">
        <v>20594</v>
      </c>
      <c r="C20589">
        <f>HYPERLINK("C:\Users\franc\OneDrive\Documentos\MALENTIN KARIME\BANCO CREDITO\FER LORCA en ROSITA (Rosita)\PET\PAOLA PEREZ (JULIO) Sra. Ana Luisa.doc", "Abrir Documento")</f>
        <v>0</v>
      </c>
      <c r="D20589" t="s">
        <v>23500</v>
      </c>
      <c r="E20589" t="s">
        <v>43059</v>
      </c>
    </row>
    <row r="20590" spans="1:5">
      <c r="A20590" t="s">
        <v>6</v>
      </c>
      <c r="B20590" t="s">
        <v>20595</v>
      </c>
      <c r="C20590">
        <f>HYPERLINK("C:\Users\franc\OneDrive\Documentos\MALENTIN KARIME\BANCO CREDITO\FER LORCA en ROSITA (Rosita)\PET\OSCAR CORTES CORTES 28.doc", "Abrir Documento")</f>
        <v>0</v>
      </c>
      <c r="D20590" t="s">
        <v>23500</v>
      </c>
      <c r="E20590" t="s">
        <v>43060</v>
      </c>
    </row>
    <row r="20591" spans="1:5">
      <c r="A20591" t="s">
        <v>6</v>
      </c>
      <c r="B20591" t="s">
        <v>20596</v>
      </c>
      <c r="C20591">
        <f>HYPERLINK("C:\Users\franc\OneDrive\Documentos\MALENTIN KARIME\BANCO CREDITO\FER LORCA en ROSITA (Rosita)\PET\NELSO QUINTO QUINTO.doc", "Abrir Documento")</f>
        <v>0</v>
      </c>
      <c r="D20591" t="s">
        <v>23500</v>
      </c>
      <c r="E20591" t="s">
        <v>43061</v>
      </c>
    </row>
    <row r="20592" spans="1:5">
      <c r="A20592" t="s">
        <v>6</v>
      </c>
      <c r="B20592" t="s">
        <v>20597</v>
      </c>
      <c r="C20592">
        <f>HYPERLINK("C:\Users\franc\OneDrive\Documentos\MALENTIN KARIME\BANCO CREDITO\FER LORCA en ROSITA (Rosita)\PET\MISAEL TAPIA OLIVARES.doc", "Abrir Documento")</f>
        <v>0</v>
      </c>
      <c r="D20592" t="s">
        <v>23500</v>
      </c>
      <c r="E20592" t="s">
        <v>43062</v>
      </c>
    </row>
    <row r="20593" spans="1:5">
      <c r="A20593" t="s">
        <v>6</v>
      </c>
      <c r="B20593" t="s">
        <v>20598</v>
      </c>
      <c r="C20593">
        <f>HYPERLINK("C:\Users\franc\OneDrive\Documentos\MALENTIN KARIME\BANCO CREDITO\FER LORCA en ROSITA (Rosita)\PET\MIGUEL ANGEL ARAYA BOLVARAN.doc", "Abrir Documento")</f>
        <v>0</v>
      </c>
      <c r="D20593" t="s">
        <v>23500</v>
      </c>
      <c r="E20593" t="s">
        <v>43063</v>
      </c>
    </row>
    <row r="20594" spans="1:5">
      <c r="A20594" t="s">
        <v>6</v>
      </c>
      <c r="B20594" t="s">
        <v>20599</v>
      </c>
      <c r="C20594">
        <f>HYPERLINK("C:\Users\franc\OneDrive\Documentos\MALENTIN KARIME\BANCO CREDITO\FER LORCA en ROSITA (Rosita)\PET\MAURICIO ZEPEDA LEMUS.doc", "Abrir Documento")</f>
        <v>0</v>
      </c>
      <c r="D20594" t="s">
        <v>23500</v>
      </c>
      <c r="E20594" t="s">
        <v>43064</v>
      </c>
    </row>
    <row r="20595" spans="1:5">
      <c r="A20595" t="s">
        <v>6</v>
      </c>
      <c r="B20595" t="s">
        <v>20600</v>
      </c>
      <c r="C20595">
        <f>HYPERLINK("C:\Users\franc\OneDrive\Documentos\MALENTIN KARIME\BANCO CREDITO\FER LORCA en ROSITA (Rosita)\PET\MARTIN ORDENES TABILO.doc", "Abrir Documento")</f>
        <v>0</v>
      </c>
      <c r="D20595" t="s">
        <v>23500</v>
      </c>
      <c r="E20595" t="s">
        <v>43065</v>
      </c>
    </row>
    <row r="20596" spans="1:5">
      <c r="A20596" t="s">
        <v>6</v>
      </c>
      <c r="B20596" t="s">
        <v>20601</v>
      </c>
      <c r="C20596">
        <f>HYPERLINK("C:\Users\franc\OneDrive\Documentos\MALENTIN KARIME\BANCO CREDITO\FER LORCA en ROSITA (Rosita)\PET\MARIA TRONCOSO MANRIQUEZ.doc", "Abrir Documento")</f>
        <v>0</v>
      </c>
      <c r="D20596" t="s">
        <v>23500</v>
      </c>
      <c r="E20596" t="s">
        <v>43066</v>
      </c>
    </row>
    <row r="20597" spans="1:5">
      <c r="A20597" t="s">
        <v>6</v>
      </c>
      <c r="B20597" t="s">
        <v>20602</v>
      </c>
      <c r="C20597">
        <f>HYPERLINK("C:\Users\franc\OneDrive\Documentos\MALENTIN KARIME\BANCO CREDITO\FER LORCA en ROSITA (Rosita)\PET\JUAN OSSANDON ROJAS.doc", "Abrir Documento")</f>
        <v>0</v>
      </c>
      <c r="D20597" t="s">
        <v>23500</v>
      </c>
      <c r="E20597" t="s">
        <v>43067</v>
      </c>
    </row>
    <row r="20598" spans="1:5">
      <c r="A20598" t="s">
        <v>6</v>
      </c>
      <c r="B20598" t="s">
        <v>20603</v>
      </c>
      <c r="C20598">
        <f>HYPERLINK("C:\Users\franc\OneDrive\Documentos\MALENTIN KARIME\BANCO CREDITO\FER LORCA en ROSITA (Rosita)\PET\JUAN CARLOS GUERRA VENEGAS.doc", "Abrir Documento")</f>
        <v>0</v>
      </c>
      <c r="D20598" t="s">
        <v>23500</v>
      </c>
      <c r="E20598" t="s">
        <v>43068</v>
      </c>
    </row>
    <row r="20599" spans="1:5">
      <c r="A20599" t="s">
        <v>6</v>
      </c>
      <c r="B20599" t="s">
        <v>20604</v>
      </c>
      <c r="C20599">
        <f>HYPERLINK("C:\Users\franc\OneDrive\Documentos\MALENTIN KARIME\BANCO CREDITO\FER LORCA en ROSITA (Rosita)\PET\JUAN ARAYA ROJAS.doc", "Abrir Documento")</f>
        <v>0</v>
      </c>
      <c r="D20599" t="s">
        <v>23500</v>
      </c>
      <c r="E20599" t="s">
        <v>43069</v>
      </c>
    </row>
    <row r="20600" spans="1:5">
      <c r="A20600" t="s">
        <v>6</v>
      </c>
      <c r="B20600" t="s">
        <v>20605</v>
      </c>
      <c r="C20600">
        <f>HYPERLINK("C:\Users\franc\OneDrive\Documentos\MALENTIN KARIME\BANCO CREDITO\FER LORCA en ROSITA (Rosita)\PET\JOSE TOMAS CARMONA PIZARRO.doc", "Abrir Documento")</f>
        <v>0</v>
      </c>
      <c r="D20600" t="s">
        <v>23500</v>
      </c>
      <c r="E20600" t="s">
        <v>43070</v>
      </c>
    </row>
    <row r="20601" spans="1:5">
      <c r="A20601" t="s">
        <v>6</v>
      </c>
      <c r="B20601" t="s">
        <v>20606</v>
      </c>
      <c r="C20601">
        <f>HYPERLINK("C:\Users\franc\OneDrive\Documentos\MALENTIN KARIME\BANCO CREDITO\FER LORCA en ROSITA (Rosita)\PET\JIMENA ARAYA LAYANA.doc", "Abrir Documento")</f>
        <v>0</v>
      </c>
      <c r="D20601" t="s">
        <v>23500</v>
      </c>
      <c r="E20601" t="s">
        <v>43071</v>
      </c>
    </row>
    <row r="20602" spans="1:5">
      <c r="A20602" t="s">
        <v>6</v>
      </c>
      <c r="B20602" t="s">
        <v>20607</v>
      </c>
      <c r="C20602">
        <f>HYPERLINK("C:\Users\franc\OneDrive\Documentos\MALENTIN KARIME\BANCO CREDITO\FER LORCA en ROSITA (Rosita)\PET\ivan vega rojas11.doc", "Abrir Documento")</f>
        <v>0</v>
      </c>
      <c r="D20602" t="s">
        <v>23500</v>
      </c>
      <c r="E20602" t="s">
        <v>43072</v>
      </c>
    </row>
    <row r="20603" spans="1:5">
      <c r="A20603" t="s">
        <v>6</v>
      </c>
      <c r="B20603" t="s">
        <v>20608</v>
      </c>
      <c r="C20603">
        <f>HYPERLINK("C:\Users\franc\OneDrive\Documentos\MALENTIN KARIME\BANCO CREDITO\FER LORCA en ROSITA (Rosita)\PET\ISMAEL ARAYA CONTRERAS.doc", "Abrir Documento")</f>
        <v>0</v>
      </c>
      <c r="D20603" t="s">
        <v>23500</v>
      </c>
      <c r="E20603" t="s">
        <v>43073</v>
      </c>
    </row>
    <row r="20604" spans="1:5">
      <c r="A20604" t="s">
        <v>6</v>
      </c>
      <c r="B20604" t="s">
        <v>20609</v>
      </c>
      <c r="C20604">
        <f>HYPERLINK("C:\Users\franc\OneDrive\Documentos\MALENTIN KARIME\BANCO CREDITO\FER LORCA en ROSITA (Rosita)\PET\HUMBERTO RODRIGUEZ RODRIGUEZ.doc", "Abrir Documento")</f>
        <v>0</v>
      </c>
      <c r="D20604" t="s">
        <v>23500</v>
      </c>
      <c r="E20604" t="s">
        <v>43074</v>
      </c>
    </row>
    <row r="20605" spans="1:5">
      <c r="A20605" t="s">
        <v>6</v>
      </c>
      <c r="B20605" t="s">
        <v>20610</v>
      </c>
      <c r="C20605">
        <f>HYPERLINK("C:\Users\franc\OneDrive\Documentos\MALENTIN KARIME\BANCO CREDITO\FER LORCA en ROSITA (Rosita)\PET\HOMERO TAPIA ARAYA.doc", "Abrir Documento")</f>
        <v>0</v>
      </c>
      <c r="D20605" t="s">
        <v>23500</v>
      </c>
      <c r="E20605" t="s">
        <v>43075</v>
      </c>
    </row>
    <row r="20606" spans="1:5">
      <c r="A20606" t="s">
        <v>6</v>
      </c>
      <c r="B20606" t="s">
        <v>20611</v>
      </c>
      <c r="C20606">
        <f>HYPERLINK("C:\Users\franc\OneDrive\Documentos\MALENTIN KARIME\BANCO CREDITO\FER LORCA en ROSITA (Rosita)\PET\HOFFMANN ANDRADE ANDRADE.doc", "Abrir Documento")</f>
        <v>0</v>
      </c>
      <c r="D20606" t="s">
        <v>23500</v>
      </c>
      <c r="E20606" t="s">
        <v>43076</v>
      </c>
    </row>
    <row r="20607" spans="1:5">
      <c r="A20607" t="s">
        <v>6</v>
      </c>
      <c r="B20607" t="s">
        <v>20612</v>
      </c>
      <c r="C20607">
        <f>HYPERLINK("C:\Users\franc\OneDrive\Documentos\MALENTIN KARIME\BANCO CREDITO\FER LORCA en ROSITA (Rosita)\PET\FIDEL LEYTON CONTRERAS.doc", "Abrir Documento")</f>
        <v>0</v>
      </c>
      <c r="D20607" t="s">
        <v>23500</v>
      </c>
      <c r="E20607" t="s">
        <v>43077</v>
      </c>
    </row>
    <row r="20608" spans="1:5">
      <c r="A20608" t="s">
        <v>6</v>
      </c>
      <c r="B20608" t="s">
        <v>20613</v>
      </c>
      <c r="C20608">
        <f>HYPERLINK("C:\Users\franc\OneDrive\Documentos\MALENTIN KARIME\BANCO CREDITO\FER LORCA en ROSITA (Rosita)\PET\ELIZABETH CONTRERAS VILLARROEL.doc", "Abrir Documento")</f>
        <v>0</v>
      </c>
      <c r="D20608" t="s">
        <v>23500</v>
      </c>
      <c r="E20608" t="s">
        <v>43078</v>
      </c>
    </row>
    <row r="20609" spans="1:5">
      <c r="A20609" t="s">
        <v>6</v>
      </c>
      <c r="B20609" t="s">
        <v>20614</v>
      </c>
      <c r="C20609">
        <f>HYPERLINK("C:\Users\franc\OneDrive\Documentos\MALENTIN KARIME\BANCO CREDITO\FER LORCA en ROSITA (Rosita)\PET\EDUARDO CORTES OLIVARES.doc", "Abrir Documento")</f>
        <v>0</v>
      </c>
      <c r="D20609" t="s">
        <v>23500</v>
      </c>
      <c r="E20609" t="s">
        <v>43079</v>
      </c>
    </row>
    <row r="20610" spans="1:5">
      <c r="A20610" t="s">
        <v>6</v>
      </c>
      <c r="B20610" t="s">
        <v>20615</v>
      </c>
      <c r="C20610">
        <f>HYPERLINK("C:\Users\franc\OneDrive\Documentos\MALENTIN KARIME\BANCO CREDITO\FER LORCA en ROSITA (Rosita)\PET\EDITH BONILLA ZEPEDA 11.doc", "Abrir Documento")</f>
        <v>0</v>
      </c>
      <c r="D20610" t="s">
        <v>23500</v>
      </c>
      <c r="E20610" t="s">
        <v>43080</v>
      </c>
    </row>
    <row r="20611" spans="1:5">
      <c r="A20611" t="s">
        <v>6</v>
      </c>
      <c r="B20611" t="s">
        <v>20616</v>
      </c>
      <c r="C20611">
        <f>HYPERLINK("C:\Users\franc\OneDrive\Documentos\MALENTIN KARIME\BANCO CREDITO\FER LORCA en ROSITA (Rosita)\PET\DEYCE DEL CARMEN CASTILLO MAYA.doc", "Abrir Documento")</f>
        <v>0</v>
      </c>
      <c r="D20611" t="s">
        <v>23500</v>
      </c>
      <c r="E20611" t="s">
        <v>43081</v>
      </c>
    </row>
    <row r="20612" spans="1:5">
      <c r="A20612" t="s">
        <v>6</v>
      </c>
      <c r="B20612" t="s">
        <v>20617</v>
      </c>
      <c r="C20612">
        <f>HYPERLINK("C:\Users\franc\OneDrive\Documentos\MALENTIN KARIME\BANCO CREDITO\FER LORCA en ROSITA (Rosita)\PET\DARWIN MALEBRAN MALEBRAN.doc", "Abrir Documento")</f>
        <v>0</v>
      </c>
      <c r="D20612" t="s">
        <v>23500</v>
      </c>
      <c r="E20612" t="s">
        <v>43082</v>
      </c>
    </row>
    <row r="20613" spans="1:5">
      <c r="A20613" t="s">
        <v>6</v>
      </c>
      <c r="B20613" t="s">
        <v>20618</v>
      </c>
      <c r="C20613">
        <f>HYPERLINK("C:\Users\franc\OneDrive\Documentos\MALENTIN KARIME\BANCO CREDITO\FER LORCA en ROSITA (Rosita)\PET\CLAUDIA IBA´ÑEZ RUZ.doc", "Abrir Documento")</f>
        <v>0</v>
      </c>
      <c r="D20613" t="s">
        <v>23500</v>
      </c>
      <c r="E20613" t="s">
        <v>43083</v>
      </c>
    </row>
    <row r="20614" spans="1:5">
      <c r="A20614" t="s">
        <v>6</v>
      </c>
      <c r="B20614" t="s">
        <v>20619</v>
      </c>
      <c r="C20614">
        <f>HYPERLINK("C:\Users\franc\OneDrive\Documentos\MALENTIN KARIME\BANCO CREDITO\FER LORCA en ROSITA (Rosita)\PET\CARLOS LEON LUCO.doc", "Abrir Documento")</f>
        <v>0</v>
      </c>
      <c r="D20614" t="s">
        <v>23500</v>
      </c>
      <c r="E20614" t="s">
        <v>43084</v>
      </c>
    </row>
    <row r="20615" spans="1:5">
      <c r="A20615" t="s">
        <v>6</v>
      </c>
      <c r="B20615" t="s">
        <v>20620</v>
      </c>
      <c r="C20615">
        <f>HYPERLINK("C:\Users\franc\OneDrive\Documentos\MALENTIN KARIME\BANCO CREDITO\FER LORCA en ROSITA (Rosita)\PET\BERNARDA GALLEGUILLOS PIZARRO.doc", "Abrir Documento")</f>
        <v>0</v>
      </c>
      <c r="D20615" t="s">
        <v>23500</v>
      </c>
      <c r="E20615" t="s">
        <v>43085</v>
      </c>
    </row>
    <row r="20616" spans="1:5">
      <c r="A20616" t="s">
        <v>6</v>
      </c>
      <c r="B20616" t="s">
        <v>20621</v>
      </c>
      <c r="C20616">
        <f>HYPERLINK("C:\Users\franc\OneDrive\Documentos\MALENTIN KARIME\BANCO CREDITO\FER LORCA en ROSITA (Rosita)\PET\ANA TELLO VEGA.doc", "Abrir Documento")</f>
        <v>0</v>
      </c>
      <c r="D20616" t="s">
        <v>23500</v>
      </c>
      <c r="E20616" t="s">
        <v>43086</v>
      </c>
    </row>
    <row r="20617" spans="1:5">
      <c r="A20617" t="s">
        <v>6</v>
      </c>
      <c r="B20617" t="s">
        <v>20622</v>
      </c>
      <c r="C20617">
        <f>HYPERLINK("C:\Users\franc\OneDrive\Documentos\MALENTIN KARIME\BANCO CREDITO\FER LORCA en ROSITA (Rosita)\PET\ALEXIS ARANEDA CARES.doc", "Abrir Documento")</f>
        <v>0</v>
      </c>
      <c r="D20617" t="s">
        <v>23500</v>
      </c>
      <c r="E20617" t="s">
        <v>43087</v>
      </c>
    </row>
    <row r="20618" spans="1:5">
      <c r="A20618" t="s">
        <v>6</v>
      </c>
      <c r="B20618" t="s">
        <v>20623</v>
      </c>
      <c r="C20618">
        <f>HYPERLINK("C:\Users\franc\OneDrive\Documentos\MALENTIN KARIME\BANCO CREDITO\FER LORCA en ROSITA (Rosita)\PET\ALEXANDRA ARAYA ROJAS.doc", "Abrir Documento")</f>
        <v>0</v>
      </c>
      <c r="D20618" t="s">
        <v>23500</v>
      </c>
      <c r="E20618" t="s">
        <v>43088</v>
      </c>
    </row>
    <row r="20619" spans="1:5">
      <c r="A20619" t="s">
        <v>6</v>
      </c>
      <c r="B20619" t="s">
        <v>20624</v>
      </c>
      <c r="C20619">
        <f>HYPERLINK("C:\Users\franc\OneDrive\Documentos\MALENTIN KARIME\BANCO CREDITO\FER LORCA en ROSITA (Rosita)\PET\ALEX LOPEZ CORTES.doc", "Abrir Documento")</f>
        <v>0</v>
      </c>
      <c r="D20619" t="s">
        <v>23500</v>
      </c>
      <c r="E20619" t="s">
        <v>43089</v>
      </c>
    </row>
    <row r="20620" spans="1:5">
      <c r="A20620" t="s">
        <v>6</v>
      </c>
      <c r="B20620" t="s">
        <v>20625</v>
      </c>
      <c r="C20620">
        <f>HYPERLINK("C:\Users\franc\OneDrive\Documentos\MALENTIN KARIME\BANCO CREDITO\FER LORCA en ROSITA (Rosita)\MUTUOS\Mutuo a la vista a Patricio Polanco Dabed.doc", "Abrir Documento")</f>
        <v>0</v>
      </c>
      <c r="D20620" t="s">
        <v>23500</v>
      </c>
      <c r="E20620" t="s">
        <v>43090</v>
      </c>
    </row>
    <row r="20621" spans="1:5">
      <c r="A20621" t="s">
        <v>6</v>
      </c>
      <c r="B20621" t="s">
        <v>20626</v>
      </c>
      <c r="C20621">
        <f>HYPERLINK("C:\Users\franc\OneDrive\Documentos\MALENTIN KARIME\BANCO CREDITO\FER LORCA en ROSITA (Rosita)\MUTUOS\Mutuo a la vista a Julio Polanco Dabed.doc", "Abrir Documento")</f>
        <v>0</v>
      </c>
      <c r="D20621" t="s">
        <v>23500</v>
      </c>
      <c r="E20621" t="s">
        <v>43091</v>
      </c>
    </row>
    <row r="20622" spans="1:5">
      <c r="A20622" t="s">
        <v>6</v>
      </c>
      <c r="B20622" t="s">
        <v>20627</v>
      </c>
      <c r="C20622">
        <f>HYPERLINK("C:\Users\franc\OneDrive\Documentos\MALENTIN KARIME\BANCO CREDITO\FER LORCA en ROSITA (Rosita)\MUTUOS\MARCELO MEYER ERWIN RIEDEL.doc", "Abrir Documento")</f>
        <v>0</v>
      </c>
      <c r="D20622" t="s">
        <v>23500</v>
      </c>
      <c r="E20622" t="s">
        <v>43092</v>
      </c>
    </row>
    <row r="20623" spans="1:5">
      <c r="A20623" t="s">
        <v>6</v>
      </c>
      <c r="B20623" t="s">
        <v>20628</v>
      </c>
      <c r="C20623">
        <f>HYPERLINK("C:\Users\franc\OneDrive\Documentos\MALENTIN KARIME\BANCO CREDITO\FER LORCA en ROSITA (Rosita)\MUTUOS\LUIS CARRASCO.doc", "Abrir Documento")</f>
        <v>0</v>
      </c>
      <c r="D20623" t="s">
        <v>23500</v>
      </c>
      <c r="E20623" t="s">
        <v>43093</v>
      </c>
    </row>
    <row r="20624" spans="1:5">
      <c r="A20624" t="s">
        <v>6</v>
      </c>
      <c r="B20624" t="s">
        <v>20629</v>
      </c>
      <c r="C20624">
        <f>HYPERLINK("C:\Users\franc\OneDrive\Documentos\MALENTIN KARIME\BANCO CREDITO\FER LORCA en ROSITA (Rosita)\MUTUOS\02. Mutuo Dalmacia a Digna Castillo.doc", "Abrir Documento")</f>
        <v>0</v>
      </c>
      <c r="D20624" t="s">
        <v>23500</v>
      </c>
      <c r="E20624" t="s">
        <v>43094</v>
      </c>
    </row>
    <row r="20625" spans="1:5">
      <c r="A20625" t="s">
        <v>6</v>
      </c>
      <c r="B20625" t="s">
        <v>20630</v>
      </c>
      <c r="C20625">
        <f>HYPERLINK("C:\Users\franc\OneDrive\Documentos\MALENTIN KARIME\BANCO CREDITO\FER LORCA en ROSITA (Rosita)\MUNICIPALIDAD OVALLE\PROT. CONTRATOS\VEHICULOS\YANKO PINTO ARAYA.doc", "Abrir Documento")</f>
        <v>0</v>
      </c>
      <c r="D20625" t="s">
        <v>23500</v>
      </c>
      <c r="E20625" t="s">
        <v>43095</v>
      </c>
    </row>
    <row r="20626" spans="1:5">
      <c r="A20626" t="s">
        <v>6</v>
      </c>
      <c r="B20626" t="s">
        <v>20631</v>
      </c>
      <c r="C20626">
        <f>HYPERLINK("C:\Users\franc\OneDrive\Documentos\MALENTIN KARIME\BANCO CREDITO\FER LORCA en ROSITA (Rosita)\MUNICIPALIDAD OVALLE\PROT. CONTRATOS\VEHICULOS\TEODORO.doc", "Abrir Documento")</f>
        <v>0</v>
      </c>
      <c r="D20626" t="s">
        <v>23500</v>
      </c>
      <c r="E20626" t="s">
        <v>43096</v>
      </c>
    </row>
    <row r="20627" spans="1:5">
      <c r="A20627" t="s">
        <v>6</v>
      </c>
      <c r="B20627" t="s">
        <v>20632</v>
      </c>
      <c r="C20627">
        <f>HYPERLINK("C:\Users\franc\OneDrive\Documentos\MALENTIN KARIME\BANCO CREDITO\FER LORCA en ROSITA (Rosita)\MUNICIPALIDAD OVALLE\PROT. CONTRATOS\VEHICULOS\TEODORO AGUIRRE.doc", "Abrir Documento")</f>
        <v>0</v>
      </c>
      <c r="D20627" t="s">
        <v>23500</v>
      </c>
      <c r="E20627" t="s">
        <v>43097</v>
      </c>
    </row>
    <row r="20628" spans="1:5">
      <c r="A20628" t="s">
        <v>6</v>
      </c>
      <c r="B20628" t="s">
        <v>20633</v>
      </c>
      <c r="C20628">
        <f>HYPERLINK("C:\Users\franc\OneDrive\Documentos\MALENTIN KARIME\BANCO CREDITO\FER LORCA en ROSITA (Rosita)\MUNICIPALIDAD OVALLE\PROT. CONTRATOS\VEHICULOS\PEDRO CORTES ESQUIVEL.doc", "Abrir Documento")</f>
        <v>0</v>
      </c>
      <c r="D20628" t="s">
        <v>23500</v>
      </c>
      <c r="E20628" t="s">
        <v>43098</v>
      </c>
    </row>
    <row r="20629" spans="1:5">
      <c r="A20629" t="s">
        <v>6</v>
      </c>
      <c r="B20629" t="s">
        <v>20634</v>
      </c>
      <c r="C20629">
        <f>HYPERLINK("C:\Users\franc\OneDrive\Documentos\MALENTIN KARIME\BANCO CREDITO\FER LORCA en ROSITA (Rosita)\MUNICIPALIDAD OVALLE\PROT. CONTRATOS\VEHICULOS\MARITZA RAMIREZ.doc", "Abrir Documento")</f>
        <v>0</v>
      </c>
      <c r="D20629" t="s">
        <v>23500</v>
      </c>
      <c r="E20629" t="s">
        <v>43099</v>
      </c>
    </row>
    <row r="20630" spans="1:5">
      <c r="A20630" t="s">
        <v>6</v>
      </c>
      <c r="B20630" t="s">
        <v>20635</v>
      </c>
      <c r="C20630">
        <f>HYPERLINK("C:\Users\franc\OneDrive\Documentos\MALENTIN KARIME\BANCO CREDITO\FER LORCA en ROSITA (Rosita)\MUNICIPALIDAD OVALLE\PROT. CONTRATOS\VEHICULOS\MARINO GONZALEZ GONZALEZ.doc", "Abrir Documento")</f>
        <v>0</v>
      </c>
      <c r="D20630" t="s">
        <v>23500</v>
      </c>
      <c r="E20630" t="s">
        <v>43100</v>
      </c>
    </row>
    <row r="20631" spans="1:5">
      <c r="A20631" t="s">
        <v>6</v>
      </c>
      <c r="B20631" t="s">
        <v>20636</v>
      </c>
      <c r="C20631">
        <f>HYPERLINK("C:\Users\franc\OneDrive\Documentos\MALENTIN KARIME\BANCO CREDITO\FER LORCA en ROSITA (Rosita)\MUNICIPALIDAD OVALLE\PROT. CONTRATOS\VEHICULOS\LUIS PASTEN. ALC. SUBR. Y RENTERIA protocolizados.doc", "Abrir Documento")</f>
        <v>0</v>
      </c>
      <c r="D20631" t="s">
        <v>23500</v>
      </c>
      <c r="E20631" t="s">
        <v>43101</v>
      </c>
    </row>
    <row r="20632" spans="1:5">
      <c r="A20632" t="s">
        <v>6</v>
      </c>
      <c r="B20632" t="s">
        <v>20637</v>
      </c>
      <c r="C20632">
        <f>HYPERLINK("C:\Users\franc\OneDrive\Documentos\MALENTIN KARIME\BANCO CREDITO\FER LORCA en ROSITA (Rosita)\MUNICIPALIDAD OVALLE\PROT. CONTRATOS\VEHICULOS\LUIS CONTRERAS.doc", "Abrir Documento")</f>
        <v>0</v>
      </c>
      <c r="D20632" t="s">
        <v>23500</v>
      </c>
      <c r="E20632" t="s">
        <v>43102</v>
      </c>
    </row>
    <row r="20633" spans="1:5">
      <c r="A20633" t="s">
        <v>6</v>
      </c>
      <c r="B20633" t="s">
        <v>20638</v>
      </c>
      <c r="C20633">
        <f>HYPERLINK("C:\Users\franc\OneDrive\Documentos\MALENTIN KARIME\BANCO CREDITO\FER LORCA en ROSITA (Rosita)\MUNICIPALIDAD OVALLE\PROT. CONTRATOS\VEHICULOS\LUIS ANTONIO LARRONDO.doc", "Abrir Documento")</f>
        <v>0</v>
      </c>
      <c r="D20633" t="s">
        <v>23500</v>
      </c>
      <c r="E20633" t="s">
        <v>43103</v>
      </c>
    </row>
    <row r="20634" spans="1:5">
      <c r="A20634" t="s">
        <v>6</v>
      </c>
      <c r="B20634" t="s">
        <v>20639</v>
      </c>
      <c r="C20634">
        <f>HYPERLINK("C:\Users\franc\OneDrive\Documentos\MALENTIN KARIME\BANCO CREDITO\FER LORCA en ROSITA (Rosita)\MUNICIPALIDAD OVALLE\PROT. CONTRATOS\VEHICULOS\LORENZO ORMEÑO FLORES.doc", "Abrir Documento")</f>
        <v>0</v>
      </c>
      <c r="D20634" t="s">
        <v>23500</v>
      </c>
      <c r="E20634" t="s">
        <v>43104</v>
      </c>
    </row>
    <row r="20635" spans="1:5">
      <c r="A20635" t="s">
        <v>6</v>
      </c>
      <c r="B20635" t="s">
        <v>20640</v>
      </c>
      <c r="C20635">
        <f>HYPERLINK("C:\Users\franc\OneDrive\Documentos\MALENTIN KARIME\BANCO CREDITO\FER LORCA en ROSITA (Rosita)\MUNICIPALIDAD OVALLE\PROT. CONTRATOS\VEHICULOS\HERNAN BOLVARAN.doc", "Abrir Documento")</f>
        <v>0</v>
      </c>
      <c r="D20635" t="s">
        <v>23500</v>
      </c>
      <c r="E20635" t="s">
        <v>43105</v>
      </c>
    </row>
    <row r="20636" spans="1:5">
      <c r="A20636" t="s">
        <v>6</v>
      </c>
      <c r="B20636" t="s">
        <v>20641</v>
      </c>
      <c r="C20636">
        <f>HYPERLINK("C:\Users\franc\OneDrive\Documentos\MALENTIN KARIME\BANCO CREDITO\FER LORCA en ROSITA (Rosita)\MUNICIPALIDAD OVALLE\PROT. CONTRATOS\VEHICULOS\HERMAN ROJAS.doc", "Abrir Documento")</f>
        <v>0</v>
      </c>
      <c r="D20636" t="s">
        <v>23500</v>
      </c>
      <c r="E20636" t="s">
        <v>43106</v>
      </c>
    </row>
    <row r="20637" spans="1:5">
      <c r="A20637" t="s">
        <v>6</v>
      </c>
      <c r="B20637" t="s">
        <v>20642</v>
      </c>
      <c r="C20637">
        <f>HYPERLINK("C:\Users\franc\OneDrive\Documentos\MALENTIN KARIME\BANCO CREDITO\FER LORCA en ROSITA (Rosita)\MUNICIPALIDAD OVALLE\PROT. CONTRATOS\VEHICULOS\ALCALDESA Y RENTERIA.doc", "Abrir Documento")</f>
        <v>0</v>
      </c>
      <c r="D20637" t="s">
        <v>23500</v>
      </c>
      <c r="E20637" t="s">
        <v>43107</v>
      </c>
    </row>
    <row r="20638" spans="1:5">
      <c r="A20638" t="s">
        <v>6</v>
      </c>
      <c r="B20638" t="s">
        <v>20643</v>
      </c>
      <c r="C20638">
        <f>HYPERLINK("C:\Users\franc\OneDrive\Documentos\MALENTIN KARIME\BANCO CREDITO\FER LORCA en ROSITA (Rosita)\MUNICIPALIDAD OVALLE\PROT. CONTRATOS\VEHICULOS\ALCALDESA Y RENTERIA.- MARITZA RAMIREZ.doc", "Abrir Documento")</f>
        <v>0</v>
      </c>
      <c r="D20638" t="s">
        <v>23500</v>
      </c>
      <c r="E20638" t="s">
        <v>43108</v>
      </c>
    </row>
    <row r="20639" spans="1:5">
      <c r="A20639" t="s">
        <v>6</v>
      </c>
      <c r="B20639" t="s">
        <v>20644</v>
      </c>
      <c r="C20639">
        <f>HYPERLINK("C:\Users\franc\OneDrive\Documentos\MALENTIN KARIME\BANCO CREDITO\FER LORCA en ROSITA (Rosita)\MUNICIPALIDAD OVALLE\PROT. CONTRATOS\VEHICULOS\ALCALDESA Y RENTERIA protocolizados.doc", "Abrir Documento")</f>
        <v>0</v>
      </c>
      <c r="D20639" t="s">
        <v>23500</v>
      </c>
      <c r="E20639" t="s">
        <v>43109</v>
      </c>
    </row>
    <row r="20640" spans="1:5">
      <c r="A20640" t="s">
        <v>6</v>
      </c>
      <c r="B20640" t="s">
        <v>20645</v>
      </c>
      <c r="C20640">
        <f>HYPERLINK("C:\Users\franc\OneDrive\Documentos\MALENTIN KARIME\BANCO CREDITO\FER LORCA en ROSITA (Rosita)\MUNICIPALIDAD OVALLE\PROT. CONTRATOS\OLGA PIZARRO\PROP. OLGA TORO E.I.R.L..doc", "Abrir Documento")</f>
        <v>0</v>
      </c>
      <c r="D20640" t="s">
        <v>23500</v>
      </c>
      <c r="E20640" t="s">
        <v>43110</v>
      </c>
    </row>
    <row r="20641" spans="1:5">
      <c r="A20641" t="s">
        <v>6</v>
      </c>
      <c r="B20641" t="s">
        <v>20646</v>
      </c>
      <c r="C20641">
        <f>HYPERLINK("C:\Users\franc\OneDrive\Documentos\MALENTIN KARIME\BANCO CREDITO\FER LORCA en ROSITA (Rosita)\MUNICIPALIDAD OVALLE\PROT. CONTRATOS\OLGA PIZARRO\PROP. OLGA TORO E.I.R.L.- IV.doc", "Abrir Documento")</f>
        <v>0</v>
      </c>
      <c r="D20641" t="s">
        <v>23500</v>
      </c>
      <c r="E20641" t="s">
        <v>43111</v>
      </c>
    </row>
    <row r="20642" spans="1:5">
      <c r="A20642" t="s">
        <v>6</v>
      </c>
      <c r="B20642" t="s">
        <v>20647</v>
      </c>
      <c r="C20642">
        <f>HYPERLINK("C:\Users\franc\OneDrive\Documentos\MALENTIN KARIME\BANCO CREDITO\FER LORCA en ROSITA (Rosita)\MUNICIPALIDAD OVALLE\PROT. CONTRATOS\OLGA PIZARRO\PROP. OLGA TORO E.I.R.L.- III.doc", "Abrir Documento")</f>
        <v>0</v>
      </c>
      <c r="D20642" t="s">
        <v>23500</v>
      </c>
      <c r="E20642" t="s">
        <v>43112</v>
      </c>
    </row>
    <row r="20643" spans="1:5">
      <c r="A20643" t="s">
        <v>6</v>
      </c>
      <c r="B20643" t="s">
        <v>20648</v>
      </c>
      <c r="C20643">
        <f>HYPERLINK("C:\Users\franc\OneDrive\Documentos\MALENTIN KARIME\BANCO CREDITO\FER LORCA en ROSITA (Rosita)\MUNICIPALIDAD OVALLE\PROT. CONTRATOS\OLGA PIZARRO\PROP. OLGA TORO E.I.R.L.- II.doc", "Abrir Documento")</f>
        <v>0</v>
      </c>
      <c r="D20643" t="s">
        <v>23500</v>
      </c>
      <c r="E20643" t="s">
        <v>43113</v>
      </c>
    </row>
    <row r="20644" spans="1:5">
      <c r="A20644" t="s">
        <v>6</v>
      </c>
      <c r="B20644" t="s">
        <v>20649</v>
      </c>
      <c r="C20644">
        <f>HYPERLINK("C:\Users\franc\OneDrive\Documentos\MALENTIN KARIME\BANCO CREDITO\FER LORCA en ROSITA (Rosita)\MUNICIPALIDAD OVALLE\PROT. CONTRATOS\OLGA PIZARRO\ALCALDESA Y RENTERIA.doc", "Abrir Documento")</f>
        <v>0</v>
      </c>
      <c r="D20644" t="s">
        <v>23500</v>
      </c>
      <c r="E20644" t="s">
        <v>43114</v>
      </c>
    </row>
    <row r="20645" spans="1:5">
      <c r="A20645" t="s">
        <v>6</v>
      </c>
      <c r="B20645" t="s">
        <v>20650</v>
      </c>
      <c r="C20645">
        <f>HYPERLINK("C:\Users\franc\OneDrive\Documentos\MALENTIN KARIME\BANCO CREDITO\FER LORCA en ROSITA (Rosita)\MUNICIPALIDAD OVALLE\PROT. CONTRATOS\OLGA PIZARRO\ALCALDESA Y RENTERIA, sin protocolizacion.doc", "Abrir Documento")</f>
        <v>0</v>
      </c>
      <c r="D20645" t="s">
        <v>23500</v>
      </c>
      <c r="E20645" t="s">
        <v>43115</v>
      </c>
    </row>
    <row r="20646" spans="1:5">
      <c r="A20646" t="s">
        <v>6</v>
      </c>
      <c r="B20646" t="s">
        <v>20651</v>
      </c>
      <c r="C20646">
        <f>HYPERLINK("C:\Users\franc\OneDrive\Documentos\MALENTIN KARIME\BANCO CREDITO\FER LORCA en ROSITA (Rosita)\MUNICIPALIDAD OVALLE\PROT. CONTRATOS\SOC. CONSTRUCTORA BRAC.doc", "Abrir Documento")</f>
        <v>0</v>
      </c>
      <c r="D20646" t="s">
        <v>23500</v>
      </c>
      <c r="E20646" t="s">
        <v>43116</v>
      </c>
    </row>
    <row r="20647" spans="1:5">
      <c r="A20647" t="s">
        <v>6</v>
      </c>
      <c r="B20647" t="s">
        <v>20652</v>
      </c>
      <c r="C20647">
        <f>HYPERLINK("C:\Users\franc\OneDrive\Documentos\MALENTIN KARIME\BANCO CREDITO\FER LORCA en ROSITA (Rosita)\MUNICIPALIDAD OVALLE\PROT. CONTRATOS\SOC. CONSTRUCTORA BRAC.- NOVIEMBRE.doc", "Abrir Documento")</f>
        <v>0</v>
      </c>
      <c r="D20647" t="s">
        <v>23500</v>
      </c>
      <c r="E20647" t="s">
        <v>43117</v>
      </c>
    </row>
    <row r="20648" spans="1:5">
      <c r="A20648" t="s">
        <v>6</v>
      </c>
      <c r="B20648" t="s">
        <v>20653</v>
      </c>
      <c r="C20648">
        <f>HYPERLINK("C:\Users\franc\OneDrive\Documentos\MALENTIN KARIME\BANCO CREDITO\FER LORCA en ROSITA (Rosita)\MUNICIPALIDAD OVALLE\PROT. CONTRATOS\SOC. CONSTRUCTORA BRAC.- marzo.-.doc", "Abrir Documento")</f>
        <v>0</v>
      </c>
      <c r="D20648" t="s">
        <v>23500</v>
      </c>
      <c r="E20648" t="s">
        <v>43118</v>
      </c>
    </row>
    <row r="20649" spans="1:5">
      <c r="A20649" t="s">
        <v>6</v>
      </c>
      <c r="B20649" t="s">
        <v>20654</v>
      </c>
      <c r="C20649">
        <f>HYPERLINK("C:\Users\franc\OneDrive\Documentos\MALENTIN KARIME\BANCO CREDITO\FER LORCA en ROSITA (Rosita)\MUNICIPALIDAD OVALLE\PROT. CONTRATOS\PROTOCOLIZACION CTO. SOC. SERVIC. INFORMATICOS.-.doc", "Abrir Documento")</f>
        <v>0</v>
      </c>
      <c r="D20649" t="s">
        <v>23500</v>
      </c>
      <c r="E20649" t="s">
        <v>43119</v>
      </c>
    </row>
    <row r="20650" spans="1:5">
      <c r="A20650" t="s">
        <v>6</v>
      </c>
      <c r="B20650" t="s">
        <v>20655</v>
      </c>
      <c r="C20650">
        <f>HYPERLINK("C:\Users\franc\OneDrive\Documentos\MALENTIN KARIME\BANCO CREDITO\FER LORCA en ROSITA (Rosita)\MUNICIPALIDAD OVALLE\PROT. CONTRATOS\PROTOCOLIZACION CTO. SOC. SERVIC. INFORMATICOS.- 54.doc", "Abrir Documento")</f>
        <v>0</v>
      </c>
      <c r="D20650" t="s">
        <v>23500</v>
      </c>
      <c r="E20650" t="s">
        <v>43120</v>
      </c>
    </row>
    <row r="20651" spans="1:5">
      <c r="A20651" t="s">
        <v>6</v>
      </c>
      <c r="B20651" t="s">
        <v>20656</v>
      </c>
      <c r="C20651">
        <f>HYPERLINK("C:\Users\franc\OneDrive\Documentos\MALENTIN KARIME\BANCO CREDITO\FER LORCA en ROSITA (Rosita)\MUNICIPALIDAD OVALLE\PROT. CONTRATOS\PROTOCOLIZACION CONTRATO ZAMORA CONSULTORES LTDA.-.doc", "Abrir Documento")</f>
        <v>0</v>
      </c>
      <c r="D20651" t="s">
        <v>23500</v>
      </c>
      <c r="E20651" t="s">
        <v>43121</v>
      </c>
    </row>
    <row r="20652" spans="1:5">
      <c r="A20652" t="s">
        <v>6</v>
      </c>
      <c r="B20652" t="s">
        <v>20657</v>
      </c>
      <c r="C20652">
        <f>HYPERLINK("C:\Users\franc\OneDrive\Documentos\MALENTIN KARIME\BANCO CREDITO\FER LORCA en ROSITA (Rosita)\MUNICIPALIDAD OVALLE\PROT. CONTRATOS\PROTOCOLIZACION CONTRATO MARITZA RAMIREZ.doc", "Abrir Documento")</f>
        <v>0</v>
      </c>
      <c r="D20652" t="s">
        <v>23500</v>
      </c>
      <c r="E20652" t="s">
        <v>43122</v>
      </c>
    </row>
    <row r="20653" spans="1:5">
      <c r="A20653" t="s">
        <v>6</v>
      </c>
      <c r="B20653" t="s">
        <v>20658</v>
      </c>
      <c r="C20653">
        <f>HYPERLINK("C:\Users\franc\OneDrive\Documentos\MALENTIN KARIME\BANCO CREDITO\FER LORCA en ROSITA (Rosita)\MUNICIPALIDAD OVALLE\PROT. CONTRATOS\PROTOCOLIZACION CONTRATO MARITZA RAMIREZ  II.doc", "Abrir Documento")</f>
        <v>0</v>
      </c>
      <c r="D20653" t="s">
        <v>23500</v>
      </c>
      <c r="E20653" t="s">
        <v>43123</v>
      </c>
    </row>
    <row r="20654" spans="1:5">
      <c r="A20654" t="s">
        <v>6</v>
      </c>
      <c r="B20654" t="s">
        <v>20659</v>
      </c>
      <c r="C20654">
        <f>HYPERLINK("C:\Users\franc\OneDrive\Documentos\MALENTIN KARIME\BANCO CREDITO\FER LORCA en ROSITA (Rosita)\MUNICIPALIDAD OVALLE\PROT. CONTRATOS\PROTOCOLIZACION CONTRATO CIRO BERRIOS.doc", "Abrir Documento")</f>
        <v>0</v>
      </c>
      <c r="D20654" t="s">
        <v>23500</v>
      </c>
      <c r="E20654" t="s">
        <v>43124</v>
      </c>
    </row>
    <row r="20655" spans="1:5">
      <c r="A20655" t="s">
        <v>6</v>
      </c>
      <c r="B20655" t="s">
        <v>20660</v>
      </c>
      <c r="C20655">
        <f>HYPERLINK("C:\Users\franc\OneDrive\Documentos\MALENTIN KARIME\BANCO CREDITO\FER LORCA en ROSITA (Rosita)\MUNICIPALIDAD OVALLE\PROT. CONTRATOS\PROTOCOLIZACION CONTRATO CIRO BERRIOS.- OTRO.doc", "Abrir Documento")</f>
        <v>0</v>
      </c>
      <c r="D20655" t="s">
        <v>23500</v>
      </c>
      <c r="E20655" t="s">
        <v>43125</v>
      </c>
    </row>
    <row r="20656" spans="1:5">
      <c r="A20656" t="s">
        <v>6</v>
      </c>
      <c r="B20656" t="s">
        <v>20661</v>
      </c>
      <c r="C20656">
        <f>HYPERLINK("C:\Users\franc\OneDrive\Documentos\MALENTIN KARIME\BANCO CREDITO\FER LORCA en ROSITA (Rosita)\MUNICIPALIDAD OVALLE\PROT. CONTRATOS\PROTOCOLIZACION CONTRATO CARLOS ROJAS.doc", "Abrir Documento")</f>
        <v>0</v>
      </c>
      <c r="D20656" t="s">
        <v>23500</v>
      </c>
      <c r="E20656" t="s">
        <v>43126</v>
      </c>
    </row>
    <row r="20657" spans="1:5">
      <c r="A20657" t="s">
        <v>6</v>
      </c>
      <c r="B20657" t="s">
        <v>20662</v>
      </c>
      <c r="C20657">
        <f>HYPERLINK("C:\Users\franc\OneDrive\Documentos\MALENTIN KARIME\BANCO CREDITO\FER LORCA en ROSITA (Rosita)\MUNICIPALIDAD OVALLE\PROT. CONTRATOS\PROTOCOLIZACION CONTRATO ALFREDO MOYA.doc", "Abrir Documento")</f>
        <v>0</v>
      </c>
      <c r="D20657" t="s">
        <v>23500</v>
      </c>
      <c r="E20657" t="s">
        <v>43127</v>
      </c>
    </row>
    <row r="20658" spans="1:5">
      <c r="A20658" t="s">
        <v>6</v>
      </c>
      <c r="B20658" t="s">
        <v>20663</v>
      </c>
      <c r="C20658">
        <f>HYPERLINK("C:\Users\franc\OneDrive\Documentos\MALENTIN KARIME\BANCO CREDITO\FER LORCA en ROSITA (Rosita)\MUNICIPALIDAD OVALLE\PROT. CONTRATOS\PROP. ELIANA CORTES PIZARRO.doc", "Abrir Documento")</f>
        <v>0</v>
      </c>
      <c r="D20658" t="s">
        <v>23500</v>
      </c>
      <c r="E20658" t="s">
        <v>43128</v>
      </c>
    </row>
    <row r="20659" spans="1:5">
      <c r="A20659" t="s">
        <v>6</v>
      </c>
      <c r="B20659" t="s">
        <v>20664</v>
      </c>
      <c r="C20659">
        <f>HYPERLINK("C:\Users\franc\OneDrive\Documentos\MALENTIN KARIME\BANCO CREDITO\FER LORCA en ROSITA (Rosita)\MUNICIPALIDAD OVALLE\PROT. CONTRATOS\LUIS PASTE.- SUBROGANTE. RENTERIA Y CONSTR. BRAC.doc", "Abrir Documento")</f>
        <v>0</v>
      </c>
      <c r="D20659" t="s">
        <v>23500</v>
      </c>
      <c r="E20659" t="s">
        <v>43129</v>
      </c>
    </row>
    <row r="20660" spans="1:5">
      <c r="A20660" t="s">
        <v>6</v>
      </c>
      <c r="B20660" t="s">
        <v>20665</v>
      </c>
      <c r="C20660">
        <f>HYPERLINK("C:\Users\franc\OneDrive\Documentos\MALENTIN KARIME\BANCO CREDITO\FER LORCA en ROSITA (Rosita)\MUNICIPALIDAD OVALLE\PROT. CONTRATOS\LOBOS - RENTERIA Y CONSTR. BRAC.-.doc", "Abrir Documento")</f>
        <v>0</v>
      </c>
      <c r="D20660" t="s">
        <v>23500</v>
      </c>
      <c r="E20660" t="s">
        <v>43130</v>
      </c>
    </row>
    <row r="20661" spans="1:5">
      <c r="A20661" t="s">
        <v>6</v>
      </c>
      <c r="B20661" t="s">
        <v>20666</v>
      </c>
      <c r="C20661">
        <f>HYPERLINK("C:\Users\franc\OneDrive\Documentos\MALENTIN KARIME\BANCO CREDITO\FER LORCA en ROSITA (Rosita)\MUNICIPALIDAD OVALLE\PROT. CONTRATOS\FIRMAS.AUT.doc", "Abrir Documento")</f>
        <v>0</v>
      </c>
      <c r="D20661" t="s">
        <v>23500</v>
      </c>
      <c r="E20661" t="s">
        <v>43131</v>
      </c>
    </row>
    <row r="20662" spans="1:5">
      <c r="A20662" t="s">
        <v>6</v>
      </c>
      <c r="B20662" t="s">
        <v>20667</v>
      </c>
      <c r="C20662">
        <f>HYPERLINK("C:\Users\franc\OneDrive\Documentos\MALENTIN KARIME\BANCO CREDITO\FER LORCA en ROSITA (Rosita)\MUNICIPALIDAD OVALLE\PROT. CONTRATOS\FIRMAS. dos.doc", "Abrir Documento")</f>
        <v>0</v>
      </c>
      <c r="D20662" t="s">
        <v>23500</v>
      </c>
      <c r="E20662" t="s">
        <v>43132</v>
      </c>
    </row>
    <row r="20663" spans="1:5">
      <c r="A20663" t="s">
        <v>6</v>
      </c>
      <c r="B20663" t="s">
        <v>20668</v>
      </c>
      <c r="C20663">
        <f>HYPERLINK("C:\Users\franc\OneDrive\Documentos\MALENTIN KARIME\BANCO CREDITO\FER LORCA en ROSITA (Rosita)\MUNICIPALIDAD OVALLE\PROT. CONTRATOS\FIRMA CON DON GLEN FLORES.doc", "Abrir Documento")</f>
        <v>0</v>
      </c>
      <c r="D20663" t="s">
        <v>23500</v>
      </c>
      <c r="E20663" t="s">
        <v>43133</v>
      </c>
    </row>
    <row r="20664" spans="1:5">
      <c r="A20664" t="s">
        <v>6</v>
      </c>
      <c r="B20664" t="s">
        <v>20669</v>
      </c>
      <c r="C20664">
        <f>HYPERLINK("C:\Users\franc\OneDrive\Documentos\MALENTIN KARIME\BANCO CREDITO\FER LORCA en ROSITA (Rosita)\MUNICIPALIDAD OVALLE\PROT. CONTRATOS\FIRMA CON DON GLEN FLORES 2º.doc", "Abrir Documento")</f>
        <v>0</v>
      </c>
      <c r="D20664" t="s">
        <v>23500</v>
      </c>
      <c r="E20664" t="s">
        <v>43134</v>
      </c>
    </row>
    <row r="20665" spans="1:5">
      <c r="A20665" t="s">
        <v>6</v>
      </c>
      <c r="B20665" t="s">
        <v>20670</v>
      </c>
      <c r="C20665">
        <f>HYPERLINK("C:\Users\franc\OneDrive\Documentos\MALENTIN KARIME\BANCO CREDITO\FER LORCA en ROSITA (Rosita)\MUNICIPALIDAD OVALLE\PROT. CONTRATOS\ALCALDESA Y RENTERIA.doc", "Abrir Documento")</f>
        <v>0</v>
      </c>
      <c r="D20665" t="s">
        <v>23500</v>
      </c>
      <c r="E20665" t="s">
        <v>43135</v>
      </c>
    </row>
    <row r="20666" spans="1:5">
      <c r="A20666" t="s">
        <v>6</v>
      </c>
      <c r="B20666" t="s">
        <v>20671</v>
      </c>
      <c r="C20666">
        <f>HYPERLINK("C:\Users\franc\OneDrive\Documentos\MALENTIN KARIME\BANCO CREDITO\FER LORCA en ROSITA (Rosita)\MUNICIPALIDAD OVALLE\PROT. CONTRATOS\ALCALDESA Y RENTERIA.- marzo 2011.doc", "Abrir Documento")</f>
        <v>0</v>
      </c>
      <c r="D20666" t="s">
        <v>23500</v>
      </c>
      <c r="E20666" t="s">
        <v>43136</v>
      </c>
    </row>
    <row r="20667" spans="1:5">
      <c r="A20667" t="s">
        <v>6</v>
      </c>
      <c r="B20667" t="s">
        <v>20672</v>
      </c>
      <c r="C20667">
        <f>HYPERLINK("C:\Users\franc\OneDrive\Documentos\MALENTIN KARIME\BANCO CREDITO\FER LORCA en ROSITA (Rosita)\MUNICIPALIDAD OVALLE\PROT. CONTRATOS\ALCALDESA Y RENTERIA, sin protocolizacion.doc", "Abrir Documento")</f>
        <v>0</v>
      </c>
      <c r="D20667" t="s">
        <v>23500</v>
      </c>
      <c r="E20667" t="s">
        <v>43137</v>
      </c>
    </row>
    <row r="20668" spans="1:5">
      <c r="A20668" t="s">
        <v>6</v>
      </c>
      <c r="B20668" t="s">
        <v>20673</v>
      </c>
      <c r="C20668">
        <f>HYPERLINK("C:\Users\franc\OneDrive\Documentos\MALENTIN KARIME\BANCO CREDITO\FER LORCA en ROSITA (Rosita)\MUNICIPALIDAD OVALLE\PROT. CONTRATOS\.- sin prot..doc", "Abrir Documento")</f>
        <v>0</v>
      </c>
      <c r="D20668" t="s">
        <v>23500</v>
      </c>
      <c r="E20668" t="s">
        <v>43138</v>
      </c>
    </row>
    <row r="20669" spans="1:5">
      <c r="A20669" t="s">
        <v>6</v>
      </c>
      <c r="B20669" t="s">
        <v>20674</v>
      </c>
      <c r="C20669">
        <f>HYPERLINK("C:\Users\franc\OneDrive\Documentos\MALENTIN KARIME\BANCO CREDITO\FER LORCA en ROSITA (Rosita)\MUNICIPALIDAD OVALLE\HUAMALATA\HERMAN OLIVARES.doc", "Abrir Documento")</f>
        <v>0</v>
      </c>
      <c r="D20669" t="s">
        <v>23500</v>
      </c>
      <c r="E20669" t="s">
        <v>43139</v>
      </c>
    </row>
    <row r="20670" spans="1:5">
      <c r="A20670" t="s">
        <v>6</v>
      </c>
      <c r="B20670" t="s">
        <v>20675</v>
      </c>
      <c r="C20670">
        <f>HYPERLINK("C:\Users\franc\OneDrive\Documentos\MALENTIN KARIME\BANCO CREDITO\FER LORCA en ROSITA (Rosita)\MUNICIPALIDAD OVALLE\HUAMALATA\ESCRITURAS TERMINADAS.doc", "Abrir Documento")</f>
        <v>0</v>
      </c>
      <c r="D20670" t="s">
        <v>23500</v>
      </c>
      <c r="E20670" t="s">
        <v>43140</v>
      </c>
    </row>
    <row r="20671" spans="1:5">
      <c r="A20671" t="s">
        <v>6</v>
      </c>
      <c r="B20671" t="s">
        <v>20676</v>
      </c>
      <c r="C20671">
        <f>HYPERLINK("C:\Users\franc\OneDrive\Documentos\MALENTIN KARIME\BANCO CREDITO\FER LORCA en ROSITA (Rosita)\MUNICIPALIDAD OVALLE\HUAMALATA\CERTIFICADO MODELO.doc", "Abrir Documento")</f>
        <v>0</v>
      </c>
      <c r="D20671" t="s">
        <v>23500</v>
      </c>
      <c r="E20671" t="s">
        <v>43141</v>
      </c>
    </row>
    <row r="20672" spans="1:5">
      <c r="A20672" t="s">
        <v>6</v>
      </c>
      <c r="B20672" t="s">
        <v>20677</v>
      </c>
      <c r="C20672">
        <f>HYPERLINK("C:\Users\franc\OneDrive\Documentos\MALENTIN KARIME\BANCO CREDITO\FER LORCA en ROSITA (Rosita)\MUNICIPALIDAD OVALLE\FIRMAS\JOSE RICALDE BORBOLLA.doc", "Abrir Documento")</f>
        <v>0</v>
      </c>
      <c r="D20672" t="s">
        <v>23500</v>
      </c>
      <c r="E20672" t="s">
        <v>43142</v>
      </c>
    </row>
    <row r="20673" spans="1:5">
      <c r="A20673" t="s">
        <v>6</v>
      </c>
      <c r="B20673" t="s">
        <v>20678</v>
      </c>
      <c r="C20673">
        <f>HYPERLINK("C:\Users\franc\OneDrive\Documentos\MALENTIN KARIME\BANCO CREDITO\FER LORCA en ROSITA (Rosita)\MUNICIPALIDAD OVALLE\FIRMAS\FIRMAS DE CONTRATO VIVIENDA.doc", "Abrir Documento")</f>
        <v>0</v>
      </c>
      <c r="D20673" t="s">
        <v>23500</v>
      </c>
      <c r="E20673" t="s">
        <v>43143</v>
      </c>
    </row>
    <row r="20674" spans="1:5">
      <c r="A20674" t="s">
        <v>6</v>
      </c>
      <c r="B20674" t="s">
        <v>20679</v>
      </c>
      <c r="C20674">
        <f>HYPERLINK("C:\Users\franc\OneDrive\Documentos\MALENTIN KARIME\BANCO CREDITO\FER LORCA en ROSITA (Rosita)\MUNICIPALIDAD OVALLE\FIRMAS\FIRMAS DE CONTRATO VIVIENDA. SIN PROTOCOLO.doc", "Abrir Documento")</f>
        <v>0</v>
      </c>
      <c r="D20674" t="s">
        <v>23500</v>
      </c>
      <c r="E20674" t="s">
        <v>43144</v>
      </c>
    </row>
    <row r="20675" spans="1:5">
      <c r="A20675" t="s">
        <v>6</v>
      </c>
      <c r="B20675" t="s">
        <v>20680</v>
      </c>
      <c r="C20675">
        <f>HYPERLINK("C:\Users\franc\OneDrive\Documentos\MALENTIN KARIME\BANCO CREDITO\FER LORCA en ROSITA (Rosita)\MUNICIPALIDAD OVALLE\CONTRATO COMITE VILLA ESPERANZA\PTOR. VILLA ESPERANZA.doc", "Abrir Documento")</f>
        <v>0</v>
      </c>
      <c r="D20675" t="s">
        <v>23500</v>
      </c>
      <c r="E20675" t="s">
        <v>43145</v>
      </c>
    </row>
    <row r="20676" spans="1:5">
      <c r="A20676" t="s">
        <v>6</v>
      </c>
      <c r="B20676" t="s">
        <v>20681</v>
      </c>
      <c r="C20676">
        <f>HYPERLINK("C:\Users\franc\OneDrive\Documentos\MALENTIN KARIME\BANCO CREDITO\FER LORCA en ROSITA (Rosita)\MUNICIPALIDAD OVALLE\ALZAMIENTOS\LUIS PASTEN GONZALEZ.doc", "Abrir Documento")</f>
        <v>0</v>
      </c>
      <c r="D20676" t="s">
        <v>23500</v>
      </c>
      <c r="E20676" t="s">
        <v>43146</v>
      </c>
    </row>
    <row r="20677" spans="1:5">
      <c r="A20677" t="s">
        <v>6</v>
      </c>
      <c r="B20677" t="s">
        <v>20682</v>
      </c>
      <c r="C20677">
        <f>HYPERLINK("C:\Users\franc\OneDrive\Documentos\MALENTIN KARIME\BANCO CREDITO\FER LORCA en ROSITA (Rosita)\MUNICIPALIDAD OVALLE\DECRETO EXENTO DOMINGA CORTES.doc", "Abrir Documento")</f>
        <v>0</v>
      </c>
      <c r="D20677" t="s">
        <v>23500</v>
      </c>
      <c r="E20677" t="s">
        <v>43147</v>
      </c>
    </row>
    <row r="20678" spans="1:5">
      <c r="A20678" t="s">
        <v>6</v>
      </c>
      <c r="B20678" t="s">
        <v>20683</v>
      </c>
      <c r="C20678">
        <f>HYPERLINK("C:\Users\franc\OneDrive\Documentos\MALENTIN KARIME\BANCO CREDITO\FER LORCA en ROSITA (Rosita)\MUNICIPALIDAD OVALLE\AUTORIZACION FIRMAS....CON COMITE EBENEZER.doc", "Abrir Documento")</f>
        <v>0</v>
      </c>
      <c r="D20678" t="s">
        <v>23500</v>
      </c>
      <c r="E20678" t="s">
        <v>43148</v>
      </c>
    </row>
    <row r="20679" spans="1:5">
      <c r="A20679" t="s">
        <v>6</v>
      </c>
      <c r="B20679" t="s">
        <v>20684</v>
      </c>
      <c r="C20679">
        <f>HYPERLINK("C:\Users\franc\OneDrive\Documentos\MALENTIN KARIME\BANCO CREDITO\FER LORCA en ROSITA (Rosita)\MUNICIP. RIO HURTADO\MEJORAMIENTO ESC. BASICA DE PICHASCA.doc", "Abrir Documento")</f>
        <v>0</v>
      </c>
      <c r="D20679" t="s">
        <v>23500</v>
      </c>
      <c r="E20679" t="s">
        <v>43149</v>
      </c>
    </row>
    <row r="20680" spans="1:5">
      <c r="A20680" t="s">
        <v>6</v>
      </c>
      <c r="B20680" t="s">
        <v>20685</v>
      </c>
      <c r="C20680">
        <f>HYPERLINK("C:\Users\franc\OneDrive\Documentos\MALENTIN KARIME\BANCO CREDITO\FER LORCA en ROSITA (Rosita)\MUNICIP. RIO HURTADO\CONTRATO DE EJECUCION DE OBRAS.doc", "Abrir Documento")</f>
        <v>0</v>
      </c>
      <c r="D20680" t="s">
        <v>23500</v>
      </c>
      <c r="E20680" t="s">
        <v>43150</v>
      </c>
    </row>
    <row r="20681" spans="1:5">
      <c r="A20681" t="s">
        <v>6</v>
      </c>
      <c r="B20681" t="s">
        <v>20686</v>
      </c>
      <c r="C20681">
        <f>HYPERLINK("C:\Users\franc\OneDrive\Documentos\MALENTIN KARIME\BANCO CREDITO\FER LORCA en ROSITA (Rosita)\MITSUI MUSALEM\MODELO MANDATO PRIVADO.doc", "Abrir Documento")</f>
        <v>0</v>
      </c>
      <c r="D20681" t="s">
        <v>23500</v>
      </c>
      <c r="E20681" t="s">
        <v>43151</v>
      </c>
    </row>
    <row r="20682" spans="1:5">
      <c r="A20682" t="s">
        <v>6</v>
      </c>
      <c r="B20682" t="s">
        <v>20687</v>
      </c>
      <c r="C20682">
        <f>HYPERLINK("C:\Users\franc\OneDrive\Documentos\MALENTIN KARIME\BANCO CREDITO\FER LORCA en ROSITA (Rosita)\MITSUI MUSALEM\Autorizo la firma MITSUI.doc", "Abrir Documento")</f>
        <v>0</v>
      </c>
      <c r="D20682" t="s">
        <v>23500</v>
      </c>
      <c r="E20682" t="s">
        <v>43152</v>
      </c>
    </row>
    <row r="20683" spans="1:5">
      <c r="A20683" t="s">
        <v>6</v>
      </c>
      <c r="B20683" t="s">
        <v>20688</v>
      </c>
      <c r="C20683">
        <f>HYPERLINK("C:\Users\franc\OneDrive\Documentos\MALENTIN KARIME\BANCO CREDITO\FER LORCA en ROSITA (Rosita)\MINAS\NOVIEMBRE\LOS  BARRIALES.doc", "Abrir Documento")</f>
        <v>0</v>
      </c>
      <c r="D20683" t="s">
        <v>23500</v>
      </c>
      <c r="E20683" t="s">
        <v>43153</v>
      </c>
    </row>
    <row r="20684" spans="1:5">
      <c r="A20684" t="s">
        <v>6</v>
      </c>
      <c r="B20684" t="s">
        <v>20689</v>
      </c>
      <c r="C20684">
        <f>HYPERLINK("C:\Users\franc\OneDrive\Documentos\MALENTIN KARIME\BANCO CREDITO\FER LORCA en ROSITA (Rosita)\MINAS\NOVIEMBRE\DON MANUEL.doc", "Abrir Documento")</f>
        <v>0</v>
      </c>
      <c r="D20684" t="s">
        <v>23500</v>
      </c>
      <c r="E20684" t="s">
        <v>43154</v>
      </c>
    </row>
    <row r="20685" spans="1:5">
      <c r="A20685" t="s">
        <v>6</v>
      </c>
      <c r="B20685" t="s">
        <v>20690</v>
      </c>
      <c r="C20685">
        <f>HYPERLINK("C:\Users\franc\OneDrive\Documentos\MALENTIN KARIME\BANCO CREDITO\FER LORCA en ROSITA (Rosita)\MINAS\NOVIEMBRE\DON GUSTAVO.doc", "Abrir Documento")</f>
        <v>0</v>
      </c>
      <c r="D20685" t="s">
        <v>23500</v>
      </c>
      <c r="E20685" t="s">
        <v>43155</v>
      </c>
    </row>
    <row r="20686" spans="1:5">
      <c r="A20686" t="s">
        <v>6</v>
      </c>
      <c r="B20686" t="s">
        <v>20691</v>
      </c>
      <c r="C20686">
        <f>HYPERLINK("C:\Users\franc\OneDrive\Documentos\MALENTIN KARIME\BANCO CREDITO\FER LORCA en ROSITA (Rosita)\MINAS\NOVIEMBRE\DON DOMINGO.doc", "Abrir Documento")</f>
        <v>0</v>
      </c>
      <c r="D20686" t="s">
        <v>23500</v>
      </c>
      <c r="E20686" t="s">
        <v>43156</v>
      </c>
    </row>
    <row r="20687" spans="1:5">
      <c r="A20687" t="s">
        <v>6</v>
      </c>
      <c r="B20687" t="s">
        <v>20692</v>
      </c>
      <c r="C20687">
        <f>HYPERLINK("C:\Users\franc\OneDrive\Documentos\MALENTIN KARIME\BANCO CREDITO\FER LORCA en ROSITA (Rosita)\MINAS\NOVIEMBRE\DON CARLOS 1.doc", "Abrir Documento")</f>
        <v>0</v>
      </c>
      <c r="D20687" t="s">
        <v>23500</v>
      </c>
      <c r="E20687" t="s">
        <v>43157</v>
      </c>
    </row>
    <row r="20688" spans="1:5">
      <c r="A20688" t="s">
        <v>6</v>
      </c>
      <c r="B20688" t="s">
        <v>20693</v>
      </c>
      <c r="C20688">
        <f>HYPERLINK("C:\Users\franc\OneDrive\Documentos\MALENTIN KARIME\BANCO CREDITO\FER LORCA en ROSITA (Rosita)\MINAS\NOVIEMBRE\CORRAL UNO.- 3º JUZGADO.doc", "Abrir Documento")</f>
        <v>0</v>
      </c>
      <c r="D20688" t="s">
        <v>23500</v>
      </c>
      <c r="E20688" t="s">
        <v>43158</v>
      </c>
    </row>
    <row r="20689" spans="1:5">
      <c r="A20689" t="s">
        <v>6</v>
      </c>
      <c r="B20689" t="s">
        <v>20694</v>
      </c>
      <c r="C20689">
        <f>HYPERLINK("C:\Users\franc\OneDrive\Documentos\MALENTIN KARIME\BANCO CREDITO\FER LORCA en ROSITA (Rosita)\MINAS\ENERO 2011\Borrador_PCV_Mina_La_Reina(v-2).doc", "Abrir Documento")</f>
        <v>0</v>
      </c>
      <c r="D20689" t="s">
        <v>23500</v>
      </c>
      <c r="E20689" t="s">
        <v>43159</v>
      </c>
    </row>
    <row r="20690" spans="1:5">
      <c r="A20690" t="s">
        <v>6</v>
      </c>
      <c r="B20690" t="s">
        <v>20695</v>
      </c>
      <c r="C20690">
        <f>HYPERLINK("C:\Users\franc\OneDrive\Documentos\MALENTIN KARIME\BANCO CREDITO\FER LORCA en ROSITA (Rosita)\MINAS\ENERO 2011\Borrador_PCV_Mina_La_Reina(v-2).- OTRO REPERTORIO.doc", "Abrir Documento")</f>
        <v>0</v>
      </c>
      <c r="D20690" t="s">
        <v>23500</v>
      </c>
      <c r="E20690" t="s">
        <v>43160</v>
      </c>
    </row>
    <row r="20691" spans="1:5">
      <c r="A20691" t="s">
        <v>6</v>
      </c>
      <c r="B20691" t="s">
        <v>20696</v>
      </c>
      <c r="C20691">
        <f>HYPERLINK("C:\Users\franc\OneDrive\Documentos\MALENTIN KARIME\BANCO CREDITO\FER LORCA en ROSITA (Rosita)\MINAS\ENERO 2011\Borrador_PCV_Mina_La_Reina(v-2).- minuta.doc", "Abrir Documento")</f>
        <v>0</v>
      </c>
      <c r="D20691" t="s">
        <v>23500</v>
      </c>
      <c r="E20691" t="s">
        <v>43161</v>
      </c>
    </row>
    <row r="20692" spans="1:5">
      <c r="A20692" t="s">
        <v>6</v>
      </c>
      <c r="B20692" t="s">
        <v>20697</v>
      </c>
      <c r="C20692">
        <f>HYPERLINK("C:\Users\franc\OneDrive\Documentos\MALENTIN KARIME\BANCO CREDITO\FER LORCA en ROSITA (Rosita)\MINAS\ULTIMO GUERRERO.doc", "Abrir Documento")</f>
        <v>0</v>
      </c>
      <c r="D20692" t="s">
        <v>23500</v>
      </c>
      <c r="E20692" t="s">
        <v>43162</v>
      </c>
    </row>
    <row r="20693" spans="1:5">
      <c r="A20693" t="s">
        <v>6</v>
      </c>
      <c r="B20693" t="s">
        <v>20698</v>
      </c>
      <c r="C20693">
        <f>HYPERLINK("C:\Users\franc\OneDrive\Documentos\MALENTIN KARIME\BANCO CREDITO\FER LORCA en ROSITA (Rosita)\MINAS\SENTENCIA ENTROPIA 1 AL 10.doc", "Abrir Documento")</f>
        <v>0</v>
      </c>
      <c r="D20693" t="s">
        <v>23500</v>
      </c>
      <c r="E20693" t="s">
        <v>43163</v>
      </c>
    </row>
    <row r="20694" spans="1:5">
      <c r="A20694" t="s">
        <v>6</v>
      </c>
      <c r="B20694" t="s">
        <v>20699</v>
      </c>
      <c r="C20694">
        <f>HYPERLINK("C:\Users\franc\OneDrive\Documentos\MALENTIN KARIME\BANCO CREDITO\FER LORCA en ROSITA (Rosita)\MINAS\SAMIGUEO 1 AL 20....3ºJ..doc", "Abrir Documento")</f>
        <v>0</v>
      </c>
      <c r="D20694" t="s">
        <v>23500</v>
      </c>
      <c r="E20694" t="s">
        <v>43164</v>
      </c>
    </row>
    <row r="20695" spans="1:5">
      <c r="A20695" t="s">
        <v>6</v>
      </c>
      <c r="B20695" t="s">
        <v>20700</v>
      </c>
      <c r="C20695">
        <f>HYPERLINK("C:\Users\franc\OneDrive\Documentos\MALENTIN KARIME\BANCO CREDITO\FER LORCA en ROSITA (Rosita)\MINAS\QUISCO 43 -   TERCER JUZGADO.doc", "Abrir Documento")</f>
        <v>0</v>
      </c>
      <c r="D20695" t="s">
        <v>23500</v>
      </c>
      <c r="E20695" t="s">
        <v>43165</v>
      </c>
    </row>
    <row r="20696" spans="1:5">
      <c r="A20696" t="s">
        <v>6</v>
      </c>
      <c r="B20696" t="s">
        <v>20701</v>
      </c>
      <c r="C20696">
        <f>HYPERLINK("C:\Users\franc\OneDrive\Documentos\MALENTIN KARIME\BANCO CREDITO\FER LORCA en ROSITA (Rosita)\MINAS\PARINCOTA UNO (SEGUNDO JUZGADO).doc", "Abrir Documento")</f>
        <v>0</v>
      </c>
      <c r="D20696" t="s">
        <v>23500</v>
      </c>
      <c r="E20696" t="s">
        <v>43166</v>
      </c>
    </row>
    <row r="20697" spans="1:5">
      <c r="A20697" t="s">
        <v>6</v>
      </c>
      <c r="B20697" t="s">
        <v>20702</v>
      </c>
      <c r="C20697">
        <f>HYPERLINK("C:\Users\franc\OneDrive\Documentos\MALENTIN KARIME\BANCO CREDITO\FER LORCA en ROSITA (Rosita)\MINAS\PARINCOTA DOS (SEGUNDO JUZGADO).doc", "Abrir Documento")</f>
        <v>0</v>
      </c>
      <c r="D20697" t="s">
        <v>23500</v>
      </c>
      <c r="E20697" t="s">
        <v>43167</v>
      </c>
    </row>
    <row r="20698" spans="1:5">
      <c r="A20698" t="s">
        <v>6</v>
      </c>
      <c r="B20698" t="s">
        <v>20703</v>
      </c>
      <c r="C20698">
        <f>HYPERLINK("C:\Users\franc\OneDrive\Documentos\MALENTIN KARIME\BANCO CREDITO\FER LORCA en ROSITA (Rosita)\MINAS\MODELO MENSURA.doc", "Abrir Documento")</f>
        <v>0</v>
      </c>
      <c r="D20698" t="s">
        <v>23500</v>
      </c>
      <c r="E20698" t="s">
        <v>43168</v>
      </c>
    </row>
    <row r="20699" spans="1:5">
      <c r="A20699" t="s">
        <v>6</v>
      </c>
      <c r="B20699" t="s">
        <v>20704</v>
      </c>
      <c r="C20699">
        <f>HYPERLINK("C:\Users\franc\OneDrive\Documentos\MALENTIN KARIME\BANCO CREDITO\FER LORCA en ROSITA (Rosita)\MINAS\MINA LAMPERA, ALB.CERDA.1ºJUZGADO.doc", "Abrir Documento")</f>
        <v>0</v>
      </c>
      <c r="D20699" t="s">
        <v>23500</v>
      </c>
      <c r="E20699" t="s">
        <v>43169</v>
      </c>
    </row>
    <row r="20700" spans="1:5">
      <c r="A20700" t="s">
        <v>6</v>
      </c>
      <c r="B20700" t="s">
        <v>20705</v>
      </c>
      <c r="C20700">
        <f>HYPERLINK("C:\Users\franc\OneDrive\Documentos\MALENTIN KARIME\BANCO CREDITO\FER LORCA en ROSITA (Rosita)\MINAS\MINA LA ONDA 1 AL 10 2ºJUZGADO.doc", "Abrir Documento")</f>
        <v>0</v>
      </c>
      <c r="D20700" t="s">
        <v>23500</v>
      </c>
      <c r="E20700" t="s">
        <v>43170</v>
      </c>
    </row>
    <row r="20701" spans="1:5">
      <c r="A20701" t="s">
        <v>6</v>
      </c>
      <c r="B20701" t="s">
        <v>20706</v>
      </c>
      <c r="C20701">
        <f>HYPERLINK("C:\Users\franc\OneDrive\Documentos\MALENTIN KARIME\BANCO CREDITO\FER LORCA en ROSITA (Rosita)\MINAS\MINA CARRIZALINA UNA AL VEINTE.doc", "Abrir Documento")</f>
        <v>0</v>
      </c>
      <c r="D20701" t="s">
        <v>23500</v>
      </c>
      <c r="E20701" t="s">
        <v>43171</v>
      </c>
    </row>
    <row r="20702" spans="1:5">
      <c r="A20702" t="s">
        <v>6</v>
      </c>
      <c r="B20702" t="s">
        <v>20707</v>
      </c>
      <c r="C20702">
        <f>HYPERLINK("C:\Users\franc\OneDrive\Documentos\MALENTIN KARIME\BANCO CREDITO\FER LORCA en ROSITA (Rosita)\MINAS\MENSURA ENTROPIA I AL 10.doc", "Abrir Documento")</f>
        <v>0</v>
      </c>
      <c r="D20702" t="s">
        <v>23500</v>
      </c>
      <c r="E20702" t="s">
        <v>43172</v>
      </c>
    </row>
    <row r="20703" spans="1:5">
      <c r="A20703" t="s">
        <v>6</v>
      </c>
      <c r="B20703" t="s">
        <v>20708</v>
      </c>
      <c r="C20703">
        <f>HYPERLINK("C:\Users\franc\OneDrive\Documentos\MALENTIN KARIME\BANCO CREDITO\FER LORCA en ROSITA (Rosita)\MINAS\MANIFESTACION M. CULLANA 1 AL 40.doc", "Abrir Documento")</f>
        <v>0</v>
      </c>
      <c r="D20703" t="s">
        <v>23500</v>
      </c>
      <c r="E20703" t="s">
        <v>43173</v>
      </c>
    </row>
    <row r="20704" spans="1:5">
      <c r="A20704" t="s">
        <v>6</v>
      </c>
      <c r="B20704" t="s">
        <v>20709</v>
      </c>
      <c r="C20704">
        <f>HYPERLINK("C:\Users\franc\OneDrive\Documentos\MALENTIN KARIME\BANCO CREDITO\FER LORCA en ROSITA (Rosita)\MINAS\MANIFESTACION LA ENVIDIOSA DEL  1 AL 20. 1º JUZG..doc", "Abrir Documento")</f>
        <v>0</v>
      </c>
      <c r="D20704" t="s">
        <v>23500</v>
      </c>
      <c r="E20704" t="s">
        <v>43174</v>
      </c>
    </row>
    <row r="20705" spans="1:5">
      <c r="A20705" t="s">
        <v>6</v>
      </c>
      <c r="B20705" t="s">
        <v>20710</v>
      </c>
      <c r="C20705">
        <f>HYPERLINK("C:\Users\franc\OneDrive\Documentos\MALENTIN KARIME\BANCO CREDITO\FER LORCA en ROSITA (Rosita)\MINAS\MANIFESTACION  MINA REYES 1º JUZG..doc", "Abrir Documento")</f>
        <v>0</v>
      </c>
      <c r="D20705" t="s">
        <v>23500</v>
      </c>
      <c r="E20705" t="s">
        <v>43175</v>
      </c>
    </row>
    <row r="20706" spans="1:5">
      <c r="A20706" t="s">
        <v>6</v>
      </c>
      <c r="B20706" t="s">
        <v>20711</v>
      </c>
      <c r="C20706">
        <f>HYPERLINK("C:\Users\franc\OneDrive\Documentos\MALENTIN KARIME\BANCO CREDITO\FER LORCA en ROSITA (Rosita)\MINAS\MANIFESTACION  LA CHUQUI CHICA 2º JUZG..doc", "Abrir Documento")</f>
        <v>0</v>
      </c>
      <c r="D20706" t="s">
        <v>23500</v>
      </c>
      <c r="E20706" t="s">
        <v>43176</v>
      </c>
    </row>
    <row r="20707" spans="1:5">
      <c r="A20707" t="s">
        <v>6</v>
      </c>
      <c r="B20707" t="s">
        <v>20712</v>
      </c>
      <c r="C20707">
        <f>HYPERLINK("C:\Users\franc\OneDrive\Documentos\MALENTIN KARIME\BANCO CREDITO\FER LORCA en ROSITA (Rosita)\MINAS\MANIFEST.  AL 20. 2º JUZG..doc", "Abrir Documento")</f>
        <v>0</v>
      </c>
      <c r="D20707" t="s">
        <v>23500</v>
      </c>
      <c r="E20707" t="s">
        <v>43177</v>
      </c>
    </row>
    <row r="20708" spans="1:5">
      <c r="A20708" t="s">
        <v>6</v>
      </c>
      <c r="B20708" t="s">
        <v>20713</v>
      </c>
      <c r="C20708">
        <f>HYPERLINK("C:\Users\franc\OneDrive\Documentos\MALENTIN KARIME\BANCO CREDITO\FER LORCA en ROSITA (Rosita)\MINAS\MANIF. STA. ANITA 1 AL 2.- 2º JUZGADO.doc", "Abrir Documento")</f>
        <v>0</v>
      </c>
      <c r="D20708" t="s">
        <v>23500</v>
      </c>
      <c r="E20708" t="s">
        <v>43178</v>
      </c>
    </row>
    <row r="20709" spans="1:5">
      <c r="A20709" t="s">
        <v>6</v>
      </c>
      <c r="B20709" t="s">
        <v>20714</v>
      </c>
      <c r="C20709">
        <f>HYPERLINK("C:\Users\franc\OneDrive\Documentos\MALENTIN KARIME\BANCO CREDITO\FER LORCA en ROSITA (Rosita)\MINAS\LA PAISANA  1 AL 20. ANG.SUCK..doc", "Abrir Documento")</f>
        <v>0</v>
      </c>
      <c r="D20709" t="s">
        <v>23500</v>
      </c>
      <c r="E20709" t="s">
        <v>43179</v>
      </c>
    </row>
    <row r="20710" spans="1:5">
      <c r="A20710" t="s">
        <v>6</v>
      </c>
      <c r="B20710" t="s">
        <v>20715</v>
      </c>
      <c r="C20710">
        <f>HYPERLINK("C:\Users\franc\OneDrive\Documentos\MALENTIN KARIME\BANCO CREDITO\FER LORCA en ROSITA (Rosita)\MINAS\LA NONITA 1 AL 9. ALB.CERDA. C. 2º JUZG..doc", "Abrir Documento")</f>
        <v>0</v>
      </c>
      <c r="D20710" t="s">
        <v>23500</v>
      </c>
      <c r="E20710" t="s">
        <v>43180</v>
      </c>
    </row>
    <row r="20711" spans="1:5">
      <c r="A20711" t="s">
        <v>6</v>
      </c>
      <c r="B20711" t="s">
        <v>20716</v>
      </c>
      <c r="C20711">
        <f>HYPERLINK("C:\Users\franc\OneDrive\Documentos\MALENTIN KARIME\BANCO CREDITO\FER LORCA en ROSITA (Rosita)\MINAS\LA MORENA 1 AL 20 ALBERTO CERDA CERDA SEGUNDO JUZGADO.doc", "Abrir Documento")</f>
        <v>0</v>
      </c>
      <c r="D20711" t="s">
        <v>23500</v>
      </c>
      <c r="E20711" t="s">
        <v>43181</v>
      </c>
    </row>
    <row r="20712" spans="1:5">
      <c r="A20712" t="s">
        <v>6</v>
      </c>
      <c r="B20712" t="s">
        <v>20717</v>
      </c>
      <c r="C20712">
        <f>HYPERLINK("C:\Users\franc\OneDrive\Documentos\MALENTIN KARIME\BANCO CREDITO\FER LORCA en ROSITA (Rosita)\MINAS\LA HUANACA 1 AL 10-     TERCER JDO   JORGE ROMO.doc", "Abrir Documento")</f>
        <v>0</v>
      </c>
      <c r="D20712" t="s">
        <v>23500</v>
      </c>
      <c r="E20712" t="s">
        <v>43182</v>
      </c>
    </row>
    <row r="20713" spans="1:5">
      <c r="A20713" t="s">
        <v>6</v>
      </c>
      <c r="B20713" t="s">
        <v>20718</v>
      </c>
      <c r="C20713">
        <f>HYPERLINK("C:\Users\franc\OneDrive\Documentos\MALENTIN KARIME\BANCO CREDITO\FER LORCA en ROSITA (Rosita)\MINAS\LA ESPERANZA 1 AL 8.doc", "Abrir Documento")</f>
        <v>0</v>
      </c>
      <c r="D20713" t="s">
        <v>23500</v>
      </c>
      <c r="E20713" t="s">
        <v>43183</v>
      </c>
    </row>
    <row r="20714" spans="1:5">
      <c r="A20714" t="s">
        <v>6</v>
      </c>
      <c r="B20714" t="s">
        <v>20719</v>
      </c>
      <c r="C20714">
        <f>HYPERLINK("C:\Users\franc\OneDrive\Documentos\MALENTIN KARIME\BANCO CREDITO\FER LORCA en ROSITA (Rosita)\MINAS\LA DESPRECIADA 1 AL 5     TERCER JDO   JORGE ROMO.doc", "Abrir Documento")</f>
        <v>0</v>
      </c>
      <c r="D20714" t="s">
        <v>23500</v>
      </c>
      <c r="E20714" t="s">
        <v>43184</v>
      </c>
    </row>
    <row r="20715" spans="1:5">
      <c r="A20715" t="s">
        <v>6</v>
      </c>
      <c r="B20715" t="s">
        <v>20720</v>
      </c>
      <c r="C20715">
        <f>HYPERLINK("C:\Users\franc\OneDrive\Documentos\MALENTIN KARIME\BANCO CREDITO\FER LORCA en ROSITA (Rosita)\MINAS\LA ATUTEMA 1 AL 3     TERCER JDO   JORGE ROMO.doc", "Abrir Documento")</f>
        <v>0</v>
      </c>
      <c r="D20715" t="s">
        <v>23500</v>
      </c>
      <c r="E20715" t="s">
        <v>43185</v>
      </c>
    </row>
    <row r="20716" spans="1:5">
      <c r="A20716" t="s">
        <v>6</v>
      </c>
      <c r="B20716" t="s">
        <v>20721</v>
      </c>
      <c r="C20716">
        <f>HYPERLINK("C:\Users\franc\OneDrive\Documentos\MALENTIN KARIME\BANCO CREDITO\FER LORCA en ROSITA (Rosita)\MINAS\LA AMARILLA DE LA COIPA UNA AL VEINTE (SEGUNDO JUZGADO).doc", "Abrir Documento")</f>
        <v>0</v>
      </c>
      <c r="D20716" t="s">
        <v>23500</v>
      </c>
      <c r="E20716" t="s">
        <v>43186</v>
      </c>
    </row>
    <row r="20717" spans="1:5">
      <c r="A20717" t="s">
        <v>6</v>
      </c>
      <c r="B20717" t="s">
        <v>20722</v>
      </c>
      <c r="C20717">
        <f>HYPERLINK("C:\Users\franc\OneDrive\Documentos\MALENTIN KARIME\BANCO CREDITO\FER LORCA en ROSITA (Rosita)\MINAS\GITANILLA 1 AL 5.  2º JUZG. ANGEL. SUCKELL.doc", "Abrir Documento")</f>
        <v>0</v>
      </c>
      <c r="D20717" t="s">
        <v>23500</v>
      </c>
      <c r="E20717" t="s">
        <v>43187</v>
      </c>
    </row>
    <row r="20718" spans="1:5">
      <c r="A20718" t="s">
        <v>6</v>
      </c>
      <c r="B20718" t="s">
        <v>20723</v>
      </c>
      <c r="C20718">
        <f>HYPERLINK("C:\Users\franc\OneDrive\Documentos\MALENTIN KARIME\BANCO CREDITO\FER LORCA en ROSITA (Rosita)\MINAS\CUCHILLA BLANCA.doc", "Abrir Documento")</f>
        <v>0</v>
      </c>
      <c r="D20718" t="s">
        <v>23500</v>
      </c>
      <c r="E20718" t="s">
        <v>43188</v>
      </c>
    </row>
    <row r="20719" spans="1:5">
      <c r="A20719" t="s">
        <v>6</v>
      </c>
      <c r="B20719" t="s">
        <v>20724</v>
      </c>
      <c r="C20719">
        <f>HYPERLINK("C:\Users\franc\OneDrive\Documentos\MALENTIN KARIME\BANCO CREDITO\FER LORCA en ROSITA (Rosita)\MINAS\CUCHILLA BLANCA DOS.doc", "Abrir Documento")</f>
        <v>0</v>
      </c>
      <c r="D20719" t="s">
        <v>23500</v>
      </c>
      <c r="E20719" t="s">
        <v>43189</v>
      </c>
    </row>
    <row r="20720" spans="1:5">
      <c r="A20720" t="s">
        <v>6</v>
      </c>
      <c r="B20720" t="s">
        <v>20725</v>
      </c>
      <c r="C20720">
        <f>HYPERLINK("C:\Users\franc\OneDrive\Documentos\MALENTIN KARIME\BANCO CREDITO\FER LORCA en ROSITA (Rosita)\MINAS\CASCARITA  1 AL 91.doc", "Abrir Documento")</f>
        <v>0</v>
      </c>
      <c r="D20720" t="s">
        <v>23500</v>
      </c>
      <c r="E20720" t="s">
        <v>43190</v>
      </c>
    </row>
    <row r="20721" spans="1:5">
      <c r="A20721" t="s">
        <v>6</v>
      </c>
      <c r="B20721" t="s">
        <v>20726</v>
      </c>
      <c r="C20721">
        <f>HYPERLINK("C:\Users\franc\OneDrive\Documentos\MALENTIN KARIME\BANCO CREDITO\FER LORCA en ROSITA (Rosita)\MARITZA RETAMAL\RESCILIACIÓN PROMESA DE VENTA.doc", "Abrir Documento")</f>
        <v>0</v>
      </c>
      <c r="D20721" t="s">
        <v>23500</v>
      </c>
      <c r="E20721" t="s">
        <v>43191</v>
      </c>
    </row>
    <row r="20722" spans="1:5">
      <c r="A20722" t="s">
        <v>6</v>
      </c>
      <c r="B20722" t="s">
        <v>20727</v>
      </c>
      <c r="C20722">
        <f>HYPERLINK("C:\Users\franc\OneDrive\Documentos\MALENTIN KARIME\BANCO CREDITO\FER LORCA en ROSITA (Rosita)\MANDATOS\YEANETTE SEGURA\VALERICIO OLIVARES CIFUENTES.doc", "Abrir Documento")</f>
        <v>0</v>
      </c>
      <c r="D20722" t="s">
        <v>23500</v>
      </c>
      <c r="E20722" t="s">
        <v>43192</v>
      </c>
    </row>
    <row r="20723" spans="1:5">
      <c r="A20723" t="s">
        <v>6</v>
      </c>
      <c r="B20723" t="s">
        <v>20728</v>
      </c>
      <c r="C20723">
        <f>HYPERLINK("C:\Users\franc\OneDrive\Documentos\MALENTIN KARIME\BANCO CREDITO\FER LORCA en ROSITA (Rosita)\MANDATOS\YEANETTE SEGURA\MTO. ROSA GALLEGUILLOS.doc", "Abrir Documento")</f>
        <v>0</v>
      </c>
      <c r="D20723" t="s">
        <v>23500</v>
      </c>
      <c r="E20723" t="s">
        <v>43193</v>
      </c>
    </row>
    <row r="20724" spans="1:5">
      <c r="A20724" t="s">
        <v>6</v>
      </c>
      <c r="B20724" t="s">
        <v>20729</v>
      </c>
      <c r="C20724">
        <f>HYPERLINK("C:\Users\franc\OneDrive\Documentos\MALENTIN KARIME\BANCO CREDITO\FER LORCA en ROSITA (Rosita)\MANDATOS\YEANETTE SEGURA\CONTRATO ROSA GALLEGUILLOS[1].doc", "Abrir Documento")</f>
        <v>0</v>
      </c>
      <c r="D20724" t="s">
        <v>23500</v>
      </c>
      <c r="E20724" t="s">
        <v>43194</v>
      </c>
    </row>
    <row r="20725" spans="1:5">
      <c r="A20725" t="s">
        <v>6</v>
      </c>
      <c r="B20725" t="s">
        <v>20730</v>
      </c>
      <c r="C20725">
        <f>HYPERLINK("C:\Users\franc\OneDrive\Documentos\MALENTIN KARIME\BANCO CREDITO\FER LORCA en ROSITA (Rosita)\MANDATOS\YEANETTE SEGURA\CONTRATO OLIVARES[1].doc", "Abrir Documento")</f>
        <v>0</v>
      </c>
      <c r="D20725" t="s">
        <v>23500</v>
      </c>
      <c r="E20725" t="s">
        <v>43195</v>
      </c>
    </row>
    <row r="20726" spans="1:5">
      <c r="A20726" t="s">
        <v>6</v>
      </c>
      <c r="B20726" t="s">
        <v>20731</v>
      </c>
      <c r="C20726">
        <f>HYPERLINK("C:\Users\franc\OneDrive\Documentos\MALENTIN KARIME\BANCO CREDITO\FER LORCA en ROSITA (Rosita)\MANDATOS\YEANETTE SEGURA\CONTRATO GALLEGUILLOS[1].doc", "Abrir Documento")</f>
        <v>0</v>
      </c>
      <c r="D20726" t="s">
        <v>23500</v>
      </c>
      <c r="E20726" t="s">
        <v>43196</v>
      </c>
    </row>
    <row r="20727" spans="1:5">
      <c r="A20727" t="s">
        <v>6</v>
      </c>
      <c r="B20727" t="s">
        <v>20732</v>
      </c>
      <c r="C20727">
        <f>HYPERLINK("C:\Users\franc\OneDrive\Documentos\MALENTIN KARIME\BANCO CREDITO\FER LORCA en ROSITA (Rosita)\MANDATOS\VENDER\TOMAS MALEBRAN A MARIA CASTAÑEDA (VENTA=.doc", "Abrir Documento")</f>
        <v>0</v>
      </c>
      <c r="D20727" t="s">
        <v>23500</v>
      </c>
      <c r="E20727" t="s">
        <v>43197</v>
      </c>
    </row>
    <row r="20728" spans="1:5">
      <c r="A20728" t="s">
        <v>6</v>
      </c>
      <c r="B20728" t="s">
        <v>20733</v>
      </c>
      <c r="C20728">
        <f>HYPERLINK("C:\Users\franc\OneDrive\Documentos\MALENTIN KARIME\BANCO CREDITO\FER LORCA en ROSITA (Rosita)\MANDATOS\VENDER\ROSA VILLALOBOS E HIJOS  A VILMA VILLALOBOS.- SEPT. 2010.doc", "Abrir Documento")</f>
        <v>0</v>
      </c>
      <c r="D20728" t="s">
        <v>23500</v>
      </c>
      <c r="E20728" t="s">
        <v>43198</v>
      </c>
    </row>
    <row r="20729" spans="1:5">
      <c r="A20729" t="s">
        <v>6</v>
      </c>
      <c r="B20729" t="s">
        <v>20734</v>
      </c>
      <c r="C20729">
        <f>HYPERLINK("C:\Users\franc\OneDrive\Documentos\MALENTIN KARIME\BANCO CREDITO\FER LORCA en ROSITA (Rosita)\MANDATOS\VENDER\PEDRO ALVAREZ A AMELIA ALVAREZ.- COMPRAR.doc", "Abrir Documento")</f>
        <v>0</v>
      </c>
      <c r="D20729" t="s">
        <v>23500</v>
      </c>
      <c r="E20729" t="s">
        <v>43199</v>
      </c>
    </row>
    <row r="20730" spans="1:5">
      <c r="A20730" t="s">
        <v>6</v>
      </c>
      <c r="B20730" t="s">
        <v>20735</v>
      </c>
      <c r="C20730">
        <f>HYPERLINK("C:\Users\franc\OneDrive\Documentos\MALENTIN KARIME\BANCO CREDITO\FER LORCA en ROSITA (Rosita)\MANDATOS\VENDER\PATRICIO CONTRERAS A JOSE CONTRERAS.doc", "Abrir Documento")</f>
        <v>0</v>
      </c>
      <c r="D20730" t="s">
        <v>23500</v>
      </c>
      <c r="E20730" t="s">
        <v>43200</v>
      </c>
    </row>
    <row r="20731" spans="1:5">
      <c r="A20731" t="s">
        <v>6</v>
      </c>
      <c r="B20731" t="s">
        <v>20736</v>
      </c>
      <c r="C20731">
        <f>HYPERLINK("C:\Users\franc\OneDrive\Documentos\MALENTIN KARIME\BANCO CREDITO\FER LORCA en ROSITA (Rosita)\MANDATOS\VENDER\PABLO CORTES.- PACHACHA.doc", "Abrir Documento")</f>
        <v>0</v>
      </c>
      <c r="D20731" t="s">
        <v>23500</v>
      </c>
      <c r="E20731" t="s">
        <v>43201</v>
      </c>
    </row>
    <row r="20732" spans="1:5">
      <c r="A20732" t="s">
        <v>6</v>
      </c>
      <c r="B20732" t="s">
        <v>20737</v>
      </c>
      <c r="C20732">
        <f>HYPERLINK("C:\Users\franc\OneDrive\Documentos\MALENTIN KARIME\BANCO CREDITO\FER LORCA en ROSITA (Rosita)\MANDATOS\VENDER\MARTA LOBOS.- ABRIL 2011.doc", "Abrir Documento")</f>
        <v>0</v>
      </c>
      <c r="D20732" t="s">
        <v>23500</v>
      </c>
      <c r="E20732" t="s">
        <v>43202</v>
      </c>
    </row>
    <row r="20733" spans="1:5">
      <c r="A20733" t="s">
        <v>6</v>
      </c>
      <c r="B20733" t="s">
        <v>20738</v>
      </c>
      <c r="C20733">
        <f>HYPERLINK("C:\Users\franc\OneDrive\Documentos\MALENTIN KARIME\BANCO CREDITO\FER LORCA en ROSITA (Rosita)\MANDATOS\VENDER\LILIAN MABEL  Y ESPOSO A SU HERMANA (DERECHOS).doc", "Abrir Documento")</f>
        <v>0</v>
      </c>
      <c r="D20733" t="s">
        <v>23500</v>
      </c>
      <c r="E20733" t="s">
        <v>43203</v>
      </c>
    </row>
    <row r="20734" spans="1:5">
      <c r="A20734" t="s">
        <v>6</v>
      </c>
      <c r="B20734" t="s">
        <v>20739</v>
      </c>
      <c r="C20734">
        <f>HYPERLINK("C:\Users\franc\OneDrive\Documentos\MALENTIN KARIME\BANCO CREDITO\FER LORCA en ROSITA (Rosita)\MANDATOS\VENDER\JILIBERTO GONZALEZ A  CAMILA ROJAS.doc", "Abrir Documento")</f>
        <v>0</v>
      </c>
      <c r="D20734" t="s">
        <v>23500</v>
      </c>
      <c r="E20734" t="s">
        <v>43204</v>
      </c>
    </row>
    <row r="20735" spans="1:5">
      <c r="A20735" t="s">
        <v>6</v>
      </c>
      <c r="B20735" t="s">
        <v>20740</v>
      </c>
      <c r="C20735">
        <f>HYPERLINK("C:\Users\franc\OneDrive\Documentos\MALENTIN KARIME\BANCO CREDITO\FER LORCA en ROSITA (Rosita)\MANDATOS\VENDER\HUMBERTO GONZALEZ A GRIMALDINA ARAYA.doc", "Abrir Documento")</f>
        <v>0</v>
      </c>
      <c r="D20735" t="s">
        <v>23500</v>
      </c>
      <c r="E20735" t="s">
        <v>43205</v>
      </c>
    </row>
    <row r="20736" spans="1:5">
      <c r="A20736" t="s">
        <v>6</v>
      </c>
      <c r="B20736" t="s">
        <v>20741</v>
      </c>
      <c r="C20736">
        <f>HYPERLINK("C:\Users\franc\OneDrive\Documentos\MALENTIN KARIME\BANCO CREDITO\FER LORCA en ROSITA (Rosita)\MANDATOS\VENDER\HERIBERTO MARIN.. Y AUT. CONYUGAL.doc", "Abrir Documento")</f>
        <v>0</v>
      </c>
      <c r="D20736" t="s">
        <v>23500</v>
      </c>
      <c r="E20736" t="s">
        <v>43206</v>
      </c>
    </row>
    <row r="20737" spans="1:5">
      <c r="A20737" t="s">
        <v>6</v>
      </c>
      <c r="B20737" t="s">
        <v>20742</v>
      </c>
      <c r="C20737">
        <f>HYPERLINK("C:\Users\franc\OneDrive\Documentos\MALENTIN KARIME\BANCO CREDITO\FER LORCA en ROSITA (Rosita)\MANDATOS\VENDER\DEMETRIO VILLALOBOS A VILMA VILLALOBOS.- SEPT. 2010.doc", "Abrir Documento")</f>
        <v>0</v>
      </c>
      <c r="D20737" t="s">
        <v>23500</v>
      </c>
      <c r="E20737" t="s">
        <v>43207</v>
      </c>
    </row>
    <row r="20738" spans="1:5">
      <c r="A20738" t="s">
        <v>6</v>
      </c>
      <c r="B20738" t="s">
        <v>20743</v>
      </c>
      <c r="C20738">
        <f>HYPERLINK("C:\Users\franc\OneDrive\Documentos\MALENTIN KARIME\BANCO CREDITO\FER LORCA en ROSITA (Rosita)\MANDATOS\VENDER\CRISTIAN OSSANDON  A LUIS OSSANDON.doc", "Abrir Documento")</f>
        <v>0</v>
      </c>
      <c r="D20738" t="s">
        <v>23500</v>
      </c>
      <c r="E20738" t="s">
        <v>43208</v>
      </c>
    </row>
    <row r="20739" spans="1:5">
      <c r="A20739" t="s">
        <v>6</v>
      </c>
      <c r="B20739" t="s">
        <v>20744</v>
      </c>
      <c r="C20739">
        <f>HYPERLINK("C:\Users\franc\OneDrive\Documentos\MALENTIN KARIME\BANCO CREDITO\FER LORCA en ROSITA (Rosita)\MANDATOS\VENDER\ANA BARRAZA Y OTROS A ANA MARIA CRUZ BARRAZA.doc", "Abrir Documento")</f>
        <v>0</v>
      </c>
      <c r="D20739" t="s">
        <v>23500</v>
      </c>
      <c r="E20739" t="s">
        <v>43209</v>
      </c>
    </row>
    <row r="20740" spans="1:5">
      <c r="A20740" t="s">
        <v>6</v>
      </c>
      <c r="B20740" t="s">
        <v>20745</v>
      </c>
      <c r="C20740">
        <f>HYPERLINK("C:\Users\franc\OneDrive\Documentos\MALENTIN KARIME\BANCO CREDITO\FER LORCA en ROSITA (Rosita)\MANDATOS\VENDER\ALDO JULIO MUCCONO A ROSSANA MICCONO.doc", "Abrir Documento")</f>
        <v>0</v>
      </c>
      <c r="D20740" t="s">
        <v>23500</v>
      </c>
      <c r="E20740" t="s">
        <v>43210</v>
      </c>
    </row>
    <row r="20741" spans="1:5">
      <c r="A20741" t="s">
        <v>6</v>
      </c>
      <c r="B20741" t="s">
        <v>20746</v>
      </c>
      <c r="C20741">
        <f>HYPERLINK("C:\Users\franc\OneDrive\Documentos\MALENTIN KARIME\BANCO CREDITO\FER LORCA en ROSITA (Rosita)\MANDATOS\VENDER\ALDO JULIO MICCONO A ROSSANA MICCONO.- (DERECHOS).doc", "Abrir Documento")</f>
        <v>0</v>
      </c>
      <c r="D20741" t="s">
        <v>23500</v>
      </c>
      <c r="E20741" t="s">
        <v>43211</v>
      </c>
    </row>
    <row r="20742" spans="1:5">
      <c r="A20742" t="s">
        <v>6</v>
      </c>
      <c r="B20742" t="s">
        <v>20747</v>
      </c>
      <c r="C20742">
        <f>HYPERLINK("C:\Users\franc\OneDrive\Documentos\MALENTIN KARIME\BANCO CREDITO\FER LORCA en ROSITA (Rosita)\MANDATOS\REVOCACION MTOS\ROSA VILLALOBOS.doc", "Abrir Documento")</f>
        <v>0</v>
      </c>
      <c r="D20742" t="s">
        <v>23500</v>
      </c>
      <c r="E20742" t="s">
        <v>43212</v>
      </c>
    </row>
    <row r="20743" spans="1:5">
      <c r="A20743" t="s">
        <v>6</v>
      </c>
      <c r="B20743" t="s">
        <v>20748</v>
      </c>
      <c r="C20743">
        <f>HYPERLINK("C:\Users\franc\OneDrive\Documentos\MALENTIN KARIME\BANCO CREDITO\FER LORCA en ROSITA (Rosita)\MANDATOS\REVOCACION MTOS\LAURA GALLARDO A FELIX ZEPEDA GALLARDO.doc", "Abrir Documento")</f>
        <v>0</v>
      </c>
      <c r="D20743" t="s">
        <v>23500</v>
      </c>
      <c r="E20743" t="s">
        <v>43213</v>
      </c>
    </row>
    <row r="20744" spans="1:5">
      <c r="A20744" t="s">
        <v>6</v>
      </c>
      <c r="B20744" t="s">
        <v>20749</v>
      </c>
      <c r="C20744">
        <f>HYPERLINK("C:\Users\franc\OneDrive\Documentos\MALENTIN KARIME\BANCO CREDITO\FER LORCA en ROSITA (Rosita)\MANDATOS\REVOCACION MTOS\JESUS TORREJON CASTRO.doc", "Abrir Documento")</f>
        <v>0</v>
      </c>
      <c r="D20744" t="s">
        <v>23500</v>
      </c>
      <c r="E20744" t="s">
        <v>43214</v>
      </c>
    </row>
    <row r="20745" spans="1:5">
      <c r="A20745" t="s">
        <v>6</v>
      </c>
      <c r="B20745" t="s">
        <v>20750</v>
      </c>
      <c r="C20745">
        <f>HYPERLINK("C:\Users\franc\OneDrive\Documentos\MALENTIN KARIME\BANCO CREDITO\FER LORCA en ROSITA (Rosita)\MANDATOS\REVOCACION MTOS\GRACIA CARVAJAL Y OTROS A FELIPE BRAVO ALBORNOZ.doc", "Abrir Documento")</f>
        <v>0</v>
      </c>
      <c r="D20745" t="s">
        <v>23500</v>
      </c>
      <c r="E20745" t="s">
        <v>43215</v>
      </c>
    </row>
    <row r="20746" spans="1:5">
      <c r="A20746" t="s">
        <v>6</v>
      </c>
      <c r="B20746" t="s">
        <v>20751</v>
      </c>
      <c r="C20746">
        <f>HYPERLINK("C:\Users\franc\OneDrive\Documentos\MALENTIN KARIME\BANCO CREDITO\FER LORCA en ROSITA (Rosita)\MANDATOS\REVOCACION MTOS\GERMAN ANGEL Y OTROS.doc", "Abrir Documento")</f>
        <v>0</v>
      </c>
      <c r="D20746" t="s">
        <v>23500</v>
      </c>
      <c r="E20746" t="s">
        <v>43216</v>
      </c>
    </row>
    <row r="20747" spans="1:5">
      <c r="A20747" t="s">
        <v>6</v>
      </c>
      <c r="B20747" t="s">
        <v>20752</v>
      </c>
      <c r="C20747">
        <f>HYPERLINK("C:\Users\franc\OneDrive\Documentos\MALENTIN KARIME\BANCO CREDITO\FER LORCA en ROSITA (Rosita)\MANDATOS\REVOCACION MTOS\ERIKA JOFRE LEIVA A CLAUDIO ARD..doc", "Abrir Documento")</f>
        <v>0</v>
      </c>
      <c r="D20747" t="s">
        <v>23500</v>
      </c>
      <c r="E20747" t="s">
        <v>43217</v>
      </c>
    </row>
    <row r="20748" spans="1:5">
      <c r="A20748" t="s">
        <v>6</v>
      </c>
      <c r="B20748" t="s">
        <v>20753</v>
      </c>
      <c r="C20748">
        <f>HYPERLINK("C:\Users\franc\OneDrive\Documentos\MALENTIN KARIME\BANCO CREDITO\FER LORCA en ROSITA (Rosita)\MANDATOS\REVOCACION MTOS\BERTA GUERRERO ARAOS A SERGIO DIAZ.doc", "Abrir Documento")</f>
        <v>0</v>
      </c>
      <c r="D20748" t="s">
        <v>23500</v>
      </c>
      <c r="E20748" t="s">
        <v>43218</v>
      </c>
    </row>
    <row r="20749" spans="1:5">
      <c r="A20749" t="s">
        <v>6</v>
      </c>
      <c r="B20749" t="s">
        <v>20754</v>
      </c>
      <c r="C20749">
        <f>HYPERLINK("C:\Users\franc\OneDrive\Documentos\MALENTIN KARIME\BANCO CREDITO\FER LORCA en ROSITA (Rosita)\MANDATOS\REVOCACION MTOS\ANDREA MORENO SANTANDER.doc", "Abrir Documento")</f>
        <v>0</v>
      </c>
      <c r="D20749" t="s">
        <v>23500</v>
      </c>
      <c r="E20749" t="s">
        <v>43219</v>
      </c>
    </row>
    <row r="20750" spans="1:5">
      <c r="A20750" t="s">
        <v>6</v>
      </c>
      <c r="B20750" t="s">
        <v>20755</v>
      </c>
      <c r="C20750">
        <f>HYPERLINK("C:\Users\franc\OneDrive\Documentos\MALENTIN KARIME\BANCO CREDITO\FER LORCA en ROSITA (Rosita)\MANDATOS\REVOCACION MTOS\ALEJANDRO ROBLES A DAMASO CONTRERAS.doc", "Abrir Documento")</f>
        <v>0</v>
      </c>
      <c r="D20750" t="s">
        <v>23500</v>
      </c>
      <c r="E20750" t="s">
        <v>43220</v>
      </c>
    </row>
    <row r="20751" spans="1:5">
      <c r="A20751" t="s">
        <v>6</v>
      </c>
      <c r="B20751" t="s">
        <v>20756</v>
      </c>
      <c r="C20751">
        <f>HYPERLINK("C:\Users\franc\OneDrive\Documentos\MALENTIN KARIME\BANCO CREDITO\FER LORCA en ROSITA (Rosita)\MANDATOS\MINEROS\PATRICIO ARAYA CASTILLO.doc", "Abrir Documento")</f>
        <v>0</v>
      </c>
      <c r="D20751" t="s">
        <v>23500</v>
      </c>
      <c r="E20751" t="s">
        <v>43221</v>
      </c>
    </row>
    <row r="20752" spans="1:5">
      <c r="A20752" t="s">
        <v>6</v>
      </c>
      <c r="B20752" t="s">
        <v>20757</v>
      </c>
      <c r="C20752">
        <f>HYPERLINK("C:\Users\franc\OneDrive\Documentos\MALENTIN KARIME\BANCO CREDITO\FER LORCA en ROSITA (Rosita)\MANDATOS\MINEROS\MINA LA YACO 1 AL 19.doc", "Abrir Documento")</f>
        <v>0</v>
      </c>
      <c r="D20752" t="s">
        <v>23500</v>
      </c>
      <c r="E20752" t="s">
        <v>43222</v>
      </c>
    </row>
    <row r="20753" spans="1:5">
      <c r="A20753" t="s">
        <v>6</v>
      </c>
      <c r="B20753" t="s">
        <v>20758</v>
      </c>
      <c r="C20753">
        <f>HYPERLINK("C:\Users\franc\OneDrive\Documentos\MALENTIN KARIME\BANCO CREDITO\FER LORCA en ROSITA (Rosita)\MANDATOS\MINEROS\LA REGALONA.doc", "Abrir Documento")</f>
        <v>0</v>
      </c>
      <c r="D20753" t="s">
        <v>23500</v>
      </c>
      <c r="E20753" t="s">
        <v>43223</v>
      </c>
    </row>
    <row r="20754" spans="1:5">
      <c r="A20754" t="s">
        <v>6</v>
      </c>
      <c r="B20754" t="s">
        <v>20759</v>
      </c>
      <c r="C20754">
        <f>HYPERLINK("C:\Users\franc\OneDrive\Documentos\MALENTIN KARIME\BANCO CREDITO\FER LORCA en ROSITA (Rosita)\MANDATOS\MINEROS\ANEXO A MANDATO.- la regalona.doc", "Abrir Documento")</f>
        <v>0</v>
      </c>
      <c r="D20754" t="s">
        <v>23500</v>
      </c>
      <c r="E20754" t="s">
        <v>43224</v>
      </c>
    </row>
    <row r="20755" spans="1:5">
      <c r="A20755" t="s">
        <v>6</v>
      </c>
      <c r="B20755" t="s">
        <v>20760</v>
      </c>
      <c r="C20755">
        <f>HYPERLINK("C:\Users\franc\OneDrive\Documentos\MALENTIN KARIME\BANCO CREDITO\FER LORCA en ROSITA (Rosita)\MANDATOS\MINEROS\ADELA RAMIREZ ROJAS.doc", "Abrir Documento")</f>
        <v>0</v>
      </c>
      <c r="D20755" t="s">
        <v>23500</v>
      </c>
      <c r="E20755" t="s">
        <v>43225</v>
      </c>
    </row>
    <row r="20756" spans="1:5">
      <c r="A20756" t="s">
        <v>6</v>
      </c>
      <c r="B20756" t="s">
        <v>20761</v>
      </c>
      <c r="C20756">
        <f>HYPERLINK("C:\Users\franc\OneDrive\Documentos\MALENTIN KARIME\BANCO CREDITO\FER LORCA en ROSITA (Rosita)\MANDATOS\JUDICIAL\VIVIANA ALFARO ULLOA\TERESA PERALTA CASTILLO.doc", "Abrir Documento")</f>
        <v>0</v>
      </c>
      <c r="D20756" t="s">
        <v>23500</v>
      </c>
      <c r="E20756" t="s">
        <v>43226</v>
      </c>
    </row>
    <row r="20757" spans="1:5">
      <c r="A20757" t="s">
        <v>6</v>
      </c>
      <c r="B20757" t="s">
        <v>20762</v>
      </c>
      <c r="C20757">
        <f>HYPERLINK("C:\Users\franc\OneDrive\Documentos\MALENTIN KARIME\BANCO CREDITO\FER LORCA en ROSITA (Rosita)\MANDATOS\JUDICIAL\VIVIANA ALFARO ULLOA\ARAYA ARAYA Y OTROS.- (19 PERSONAS).doc", "Abrir Documento")</f>
        <v>0</v>
      </c>
      <c r="D20757" t="s">
        <v>23500</v>
      </c>
      <c r="E20757" t="s">
        <v>43227</v>
      </c>
    </row>
    <row r="20758" spans="1:5">
      <c r="A20758" t="s">
        <v>6</v>
      </c>
      <c r="B20758" t="s">
        <v>20763</v>
      </c>
      <c r="C20758">
        <f>HYPERLINK("C:\Users\franc\OneDrive\Documentos\MALENTIN KARIME\BANCO CREDITO\FER LORCA en ROSITA (Rosita)\MANDATOS\JUDICIAL\SOC. AGRICOLA ALFALFARES\AGRIC. ALFALFARES A MARIO YAÑEZ VERGARA.doc", "Abrir Documento")</f>
        <v>0</v>
      </c>
      <c r="D20758" t="s">
        <v>23500</v>
      </c>
      <c r="E20758" t="s">
        <v>43228</v>
      </c>
    </row>
    <row r="20759" spans="1:5">
      <c r="A20759" t="s">
        <v>6</v>
      </c>
      <c r="B20759" t="s">
        <v>20764</v>
      </c>
      <c r="C20759">
        <f>HYPERLINK("C:\Users\franc\OneDrive\Documentos\MALENTIN KARIME\BANCO CREDITO\FER LORCA en ROSITA (Rosita)\MANDATOS\JUDICIAL\ROBERTO VEGA\SUSAN CASTILLO.doc", "Abrir Documento")</f>
        <v>0</v>
      </c>
      <c r="D20759" t="s">
        <v>23500</v>
      </c>
      <c r="E20759" t="s">
        <v>43229</v>
      </c>
    </row>
    <row r="20760" spans="1:5">
      <c r="A20760" t="s">
        <v>6</v>
      </c>
      <c r="B20760" t="s">
        <v>20765</v>
      </c>
      <c r="C20760">
        <f>HYPERLINK("C:\Users\franc\OneDrive\Documentos\MALENTIN KARIME\BANCO CREDITO\FER LORCA en ROSITA (Rosita)\MANDATOS\JUDICIAL\ROBERTO VEGA\MANDATO JUDICIAL CORTES JILES SOC..doc", "Abrir Documento")</f>
        <v>0</v>
      </c>
      <c r="D20760" t="s">
        <v>23500</v>
      </c>
      <c r="E20760" t="s">
        <v>43230</v>
      </c>
    </row>
    <row r="20761" spans="1:5">
      <c r="A20761" t="s">
        <v>6</v>
      </c>
      <c r="B20761" t="s">
        <v>20766</v>
      </c>
      <c r="C20761">
        <f>HYPERLINK("C:\Users\franc\OneDrive\Documentos\MALENTIN KARIME\BANCO CREDITO\FER LORCA en ROSITA (Rosita)\MANDATOS\JUDICIAL\ROBERTO VEGA\INVERSIONES ROMERAL.doc", "Abrir Documento")</f>
        <v>0</v>
      </c>
      <c r="D20761" t="s">
        <v>23500</v>
      </c>
      <c r="E20761" t="s">
        <v>43231</v>
      </c>
    </row>
    <row r="20762" spans="1:5">
      <c r="A20762" t="s">
        <v>6</v>
      </c>
      <c r="B20762" t="s">
        <v>20767</v>
      </c>
      <c r="C20762">
        <f>HYPERLINK("C:\Users\franc\OneDrive\Documentos\MALENTIN KARIME\BANCO CREDITO\FER LORCA en ROSITA (Rosita)\MANDATOS\JUDICIAL\ROBERTO VEGA\ELOISA ELORZA E.I.R.L..doc", "Abrir Documento")</f>
        <v>0</v>
      </c>
      <c r="D20762" t="s">
        <v>23500</v>
      </c>
      <c r="E20762" t="s">
        <v>43232</v>
      </c>
    </row>
    <row r="20763" spans="1:5">
      <c r="A20763" t="s">
        <v>6</v>
      </c>
      <c r="B20763" t="s">
        <v>20768</v>
      </c>
      <c r="C20763">
        <f>HYPERLINK("C:\Users\franc\OneDrive\Documentos\MALENTIN KARIME\BANCO CREDITO\FER LORCA en ROSITA (Rosita)\MANDATOS\JUDICIAL\ROBERTO VEGA\BLANCA LEON.doc", "Abrir Documento")</f>
        <v>0</v>
      </c>
      <c r="D20763" t="s">
        <v>23500</v>
      </c>
      <c r="E20763" t="s">
        <v>43233</v>
      </c>
    </row>
    <row r="20764" spans="1:5">
      <c r="A20764" t="s">
        <v>6</v>
      </c>
      <c r="B20764" t="s">
        <v>20769</v>
      </c>
      <c r="C20764">
        <f>HYPERLINK("C:\Users\franc\OneDrive\Documentos\MALENTIN KARIME\BANCO CREDITO\FER LORCA en ROSITA (Rosita)\MANDATOS\JUDICIAL\ROBERTO VEGA\ADOLFO CORTES JILES.doc", "Abrir Documento")</f>
        <v>0</v>
      </c>
      <c r="D20764" t="s">
        <v>23500</v>
      </c>
      <c r="E20764" t="s">
        <v>43234</v>
      </c>
    </row>
    <row r="20765" spans="1:5">
      <c r="A20765" t="s">
        <v>6</v>
      </c>
      <c r="B20765" t="s">
        <v>20770</v>
      </c>
      <c r="C20765">
        <f>HYPERLINK("C:\Users\franc\OneDrive\Documentos\MALENTIN KARIME\BANCO CREDITO\FER LORCA en ROSITA (Rosita)\MANDATOS\JUDICIAL\RICARDO SEPULVEDA\FERNANDO TAPIA HENRIQUEZ.doc", "Abrir Documento")</f>
        <v>0</v>
      </c>
      <c r="D20765" t="s">
        <v>23500</v>
      </c>
      <c r="E20765" t="s">
        <v>43235</v>
      </c>
    </row>
    <row r="20766" spans="1:5">
      <c r="A20766" t="s">
        <v>6</v>
      </c>
      <c r="B20766" t="s">
        <v>20771</v>
      </c>
      <c r="C20766">
        <f>HYPERLINK("C:\Users\franc\OneDrive\Documentos\MALENTIN KARIME\BANCO CREDITO\FER LORCA en ROSITA (Rosita)\MANDATOS\JUDICIAL\RAUL SALAMANCA\GASTON URRUTIA.doc", "Abrir Documento")</f>
        <v>0</v>
      </c>
      <c r="D20766" t="s">
        <v>23500</v>
      </c>
      <c r="E20766" t="s">
        <v>43236</v>
      </c>
    </row>
    <row r="20767" spans="1:5">
      <c r="A20767" t="s">
        <v>6</v>
      </c>
      <c r="B20767" t="s">
        <v>20772</v>
      </c>
      <c r="C20767">
        <f>HYPERLINK("C:\Users\franc\OneDrive\Documentos\MALENTIN KARIME\BANCO CREDITO\FER LORCA en ROSITA (Rosita)\MANDATOS\JUDICIAL\RAUL CORTES\WILSON PLAZA CORTES.doc", "Abrir Documento")</f>
        <v>0</v>
      </c>
      <c r="D20767" t="s">
        <v>23500</v>
      </c>
      <c r="E20767" t="s">
        <v>43237</v>
      </c>
    </row>
    <row r="20768" spans="1:5">
      <c r="A20768" t="s">
        <v>6</v>
      </c>
      <c r="B20768" t="s">
        <v>20773</v>
      </c>
      <c r="C20768">
        <f>HYPERLINK("C:\Users\franc\OneDrive\Documentos\MALENTIN KARIME\BANCO CREDITO\FER LORCA en ROSITA (Rosita)\MANDATOS\JUDICIAL\RAUL CORTES\TOMAS ARAYA Y OTROS.doc", "Abrir Documento")</f>
        <v>0</v>
      </c>
      <c r="D20768" t="s">
        <v>23500</v>
      </c>
      <c r="E20768" t="s">
        <v>43238</v>
      </c>
    </row>
    <row r="20769" spans="1:5">
      <c r="A20769" t="s">
        <v>6</v>
      </c>
      <c r="B20769" t="s">
        <v>20774</v>
      </c>
      <c r="C20769">
        <f>HYPERLINK("C:\Users\franc\OneDrive\Documentos\MALENTIN KARIME\BANCO CREDITO\FER LORCA en ROSITA (Rosita)\MANDATOS\JUDICIAL\PERALTA\MAND-JUD CONGREGACION LA PROVIDENCIA 19-11-2010.DOC", "Abrir Documento")</f>
        <v>0</v>
      </c>
      <c r="D20769" t="s">
        <v>23500</v>
      </c>
      <c r="E20769" t="s">
        <v>43239</v>
      </c>
    </row>
    <row r="20770" spans="1:5">
      <c r="A20770" t="s">
        <v>6</v>
      </c>
      <c r="B20770" t="s">
        <v>20775</v>
      </c>
      <c r="C20770">
        <f>HYPERLINK("C:\Users\franc\OneDrive\Documentos\MALENTIN KARIME\BANCO CREDITO\FER LORCA en ROSITA (Rosita)\MANDATOS\JUDICIAL\PEDRO VARGAS\IVAN LAGUNAS.- MARZO 2011.doc", "Abrir Documento")</f>
        <v>0</v>
      </c>
      <c r="D20770" t="s">
        <v>23500</v>
      </c>
      <c r="E20770" t="s">
        <v>43240</v>
      </c>
    </row>
    <row r="20771" spans="1:5">
      <c r="A20771" t="s">
        <v>6</v>
      </c>
      <c r="B20771" t="s">
        <v>20776</v>
      </c>
      <c r="C20771">
        <f>HYPERLINK("C:\Users\franc\OneDrive\Documentos\MALENTIN KARIME\BANCO CREDITO\FER LORCA en ROSITA (Rosita)\MANDATOS\JUDICIAL\PEDRO GUTIERREZ\PEDRO GONZALEZ.doc", "Abrir Documento")</f>
        <v>0</v>
      </c>
      <c r="D20771" t="s">
        <v>23500</v>
      </c>
      <c r="E20771" t="s">
        <v>43241</v>
      </c>
    </row>
    <row r="20772" spans="1:5">
      <c r="A20772" t="s">
        <v>6</v>
      </c>
      <c r="B20772" t="s">
        <v>20777</v>
      </c>
      <c r="C20772">
        <f>HYPERLINK("C:\Users\franc\OneDrive\Documentos\MALENTIN KARIME\BANCO CREDITO\FER LORCA en ROSITA (Rosita)\MANDATOS\JUDICIAL\PATRICIA MARTINEZ SOTO\GABRIEL BUGUEÑO.doc", "Abrir Documento")</f>
        <v>0</v>
      </c>
      <c r="D20772" t="s">
        <v>23500</v>
      </c>
      <c r="E20772" t="s">
        <v>43242</v>
      </c>
    </row>
    <row r="20773" spans="1:5">
      <c r="A20773" t="s">
        <v>6</v>
      </c>
      <c r="B20773" t="s">
        <v>20778</v>
      </c>
      <c r="C20773">
        <f>HYPERLINK("C:\Users\franc\OneDrive\Documentos\MALENTIN KARIME\BANCO CREDITO\FER LORCA en ROSITA (Rosita)\MANDATOS\JUDICIAL\PATRICIA ALFARO ULLOA\TRANSACCION.doc", "Abrir Documento")</f>
        <v>0</v>
      </c>
      <c r="D20773" t="s">
        <v>23500</v>
      </c>
      <c r="E20773" t="s">
        <v>43243</v>
      </c>
    </row>
    <row r="20774" spans="1:5">
      <c r="A20774" t="s">
        <v>6</v>
      </c>
      <c r="B20774" t="s">
        <v>20779</v>
      </c>
      <c r="C20774">
        <f>HYPERLINK("C:\Users\franc\OneDrive\Documentos\MALENTIN KARIME\BANCO CREDITO\FER LORCA en ROSITA (Rosita)\MANDATOS\JUDICIAL\PATRICIA ALFARO ULLOA\FRIEDLENE AGNES MANN.doc", "Abrir Documento")</f>
        <v>0</v>
      </c>
      <c r="D20774" t="s">
        <v>23500</v>
      </c>
      <c r="E20774" t="s">
        <v>43244</v>
      </c>
    </row>
    <row r="20775" spans="1:5">
      <c r="A20775" t="s">
        <v>6</v>
      </c>
      <c r="B20775" t="s">
        <v>20780</v>
      </c>
      <c r="C20775">
        <f>HYPERLINK("C:\Users\franc\OneDrive\Documentos\MALENTIN KARIME\BANCO CREDITO\FER LORCA en ROSITA (Rosita)\MANDATOS\JUDICIAL\PABLO QUEZADA\LUIS PATRICIO GONZALEZ.doc", "Abrir Documento")</f>
        <v>0</v>
      </c>
      <c r="D20775" t="s">
        <v>23500</v>
      </c>
      <c r="E20775" t="s">
        <v>43245</v>
      </c>
    </row>
    <row r="20776" spans="1:5">
      <c r="A20776" t="s">
        <v>6</v>
      </c>
      <c r="B20776" t="s">
        <v>20781</v>
      </c>
      <c r="C20776">
        <f>HYPERLINK("C:\Users\franc\OneDrive\Documentos\MALENTIN KARIME\BANCO CREDITO\FER LORCA en ROSITA (Rosita)\MANDATOS\JUDICIAL\PABLO CAMPILLAY\YALICA ESPINOZA.doc", "Abrir Documento")</f>
        <v>0</v>
      </c>
      <c r="D20776" t="s">
        <v>23500</v>
      </c>
      <c r="E20776" t="s">
        <v>43246</v>
      </c>
    </row>
    <row r="20777" spans="1:5">
      <c r="A20777" t="s">
        <v>6</v>
      </c>
      <c r="B20777" t="s">
        <v>20782</v>
      </c>
      <c r="C20777">
        <f>HYPERLINK("C:\Users\franc\OneDrive\Documentos\MALENTIN KARIME\BANCO CREDITO\FER LORCA en ROSITA (Rosita)\MANDATOS\JUDICIAL\PABLO CAMPILLAY\RODRIGO ROJAS ZEPEDA.doc", "Abrir Documento")</f>
        <v>0</v>
      </c>
      <c r="D20777" t="s">
        <v>23500</v>
      </c>
      <c r="E20777" t="s">
        <v>43247</v>
      </c>
    </row>
    <row r="20778" spans="1:5">
      <c r="A20778" t="s">
        <v>6</v>
      </c>
      <c r="B20778" t="s">
        <v>20783</v>
      </c>
      <c r="C20778">
        <f>HYPERLINK("C:\Users\franc\OneDrive\Documentos\MALENTIN KARIME\BANCO CREDITO\FER LORCA en ROSITA (Rosita)\MANDATOS\JUDICIAL\PABLO CAMPILLAY\BENITO CASTAÑEDA ZEPEDA.doc", "Abrir Documento")</f>
        <v>0</v>
      </c>
      <c r="D20778" t="s">
        <v>23500</v>
      </c>
      <c r="E20778" t="s">
        <v>43248</v>
      </c>
    </row>
    <row r="20779" spans="1:5">
      <c r="A20779" t="s">
        <v>6</v>
      </c>
      <c r="B20779" t="s">
        <v>20784</v>
      </c>
      <c r="C20779">
        <f>HYPERLINK("C:\Users\franc\OneDrive\Documentos\MALENTIN KARIME\BANCO CREDITO\FER LORCA en ROSITA (Rosita)\MANDATOS\JUDICIAL\PABLO BEMER MALDONADO\ANDREA MORENO SANTANDER.doc", "Abrir Documento")</f>
        <v>0</v>
      </c>
      <c r="D20779" t="s">
        <v>23500</v>
      </c>
      <c r="E20779" t="s">
        <v>43249</v>
      </c>
    </row>
    <row r="20780" spans="1:5">
      <c r="A20780" t="s">
        <v>6</v>
      </c>
      <c r="B20780" t="s">
        <v>20785</v>
      </c>
      <c r="C20780">
        <f>HYPERLINK("C:\Users\franc\OneDrive\Documentos\MALENTIN KARIME\BANCO CREDITO\FER LORCA en ROSITA (Rosita)\MANDATOS\JUDICIAL\MIGUEL SANHUEZA Q\ESROISLO VALDIVIA.doc", "Abrir Documento")</f>
        <v>0</v>
      </c>
      <c r="D20780" t="s">
        <v>23500</v>
      </c>
      <c r="E20780" t="s">
        <v>43250</v>
      </c>
    </row>
    <row r="20781" spans="1:5">
      <c r="A20781" t="s">
        <v>6</v>
      </c>
      <c r="B20781" t="s">
        <v>20786</v>
      </c>
      <c r="C20781">
        <f>HYPERLINK("C:\Users\franc\OneDrive\Documentos\MALENTIN KARIME\BANCO CREDITO\FER LORCA en ROSITA (Rosita)\MANDATOS\JUDICIAL\MIGUEL ANGEL SANHUEZA Q\JOSE FLORES.doc", "Abrir Documento")</f>
        <v>0</v>
      </c>
      <c r="D20781" t="s">
        <v>23500</v>
      </c>
      <c r="E20781" t="s">
        <v>43251</v>
      </c>
    </row>
    <row r="20782" spans="1:5">
      <c r="A20782" t="s">
        <v>6</v>
      </c>
      <c r="B20782" t="s">
        <v>20787</v>
      </c>
      <c r="C20782">
        <f>HYPERLINK("C:\Users\franc\OneDrive\Documentos\MALENTIN KARIME\BANCO CREDITO\FER LORCA en ROSITA (Rosita)\MANDATOS\JUDICIAL\MIGUEL ANGEL SANHUEZA Q\EMELINDA GONZALEZ VALDES.doc", "Abrir Documento")</f>
        <v>0</v>
      </c>
      <c r="D20782" t="s">
        <v>23500</v>
      </c>
      <c r="E20782" t="s">
        <v>43252</v>
      </c>
    </row>
    <row r="20783" spans="1:5">
      <c r="A20783" t="s">
        <v>6</v>
      </c>
      <c r="B20783" t="s">
        <v>20788</v>
      </c>
      <c r="C20783">
        <f>HYPERLINK("C:\Users\franc\OneDrive\Documentos\MALENTIN KARIME\BANCO CREDITO\FER LORCA en ROSITA (Rosita)\MANDATOS\JUDICIAL\MATIAS MUNDACA\PEDRO JOSE ARAYA.doc", "Abrir Documento")</f>
        <v>0</v>
      </c>
      <c r="D20783" t="s">
        <v>23500</v>
      </c>
      <c r="E20783" t="s">
        <v>43253</v>
      </c>
    </row>
    <row r="20784" spans="1:5">
      <c r="A20784" t="s">
        <v>6</v>
      </c>
      <c r="B20784" t="s">
        <v>20789</v>
      </c>
      <c r="C20784">
        <f>HYPERLINK("C:\Users\franc\OneDrive\Documentos\MALENTIN KARIME\BANCO CREDITO\FER LORCA en ROSITA (Rosita)\MANDATOS\JUDICIAL\MARJORIE RAMOS A. SINDIC. TRAB. MIN. ESP\ALEJANDRO ZUÑIOGA.doc", "Abrir Documento")</f>
        <v>0</v>
      </c>
      <c r="D20784" t="s">
        <v>23500</v>
      </c>
      <c r="E20784" t="s">
        <v>43254</v>
      </c>
    </row>
    <row r="20785" spans="1:5">
      <c r="A20785" t="s">
        <v>6</v>
      </c>
      <c r="B20785" t="s">
        <v>20790</v>
      </c>
      <c r="C20785">
        <f>HYPERLINK("C:\Users\franc\OneDrive\Documentos\MALENTIN KARIME\BANCO CREDITO\FER LORCA en ROSITA (Rosita)\MANDATOS\JUDICIAL\MARITZA RETAMAL\LORENZO SIERRA.doc", "Abrir Documento")</f>
        <v>0</v>
      </c>
      <c r="D20785" t="s">
        <v>23500</v>
      </c>
      <c r="E20785" t="s">
        <v>43255</v>
      </c>
    </row>
    <row r="20786" spans="1:5">
      <c r="A20786" t="s">
        <v>6</v>
      </c>
      <c r="B20786" t="s">
        <v>20791</v>
      </c>
      <c r="C20786">
        <f>HYPERLINK("C:\Users\franc\OneDrive\Documentos\MALENTIN KARIME\BANCO CREDITO\FER LORCA en ROSITA (Rosita)\MANDATOS\JUDICIAL\MARITZA RETAMAL\COVALSA.doc", "Abrir Documento")</f>
        <v>0</v>
      </c>
      <c r="D20786" t="s">
        <v>23500</v>
      </c>
      <c r="E20786" t="s">
        <v>43256</v>
      </c>
    </row>
    <row r="20787" spans="1:5">
      <c r="A20787" t="s">
        <v>6</v>
      </c>
      <c r="B20787" t="s">
        <v>20792</v>
      </c>
      <c r="C20787">
        <f>HYPERLINK("C:\Users\franc\OneDrive\Documentos\MALENTIN KARIME\BANCO CREDITO\FER LORCA en ROSITA (Rosita)\MANDATOS\JUDICIAL\MARITZA RETAMAL\ABUELO JORGE ARANCIBIA.doc", "Abrir Documento")</f>
        <v>0</v>
      </c>
      <c r="D20787" t="s">
        <v>23500</v>
      </c>
      <c r="E20787" t="s">
        <v>43257</v>
      </c>
    </row>
    <row r="20788" spans="1:5">
      <c r="A20788" t="s">
        <v>6</v>
      </c>
      <c r="B20788" t="s">
        <v>20793</v>
      </c>
      <c r="C20788">
        <f>HYPERLINK("C:\Users\franc\OneDrive\Documentos\MALENTIN KARIME\BANCO CREDITO\FER LORCA en ROSITA (Rosita)\MANDATOS\JUDICIAL\MARIO YAÑEZ VERGARA\MODELO.doc", "Abrir Documento")</f>
        <v>0</v>
      </c>
      <c r="D20788" t="s">
        <v>23500</v>
      </c>
      <c r="E20788" t="s">
        <v>43258</v>
      </c>
    </row>
    <row r="20789" spans="1:5">
      <c r="A20789" t="s">
        <v>6</v>
      </c>
      <c r="B20789" t="s">
        <v>20794</v>
      </c>
      <c r="C20789">
        <f>HYPERLINK("C:\Users\franc\OneDrive\Documentos\MALENTIN KARIME\BANCO CREDITO\FER LORCA en ROSITA (Rosita)\MANDATOS\JUDICIAL\MARIO YAÑEZ VERGARA\MICAEL GOLDSCHMIDT.doc", "Abrir Documento")</f>
        <v>0</v>
      </c>
      <c r="D20789" t="s">
        <v>23500</v>
      </c>
      <c r="E20789" t="s">
        <v>43259</v>
      </c>
    </row>
    <row r="20790" spans="1:5">
      <c r="A20790" t="s">
        <v>6</v>
      </c>
      <c r="B20790" t="s">
        <v>20795</v>
      </c>
      <c r="C20790">
        <f>HYPERLINK("C:\Users\franc\OneDrive\Documentos\MALENTIN KARIME\BANCO CREDITO\FER LORCA en ROSITA (Rosita)\MANDATOS\JUDICIAL\MARIO YAÑEZ VERGARA\mandadto judicial Micael.doc", "Abrir Documento")</f>
        <v>0</v>
      </c>
      <c r="D20790" t="s">
        <v>23500</v>
      </c>
      <c r="E20790" t="s">
        <v>43260</v>
      </c>
    </row>
    <row r="20791" spans="1:5">
      <c r="A20791" t="s">
        <v>6</v>
      </c>
      <c r="B20791" t="s">
        <v>20796</v>
      </c>
      <c r="C20791">
        <f>HYPERLINK("C:\Users\franc\OneDrive\Documentos\MALENTIN KARIME\BANCO CREDITO\FER LORCA en ROSITA (Rosita)\MANDATOS\JUDICIAL\MARIO BARRIOS ROJAS\SANTIAGO BOSMAN A MARIO BARRIOS.doc", "Abrir Documento")</f>
        <v>0</v>
      </c>
      <c r="D20791" t="s">
        <v>23500</v>
      </c>
      <c r="E20791" t="s">
        <v>43261</v>
      </c>
    </row>
    <row r="20792" spans="1:5">
      <c r="A20792" t="s">
        <v>6</v>
      </c>
      <c r="B20792" t="s">
        <v>20797</v>
      </c>
      <c r="C20792">
        <f>HYPERLINK("C:\Users\franc\OneDrive\Documentos\MALENTIN KARIME\BANCO CREDITO\FER LORCA en ROSITA (Rosita)\MANDATOS\JUDICIAL\MARIO BARRIOS ROJAS\MARTA LOBOS.-.doc", "Abrir Documento")</f>
        <v>0</v>
      </c>
      <c r="D20792" t="s">
        <v>23500</v>
      </c>
      <c r="E20792" t="s">
        <v>43262</v>
      </c>
    </row>
    <row r="20793" spans="1:5">
      <c r="A20793" t="s">
        <v>6</v>
      </c>
      <c r="B20793" t="s">
        <v>20798</v>
      </c>
      <c r="C20793">
        <f>HYPERLINK("C:\Users\franc\OneDrive\Documentos\MALENTIN KARIME\BANCO CREDITO\FER LORCA en ROSITA (Rosita)\MANDATOS\JUDICIAL\MARIO BARRIOS ROJAS\INM. CORRAL NEWMAN LTDA.- JULIO 2010.doc", "Abrir Documento")</f>
        <v>0</v>
      </c>
      <c r="D20793" t="s">
        <v>23500</v>
      </c>
      <c r="E20793" t="s">
        <v>43263</v>
      </c>
    </row>
    <row r="20794" spans="1:5">
      <c r="A20794" t="s">
        <v>6</v>
      </c>
      <c r="B20794" t="s">
        <v>20799</v>
      </c>
      <c r="C20794">
        <f>HYPERLINK("C:\Users\franc\OneDrive\Documentos\MALENTIN KARIME\BANCO CREDITO\FER LORCA en ROSITA (Rosita)\MANDATOS\JUDICIAL\MARIO BARRIOS ROJAS\FAMILIA CUELLAR CAMPUSANO.doc", "Abrir Documento")</f>
        <v>0</v>
      </c>
      <c r="D20794" t="s">
        <v>23500</v>
      </c>
      <c r="E20794" t="s">
        <v>43264</v>
      </c>
    </row>
    <row r="20795" spans="1:5">
      <c r="A20795" t="s">
        <v>6</v>
      </c>
      <c r="B20795" t="s">
        <v>20800</v>
      </c>
      <c r="C20795">
        <f>HYPERLINK("C:\Users\franc\OneDrive\Documentos\MALENTIN KARIME\BANCO CREDITO\FER LORCA en ROSITA (Rosita)\MANDATOS\JUDICIAL\MARIA INES NUÑEZ\MACARENA GARCIA.-.doc", "Abrir Documento")</f>
        <v>0</v>
      </c>
      <c r="D20795" t="s">
        <v>23500</v>
      </c>
      <c r="E20795" t="s">
        <v>43265</v>
      </c>
    </row>
    <row r="20796" spans="1:5">
      <c r="A20796" t="s">
        <v>6</v>
      </c>
      <c r="B20796" t="s">
        <v>20801</v>
      </c>
      <c r="C20796">
        <f>HYPERLINK("C:\Users\franc\OneDrive\Documentos\MALENTIN KARIME\BANCO CREDITO\FER LORCA en ROSITA (Rosita)\MANDATOS\JUDICIAL\MARIA DIAZ HERNANDEZ\viviana quiroga.doc", "Abrir Documento")</f>
        <v>0</v>
      </c>
      <c r="D20796" t="s">
        <v>23500</v>
      </c>
      <c r="E20796" t="s">
        <v>43266</v>
      </c>
    </row>
    <row r="20797" spans="1:5">
      <c r="A20797" t="s">
        <v>6</v>
      </c>
      <c r="B20797" t="s">
        <v>20802</v>
      </c>
      <c r="C20797">
        <f>HYPERLINK("C:\Users\franc\OneDrive\Documentos\MALENTIN KARIME\BANCO CREDITO\FER LORCA en ROSITA (Rosita)\MANDATOS\JUDICIAL\MARIA A. MARIN\LUIS MARIN FERNANDEZ.doc", "Abrir Documento")</f>
        <v>0</v>
      </c>
      <c r="D20797" t="s">
        <v>23500</v>
      </c>
      <c r="E20797" t="s">
        <v>43267</v>
      </c>
    </row>
    <row r="20798" spans="1:5">
      <c r="A20798" t="s">
        <v>6</v>
      </c>
      <c r="B20798" t="s">
        <v>20803</v>
      </c>
      <c r="C20798">
        <f>HYPERLINK("C:\Users\franc\OneDrive\Documentos\MALENTIN KARIME\BANCO CREDITO\FER LORCA en ROSITA (Rosita)\MANDATOS\JUDICIAL\MARCO JURIN\PEDRO MANZANO A MARCO JURIN.doc", "Abrir Documento")</f>
        <v>0</v>
      </c>
      <c r="D20798" t="s">
        <v>23500</v>
      </c>
      <c r="E20798" t="s">
        <v>43268</v>
      </c>
    </row>
    <row r="20799" spans="1:5">
      <c r="A20799" t="s">
        <v>6</v>
      </c>
      <c r="B20799" t="s">
        <v>20804</v>
      </c>
      <c r="C20799">
        <f>HYPERLINK("C:\Users\franc\OneDrive\Documentos\MALENTIN KARIME\BANCO CREDITO\FER LORCA en ROSITA (Rosita)\MANDATOS\JUDICIAL\MARCO JURIN\MARTIN FREDES.doc", "Abrir Documento")</f>
        <v>0</v>
      </c>
      <c r="D20799" t="s">
        <v>23500</v>
      </c>
      <c r="E20799" t="s">
        <v>43269</v>
      </c>
    </row>
    <row r="20800" spans="1:5">
      <c r="A20800" t="s">
        <v>6</v>
      </c>
      <c r="B20800" t="s">
        <v>20805</v>
      </c>
      <c r="C20800">
        <f>HYPERLINK("C:\Users\franc\OneDrive\Documentos\MALENTIN KARIME\BANCO CREDITO\FER LORCA en ROSITA (Rosita)\MANDATOS\JUDICIAL\MARCO JURIN\LUIS CASTILLO LEIVA.doc", "Abrir Documento")</f>
        <v>0</v>
      </c>
      <c r="D20800" t="s">
        <v>23500</v>
      </c>
      <c r="E20800" t="s">
        <v>43270</v>
      </c>
    </row>
    <row r="20801" spans="1:5">
      <c r="A20801" t="s">
        <v>6</v>
      </c>
      <c r="B20801" t="s">
        <v>20806</v>
      </c>
      <c r="C20801">
        <f>HYPERLINK("C:\Users\franc\OneDrive\Documentos\MALENTIN KARIME\BANCO CREDITO\FER LORCA en ROSITA (Rosita)\MANDATOS\JUDICIAL\MARCO JURIN\ARINDO PASTEN.doc", "Abrir Documento")</f>
        <v>0</v>
      </c>
      <c r="D20801" t="s">
        <v>23500</v>
      </c>
      <c r="E20801" t="s">
        <v>43271</v>
      </c>
    </row>
    <row r="20802" spans="1:5">
      <c r="A20802" t="s">
        <v>6</v>
      </c>
      <c r="B20802" t="s">
        <v>20807</v>
      </c>
      <c r="C20802">
        <f>HYPERLINK("C:\Users\franc\OneDrive\Documentos\MALENTIN KARIME\BANCO CREDITO\FER LORCA en ROSITA (Rosita)\MANDATOS\JUDICIAL\MARCELO ALVAREZ RODRIGUEZ\MARIA GUTIERREZ VALENZUELA.doc", "Abrir Documento")</f>
        <v>0</v>
      </c>
      <c r="D20802" t="s">
        <v>23500</v>
      </c>
      <c r="E20802" t="s">
        <v>43272</v>
      </c>
    </row>
    <row r="20803" spans="1:5">
      <c r="A20803" t="s">
        <v>6</v>
      </c>
      <c r="B20803" t="s">
        <v>20808</v>
      </c>
      <c r="C20803">
        <f>HYPERLINK("C:\Users\franc\OneDrive\Documentos\MALENTIN KARIME\BANCO CREDITO\FER LORCA en ROSITA (Rosita)\MANDATOS\JUDICIAL\MANLIO METTIFOGO\MANDATO JUDICIAL MArgarita Lopez.doc", "Abrir Documento")</f>
        <v>0</v>
      </c>
      <c r="D20803" t="s">
        <v>23500</v>
      </c>
      <c r="E20803" t="s">
        <v>43273</v>
      </c>
    </row>
    <row r="20804" spans="1:5">
      <c r="A20804" t="s">
        <v>6</v>
      </c>
      <c r="B20804" t="s">
        <v>20809</v>
      </c>
      <c r="C20804">
        <f>HYPERLINK("C:\Users\franc\OneDrive\Documentos\MALENTIN KARIME\BANCO CREDITO\FER LORCA en ROSITA (Rosita)\MANDATOS\JUDICIAL\LUIS URQUETA\ERIKA JOFRE LEIVA.doc", "Abrir Documento")</f>
        <v>0</v>
      </c>
      <c r="D20804" t="s">
        <v>23500</v>
      </c>
      <c r="E20804" t="s">
        <v>43274</v>
      </c>
    </row>
    <row r="20805" spans="1:5">
      <c r="A20805" t="s">
        <v>6</v>
      </c>
      <c r="B20805" t="s">
        <v>20810</v>
      </c>
      <c r="C20805">
        <f>HYPERLINK("C:\Users\franc\OneDrive\Documentos\MALENTIN KARIME\BANCO CREDITO\FER LORCA en ROSITA (Rosita)\MANDATOS\JUDICIAL\LUIS GALLARDO\ELIANA CORTES CORTES.doc", "Abrir Documento")</f>
        <v>0</v>
      </c>
      <c r="D20805" t="s">
        <v>23500</v>
      </c>
      <c r="E20805" t="s">
        <v>43275</v>
      </c>
    </row>
    <row r="20806" spans="1:5">
      <c r="A20806" t="s">
        <v>6</v>
      </c>
      <c r="B20806" t="s">
        <v>20811</v>
      </c>
      <c r="C20806">
        <f>HYPERLINK("C:\Users\franc\OneDrive\Documentos\MALENTIN KARIME\BANCO CREDITO\FER LORCA en ROSITA (Rosita)\MANDATOS\JUDICIAL\LUIS GALLARDO\CARLOS RAFAEL  CORTES CORTES.doc", "Abrir Documento")</f>
        <v>0</v>
      </c>
      <c r="D20806" t="s">
        <v>23500</v>
      </c>
      <c r="E20806" t="s">
        <v>43276</v>
      </c>
    </row>
    <row r="20807" spans="1:5">
      <c r="A20807" t="s">
        <v>6</v>
      </c>
      <c r="B20807" t="s">
        <v>20812</v>
      </c>
      <c r="C20807">
        <f>HYPERLINK("C:\Users\franc\OneDrive\Documentos\MALENTIN KARIME\BANCO CREDITO\FER LORCA en ROSITA (Rosita)\MANDATOS\JUDICIAL\JULIO POLANCO DABEDÇ\PABLO MUÑOZ PUEBLA.doc", "Abrir Documento")</f>
        <v>0</v>
      </c>
      <c r="D20807" t="s">
        <v>23500</v>
      </c>
      <c r="E20807" t="s">
        <v>43277</v>
      </c>
    </row>
    <row r="20808" spans="1:5">
      <c r="A20808" t="s">
        <v>6</v>
      </c>
      <c r="B20808" t="s">
        <v>20813</v>
      </c>
      <c r="C20808">
        <f>HYPERLINK("C:\Users\franc\OneDrive\Documentos\MALENTIN KARIME\BANCO CREDITO\FER LORCA en ROSITA (Rosita)\MANDATOS\JUDICIAL\JUAN PABLO CORRAL\solange grondin.doc", "Abrir Documento")</f>
        <v>0</v>
      </c>
      <c r="D20808" t="s">
        <v>23500</v>
      </c>
      <c r="E20808" t="s">
        <v>43278</v>
      </c>
    </row>
    <row r="20809" spans="1:5">
      <c r="A20809" t="s">
        <v>6</v>
      </c>
      <c r="B20809" t="s">
        <v>20814</v>
      </c>
      <c r="C20809">
        <f>HYPERLINK("C:\Users\franc\OneDrive\Documentos\MALENTIN KARIME\BANCO CREDITO\FER LORCA en ROSITA (Rosita)\MANDATOS\JUDICIAL\JUAN PABLO CORRAL\SOC. PLASTOCK LTDA.doc", "Abrir Documento")</f>
        <v>0</v>
      </c>
      <c r="D20809" t="s">
        <v>23500</v>
      </c>
      <c r="E20809" t="s">
        <v>43279</v>
      </c>
    </row>
    <row r="20810" spans="1:5">
      <c r="A20810" t="s">
        <v>6</v>
      </c>
      <c r="B20810" t="s">
        <v>20815</v>
      </c>
      <c r="C20810">
        <f>HYPERLINK("C:\Users\franc\OneDrive\Documentos\MALENTIN KARIME\BANCO CREDITO\FER LORCA en ROSITA (Rosita)\MANDATOS\JUDICIAL\JUAN PABLO CORRAL\MAYKE GHOMEZ.- DICIEMBRE.doc", "Abrir Documento")</f>
        <v>0</v>
      </c>
      <c r="D20810" t="s">
        <v>23500</v>
      </c>
      <c r="E20810" t="s">
        <v>43280</v>
      </c>
    </row>
    <row r="20811" spans="1:5">
      <c r="A20811" t="s">
        <v>6</v>
      </c>
      <c r="B20811" t="s">
        <v>20816</v>
      </c>
      <c r="C20811">
        <f>HYPERLINK("C:\Users\franc\OneDrive\Documentos\MALENTIN KARIME\BANCO CREDITO\FER LORCA en ROSITA (Rosita)\MANDATOS\JUDICIAL\JUAN PABLO CORRAL\LORENA CASTILLO.doc", "Abrir Documento")</f>
        <v>0</v>
      </c>
      <c r="D20811" t="s">
        <v>23500</v>
      </c>
      <c r="E20811" t="s">
        <v>43281</v>
      </c>
    </row>
    <row r="20812" spans="1:5">
      <c r="A20812" t="s">
        <v>6</v>
      </c>
      <c r="B20812" t="s">
        <v>20817</v>
      </c>
      <c r="C20812">
        <f>HYPERLINK("C:\Users\franc\OneDrive\Documentos\MALENTIN KARIME\BANCO CREDITO\FER LORCA en ROSITA (Rosita)\MANDATOS\JUDICIAL\JUAN PABLO CORRAL\JAUN PABLO.doc", "Abrir Documento")</f>
        <v>0</v>
      </c>
      <c r="D20812" t="s">
        <v>23500</v>
      </c>
      <c r="E20812" t="s">
        <v>43282</v>
      </c>
    </row>
    <row r="20813" spans="1:5">
      <c r="A20813" t="s">
        <v>6</v>
      </c>
      <c r="B20813" t="s">
        <v>20818</v>
      </c>
      <c r="C20813">
        <f>HYPERLINK("C:\Users\franc\OneDrive\Documentos\MALENTIN KARIME\BANCO CREDITO\FER LORCA en ROSITA (Rosita)\MANDATOS\JUDICIAL\JUAN PABLO CORRAL\ISMAEL ARAYA.- DICIEMBRE.doc", "Abrir Documento")</f>
        <v>0</v>
      </c>
      <c r="D20813" t="s">
        <v>23500</v>
      </c>
      <c r="E20813" t="s">
        <v>43283</v>
      </c>
    </row>
    <row r="20814" spans="1:5">
      <c r="A20814" t="s">
        <v>6</v>
      </c>
      <c r="B20814" t="s">
        <v>20819</v>
      </c>
      <c r="C20814">
        <f>HYPERLINK("C:\Users\franc\OneDrive\Documentos\MALENTIN KARIME\BANCO CREDITO\FER LORCA en ROSITA (Rosita)\MANDATOS\JUDICIAL\JUAN PABLO CORRAL\HERNAN RAMOS.doc", "Abrir Documento")</f>
        <v>0</v>
      </c>
      <c r="D20814" t="s">
        <v>23500</v>
      </c>
      <c r="E20814" t="s">
        <v>43284</v>
      </c>
    </row>
    <row r="20815" spans="1:5">
      <c r="A20815" t="s">
        <v>6</v>
      </c>
      <c r="B20815" t="s">
        <v>20820</v>
      </c>
      <c r="C20815">
        <f>HYPERLINK("C:\Users\franc\OneDrive\Documentos\MALENTIN KARIME\BANCO CREDITO\FER LORCA en ROSITA (Rosita)\MANDATOS\JUDICIAL\JUAN PABLO CORRAL\ELBA GONZALEZ S. a J. P. CORRAL.doc", "Abrir Documento")</f>
        <v>0</v>
      </c>
      <c r="D20815" t="s">
        <v>23500</v>
      </c>
      <c r="E20815" t="s">
        <v>43285</v>
      </c>
    </row>
    <row r="20816" spans="1:5">
      <c r="A20816" t="s">
        <v>6</v>
      </c>
      <c r="B20816" t="s">
        <v>20821</v>
      </c>
      <c r="C20816">
        <f>HYPERLINK("C:\Users\franc\OneDrive\Documentos\MALENTIN KARIME\BANCO CREDITO\FER LORCA en ROSITA (Rosita)\MANDATOS\JUDICIAL\JOSE LUIS CRAIG\TIRSA MANZANO Y OTRO.doc", "Abrir Documento")</f>
        <v>0</v>
      </c>
      <c r="D20816" t="s">
        <v>23500</v>
      </c>
      <c r="E20816" t="s">
        <v>43286</v>
      </c>
    </row>
    <row r="20817" spans="1:5">
      <c r="A20817" t="s">
        <v>6</v>
      </c>
      <c r="B20817" t="s">
        <v>20822</v>
      </c>
      <c r="C20817">
        <f>HYPERLINK("C:\Users\franc\OneDrive\Documentos\MALENTIN KARIME\BANCO CREDITO\FER LORCA en ROSITA (Rosita)\MANDATOS\JUDICIAL\JOSE LUIS CRAIG\ASOCIACION GREMIAL. MIRTHA GALLARDO.doc", "Abrir Documento")</f>
        <v>0</v>
      </c>
      <c r="D20817" t="s">
        <v>23500</v>
      </c>
      <c r="E20817" t="s">
        <v>43287</v>
      </c>
    </row>
    <row r="20818" spans="1:5">
      <c r="A20818" t="s">
        <v>6</v>
      </c>
      <c r="B20818" t="s">
        <v>20823</v>
      </c>
      <c r="C20818">
        <f>HYPERLINK("C:\Users\franc\OneDrive\Documentos\MALENTIN KARIME\BANCO CREDITO\FER LORCA en ROSITA (Rosita)\MANDATOS\JUDICIAL\JORGE FUENZALIDA Y OTROS\JORGE MIRANDA.doc", "Abrir Documento")</f>
        <v>0</v>
      </c>
      <c r="D20818" t="s">
        <v>23500</v>
      </c>
      <c r="E20818" t="s">
        <v>43288</v>
      </c>
    </row>
    <row r="20819" spans="1:5">
      <c r="A20819" t="s">
        <v>6</v>
      </c>
      <c r="B20819" t="s">
        <v>20824</v>
      </c>
      <c r="C20819">
        <f>HYPERLINK("C:\Users\franc\OneDrive\Documentos\MALENTIN KARIME\BANCO CREDITO\FER LORCA en ROSITA (Rosita)\MANDATOS\JUDICIAL\JORGE ALVARADO\ZULEMA ACUÑA ACUÑA.doc", "Abrir Documento")</f>
        <v>0</v>
      </c>
      <c r="D20819" t="s">
        <v>23500</v>
      </c>
      <c r="E20819" t="s">
        <v>43289</v>
      </c>
    </row>
    <row r="20820" spans="1:5">
      <c r="A20820" t="s">
        <v>6</v>
      </c>
      <c r="B20820" t="s">
        <v>20825</v>
      </c>
      <c r="C20820">
        <f>HYPERLINK("C:\Users\franc\OneDrive\Documentos\MALENTIN KARIME\BANCO CREDITO\FER LORCA en ROSITA (Rosita)\MANDATOS\JUDICIAL\JORGE ALVARADO\YENNY PIZARRO.doc", "Abrir Documento")</f>
        <v>0</v>
      </c>
      <c r="D20820" t="s">
        <v>23500</v>
      </c>
      <c r="E20820" t="s">
        <v>43290</v>
      </c>
    </row>
    <row r="20821" spans="1:5">
      <c r="A20821" t="s">
        <v>6</v>
      </c>
      <c r="B20821" t="s">
        <v>20826</v>
      </c>
      <c r="C20821">
        <f>HYPERLINK("C:\Users\franc\OneDrive\Documentos\MALENTIN KARIME\BANCO CREDITO\FER LORCA en ROSITA (Rosita)\MANDATOS\JUDICIAL\JORGE ALVARADO\ROSSANA GARCIA.doc", "Abrir Documento")</f>
        <v>0</v>
      </c>
      <c r="D20821" t="s">
        <v>23500</v>
      </c>
      <c r="E20821" t="s">
        <v>43291</v>
      </c>
    </row>
    <row r="20822" spans="1:5">
      <c r="A20822" t="s">
        <v>6</v>
      </c>
      <c r="B20822" t="s">
        <v>20827</v>
      </c>
      <c r="C20822">
        <f>HYPERLINK("C:\Users\franc\OneDrive\Documentos\MALENTIN KARIME\BANCO CREDITO\FER LORCA en ROSITA (Rosita)\MANDATOS\JUDICIAL\JORGE ALVARADO\ROMAN JOFRE.- 2011.doc", "Abrir Documento")</f>
        <v>0</v>
      </c>
      <c r="D20822" t="s">
        <v>23500</v>
      </c>
      <c r="E20822" t="s">
        <v>43292</v>
      </c>
    </row>
    <row r="20823" spans="1:5">
      <c r="A20823" t="s">
        <v>6</v>
      </c>
      <c r="B20823" t="s">
        <v>20828</v>
      </c>
      <c r="C20823">
        <f>HYPERLINK("C:\Users\franc\OneDrive\Documentos\MALENTIN KARIME\BANCO CREDITO\FER LORCA en ROSITA (Rosita)\MANDATOS\JUDICIAL\JORGE ALVARADO\PATRICIO CARMONA BOLADOS.doc", "Abrir Documento")</f>
        <v>0</v>
      </c>
      <c r="D20823" t="s">
        <v>23500</v>
      </c>
      <c r="E20823" t="s">
        <v>43293</v>
      </c>
    </row>
    <row r="20824" spans="1:5">
      <c r="A20824" t="s">
        <v>6</v>
      </c>
      <c r="B20824" t="s">
        <v>20829</v>
      </c>
      <c r="C20824">
        <f>HYPERLINK("C:\Users\franc\OneDrive\Documentos\MALENTIN KARIME\BANCO CREDITO\FER LORCA en ROSITA (Rosita)\MANDATOS\JUDICIAL\JORGE ALVARADO\NOLVIA CHAVEZ.doc", "Abrir Documento")</f>
        <v>0</v>
      </c>
      <c r="D20824" t="s">
        <v>23500</v>
      </c>
      <c r="E20824" t="s">
        <v>43294</v>
      </c>
    </row>
    <row r="20825" spans="1:5">
      <c r="A20825" t="s">
        <v>6</v>
      </c>
      <c r="B20825" t="s">
        <v>20830</v>
      </c>
      <c r="C20825">
        <f>HYPERLINK("C:\Users\franc\OneDrive\Documentos\MALENTIN KARIME\BANCO CREDITO\FER LORCA en ROSITA (Rosita)\MANDATOS\JUDICIAL\JORGE ALVARADO\NOLVIA CHAVEZ.- MAYO 2010.doc", "Abrir Documento")</f>
        <v>0</v>
      </c>
      <c r="D20825" t="s">
        <v>23500</v>
      </c>
      <c r="E20825" t="s">
        <v>43295</v>
      </c>
    </row>
    <row r="20826" spans="1:5">
      <c r="A20826" t="s">
        <v>6</v>
      </c>
      <c r="B20826" t="s">
        <v>20831</v>
      </c>
      <c r="C20826">
        <f>HYPERLINK("C:\Users\franc\OneDrive\Documentos\MALENTIN KARIME\BANCO CREDITO\FER LORCA en ROSITA (Rosita)\MANDATOS\JUDICIAL\JORGE ALVARADO\MIGUEL GOMEZ.- AGOSTO 2010.doc", "Abrir Documento")</f>
        <v>0</v>
      </c>
      <c r="D20826" t="s">
        <v>23500</v>
      </c>
      <c r="E20826" t="s">
        <v>43296</v>
      </c>
    </row>
    <row r="20827" spans="1:5">
      <c r="A20827" t="s">
        <v>6</v>
      </c>
      <c r="B20827" t="s">
        <v>20832</v>
      </c>
      <c r="C20827">
        <f>HYPERLINK("C:\Users\franc\OneDrive\Documentos\MALENTIN KARIME\BANCO CREDITO\FER LORCA en ROSITA (Rosita)\MANDATOS\JUDICIAL\JORGE ALVARADO\MARTA BRICEÑO.doc", "Abrir Documento")</f>
        <v>0</v>
      </c>
      <c r="D20827" t="s">
        <v>23500</v>
      </c>
      <c r="E20827" t="s">
        <v>43297</v>
      </c>
    </row>
    <row r="20828" spans="1:5">
      <c r="A20828" t="s">
        <v>6</v>
      </c>
      <c r="B20828" t="s">
        <v>20833</v>
      </c>
      <c r="C20828">
        <f>HYPERLINK("C:\Users\franc\OneDrive\Documentos\MALENTIN KARIME\BANCO CREDITO\FER LORCA en ROSITA (Rosita)\MANDATOS\JUDICIAL\JORGE ALVARADO\MARIA MOLINA.doc", "Abrir Documento")</f>
        <v>0</v>
      </c>
      <c r="D20828" t="s">
        <v>23500</v>
      </c>
      <c r="E20828" t="s">
        <v>43298</v>
      </c>
    </row>
    <row r="20829" spans="1:5">
      <c r="A20829" t="s">
        <v>6</v>
      </c>
      <c r="B20829" t="s">
        <v>20834</v>
      </c>
      <c r="C20829">
        <f>HYPERLINK("C:\Users\franc\OneDrive\Documentos\MALENTIN KARIME\BANCO CREDITO\FER LORCA en ROSITA (Rosita)\MANDATOS\JUDICIAL\JORGE ALVARADO\MARCELO PASTEN.- ABRIL 2010.doc", "Abrir Documento")</f>
        <v>0</v>
      </c>
      <c r="D20829" t="s">
        <v>23500</v>
      </c>
      <c r="E20829" t="s">
        <v>43299</v>
      </c>
    </row>
    <row r="20830" spans="1:5">
      <c r="A20830" t="s">
        <v>6</v>
      </c>
      <c r="B20830" t="s">
        <v>20835</v>
      </c>
      <c r="C20830">
        <f>HYPERLINK("C:\Users\franc\OneDrive\Documentos\MALENTIN KARIME\BANCO CREDITO\FER LORCA en ROSITA (Rosita)\MANDATOS\JUDICIAL\JORGE ALVARADO\MARCELA JEREZ A JORGE ALVARADO.doc", "Abrir Documento")</f>
        <v>0</v>
      </c>
      <c r="D20830" t="s">
        <v>23500</v>
      </c>
      <c r="E20830" t="s">
        <v>43300</v>
      </c>
    </row>
    <row r="20831" spans="1:5">
      <c r="A20831" t="s">
        <v>6</v>
      </c>
      <c r="B20831" t="s">
        <v>20836</v>
      </c>
      <c r="C20831">
        <f>HYPERLINK("C:\Users\franc\OneDrive\Documentos\MALENTIN KARIME\BANCO CREDITO\FER LORCA en ROSITA (Rosita)\MANDATOS\JUDICIAL\JORGE ALVARADO\LUCY NAVEA.doc", "Abrir Documento")</f>
        <v>0</v>
      </c>
      <c r="D20831" t="s">
        <v>23500</v>
      </c>
      <c r="E20831" t="s">
        <v>43301</v>
      </c>
    </row>
    <row r="20832" spans="1:5">
      <c r="A20832" t="s">
        <v>6</v>
      </c>
      <c r="B20832" t="s">
        <v>20837</v>
      </c>
      <c r="C20832">
        <f>HYPERLINK("C:\Users\franc\OneDrive\Documentos\MALENTIN KARIME\BANCO CREDITO\FER LORCA en ROSITA (Rosita)\MANDATOS\JUDICIAL\JORGE ALVARADO\JORGE MIRANDA.doc", "Abrir Documento")</f>
        <v>0</v>
      </c>
      <c r="D20832" t="s">
        <v>23500</v>
      </c>
      <c r="E20832" t="s">
        <v>43302</v>
      </c>
    </row>
    <row r="20833" spans="1:5">
      <c r="A20833" t="s">
        <v>6</v>
      </c>
      <c r="B20833" t="s">
        <v>20838</v>
      </c>
      <c r="C20833">
        <f>HYPERLINK("C:\Users\franc\OneDrive\Documentos\MALENTIN KARIME\BANCO CREDITO\FER LORCA en ROSITA (Rosita)\MANDATOS\JUDICIAL\JORGE ALVARADO\JAIME YAÑEZ.- JUNIO 2010.doc", "Abrir Documento")</f>
        <v>0</v>
      </c>
      <c r="D20833" t="s">
        <v>23500</v>
      </c>
      <c r="E20833" t="s">
        <v>43303</v>
      </c>
    </row>
    <row r="20834" spans="1:5">
      <c r="A20834" t="s">
        <v>6</v>
      </c>
      <c r="B20834" t="s">
        <v>20839</v>
      </c>
      <c r="C20834">
        <f>HYPERLINK("C:\Users\franc\OneDrive\Documentos\MALENTIN KARIME\BANCO CREDITO\FER LORCA en ROSITA (Rosita)\MANDATOS\JUDICIAL\JORGE ALVARADO\GONZALO LEMUS.doc", "Abrir Documento")</f>
        <v>0</v>
      </c>
      <c r="D20834" t="s">
        <v>23500</v>
      </c>
      <c r="E20834" t="s">
        <v>43304</v>
      </c>
    </row>
    <row r="20835" spans="1:5">
      <c r="A20835" t="s">
        <v>6</v>
      </c>
      <c r="B20835" t="s">
        <v>20840</v>
      </c>
      <c r="C20835">
        <f>HYPERLINK("C:\Users\franc\OneDrive\Documentos\MALENTIN KARIME\BANCO CREDITO\FER LORCA en ROSITA (Rosita)\MANDATOS\JUDICIAL\JORGE ALVARADO\EDISON TOLEDO.doc", "Abrir Documento")</f>
        <v>0</v>
      </c>
      <c r="D20835" t="s">
        <v>23500</v>
      </c>
      <c r="E20835" t="s">
        <v>43305</v>
      </c>
    </row>
    <row r="20836" spans="1:5">
      <c r="A20836" t="s">
        <v>6</v>
      </c>
      <c r="B20836" t="s">
        <v>20841</v>
      </c>
      <c r="C20836">
        <f>HYPERLINK("C:\Users\franc\OneDrive\Documentos\MALENTIN KARIME\BANCO CREDITO\FER LORCA en ROSITA (Rosita)\MANDATOS\JUDICIAL\JORGE ALVARADO\DORIS PUELLES.- ABRIL 2011.- POSESION EFECTIUVA.doc", "Abrir Documento")</f>
        <v>0</v>
      </c>
      <c r="D20836" t="s">
        <v>23500</v>
      </c>
      <c r="E20836" t="s">
        <v>43306</v>
      </c>
    </row>
    <row r="20837" spans="1:5">
      <c r="A20837" t="s">
        <v>6</v>
      </c>
      <c r="B20837" t="s">
        <v>20842</v>
      </c>
      <c r="C20837">
        <f>HYPERLINK("C:\Users\franc\OneDrive\Documentos\MALENTIN KARIME\BANCO CREDITO\FER LORCA en ROSITA (Rosita)\MANDATOS\JUDICIAL\JORGE ALVARADO\DICIEMBRE.doc", "Abrir Documento")</f>
        <v>0</v>
      </c>
      <c r="D20837" t="s">
        <v>23500</v>
      </c>
      <c r="E20837" t="s">
        <v>43307</v>
      </c>
    </row>
    <row r="20838" spans="1:5">
      <c r="A20838" t="s">
        <v>6</v>
      </c>
      <c r="B20838" t="s">
        <v>20843</v>
      </c>
      <c r="C20838">
        <f>HYPERLINK("C:\Users\franc\OneDrive\Documentos\MALENTIN KARIME\BANCO CREDITO\FER LORCA en ROSITA (Rosita)\MANDATOS\JUDICIAL\JORGE ALVARADO\CLAUDIA MERIÑO.doc", "Abrir Documento")</f>
        <v>0</v>
      </c>
      <c r="D20838" t="s">
        <v>23500</v>
      </c>
      <c r="E20838" t="s">
        <v>43308</v>
      </c>
    </row>
    <row r="20839" spans="1:5">
      <c r="A20839" t="s">
        <v>6</v>
      </c>
      <c r="B20839" t="s">
        <v>20844</v>
      </c>
      <c r="C20839">
        <f>HYPERLINK("C:\Users\franc\OneDrive\Documentos\MALENTIN KARIME\BANCO CREDITO\FER LORCA en ROSITA (Rosita)\MANDATOS\JUDICIAL\JORGE ALVARADO\CAROLINA TORREJON.doc", "Abrir Documento")</f>
        <v>0</v>
      </c>
      <c r="D20839" t="s">
        <v>23500</v>
      </c>
      <c r="E20839" t="s">
        <v>43309</v>
      </c>
    </row>
    <row r="20840" spans="1:5">
      <c r="A20840" t="s">
        <v>6</v>
      </c>
      <c r="B20840" t="s">
        <v>20845</v>
      </c>
      <c r="C20840">
        <f>HYPERLINK("C:\Users\franc\OneDrive\Documentos\MALENTIN KARIME\BANCO CREDITO\FER LORCA en ROSITA (Rosita)\MANDATOS\JUDICIAL\JORGE ALVARADO\BORIS SURCO. SEPT. 2010.doc", "Abrir Documento")</f>
        <v>0</v>
      </c>
      <c r="D20840" t="s">
        <v>23500</v>
      </c>
      <c r="E20840" t="s">
        <v>43310</v>
      </c>
    </row>
    <row r="20841" spans="1:5">
      <c r="A20841" t="s">
        <v>6</v>
      </c>
      <c r="B20841" t="s">
        <v>20846</v>
      </c>
      <c r="C20841">
        <f>HYPERLINK("C:\Users\franc\OneDrive\Documentos\MALENTIN KARIME\BANCO CREDITO\FER LORCA en ROSITA (Rosita)\MANDATOS\JUDICIAL\JORGE ALVARADO\ALEX RAMIREZ Y MARIA BUGUEÑO.doc", "Abrir Documento")</f>
        <v>0</v>
      </c>
      <c r="D20841" t="s">
        <v>23500</v>
      </c>
      <c r="E20841" t="s">
        <v>43311</v>
      </c>
    </row>
    <row r="20842" spans="1:5">
      <c r="A20842" t="s">
        <v>6</v>
      </c>
      <c r="B20842" t="s">
        <v>20847</v>
      </c>
      <c r="C20842">
        <f>HYPERLINK("C:\Users\franc\OneDrive\Documentos\MALENTIN KARIME\BANCO CREDITO\FER LORCA en ROSITA (Rosita)\MANDATOS\JUDICIAL\JORGE ALVARADO\ALEX CUELLO.- OCTUBRE 2010.- CLUB DEPORTIVO  LAUTARO.-.doc", "Abrir Documento")</f>
        <v>0</v>
      </c>
      <c r="D20842" t="s">
        <v>23500</v>
      </c>
      <c r="E20842" t="s">
        <v>43312</v>
      </c>
    </row>
    <row r="20843" spans="1:5">
      <c r="A20843" t="s">
        <v>6</v>
      </c>
      <c r="B20843" t="s">
        <v>20848</v>
      </c>
      <c r="C20843">
        <f>HYPERLINK("C:\Users\franc\OneDrive\Documentos\MALENTIN KARIME\BANCO CREDITO\FER LORCA en ROSITA (Rosita)\MANDATOS\JUDICIAL\JORGE ALVARADO\ALEX CUELLO.- JULIO 2010.doc", "Abrir Documento")</f>
        <v>0</v>
      </c>
      <c r="D20843" t="s">
        <v>23500</v>
      </c>
      <c r="E20843" t="s">
        <v>43313</v>
      </c>
    </row>
    <row r="20844" spans="1:5">
      <c r="A20844" t="s">
        <v>6</v>
      </c>
      <c r="B20844" t="s">
        <v>20849</v>
      </c>
      <c r="C20844">
        <f>HYPERLINK("C:\Users\franc\OneDrive\Documentos\MALENTIN KARIME\BANCO CREDITO\FER LORCA en ROSITA (Rosita)\MANDATOS\JUDICIAL\JACQUELINE PIZARRO\ROBERTO VEGA CAMPUSANO.doc", "Abrir Documento")</f>
        <v>0</v>
      </c>
      <c r="D20844" t="s">
        <v>23500</v>
      </c>
      <c r="E20844" t="s">
        <v>43314</v>
      </c>
    </row>
    <row r="20845" spans="1:5">
      <c r="A20845" t="s">
        <v>6</v>
      </c>
      <c r="B20845" t="s">
        <v>20850</v>
      </c>
      <c r="C20845">
        <f>HYPERLINK("C:\Users\franc\OneDrive\Documentos\MALENTIN KARIME\BANCO CREDITO\FER LORCA en ROSITA (Rosita)\MANDATOS\JUDICIAL\JACQUELINE PIZARRO\JESUS TORREJON CASTRO.doc", "Abrir Documento")</f>
        <v>0</v>
      </c>
      <c r="D20845" t="s">
        <v>23500</v>
      </c>
      <c r="E20845" t="s">
        <v>43315</v>
      </c>
    </row>
    <row r="20846" spans="1:5">
      <c r="A20846" t="s">
        <v>6</v>
      </c>
      <c r="B20846" t="s">
        <v>20851</v>
      </c>
      <c r="C20846">
        <f>HYPERLINK("C:\Users\franc\OneDrive\Documentos\MALENTIN KARIME\BANCO CREDITO\FER LORCA en ROSITA (Rosita)\MANDATOS\JUDICIAL\JACQUELINE PIZARRO\JESUS TORREJON CASTRO..doc", "Abrir Documento")</f>
        <v>0</v>
      </c>
      <c r="D20846" t="s">
        <v>23500</v>
      </c>
      <c r="E20846" t="s">
        <v>43316</v>
      </c>
    </row>
    <row r="20847" spans="1:5">
      <c r="A20847" t="s">
        <v>6</v>
      </c>
      <c r="B20847" t="s">
        <v>20852</v>
      </c>
      <c r="C20847">
        <f>HYPERLINK("C:\Users\franc\OneDrive\Documentos\MALENTIN KARIME\BANCO CREDITO\FER LORCA en ROSITA (Rosita)\MANDATOS\JUDICIAL\HERNAN  PEREZ DUARTE\mandato judicial Jose F. a Flanklin Gallardo.doc", "Abrir Documento")</f>
        <v>0</v>
      </c>
      <c r="D20847" t="s">
        <v>23500</v>
      </c>
      <c r="E20847" t="s">
        <v>43317</v>
      </c>
    </row>
    <row r="20848" spans="1:5">
      <c r="A20848" t="s">
        <v>6</v>
      </c>
      <c r="B20848" t="s">
        <v>20853</v>
      </c>
      <c r="C20848">
        <f>HYPERLINK("C:\Users\franc\OneDrive\Documentos\MALENTIN KARIME\BANCO CREDITO\FER LORCA en ROSITA (Rosita)\MANDATOS\JUDICIAL\HERNAN  PEREZ DUARTE\COMITE AGUA P. RURAL. RAPEL.doc", "Abrir Documento")</f>
        <v>0</v>
      </c>
      <c r="D20848" t="s">
        <v>23500</v>
      </c>
      <c r="E20848" t="s">
        <v>43318</v>
      </c>
    </row>
    <row r="20849" spans="1:5">
      <c r="A20849" t="s">
        <v>6</v>
      </c>
      <c r="B20849" t="s">
        <v>20854</v>
      </c>
      <c r="C20849">
        <f>HYPERLINK("C:\Users\franc\OneDrive\Documentos\MALENTIN KARIME\BANCO CREDITO\FER LORCA en ROSITA (Rosita)\MANDATOS\JUDICIAL\FUNCIONARIOS MUNICIPALES\CLEMENTE PIZARRO y otros.- SEPT..doc", "Abrir Documento")</f>
        <v>0</v>
      </c>
      <c r="D20849" t="s">
        <v>23500</v>
      </c>
      <c r="E20849" t="s">
        <v>43319</v>
      </c>
    </row>
    <row r="20850" spans="1:5">
      <c r="A20850" t="s">
        <v>6</v>
      </c>
      <c r="B20850" t="s">
        <v>20855</v>
      </c>
      <c r="C20850">
        <f>HYPERLINK("C:\Users\franc\OneDrive\Documentos\MALENTIN KARIME\BANCO CREDITO\FER LORCA en ROSITA (Rosita)\MANDATOS\JUDICIAL\FRANKLIN GALLARDOÇ\JOSE HERBERTO FLORES ARAYA.doc", "Abrir Documento")</f>
        <v>0</v>
      </c>
      <c r="D20850" t="s">
        <v>23500</v>
      </c>
      <c r="E20850" t="s">
        <v>43320</v>
      </c>
    </row>
    <row r="20851" spans="1:5">
      <c r="A20851" t="s">
        <v>6</v>
      </c>
      <c r="B20851" t="s">
        <v>20856</v>
      </c>
      <c r="C20851">
        <f>HYPERLINK("C:\Users\franc\OneDrive\Documentos\MALENTIN KARIME\BANCO CREDITO\FER LORCA en ROSITA (Rosita)\MANDATOS\JUDICIAL\FRANCISCO SOTO\GUILLERMO LIZAMA Y OTRA.doc", "Abrir Documento")</f>
        <v>0</v>
      </c>
      <c r="D20851" t="s">
        <v>23500</v>
      </c>
      <c r="E20851" t="s">
        <v>43321</v>
      </c>
    </row>
    <row r="20852" spans="1:5">
      <c r="A20852" t="s">
        <v>6</v>
      </c>
      <c r="B20852" t="s">
        <v>20857</v>
      </c>
      <c r="C20852">
        <f>HYPERLINK("C:\Users\franc\OneDrive\Documentos\MALENTIN KARIME\BANCO CREDITO\FER LORCA en ROSITA (Rosita)\MANDATOS\JUDICIAL\FRANCISCO SAAVEDRA\LILIANA ALFARO LAGUNAS.doc", "Abrir Documento")</f>
        <v>0</v>
      </c>
      <c r="D20852" t="s">
        <v>23500</v>
      </c>
      <c r="E20852" t="s">
        <v>43322</v>
      </c>
    </row>
    <row r="20853" spans="1:5">
      <c r="A20853" t="s">
        <v>6</v>
      </c>
      <c r="B20853" t="s">
        <v>20858</v>
      </c>
      <c r="C20853">
        <f>HYPERLINK("C:\Users\franc\OneDrive\Documentos\MALENTIN KARIME\BANCO CREDITO\FER LORCA en ROSITA (Rosita)\MANDATOS\JUDICIAL\FELIPE ALAMO BARRIOS\CARLOS ROJAS CAMPOS.doc", "Abrir Documento")</f>
        <v>0</v>
      </c>
      <c r="D20853" t="s">
        <v>23500</v>
      </c>
      <c r="E20853" t="s">
        <v>43323</v>
      </c>
    </row>
    <row r="20854" spans="1:5">
      <c r="A20854" t="s">
        <v>6</v>
      </c>
      <c r="B20854" t="s">
        <v>20859</v>
      </c>
      <c r="C20854">
        <f>HYPERLINK("C:\Users\franc\OneDrive\Documentos\MALENTIN KARIME\BANCO CREDITO\FER LORCA en ROSITA (Rosita)\MANDATOS\JUDICIAL\EUGENIO RIVAS\RUTH VEGA.doc", "Abrir Documento")</f>
        <v>0</v>
      </c>
      <c r="D20854" t="s">
        <v>23500</v>
      </c>
      <c r="E20854" t="s">
        <v>43324</v>
      </c>
    </row>
    <row r="20855" spans="1:5">
      <c r="A20855" t="s">
        <v>6</v>
      </c>
      <c r="B20855" t="s">
        <v>20860</v>
      </c>
      <c r="C20855">
        <f>HYPERLINK("C:\Users\franc\OneDrive\Documentos\MALENTIN KARIME\BANCO CREDITO\FER LORCA en ROSITA (Rosita)\MANDATOS\JUDICIAL\EUGENIO RIVAS\GLADYS RODRIGUEZ.doc", "Abrir Documento")</f>
        <v>0</v>
      </c>
      <c r="D20855" t="s">
        <v>23500</v>
      </c>
      <c r="E20855" t="s">
        <v>43325</v>
      </c>
    </row>
    <row r="20856" spans="1:5">
      <c r="A20856" t="s">
        <v>6</v>
      </c>
      <c r="B20856" t="s">
        <v>20861</v>
      </c>
      <c r="C20856">
        <f>HYPERLINK("C:\Users\franc\OneDrive\Documentos\MALENTIN KARIME\BANCO CREDITO\FER LORCA en ROSITA (Rosita)\MANDATOS\JUDICIAL\EUGENIO RIVAS\FAM. ROJO OLIVARES.doc", "Abrir Documento")</f>
        <v>0</v>
      </c>
      <c r="D20856" t="s">
        <v>23500</v>
      </c>
      <c r="E20856" t="s">
        <v>43326</v>
      </c>
    </row>
    <row r="20857" spans="1:5">
      <c r="A20857" t="s">
        <v>6</v>
      </c>
      <c r="B20857" t="s">
        <v>20862</v>
      </c>
      <c r="C20857">
        <f>HYPERLINK("C:\Users\franc\OneDrive\Documentos\MALENTIN KARIME\BANCO CREDITO\FER LORCA en ROSITA (Rosita)\MANDATOS\JUDICIAL\EUGENIO RIVAS\EUGENIO RIVAS VARELA.doc", "Abrir Documento")</f>
        <v>0</v>
      </c>
      <c r="D20857" t="s">
        <v>23500</v>
      </c>
      <c r="E20857" t="s">
        <v>43327</v>
      </c>
    </row>
    <row r="20858" spans="1:5">
      <c r="A20858" t="s">
        <v>6</v>
      </c>
      <c r="B20858" t="s">
        <v>20863</v>
      </c>
      <c r="C20858">
        <f>HYPERLINK("C:\Users\franc\OneDrive\Documentos\MALENTIN KARIME\BANCO CREDITO\FER LORCA en ROSITA (Rosita)\MANDATOS\JUDICIAL\ENCARGO DON LUIS DIAZ\mandato judicial odl serena Juan Villlalobos.doc", "Abrir Documento")</f>
        <v>0</v>
      </c>
      <c r="D20858" t="s">
        <v>23500</v>
      </c>
      <c r="E20858" t="s">
        <v>43328</v>
      </c>
    </row>
    <row r="20859" spans="1:5">
      <c r="A20859" t="s">
        <v>6</v>
      </c>
      <c r="B20859" t="s">
        <v>20864</v>
      </c>
      <c r="C20859">
        <f>HYPERLINK("C:\Users\franc\OneDrive\Documentos\MALENTIN KARIME\BANCO CREDITO\FER LORCA en ROSITA (Rosita)\MANDATOS\JUDICIAL\ENCARGO DON LUIS DIAZ\mandato judicial odl serena José Olivares.doc", "Abrir Documento")</f>
        <v>0</v>
      </c>
      <c r="D20859" t="s">
        <v>23500</v>
      </c>
      <c r="E20859" t="s">
        <v>43329</v>
      </c>
    </row>
    <row r="20860" spans="1:5">
      <c r="A20860" t="s">
        <v>6</v>
      </c>
      <c r="B20860" t="s">
        <v>20865</v>
      </c>
      <c r="C20860">
        <f>HYPERLINK("C:\Users\franc\OneDrive\Documentos\MALENTIN KARIME\BANCO CREDITO\FER LORCA en ROSITA (Rosita)\MANDATOS\JUDICIAL\EDGARDO MENDEZ SALINAS\LUIS GALLEGUILLOS.doc", "Abrir Documento")</f>
        <v>0</v>
      </c>
      <c r="D20860" t="s">
        <v>23500</v>
      </c>
      <c r="E20860" t="s">
        <v>43330</v>
      </c>
    </row>
    <row r="20861" spans="1:5">
      <c r="A20861" t="s">
        <v>6</v>
      </c>
      <c r="B20861" t="s">
        <v>20866</v>
      </c>
      <c r="C20861">
        <f>HYPERLINK("C:\Users\franc\OneDrive\Documentos\MALENTIN KARIME\BANCO CREDITO\FER LORCA en ROSITA (Rosita)\MANDATOS\JUDICIAL\DANIEL SALFATE\JIMY SORIA.doc", "Abrir Documento")</f>
        <v>0</v>
      </c>
      <c r="D20861" t="s">
        <v>23500</v>
      </c>
      <c r="E20861" t="s">
        <v>43331</v>
      </c>
    </row>
    <row r="20862" spans="1:5">
      <c r="A20862" t="s">
        <v>6</v>
      </c>
      <c r="B20862" t="s">
        <v>20867</v>
      </c>
      <c r="C20862">
        <f>HYPERLINK("C:\Users\franc\OneDrive\Documentos\MALENTIN KARIME\BANCO CREDITO\FER LORCA en ROSITA (Rosita)\MANDATOS\JUDICIAL\DANIEL BARTOLLA\JOSE TOMAS DEL SOLAR.doc", "Abrir Documento")</f>
        <v>0</v>
      </c>
      <c r="D20862" t="s">
        <v>23500</v>
      </c>
      <c r="E20862" t="s">
        <v>43332</v>
      </c>
    </row>
    <row r="20863" spans="1:5">
      <c r="A20863" t="s">
        <v>6</v>
      </c>
      <c r="B20863" t="s">
        <v>20868</v>
      </c>
      <c r="C20863">
        <f>HYPERLINK("C:\Users\franc\OneDrive\Documentos\MALENTIN KARIME\BANCO CREDITO\FER LORCA en ROSITA (Rosita)\MANDATOS\JUDICIAL\CRISTIAN MUÑOZ\MINUTA MTO JUDICIAL.doc", "Abrir Documento")</f>
        <v>0</v>
      </c>
      <c r="D20863" t="s">
        <v>23500</v>
      </c>
      <c r="E20863" t="s">
        <v>43333</v>
      </c>
    </row>
    <row r="20864" spans="1:5">
      <c r="A20864" t="s">
        <v>6</v>
      </c>
      <c r="B20864" t="s">
        <v>20869</v>
      </c>
      <c r="C20864">
        <f>HYPERLINK("C:\Users\franc\OneDrive\Documentos\MALENTIN KARIME\BANCO CREDITO\FER LORCA en ROSITA (Rosita)\MANDATOS\JUDICIAL\CRISTIAN MUÑOZ\CRISTIAN ZUÑIGA.doc", "Abrir Documento")</f>
        <v>0</v>
      </c>
      <c r="D20864" t="s">
        <v>23500</v>
      </c>
      <c r="E20864" t="s">
        <v>43334</v>
      </c>
    </row>
    <row r="20865" spans="1:5">
      <c r="A20865" t="s">
        <v>6</v>
      </c>
      <c r="B20865" t="s">
        <v>20870</v>
      </c>
      <c r="C20865">
        <f>HYPERLINK("C:\Users\franc\OneDrive\Documentos\MALENTIN KARIME\BANCO CREDITO\FER LORCA en ROSITA (Rosita)\MANDATOS\JUDICIAL\CLAUDIO MARCHANT\MARCELO ROJAS.doc", "Abrir Documento")</f>
        <v>0</v>
      </c>
      <c r="D20865" t="s">
        <v>23500</v>
      </c>
      <c r="E20865" t="s">
        <v>43335</v>
      </c>
    </row>
    <row r="20866" spans="1:5">
      <c r="A20866" t="s">
        <v>6</v>
      </c>
      <c r="B20866" t="s">
        <v>20871</v>
      </c>
      <c r="C20866">
        <f>HYPERLINK("C:\Users\franc\OneDrive\Documentos\MALENTIN KARIME\BANCO CREDITO\FER LORCA en ROSITA (Rosita)\MANDATOS\JUDICIAL\CLAUDIO ARDILES\SERGIO BUGUEÑO.doc", "Abrir Documento")</f>
        <v>0</v>
      </c>
      <c r="D20866" t="s">
        <v>23500</v>
      </c>
      <c r="E20866" t="s">
        <v>43336</v>
      </c>
    </row>
    <row r="20867" spans="1:5">
      <c r="A20867" t="s">
        <v>6</v>
      </c>
      <c r="B20867" t="s">
        <v>20872</v>
      </c>
      <c r="C20867">
        <f>HYPERLINK("C:\Users\franc\OneDrive\Documentos\MALENTIN KARIME\BANCO CREDITO\FER LORCA en ROSITA (Rosita)\MANDATOS\JUDICIAL\CLAUDIO ARDILES\RUBEN BERRIOS.- OCTUBRE 2010.-.doc", "Abrir Documento")</f>
        <v>0</v>
      </c>
      <c r="D20867" t="s">
        <v>23500</v>
      </c>
      <c r="E20867" t="s">
        <v>43337</v>
      </c>
    </row>
    <row r="20868" spans="1:5">
      <c r="A20868" t="s">
        <v>6</v>
      </c>
      <c r="B20868" t="s">
        <v>20873</v>
      </c>
      <c r="C20868">
        <f>HYPERLINK("C:\Users\franc\OneDrive\Documentos\MALENTIN KARIME\BANCO CREDITO\FER LORCA en ROSITA (Rosita)\MANDATOS\JUDICIAL\CLAUDIO ARDILES\MODELO.doc", "Abrir Documento")</f>
        <v>0</v>
      </c>
      <c r="D20868" t="s">
        <v>23500</v>
      </c>
      <c r="E20868" t="s">
        <v>43338</v>
      </c>
    </row>
    <row r="20869" spans="1:5">
      <c r="A20869" t="s">
        <v>6</v>
      </c>
      <c r="B20869" t="s">
        <v>20874</v>
      </c>
      <c r="C20869">
        <f>HYPERLINK("C:\Users\franc\OneDrive\Documentos\MALENTIN KARIME\BANCO CREDITO\FER LORCA en ROSITA (Rosita)\MANDATOS\JUDICIAL\CLAUDIO ARDILES\MARIO GONZALEZ PEÑAILILLO.doc", "Abrir Documento")</f>
        <v>0</v>
      </c>
      <c r="D20869" t="s">
        <v>23500</v>
      </c>
      <c r="E20869" t="s">
        <v>43339</v>
      </c>
    </row>
    <row r="20870" spans="1:5">
      <c r="A20870" t="s">
        <v>6</v>
      </c>
      <c r="B20870" t="s">
        <v>20875</v>
      </c>
      <c r="C20870">
        <f>HYPERLINK("C:\Users\franc\OneDrive\Documentos\MALENTIN KARIME\BANCO CREDITO\FER LORCA en ROSITA (Rosita)\MANDATOS\JUDICIAL\CLAUDIO ARDILES\MARIA VIDELA.doc", "Abrir Documento")</f>
        <v>0</v>
      </c>
      <c r="D20870" t="s">
        <v>23500</v>
      </c>
      <c r="E20870" t="s">
        <v>43340</v>
      </c>
    </row>
    <row r="20871" spans="1:5">
      <c r="A20871" t="s">
        <v>6</v>
      </c>
      <c r="B20871" t="s">
        <v>20876</v>
      </c>
      <c r="C20871">
        <f>HYPERLINK("C:\Users\franc\OneDrive\Documentos\MALENTIN KARIME\BANCO CREDITO\FER LORCA en ROSITA (Rosita)\MANDATOS\JUDICIAL\CLAUDIO ARDILES\MARCELO CORRAL.doc", "Abrir Documento")</f>
        <v>0</v>
      </c>
      <c r="D20871" t="s">
        <v>23500</v>
      </c>
      <c r="E20871" t="s">
        <v>43341</v>
      </c>
    </row>
    <row r="20872" spans="1:5">
      <c r="A20872" t="s">
        <v>6</v>
      </c>
      <c r="B20872" t="s">
        <v>20877</v>
      </c>
      <c r="C20872">
        <f>HYPERLINK("C:\Users\franc\OneDrive\Documentos\MALENTIN KARIME\BANCO CREDITO\FER LORCA en ROSITA (Rosita)\MANDATOS\JUDICIAL\CLAUDIO ARDILES\MARCELA CORTES Y HECTOR BARRAZA.doc", "Abrir Documento")</f>
        <v>0</v>
      </c>
      <c r="D20872" t="s">
        <v>23500</v>
      </c>
      <c r="E20872" t="s">
        <v>43342</v>
      </c>
    </row>
    <row r="20873" spans="1:5">
      <c r="A20873" t="s">
        <v>6</v>
      </c>
      <c r="B20873" t="s">
        <v>20878</v>
      </c>
      <c r="C20873">
        <f>HYPERLINK("C:\Users\franc\OneDrive\Documentos\MALENTIN KARIME\BANCO CREDITO\FER LORCA en ROSITA (Rosita)\MANDATOS\JUDICIAL\CLAUDIO ARDILES\mandato judicial maria olivares.- MARZO 2011.doc", "Abrir Documento")</f>
        <v>0</v>
      </c>
      <c r="D20873" t="s">
        <v>23500</v>
      </c>
      <c r="E20873" t="s">
        <v>43343</v>
      </c>
    </row>
    <row r="20874" spans="1:5">
      <c r="A20874" t="s">
        <v>6</v>
      </c>
      <c r="B20874" t="s">
        <v>20879</v>
      </c>
      <c r="C20874">
        <f>HYPERLINK("C:\Users\franc\OneDrive\Documentos\MALENTIN KARIME\BANCO CREDITO\FER LORCA en ROSITA (Rosita)\MANDATOS\JUDICIAL\CLAUDIO ARDILES\LEONEL ZAPATA AVENDAÑO.doc", "Abrir Documento")</f>
        <v>0</v>
      </c>
      <c r="D20874" t="s">
        <v>23500</v>
      </c>
      <c r="E20874" t="s">
        <v>43344</v>
      </c>
    </row>
    <row r="20875" spans="1:5">
      <c r="A20875" t="s">
        <v>6</v>
      </c>
      <c r="B20875" t="s">
        <v>20880</v>
      </c>
      <c r="C20875">
        <f>HYPERLINK("C:\Users\franc\OneDrive\Documentos\MALENTIN KARIME\BANCO CREDITO\FER LORCA en ROSITA (Rosita)\MANDATOS\JUDICIAL\CLAUDIO ARDILES\JORGE LARRONDO.doc", "Abrir Documento")</f>
        <v>0</v>
      </c>
      <c r="D20875" t="s">
        <v>23500</v>
      </c>
      <c r="E20875" t="s">
        <v>43345</v>
      </c>
    </row>
    <row r="20876" spans="1:5">
      <c r="A20876" t="s">
        <v>6</v>
      </c>
      <c r="B20876" t="s">
        <v>20881</v>
      </c>
      <c r="C20876">
        <f>HYPERLINK("C:\Users\franc\OneDrive\Documentos\MALENTIN KARIME\BANCO CREDITO\FER LORCA en ROSITA (Rosita)\MANDATOS\JUDICIAL\CLAUDIO ARDILES\HUGO PIZARRO.doc", "Abrir Documento")</f>
        <v>0</v>
      </c>
      <c r="D20876" t="s">
        <v>23500</v>
      </c>
      <c r="E20876" t="s">
        <v>43346</v>
      </c>
    </row>
    <row r="20877" spans="1:5">
      <c r="A20877" t="s">
        <v>6</v>
      </c>
      <c r="B20877" t="s">
        <v>20882</v>
      </c>
      <c r="C20877">
        <f>HYPERLINK("C:\Users\franc\OneDrive\Documentos\MALENTIN KARIME\BANCO CREDITO\FER LORCA en ROSITA (Rosita)\MANDATOS\JUDICIAL\CLAUDIO ARDILES\HECTOR LEAL GONZALEZ.doc", "Abrir Documento")</f>
        <v>0</v>
      </c>
      <c r="D20877" t="s">
        <v>23500</v>
      </c>
      <c r="E20877" t="s">
        <v>43347</v>
      </c>
    </row>
    <row r="20878" spans="1:5">
      <c r="A20878" t="s">
        <v>6</v>
      </c>
      <c r="B20878" t="s">
        <v>20883</v>
      </c>
      <c r="C20878">
        <f>HYPERLINK("C:\Users\franc\OneDrive\Documentos\MALENTIN KARIME\BANCO CREDITO\FER LORCA en ROSITA (Rosita)\MANDATOS\JUDICIAL\CLAUDIO ARDILES\GRETTEL CORTES.doc", "Abrir Documento")</f>
        <v>0</v>
      </c>
      <c r="D20878" t="s">
        <v>23500</v>
      </c>
      <c r="E20878" t="s">
        <v>43348</v>
      </c>
    </row>
    <row r="20879" spans="1:5">
      <c r="A20879" t="s">
        <v>6</v>
      </c>
      <c r="B20879" t="s">
        <v>20884</v>
      </c>
      <c r="C20879">
        <f>HYPERLINK("C:\Users\franc\OneDrive\Documentos\MALENTIN KARIME\BANCO CREDITO\FER LORCA en ROSITA (Rosita)\MANDATOS\JUDICIAL\CLAUDIO ARDILES\EDGARDO LOPEZ CORTES1.doc", "Abrir Documento")</f>
        <v>0</v>
      </c>
      <c r="D20879" t="s">
        <v>23500</v>
      </c>
      <c r="E20879" t="s">
        <v>43349</v>
      </c>
    </row>
    <row r="20880" spans="1:5">
      <c r="A20880" t="s">
        <v>6</v>
      </c>
      <c r="B20880" t="s">
        <v>20885</v>
      </c>
      <c r="C20880">
        <f>HYPERLINK("C:\Users\franc\OneDrive\Documentos\MALENTIN KARIME\BANCO CREDITO\FER LORCA en ROSITA (Rosita)\MANDATOS\JUDICIAL\CLAUDIO ARDILES\DANIEL TELLO GALLARDO.doc", "Abrir Documento")</f>
        <v>0</v>
      </c>
      <c r="D20880" t="s">
        <v>23500</v>
      </c>
      <c r="E20880" t="s">
        <v>43350</v>
      </c>
    </row>
    <row r="20881" spans="1:5">
      <c r="A20881" t="s">
        <v>6</v>
      </c>
      <c r="B20881" t="s">
        <v>20886</v>
      </c>
      <c r="C20881">
        <f>HYPERLINK("C:\Users\franc\OneDrive\Documentos\MALENTIN KARIME\BANCO CREDITO\FER LORCA en ROSITA (Rosita)\MANDATOS\JUDICIAL\CLAUDIO ARDILES\CLAUDIA LATORRE RIQUELME.doc", "Abrir Documento")</f>
        <v>0</v>
      </c>
      <c r="D20881" t="s">
        <v>23500</v>
      </c>
      <c r="E20881" t="s">
        <v>43351</v>
      </c>
    </row>
    <row r="20882" spans="1:5">
      <c r="A20882" t="s">
        <v>6</v>
      </c>
      <c r="B20882" t="s">
        <v>20887</v>
      </c>
      <c r="C20882">
        <f>HYPERLINK("C:\Users\franc\OneDrive\Documentos\MALENTIN KARIME\BANCO CREDITO\FER LORCA en ROSITA (Rosita)\MANDATOS\JUDICIAL\CLAUDIO ARAYA CASTILLO\VILMA VILLALOBOS.doc", "Abrir Documento")</f>
        <v>0</v>
      </c>
      <c r="D20882" t="s">
        <v>23500</v>
      </c>
      <c r="E20882" t="s">
        <v>43352</v>
      </c>
    </row>
    <row r="20883" spans="1:5">
      <c r="A20883" t="s">
        <v>6</v>
      </c>
      <c r="B20883" t="s">
        <v>20888</v>
      </c>
      <c r="C20883">
        <f>HYPERLINK("C:\Users\franc\OneDrive\Documentos\MALENTIN KARIME\BANCO CREDITO\FER LORCA en ROSITA (Rosita)\MANDATOS\JUDICIAL\CLAUDIO ARDILES\BCGA SERV. GENRALES.doc", "Abrir Documento")</f>
        <v>0</v>
      </c>
      <c r="D20883" t="s">
        <v>23500</v>
      </c>
      <c r="E20883" t="s">
        <v>43352</v>
      </c>
    </row>
    <row r="20884" spans="1:5">
      <c r="A20884" t="s">
        <v>6</v>
      </c>
      <c r="B20884" t="s">
        <v>20889</v>
      </c>
      <c r="C20884">
        <f>HYPERLINK("C:\Users\franc\OneDrive\Documentos\MALENTIN KARIME\BANCO CREDITO\FER LORCA en ROSITA (Rosita)\MANDATOS\JUDICIAL\CLAUDIO ARAYA CASTILLO\SOC. COMERCIAL CONEFI LTDA.doc", "Abrir Documento")</f>
        <v>0</v>
      </c>
      <c r="D20884" t="s">
        <v>23500</v>
      </c>
      <c r="E20884" t="s">
        <v>43353</v>
      </c>
    </row>
    <row r="20885" spans="1:5">
      <c r="A20885" t="s">
        <v>6</v>
      </c>
      <c r="B20885" t="s">
        <v>20890</v>
      </c>
      <c r="C20885">
        <f>HYPERLINK("C:\Users\franc\OneDrive\Documentos\MALENTIN KARIME\BANCO CREDITO\FER LORCA en ROSITA (Rosita)\MANDATOS\JUDICIAL\CLAUDIO ARAYA CASTILLO\SARA JOFRE MANDUJANO Y OTRAÇ.doc", "Abrir Documento")</f>
        <v>0</v>
      </c>
      <c r="D20885" t="s">
        <v>23500</v>
      </c>
      <c r="E20885" t="s">
        <v>43354</v>
      </c>
    </row>
    <row r="20886" spans="1:5">
      <c r="A20886" t="s">
        <v>6</v>
      </c>
      <c r="B20886" t="s">
        <v>20891</v>
      </c>
      <c r="C20886">
        <f>HYPERLINK("C:\Users\franc\OneDrive\Documentos\MALENTIN KARIME\BANCO CREDITO\FER LORCA en ROSITA (Rosita)\MANDATOS\JUDICIAL\CLAUDIO ARAYA CASTILLO\PATRICIO RODRIGUEZ.- OCTUBRE.doc", "Abrir Documento")</f>
        <v>0</v>
      </c>
      <c r="D20886" t="s">
        <v>23500</v>
      </c>
      <c r="E20886" t="s">
        <v>43355</v>
      </c>
    </row>
    <row r="20887" spans="1:5">
      <c r="A20887" t="s">
        <v>6</v>
      </c>
      <c r="B20887" t="s">
        <v>20892</v>
      </c>
      <c r="C20887">
        <f>HYPERLINK("C:\Users\franc\OneDrive\Documentos\MALENTIN KARIME\BANCO CREDITO\FER LORCA en ROSITA (Rosita)\MANDATOS\JUDICIAL\CLAUDIO ARAYA CASTILLO\OSCAR VALDIVIA.- ENERO 2011.doc", "Abrir Documento")</f>
        <v>0</v>
      </c>
      <c r="D20887" t="s">
        <v>23500</v>
      </c>
      <c r="E20887" t="s">
        <v>43356</v>
      </c>
    </row>
    <row r="20888" spans="1:5">
      <c r="A20888" t="s">
        <v>6</v>
      </c>
      <c r="B20888" t="s">
        <v>20893</v>
      </c>
      <c r="C20888">
        <f>HYPERLINK("C:\Users\franc\OneDrive\Documentos\MALENTIN KARIME\BANCO CREDITO\FER LORCA en ROSITA (Rosita)\MANDATOS\JUDICIAL\CLAUDIO ARAYA CASTILLO\MIGUEL SALAS.doc", "Abrir Documento")</f>
        <v>0</v>
      </c>
      <c r="D20888" t="s">
        <v>23500</v>
      </c>
      <c r="E20888" t="s">
        <v>43357</v>
      </c>
    </row>
    <row r="20889" spans="1:5">
      <c r="A20889" t="s">
        <v>6</v>
      </c>
      <c r="B20889" t="s">
        <v>20894</v>
      </c>
      <c r="C20889">
        <f>HYPERLINK("C:\Users\franc\OneDrive\Documentos\MALENTIN KARIME\BANCO CREDITO\FER LORCA en ROSITA (Rosita)\MANDATOS\JUDICIAL\CLAUDIO ARAYA CASTILLO\LAURA SALINAS.doc", "Abrir Documento")</f>
        <v>0</v>
      </c>
      <c r="D20889" t="s">
        <v>23500</v>
      </c>
      <c r="E20889" t="s">
        <v>43358</v>
      </c>
    </row>
    <row r="20890" spans="1:5">
      <c r="A20890" t="s">
        <v>6</v>
      </c>
      <c r="B20890" t="s">
        <v>20895</v>
      </c>
      <c r="C20890">
        <f>HYPERLINK("C:\Users\franc\OneDrive\Documentos\MALENTIN KARIME\BANCO CREDITO\FER LORCA en ROSITA (Rosita)\MANDATOS\JUDICIAL\CLAUDIO ARAYA CASTILLO\JUAN GONZALEZ BARRAZA.doc", "Abrir Documento")</f>
        <v>0</v>
      </c>
      <c r="D20890" t="s">
        <v>23500</v>
      </c>
      <c r="E20890" t="s">
        <v>43359</v>
      </c>
    </row>
    <row r="20891" spans="1:5">
      <c r="A20891" t="s">
        <v>6</v>
      </c>
      <c r="B20891" t="s">
        <v>20896</v>
      </c>
      <c r="C20891">
        <f>HYPERLINK("C:\Users\franc\OneDrive\Documentos\MALENTIN KARIME\BANCO CREDITO\FER LORCA en ROSITA (Rosita)\MANDATOS\JUDICIAL\CLAUDIO ARAYA CASTILLO\JOHNY VILLALOBOS.doc", "Abrir Documento")</f>
        <v>0</v>
      </c>
      <c r="D20891" t="s">
        <v>23500</v>
      </c>
      <c r="E20891" t="s">
        <v>43360</v>
      </c>
    </row>
    <row r="20892" spans="1:5">
      <c r="A20892" t="s">
        <v>6</v>
      </c>
      <c r="B20892" t="s">
        <v>20897</v>
      </c>
      <c r="C20892">
        <f>HYPERLINK("C:\Users\franc\OneDrive\Documentos\MALENTIN KARIME\BANCO CREDITO\FER LORCA en ROSITA (Rosita)\MANDATOS\JUDICIAL\CLAUDIO ARAYA CASTILLO\IVO MARIN.- DICIEMBRE 2010.doc", "Abrir Documento")</f>
        <v>0</v>
      </c>
      <c r="D20892" t="s">
        <v>23500</v>
      </c>
      <c r="E20892" t="s">
        <v>43361</v>
      </c>
    </row>
    <row r="20893" spans="1:5">
      <c r="A20893" t="s">
        <v>6</v>
      </c>
      <c r="B20893" t="s">
        <v>20898</v>
      </c>
      <c r="C20893">
        <f>HYPERLINK("C:\Users\franc\OneDrive\Documentos\MALENTIN KARIME\BANCO CREDITO\FER LORCA en ROSITA (Rosita)\MANDATOS\JUDICIAL\CLAUDIO ARAYA CASTILLO\HERMANOS BARRAZA.- ENERO 2011.doc", "Abrir Documento")</f>
        <v>0</v>
      </c>
      <c r="D20893" t="s">
        <v>23500</v>
      </c>
      <c r="E20893" t="s">
        <v>43362</v>
      </c>
    </row>
    <row r="20894" spans="1:5">
      <c r="A20894" t="s">
        <v>6</v>
      </c>
      <c r="B20894" t="s">
        <v>20899</v>
      </c>
      <c r="C20894">
        <f>HYPERLINK("C:\Users\franc\OneDrive\Documentos\MALENTIN KARIME\BANCO CREDITO\FER LORCA en ROSITA (Rosita)\MANDATOS\JUDICIAL\CLAUDIO ARAYA CASTILLO\GLORIA VILLALOBOS.doc", "Abrir Documento")</f>
        <v>0</v>
      </c>
      <c r="D20894" t="s">
        <v>23500</v>
      </c>
      <c r="E20894" t="s">
        <v>43363</v>
      </c>
    </row>
    <row r="20895" spans="1:5">
      <c r="A20895" t="s">
        <v>6</v>
      </c>
      <c r="B20895" t="s">
        <v>20900</v>
      </c>
      <c r="C20895">
        <f>HYPERLINK("C:\Users\franc\OneDrive\Documentos\MALENTIN KARIME\BANCO CREDITO\FER LORCA en ROSITA (Rosita)\MANDATOS\JUDICIAL\CLAUDIO ARAYA CASTILLO\FERNANDO PROHENS.doc", "Abrir Documento")</f>
        <v>0</v>
      </c>
      <c r="D20895" t="s">
        <v>23500</v>
      </c>
      <c r="E20895" t="s">
        <v>43364</v>
      </c>
    </row>
    <row r="20896" spans="1:5">
      <c r="A20896" t="s">
        <v>6</v>
      </c>
      <c r="B20896" t="s">
        <v>20901</v>
      </c>
      <c r="C20896">
        <f>HYPERLINK("C:\Users\franc\OneDrive\Documentos\MALENTIN KARIME\BANCO CREDITO\FER LORCA en ROSITA (Rosita)\MANDATOS\JUDICIAL\CLAUDIO ARAYA CASTILLO\CECILIA ARDILES.doc", "Abrir Documento")</f>
        <v>0</v>
      </c>
      <c r="D20896" t="s">
        <v>23500</v>
      </c>
      <c r="E20896" t="s">
        <v>43365</v>
      </c>
    </row>
    <row r="20897" spans="1:5">
      <c r="A20897" t="s">
        <v>6</v>
      </c>
      <c r="B20897" t="s">
        <v>20902</v>
      </c>
      <c r="C20897">
        <f>HYPERLINK("C:\Users\franc\OneDrive\Documentos\MALENTIN KARIME\BANCO CREDITO\FER LORCA en ROSITA (Rosita)\MANDATOS\JUDICIAL\CLAUDIO ARAYA CASTILLO\barbara pizarro.- abril 2011.doc", "Abrir Documento")</f>
        <v>0</v>
      </c>
      <c r="D20897" t="s">
        <v>23500</v>
      </c>
      <c r="E20897" t="s">
        <v>43366</v>
      </c>
    </row>
    <row r="20898" spans="1:5">
      <c r="A20898" t="s">
        <v>6</v>
      </c>
      <c r="B20898" t="s">
        <v>20903</v>
      </c>
      <c r="C20898">
        <f>HYPERLINK("C:\Users\franc\OneDrive\Documentos\MALENTIN KARIME\BANCO CREDITO\FER LORCA en ROSITA (Rosita)\MANDATOS\JUDICIAL\CLAUDIO ARAYA CASTILLO\ANA ROJAS NOVIEMBRE.-.doc", "Abrir Documento")</f>
        <v>0</v>
      </c>
      <c r="D20898" t="s">
        <v>23500</v>
      </c>
      <c r="E20898" t="s">
        <v>43367</v>
      </c>
    </row>
    <row r="20899" spans="1:5">
      <c r="A20899" t="s">
        <v>6</v>
      </c>
      <c r="B20899" t="s">
        <v>20904</v>
      </c>
      <c r="C20899">
        <f>HYPERLINK("C:\Users\franc\OneDrive\Documentos\MALENTIN KARIME\BANCO CREDITO\FER LORCA en ROSITA (Rosita)\MANDATOS\JUDICIAL\CATALINA MULET\FABIO GONZALEZ.- ENERO 2011.doc", "Abrir Documento")</f>
        <v>0</v>
      </c>
      <c r="D20899" t="s">
        <v>23500</v>
      </c>
      <c r="E20899" t="s">
        <v>43368</v>
      </c>
    </row>
    <row r="20900" spans="1:5">
      <c r="A20900" t="s">
        <v>6</v>
      </c>
      <c r="B20900" t="s">
        <v>20905</v>
      </c>
      <c r="C20900">
        <f>HYPERLINK("C:\Users\franc\OneDrive\Documentos\MALENTIN KARIME\BANCO CREDITO\FER LORCA en ROSITA (Rosita)\MANDATOS\JUDICIAL\ASOC. CANALISTAS\ASOC. CANALISTAS COGOTI A CHRISTIAN ROJAS.doc", "Abrir Documento")</f>
        <v>0</v>
      </c>
      <c r="D20900" t="s">
        <v>23500</v>
      </c>
      <c r="E20900" t="s">
        <v>43369</v>
      </c>
    </row>
    <row r="20901" spans="1:5">
      <c r="A20901" t="s">
        <v>6</v>
      </c>
      <c r="B20901" t="s">
        <v>20906</v>
      </c>
      <c r="C20901">
        <f>HYPERLINK("C:\Users\franc\OneDrive\Documentos\MALENTIN KARIME\BANCO CREDITO\FER LORCA en ROSITA (Rosita)\MANDATOS\JUDICIAL\ANDRES CORRAL MACIAS\SERPROCAR S.A..doc", "Abrir Documento")</f>
        <v>0</v>
      </c>
      <c r="D20901" t="s">
        <v>23500</v>
      </c>
      <c r="E20901" t="s">
        <v>43370</v>
      </c>
    </row>
    <row r="20902" spans="1:5">
      <c r="A20902" t="s">
        <v>6</v>
      </c>
      <c r="B20902" t="s">
        <v>20907</v>
      </c>
      <c r="C20902">
        <f>HYPERLINK("C:\Users\franc\OneDrive\Documentos\MALENTIN KARIME\BANCO CREDITO\FER LORCA en ROSITA (Rosita)\MANDATOS\JUDICIAL\ALFREDO VILLAGRAN\MARIAN VEGA GONZALEZ.doc", "Abrir Documento")</f>
        <v>0</v>
      </c>
      <c r="D20902" t="s">
        <v>23500</v>
      </c>
      <c r="E20902" t="s">
        <v>43371</v>
      </c>
    </row>
    <row r="20903" spans="1:5">
      <c r="A20903" t="s">
        <v>6</v>
      </c>
      <c r="B20903" t="s">
        <v>20908</v>
      </c>
      <c r="C20903">
        <f>HYPERLINK("C:\Users\franc\OneDrive\Documentos\MALENTIN KARIME\BANCO CREDITO\FER LORCA en ROSITA (Rosita)\MANDATOS\JUDICIAL\ALFREDO VILLAGRAN\MARIA FLORES MUNDACA.doc", "Abrir Documento")</f>
        <v>0</v>
      </c>
      <c r="D20903" t="s">
        <v>23500</v>
      </c>
      <c r="E20903" t="s">
        <v>43372</v>
      </c>
    </row>
    <row r="20904" spans="1:5">
      <c r="A20904" t="s">
        <v>6</v>
      </c>
      <c r="B20904" t="s">
        <v>20909</v>
      </c>
      <c r="C20904">
        <f>HYPERLINK("C:\Users\franc\OneDrive\Documentos\MALENTIN KARIME\BANCO CREDITO\FER LORCA en ROSITA (Rosita)\MANDATOS\JUDICIAL\ALFREDO VILLAGRAN\JAIME GUERRERO.doc", "Abrir Documento")</f>
        <v>0</v>
      </c>
      <c r="D20904" t="s">
        <v>23500</v>
      </c>
      <c r="E20904" t="s">
        <v>43373</v>
      </c>
    </row>
    <row r="20905" spans="1:5">
      <c r="A20905" t="s">
        <v>6</v>
      </c>
      <c r="B20905" t="s">
        <v>20910</v>
      </c>
      <c r="C20905">
        <f>HYPERLINK("C:\Users\franc\OneDrive\Documentos\MALENTIN KARIME\BANCO CREDITO\FER LORCA en ROSITA (Rosita)\MANDATOS\JUDICIAL\ALEJANDRO NAVARRO\LUIS NARVAEZ RAMIREZ.doc", "Abrir Documento")</f>
        <v>0</v>
      </c>
      <c r="D20905" t="s">
        <v>23500</v>
      </c>
      <c r="E20905" t="s">
        <v>43374</v>
      </c>
    </row>
    <row r="20906" spans="1:5">
      <c r="A20906" t="s">
        <v>6</v>
      </c>
      <c r="B20906" t="s">
        <v>20911</v>
      </c>
      <c r="C20906">
        <f>HYPERLINK("C:\Users\franc\OneDrive\Documentos\MALENTIN KARIME\BANCO CREDITO\FER LORCA en ROSITA (Rosita)\MANDATOS\JUDICIAL\ADOLFO LAY\MANUEL LEON CORREA.doc", "Abrir Documento")</f>
        <v>0</v>
      </c>
      <c r="D20906" t="s">
        <v>23500</v>
      </c>
      <c r="E20906" t="s">
        <v>43375</v>
      </c>
    </row>
    <row r="20907" spans="1:5">
      <c r="A20907" t="s">
        <v>6</v>
      </c>
      <c r="B20907" t="s">
        <v>20912</v>
      </c>
      <c r="C20907">
        <f>HYPERLINK("C:\Users\franc\OneDrive\Documentos\MALENTIN KARIME\BANCO CREDITO\FER LORCA en ROSITA (Rosita)\MANDATOS\JUDICIAL\ADOLFO LAY\JUAN VILLARROEL Y CIA LTDA.doc", "Abrir Documento")</f>
        <v>0</v>
      </c>
      <c r="D20907" t="s">
        <v>23500</v>
      </c>
      <c r="E20907" t="s">
        <v>43376</v>
      </c>
    </row>
    <row r="20908" spans="1:5">
      <c r="A20908" t="s">
        <v>6</v>
      </c>
      <c r="B20908" t="s">
        <v>20913</v>
      </c>
      <c r="C20908">
        <f>HYPERLINK("C:\Users\franc\OneDrive\Documentos\MALENTIN KARIME\BANCO CREDITO\FER LORCA en ROSITA (Rosita)\MANDATOS\JUDICIAL\ADOLFO LAY\CAROLINA RIVEA CANIBILO.doc", "Abrir Documento")</f>
        <v>0</v>
      </c>
      <c r="D20908" t="s">
        <v>23500</v>
      </c>
      <c r="E20908" t="s">
        <v>43377</v>
      </c>
    </row>
    <row r="20909" spans="1:5">
      <c r="A20909" t="s">
        <v>6</v>
      </c>
      <c r="B20909" t="s">
        <v>20914</v>
      </c>
      <c r="C20909">
        <f>HYPERLINK("C:\Users\franc\OneDrive\Documentos\MALENTIN KARIME\BANCO CREDITO\FER LORCA en ROSITA (Rosita)\MANDATOS\JUDICIAL\ADOLFO LAY\CARMEN VELIZ POR SOC. HOTELERA DEL PACIFICO.doc", "Abrir Documento")</f>
        <v>0</v>
      </c>
      <c r="D20909" t="s">
        <v>23500</v>
      </c>
      <c r="E20909" t="s">
        <v>43378</v>
      </c>
    </row>
    <row r="20910" spans="1:5">
      <c r="A20910" t="s">
        <v>6</v>
      </c>
      <c r="B20910" t="s">
        <v>20915</v>
      </c>
      <c r="C20910">
        <f>HYPERLINK("C:\Users\franc\OneDrive\Documentos\MALENTIN KARIME\BANCO CREDITO\FER LORCA en ROSITA (Rosita)\MANDATOS\JUDICIAL\WILFREDO RIQUELME.doc", "Abrir Documento")</f>
        <v>0</v>
      </c>
      <c r="D20910" t="s">
        <v>23500</v>
      </c>
      <c r="E20910" t="s">
        <v>43379</v>
      </c>
    </row>
    <row r="20911" spans="1:5">
      <c r="A20911" t="s">
        <v>6</v>
      </c>
      <c r="B20911" t="s">
        <v>20916</v>
      </c>
      <c r="C20911">
        <f>HYPERLINK("C:\Users\franc\OneDrive\Documentos\MALENTIN KARIME\BANCO CREDITO\FER LORCA en ROSITA (Rosita)\MANDATOS\JUDICIAL\WILFREDO RIQUELME.- JUNIO.doc", "Abrir Documento")</f>
        <v>0</v>
      </c>
      <c r="D20911" t="s">
        <v>23500</v>
      </c>
      <c r="E20911" t="s">
        <v>43380</v>
      </c>
    </row>
    <row r="20912" spans="1:5">
      <c r="A20912" t="s">
        <v>6</v>
      </c>
      <c r="B20912" t="s">
        <v>20917</v>
      </c>
      <c r="C20912">
        <f>HYPERLINK("C:\Users\franc\OneDrive\Documentos\MALENTIN KARIME\BANCO CREDITO\FER LORCA en ROSITA (Rosita)\MANDATOS\JUDICIAL\SOC. COMERC. FRUTOS DEL PAIS LAS CABRAS LTDA A  EDO. GALLARDO URBINA.doc", "Abrir Documento")</f>
        <v>0</v>
      </c>
      <c r="D20912" t="s">
        <v>23500</v>
      </c>
      <c r="E20912" t="s">
        <v>43381</v>
      </c>
    </row>
    <row r="20913" spans="1:5">
      <c r="A20913" t="s">
        <v>6</v>
      </c>
      <c r="B20913" t="s">
        <v>20918</v>
      </c>
      <c r="C20913">
        <f>HYPERLINK("C:\Users\franc\OneDrive\Documentos\MALENTIN KARIME\BANCO CREDITO\FER LORCA en ROSITA (Rosita)\MANDATOS\JUDICIAL\RISSO SCHAFF A DINO RAMIREZ.doc", "Abrir Documento")</f>
        <v>0</v>
      </c>
      <c r="D20913" t="s">
        <v>23500</v>
      </c>
      <c r="E20913" t="s">
        <v>43382</v>
      </c>
    </row>
    <row r="20914" spans="1:5">
      <c r="A20914" t="s">
        <v>6</v>
      </c>
      <c r="B20914" t="s">
        <v>20919</v>
      </c>
      <c r="C20914">
        <f>HYPERLINK("C:\Users\franc\OneDrive\Documentos\MALENTIN KARIME\BANCO CREDITO\FER LORCA en ROSITA (Rosita)\MANDATOS\JUDICIAL\NICOLAS LOPEZ A JOSE OJEDA.doc", "Abrir Documento")</f>
        <v>0</v>
      </c>
      <c r="D20914" t="s">
        <v>23500</v>
      </c>
      <c r="E20914" t="s">
        <v>43383</v>
      </c>
    </row>
    <row r="20915" spans="1:5">
      <c r="A20915" t="s">
        <v>6</v>
      </c>
      <c r="B20915" t="s">
        <v>20920</v>
      </c>
      <c r="C20915">
        <f>HYPERLINK("C:\Users\franc\OneDrive\Documentos\MALENTIN KARIME\BANCO CREDITO\FER LORCA en ROSITA (Rosita)\MANDATOS\JUDICIAL\MAXIMO SOTO.doc", "Abrir Documento")</f>
        <v>0</v>
      </c>
      <c r="D20915" t="s">
        <v>23500</v>
      </c>
      <c r="E20915" t="s">
        <v>43384</v>
      </c>
    </row>
    <row r="20916" spans="1:5">
      <c r="A20916" t="s">
        <v>6</v>
      </c>
      <c r="B20916" t="s">
        <v>20921</v>
      </c>
      <c r="C20916">
        <f>HYPERLINK("C:\Users\franc\OneDrive\Documentos\MALENTIN KARIME\BANCO CREDITO\FER LORCA en ROSITA (Rosita)\MANDATOS\JUDICIAL\MARIA INES NUÑEZ HERRERA.-.doc", "Abrir Documento")</f>
        <v>0</v>
      </c>
      <c r="D20916" t="s">
        <v>23500</v>
      </c>
      <c r="E20916" t="s">
        <v>43385</v>
      </c>
    </row>
    <row r="20917" spans="1:5">
      <c r="A20917" t="s">
        <v>6</v>
      </c>
      <c r="B20917" t="s">
        <v>20922</v>
      </c>
      <c r="C20917">
        <f>HYPERLINK("C:\Users\franc\OneDrive\Documentos\MALENTIN KARIME\BANCO CREDITO\FER LORCA en ROSITA (Rosita)\MANDATOS\JUDICIAL\MARCOS CUELLO A MA. MALUENDA ROJAS.doc", "Abrir Documento")</f>
        <v>0</v>
      </c>
      <c r="D20917" t="s">
        <v>23500</v>
      </c>
      <c r="E20917" t="s">
        <v>43386</v>
      </c>
    </row>
    <row r="20918" spans="1:5">
      <c r="A20918" t="s">
        <v>6</v>
      </c>
      <c r="B20918" t="s">
        <v>20923</v>
      </c>
      <c r="C20918">
        <f>HYPERLINK("C:\Users\franc\OneDrive\Documentos\MALENTIN KARIME\BANCO CREDITO\FER LORCA en ROSITA (Rosita)\MANDATOS\JUDICIAL\mandato judicial especial HECTOR CONTRERAS ROCHA.-.doc", "Abrir Documento")</f>
        <v>0</v>
      </c>
      <c r="D20918" t="s">
        <v>23500</v>
      </c>
      <c r="E20918" t="s">
        <v>43387</v>
      </c>
    </row>
    <row r="20919" spans="1:5">
      <c r="A20919" t="s">
        <v>6</v>
      </c>
      <c r="B20919" t="s">
        <v>20924</v>
      </c>
      <c r="C20919">
        <f>HYPERLINK("C:\Users\franc\OneDrive\Documentos\MALENTIN KARIME\BANCO CREDITO\FER LORCA en ROSITA (Rosita)\MANDATOS\JUDICIAL\LUIS CACERES MARABOLI.doc", "Abrir Documento")</f>
        <v>0</v>
      </c>
      <c r="D20919" t="s">
        <v>23500</v>
      </c>
      <c r="E20919" t="s">
        <v>43388</v>
      </c>
    </row>
    <row r="20920" spans="1:5">
      <c r="A20920" t="s">
        <v>6</v>
      </c>
      <c r="B20920" t="s">
        <v>20925</v>
      </c>
      <c r="C20920">
        <f>HYPERLINK("C:\Users\franc\OneDrive\Documentos\MALENTIN KARIME\BANCO CREDITO\FER LORCA en ROSITA (Rosita)\MANDATOS\JUDICIAL\LJUAN SANTELICES A EUGENIO CORTES.doc", "Abrir Documento")</f>
        <v>0</v>
      </c>
      <c r="D20920" t="s">
        <v>23500</v>
      </c>
      <c r="E20920" t="s">
        <v>43389</v>
      </c>
    </row>
    <row r="20921" spans="1:5">
      <c r="A20921" t="s">
        <v>6</v>
      </c>
      <c r="B20921" t="s">
        <v>20926</v>
      </c>
      <c r="C20921">
        <f>HYPERLINK("C:\Users\franc\OneDrive\Documentos\MALENTIN KARIME\BANCO CREDITO\FER LORCA en ROSITA (Rosita)\MANDATOS\JUDICIAL\LEONARDO PEREZ A FELIPE NUÑEZ.- JULIO 2010.doc", "Abrir Documento")</f>
        <v>0</v>
      </c>
      <c r="D20921" t="s">
        <v>23500</v>
      </c>
      <c r="E20921" t="s">
        <v>43390</v>
      </c>
    </row>
    <row r="20922" spans="1:5">
      <c r="A20922" t="s">
        <v>6</v>
      </c>
      <c r="B20922" t="s">
        <v>20927</v>
      </c>
      <c r="C20922">
        <f>HYPERLINK("C:\Users\franc\OneDrive\Documentos\MALENTIN KARIME\BANCO CREDITO\FER LORCA en ROSITA (Rosita)\MANDATOS\JUDICIAL\JAIME GALINDIO SOLAR.- OCTUBRE.doc", "Abrir Documento")</f>
        <v>0</v>
      </c>
      <c r="D20922" t="s">
        <v>23500</v>
      </c>
      <c r="E20922" t="s">
        <v>43391</v>
      </c>
    </row>
    <row r="20923" spans="1:5">
      <c r="A20923" t="s">
        <v>6</v>
      </c>
      <c r="B20923" t="s">
        <v>20928</v>
      </c>
      <c r="C20923">
        <f>HYPERLINK("C:\Users\franc\OneDrive\Documentos\MALENTIN KARIME\BANCO CREDITO\FER LORCA en ROSITA (Rosita)\MANDATOS\JUDICIAL\HILDA ALFARO GAMBOA A RUBEN MIRANA LAGOS.doc", "Abrir Documento")</f>
        <v>0</v>
      </c>
      <c r="D20923" t="s">
        <v>23500</v>
      </c>
      <c r="E20923" t="s">
        <v>43392</v>
      </c>
    </row>
    <row r="20924" spans="1:5">
      <c r="A20924" t="s">
        <v>6</v>
      </c>
      <c r="B20924" t="s">
        <v>20929</v>
      </c>
      <c r="C20924">
        <f>HYPERLINK("C:\Users\franc\OneDrive\Documentos\MALENTIN KARIME\BANCO CREDITO\FER LORCA en ROSITA (Rosita)\MANDATOS\JUDICIAL\GRACIELA CASTILLO.doc", "Abrir Documento")</f>
        <v>0</v>
      </c>
      <c r="D20924" t="s">
        <v>23500</v>
      </c>
      <c r="E20924" t="s">
        <v>43393</v>
      </c>
    </row>
    <row r="20925" spans="1:5">
      <c r="A20925" t="s">
        <v>6</v>
      </c>
      <c r="B20925" t="s">
        <v>20930</v>
      </c>
      <c r="C20925">
        <f>HYPERLINK("C:\Users\franc\OneDrive\Documentos\MALENTIN KARIME\BANCO CREDITO\FER LORCA en ROSITA (Rosita)\MANDATOS\JUDICIAL\FRIDA MATUS....A MANUEL CARVAJAL.doc", "Abrir Documento")</f>
        <v>0</v>
      </c>
      <c r="D20925" t="s">
        <v>23500</v>
      </c>
      <c r="E20925" t="s">
        <v>43394</v>
      </c>
    </row>
    <row r="20926" spans="1:5">
      <c r="A20926" t="s">
        <v>6</v>
      </c>
      <c r="B20926" t="s">
        <v>20931</v>
      </c>
      <c r="C20926">
        <f>HYPERLINK("C:\Users\franc\OneDrive\Documentos\MALENTIN KARIME\BANCO CREDITO\FER LORCA en ROSITA (Rosita)\MANDATOS\JUDICIAL\FRANCISCO MUÑOZ A SEBASTIAN VALDIVIA.-.doc", "Abrir Documento")</f>
        <v>0</v>
      </c>
      <c r="D20926" t="s">
        <v>23500</v>
      </c>
      <c r="E20926" t="s">
        <v>43395</v>
      </c>
    </row>
    <row r="20927" spans="1:5">
      <c r="A20927" t="s">
        <v>6</v>
      </c>
      <c r="B20927" t="s">
        <v>20932</v>
      </c>
      <c r="C20927">
        <f>HYPERLINK("C:\Users\franc\OneDrive\Documentos\MALENTIN KARIME\BANCO CREDITO\FER LORCA en ROSITA (Rosita)\MANDATOS\JUDICIAL\EUGENIO ALVARADO A AANA ALVARADO.doc", "Abrir Documento")</f>
        <v>0</v>
      </c>
      <c r="D20927" t="s">
        <v>23500</v>
      </c>
      <c r="E20927" t="s">
        <v>43396</v>
      </c>
    </row>
    <row r="20928" spans="1:5">
      <c r="A20928" t="s">
        <v>6</v>
      </c>
      <c r="B20928" t="s">
        <v>20933</v>
      </c>
      <c r="C20928">
        <f>HYPERLINK("C:\Users\franc\OneDrive\Documentos\MALENTIN KARIME\BANCO CREDITO\FER LORCA en ROSITA (Rosita)\MANDATOS\JUDICIAL\EDUARDO BARTHOLAMAUS.doc", "Abrir Documento")</f>
        <v>0</v>
      </c>
      <c r="D20928" t="s">
        <v>23500</v>
      </c>
      <c r="E20928" t="s">
        <v>43397</v>
      </c>
    </row>
    <row r="20929" spans="1:5">
      <c r="A20929" t="s">
        <v>6</v>
      </c>
      <c r="B20929" t="s">
        <v>20934</v>
      </c>
      <c r="C20929">
        <f>HYPERLINK("C:\Users\franc\OneDrive\Documentos\MALENTIN KARIME\BANCO CREDITO\FER LORCA en ROSITA (Rosita)\MANDATOS\JUDICIAL\COM. HIGUERITAS UNIDAS A CARLOS FUENTEALBA Y OTR.doc", "Abrir Documento")</f>
        <v>0</v>
      </c>
      <c r="D20929" t="s">
        <v>23500</v>
      </c>
      <c r="E20929" t="s">
        <v>43398</v>
      </c>
    </row>
    <row r="20930" spans="1:5">
      <c r="A20930" t="s">
        <v>6</v>
      </c>
      <c r="B20930" t="s">
        <v>20935</v>
      </c>
      <c r="C20930">
        <f>HYPERLINK("C:\Users\franc\OneDrive\Documentos\MALENTIN KARIME\BANCO CREDITO\FER LORCA en ROSITA (Rosita)\MANDATOS\JUDICIAL\claudio dalidet belmar.doc", "Abrir Documento")</f>
        <v>0</v>
      </c>
      <c r="D20930" t="s">
        <v>23500</v>
      </c>
      <c r="E20930" t="s">
        <v>43399</v>
      </c>
    </row>
    <row r="20931" spans="1:5">
      <c r="A20931" t="s">
        <v>6</v>
      </c>
      <c r="B20931" t="s">
        <v>20936</v>
      </c>
      <c r="C20931">
        <f>HYPERLINK("C:\Users\franc\OneDrive\Documentos\MALENTIN KARIME\BANCO CREDITO\FER LORCA en ROSITA (Rosita)\MANDATOS\JUDICIAL\CECILIA IZQUIERSO A CRISTIAN ZEPEDA.doc", "Abrir Documento")</f>
        <v>0</v>
      </c>
      <c r="D20931" t="s">
        <v>23500</v>
      </c>
      <c r="E20931" t="s">
        <v>43400</v>
      </c>
    </row>
    <row r="20932" spans="1:5">
      <c r="A20932" t="s">
        <v>6</v>
      </c>
      <c r="B20932" t="s">
        <v>20937</v>
      </c>
      <c r="C20932">
        <f>HYPERLINK("C:\Users\franc\OneDrive\Documentos\MALENTIN KARIME\BANCO CREDITO\FER LORCA en ROSITA (Rosita)\MANDATOS\GENERAL\MODELO.doc", "Abrir Documento")</f>
        <v>0</v>
      </c>
      <c r="D20932" t="s">
        <v>23500</v>
      </c>
      <c r="E20932" t="s">
        <v>43401</v>
      </c>
    </row>
    <row r="20933" spans="1:5">
      <c r="A20933" t="s">
        <v>6</v>
      </c>
      <c r="B20933" t="s">
        <v>20938</v>
      </c>
      <c r="C20933">
        <f>HYPERLINK("C:\Users\franc\OneDrive\Documentos\MALENTIN KARIME\BANCO CREDITO\FER LORCA en ROSITA (Rosita)\MANDATOS\GENERAL\MARJORIE ASTUDILLO A WLADIMIR VALDIVIA.-.doc", "Abrir Documento")</f>
        <v>0</v>
      </c>
      <c r="D20933" t="s">
        <v>23500</v>
      </c>
      <c r="E20933" t="s">
        <v>43402</v>
      </c>
    </row>
    <row r="20934" spans="1:5">
      <c r="A20934" t="s">
        <v>6</v>
      </c>
      <c r="B20934" t="s">
        <v>20939</v>
      </c>
      <c r="C20934">
        <f>HYPERLINK("C:\Users\franc\OneDrive\Documentos\MALENTIN KARIME\BANCO CREDITO\FER LORCA en ROSITA (Rosita)\MANDATOS\GENERAL\MARIA ZEPEDA.doc", "Abrir Documento")</f>
        <v>0</v>
      </c>
      <c r="D20934" t="s">
        <v>23500</v>
      </c>
      <c r="E20934" t="s">
        <v>43403</v>
      </c>
    </row>
    <row r="20935" spans="1:5">
      <c r="A20935" t="s">
        <v>6</v>
      </c>
      <c r="B20935" t="s">
        <v>20940</v>
      </c>
      <c r="C20935">
        <f>HYPERLINK("C:\Users\franc\OneDrive\Documentos\MALENTIN KARIME\BANCO CREDITO\FER LORCA en ROSITA (Rosita)\MANDATOS\GENERAL\MARIA SALFATE A RODRIGO VICENCIO.doc", "Abrir Documento")</f>
        <v>0</v>
      </c>
      <c r="D20935" t="s">
        <v>23500</v>
      </c>
      <c r="E20935" t="s">
        <v>43404</v>
      </c>
    </row>
    <row r="20936" spans="1:5">
      <c r="A20936" t="s">
        <v>6</v>
      </c>
      <c r="B20936" t="s">
        <v>20941</v>
      </c>
      <c r="C20936">
        <f>HYPERLINK("C:\Users\franc\OneDrive\Documentos\MALENTIN KARIME\BANCO CREDITO\FER LORCA en ROSITA (Rosita)\MANDATOS\GENERAL\LUIS POZO A LUCIA POZO.doc", "Abrir Documento")</f>
        <v>0</v>
      </c>
      <c r="D20936" t="s">
        <v>23500</v>
      </c>
      <c r="E20936" t="s">
        <v>43405</v>
      </c>
    </row>
    <row r="20937" spans="1:5">
      <c r="A20937" t="s">
        <v>6</v>
      </c>
      <c r="B20937" t="s">
        <v>20942</v>
      </c>
      <c r="C20937">
        <f>HYPERLINK("C:\Users\franc\OneDrive\Documentos\MALENTIN KARIME\BANCO CREDITO\FER LORCA en ROSITA (Rosita)\MANDATOS\GENERAL\JUAN CARLOS ZARRICUETA A NICOLAS ARAYA.doc", "Abrir Documento")</f>
        <v>0</v>
      </c>
      <c r="D20937" t="s">
        <v>23500</v>
      </c>
      <c r="E20937" t="s">
        <v>43406</v>
      </c>
    </row>
    <row r="20938" spans="1:5">
      <c r="A20938" t="s">
        <v>6</v>
      </c>
      <c r="B20938" t="s">
        <v>20943</v>
      </c>
      <c r="C20938">
        <f>HYPERLINK("C:\Users\franc\OneDrive\Documentos\MALENTIN KARIME\BANCO CREDITO\FER LORCA en ROSITA (Rosita)\MANDATOS\GENERAL\IVETTE EUGENIA MAURIN P. MARZO 2010.doc", "Abrir Documento")</f>
        <v>0</v>
      </c>
      <c r="D20938" t="s">
        <v>23500</v>
      </c>
      <c r="E20938" t="s">
        <v>43407</v>
      </c>
    </row>
    <row r="20939" spans="1:5">
      <c r="A20939" t="s">
        <v>6</v>
      </c>
      <c r="B20939" t="s">
        <v>20944</v>
      </c>
      <c r="C20939">
        <f>HYPERLINK("C:\Users\franc\OneDrive\Documentos\MALENTIN KARIME\BANCO CREDITO\FER LORCA en ROSITA (Rosita)\MANDATOS\GENERAL\GENERAL AMPLIO.... JUANA ALFARO.doc", "Abrir Documento")</f>
        <v>0</v>
      </c>
      <c r="D20939" t="s">
        <v>23500</v>
      </c>
      <c r="E20939" t="s">
        <v>43408</v>
      </c>
    </row>
    <row r="20940" spans="1:5">
      <c r="A20940" t="s">
        <v>6</v>
      </c>
      <c r="B20940" t="s">
        <v>20945</v>
      </c>
      <c r="C20940">
        <f>HYPERLINK("C:\Users\franc\OneDrive\Documentos\MALENTIN KARIME\BANCO CREDITO\FER LORCA en ROSITA (Rosita)\MANDATOS\GENERAL\CHRISTIAN LOYOLA A EDMUNDO LOYOLA. NOVIEMBRE.-.doc", "Abrir Documento")</f>
        <v>0</v>
      </c>
      <c r="D20940" t="s">
        <v>23500</v>
      </c>
      <c r="E20940" t="s">
        <v>43409</v>
      </c>
    </row>
    <row r="20941" spans="1:5">
      <c r="A20941" t="s">
        <v>6</v>
      </c>
      <c r="B20941" t="s">
        <v>20946</v>
      </c>
      <c r="C20941">
        <f>HYPERLINK("C:\Users\franc\OneDrive\Documentos\MALENTIN KARIME\BANCO CREDITO\FER LORCA en ROSITA (Rosita)\MANDATOS\GENERAL\CESAR ALVAREZ.- AGOSTO 2010.-.doc", "Abrir Documento")</f>
        <v>0</v>
      </c>
      <c r="D20941" t="s">
        <v>23500</v>
      </c>
      <c r="E20941" t="s">
        <v>43410</v>
      </c>
    </row>
    <row r="20942" spans="1:5">
      <c r="A20942" t="s">
        <v>6</v>
      </c>
      <c r="B20942" t="s">
        <v>20947</v>
      </c>
      <c r="C20942">
        <f>HYPERLINK("C:\Users\franc\OneDrive\Documentos\MALENTIN KARIME\BANCO CREDITO\FER LORCA en ROSITA (Rosita)\MANDATOS\GENERAL\ALFREDO FERNANDEZ A REINALDO FERNANDEZ.- NOVIEMBRE.doc", "Abrir Documento")</f>
        <v>0</v>
      </c>
      <c r="D20942" t="s">
        <v>23500</v>
      </c>
      <c r="E20942" t="s">
        <v>43411</v>
      </c>
    </row>
    <row r="20943" spans="1:5">
      <c r="A20943" t="s">
        <v>6</v>
      </c>
      <c r="B20943" t="s">
        <v>20948</v>
      </c>
      <c r="C20943">
        <f>HYPERLINK("C:\Users\franc\OneDrive\Documentos\MALENTIN KARIME\BANCO CREDITO\FER LORCA en ROSITA (Rosita)\MANDATOS\GENERAL\ALEJANDRA A BASILIO AGUIRRE.- DIC.doc", "Abrir Documento")</f>
        <v>0</v>
      </c>
      <c r="D20943" t="s">
        <v>23500</v>
      </c>
      <c r="E20943" t="s">
        <v>43412</v>
      </c>
    </row>
    <row r="20944" spans="1:5">
      <c r="A20944" t="s">
        <v>6</v>
      </c>
      <c r="B20944" t="s">
        <v>20949</v>
      </c>
      <c r="C20944">
        <f>HYPERLINK("C:\Users\franc\OneDrive\Documentos\MALENTIN KARIME\BANCO CREDITO\FER LORCA en ROSITA (Rosita)\MANDATOS\ESPECIAL\OLIVIA RIVEROS\OLIVIA RIVEROS A BERTA RIVEROS.- AGOSTO 2010.- JURAMENTO UNA....doc", "Abrir Documento")</f>
        <v>0</v>
      </c>
      <c r="D20944" t="s">
        <v>23500</v>
      </c>
      <c r="E20944" t="s">
        <v>43413</v>
      </c>
    </row>
    <row r="20945" spans="1:5">
      <c r="A20945" t="s">
        <v>6</v>
      </c>
      <c r="B20945" t="s">
        <v>20950</v>
      </c>
      <c r="C20945">
        <f>HYPERLINK("C:\Users\franc\OneDrive\Documentos\MALENTIN KARIME\BANCO CREDITO\FER LORCA en ROSITA (Rosita)\MANDATOS\ESPECIAL\OLIVIA RIVEROS\OLIVIA RIVEROS A BERTA RIVEROS.- AGOSTO 2010.- ABANDOBNADA UNA.....doc", "Abrir Documento")</f>
        <v>0</v>
      </c>
      <c r="D20945" t="s">
        <v>23500</v>
      </c>
      <c r="E20945" t="s">
        <v>43414</v>
      </c>
    </row>
    <row r="20946" spans="1:5">
      <c r="A20946" t="s">
        <v>6</v>
      </c>
      <c r="B20946" t="s">
        <v>20951</v>
      </c>
      <c r="C20946">
        <f>HYPERLINK("C:\Users\franc\OneDrive\Documentos\MALENTIN KARIME\BANCO CREDITO\FER LORCA en ROSITA (Rosita)\MANDATOS\ESPECIAL\MTOS. A CARVALLO\Mandato Canihuante Mundaca a Mario Carvallo.doc", "Abrir Documento")</f>
        <v>0</v>
      </c>
      <c r="D20946" t="s">
        <v>23500</v>
      </c>
      <c r="E20946" t="s">
        <v>43415</v>
      </c>
    </row>
    <row r="20947" spans="1:5">
      <c r="A20947" t="s">
        <v>6</v>
      </c>
      <c r="B20947" t="s">
        <v>20952</v>
      </c>
      <c r="C20947">
        <f>HYPERLINK("C:\Users\franc\OneDrive\Documentos\MALENTIN KARIME\BANCO CREDITO\FER LORCA en ROSITA (Rosita)\MANDATOS\ESPECIAL\SOC. MEDICA MUÑOZ MARZAL LTDA.doc", "Abrir Documento")</f>
        <v>0</v>
      </c>
      <c r="D20947" t="s">
        <v>23500</v>
      </c>
      <c r="E20947" t="s">
        <v>43416</v>
      </c>
    </row>
    <row r="20948" spans="1:5">
      <c r="A20948" t="s">
        <v>6</v>
      </c>
      <c r="B20948" t="s">
        <v>20953</v>
      </c>
      <c r="C20948">
        <f>HYPERLINK("C:\Users\franc\OneDrive\Documentos\MALENTIN KARIME\BANCO CREDITO\FER LORCA en ROSITA (Rosita)\MANDATOS\ESPECIAL\ROSA ECHAVE OTRO.doc", "Abrir Documento")</f>
        <v>0</v>
      </c>
      <c r="D20948" t="s">
        <v>23500</v>
      </c>
      <c r="E20948" t="s">
        <v>43417</v>
      </c>
    </row>
    <row r="20949" spans="1:5">
      <c r="A20949" t="s">
        <v>6</v>
      </c>
      <c r="B20949" t="s">
        <v>20954</v>
      </c>
      <c r="C20949">
        <f>HYPERLINK("C:\Users\franc\OneDrive\Documentos\MALENTIN KARIME\BANCO CREDITO\FER LORCA en ROSITA (Rosita)\MANDATOS\ESPECIAL\ROSA ECHAVE A ALVARO LEIVA ECHAVE.doc", "Abrir Documento")</f>
        <v>0</v>
      </c>
      <c r="D20949" t="s">
        <v>23500</v>
      </c>
      <c r="E20949" t="s">
        <v>43418</v>
      </c>
    </row>
    <row r="20950" spans="1:5">
      <c r="A20950" t="s">
        <v>6</v>
      </c>
      <c r="B20950" t="s">
        <v>20955</v>
      </c>
      <c r="C20950">
        <f>HYPERLINK("C:\Users\franc\OneDrive\Documentos\MALENTIN KARIME\BANCO CREDITO\FER LORCA en ROSITA (Rosita)\MANDATOS\ESPECIAL\RAMON BORQUEZ...... A   ......doc", "Abrir Documento")</f>
        <v>0</v>
      </c>
      <c r="D20950" t="s">
        <v>23500</v>
      </c>
      <c r="E20950" t="s">
        <v>43419</v>
      </c>
    </row>
    <row r="20951" spans="1:5">
      <c r="A20951" t="s">
        <v>6</v>
      </c>
      <c r="B20951" t="s">
        <v>20956</v>
      </c>
      <c r="C20951">
        <f>HYPERLINK("C:\Users\franc\OneDrive\Documentos\MALENTIN KARIME\BANCO CREDITO\FER LORCA en ROSITA (Rosita)\MANDATOS\ESPECIAL\RAMON ARAYA A DEISY ARAYA.doc", "Abrir Documento")</f>
        <v>0</v>
      </c>
      <c r="D20951" t="s">
        <v>23500</v>
      </c>
      <c r="E20951" t="s">
        <v>43420</v>
      </c>
    </row>
    <row r="20952" spans="1:5">
      <c r="A20952" t="s">
        <v>6</v>
      </c>
      <c r="B20952" t="s">
        <v>20957</v>
      </c>
      <c r="C20952">
        <f>HYPERLINK("C:\Users\franc\OneDrive\Documentos\MALENTIN KARIME\BANCO CREDITO\FER LORCA en ROSITA (Rosita)\MANDATOS\ESPECIAL\PEDRO RODRIGUEZ ARAYA A ALICIA RODRIGUEZ.- TAMIT. POS. EFECT..doc", "Abrir Documento")</f>
        <v>0</v>
      </c>
      <c r="D20952" t="s">
        <v>23500</v>
      </c>
      <c r="E20952" t="s">
        <v>43421</v>
      </c>
    </row>
    <row r="20953" spans="1:5">
      <c r="A20953" t="s">
        <v>6</v>
      </c>
      <c r="B20953" t="s">
        <v>20958</v>
      </c>
      <c r="C20953">
        <f>HYPERLINK("C:\Users\franc\OneDrive\Documentos\MALENTIN KARIME\BANCO CREDITO\FER LORCA en ROSITA (Rosita)\MANDATOS\ESPECIAL\OLIVIA RIVEROS A BERTA RIVEROS.- AGOSTO 2010.doc", "Abrir Documento")</f>
        <v>0</v>
      </c>
      <c r="D20953" t="s">
        <v>23500</v>
      </c>
      <c r="E20953" t="s">
        <v>43422</v>
      </c>
    </row>
    <row r="20954" spans="1:5">
      <c r="A20954" t="s">
        <v>6</v>
      </c>
      <c r="B20954" t="s">
        <v>20959</v>
      </c>
      <c r="C20954">
        <f>HYPERLINK("C:\Users\franc\OneDrive\Documentos\MALENTIN KARIME\BANCO CREDITO\FER LORCA en ROSITA (Rosita)\MANDATOS\ESPECIAL\NAZE ESBIR.doc", "Abrir Documento")</f>
        <v>0</v>
      </c>
      <c r="D20954" t="s">
        <v>23500</v>
      </c>
      <c r="E20954" t="s">
        <v>43423</v>
      </c>
    </row>
    <row r="20955" spans="1:5">
      <c r="A20955" t="s">
        <v>6</v>
      </c>
      <c r="B20955" t="s">
        <v>20960</v>
      </c>
      <c r="C20955">
        <f>HYPERLINK("C:\Users\franc\OneDrive\Documentos\MALENTIN KARIME\BANCO CREDITO\FER LORCA en ROSITA (Rosita)\MANDATOS\ESPECIAL\MODELO.doc", "Abrir Documento")</f>
        <v>0</v>
      </c>
      <c r="D20955" t="s">
        <v>23500</v>
      </c>
      <c r="E20955" t="s">
        <v>43424</v>
      </c>
    </row>
    <row r="20956" spans="1:5">
      <c r="A20956" t="s">
        <v>6</v>
      </c>
      <c r="B20956" t="s">
        <v>20961</v>
      </c>
      <c r="C20956">
        <f>HYPERLINK("C:\Users\franc\OneDrive\Documentos\MALENTIN KARIME\BANCO CREDITO\FER LORCA en ROSITA (Rosita)\MANDATOS\ESPECIAL\MODELO DR. ARAB.doc", "Abrir Documento")</f>
        <v>0</v>
      </c>
      <c r="D20956" t="s">
        <v>23500</v>
      </c>
      <c r="E20956" t="s">
        <v>43425</v>
      </c>
    </row>
    <row r="20957" spans="1:5">
      <c r="A20957" t="s">
        <v>6</v>
      </c>
      <c r="B20957" t="s">
        <v>20962</v>
      </c>
      <c r="C20957">
        <f>HYPERLINK("C:\Users\franc\OneDrive\Documentos\MALENTIN KARIME\BANCO CREDITO\FER LORCA en ROSITA (Rosita)\MANDATOS\ESPECIAL\MISAEL VALDIVIA.- (MENOS VENDER).doc", "Abrir Documento")</f>
        <v>0</v>
      </c>
      <c r="D20957" t="s">
        <v>23500</v>
      </c>
      <c r="E20957" t="s">
        <v>43426</v>
      </c>
    </row>
    <row r="20958" spans="1:5">
      <c r="A20958" t="s">
        <v>6</v>
      </c>
      <c r="B20958" t="s">
        <v>20963</v>
      </c>
      <c r="C20958">
        <f>HYPERLINK("C:\Users\franc\OneDrive\Documentos\MALENTIN KARIME\BANCO CREDITO\FER LORCA en ROSITA (Rosita)\MANDATOS\ESPECIAL\MISAEL VALDIVIA .- 2.doc", "Abrir Documento")</f>
        <v>0</v>
      </c>
      <c r="D20958" t="s">
        <v>23500</v>
      </c>
      <c r="E20958" t="s">
        <v>43427</v>
      </c>
    </row>
    <row r="20959" spans="1:5">
      <c r="A20959" t="s">
        <v>6</v>
      </c>
      <c r="B20959" t="s">
        <v>20964</v>
      </c>
      <c r="C20959">
        <f>HYPERLINK("C:\Users\franc\OneDrive\Documentos\MALENTIN KARIME\BANCO CREDITO\FER LORCA en ROSITA (Rosita)\MANDATOS\ESPECIAL\MARTA LOBOS.- ABRIL 2011.doc", "Abrir Documento")</f>
        <v>0</v>
      </c>
      <c r="D20959" t="s">
        <v>23500</v>
      </c>
      <c r="E20959" t="s">
        <v>43428</v>
      </c>
    </row>
    <row r="20960" spans="1:5">
      <c r="A20960" t="s">
        <v>6</v>
      </c>
      <c r="B20960" t="s">
        <v>20965</v>
      </c>
      <c r="C20960">
        <f>HYPERLINK("C:\Users\franc\OneDrive\Documentos\MALENTIN KARIME\BANCO CREDITO\FER LORCA en ROSITA (Rosita)\MANDATOS\ESPECIAL\MARCELO  ARAYA CORTES A PATRICIA ARAYA CORTES (VENTA CONYUGE).doc", "Abrir Documento")</f>
        <v>0</v>
      </c>
      <c r="D20960" t="s">
        <v>23500</v>
      </c>
      <c r="E20960" t="s">
        <v>43429</v>
      </c>
    </row>
    <row r="20961" spans="1:5">
      <c r="A20961" t="s">
        <v>6</v>
      </c>
      <c r="B20961" t="s">
        <v>20966</v>
      </c>
      <c r="C20961">
        <f>HYPERLINK("C:\Users\franc\OneDrive\Documentos\MALENTIN KARIME\BANCO CREDITO\FER LORCA en ROSITA (Rosita)\MANDATOS\ESPECIAL\MANUEL ARAYA CORTES A P. ARAYA.doc", "Abrir Documento")</f>
        <v>0</v>
      </c>
      <c r="D20961" t="s">
        <v>23500</v>
      </c>
      <c r="E20961" t="s">
        <v>43430</v>
      </c>
    </row>
    <row r="20962" spans="1:5">
      <c r="A20962" t="s">
        <v>6</v>
      </c>
      <c r="B20962" t="s">
        <v>20967</v>
      </c>
      <c r="C20962">
        <f>HYPERLINK("C:\Users\franc\OneDrive\Documentos\MALENTIN KARIME\BANCO CREDITO\FER LORCA en ROSITA (Rosita)\MANDATOS\ESPECIAL\Mandato CARLOS ACUÑA.doc", "Abrir Documento")</f>
        <v>0</v>
      </c>
      <c r="D20962" t="s">
        <v>23500</v>
      </c>
      <c r="E20962" t="s">
        <v>43431</v>
      </c>
    </row>
    <row r="20963" spans="1:5">
      <c r="A20963" t="s">
        <v>6</v>
      </c>
      <c r="B20963" t="s">
        <v>20968</v>
      </c>
      <c r="C20963">
        <f>HYPERLINK("C:\Users\franc\OneDrive\Documentos\MALENTIN KARIME\BANCO CREDITO\FER LORCA en ROSITA (Rosita)\MANDATOS\ESPECIAL\MANDATO .- ALVARO GALLEGUILLOS.. AGOSTO 2010.-.doc", "Abrir Documento")</f>
        <v>0</v>
      </c>
      <c r="D20963" t="s">
        <v>23500</v>
      </c>
      <c r="E20963" t="s">
        <v>43432</v>
      </c>
    </row>
    <row r="20964" spans="1:5">
      <c r="A20964" t="s">
        <v>6</v>
      </c>
      <c r="B20964" t="s">
        <v>20969</v>
      </c>
      <c r="C20964">
        <f>HYPERLINK("C:\Users\franc\OneDrive\Documentos\MALENTIN KARIME\BANCO CREDITO\FER LORCA en ROSITA (Rosita)\MANDATOS\ESPECIAL\LUIS TAPIA ORREGO.doc", "Abrir Documento")</f>
        <v>0</v>
      </c>
      <c r="D20964" t="s">
        <v>23500</v>
      </c>
      <c r="E20964" t="s">
        <v>43433</v>
      </c>
    </row>
    <row r="20965" spans="1:5">
      <c r="A20965" t="s">
        <v>6</v>
      </c>
      <c r="B20965" t="s">
        <v>20970</v>
      </c>
      <c r="C20965">
        <f>HYPERLINK("C:\Users\franc\OneDrive\Documentos\MALENTIN KARIME\BANCO CREDITO\FER LORCA en ROSITA (Rosita)\MANDATOS\ESPECIAL\LUIS CASTILLO (cobro pension).doc", "Abrir Documento")</f>
        <v>0</v>
      </c>
      <c r="D20965" t="s">
        <v>23500</v>
      </c>
      <c r="E20965" t="s">
        <v>43434</v>
      </c>
    </row>
    <row r="20966" spans="1:5">
      <c r="A20966" t="s">
        <v>6</v>
      </c>
      <c r="B20966" t="s">
        <v>20971</v>
      </c>
      <c r="C20966">
        <f>HYPERLINK("C:\Users\franc\OneDrive\Documentos\MALENTIN KARIME\BANCO CREDITO\FER LORCA en ROSITA (Rosita)\MANDATOS\ESPECIAL\LESLY ZAMARCA A MARIANO SILVA ROJAS.doc", "Abrir Documento")</f>
        <v>0</v>
      </c>
      <c r="D20966" t="s">
        <v>23500</v>
      </c>
      <c r="E20966" t="s">
        <v>43435</v>
      </c>
    </row>
    <row r="20967" spans="1:5">
      <c r="A20967" t="s">
        <v>6</v>
      </c>
      <c r="B20967" t="s">
        <v>20972</v>
      </c>
      <c r="C20967">
        <f>HYPERLINK("C:\Users\franc\OneDrive\Documentos\MALENTIN KARIME\BANCO CREDITO\FER LORCA en ROSITA (Rosita)\MANDATOS\ESPECIAL\JULIO MONTERO.....doc", "Abrir Documento")</f>
        <v>0</v>
      </c>
      <c r="D20967" t="s">
        <v>23500</v>
      </c>
      <c r="E20967" t="s">
        <v>43436</v>
      </c>
    </row>
    <row r="20968" spans="1:5">
      <c r="A20968" t="s">
        <v>6</v>
      </c>
      <c r="B20968" t="s">
        <v>20973</v>
      </c>
      <c r="C20968">
        <f>HYPERLINK("C:\Users\franc\OneDrive\Documentos\MALENTIN KARIME\BANCO CREDITO\FER LORCA en ROSITA (Rosita)\MANDATOS\ESPECIAL\JUAN CORTES.- A ISELIA PIZARRO.- TRAMITES DE PROHIBICION.doc", "Abrir Documento")</f>
        <v>0</v>
      </c>
      <c r="D20968" t="s">
        <v>23500</v>
      </c>
      <c r="E20968" t="s">
        <v>43437</v>
      </c>
    </row>
    <row r="20969" spans="1:5">
      <c r="A20969" t="s">
        <v>6</v>
      </c>
      <c r="B20969" t="s">
        <v>20974</v>
      </c>
      <c r="C20969">
        <f>HYPERLINK("C:\Users\franc\OneDrive\Documentos\MALENTIN KARIME\BANCO CREDITO\FER LORCA en ROSITA (Rosita)\MANDATOS\ESPECIAL\HECTOR MIRANDA A NALDI ELENA ROJAS.doc", "Abrir Documento")</f>
        <v>0</v>
      </c>
      <c r="D20969" t="s">
        <v>23500</v>
      </c>
      <c r="E20969" t="s">
        <v>43438</v>
      </c>
    </row>
    <row r="20970" spans="1:5">
      <c r="A20970" t="s">
        <v>6</v>
      </c>
      <c r="B20970" t="s">
        <v>20975</v>
      </c>
      <c r="C20970">
        <f>HYPERLINK("C:\Users\franc\OneDrive\Documentos\MALENTIN KARIME\BANCO CREDITO\FER LORCA en ROSITA (Rosita)\MANDATOS\ESPECIAL\GLADYS ROJAS A DIOGENES ROJAS .-.doc", "Abrir Documento")</f>
        <v>0</v>
      </c>
      <c r="D20970" t="s">
        <v>23500</v>
      </c>
      <c r="E20970" t="s">
        <v>43439</v>
      </c>
    </row>
    <row r="20971" spans="1:5">
      <c r="A20971" t="s">
        <v>6</v>
      </c>
      <c r="B20971" t="s">
        <v>20976</v>
      </c>
      <c r="C20971">
        <f>HYPERLINK("C:\Users\franc\OneDrive\Documentos\MALENTIN KARIME\BANCO CREDITO\FER LORCA en ROSITA (Rosita)\MANDATOS\ESPECIAL\GLADYS DIAZ.- ODER ESPECIAL BIEN RAIZ CON VENTA Y AUT. CONYUGE.doc", "Abrir Documento")</f>
        <v>0</v>
      </c>
      <c r="D20971" t="s">
        <v>23500</v>
      </c>
      <c r="E20971" t="s">
        <v>43440</v>
      </c>
    </row>
    <row r="20972" spans="1:5">
      <c r="A20972" t="s">
        <v>6</v>
      </c>
      <c r="B20972" t="s">
        <v>20977</v>
      </c>
      <c r="C20972">
        <f>HYPERLINK("C:\Users\franc\OneDrive\Documentos\MALENTIN KARIME\BANCO CREDITO\FER LORCA en ROSITA (Rosita)\MANDATOS\ESPECIAL\DR. ARAB.- JUDICIAL.- OCTUBRE 2010.-.doc", "Abrir Documento")</f>
        <v>0</v>
      </c>
      <c r="D20972" t="s">
        <v>23500</v>
      </c>
      <c r="E20972" t="s">
        <v>43441</v>
      </c>
    </row>
    <row r="20973" spans="1:5">
      <c r="A20973" t="s">
        <v>6</v>
      </c>
      <c r="B20973" t="s">
        <v>20978</v>
      </c>
      <c r="C20973">
        <f>HYPERLINK("C:\Users\franc\OneDrive\Documentos\MALENTIN KARIME\BANCO CREDITO\FER LORCA en ROSITA (Rosita)\MANDATOS\ESPECIAL\BIANA VAZOLI.doc", "Abrir Documento")</f>
        <v>0</v>
      </c>
      <c r="D20973" t="s">
        <v>23500</v>
      </c>
      <c r="E20973" t="s">
        <v>43442</v>
      </c>
    </row>
    <row r="20974" spans="1:5">
      <c r="A20974" t="s">
        <v>6</v>
      </c>
      <c r="B20974" t="s">
        <v>20979</v>
      </c>
      <c r="C20974">
        <f>HYPERLINK("C:\Users\franc\OneDrive\Documentos\MALENTIN KARIME\BANCO CREDITO\FER LORCA en ROSITA (Rosita)\MANDATOS\ESPECIAL\ARNOLDO G. FIRMAR CONST. DE SOCIEDAD.doc", "Abrir Documento")</f>
        <v>0</v>
      </c>
      <c r="D20974" t="s">
        <v>23500</v>
      </c>
      <c r="E20974" t="s">
        <v>43443</v>
      </c>
    </row>
    <row r="20975" spans="1:5">
      <c r="A20975" t="s">
        <v>6</v>
      </c>
      <c r="B20975" t="s">
        <v>20980</v>
      </c>
      <c r="C20975">
        <f>HYPERLINK("C:\Users\franc\OneDrive\Documentos\MALENTIN KARIME\BANCO CREDITO\FER LORCA en ROSITA (Rosita)\MANDATOS\ESPECIAL\ALFONSO PASTEN A JOAQUIN PASTE.doc", "Abrir Documento")</f>
        <v>0</v>
      </c>
      <c r="D20975" t="s">
        <v>23500</v>
      </c>
      <c r="E20975" t="s">
        <v>43444</v>
      </c>
    </row>
    <row r="20976" spans="1:5">
      <c r="A20976" t="s">
        <v>6</v>
      </c>
      <c r="B20976" t="s">
        <v>20981</v>
      </c>
      <c r="C20976">
        <f>HYPERLINK("C:\Users\franc\OneDrive\Documentos\MALENTIN KARIME\BANCO CREDITO\FER LORCA en ROSITA (Rosita)\MANDATOS\ESPECIAL\ALEXIS ARAYA CORTES A PATRICIA ARAYA.doc", "Abrir Documento")</f>
        <v>0</v>
      </c>
      <c r="D20976" t="s">
        <v>23500</v>
      </c>
      <c r="E20976" t="s">
        <v>43445</v>
      </c>
    </row>
    <row r="20977" spans="1:5">
      <c r="A20977" t="s">
        <v>6</v>
      </c>
      <c r="B20977" t="s">
        <v>20982</v>
      </c>
      <c r="C20977">
        <f>HYPERLINK("C:\Users\franc\OneDrive\Documentos\MALENTIN KARIME\BANCO CREDITO\FER LORCA en ROSITA (Rosita)\MANDATOS\ESPECIAL\(ADMINISTRACION).doc", "Abrir Documento")</f>
        <v>0</v>
      </c>
      <c r="D20977" t="s">
        <v>23500</v>
      </c>
      <c r="E20977" t="s">
        <v>43446</v>
      </c>
    </row>
    <row r="20978" spans="1:5">
      <c r="A20978" t="s">
        <v>6</v>
      </c>
      <c r="B20978" t="s">
        <v>20983</v>
      </c>
      <c r="C20978">
        <f>HYPERLINK("C:\Users\franc\OneDrive\Documentos\MALENTIN KARIME\BANCO CREDITO\FER LORCA en ROSITA (Rosita)\MANDATOS\CLAUDIO ARDILES\JORGE SAUTERREL.doc", "Abrir Documento")</f>
        <v>0</v>
      </c>
      <c r="D20978" t="s">
        <v>23500</v>
      </c>
      <c r="E20978" t="s">
        <v>43447</v>
      </c>
    </row>
    <row r="20979" spans="1:5">
      <c r="A20979" t="s">
        <v>6</v>
      </c>
      <c r="B20979" t="s">
        <v>20984</v>
      </c>
      <c r="C20979">
        <f>HYPERLINK("C:\Users\franc\OneDrive\Documentos\MALENTIN KARIME\BANCO CREDITO\FER LORCA en ROSITA (Rosita)\MANDATOS\BCO.CHILE\PEDRO BOU A PEDRO BOU ALVAREZ.- OCTUBRE.doc", "Abrir Documento")</f>
        <v>0</v>
      </c>
      <c r="D20979" t="s">
        <v>23500</v>
      </c>
      <c r="E20979" t="s">
        <v>43448</v>
      </c>
    </row>
    <row r="20980" spans="1:5">
      <c r="A20980" t="s">
        <v>6</v>
      </c>
      <c r="B20980" t="s">
        <v>20985</v>
      </c>
      <c r="C20980">
        <f>HYPERLINK("C:\Users\franc\OneDrive\Documentos\MALENTIN KARIME\BANCO CREDITO\FER LORCA en ROSITA (Rosita)\MANDATOS\BCO.CHILE\PEDRO BOU A PEDRO BOU ALVAREZ.- NOVIEMBRE.doc", "Abrir Documento")</f>
        <v>0</v>
      </c>
      <c r="D20980" t="s">
        <v>23500</v>
      </c>
      <c r="E20980" t="s">
        <v>43449</v>
      </c>
    </row>
    <row r="20981" spans="1:5">
      <c r="A20981" t="s">
        <v>6</v>
      </c>
      <c r="B20981" t="s">
        <v>20986</v>
      </c>
      <c r="C20981">
        <f>HYPERLINK("C:\Users\franc\OneDrive\Documentos\MALENTIN KARIME\BANCO CREDITO\FER LORCA en ROSITA (Rosita)\MANDATOS\BCO.CHILE\PABLO CORTES.- NOVIEMBRE.doc", "Abrir Documento")</f>
        <v>0</v>
      </c>
      <c r="D20981" t="s">
        <v>23500</v>
      </c>
      <c r="E20981" t="s">
        <v>43450</v>
      </c>
    </row>
    <row r="20982" spans="1:5">
      <c r="A20982" t="s">
        <v>6</v>
      </c>
      <c r="B20982" t="s">
        <v>20987</v>
      </c>
      <c r="C20982">
        <f>HYPERLINK("C:\Users\franc\OneDrive\Documentos\MALENTIN KARIME\BANCO CREDITO\FER LORCA en ROSITA (Rosita)\MANDATOS\BCO.CHILE\MANUEL ROMAN.- DICIEMBRE.doc", "Abrir Documento")</f>
        <v>0</v>
      </c>
      <c r="D20982" t="s">
        <v>23500</v>
      </c>
      <c r="E20982" t="s">
        <v>43451</v>
      </c>
    </row>
    <row r="20983" spans="1:5">
      <c r="A20983" t="s">
        <v>6</v>
      </c>
      <c r="B20983" t="s">
        <v>20988</v>
      </c>
      <c r="C20983">
        <f>HYPERLINK("C:\Users\franc\OneDrive\Documentos\MALENTIN KARIME\BANCO CREDITO\FER LORCA en ROSITA (Rosita)\MANDATOS\BCO.CHILE\JUAN B. SANTELICES.doc", "Abrir Documento")</f>
        <v>0</v>
      </c>
      <c r="D20983" t="s">
        <v>23500</v>
      </c>
      <c r="E20983" t="s">
        <v>43452</v>
      </c>
    </row>
    <row r="20984" spans="1:5">
      <c r="A20984" t="s">
        <v>6</v>
      </c>
      <c r="B20984" t="s">
        <v>20989</v>
      </c>
      <c r="C20984">
        <f>HYPERLINK("C:\Users\franc\OneDrive\Documentos\MALENTIN KARIME\BANCO CREDITO\FER LORCA en ROSITA (Rosita)\MANDATOS\BCO.CHILE\HILDA ANJEL C. Chq.Panulcillo.doc", "Abrir Documento")</f>
        <v>0</v>
      </c>
      <c r="D20984" t="s">
        <v>23500</v>
      </c>
      <c r="E20984" t="s">
        <v>43453</v>
      </c>
    </row>
    <row r="20985" spans="1:5">
      <c r="A20985" t="s">
        <v>6</v>
      </c>
      <c r="B20985" t="s">
        <v>20990</v>
      </c>
      <c r="C20985">
        <f>HYPERLINK("C:\Users\franc\OneDrive\Documentos\MALENTIN KARIME\BANCO CREDITO\FER LORCA en ROSITA (Rosita)\MANDATOS\BCO.CHILE\GUILLERMO ORMEÑO (B.CHile).doc", "Abrir Documento")</f>
        <v>0</v>
      </c>
      <c r="D20985" t="s">
        <v>23500</v>
      </c>
      <c r="E20985" t="s">
        <v>43454</v>
      </c>
    </row>
    <row r="20986" spans="1:5">
      <c r="A20986" t="s">
        <v>6</v>
      </c>
      <c r="B20986" t="s">
        <v>20991</v>
      </c>
      <c r="C20986">
        <f>HYPERLINK("C:\Users\franc\OneDrive\Documentos\MALENTIN KARIME\BANCO CREDITO\FER LORCA en ROSITA (Rosita)\MANDATOS\BCO.CHILE\GUILLERMO ORMEÑO (B.CHile).- SEPT. 2010.doc", "Abrir Documento")</f>
        <v>0</v>
      </c>
      <c r="D20986" t="s">
        <v>23500</v>
      </c>
      <c r="E20986" t="s">
        <v>43455</v>
      </c>
    </row>
    <row r="20987" spans="1:5">
      <c r="A20987" t="s">
        <v>6</v>
      </c>
      <c r="B20987" t="s">
        <v>20992</v>
      </c>
      <c r="C20987">
        <f>HYPERLINK("C:\Users\franc\OneDrive\Documentos\MALENTIN KARIME\BANCO CREDITO\FER LORCA en ROSITA (Rosita)\MANDATOS\BCO.CHILE\ENRIQUE BERRIOS A JUANA BERRIOS.- ABRIL 2011.doc", "Abrir Documento")</f>
        <v>0</v>
      </c>
      <c r="D20987" t="s">
        <v>23500</v>
      </c>
      <c r="E20987" t="s">
        <v>43456</v>
      </c>
    </row>
    <row r="20988" spans="1:5">
      <c r="A20988" t="s">
        <v>6</v>
      </c>
      <c r="B20988" t="s">
        <v>20993</v>
      </c>
      <c r="C20988">
        <f>HYPERLINK("C:\Users\franc\OneDrive\Documentos\MALENTIN KARIME\BANCO CREDITO\FER LORCA en ROSITA (Rosita)\MANDATOS\BANCARIOS\ZUNILDA MORALES.- ENERO 2011.doc", "Abrir Documento")</f>
        <v>0</v>
      </c>
      <c r="D20988" t="s">
        <v>23500</v>
      </c>
      <c r="E20988" t="s">
        <v>43457</v>
      </c>
    </row>
    <row r="20989" spans="1:5">
      <c r="A20989" t="s">
        <v>6</v>
      </c>
      <c r="B20989" t="s">
        <v>20994</v>
      </c>
      <c r="C20989">
        <f>HYPERLINK("C:\Users\franc\OneDrive\Documentos\MALENTIN KARIME\BANCO CREDITO\FER LORCA en ROSITA (Rosita)\MANDATOS\BANCARIOS\SOC. AGRIC. VALDIVIA A ENRIQUE VALDIVIA.- 2010 ( CTA.CTE).doc", "Abrir Documento")</f>
        <v>0</v>
      </c>
      <c r="D20989" t="s">
        <v>23500</v>
      </c>
      <c r="E20989" t="s">
        <v>43458</v>
      </c>
    </row>
    <row r="20990" spans="1:5">
      <c r="A20990" t="s">
        <v>6</v>
      </c>
      <c r="B20990" t="s">
        <v>20995</v>
      </c>
      <c r="C20990">
        <f>HYPERLINK("C:\Users\franc\OneDrive\Documentos\MALENTIN KARIME\BANCO CREDITO\FER LORCA en ROSITA (Rosita)\MANDATOS\BANCARIOS\OSCAR ROJAS.- AGOSTO 2010.doc", "Abrir Documento")</f>
        <v>0</v>
      </c>
      <c r="D20990" t="s">
        <v>23500</v>
      </c>
      <c r="E20990" t="s">
        <v>43459</v>
      </c>
    </row>
    <row r="20991" spans="1:5">
      <c r="A20991" t="s">
        <v>6</v>
      </c>
      <c r="B20991" t="s">
        <v>20996</v>
      </c>
      <c r="C20991">
        <f>HYPERLINK("C:\Users\franc\OneDrive\Documentos\MALENTIN KARIME\BANCO CREDITO\FER LORCA en ROSITA (Rosita)\MANDATOS\BANCARIOS\OMAR RODRIGUEZ.- SEPT. 2010Ç.doc", "Abrir Documento")</f>
        <v>0</v>
      </c>
      <c r="D20991" t="s">
        <v>23500</v>
      </c>
      <c r="E20991" t="s">
        <v>43460</v>
      </c>
    </row>
    <row r="20992" spans="1:5">
      <c r="A20992" t="s">
        <v>6</v>
      </c>
      <c r="B20992" t="s">
        <v>20997</v>
      </c>
      <c r="C20992">
        <f>HYPERLINK("C:\Users\franc\OneDrive\Documentos\MALENTIN KARIME\BANCO CREDITO\FER LORCA en ROSITA (Rosita)\MANDATOS\BANCARIOS\MAGALY RODRIGUEZ.- MARZO 2011.doc", "Abrir Documento")</f>
        <v>0</v>
      </c>
      <c r="D20992" t="s">
        <v>23500</v>
      </c>
      <c r="E20992" t="s">
        <v>43461</v>
      </c>
    </row>
    <row r="20993" spans="1:5">
      <c r="A20993" t="s">
        <v>6</v>
      </c>
      <c r="B20993" t="s">
        <v>20998</v>
      </c>
      <c r="C20993">
        <f>HYPERLINK("C:\Users\franc\OneDrive\Documentos\MALENTIN KARIME\BANCO CREDITO\FER LORCA en ROSITA (Rosita)\MANDATOS\BANCARIOS\LUIS CORTES C. Bco.Desarr.CAPEL.- 2010.doc", "Abrir Documento")</f>
        <v>0</v>
      </c>
      <c r="D20993" t="s">
        <v>23500</v>
      </c>
      <c r="E20993" t="s">
        <v>43462</v>
      </c>
    </row>
    <row r="20994" spans="1:5">
      <c r="A20994" t="s">
        <v>6</v>
      </c>
      <c r="B20994" t="s">
        <v>20999</v>
      </c>
      <c r="C20994">
        <f>HYPERLINK("C:\Users\franc\OneDrive\Documentos\MALENTIN KARIME\BANCO CREDITO\FER LORCA en ROSITA (Rosita)\MANDATOS\BANCARIOS\ENRIQUE VALDIVIA A ALEX VALDIVIA.- 2010 ( CTA.CTE).doc", "Abrir Documento")</f>
        <v>0</v>
      </c>
      <c r="D20994" t="s">
        <v>23500</v>
      </c>
      <c r="E20994" t="s">
        <v>43463</v>
      </c>
    </row>
    <row r="20995" spans="1:5">
      <c r="A20995" t="s">
        <v>6</v>
      </c>
      <c r="B20995" t="s">
        <v>21000</v>
      </c>
      <c r="C20995">
        <f>HYPERLINK("C:\Users\franc\OneDrive\Documentos\MALENTIN KARIME\BANCO CREDITO\FER LORCA en ROSITA (Rosita)\MANDATOS\SUC. GUERRA A ELBA VELIS.doc", "Abrir Documento")</f>
        <v>0</v>
      </c>
      <c r="D20995" t="s">
        <v>23500</v>
      </c>
      <c r="E20995" t="s">
        <v>43464</v>
      </c>
    </row>
    <row r="20996" spans="1:5">
      <c r="A20996" t="s">
        <v>6</v>
      </c>
      <c r="B20996" t="s">
        <v>21001</v>
      </c>
      <c r="C20996">
        <f>HYPERLINK("C:\Users\franc\OneDrive\Documentos\MALENTIN KARIME\BANCO CREDITO\FER LORCA en ROSITA (Rosita)\MANDATOS\ROLANDO CONCHA A MARIA MALDONADO.- ABRIL 2010 (VENTA CONYUGE).doc", "Abrir Documento")</f>
        <v>0</v>
      </c>
      <c r="D20996" t="s">
        <v>23500</v>
      </c>
      <c r="E20996" t="s">
        <v>43465</v>
      </c>
    </row>
    <row r="20997" spans="1:5">
      <c r="A20997" t="s">
        <v>6</v>
      </c>
      <c r="B20997" t="s">
        <v>21002</v>
      </c>
      <c r="C20997">
        <f>HYPERLINK("C:\Users\franc\OneDrive\Documentos\MALENTIN KARIME\BANCO CREDITO\FER LORCA en ROSITA (Rosita)\MANDATOS\OSCAR TOLEDO A NURY MARDONES (VENTA CONYUGE).doc", "Abrir Documento")</f>
        <v>0</v>
      </c>
      <c r="D20997" t="s">
        <v>23500</v>
      </c>
      <c r="E20997" t="s">
        <v>43466</v>
      </c>
    </row>
    <row r="20998" spans="1:5">
      <c r="A20998" t="s">
        <v>6</v>
      </c>
      <c r="B20998" t="s">
        <v>21003</v>
      </c>
      <c r="C20998">
        <f>HYPERLINK("C:\Users\franc\OneDrive\Documentos\MALENTIN KARIME\BANCO CREDITO\FER LORCA en ROSITA (Rosita)\MANDATOS\MANDATO PATRICIO ARAYA CASTILLO.doc", "Abrir Documento")</f>
        <v>0</v>
      </c>
      <c r="D20998" t="s">
        <v>23500</v>
      </c>
      <c r="E20998" t="s">
        <v>43467</v>
      </c>
    </row>
    <row r="20999" spans="1:5">
      <c r="A20999" t="s">
        <v>6</v>
      </c>
      <c r="B20999" t="s">
        <v>21004</v>
      </c>
      <c r="C20999">
        <f>HYPERLINK("C:\Users\franc\OneDrive\Documentos\MALENTIN KARIME\BANCO CREDITO\FER LORCA en ROSITA (Rosita)\MANDATOS\MANDATO JUDICIAL.- JOSE LUIS MARTINEZ.doc", "Abrir Documento")</f>
        <v>0</v>
      </c>
      <c r="D20999" t="s">
        <v>23500</v>
      </c>
      <c r="E20999" t="s">
        <v>43468</v>
      </c>
    </row>
    <row r="21000" spans="1:5">
      <c r="A21000" t="s">
        <v>6</v>
      </c>
      <c r="B21000" t="s">
        <v>21005</v>
      </c>
      <c r="C21000">
        <f>HYPERLINK("C:\Users\franc\OneDrive\Documentos\MALENTIN KARIME\BANCO CREDITO\FER LORCA en ROSITA (Rosita)\MANDATOS\JOSE LUIS SERIN VALLEJOS.doc", "Abrir Documento")</f>
        <v>0</v>
      </c>
      <c r="D21000" t="s">
        <v>23500</v>
      </c>
      <c r="E21000" t="s">
        <v>43469</v>
      </c>
    </row>
    <row r="21001" spans="1:5">
      <c r="A21001" t="s">
        <v>6</v>
      </c>
      <c r="B21001" t="s">
        <v>21006</v>
      </c>
      <c r="C21001">
        <f>HYPERLINK("C:\Users\franc\OneDrive\Documentos\MALENTIN KARIME\BANCO CREDITO\FER LORCA en ROSITA (Rosita)\MANDATOS\EDUARDO RETAMAL NARANJO.doc", "Abrir Documento")</f>
        <v>0</v>
      </c>
      <c r="D21001" t="s">
        <v>23500</v>
      </c>
      <c r="E21001" t="s">
        <v>43470</v>
      </c>
    </row>
    <row r="21002" spans="1:5">
      <c r="A21002" t="s">
        <v>6</v>
      </c>
      <c r="B21002" t="s">
        <v>21007</v>
      </c>
      <c r="C21002">
        <f>HYPERLINK("C:\Users\franc\OneDrive\Documentos\MALENTIN KARIME\BANCO CREDITO\FER LORCA en ROSITA (Rosita)\MANDATOS\CARLOS MUÑOZ BARRAZA.doc", "Abrir Documento")</f>
        <v>0</v>
      </c>
      <c r="D21002" t="s">
        <v>23500</v>
      </c>
      <c r="E21002" t="s">
        <v>43471</v>
      </c>
    </row>
    <row r="21003" spans="1:5">
      <c r="A21003" t="s">
        <v>6</v>
      </c>
      <c r="B21003" t="s">
        <v>21008</v>
      </c>
      <c r="C21003">
        <f>HYPERLINK("C:\Users\franc\OneDrive\Documentos\MALENTIN KARIME\BANCO CREDITO\FER LORCA en ROSITA (Rosita)\MANDATOS\AGRICOLA JULIO PORRAS.doc", "Abrir Documento")</f>
        <v>0</v>
      </c>
      <c r="D21003" t="s">
        <v>23500</v>
      </c>
      <c r="E21003" t="s">
        <v>43472</v>
      </c>
    </row>
    <row r="21004" spans="1:5">
      <c r="A21004" t="s">
        <v>6</v>
      </c>
      <c r="B21004" t="s">
        <v>21009</v>
      </c>
      <c r="C21004">
        <f>HYPERLINK("C:\Users\franc\OneDrive\Documentos\MALENTIN KARIME\BANCO CREDITO\FER LORCA en ROSITA (Rosita)\LUIS AREYUNA CORTES\ESCRITURA DE SANEAMIENTO[1]NUEVA.doc", "Abrir Documento")</f>
        <v>0</v>
      </c>
      <c r="D21004" t="s">
        <v>23500</v>
      </c>
      <c r="E21004" t="s">
        <v>43473</v>
      </c>
    </row>
    <row r="21005" spans="1:5">
      <c r="A21005" t="s">
        <v>6</v>
      </c>
      <c r="B21005" t="s">
        <v>21010</v>
      </c>
      <c r="C21005">
        <f>HYPERLINK("C:\Users\franc\OneDrive\Documentos\MALENTIN KARIME\BANCO CREDITO\FER LORCA en ROSITA (Rosita)\LUIS AREYUNA CORTES\ESCRITURA DE SANEAMIENTO.- CON EXTARCTO INCLUIDO.doc", "Abrir Documento")</f>
        <v>0</v>
      </c>
      <c r="D21005" t="s">
        <v>23500</v>
      </c>
      <c r="E21005" t="s">
        <v>43474</v>
      </c>
    </row>
    <row r="21006" spans="1:5">
      <c r="A21006" t="s">
        <v>6</v>
      </c>
      <c r="B21006" t="s">
        <v>21011</v>
      </c>
      <c r="C21006">
        <f>HYPERLINK("C:\Users\franc\OneDrive\Documentos\MALENTIN KARIME\BANCO CREDITO\FER LORCA en ROSITA (Rosita)\LUIS AREYUNA CORTES\ESCRITURA DE SANEAMIENTO .- EIRL.-.doc", "Abrir Documento")</f>
        <v>0</v>
      </c>
      <c r="D21006" t="s">
        <v>23500</v>
      </c>
      <c r="E21006" t="s">
        <v>43475</v>
      </c>
    </row>
    <row r="21007" spans="1:5">
      <c r="A21007" t="s">
        <v>6</v>
      </c>
      <c r="B21007" t="s">
        <v>21012</v>
      </c>
      <c r="C21007">
        <f>HYPERLINK("C:\Users\franc\OneDrive\Documentos\MALENTIN KARIME\BANCO CREDITO\FER LORCA en ROSITA (Rosita)\LOGROS\NOVIEMBRE\VICTOR HERRERA.doc", "Abrir Documento")</f>
        <v>0</v>
      </c>
      <c r="D21007" t="s">
        <v>23500</v>
      </c>
      <c r="E21007" t="s">
        <v>43476</v>
      </c>
    </row>
    <row r="21008" spans="1:5">
      <c r="A21008" t="s">
        <v>6</v>
      </c>
      <c r="B21008" t="s">
        <v>21013</v>
      </c>
      <c r="C21008">
        <f>HYPERLINK("C:\Users\franc\OneDrive\Documentos\MALENTIN KARIME\BANCO CREDITO\FER LORCA en ROSITA (Rosita)\LOGROS\AGOSTO 2010.-\OSCAR CORTES.doc", "Abrir Documento")</f>
        <v>0</v>
      </c>
      <c r="D21008" t="s">
        <v>23500</v>
      </c>
      <c r="E21008" t="s">
        <v>43477</v>
      </c>
    </row>
    <row r="21009" spans="1:5">
      <c r="A21009" t="s">
        <v>6</v>
      </c>
      <c r="B21009" t="s">
        <v>21014</v>
      </c>
      <c r="C21009">
        <f>HYPERLINK("C:\Users\franc\OneDrive\Documentos\MALENTIN KARIME\BANCO CREDITO\FER LORCA en ROSITA (Rosita)\LIQUIDACION SOC. CONYUGAL\MODELO.doc", "Abrir Documento")</f>
        <v>0</v>
      </c>
      <c r="D21009" t="s">
        <v>23500</v>
      </c>
      <c r="E21009" t="s">
        <v>43478</v>
      </c>
    </row>
    <row r="21010" spans="1:5">
      <c r="A21010" t="s">
        <v>6</v>
      </c>
      <c r="B21010" t="s">
        <v>21015</v>
      </c>
      <c r="C21010">
        <f>HYPERLINK("C:\Users\franc\OneDrive\Documentos\MALENTIN KARIME\BANCO CREDITO\FER LORCA en ROSITA (Rosita)\LIQUIDACION SOC. CONYUGAL\MODELO ARREGLADO.-1.doc", "Abrir Documento")</f>
        <v>0</v>
      </c>
      <c r="D21010" t="s">
        <v>23500</v>
      </c>
      <c r="E21010" t="s">
        <v>43479</v>
      </c>
    </row>
    <row r="21011" spans="1:5">
      <c r="A21011" t="s">
        <v>6</v>
      </c>
      <c r="B21011" t="s">
        <v>21016</v>
      </c>
      <c r="C21011">
        <f>HYPERLINK("C:\Users\franc\OneDrive\Documentos\MALENTIN KARIME\BANCO CREDITO\FER LORCA en ROSITA (Rosita)\LIQUIDACION SOC. CONYUGAL\MODELO ARREGLADO.-.doc", "Abrir Documento")</f>
        <v>0</v>
      </c>
      <c r="D21011" t="s">
        <v>23500</v>
      </c>
      <c r="E21011" t="s">
        <v>43480</v>
      </c>
    </row>
    <row r="21012" spans="1:5">
      <c r="A21012" t="s">
        <v>6</v>
      </c>
      <c r="B21012" t="s">
        <v>21017</v>
      </c>
      <c r="C21012">
        <f>HYPERLINK("C:\Users\franc\OneDrive\Documentos\MALENTIN KARIME\BANCO CREDITO\FER LORCA en ROSITA (Rosita)\LIQUIDACION SOC. CONYUGAL\HECTOR ARACENA.doc", "Abrir Documento")</f>
        <v>0</v>
      </c>
      <c r="D21012" t="s">
        <v>23500</v>
      </c>
      <c r="E21012" t="s">
        <v>43481</v>
      </c>
    </row>
    <row r="21013" spans="1:5">
      <c r="A21013" t="s">
        <v>6</v>
      </c>
      <c r="B21013" t="s">
        <v>21018</v>
      </c>
      <c r="C21013">
        <f>HYPERLINK("C:\Users\franc\OneDrive\Documentos\MALENTIN KARIME\BANCO CREDITO\FER LORCA en ROSITA (Rosita)\JORGE ARANCIBIA\SOCIEDAD.doc", "Abrir Documento")</f>
        <v>0</v>
      </c>
      <c r="D21013" t="s">
        <v>23500</v>
      </c>
      <c r="E21013" t="s">
        <v>43482</v>
      </c>
    </row>
    <row r="21014" spans="1:5">
      <c r="A21014" t="s">
        <v>6</v>
      </c>
      <c r="B21014" t="s">
        <v>21019</v>
      </c>
      <c r="C21014">
        <f>HYPERLINK("C:\Users\franc\OneDrive\Documentos\MALENTIN KARIME\BANCO CREDITO\FER LORCA en ROSITA (Rosita)\JORGE ARANCIBIA\SOCIEDAD MINUTA.doc", "Abrir Documento")</f>
        <v>0</v>
      </c>
      <c r="D21014" t="s">
        <v>23500</v>
      </c>
      <c r="E21014" t="s">
        <v>43483</v>
      </c>
    </row>
    <row r="21015" spans="1:5">
      <c r="A21015" t="s">
        <v>6</v>
      </c>
      <c r="B21015" t="s">
        <v>21020</v>
      </c>
      <c r="C21015">
        <f>HYPERLINK("C:\Users\franc\OneDrive\Documentos\MALENTIN KARIME\BANCO CREDITO\FER LORCA en ROSITA (Rosita)\JORGE ARANCIBIA\EXTRACTO JORGE.doc", "Abrir Documento")</f>
        <v>0</v>
      </c>
      <c r="D21015" t="s">
        <v>23500</v>
      </c>
      <c r="E21015" t="s">
        <v>43484</v>
      </c>
    </row>
    <row r="21016" spans="1:5">
      <c r="A21016" t="s">
        <v>6</v>
      </c>
      <c r="B21016" t="s">
        <v>21021</v>
      </c>
      <c r="C21016">
        <f>HYPERLINK("C:\Users\franc\OneDrive\Documentos\MALENTIN KARIME\BANCO CREDITO\FER LORCA en ROSITA (Rosita)\JORGE ARANCIBIA\EXTRACTO JORGE.- NOVIEMBRE.doc", "Abrir Documento")</f>
        <v>0</v>
      </c>
      <c r="D21016" t="s">
        <v>23500</v>
      </c>
      <c r="E21016" t="s">
        <v>43485</v>
      </c>
    </row>
    <row r="21017" spans="1:5">
      <c r="A21017" t="s">
        <v>6</v>
      </c>
      <c r="B21017" t="s">
        <v>21022</v>
      </c>
      <c r="C21017">
        <f>HYPERLINK("C:\Users\franc\OneDrive\Documentos\MALENTIN KARIME\BANCO CREDITO\FER LORCA en ROSITA (Rosita)\JORGE ARANCIBIA\CONSTITUCION DE EMPRESA INDIVIDUAL DE RESPONSABILIDAD LIMITADA.- NOVIEMBRE.-.doc", "Abrir Documento")</f>
        <v>0</v>
      </c>
      <c r="D21017" t="s">
        <v>23500</v>
      </c>
      <c r="E21017" t="s">
        <v>43486</v>
      </c>
    </row>
    <row r="21018" spans="1:5">
      <c r="A21018" t="s">
        <v>6</v>
      </c>
      <c r="B21018" t="s">
        <v>21023</v>
      </c>
      <c r="C21018">
        <f>HYPERLINK("C:\Users\franc\OneDrive\Documentos\MALENTIN KARIME\BANCO CREDITO\FER LORCA en ROSITA (Rosita)\INDAP\ROMAN TORRES ALVAREZ.- ENERO 2011.doc", "Abrir Documento")</f>
        <v>0</v>
      </c>
      <c r="D21018" t="s">
        <v>23500</v>
      </c>
      <c r="E21018" t="s">
        <v>43487</v>
      </c>
    </row>
    <row r="21019" spans="1:5">
      <c r="A21019" t="s">
        <v>6</v>
      </c>
      <c r="B21019" t="s">
        <v>21024</v>
      </c>
      <c r="C21019">
        <f>HYPERLINK("C:\Users\franc\OneDrive\Documentos\MALENTIN KARIME\BANCO CREDITO\FER LORCA en ROSITA (Rosita)\INDAP\FIRMAS.doc", "Abrir Documento")</f>
        <v>0</v>
      </c>
      <c r="D21019" t="s">
        <v>23500</v>
      </c>
      <c r="E21019" t="s">
        <v>43488</v>
      </c>
    </row>
    <row r="21020" spans="1:5">
      <c r="A21020" t="s">
        <v>6</v>
      </c>
      <c r="B21020" t="s">
        <v>21025</v>
      </c>
      <c r="C21020">
        <f>HYPERLINK("C:\Users\franc\OneDrive\Documentos\MALENTIN KARIME\BANCO CREDITO\FER LORCA en ROSITA (Rosita)\FUSION\FUSION_LOTES_ARTIGUES[1].doc", "Abrir Documento")</f>
        <v>0</v>
      </c>
      <c r="D21020" t="s">
        <v>23500</v>
      </c>
      <c r="E21020" t="s">
        <v>43489</v>
      </c>
    </row>
    <row r="21021" spans="1:5">
      <c r="A21021" t="s">
        <v>6</v>
      </c>
      <c r="B21021" t="s">
        <v>21026</v>
      </c>
      <c r="C21021">
        <f>HYPERLINK("C:\Users\franc\OneDrive\Documentos\MALENTIN KARIME\BANCO CREDITO\FER LORCA en ROSITA (Rosita)\FERRR\PUNITAQUI\MTO. PUNIT. CONTRATISTA. FERNANDO.doc", "Abrir Documento")</f>
        <v>0</v>
      </c>
      <c r="D21021" t="s">
        <v>23500</v>
      </c>
      <c r="E21021" t="s">
        <v>43490</v>
      </c>
    </row>
    <row r="21022" spans="1:5">
      <c r="A21022" t="s">
        <v>6</v>
      </c>
      <c r="B21022" t="s">
        <v>21027</v>
      </c>
      <c r="C21022">
        <f>HYPERLINK("C:\Users\franc\OneDrive\Documentos\MALENTIN KARIME\BANCO CREDITO\FER LORCA en ROSITA (Rosita)\FERRR\PUNITAQUI\MANDATO PUNITAQUI Nº  11.doc", "Abrir Documento")</f>
        <v>0</v>
      </c>
      <c r="D21022" t="s">
        <v>23500</v>
      </c>
      <c r="E21022" t="s">
        <v>43491</v>
      </c>
    </row>
    <row r="21023" spans="1:5">
      <c r="A21023" t="s">
        <v>6</v>
      </c>
      <c r="B21023" t="s">
        <v>21028</v>
      </c>
      <c r="C21023">
        <f>HYPERLINK("C:\Users\franc\OneDrive\Documentos\MALENTIN KARIME\BANCO CREDITO\FER LORCA en ROSITA (Rosita)\FERRR\PUNITAQUI\MANDATO PUNITAQUI Nº  10.doc", "Abrir Documento")</f>
        <v>0</v>
      </c>
      <c r="D21023" t="s">
        <v>23500</v>
      </c>
      <c r="E21023" t="s">
        <v>43492</v>
      </c>
    </row>
    <row r="21024" spans="1:5">
      <c r="A21024" t="s">
        <v>6</v>
      </c>
      <c r="B21024" t="s">
        <v>21029</v>
      </c>
      <c r="C21024">
        <f>HYPERLINK("C:\Users\franc\OneDrive\Documentos\MALENTIN KARIME\BANCO CREDITO\FER LORCA en ROSITA (Rosita)\FERRR\PROMESA CVTA\GADY LEVIN.doc", "Abrir Documento")</f>
        <v>0</v>
      </c>
      <c r="D21024" t="s">
        <v>23500</v>
      </c>
      <c r="E21024" t="s">
        <v>43493</v>
      </c>
    </row>
    <row r="21025" spans="1:5">
      <c r="A21025" t="s">
        <v>6</v>
      </c>
      <c r="B21025" t="s">
        <v>21030</v>
      </c>
      <c r="C21025">
        <f>HYPERLINK("C:\Users\franc\OneDrive\Documentos\MALENTIN KARIME\BANCO CREDITO\FER LORCA en ROSITA (Rosita)\FERRR\PLANILLAS AGUAS FEBRERO\PLANILLA FEBRERO.doc", "Abrir Documento")</f>
        <v>0</v>
      </c>
      <c r="D21025" t="s">
        <v>23500</v>
      </c>
      <c r="E21025" t="s">
        <v>43494</v>
      </c>
    </row>
    <row r="21026" spans="1:5">
      <c r="A21026" t="s">
        <v>6</v>
      </c>
      <c r="B21026" t="s">
        <v>21031</v>
      </c>
      <c r="C21026">
        <f>HYPERLINK("C:\Users\franc\OneDrive\Documentos\MALENTIN KARIME\BANCO CREDITO\FER LORCA en ROSITA (Rosita)\FERRR\PLANILLAS AGUAS FEBRERO\OFICIO FEBRERO.doc", "Abrir Documento")</f>
        <v>0</v>
      </c>
      <c r="D21026" t="s">
        <v>23500</v>
      </c>
      <c r="E21026" t="s">
        <v>43495</v>
      </c>
    </row>
    <row r="21027" spans="1:5">
      <c r="A21027" t="s">
        <v>6</v>
      </c>
      <c r="B21027" t="s">
        <v>21032</v>
      </c>
      <c r="C21027">
        <f>HYPERLINK("C:\Users\franc\OneDrive\Documentos\MALENTIN KARIME\BANCO CREDITO\FER LORCA en ROSITA (Rosita)\FERRR\PET\CERTIF. CAROL MARTIN PINTO.doc", "Abrir Documento")</f>
        <v>0</v>
      </c>
      <c r="D21027" t="s">
        <v>23500</v>
      </c>
      <c r="E21027" t="s">
        <v>43496</v>
      </c>
    </row>
    <row r="21028" spans="1:5">
      <c r="A21028" t="s">
        <v>6</v>
      </c>
      <c r="B21028" t="s">
        <v>21033</v>
      </c>
      <c r="C21028">
        <f>HYPERLINK("C:\Users\franc\OneDrive\Documentos\MALENTIN KARIME\BANCO CREDITO\FER LORCA en ROSITA (Rosita)\FERRR\MTO. JUDICIAL\VERONICA HERNANDEZ- A - CLAUDIO ARAYA CASTILLO.doc", "Abrir Documento")</f>
        <v>0</v>
      </c>
      <c r="D21028" t="s">
        <v>23500</v>
      </c>
      <c r="E21028" t="s">
        <v>43497</v>
      </c>
    </row>
    <row r="21029" spans="1:5">
      <c r="A21029" t="s">
        <v>6</v>
      </c>
      <c r="B21029" t="s">
        <v>21034</v>
      </c>
      <c r="C21029">
        <f>HYPERLINK("C:\Users\franc\OneDrive\Documentos\MALENTIN KARIME\BANCO CREDITO\FER LORCA en ROSITA (Rosita)\FERRR\JULIO MONTERO\MUTUO JULIO MONTERO.doc", "Abrir Documento")</f>
        <v>0</v>
      </c>
      <c r="D21029" t="s">
        <v>23500</v>
      </c>
      <c r="E21029" t="s">
        <v>43498</v>
      </c>
    </row>
    <row r="21030" spans="1:5">
      <c r="A21030" t="s">
        <v>6</v>
      </c>
      <c r="B21030" t="s">
        <v>21035</v>
      </c>
      <c r="C21030">
        <f>HYPERLINK("C:\Users\franc\OneDrive\Documentos\MALENTIN KARIME\BANCO CREDITO\FER LORCA en ROSITA (Rosita)\FERRR\FACTORONE\VICTOR ROJAS.doc", "Abrir Documento")</f>
        <v>0</v>
      </c>
      <c r="D21030" t="s">
        <v>23500</v>
      </c>
      <c r="E21030" t="s">
        <v>43499</v>
      </c>
    </row>
    <row r="21031" spans="1:5">
      <c r="A21031" t="s">
        <v>6</v>
      </c>
      <c r="B21031" t="s">
        <v>21036</v>
      </c>
      <c r="C21031">
        <f>HYPERLINK("C:\Users\franc\OneDrive\Documentos\MALENTIN KARIME\BANCO CREDITO\FER LORCA en ROSITA (Rosita)\FERRR\FACTORONE\ctt.rojas_y_ortega_ltda.[1].doc", "Abrir Documento")</f>
        <v>0</v>
      </c>
      <c r="D21031" t="s">
        <v>23500</v>
      </c>
      <c r="E21031" t="s">
        <v>43500</v>
      </c>
    </row>
    <row r="21032" spans="1:5">
      <c r="A21032" t="s">
        <v>6</v>
      </c>
      <c r="B21032" t="s">
        <v>21037</v>
      </c>
      <c r="C21032">
        <f>HYPERLINK("C:\Users\franc\OneDrive\Documentos\MALENTIN KARIME\BANCO CREDITO\FER LORCA en ROSITA (Rosita)\FERRR\COMPRAVENTA\ULISES HERRERA PIZARRO- RECTIF.-.doc", "Abrir Documento")</f>
        <v>0</v>
      </c>
      <c r="D21032" t="s">
        <v>23500</v>
      </c>
      <c r="E21032" t="s">
        <v>43501</v>
      </c>
    </row>
    <row r="21033" spans="1:5">
      <c r="A21033" t="s">
        <v>6</v>
      </c>
      <c r="B21033" t="s">
        <v>21038</v>
      </c>
      <c r="C21033">
        <f>HYPERLINK("C:\Users\franc\OneDrive\Documentos\MALENTIN KARIME\BANCO CREDITO\FER LORCA en ROSITA (Rosita)\FERRR\COMPRAVENTA\ULISES HERRERA PIZARRO- RECTIF.- modelo.doc", "Abrir Documento")</f>
        <v>0</v>
      </c>
      <c r="D21033" t="s">
        <v>23500</v>
      </c>
      <c r="E21033" t="s">
        <v>43502</v>
      </c>
    </row>
    <row r="21034" spans="1:5">
      <c r="A21034" t="s">
        <v>6</v>
      </c>
      <c r="B21034" t="s">
        <v>21039</v>
      </c>
      <c r="C21034">
        <f>HYPERLINK("C:\Users\franc\OneDrive\Documentos\MALENTIN KARIME\BANCO CREDITO\FER LORCA en ROSITA (Rosita)\FERRR\CIBERGESTION\FANNY CORTES LAZO.doc", "Abrir Documento")</f>
        <v>0</v>
      </c>
      <c r="D21034" t="s">
        <v>23500</v>
      </c>
      <c r="E21034" t="s">
        <v>43503</v>
      </c>
    </row>
    <row r="21035" spans="1:5">
      <c r="A21035" t="s">
        <v>6</v>
      </c>
      <c r="B21035" t="s">
        <v>21040</v>
      </c>
      <c r="C21035">
        <f>HYPERLINK("C:\Users\franc\OneDrive\Documentos\MALENTIN KARIME\BANCO CREDITO\FER LORCA en ROSITA (Rosita)\FERRR\CESION DERECHOS HERD\VARGAS ANITA A CARLOS MALDONADO.doc", "Abrir Documento")</f>
        <v>0</v>
      </c>
      <c r="D21035" t="s">
        <v>23500</v>
      </c>
      <c r="E21035" t="s">
        <v>43504</v>
      </c>
    </row>
    <row r="21036" spans="1:5">
      <c r="A21036" t="s">
        <v>6</v>
      </c>
      <c r="B21036" t="s">
        <v>21041</v>
      </c>
      <c r="C21036">
        <f>HYPERLINK("C:\Users\franc\OneDrive\Documentos\MALENTIN KARIME\BANCO CREDITO\FER LORCA en ROSITA (Rosita)\FERRR\CARLOS BUGUEÑO\CRUZ PALTA.doc", "Abrir Documento")</f>
        <v>0</v>
      </c>
      <c r="D21036" t="s">
        <v>23500</v>
      </c>
      <c r="E21036" t="s">
        <v>43505</v>
      </c>
    </row>
    <row r="21037" spans="1:5">
      <c r="A21037" t="s">
        <v>6</v>
      </c>
      <c r="B21037" t="s">
        <v>21042</v>
      </c>
      <c r="C21037">
        <f>HYPERLINK("C:\Users\franc\OneDrive\Documentos\MALENTIN KARIME\BANCO CREDITO\FER LORCA en ROSITA (Rosita)\FERRR\CARLOS BUGUEÑO\carta_instrucc_cruz_palta_salfate_26-02-09.doc", "Abrir Documento")</f>
        <v>0</v>
      </c>
      <c r="D21037" t="s">
        <v>23500</v>
      </c>
      <c r="E21037" t="s">
        <v>43506</v>
      </c>
    </row>
    <row r="21038" spans="1:5">
      <c r="A21038" t="s">
        <v>6</v>
      </c>
      <c r="B21038" t="s">
        <v>21043</v>
      </c>
      <c r="C21038">
        <f>HYPERLINK("C:\Users\franc\OneDrive\Documentos\MALENTIN KARIME\BANCO CREDITO\FER LORCA en ROSITA (Rosita)\FERRR\CARLOS BUGUEÑO\carta_instrucc_cruz_palta_salfate 27-02-2009.doc", "Abrir Documento")</f>
        <v>0</v>
      </c>
      <c r="D21038" t="s">
        <v>23500</v>
      </c>
      <c r="E21038" t="s">
        <v>43507</v>
      </c>
    </row>
    <row r="21039" spans="1:5">
      <c r="A21039" t="s">
        <v>6</v>
      </c>
      <c r="B21039" t="s">
        <v>21044</v>
      </c>
      <c r="C21039">
        <f>HYPERLINK("C:\Users\franc\OneDrive\Documentos\MALENTIN KARIME\BANCO CREDITO\FER LORCA en ROSITA (Rosita)\FERRR\ALZ.BCO. ESTADO\YOLANDA ALFARO ORTIZ.doc", "Abrir Documento")</f>
        <v>0</v>
      </c>
      <c r="D21039" t="s">
        <v>23500</v>
      </c>
      <c r="E21039" t="s">
        <v>43508</v>
      </c>
    </row>
    <row r="21040" spans="1:5">
      <c r="A21040" t="s">
        <v>6</v>
      </c>
      <c r="B21040" t="s">
        <v>21045</v>
      </c>
      <c r="C21040">
        <f>HYPERLINK("C:\Users\franc\OneDrive\Documentos\MALENTIN KARIME\BANCO CREDITO\FER LORCA en ROSITA (Rosita)\FERRR\ALZ.BCO. ESTADO\RAQUEL DE LAS MERCEDES ARAYA VERGARA.doc", "Abrir Documento")</f>
        <v>0</v>
      </c>
      <c r="D21040" t="s">
        <v>23500</v>
      </c>
      <c r="E21040" t="s">
        <v>43509</v>
      </c>
    </row>
    <row r="21041" spans="1:5">
      <c r="A21041" t="s">
        <v>6</v>
      </c>
      <c r="B21041" t="s">
        <v>21046</v>
      </c>
      <c r="C21041">
        <f>HYPERLINK("C:\Users\franc\OneDrive\Documentos\MALENTIN KARIME\BANCO CREDITO\FER LORCA en ROSITA (Rosita)\FERRR\ALZ.BCO. ESTADO\NESTINA TAPIA TAPIA.doc", "Abrir Documento")</f>
        <v>0</v>
      </c>
      <c r="D21041" t="s">
        <v>23500</v>
      </c>
      <c r="E21041" t="s">
        <v>43510</v>
      </c>
    </row>
    <row r="21042" spans="1:5">
      <c r="A21042" t="s">
        <v>6</v>
      </c>
      <c r="B21042" t="s">
        <v>21047</v>
      </c>
      <c r="C21042">
        <f>HYPERLINK("C:\Users\franc\OneDrive\Documentos\MALENTIN KARIME\BANCO CREDITO\FER LORCA en ROSITA (Rosita)\FERRR\ALZ.BCO. ESTADO\NANCY VEGA ADONES.doc", "Abrir Documento")</f>
        <v>0</v>
      </c>
      <c r="D21042" t="s">
        <v>23500</v>
      </c>
      <c r="E21042" t="s">
        <v>43511</v>
      </c>
    </row>
    <row r="21043" spans="1:5">
      <c r="A21043" t="s">
        <v>6</v>
      </c>
      <c r="B21043" t="s">
        <v>21048</v>
      </c>
      <c r="C21043">
        <f>HYPERLINK("C:\Users\franc\OneDrive\Documentos\MALENTIN KARIME\BANCO CREDITO\FER LORCA en ROSITA (Rosita)\FERRR\ALZ.BCO. ESTADO\LUIS RIVAS TAPIA.doc", "Abrir Documento")</f>
        <v>0</v>
      </c>
      <c r="D21043" t="s">
        <v>23500</v>
      </c>
      <c r="E21043" t="s">
        <v>43512</v>
      </c>
    </row>
    <row r="21044" spans="1:5">
      <c r="A21044" t="s">
        <v>6</v>
      </c>
      <c r="B21044" t="s">
        <v>21049</v>
      </c>
      <c r="C21044">
        <f>HYPERLINK("C:\Users\franc\OneDrive\Documentos\MALENTIN KARIME\BANCO CREDITO\FER LORCA en ROSITA (Rosita)\FERRR\ALZ.BCO. ESTADO\LAURA GOMEZ CORTES.doc", "Abrir Documento")</f>
        <v>0</v>
      </c>
      <c r="D21044" t="s">
        <v>23500</v>
      </c>
      <c r="E21044" t="s">
        <v>43513</v>
      </c>
    </row>
    <row r="21045" spans="1:5">
      <c r="A21045" t="s">
        <v>6</v>
      </c>
      <c r="B21045" t="s">
        <v>21050</v>
      </c>
      <c r="C21045">
        <f>HYPERLINK("C:\Users\franc\OneDrive\Documentos\MALENTIN KARIME\BANCO CREDITO\FER LORCA en ROSITA (Rosita)\FERRR\ALZ.BCO. ESTADO\JOSE MANUEL PEREZ CORTES.doc", "Abrir Documento")</f>
        <v>0</v>
      </c>
      <c r="D21045" t="s">
        <v>23500</v>
      </c>
      <c r="E21045" t="s">
        <v>43514</v>
      </c>
    </row>
    <row r="21046" spans="1:5">
      <c r="A21046" t="s">
        <v>6</v>
      </c>
      <c r="B21046" t="s">
        <v>21051</v>
      </c>
      <c r="C21046">
        <f>HYPERLINK("C:\Users\franc\OneDrive\Documentos\MALENTIN KARIME\BANCO CREDITO\FER LORCA en ROSITA (Rosita)\FERRR\ALZ.BCO. ESTADO\HILDA SIERRA FLORES.doc", "Abrir Documento")</f>
        <v>0</v>
      </c>
      <c r="D21046" t="s">
        <v>23500</v>
      </c>
      <c r="E21046" t="s">
        <v>43515</v>
      </c>
    </row>
    <row r="21047" spans="1:5">
      <c r="A21047" t="s">
        <v>6</v>
      </c>
      <c r="B21047" t="s">
        <v>21052</v>
      </c>
      <c r="C21047">
        <f>HYPERLINK("C:\Users\franc\OneDrive\Documentos\MALENTIN KARIME\BANCO CREDITO\FER LORCA en ROSITA (Rosita)\FERRR\ALZ.BCO. ESTADO\GLORIA VEGA ORDENES.doc", "Abrir Documento")</f>
        <v>0</v>
      </c>
      <c r="D21047" t="s">
        <v>23500</v>
      </c>
      <c r="E21047" t="s">
        <v>43516</v>
      </c>
    </row>
    <row r="21048" spans="1:5">
      <c r="A21048" t="s">
        <v>6</v>
      </c>
      <c r="B21048" t="s">
        <v>21053</v>
      </c>
      <c r="C21048">
        <f>HYPERLINK("C:\Users\franc\OneDrive\Documentos\MALENTIN KARIME\BANCO CREDITO\FER LORCA en ROSITA (Rosita)\FERRR\ALZ.BCO. ESTADO\FRANCISCA RAMIREZ PUEBLA.doc", "Abrir Documento")</f>
        <v>0</v>
      </c>
      <c r="D21048" t="s">
        <v>23500</v>
      </c>
      <c r="E21048" t="s">
        <v>43517</v>
      </c>
    </row>
    <row r="21049" spans="1:5">
      <c r="A21049" t="s">
        <v>6</v>
      </c>
      <c r="B21049" t="s">
        <v>21054</v>
      </c>
      <c r="C21049">
        <f>HYPERLINK("C:\Users\franc\OneDrive\Documentos\MALENTIN KARIME\BANCO CREDITO\FER LORCA en ROSITA (Rosita)\FERRR\ALZ.BCO. ESTADO\EDWAR HERMAN CONTRERAS CARVAJAL.doc", "Abrir Documento")</f>
        <v>0</v>
      </c>
      <c r="D21049" t="s">
        <v>23500</v>
      </c>
      <c r="E21049" t="s">
        <v>43518</v>
      </c>
    </row>
    <row r="21050" spans="1:5">
      <c r="A21050" t="s">
        <v>6</v>
      </c>
      <c r="B21050" t="s">
        <v>21055</v>
      </c>
      <c r="C21050">
        <f>HYPERLINK("C:\Users\franc\OneDrive\Documentos\MALENTIN KARIME\BANCO CREDITO\FER LORCA en ROSITA (Rosita)\FERRR\ALZ.BCO. ESTADO\ARTURO OPAZO SALFATE.doc", "Abrir Documento")</f>
        <v>0</v>
      </c>
      <c r="D21050" t="s">
        <v>23500</v>
      </c>
      <c r="E21050" t="s">
        <v>43519</v>
      </c>
    </row>
    <row r="21051" spans="1:5">
      <c r="A21051" t="s">
        <v>6</v>
      </c>
      <c r="B21051" t="s">
        <v>21056</v>
      </c>
      <c r="C21051">
        <f>HYPERLINK("C:\Users\franc\OneDrive\Documentos\MALENTIN KARIME\BANCO CREDITO\FER LORCA en ROSITA (Rosita)\FERRR\ALZ.BCO. ESTADO\ADRIAN CORTES TELLO.doc", "Abrir Documento")</f>
        <v>0</v>
      </c>
      <c r="D21051" t="s">
        <v>23500</v>
      </c>
      <c r="E21051" t="s">
        <v>43520</v>
      </c>
    </row>
    <row r="21052" spans="1:5">
      <c r="A21052" t="s">
        <v>6</v>
      </c>
      <c r="B21052" t="s">
        <v>21057</v>
      </c>
      <c r="C21052">
        <f>HYPERLINK("C:\Users\franc\OneDrive\Documentos\MALENTIN KARIME\BANCO CREDITO\FER LORCA en ROSITA (Rosita)\FERRR\ROLANDO MUÑOZ a EUGENIA PORTILLA (VENTA CONYUGE).doc", "Abrir Documento")</f>
        <v>0</v>
      </c>
      <c r="D21052" t="s">
        <v>23500</v>
      </c>
      <c r="E21052" t="s">
        <v>43521</v>
      </c>
    </row>
    <row r="21053" spans="1:5">
      <c r="A21053" t="s">
        <v>6</v>
      </c>
      <c r="B21053" t="s">
        <v>21058</v>
      </c>
      <c r="C21053">
        <f>HYPERLINK("C:\Users\franc\OneDrive\Documentos\MALENTIN KARIME\BANCO CREDITO\FER LORCA en ROSITA (Rosita)\FERRR\REVOC. MTO. CARMEN DUBO.doc", "Abrir Documento")</f>
        <v>0</v>
      </c>
      <c r="D21053" t="s">
        <v>23500</v>
      </c>
      <c r="E21053" t="s">
        <v>43522</v>
      </c>
    </row>
    <row r="21054" spans="1:5">
      <c r="A21054" t="s">
        <v>6</v>
      </c>
      <c r="B21054" t="s">
        <v>21059</v>
      </c>
      <c r="C21054">
        <f>HYPERLINK("C:\Users\franc\OneDrive\Documentos\MALENTIN KARIME\BANCO CREDITO\FER LORCA en ROSITA (Rosita)\FERRR\Repudiación Katherina Peña- CORP..doc", "Abrir Documento")</f>
        <v>0</v>
      </c>
      <c r="D21054" t="s">
        <v>23500</v>
      </c>
      <c r="E21054" t="s">
        <v>43523</v>
      </c>
    </row>
    <row r="21055" spans="1:5">
      <c r="A21055" t="s">
        <v>6</v>
      </c>
      <c r="B21055" t="s">
        <v>21060</v>
      </c>
      <c r="C21055">
        <f>HYPERLINK("C:\Users\franc\OneDrive\Documentos\MALENTIN KARIME\BANCO CREDITO\FER LORCA en ROSITA (Rosita)\FERRR\RECIBO DE DINERO.doc", "Abrir Documento")</f>
        <v>0</v>
      </c>
      <c r="D21055" t="s">
        <v>23500</v>
      </c>
      <c r="E21055" t="s">
        <v>43524</v>
      </c>
    </row>
    <row r="21056" spans="1:5">
      <c r="A21056" t="s">
        <v>6</v>
      </c>
      <c r="B21056" t="s">
        <v>21061</v>
      </c>
      <c r="C21056">
        <f>HYPERLINK("C:\Users\franc\OneDrive\Documentos\MALENTIN KARIME\BANCO CREDITO\FER LORCA en ROSITA (Rosita)\FERRR\notificacion.doc", "Abrir Documento")</f>
        <v>0</v>
      </c>
      <c r="D21056" t="s">
        <v>23500</v>
      </c>
      <c r="E21056" t="s">
        <v>43525</v>
      </c>
    </row>
    <row r="21057" spans="1:5">
      <c r="A21057" t="s">
        <v>6</v>
      </c>
      <c r="B21057" t="s">
        <v>21062</v>
      </c>
      <c r="C21057">
        <f>HYPERLINK("C:\Users\franc\OneDrive\Documentos\MALENTIN KARIME\BANCO CREDITO\FER LORCA en ROSITA (Rosita)\FERRR\MTO. PIA VAZQUEZ.doc", "Abrir Documento")</f>
        <v>0</v>
      </c>
      <c r="D21057" t="s">
        <v>23500</v>
      </c>
      <c r="E21057" t="s">
        <v>43526</v>
      </c>
    </row>
    <row r="21058" spans="1:5">
      <c r="A21058" t="s">
        <v>6</v>
      </c>
      <c r="B21058" t="s">
        <v>21063</v>
      </c>
      <c r="C21058">
        <f>HYPERLINK("C:\Users\franc\OneDrive\Documentos\MALENTIN KARIME\BANCO CREDITO\FER LORCA en ROSITA (Rosita)\FERRR\MTO. COPR. NOLVIA.doc", "Abrir Documento")</f>
        <v>0</v>
      </c>
      <c r="D21058" t="s">
        <v>23500</v>
      </c>
      <c r="E21058" t="s">
        <v>43527</v>
      </c>
    </row>
    <row r="21059" spans="1:5">
      <c r="A21059" t="s">
        <v>6</v>
      </c>
      <c r="B21059" t="s">
        <v>21064</v>
      </c>
      <c r="C21059">
        <f>HYPERLINK("C:\Users\franc\OneDrive\Documentos\MALENTIN KARIME\BANCO CREDITO\FER LORCA en ROSITA (Rosita)\FERRR\MARTIN_PINTO_CAROL_ANDREA,_corregida[1].doc", "Abrir Documento")</f>
        <v>0</v>
      </c>
      <c r="D21059" t="s">
        <v>23500</v>
      </c>
      <c r="E21059" t="s">
        <v>43528</v>
      </c>
    </row>
    <row r="21060" spans="1:5">
      <c r="A21060" t="s">
        <v>6</v>
      </c>
      <c r="B21060" t="s">
        <v>21065</v>
      </c>
      <c r="C21060">
        <f>HYPERLINK("C:\Users\franc\OneDrive\Documentos\MALENTIN KARIME\BANCO CREDITO\FER LORCA en ROSITA (Rosita)\FERRR\MARIA ALVAREZ.-MTO VENDER. C.A.A.-.doc", "Abrir Documento")</f>
        <v>0</v>
      </c>
      <c r="D21060" t="s">
        <v>23500</v>
      </c>
      <c r="E21060" t="s">
        <v>43529</v>
      </c>
    </row>
    <row r="21061" spans="1:5">
      <c r="A21061" t="s">
        <v>6</v>
      </c>
      <c r="B21061" t="s">
        <v>21066</v>
      </c>
      <c r="C21061">
        <f>HYPERLINK("C:\Users\franc\OneDrive\Documentos\MALENTIN KARIME\BANCO CREDITO\FER LORCA en ROSITA (Rosita)\FERRR\MANLIO METTIFOGO. 27-02-2009.doc", "Abrir Documento")</f>
        <v>0</v>
      </c>
      <c r="D21061" t="s">
        <v>23500</v>
      </c>
      <c r="E21061" t="s">
        <v>43530</v>
      </c>
    </row>
    <row r="21062" spans="1:5">
      <c r="A21062" t="s">
        <v>6</v>
      </c>
      <c r="B21062" t="s">
        <v>21067</v>
      </c>
      <c r="C21062">
        <f>HYPERLINK("C:\Users\franc\OneDrive\Documentos\MALENTIN KARIME\BANCO CREDITO\FER LORCA en ROSITA (Rosita)\FERRR\Mandato Judicial Silvia Cortés CORP..doc", "Abrir Documento")</f>
        <v>0</v>
      </c>
      <c r="D21062" t="s">
        <v>23500</v>
      </c>
      <c r="E21062" t="s">
        <v>43531</v>
      </c>
    </row>
    <row r="21063" spans="1:5">
      <c r="A21063" t="s">
        <v>6</v>
      </c>
      <c r="B21063" t="s">
        <v>21068</v>
      </c>
      <c r="C21063">
        <f>HYPERLINK("C:\Users\franc\OneDrive\Documentos\MALENTIN KARIME\BANCO CREDITO\FER LORCA en ROSITA (Rosita)\FERRR\MANDATO COMPLETO.doc", "Abrir Documento")</f>
        <v>0</v>
      </c>
      <c r="D21063" t="s">
        <v>23500</v>
      </c>
      <c r="E21063" t="s">
        <v>43532</v>
      </c>
    </row>
    <row r="21064" spans="1:5">
      <c r="A21064" t="s">
        <v>6</v>
      </c>
      <c r="B21064" t="s">
        <v>21069</v>
      </c>
      <c r="C21064">
        <f>HYPERLINK("C:\Users\franc\OneDrive\Documentos\MALENTIN KARIME\BANCO CREDITO\FER LORCA en ROSITA (Rosita)\FERRR\LUIS PIZARRO BARRAZA (ARREGLADA).doc", "Abrir Documento")</f>
        <v>0</v>
      </c>
      <c r="D21064" t="s">
        <v>23500</v>
      </c>
      <c r="E21064" t="s">
        <v>43533</v>
      </c>
    </row>
    <row r="21065" spans="1:5">
      <c r="A21065" t="s">
        <v>6</v>
      </c>
      <c r="B21065" t="s">
        <v>21070</v>
      </c>
      <c r="C21065">
        <f>HYPERLINK("C:\Users\franc\OneDrive\Documentos\MALENTIN KARIME\BANCO CREDITO\FER LORCA en ROSITA (Rosita)\FERRR\GUILLERMO VILLALOBOS- PROH- SERVIU.doc", "Abrir Documento")</f>
        <v>0</v>
      </c>
      <c r="D21065" t="s">
        <v>23500</v>
      </c>
      <c r="E21065" t="s">
        <v>43534</v>
      </c>
    </row>
    <row r="21066" spans="1:5">
      <c r="A21066" t="s">
        <v>6</v>
      </c>
      <c r="B21066" t="s">
        <v>21071</v>
      </c>
      <c r="C21066">
        <f>HYPERLINK("C:\Users\franc\OneDrive\Documentos\MALENTIN KARIME\BANCO CREDITO\FER LORCA en ROSITA (Rosita)\FERRR\GRIGOR GRIGORYAN C. para Comprar.doc", "Abrir Documento")</f>
        <v>0</v>
      </c>
      <c r="D21066" t="s">
        <v>23500</v>
      </c>
      <c r="E21066" t="s">
        <v>43535</v>
      </c>
    </row>
    <row r="21067" spans="1:5">
      <c r="A21067" t="s">
        <v>6</v>
      </c>
      <c r="B21067" t="s">
        <v>21072</v>
      </c>
      <c r="C21067">
        <f>HYPERLINK("C:\Users\franc\OneDrive\Documentos\MALENTIN KARIME\BANCO CREDITO\FER LORCA en ROSITA (Rosita)\FERRR\FIRMAS.doc", "Abrir Documento")</f>
        <v>0</v>
      </c>
      <c r="D21067" t="s">
        <v>23500</v>
      </c>
      <c r="E21067" t="s">
        <v>43536</v>
      </c>
    </row>
    <row r="21068" spans="1:5">
      <c r="A21068" t="s">
        <v>6</v>
      </c>
      <c r="B21068" t="s">
        <v>21073</v>
      </c>
      <c r="C21068">
        <f>HYPERLINK("C:\Users\franc\OneDrive\Documentos\MALENTIN KARIME\BANCO CREDITO\FER LORCA en ROSITA (Rosita)\FERRR\ESC. ENERO FIRMADAS.doc", "Abrir Documento")</f>
        <v>0</v>
      </c>
      <c r="D21068" t="s">
        <v>23500</v>
      </c>
      <c r="E21068" t="s">
        <v>43537</v>
      </c>
    </row>
    <row r="21069" spans="1:5">
      <c r="A21069" t="s">
        <v>6</v>
      </c>
      <c r="B21069" t="s">
        <v>21074</v>
      </c>
      <c r="C21069">
        <f>HYPERLINK("C:\Users\franc\OneDrive\Documentos\MALENTIN KARIME\BANCO CREDITO\FER LORCA en ROSITA (Rosita)\FERRR\DANIEL ARECENA - CORP..doc", "Abrir Documento")</f>
        <v>0</v>
      </c>
      <c r="D21069" t="s">
        <v>23500</v>
      </c>
      <c r="E21069" t="s">
        <v>43538</v>
      </c>
    </row>
    <row r="21070" spans="1:5">
      <c r="A21070" t="s">
        <v>6</v>
      </c>
      <c r="B21070" t="s">
        <v>21075</v>
      </c>
      <c r="C21070">
        <f>HYPERLINK("C:\Users\franc\OneDrive\Documentos\MALENTIN KARIME\BANCO CREDITO\FER LORCA en ROSITA (Rosita)\FERRR\COMUNIDAD PIEDRA LISA TULAHUEN.doc", "Abrir Documento")</f>
        <v>0</v>
      </c>
      <c r="D21070" t="s">
        <v>23500</v>
      </c>
      <c r="E21070" t="s">
        <v>43539</v>
      </c>
    </row>
    <row r="21071" spans="1:5">
      <c r="A21071" t="s">
        <v>6</v>
      </c>
      <c r="B21071" t="s">
        <v>21076</v>
      </c>
      <c r="C21071">
        <f>HYPERLINK("C:\Users\franc\OneDrive\Documentos\MALENTIN KARIME\BANCO CREDITO\FER LORCA en ROSITA (Rosita)\FERRR\COM. LORENZO PERALTA DE PUNILLA.doc", "Abrir Documento")</f>
        <v>0</v>
      </c>
      <c r="D21071" t="s">
        <v>23500</v>
      </c>
      <c r="E21071" t="s">
        <v>43540</v>
      </c>
    </row>
    <row r="21072" spans="1:5">
      <c r="A21072" t="s">
        <v>6</v>
      </c>
      <c r="B21072" t="s">
        <v>21077</v>
      </c>
      <c r="C21072">
        <f>HYPERLINK("C:\Users\franc\OneDrive\Documentos\MALENTIN KARIME\BANCO CREDITO\FER LORCA en ROSITA (Rosita)\FERRR\COM. AGRICOLA EL TOME.doc", "Abrir Documento")</f>
        <v>0</v>
      </c>
      <c r="D21072" t="s">
        <v>23500</v>
      </c>
      <c r="E21072" t="s">
        <v>43541</v>
      </c>
    </row>
    <row r="21073" spans="1:5">
      <c r="A21073" t="s">
        <v>6</v>
      </c>
      <c r="B21073" t="s">
        <v>21078</v>
      </c>
      <c r="C21073">
        <f>HYPERLINK("C:\Users\franc\OneDrive\Documentos\MALENTIN KARIME\BANCO CREDITO\FER LORCA en ROSITA (Rosita)\FERRR\CERTIFICADO LEY.  20130.doc", "Abrir Documento")</f>
        <v>0</v>
      </c>
      <c r="D21073" t="s">
        <v>23500</v>
      </c>
      <c r="E21073" t="s">
        <v>43542</v>
      </c>
    </row>
    <row r="21074" spans="1:5">
      <c r="A21074" t="s">
        <v>6</v>
      </c>
      <c r="B21074" t="s">
        <v>21079</v>
      </c>
      <c r="C21074">
        <f>HYPERLINK("C:\Users\franc\OneDrive\Documentos\MALENTIN KARIME\BANCO CREDITO\FER LORCA en ROSITA (Rosita)\FERRR\CERTIFICADO CONCENTRACION DE NOTAS.xls", "Abrir Documento")</f>
        <v>0</v>
      </c>
      <c r="D21074" t="s">
        <v>23500</v>
      </c>
      <c r="E21074" t="s">
        <v>43543</v>
      </c>
    </row>
    <row r="21075" spans="1:5">
      <c r="A21075" t="s">
        <v>6</v>
      </c>
      <c r="B21075" t="s">
        <v>21080</v>
      </c>
      <c r="C21075">
        <f>HYPERLINK("C:\Users\franc\OneDrive\Documentos\MALENTIN KARIME\BANCO CREDITO\FER LORCA en ROSITA (Rosita)\FERRR\CARTA AL C.B.R. PROT. PLANO.doc", "Abrir Documento")</f>
        <v>0</v>
      </c>
      <c r="D21075" t="s">
        <v>23500</v>
      </c>
      <c r="E21075" t="s">
        <v>43544</v>
      </c>
    </row>
    <row r="21076" spans="1:5">
      <c r="A21076" t="s">
        <v>6</v>
      </c>
      <c r="B21076" t="s">
        <v>21081</v>
      </c>
      <c r="C21076">
        <f>HYPERLINK("C:\Users\franc\OneDrive\Documentos\MALENTIN KARIME\BANCO CREDITO\FER LORCA en ROSITA (Rosita)\FERRR\AUTORIZA LIBRO PARA COPIAS.doc", "Abrir Documento")</f>
        <v>0</v>
      </c>
      <c r="D21076" t="s">
        <v>23500</v>
      </c>
      <c r="E21076" t="s">
        <v>43545</v>
      </c>
    </row>
    <row r="21077" spans="1:5">
      <c r="A21077" t="s">
        <v>6</v>
      </c>
      <c r="B21077" t="s">
        <v>21082</v>
      </c>
      <c r="C21077">
        <f>HYPERLINK("C:\Users\franc\OneDrive\Documentos\MALENTIN KARIME\BANCO CREDITO\FER LORCA en ROSITA (Rosita)\FERRR\AUT. PAGARE FACTORONE.doc", "Abrir Documento")</f>
        <v>0</v>
      </c>
      <c r="D21077" t="s">
        <v>23500</v>
      </c>
      <c r="E21077" t="s">
        <v>43546</v>
      </c>
    </row>
    <row r="21078" spans="1:5">
      <c r="A21078" t="s">
        <v>6</v>
      </c>
      <c r="B21078" t="s">
        <v>21083</v>
      </c>
      <c r="C21078">
        <f>HYPERLINK("C:\Users\franc\OneDrive\Documentos\MALENTIN KARIME\BANCO CREDITO\FER LORCA en ROSITA (Rosita)\FERRR\ASS.doc", "Abrir Documento")</f>
        <v>0</v>
      </c>
      <c r="D21078" t="s">
        <v>23500</v>
      </c>
      <c r="E21078" t="s">
        <v>43547</v>
      </c>
    </row>
    <row r="21079" spans="1:5">
      <c r="A21079" t="s">
        <v>6</v>
      </c>
      <c r="B21079" t="s">
        <v>21084</v>
      </c>
      <c r="C21079">
        <f>HYPERLINK("C:\Users\franc\OneDrive\Documentos\MALENTIN KARIME\BANCO CREDITO\FER LORCA en ROSITA (Rosita)\FERRR\AGREGA CERTIFICADO PAGO CONTRIB..doc", "Abrir Documento")</f>
        <v>0</v>
      </c>
      <c r="D21079" t="s">
        <v>23500</v>
      </c>
      <c r="E21079" t="s">
        <v>43548</v>
      </c>
    </row>
    <row r="21080" spans="1:5">
      <c r="A21080" t="s">
        <v>6</v>
      </c>
      <c r="B21080" t="s">
        <v>21085</v>
      </c>
      <c r="C21080">
        <f>HYPERLINK("C:\Users\franc\OneDrive\Documentos\MALENTIN KARIME\BANCO CREDITO\FER LORCA en ROSITA (Rosita)\FERRR\AGREGA CERTIF. SRA ANA LUISA.doc", "Abrir Documento")</f>
        <v>0</v>
      </c>
      <c r="D21080" t="s">
        <v>23500</v>
      </c>
      <c r="E21080" t="s">
        <v>43549</v>
      </c>
    </row>
    <row r="21081" spans="1:5">
      <c r="A21081" t="s">
        <v>6</v>
      </c>
      <c r="B21081" t="s">
        <v>21086</v>
      </c>
      <c r="C21081">
        <f>HYPERLINK("C:\Users\franc\OneDrive\Documentos\MALENTIN KARIME\BANCO CREDITO\FER LORCA en ROSITA (Rosita)\FERRR\acta finanza.doc", "Abrir Documento")</f>
        <v>0</v>
      </c>
      <c r="D21081" t="s">
        <v>23500</v>
      </c>
      <c r="E21081" t="s">
        <v>43550</v>
      </c>
    </row>
    <row r="21082" spans="1:5">
      <c r="A21082" t="s">
        <v>6</v>
      </c>
      <c r="B21082" t="s">
        <v>21087</v>
      </c>
      <c r="C21082">
        <f>HYPERLINK("C:\Users\franc\OneDrive\Documentos\MALENTIN KARIME\BANCO CREDITO\FER LORCA en ROSITA (Rosita)\FERRR\6º CÍA. BOMBEROS OVALLE.doc", "Abrir Documento")</f>
        <v>0</v>
      </c>
      <c r="D21082" t="s">
        <v>23500</v>
      </c>
      <c r="E21082" t="s">
        <v>43551</v>
      </c>
    </row>
    <row r="21083" spans="1:5">
      <c r="A21083" t="s">
        <v>6</v>
      </c>
      <c r="B21083" t="s">
        <v>21088</v>
      </c>
      <c r="C21083">
        <f>HYPERLINK("C:\Users\franc\OneDrive\Documentos\MALENTIN KARIME\BANCO CREDITO\FER LORCA en ROSITA (Rosita)\FERR\viviacop\BERNAL_VERA_DIONISIA_GERTUDRIS_ovalle[1].doc", "Abrir Documento")</f>
        <v>0</v>
      </c>
      <c r="D21083" t="s">
        <v>23500</v>
      </c>
      <c r="E21083" t="s">
        <v>43552</v>
      </c>
    </row>
    <row r="21084" spans="1:5">
      <c r="A21084" t="s">
        <v>6</v>
      </c>
      <c r="B21084" t="s">
        <v>21089</v>
      </c>
      <c r="C21084">
        <f>HYPERLINK("C:\Users\franc\OneDrive\Documentos\MALENTIN KARIME\BANCO CREDITO\FER LORCA en ROSITA (Rosita)\FERR\VARIOS\nota al margen 1.doc", "Abrir Documento")</f>
        <v>0</v>
      </c>
      <c r="D21084" t="s">
        <v>23500</v>
      </c>
      <c r="E21084" t="s">
        <v>43553</v>
      </c>
    </row>
    <row r="21085" spans="1:5">
      <c r="A21085" t="s">
        <v>6</v>
      </c>
      <c r="B21085" t="s">
        <v>21090</v>
      </c>
      <c r="C21085">
        <f>HYPERLINK("C:\Users\franc\OneDrive\Documentos\MALENTIN KARIME\BANCO CREDITO\FER LORCA en ROSITA (Rosita)\FERR\VARIOS\clausula.doc", "Abrir Documento")</f>
        <v>0</v>
      </c>
      <c r="D21085" t="s">
        <v>23500</v>
      </c>
      <c r="E21085" t="s">
        <v>43554</v>
      </c>
    </row>
    <row r="21086" spans="1:5">
      <c r="A21086" t="s">
        <v>6</v>
      </c>
      <c r="B21086" t="s">
        <v>21091</v>
      </c>
      <c r="C21086">
        <f>HYPERLINK("C:\Users\franc\OneDrive\Documentos\MALENTIN KARIME\BANCO CREDITO\FER LORCA en ROSITA (Rosita)\FERR\VARIOS\AUTORIZACION ESCRITRUAS CON VIGENCIA.doc", "Abrir Documento")</f>
        <v>0</v>
      </c>
      <c r="D21086" t="s">
        <v>23500</v>
      </c>
      <c r="E21086" t="s">
        <v>43555</v>
      </c>
    </row>
    <row r="21087" spans="1:5">
      <c r="A21087" t="s">
        <v>6</v>
      </c>
      <c r="B21087" t="s">
        <v>21092</v>
      </c>
      <c r="C21087">
        <f>HYPERLINK("C:\Users\franc\OneDrive\Documentos\MALENTIN KARIME\BANCO CREDITO\FER LORCA en ROSITA (Rosita)\FERR\VARIOS\AGREGA IMPUESTO MUTUO.doc", "Abrir Documento")</f>
        <v>0</v>
      </c>
      <c r="D21087" t="s">
        <v>23500</v>
      </c>
      <c r="E21087" t="s">
        <v>43556</v>
      </c>
    </row>
    <row r="21088" spans="1:5">
      <c r="A21088" t="s">
        <v>6</v>
      </c>
      <c r="B21088" t="s">
        <v>21093</v>
      </c>
      <c r="C21088">
        <f>HYPERLINK("C:\Users\franc\OneDrive\Documentos\MALENTIN KARIME\BANCO CREDITO\FER LORCA en ROSITA (Rosita)\FERR\SUBDIVISION\HUGO CORTES ZEPEDA.doc", "Abrir Documento")</f>
        <v>0</v>
      </c>
      <c r="D21088" t="s">
        <v>23500</v>
      </c>
      <c r="E21088" t="s">
        <v>43557</v>
      </c>
    </row>
    <row r="21089" spans="1:5">
      <c r="A21089" t="s">
        <v>6</v>
      </c>
      <c r="B21089" t="s">
        <v>21094</v>
      </c>
      <c r="C21089">
        <f>HYPERLINK("C:\Users\franc\OneDrive\Documentos\MALENTIN KARIME\BANCO CREDITO\FER LORCA en ROSITA (Rosita)\FERR\REVOC. MTOS\maria elorza vergara y otro.doc", "Abrir Documento")</f>
        <v>0</v>
      </c>
      <c r="D21089" t="s">
        <v>23500</v>
      </c>
      <c r="E21089" t="s">
        <v>43558</v>
      </c>
    </row>
    <row r="21090" spans="1:5">
      <c r="A21090" t="s">
        <v>6</v>
      </c>
      <c r="B21090" t="s">
        <v>21095</v>
      </c>
      <c r="C21090">
        <f>HYPERLINK("C:\Users\franc\OneDrive\Documentos\MALENTIN KARIME\BANCO CREDITO\FER LORCA en ROSITA (Rosita)\FERR\REVOC. MTOS\LAURA GALLARDO .-.doc", "Abrir Documento")</f>
        <v>0</v>
      </c>
      <c r="D21090" t="s">
        <v>23500</v>
      </c>
      <c r="E21090" t="s">
        <v>43559</v>
      </c>
    </row>
    <row r="21091" spans="1:5">
      <c r="A21091" t="s">
        <v>6</v>
      </c>
      <c r="B21091" t="s">
        <v>21096</v>
      </c>
      <c r="C21091">
        <f>HYPERLINK("C:\Users\franc\OneDrive\Documentos\MALENTIN KARIME\BANCO CREDITO\FER LORCA en ROSITA (Rosita)\FERR\REVOC. MTOS\GUERRERO ARANGUIZ JUAN CARLOS Y OTRA.doc", "Abrir Documento")</f>
        <v>0</v>
      </c>
      <c r="D21091" t="s">
        <v>23500</v>
      </c>
      <c r="E21091" t="s">
        <v>43560</v>
      </c>
    </row>
    <row r="21092" spans="1:5">
      <c r="A21092" t="s">
        <v>6</v>
      </c>
      <c r="B21092" t="s">
        <v>21097</v>
      </c>
      <c r="C21092">
        <f>HYPERLINK("C:\Users\franc\OneDrive\Documentos\MALENTIN KARIME\BANCO CREDITO\FER LORCA en ROSITA (Rosita)\FERR\PROTO\PROT. BOLETA.doc", "Abrir Documento")</f>
        <v>0</v>
      </c>
      <c r="D21092" t="s">
        <v>23500</v>
      </c>
      <c r="E21092" t="s">
        <v>43561</v>
      </c>
    </row>
    <row r="21093" spans="1:5">
      <c r="A21093" t="s">
        <v>6</v>
      </c>
      <c r="B21093" t="s">
        <v>21098</v>
      </c>
      <c r="C21093">
        <f>HYPERLINK("C:\Users\franc\OneDrive\Documentos\MALENTIN KARIME\BANCO CREDITO\FER LORCA en ROSITA (Rosita)\FERR\RECTIFICACION\ANA MARIA MUNDACA.doc", "Abrir Documento")</f>
        <v>0</v>
      </c>
      <c r="D21093" t="s">
        <v>23500</v>
      </c>
      <c r="E21093" t="s">
        <v>43561</v>
      </c>
    </row>
    <row r="21094" spans="1:5">
      <c r="A21094" t="s">
        <v>6</v>
      </c>
      <c r="B21094" t="s">
        <v>21099</v>
      </c>
      <c r="C21094">
        <f>HYPERLINK("C:\Users\franc\OneDrive\Documentos\MALENTIN KARIME\BANCO CREDITO\FER LORCA en ROSITA (Rosita)\FERR\PROTO\PAOLA.doc", "Abrir Documento")</f>
        <v>0</v>
      </c>
      <c r="D21094" t="s">
        <v>23500</v>
      </c>
      <c r="E21094" t="s">
        <v>43562</v>
      </c>
    </row>
    <row r="21095" spans="1:5">
      <c r="A21095" t="s">
        <v>6</v>
      </c>
      <c r="B21095" t="s">
        <v>21100</v>
      </c>
      <c r="C21095">
        <f>HYPERLINK("C:\Users\franc\OneDrive\Documentos\MALENTIN KARIME\BANCO CREDITO\FER LORCA en ROSITA (Rosita)\FERR\PROTO\FRANCISCO BRAVO RAMIREZ.doc", "Abrir Documento")</f>
        <v>0</v>
      </c>
      <c r="D21095" t="s">
        <v>23500</v>
      </c>
      <c r="E21095" t="s">
        <v>43563</v>
      </c>
    </row>
    <row r="21096" spans="1:5">
      <c r="A21096" t="s">
        <v>6</v>
      </c>
      <c r="B21096" t="s">
        <v>21101</v>
      </c>
      <c r="C21096">
        <f>HYPERLINK("C:\Users\franc\OneDrive\Documentos\MALENTIN KARIME\BANCO CREDITO\FER LORCA en ROSITA (Rosita)\FERR\PROTO\FRANCISCO BRAVO RAMIREZ 2.doc", "Abrir Documento")</f>
        <v>0</v>
      </c>
      <c r="D21096" t="s">
        <v>23500</v>
      </c>
      <c r="E21096" t="s">
        <v>43564</v>
      </c>
    </row>
    <row r="21097" spans="1:5">
      <c r="A21097" t="s">
        <v>6</v>
      </c>
      <c r="B21097" t="s">
        <v>21102</v>
      </c>
      <c r="C21097">
        <f>HYPERLINK("C:\Users\franc\OneDrive\Documentos\MALENTIN KARIME\BANCO CREDITO\FER LORCA en ROSITA (Rosita)\FERR\PROTO\DECLARACION JURADA.doc", "Abrir Documento")</f>
        <v>0</v>
      </c>
      <c r="D21097" t="s">
        <v>23500</v>
      </c>
      <c r="E21097" t="s">
        <v>43565</v>
      </c>
    </row>
    <row r="21098" spans="1:5">
      <c r="A21098" t="s">
        <v>6</v>
      </c>
      <c r="B21098" t="s">
        <v>21103</v>
      </c>
      <c r="C21098">
        <f>HYPERLINK("C:\Users\franc\OneDrive\Documentos\MALENTIN KARIME\BANCO CREDITO\FER LORCA en ROSITA (Rosita)\FERR\PROTO\DECLARACION JURADA KAREN DIAZ.doc", "Abrir Documento")</f>
        <v>0</v>
      </c>
      <c r="D21098" t="s">
        <v>23500</v>
      </c>
      <c r="E21098" t="s">
        <v>43566</v>
      </c>
    </row>
    <row r="21099" spans="1:5">
      <c r="A21099" t="s">
        <v>6</v>
      </c>
      <c r="B21099" t="s">
        <v>21104</v>
      </c>
      <c r="C21099">
        <f>HYPERLINK("C:\Users\franc\OneDrive\Documentos\MALENTIN KARIME\BANCO CREDITO\FER LORCA en ROSITA (Rosita)\FERR\PROTO\BOMBEROS 1º COMPAÑIA OVALLE.doc", "Abrir Documento")</f>
        <v>0</v>
      </c>
      <c r="D21099" t="s">
        <v>23500</v>
      </c>
      <c r="E21099" t="s">
        <v>43567</v>
      </c>
    </row>
    <row r="21100" spans="1:5">
      <c r="A21100" t="s">
        <v>6</v>
      </c>
      <c r="B21100" t="s">
        <v>21105</v>
      </c>
      <c r="C21100">
        <f>HYPERLINK("C:\Users\franc\OneDrive\Documentos\MALENTIN KARIME\BANCO CREDITO\FER LORCA en ROSITA (Rosita)\FERR\PROT. SOC\SOC. AGRIC. CORTES CORRAL LTDA.doc", "Abrir Documento")</f>
        <v>0</v>
      </c>
      <c r="D21100" t="s">
        <v>23500</v>
      </c>
      <c r="E21100" t="s">
        <v>43568</v>
      </c>
    </row>
    <row r="21101" spans="1:5">
      <c r="A21101" t="s">
        <v>6</v>
      </c>
      <c r="B21101" t="s">
        <v>21106</v>
      </c>
      <c r="C21101">
        <f>HYPERLINK("C:\Users\franc\OneDrive\Documentos\MALENTIN KARIME\BANCO CREDITO\FER LORCA en ROSITA (Rosita)\FERR\PROT. SOC\AGRICOLA STA. JULIA LTDA.doc", "Abrir Documento")</f>
        <v>0</v>
      </c>
      <c r="D21101" t="s">
        <v>23500</v>
      </c>
      <c r="E21101" t="s">
        <v>43569</v>
      </c>
    </row>
    <row r="21102" spans="1:5">
      <c r="A21102" t="s">
        <v>6</v>
      </c>
      <c r="B21102" t="s">
        <v>21107</v>
      </c>
      <c r="C21102">
        <f>HYPERLINK("C:\Users\franc\OneDrive\Documentos\MALENTIN KARIME\BANCO CREDITO\FER LORCA en ROSITA (Rosita)\FERR\PROT. SOC\AGRIC. E INV. MARYLO LTDA.- CORTES CORRAÑ.doc", "Abrir Documento")</f>
        <v>0</v>
      </c>
      <c r="D21102" t="s">
        <v>23500</v>
      </c>
      <c r="E21102" t="s">
        <v>43570</v>
      </c>
    </row>
    <row r="21103" spans="1:5">
      <c r="A21103" t="s">
        <v>6</v>
      </c>
      <c r="B21103" t="s">
        <v>21108</v>
      </c>
      <c r="C21103">
        <f>HYPERLINK("C:\Users\franc\OneDrive\Documentos\MALENTIN KARIME\BANCO CREDITO\FER LORCA en ROSITA (Rosita)\FERR\PROHIBICION\ROBERTO PIZARRO.doc", "Abrir Documento")</f>
        <v>0</v>
      </c>
      <c r="D21103" t="s">
        <v>23500</v>
      </c>
      <c r="E21103" t="s">
        <v>43571</v>
      </c>
    </row>
    <row r="21104" spans="1:5">
      <c r="A21104" t="s">
        <v>6</v>
      </c>
      <c r="B21104" t="s">
        <v>21109</v>
      </c>
      <c r="C21104">
        <f>HYPERLINK("C:\Users\franc\OneDrive\Documentos\MALENTIN KARIME\BANCO CREDITO\FER LORCA en ROSITA (Rosita)\FERR\PROHIBICION\LUIS PIZARRO BARRAZA.doc", "Abrir Documento")</f>
        <v>0</v>
      </c>
      <c r="D21104" t="s">
        <v>23500</v>
      </c>
      <c r="E21104" t="s">
        <v>43572</v>
      </c>
    </row>
    <row r="21105" spans="1:5">
      <c r="A21105" t="s">
        <v>6</v>
      </c>
      <c r="B21105" t="s">
        <v>21110</v>
      </c>
      <c r="C21105">
        <f>HYPERLINK("C:\Users\franc\OneDrive\Documentos\MALENTIN KARIME\BANCO CREDITO\FER LORCA en ROSITA (Rosita)\FERR\PROHIBICION\DIGNA PEREZ.doc", "Abrir Documento")</f>
        <v>0</v>
      </c>
      <c r="D21105" t="s">
        <v>23500</v>
      </c>
      <c r="E21105" t="s">
        <v>43573</v>
      </c>
    </row>
    <row r="21106" spans="1:5">
      <c r="A21106" t="s">
        <v>6</v>
      </c>
      <c r="B21106" t="s">
        <v>21111</v>
      </c>
      <c r="C21106">
        <f>HYPERLINK("C:\Users\franc\OneDrive\Documentos\MALENTIN KARIME\BANCO CREDITO\FER LORCA en ROSITA (Rosita)\FERR\PROHIBICION\AROLINDA OLIVARES.doc", "Abrir Documento")</f>
        <v>0</v>
      </c>
      <c r="D21106" t="s">
        <v>23500</v>
      </c>
      <c r="E21106" t="s">
        <v>43574</v>
      </c>
    </row>
    <row r="21107" spans="1:5">
      <c r="A21107" t="s">
        <v>6</v>
      </c>
      <c r="B21107" t="s">
        <v>21112</v>
      </c>
      <c r="C21107">
        <f>HYPERLINK("C:\Users\franc\OneDrive\Documentos\MALENTIN KARIME\BANCO CREDITO\FER LORCA en ROSITA (Rosita)\FERR\PLANILLAS AGUAS\MARZO.-\PLANILLA ENERO.doc", "Abrir Documento")</f>
        <v>0</v>
      </c>
      <c r="D21107" t="s">
        <v>23500</v>
      </c>
      <c r="E21107" t="s">
        <v>43575</v>
      </c>
    </row>
    <row r="21108" spans="1:5">
      <c r="A21108" t="s">
        <v>6</v>
      </c>
      <c r="B21108" t="s">
        <v>21113</v>
      </c>
      <c r="C21108">
        <f>HYPERLINK("C:\Users\franc\OneDrive\Documentos\MALENTIN KARIME\BANCO CREDITO\FER LORCA en ROSITA (Rosita)\FERR\PLANILLAS AGUAS\MARZO.-\OFICIO MARZO 2009.doc", "Abrir Documento")</f>
        <v>0</v>
      </c>
      <c r="D21108" t="s">
        <v>23500</v>
      </c>
      <c r="E21108" t="s">
        <v>43576</v>
      </c>
    </row>
    <row r="21109" spans="1:5">
      <c r="A21109" t="s">
        <v>6</v>
      </c>
      <c r="B21109" t="s">
        <v>21114</v>
      </c>
      <c r="C21109">
        <f>HYPERLINK("C:\Users\franc\OneDrive\Documentos\MALENTIN KARIME\BANCO CREDITO\FER LORCA en ROSITA (Rosita)\FERR\PLANILLAS AGUAS\MARZO.-\OFICIO ENERO 2009.doc", "Abrir Documento")</f>
        <v>0</v>
      </c>
      <c r="D21109" t="s">
        <v>23500</v>
      </c>
      <c r="E21109" t="s">
        <v>43577</v>
      </c>
    </row>
    <row r="21110" spans="1:5">
      <c r="A21110" t="s">
        <v>6</v>
      </c>
      <c r="B21110" t="s">
        <v>21115</v>
      </c>
      <c r="C21110">
        <f>HYPERLINK("C:\Users\franc\OneDrive\Documentos\MALENTIN KARIME\BANCO CREDITO\FER LORCA en ROSITA (Rosita)\FERR\PLANILLAS AGUAS\PLANILLA MAYO.doc", "Abrir Documento")</f>
        <v>0</v>
      </c>
      <c r="D21110" t="s">
        <v>23500</v>
      </c>
      <c r="E21110" t="s">
        <v>43578</v>
      </c>
    </row>
    <row r="21111" spans="1:5">
      <c r="A21111" t="s">
        <v>6</v>
      </c>
      <c r="B21111" t="s">
        <v>21116</v>
      </c>
      <c r="C21111">
        <f>HYPERLINK("C:\Users\franc\OneDrive\Documentos\MALENTIN KARIME\BANCO CREDITO\FER LORCA en ROSITA (Rosita)\FERR\PLANILLAS AGUAS\PLANILLA ABRIL.doc", "Abrir Documento")</f>
        <v>0</v>
      </c>
      <c r="D21111" t="s">
        <v>23500</v>
      </c>
      <c r="E21111" t="s">
        <v>43579</v>
      </c>
    </row>
    <row r="21112" spans="1:5">
      <c r="A21112" t="s">
        <v>6</v>
      </c>
      <c r="B21112" t="s">
        <v>21117</v>
      </c>
      <c r="C21112">
        <f>HYPERLINK("C:\Users\franc\OneDrive\Documentos\MALENTIN KARIME\BANCO CREDITO\FER LORCA en ROSITA (Rosita)\FERR\PLANILLAS AGUAS\OFICIO MAYO.doc", "Abrir Documento")</f>
        <v>0</v>
      </c>
      <c r="D21112" t="s">
        <v>23500</v>
      </c>
      <c r="E21112" t="s">
        <v>43580</v>
      </c>
    </row>
    <row r="21113" spans="1:5">
      <c r="A21113" t="s">
        <v>6</v>
      </c>
      <c r="B21113" t="s">
        <v>21118</v>
      </c>
      <c r="C21113">
        <f>HYPERLINK("C:\Users\franc\OneDrive\Documentos\MALENTIN KARIME\BANCO CREDITO\FER LORCA en ROSITA (Rosita)\FERR\PLANILLAS AGUAS\OFICIO ABRIL.doc", "Abrir Documento")</f>
        <v>0</v>
      </c>
      <c r="D21113" t="s">
        <v>23500</v>
      </c>
      <c r="E21113" t="s">
        <v>43581</v>
      </c>
    </row>
    <row r="21114" spans="1:5">
      <c r="A21114" t="s">
        <v>6</v>
      </c>
      <c r="B21114" t="s">
        <v>21119</v>
      </c>
      <c r="C21114">
        <f>HYPERLINK("C:\Users\franc\OneDrive\Documentos\MALENTIN KARIME\BANCO CREDITO\FER LORCA en ROSITA (Rosita)\FERR\NOTARIO SUPLENTE\ROBERTO VEGA 26-01-09.doc", "Abrir Documento")</f>
        <v>0</v>
      </c>
      <c r="D21114" t="s">
        <v>23500</v>
      </c>
      <c r="E21114" t="s">
        <v>43582</v>
      </c>
    </row>
    <row r="21115" spans="1:5">
      <c r="A21115" t="s">
        <v>6</v>
      </c>
      <c r="B21115" t="s">
        <v>21120</v>
      </c>
      <c r="C21115">
        <f>HYPERLINK("C:\Users\franc\OneDrive\Documentos\MALENTIN KARIME\BANCO CREDITO\FER LORCA en ROSITA (Rosita)\FERR\NOTARIO SUPLENTE\MANLIO METTIFOGO.doc", "Abrir Documento")</f>
        <v>0</v>
      </c>
      <c r="D21115" t="s">
        <v>23500</v>
      </c>
      <c r="E21115" t="s">
        <v>43583</v>
      </c>
    </row>
    <row r="21116" spans="1:5">
      <c r="A21116" t="s">
        <v>6</v>
      </c>
      <c r="B21116" t="s">
        <v>21121</v>
      </c>
      <c r="C21116">
        <f>HYPERLINK("C:\Users\franc\OneDrive\Documentos\MALENTIN KARIME\BANCO CREDITO\FER LORCA en ROSITA (Rosita)\FERR\NOTARIO SUPLENTE\MANLIO METTIFOGO 13-02-2009.doc", "Abrir Documento")</f>
        <v>0</v>
      </c>
      <c r="D21116" t="s">
        <v>23500</v>
      </c>
      <c r="E21116" t="s">
        <v>43584</v>
      </c>
    </row>
    <row r="21117" spans="1:5">
      <c r="A21117" t="s">
        <v>6</v>
      </c>
      <c r="B21117" t="s">
        <v>21122</v>
      </c>
      <c r="C21117">
        <f>HYPERLINK("C:\Users\franc\OneDrive\Documentos\MALENTIN KARIME\BANCO CREDITO\FER LORCA en ROSITA (Rosita)\FERR\MANDATOS MINEROS\CUNACO UNO DEL 1 AL 100.doc", "Abrir Documento")</f>
        <v>0</v>
      </c>
      <c r="D21117" t="s">
        <v>23500</v>
      </c>
      <c r="E21117" t="s">
        <v>43585</v>
      </c>
    </row>
    <row r="21118" spans="1:5">
      <c r="A21118" t="s">
        <v>6</v>
      </c>
      <c r="B21118" t="s">
        <v>21123</v>
      </c>
      <c r="C21118">
        <f>HYPERLINK("C:\Users\franc\OneDrive\Documentos\MALENTIN KARIME\BANCO CREDITO\FER LORCA en ROSITA (Rosita)\FERR\MANDATOS MINEROS\CUNACO DOS 1 al 20.doc", "Abrir Documento")</f>
        <v>0</v>
      </c>
      <c r="D21118" t="s">
        <v>23500</v>
      </c>
      <c r="E21118" t="s">
        <v>43586</v>
      </c>
    </row>
    <row r="21119" spans="1:5">
      <c r="A21119" t="s">
        <v>6</v>
      </c>
      <c r="B21119" t="s">
        <v>21124</v>
      </c>
      <c r="C21119">
        <f>HYPERLINK("C:\Users\franc\OneDrive\Documentos\MALENTIN KARIME\BANCO CREDITO\FER LORCA en ROSITA (Rosita)\FERR\MANDATOS\ZUNILDA ALFARO  Y ESPOSO A SU HERMANA (DERECHOS).doc", "Abrir Documento")</f>
        <v>0</v>
      </c>
      <c r="D21119" t="s">
        <v>23500</v>
      </c>
      <c r="E21119" t="s">
        <v>43587</v>
      </c>
    </row>
    <row r="21120" spans="1:5">
      <c r="A21120" t="s">
        <v>6</v>
      </c>
      <c r="B21120" t="s">
        <v>21125</v>
      </c>
      <c r="C21120">
        <f>HYPERLINK("C:\Users\franc\OneDrive\Documentos\MALENTIN KARIME\BANCO CREDITO\FER LORCA en ROSITA (Rosita)\FERR\MANDATOS\VICTORIA SALAZAR. a LUIS GALLARDO.doc", "Abrir Documento")</f>
        <v>0</v>
      </c>
      <c r="D21120" t="s">
        <v>23500</v>
      </c>
      <c r="E21120" t="s">
        <v>43588</v>
      </c>
    </row>
    <row r="21121" spans="1:5">
      <c r="A21121" t="s">
        <v>6</v>
      </c>
      <c r="B21121" t="s">
        <v>21126</v>
      </c>
      <c r="C21121">
        <f>HYPERLINK("C:\Users\franc\OneDrive\Documentos\MALENTIN KARIME\BANCO CREDITO\FER LORCA en ROSITA (Rosita)\FERR\MANDATOS\RUTH VEGA - EUGENIO RIVAS.doc", "Abrir Documento")</f>
        <v>0</v>
      </c>
      <c r="D21121" t="s">
        <v>23500</v>
      </c>
      <c r="E21121" t="s">
        <v>43589</v>
      </c>
    </row>
    <row r="21122" spans="1:5">
      <c r="A21122" t="s">
        <v>6</v>
      </c>
      <c r="B21122" t="s">
        <v>21127</v>
      </c>
      <c r="C21122">
        <f>HYPERLINK("C:\Users\franc\OneDrive\Documentos\MALENTIN KARIME\BANCO CREDITO\FER LORCA en ROSITA (Rosita)\FERR\MANDATOS\PEDRO MARIN.doc", "Abrir Documento")</f>
        <v>0</v>
      </c>
      <c r="D21122" t="s">
        <v>23500</v>
      </c>
      <c r="E21122" t="s">
        <v>43590</v>
      </c>
    </row>
    <row r="21123" spans="1:5">
      <c r="A21123" t="s">
        <v>6</v>
      </c>
      <c r="B21123" t="s">
        <v>21128</v>
      </c>
      <c r="C21123">
        <f>HYPERLINK("C:\Users\franc\OneDrive\Documentos\MALENTIN KARIME\BANCO CREDITO\FER LORCA en ROSITA (Rosita)\FERR\MANDATOS\PAOLA SANTANDER A RAFAEL MACHULAS JUDIC..doc", "Abrir Documento")</f>
        <v>0</v>
      </c>
      <c r="D21123" t="s">
        <v>23500</v>
      </c>
      <c r="E21123" t="s">
        <v>43591</v>
      </c>
    </row>
    <row r="21124" spans="1:5">
      <c r="A21124" t="s">
        <v>6</v>
      </c>
      <c r="B21124" t="s">
        <v>21129</v>
      </c>
      <c r="C21124">
        <f>HYPERLINK("C:\Users\franc\OneDrive\Documentos\MALENTIN KARIME\BANCO CREDITO\FER LORCA en ROSITA (Rosita)\FERR\MANDATOS\PAOLA SANTANDER A RAFAEL  DIAZ MACHULAS.doc", "Abrir Documento")</f>
        <v>0</v>
      </c>
      <c r="D21124" t="s">
        <v>23500</v>
      </c>
      <c r="E21124" t="s">
        <v>43592</v>
      </c>
    </row>
    <row r="21125" spans="1:5">
      <c r="A21125" t="s">
        <v>6</v>
      </c>
      <c r="B21125" t="s">
        <v>21130</v>
      </c>
      <c r="C21125">
        <f>HYPERLINK("C:\Users\franc\OneDrive\Documentos\MALENTIN KARIME\BANCO CREDITO\FER LORCA en ROSITA (Rosita)\FERR\MANDATOS\notificacion.doc", "Abrir Documento")</f>
        <v>0</v>
      </c>
      <c r="D21125" t="s">
        <v>23500</v>
      </c>
      <c r="E21125" t="s">
        <v>43593</v>
      </c>
    </row>
    <row r="21126" spans="1:5">
      <c r="A21126" t="s">
        <v>6</v>
      </c>
      <c r="B21126" t="s">
        <v>21131</v>
      </c>
      <c r="C21126">
        <f>HYPERLINK("C:\Users\franc\OneDrive\Documentos\MALENTIN KARIME\BANCO CREDITO\FER LORCA en ROSITA (Rosita)\FERR\MANDATOS\MTO. CORP. LUIS CAMPUSANO MONDACA.doc", "Abrir Documento")</f>
        <v>0</v>
      </c>
      <c r="D21126" t="s">
        <v>23500</v>
      </c>
      <c r="E21126" t="s">
        <v>43594</v>
      </c>
    </row>
    <row r="21127" spans="1:5">
      <c r="A21127" t="s">
        <v>6</v>
      </c>
      <c r="B21127" t="s">
        <v>21132</v>
      </c>
      <c r="C21127">
        <f>HYPERLINK("C:\Users\franc\OneDrive\Documentos\MALENTIN KARIME\BANCO CREDITO\FER LORCA en ROSITA (Rosita)\FERR\MANDATOS\MANUEL  MARILEO A CARMEN EUGENIN.- JUDIC..doc", "Abrir Documento")</f>
        <v>0</v>
      </c>
      <c r="D21127" t="s">
        <v>23500</v>
      </c>
      <c r="E21127" t="s">
        <v>43595</v>
      </c>
    </row>
    <row r="21128" spans="1:5">
      <c r="A21128" t="s">
        <v>6</v>
      </c>
      <c r="B21128" t="s">
        <v>21133</v>
      </c>
      <c r="C21128">
        <f>HYPERLINK("C:\Users\franc\OneDrive\Documentos\MALENTIN KARIME\BANCO CREDITO\FER LORCA en ROSITA (Rosita)\FERR\MANDATOS\Mandato_Judicial_REINALDO ALFARO.doc", "Abrir Documento")</f>
        <v>0</v>
      </c>
      <c r="D21128" t="s">
        <v>23500</v>
      </c>
      <c r="E21128" t="s">
        <v>43596</v>
      </c>
    </row>
    <row r="21129" spans="1:5">
      <c r="A21129" t="s">
        <v>6</v>
      </c>
      <c r="B21129" t="s">
        <v>21134</v>
      </c>
      <c r="C21129">
        <f>HYPERLINK("C:\Users\franc\OneDrive\Documentos\MALENTIN KARIME\BANCO CREDITO\FER LORCA en ROSITA (Rosita)\FERR\MANDATOS\Mandato_Judicial_LILIANA JOFRE.doc", "Abrir Documento")</f>
        <v>0</v>
      </c>
      <c r="D21129" t="s">
        <v>23500</v>
      </c>
      <c r="E21129" t="s">
        <v>43597</v>
      </c>
    </row>
    <row r="21130" spans="1:5">
      <c r="A21130" t="s">
        <v>6</v>
      </c>
      <c r="B21130" t="s">
        <v>21135</v>
      </c>
      <c r="C21130">
        <f>HYPERLINK("C:\Users\franc\OneDrive\Documentos\MALENTIN KARIME\BANCO CREDITO\FER LORCA en ROSITA (Rosita)\FERR\MANDATOS\LUIS NARVAEZ.doc", "Abrir Documento")</f>
        <v>0</v>
      </c>
      <c r="D21130" t="s">
        <v>23500</v>
      </c>
      <c r="E21130" t="s">
        <v>43598</v>
      </c>
    </row>
    <row r="21131" spans="1:5">
      <c r="A21131" t="s">
        <v>6</v>
      </c>
      <c r="B21131" t="s">
        <v>21136</v>
      </c>
      <c r="C21131">
        <f>HYPERLINK("C:\Users\franc\OneDrive\Documentos\MALENTIN KARIME\BANCO CREDITO\FER LORCA en ROSITA (Rosita)\FERR\MANDATOS\LUIS CORTES A RICARDO SEPULVEDA C.doc", "Abrir Documento")</f>
        <v>0</v>
      </c>
      <c r="D21131" t="s">
        <v>23500</v>
      </c>
      <c r="E21131" t="s">
        <v>43599</v>
      </c>
    </row>
    <row r="21132" spans="1:5">
      <c r="A21132" t="s">
        <v>6</v>
      </c>
      <c r="B21132" t="s">
        <v>21137</v>
      </c>
      <c r="C21132">
        <f>HYPERLINK("C:\Users\franc\OneDrive\Documentos\MALENTIN KARIME\BANCO CREDITO\FER LORCA en ROSITA (Rosita)\FERR\MANDATOS\LAURA GALLARDO.- MTO. GENERAL.doc", "Abrir Documento")</f>
        <v>0</v>
      </c>
      <c r="D21132" t="s">
        <v>23500</v>
      </c>
      <c r="E21132" t="s">
        <v>43600</v>
      </c>
    </row>
    <row r="21133" spans="1:5">
      <c r="A21133" t="s">
        <v>6</v>
      </c>
      <c r="B21133" t="s">
        <v>21138</v>
      </c>
      <c r="C21133">
        <f>HYPERLINK("C:\Users\franc\OneDrive\Documentos\MALENTIN KARIME\BANCO CREDITO\FER LORCA en ROSITA (Rosita)\FERR\MANDATOS\GUSTAVO YAÑEZ A MABEL.doc", "Abrir Documento")</f>
        <v>0</v>
      </c>
      <c r="D21133" t="s">
        <v>23500</v>
      </c>
      <c r="E21133" t="s">
        <v>43601</v>
      </c>
    </row>
    <row r="21134" spans="1:5">
      <c r="A21134" t="s">
        <v>6</v>
      </c>
      <c r="B21134" t="s">
        <v>21139</v>
      </c>
      <c r="C21134">
        <f>HYPERLINK("C:\Users\franc\OneDrive\Documentos\MALENTIN KARIME\BANCO CREDITO\FER LORCA en ROSITA (Rosita)\FERR\MANDATOS\GODOFREDO GONZALEZ A ALFREDO VILLAGRAN.doc", "Abrir Documento")</f>
        <v>0</v>
      </c>
      <c r="D21134" t="s">
        <v>23500</v>
      </c>
      <c r="E21134" t="s">
        <v>43602</v>
      </c>
    </row>
    <row r="21135" spans="1:5">
      <c r="A21135" t="s">
        <v>6</v>
      </c>
      <c r="B21135" t="s">
        <v>21140</v>
      </c>
      <c r="C21135">
        <f>HYPERLINK("C:\Users\franc\OneDrive\Documentos\MALENTIN KARIME\BANCO CREDITO\FER LORCA en ROSITA (Rosita)\FERR\MANDATO PUNIT\MANDATO PUNITAQUI Nº  9.doc", "Abrir Documento")</f>
        <v>0</v>
      </c>
      <c r="D21135" t="s">
        <v>23500</v>
      </c>
      <c r="E21135" t="s">
        <v>43603</v>
      </c>
    </row>
    <row r="21136" spans="1:5">
      <c r="A21136" t="s">
        <v>6</v>
      </c>
      <c r="B21136" t="s">
        <v>21141</v>
      </c>
      <c r="C21136">
        <f>HYPERLINK("C:\Users\franc\OneDrive\Documentos\MALENTIN KARIME\BANCO CREDITO\FER LORCA en ROSITA (Rosita)\FERR\MANDATO PUNIT\MANDATO PUNITAQUI Nº  8.doc", "Abrir Documento")</f>
        <v>0</v>
      </c>
      <c r="D21136" t="s">
        <v>23500</v>
      </c>
      <c r="E21136" t="s">
        <v>43604</v>
      </c>
    </row>
    <row r="21137" spans="1:5">
      <c r="A21137" t="s">
        <v>6</v>
      </c>
      <c r="B21137" t="s">
        <v>21142</v>
      </c>
      <c r="C21137">
        <f>HYPERLINK("C:\Users\franc\OneDrive\Documentos\MALENTIN KARIME\BANCO CREDITO\FER LORCA en ROSITA (Rosita)\FERR\MANDATO PUNIT\MANDATO PUNITAQUI Nº  7.doc", "Abrir Documento")</f>
        <v>0</v>
      </c>
      <c r="D21137" t="s">
        <v>23500</v>
      </c>
      <c r="E21137" t="s">
        <v>43605</v>
      </c>
    </row>
    <row r="21138" spans="1:5">
      <c r="A21138" t="s">
        <v>6</v>
      </c>
      <c r="B21138" t="s">
        <v>21143</v>
      </c>
      <c r="C21138">
        <f>HYPERLINK("C:\Users\franc\OneDrive\Documentos\MALENTIN KARIME\BANCO CREDITO\FER LORCA en ROSITA (Rosita)\FERR\LOGROS\LUIS_ARAYA_CASTRO[1].doc", "Abrir Documento")</f>
        <v>0</v>
      </c>
      <c r="D21138" t="s">
        <v>23500</v>
      </c>
      <c r="E21138" t="s">
        <v>43606</v>
      </c>
    </row>
    <row r="21139" spans="1:5">
      <c r="A21139" t="s">
        <v>6</v>
      </c>
      <c r="B21139" t="s">
        <v>21144</v>
      </c>
      <c r="C21139">
        <f>HYPERLINK("C:\Users\franc\OneDrive\Documentos\MALENTIN KARIME\BANCO CREDITO\FER LORCA en ROSITA (Rosita)\FERR\FACTORONE\LABRIANA RODRIGUEZ.doc", "Abrir Documento")</f>
        <v>0</v>
      </c>
      <c r="D21139" t="s">
        <v>23500</v>
      </c>
      <c r="E21139" t="s">
        <v>43607</v>
      </c>
    </row>
    <row r="21140" spans="1:5">
      <c r="A21140" t="s">
        <v>6</v>
      </c>
      <c r="B21140" t="s">
        <v>21145</v>
      </c>
      <c r="C21140">
        <f>HYPERLINK("C:\Users\franc\OneDrive\Documentos\MALENTIN KARIME\BANCO CREDITO\FER LORCA en ROSITA (Rosita)\FERR\FACTORONE\ESTER ZEPEDA.doc", "Abrir Documento")</f>
        <v>0</v>
      </c>
      <c r="D21140" t="s">
        <v>23500</v>
      </c>
      <c r="E21140" t="s">
        <v>43608</v>
      </c>
    </row>
    <row r="21141" spans="1:5">
      <c r="A21141" t="s">
        <v>6</v>
      </c>
      <c r="B21141" t="s">
        <v>21146</v>
      </c>
      <c r="C21141">
        <f>HYPERLINK("C:\Users\franc\OneDrive\Documentos\MALENTIN KARIME\BANCO CREDITO\FER LORCA en ROSITA (Rosita)\FERR\FACTORONE\autorizacion_dep_otra_cuenta[1].doc", "Abrir Documento")</f>
        <v>0</v>
      </c>
      <c r="D21141" t="s">
        <v>23500</v>
      </c>
      <c r="E21141" t="s">
        <v>43609</v>
      </c>
    </row>
    <row r="21142" spans="1:5">
      <c r="A21142" t="s">
        <v>6</v>
      </c>
      <c r="B21142" t="s">
        <v>21147</v>
      </c>
      <c r="C21142">
        <f>HYPERLINK("C:\Users\franc\OneDrive\Documentos\MALENTIN KARIME\BANCO CREDITO\FER LORCA en ROSITA (Rosita)\FERR\FACTORONE\ALIRO FLORES.doc", "Abrir Documento")</f>
        <v>0</v>
      </c>
      <c r="D21142" t="s">
        <v>23500</v>
      </c>
      <c r="E21142" t="s">
        <v>43610</v>
      </c>
    </row>
    <row r="21143" spans="1:5">
      <c r="A21143" t="s">
        <v>6</v>
      </c>
      <c r="B21143" t="s">
        <v>21148</v>
      </c>
      <c r="C21143">
        <f>HYPERLINK("C:\Users\franc\OneDrive\Documentos\MALENTIN KARIME\BANCO CREDITO\FER LORCA en ROSITA (Rosita)\FERR\DABED\MANDATO_BIPERSONAL2[1].doc", "Abrir Documento")</f>
        <v>0</v>
      </c>
      <c r="D21143" t="s">
        <v>23500</v>
      </c>
      <c r="E21143" t="s">
        <v>43611</v>
      </c>
    </row>
    <row r="21144" spans="1:5">
      <c r="A21144" t="s">
        <v>6</v>
      </c>
      <c r="B21144" t="s">
        <v>21149</v>
      </c>
      <c r="C21144">
        <f>HYPERLINK("C:\Users\franc\OneDrive\Documentos\MALENTIN KARIME\BANCO CREDITO\FER LORCA en ROSITA (Rosita)\FERR\DABED\mandato. dabed.doc", "Abrir Documento")</f>
        <v>0</v>
      </c>
      <c r="D21144" t="s">
        <v>23500</v>
      </c>
      <c r="E21144" t="s">
        <v>43612</v>
      </c>
    </row>
    <row r="21145" spans="1:5">
      <c r="A21145" t="s">
        <v>6</v>
      </c>
      <c r="B21145" t="s">
        <v>21150</v>
      </c>
      <c r="C21145">
        <f>HYPERLINK("C:\Users\franc\OneDrive\Documentos\MALENTIN KARIME\BANCO CREDITO\FER LORCA en ROSITA (Rosita)\FERR\DABED\ARRIENDO MARIA DIAZ Y CIA LTDA..doc", "Abrir Documento")</f>
        <v>0</v>
      </c>
      <c r="D21145" t="s">
        <v>23500</v>
      </c>
      <c r="E21145" t="s">
        <v>43613</v>
      </c>
    </row>
    <row r="21146" spans="1:5">
      <c r="A21146" t="s">
        <v>6</v>
      </c>
      <c r="B21146" t="s">
        <v>21151</v>
      </c>
      <c r="C21146">
        <f>HYPERLINK("C:\Users\franc\OneDrive\Documentos\MALENTIN KARIME\BANCO CREDITO\FER LORCA en ROSITA (Rosita)\FERR\CVTA. AGUAS\GILBERTO CABEZAS A FRANCO DALBOSCO.doc", "Abrir Documento")</f>
        <v>0</v>
      </c>
      <c r="D21146" t="s">
        <v>23500</v>
      </c>
      <c r="E21146" t="s">
        <v>43614</v>
      </c>
    </row>
    <row r="21147" spans="1:5">
      <c r="A21147" t="s">
        <v>6</v>
      </c>
      <c r="B21147" t="s">
        <v>21152</v>
      </c>
      <c r="C21147">
        <f>HYPERLINK("C:\Users\franc\OneDrive\Documentos\MALENTIN KARIME\BANCO CREDITO\FER LORCA en ROSITA (Rosita)\FERR\COMPRAVENTA\BIENES MUEBLES\MODELO.doc", "Abrir Documento")</f>
        <v>0</v>
      </c>
      <c r="D21147" t="s">
        <v>23500</v>
      </c>
      <c r="E21147" t="s">
        <v>43615</v>
      </c>
    </row>
    <row r="21148" spans="1:5">
      <c r="A21148" t="s">
        <v>6</v>
      </c>
      <c r="B21148" t="s">
        <v>21153</v>
      </c>
      <c r="C21148">
        <f>HYPERLINK("C:\Users\franc\OneDrive\Documentos\MALENTIN KARIME\BANCO CREDITO\FER LORCA en ROSITA (Rosita)\FERR\COMPRAVENTA\ULISES HERRERA PIZARRO.doc", "Abrir Documento")</f>
        <v>0</v>
      </c>
      <c r="D21148" t="s">
        <v>23500</v>
      </c>
      <c r="E21148" t="s">
        <v>43616</v>
      </c>
    </row>
    <row r="21149" spans="1:5">
      <c r="A21149" t="s">
        <v>6</v>
      </c>
      <c r="B21149" t="s">
        <v>21154</v>
      </c>
      <c r="C21149">
        <f>HYPERLINK("C:\Users\franc\OneDrive\Documentos\MALENTIN KARIME\BANCO CREDITO\FER LORCA en ROSITA (Rosita)\FERR\COMPRAVENTA\HUGO CORTES - BUGUEÑO.doc", "Abrir Documento")</f>
        <v>0</v>
      </c>
      <c r="D21149" t="s">
        <v>23500</v>
      </c>
      <c r="E21149" t="s">
        <v>43617</v>
      </c>
    </row>
    <row r="21150" spans="1:5">
      <c r="A21150" t="s">
        <v>6</v>
      </c>
      <c r="B21150" t="s">
        <v>21155</v>
      </c>
      <c r="C21150">
        <f>HYPERLINK("C:\Users\franc\OneDrive\Documentos\MALENTIN KARIME\BANCO CREDITO\FER LORCA en ROSITA (Rosita)\FERR\COMPRAVENTA\AMALIA VEGA A PAOLA ADARO.doc", "Abrir Documento")</f>
        <v>0</v>
      </c>
      <c r="D21150" t="s">
        <v>23500</v>
      </c>
      <c r="E21150" t="s">
        <v>43618</v>
      </c>
    </row>
    <row r="21151" spans="1:5">
      <c r="A21151" t="s">
        <v>6</v>
      </c>
      <c r="B21151" t="s">
        <v>21156</v>
      </c>
      <c r="C21151">
        <f>HYPERLINK("C:\Users\franc\OneDrive\Documentos\MALENTIN KARIME\BANCO CREDITO\FER LORCA en ROSITA (Rosita)\FERR\CIBERGESTION\FANNY_CORTES_LAZO[1].doc", "Abrir Documento")</f>
        <v>0</v>
      </c>
      <c r="D21151" t="s">
        <v>23500</v>
      </c>
      <c r="E21151" t="s">
        <v>43619</v>
      </c>
    </row>
    <row r="21152" spans="1:5">
      <c r="A21152" t="s">
        <v>6</v>
      </c>
      <c r="B21152" t="s">
        <v>21157</v>
      </c>
      <c r="C21152">
        <f>HYPERLINK("C:\Users\franc\OneDrive\Documentos\MALENTIN KARIME\BANCO CREDITO\FER LORCA en ROSITA (Rosita)\FERR\CESION DERECHOS HEREDITARIOS\ROJAS MILLA A DOMINGA ROJAS M..doc", "Abrir Documento")</f>
        <v>0</v>
      </c>
      <c r="D21152" t="s">
        <v>23500</v>
      </c>
      <c r="E21152" t="s">
        <v>43620</v>
      </c>
    </row>
    <row r="21153" spans="1:5">
      <c r="A21153" t="s">
        <v>6</v>
      </c>
      <c r="B21153" t="s">
        <v>21158</v>
      </c>
      <c r="C21153">
        <f>HYPERLINK("C:\Users\franc\OneDrive\Documentos\MALENTIN KARIME\BANCO CREDITO\FER LORCA en ROSITA (Rosita)\FERR\CESION DERECHOS HEREDITARIOS\MIRZIA OTRA.doc", "Abrir Documento")</f>
        <v>0</v>
      </c>
      <c r="D21153" t="s">
        <v>23500</v>
      </c>
      <c r="E21153" t="s">
        <v>43621</v>
      </c>
    </row>
    <row r="21154" spans="1:5">
      <c r="A21154" t="s">
        <v>6</v>
      </c>
      <c r="B21154" t="s">
        <v>21159</v>
      </c>
      <c r="C21154">
        <f>HYPERLINK("C:\Users\franc\OneDrive\Documentos\MALENTIN KARIME\BANCO CREDITO\FER LORCA en ROSITA (Rosita)\FERR\CESION DERECHOS HEREDITARIOS\MIRZIA MAZUELA A BERTA LUCO.doc", "Abrir Documento")</f>
        <v>0</v>
      </c>
      <c r="D21154" t="s">
        <v>23500</v>
      </c>
      <c r="E21154" t="s">
        <v>43622</v>
      </c>
    </row>
    <row r="21155" spans="1:5">
      <c r="A21155" t="s">
        <v>6</v>
      </c>
      <c r="B21155" t="s">
        <v>21160</v>
      </c>
      <c r="C21155">
        <f>HYPERLINK("C:\Users\franc\OneDrive\Documentos\MALENTIN KARIME\BANCO CREDITO\FER LORCA en ROSITA (Rosita)\FERR\CESION DERECHOS HEREDITARIOS\GRACIELA  VARELA.- SOLA.doc", "Abrir Documento")</f>
        <v>0</v>
      </c>
      <c r="D21155" t="s">
        <v>23500</v>
      </c>
      <c r="E21155" t="s">
        <v>43623</v>
      </c>
    </row>
    <row r="21156" spans="1:5">
      <c r="A21156" t="s">
        <v>6</v>
      </c>
      <c r="B21156" t="s">
        <v>21161</v>
      </c>
      <c r="C21156">
        <f>HYPERLINK("C:\Users\franc\OneDrive\Documentos\MALENTIN KARIME\BANCO CREDITO\FER LORCA en ROSITA (Rosita)\FERR\CESION DERECHOS HEREDITARIOS\FRANCO JOFRE A. Y OTROS A NORMA JOFRE.doc", "Abrir Documento")</f>
        <v>0</v>
      </c>
      <c r="D21156" t="s">
        <v>23500</v>
      </c>
      <c r="E21156" t="s">
        <v>43624</v>
      </c>
    </row>
    <row r="21157" spans="1:5">
      <c r="A21157" t="s">
        <v>6</v>
      </c>
      <c r="B21157" t="s">
        <v>21162</v>
      </c>
      <c r="C21157">
        <f>HYPERLINK("C:\Users\franc\OneDrive\Documentos\MALENTIN KARIME\BANCO CREDITO\FER LORCA en ROSITA (Rosita)\FERR\BANCO ESTADO\ROSA PINEDA CACERES.doc", "Abrir Documento")</f>
        <v>0</v>
      </c>
      <c r="D21157" t="s">
        <v>23500</v>
      </c>
      <c r="E21157" t="s">
        <v>43625</v>
      </c>
    </row>
    <row r="21158" spans="1:5">
      <c r="A21158" t="s">
        <v>6</v>
      </c>
      <c r="B21158" t="s">
        <v>21163</v>
      </c>
      <c r="C21158">
        <f>HYPERLINK("C:\Users\franc\OneDrive\Documentos\MALENTIN KARIME\BANCO CREDITO\FER LORCA en ROSITA (Rosita)\FERR\BANCO ESTADO\MERCEDES TORRES CONTADOR.doc", "Abrir Documento")</f>
        <v>0</v>
      </c>
      <c r="D21158" t="s">
        <v>23500</v>
      </c>
      <c r="E21158" t="s">
        <v>43626</v>
      </c>
    </row>
    <row r="21159" spans="1:5">
      <c r="A21159" t="s">
        <v>6</v>
      </c>
      <c r="B21159" t="s">
        <v>21164</v>
      </c>
      <c r="C21159">
        <f>HYPERLINK("C:\Users\franc\OneDrive\Documentos\MALENTIN KARIME\BANCO CREDITO\FER LORCA en ROSITA (Rosita)\FERR\BANCO ESTADO\HECTOR ROJAS MARTINEZ.doc", "Abrir Documento")</f>
        <v>0</v>
      </c>
      <c r="D21159" t="s">
        <v>23500</v>
      </c>
      <c r="E21159" t="s">
        <v>43627</v>
      </c>
    </row>
    <row r="21160" spans="1:5">
      <c r="A21160" t="s">
        <v>6</v>
      </c>
      <c r="B21160" t="s">
        <v>21165</v>
      </c>
      <c r="C21160">
        <f>HYPERLINK("C:\Users\franc\OneDrive\Documentos\MALENTIN KARIME\BANCO CREDITO\FER LORCA en ROSITA (Rosita)\FERR\ALZ. MUNICIP. OVALLE\PATRICIA MEDALLA CASTILLO.doc", "Abrir Documento")</f>
        <v>0</v>
      </c>
      <c r="D21160" t="s">
        <v>23500</v>
      </c>
      <c r="E21160" t="s">
        <v>43628</v>
      </c>
    </row>
    <row r="21161" spans="1:5">
      <c r="A21161" t="s">
        <v>6</v>
      </c>
      <c r="B21161" t="s">
        <v>21166</v>
      </c>
      <c r="C21161">
        <f>HYPERLINK("C:\Users\franc\OneDrive\Documentos\MALENTIN KARIME\BANCO CREDITO\FER LORCA en ROSITA (Rosita)\FERR\ALZ. MUNICIP. OVALLE\JUANA ADAOS MEDALLA.doc", "Abrir Documento")</f>
        <v>0</v>
      </c>
      <c r="D21161" t="s">
        <v>23500</v>
      </c>
      <c r="E21161" t="s">
        <v>43629</v>
      </c>
    </row>
    <row r="21162" spans="1:5">
      <c r="A21162" t="s">
        <v>6</v>
      </c>
      <c r="B21162" t="s">
        <v>21167</v>
      </c>
      <c r="C21162">
        <f>HYPERLINK("C:\Users\franc\OneDrive\Documentos\MALENTIN KARIME\BANCO CREDITO\FER LORCA en ROSITA (Rosita)\FERR\SDTO. T. ARENEROS.doc", "Abrir Documento")</f>
        <v>0</v>
      </c>
      <c r="D21162" t="s">
        <v>23500</v>
      </c>
      <c r="E21162" t="s">
        <v>43630</v>
      </c>
    </row>
    <row r="21163" spans="1:5">
      <c r="A21163" t="s">
        <v>6</v>
      </c>
      <c r="B21163" t="s">
        <v>21168</v>
      </c>
      <c r="C21163">
        <f>HYPERLINK("C:\Users\franc\OneDrive\Documentos\MALENTIN KARIME\BANCO CREDITO\FER LORCA en ROSITA (Rosita)\FERR\MODELO   FORMULARIO  24.doc", "Abrir Documento")</f>
        <v>0</v>
      </c>
      <c r="D21163" t="s">
        <v>23500</v>
      </c>
      <c r="E21163" t="s">
        <v>43631</v>
      </c>
    </row>
    <row r="21164" spans="1:5">
      <c r="A21164" t="s">
        <v>6</v>
      </c>
      <c r="B21164" t="s">
        <v>21169</v>
      </c>
      <c r="C21164">
        <f>HYPERLINK("C:\Users\franc\OneDrive\Documentos\MALENTIN KARIME\BANCO CREDITO\FER LORCA en ROSITA (Rosita)\FERR\MARIA ALVAREZ HENRIQUEZ.doc", "Abrir Documento")</f>
        <v>0</v>
      </c>
      <c r="D21164" t="s">
        <v>23500</v>
      </c>
      <c r="E21164" t="s">
        <v>43632</v>
      </c>
    </row>
    <row r="21165" spans="1:5">
      <c r="A21165" t="s">
        <v>6</v>
      </c>
      <c r="B21165" t="s">
        <v>21170</v>
      </c>
      <c r="C21165">
        <f>HYPERLINK("C:\Users\franc\OneDrive\Documentos\MALENTIN KARIME\BANCO CREDITO\FER LORCA en ROSITA (Rosita)\FERR\LAURA GALLARDO A FELIX GALLARDO. MTO. VENDER.doc", "Abrir Documento")</f>
        <v>0</v>
      </c>
      <c r="D21165" t="s">
        <v>23500</v>
      </c>
      <c r="E21165" t="s">
        <v>43633</v>
      </c>
    </row>
    <row r="21166" spans="1:5">
      <c r="A21166" t="s">
        <v>6</v>
      </c>
      <c r="B21166" t="s">
        <v>21171</v>
      </c>
      <c r="C21166">
        <f>HYPERLINK("C:\Users\franc\OneDrive\Documentos\MALENTIN KARIME\BANCO CREDITO\FER LORCA en ROSITA (Rosita)\FERR\INSTRUCCIONES CONTRATO DE PROVISIÓN DE LOS SERVICIOS DE MANTENIMIENTO Y MEJORAMIENTO DEL ALUMBRADO PÚBLICO DE OVALLE.doc", "Abrir Documento")</f>
        <v>0</v>
      </c>
      <c r="D21166" t="s">
        <v>23500</v>
      </c>
      <c r="E21166" t="s">
        <v>43634</v>
      </c>
    </row>
    <row r="21167" spans="1:5">
      <c r="A21167" t="s">
        <v>6</v>
      </c>
      <c r="B21167" t="s">
        <v>21172</v>
      </c>
      <c r="C21167">
        <f>HYPERLINK("C:\Users\franc\OneDrive\Documentos\MALENTIN KARIME\BANCO CREDITO\FER LORCA en ROSITA (Rosita)\FERR\INFORMATIVO.doc", "Abrir Documento")</f>
        <v>0</v>
      </c>
      <c r="D21167" t="s">
        <v>23500</v>
      </c>
      <c r="E21167" t="s">
        <v>43635</v>
      </c>
    </row>
    <row r="21168" spans="1:5">
      <c r="A21168" t="s">
        <v>6</v>
      </c>
      <c r="B21168" t="s">
        <v>21173</v>
      </c>
      <c r="C21168">
        <f>HYPERLINK("C:\Users\franc\OneDrive\Documentos\MALENTIN KARIME\BANCO CREDITO\FER LORCA en ROSITA (Rosita)\FERR\Gustavo Yañez.doc", "Abrir Documento")</f>
        <v>0</v>
      </c>
      <c r="D21168" t="s">
        <v>23500</v>
      </c>
      <c r="E21168" t="s">
        <v>43636</v>
      </c>
    </row>
    <row r="21169" spans="1:5">
      <c r="A21169" t="s">
        <v>6</v>
      </c>
      <c r="B21169" t="s">
        <v>21174</v>
      </c>
      <c r="C21169">
        <f>HYPERLINK("C:\Users\franc\OneDrive\Documentos\MALENTIN KARIME\BANCO CREDITO\FER LORCA en ROSITA (Rosita)\FERR\GMO. ARAYA ALVAREZ Cta.Cte. CORPBANCA.doc", "Abrir Documento")</f>
        <v>0</v>
      </c>
      <c r="D21169" t="s">
        <v>23500</v>
      </c>
      <c r="E21169" t="s">
        <v>43637</v>
      </c>
    </row>
    <row r="21170" spans="1:5">
      <c r="A21170" t="s">
        <v>6</v>
      </c>
      <c r="B21170" t="s">
        <v>21175</v>
      </c>
      <c r="C21170">
        <f>HYPERLINK("C:\Users\franc\OneDrive\Documentos\MALENTIN KARIME\BANCO CREDITO\FER LORCA en ROSITA (Rosita)\FERR\frases.doc", "Abrir Documento")</f>
        <v>0</v>
      </c>
      <c r="D21170" t="s">
        <v>23500</v>
      </c>
      <c r="E21170" t="s">
        <v>43638</v>
      </c>
    </row>
    <row r="21171" spans="1:5">
      <c r="A21171" t="s">
        <v>6</v>
      </c>
      <c r="B21171" t="s">
        <v>21176</v>
      </c>
      <c r="C21171">
        <f>HYPERLINK("C:\Users\franc\OneDrive\Documentos\MALENTIN KARIME\BANCO CREDITO\FER LORCA en ROSITA (Rosita)\FERR\FIRMAS.doc", "Abrir Documento")</f>
        <v>0</v>
      </c>
      <c r="D21171" t="s">
        <v>23500</v>
      </c>
      <c r="E21171" t="s">
        <v>43639</v>
      </c>
    </row>
    <row r="21172" spans="1:5">
      <c r="A21172" t="s">
        <v>6</v>
      </c>
      <c r="B21172" t="s">
        <v>21177</v>
      </c>
      <c r="C21172">
        <f>HYPERLINK("C:\Users\franc\OneDrive\Documentos\MALENTIN KARIME\BANCO CREDITO\FER LORCA en ROSITA (Rosita)\FERR\FACTORING.doc", "Abrir Documento")</f>
        <v>0</v>
      </c>
      <c r="D21172" t="s">
        <v>23500</v>
      </c>
      <c r="E21172" t="s">
        <v>43640</v>
      </c>
    </row>
    <row r="21173" spans="1:5">
      <c r="A21173" t="s">
        <v>6</v>
      </c>
      <c r="B21173" t="s">
        <v>21178</v>
      </c>
      <c r="C21173">
        <f>HYPERLINK("C:\Users\franc\OneDrive\Documentos\MALENTIN KARIME\BANCO CREDITO\FER LORCA en ROSITA (Rosita)\FERR\CUOTAS TRAJES.doc", "Abrir Documento")</f>
        <v>0</v>
      </c>
      <c r="D21173" t="s">
        <v>23500</v>
      </c>
      <c r="E21173" t="s">
        <v>43641</v>
      </c>
    </row>
    <row r="21174" spans="1:5">
      <c r="A21174" t="s">
        <v>6</v>
      </c>
      <c r="B21174" t="s">
        <v>21179</v>
      </c>
      <c r="C21174">
        <f>HYPERLINK("C:\Users\franc\OneDrive\Documentos\MALENTIN KARIME\BANCO CREDITO\FER LORCA en ROSITA (Rosita)\FERR\CARTA.doc", "Abrir Documento")</f>
        <v>0</v>
      </c>
      <c r="D21174" t="s">
        <v>23500</v>
      </c>
      <c r="E21174" t="s">
        <v>43642</v>
      </c>
    </row>
    <row r="21175" spans="1:5">
      <c r="A21175" t="s">
        <v>6</v>
      </c>
      <c r="B21175" t="s">
        <v>21180</v>
      </c>
      <c r="C21175">
        <f>HYPERLINK("C:\Users\franc\OneDrive\Documentos\MALENTIN KARIME\BANCO CREDITO\FER LORCA en ROSITA (Rosita)\FERR\AUTORIZACION DIARIO digital.doc", "Abrir Documento")</f>
        <v>0</v>
      </c>
      <c r="D21175" t="s">
        <v>23500</v>
      </c>
      <c r="E21175" t="s">
        <v>43643</v>
      </c>
    </row>
    <row r="21176" spans="1:5">
      <c r="A21176" t="s">
        <v>6</v>
      </c>
      <c r="B21176" t="s">
        <v>21181</v>
      </c>
      <c r="C21176">
        <f>HYPERLINK("C:\Users\franc\OneDrive\Documentos\MALENTIN KARIME\BANCO CREDITO\FER LORCA en ROSITA (Rosita)\FERR\AUTORIZA LIBRO PARA COPIAS.doc", "Abrir Documento")</f>
        <v>0</v>
      </c>
      <c r="D21176" t="s">
        <v>23500</v>
      </c>
      <c r="E21176" t="s">
        <v>43644</v>
      </c>
    </row>
    <row r="21177" spans="1:5">
      <c r="A21177" t="s">
        <v>6</v>
      </c>
      <c r="B21177" t="s">
        <v>21182</v>
      </c>
      <c r="C21177">
        <f>HYPERLINK("C:\Users\franc\OneDrive\Documentos\MALENTIN KARIME\BANCO CREDITO\FER LORCA en ROSITA (Rosita)\FERR\AUTORIZA LIBRO PARA COPIAS HORIZ..doc", "Abrir Documento")</f>
        <v>0</v>
      </c>
      <c r="D21177" t="s">
        <v>23500</v>
      </c>
      <c r="E21177" t="s">
        <v>43645</v>
      </c>
    </row>
    <row r="21178" spans="1:5">
      <c r="A21178" t="s">
        <v>6</v>
      </c>
      <c r="B21178" t="s">
        <v>21183</v>
      </c>
      <c r="C21178">
        <f>HYPERLINK("C:\Users\franc\OneDrive\Documentos\MALENTIN KARIME\BANCO CREDITO\FER LORCA en ROSITA (Rosita)\FERR\AUT. PAGARE FACTORONE.doc", "Abrir Documento")</f>
        <v>0</v>
      </c>
      <c r="D21178" t="s">
        <v>23500</v>
      </c>
      <c r="E21178" t="s">
        <v>43646</v>
      </c>
    </row>
    <row r="21179" spans="1:5">
      <c r="A21179" t="s">
        <v>6</v>
      </c>
      <c r="B21179" t="s">
        <v>21184</v>
      </c>
      <c r="C21179">
        <f>HYPERLINK("C:\Users\franc\OneDrive\Documentos\MALENTIN KARIME\BANCO CREDITO\FER LORCA en ROSITA (Rosita)\FERR\aut. firmas.-.doc", "Abrir Documento")</f>
        <v>0</v>
      </c>
      <c r="D21179" t="s">
        <v>23500</v>
      </c>
      <c r="E21179" t="s">
        <v>43647</v>
      </c>
    </row>
    <row r="21180" spans="1:5">
      <c r="A21180" t="s">
        <v>6</v>
      </c>
      <c r="B21180" t="s">
        <v>21185</v>
      </c>
      <c r="C21180">
        <f>HYPERLINK("C:\Users\franc\OneDrive\Documentos\MALENTIN KARIME\BANCO CREDITO\FER LORCA en ROSITA (Rosita)\FERR\ASS.doc", "Abrir Documento")</f>
        <v>0</v>
      </c>
      <c r="D21180" t="s">
        <v>23500</v>
      </c>
      <c r="E21180" t="s">
        <v>43648</v>
      </c>
    </row>
    <row r="21181" spans="1:5">
      <c r="A21181" t="s">
        <v>6</v>
      </c>
      <c r="B21181" t="s">
        <v>21186</v>
      </c>
      <c r="C21181">
        <f>HYPERLINK("C:\Users\franc\OneDrive\Documentos\MALENTIN KARIME\BANCO CREDITO\FER LORCA en ROSITA (Rosita)\FERR\AMADIEL DEL ROSARIO ROJO....PET.doc", "Abrir Documento")</f>
        <v>0</v>
      </c>
      <c r="D21181" t="s">
        <v>23500</v>
      </c>
      <c r="E21181" t="s">
        <v>43649</v>
      </c>
    </row>
    <row r="21182" spans="1:5">
      <c r="A21182" t="s">
        <v>6</v>
      </c>
      <c r="B21182" t="s">
        <v>21187</v>
      </c>
      <c r="C21182">
        <f>HYPERLINK("C:\Users\franc\OneDrive\Documentos\MALENTIN KARIME\BANCO CREDITO\FER LORCA en ROSITA (Rosita)\FERR\ALIRO ROJAS OCHOA.doc", "Abrir Documento")</f>
        <v>0</v>
      </c>
      <c r="D21182" t="s">
        <v>23500</v>
      </c>
      <c r="E21182" t="s">
        <v>43650</v>
      </c>
    </row>
    <row r="21183" spans="1:5">
      <c r="A21183" t="s">
        <v>6</v>
      </c>
      <c r="B21183" t="s">
        <v>21188</v>
      </c>
      <c r="C21183">
        <f>HYPERLINK("C:\Users\franc\OneDrive\Documentos\MALENTIN KARIME\BANCO CREDITO\FER LORCA en ROSITA (Rosita)\FERR\ALCONES SRA.ELIANA LOPEZ.doc", "Abrir Documento")</f>
        <v>0</v>
      </c>
      <c r="D21183" t="s">
        <v>23500</v>
      </c>
      <c r="E21183" t="s">
        <v>43651</v>
      </c>
    </row>
    <row r="21184" spans="1:5">
      <c r="A21184" t="s">
        <v>6</v>
      </c>
      <c r="B21184" t="s">
        <v>21189</v>
      </c>
      <c r="C21184">
        <f>HYPERLINK("C:\Users\franc\OneDrive\Documentos\MALENTIN KARIME\BANCO CREDITO\FER LORCA en ROSITA (Rosita)\FERNANDO SANCHEZ\CONTRATO DE MUTUO DE DINERO A_W..doc", "Abrir Documento")</f>
        <v>0</v>
      </c>
      <c r="D21184" t="s">
        <v>23500</v>
      </c>
      <c r="E21184" t="s">
        <v>43652</v>
      </c>
    </row>
    <row r="21185" spans="1:5">
      <c r="A21185" t="s">
        <v>6</v>
      </c>
      <c r="B21185" t="s">
        <v>21190</v>
      </c>
      <c r="C21185">
        <f>HYPERLINK("C:\Users\franc\OneDrive\Documentos\MALENTIN KARIME\BANCO CREDITO\FER LORCA en ROSITA (Rosita)\FERNANDO SANCHEZ\ARRIENDO_ MINA SAN FELIX_E.I.R.L..doc", "Abrir Documento")</f>
        <v>0</v>
      </c>
      <c r="D21185" t="s">
        <v>23500</v>
      </c>
      <c r="E21185" t="s">
        <v>43653</v>
      </c>
    </row>
    <row r="21186" spans="1:5">
      <c r="A21186" t="s">
        <v>6</v>
      </c>
      <c r="B21186" t="s">
        <v>21191</v>
      </c>
      <c r="C21186">
        <f>HYPERLINK("C:\Users\franc\OneDrive\Documentos\MALENTIN KARIME\BANCO CREDITO\FER LORCA en ROSITA (Rosita)\FER\sergio peralta\TRANSACCION__VILLALON15ENERO2009_UV_not_cabrera[1].doc", "Abrir Documento")</f>
        <v>0</v>
      </c>
      <c r="D21186" t="s">
        <v>23500</v>
      </c>
      <c r="E21186" t="s">
        <v>43654</v>
      </c>
    </row>
    <row r="21187" spans="1:5">
      <c r="A21187" t="s">
        <v>6</v>
      </c>
      <c r="B21187" t="s">
        <v>21192</v>
      </c>
      <c r="C21187">
        <f>HYPERLINK("C:\Users\franc\OneDrive\Documentos\MALENTIN KARIME\BANCO CREDITO\FER LORCA en ROSITA (Rosita)\FER\sergio peralta\TRANSACCION.doc", "Abrir Documento")</f>
        <v>0</v>
      </c>
      <c r="D21187" t="s">
        <v>23500</v>
      </c>
      <c r="E21187" t="s">
        <v>43655</v>
      </c>
    </row>
    <row r="21188" spans="1:5">
      <c r="A21188" t="s">
        <v>6</v>
      </c>
      <c r="B21188" t="s">
        <v>21193</v>
      </c>
      <c r="C21188">
        <f>HYPERLINK("C:\Users\franc\OneDrive\Documentos\MALENTIN KARIME\BANCO CREDITO\FER LORCA en ROSITA (Rosita)\FER\ROBERTO VEGA\minuta compraventa.doc", "Abrir Documento")</f>
        <v>0</v>
      </c>
      <c r="D21188" t="s">
        <v>23500</v>
      </c>
      <c r="E21188" t="s">
        <v>43656</v>
      </c>
    </row>
    <row r="21189" spans="1:5">
      <c r="A21189" t="s">
        <v>6</v>
      </c>
      <c r="B21189" t="s">
        <v>21194</v>
      </c>
      <c r="C21189">
        <f>HYPERLINK("C:\Users\franc\OneDrive\Documentos\MALENTIN KARIME\BANCO CREDITO\FER LORCA en ROSITA (Rosita)\FER\ROBERTO VEGA\COMPRAVENTA ACUÑA.doc", "Abrir Documento")</f>
        <v>0</v>
      </c>
      <c r="D21189" t="s">
        <v>23500</v>
      </c>
      <c r="E21189" t="s">
        <v>43657</v>
      </c>
    </row>
    <row r="21190" spans="1:5">
      <c r="A21190" t="s">
        <v>6</v>
      </c>
      <c r="B21190" t="s">
        <v>21195</v>
      </c>
      <c r="C21190">
        <f>HYPERLINK("C:\Users\franc\OneDrive\Documentos\MALENTIN KARIME\BANCO CREDITO\FER LORCA en ROSITA (Rosita)\FER\ROBERTO VEGA\COMPLEMENTACION.doc", "Abrir Documento")</f>
        <v>0</v>
      </c>
      <c r="D21190" t="s">
        <v>23500</v>
      </c>
      <c r="E21190" t="s">
        <v>43658</v>
      </c>
    </row>
    <row r="21191" spans="1:5">
      <c r="A21191" t="s">
        <v>6</v>
      </c>
      <c r="B21191" t="s">
        <v>21196</v>
      </c>
      <c r="C21191">
        <f>HYPERLINK("C:\Users\franc\OneDrive\Documentos\MALENTIN KARIME\BANCO CREDITO\FER LORCA en ROSITA (Rosita)\FER\ROBERTO VEGA\COMPLEMENTACION 15-01-2009.doc", "Abrir Documento")</f>
        <v>0</v>
      </c>
      <c r="D21191" t="s">
        <v>23500</v>
      </c>
      <c r="E21191" t="s">
        <v>43659</v>
      </c>
    </row>
    <row r="21192" spans="1:5">
      <c r="A21192" t="s">
        <v>6</v>
      </c>
      <c r="B21192" t="s">
        <v>21197</v>
      </c>
      <c r="C21192">
        <f>HYPERLINK("C:\Users\franc\OneDrive\Documentos\MALENTIN KARIME\BANCO CREDITO\FER LORCA en ROSITA (Rosita)\FER\ROBERTO VEGA\COM. AGUAS CANAL EL RANCHO.doc", "Abrir Documento")</f>
        <v>0</v>
      </c>
      <c r="D21192" t="s">
        <v>23500</v>
      </c>
      <c r="E21192" t="s">
        <v>43660</v>
      </c>
    </row>
    <row r="21193" spans="1:5">
      <c r="A21193" t="s">
        <v>6</v>
      </c>
      <c r="B21193" t="s">
        <v>21198</v>
      </c>
      <c r="C21193">
        <f>HYPERLINK("C:\Users\franc\OneDrive\Documentos\MALENTIN KARIME\BANCO CREDITO\FER LORCA en ROSITA (Rosita)\FER\RED. ESCRITURA\ACTA_PRIMERA_ASAMBLEA_COMUNIDAD_DE_AGUAS_CANAL_EL_RANCHO[1].doc", "Abrir Documento")</f>
        <v>0</v>
      </c>
      <c r="D21193" t="s">
        <v>23500</v>
      </c>
      <c r="E21193" t="s">
        <v>43661</v>
      </c>
    </row>
    <row r="21194" spans="1:5">
      <c r="A21194" t="s">
        <v>6</v>
      </c>
      <c r="B21194" t="s">
        <v>21199</v>
      </c>
      <c r="C21194">
        <f>HYPERLINK("C:\Users\franc\OneDrive\Documentos\MALENTIN KARIME\BANCO CREDITO\FER LORCA en ROSITA (Rosita)\FER\RED. ESCRITURA\ACTA JTA EXTRAORD AGROVAL 12.01.09.doc", "Abrir Documento")</f>
        <v>0</v>
      </c>
      <c r="D21194" t="s">
        <v>23500</v>
      </c>
      <c r="E21194" t="s">
        <v>43662</v>
      </c>
    </row>
    <row r="21195" spans="1:5">
      <c r="A21195" t="s">
        <v>6</v>
      </c>
      <c r="B21195" t="s">
        <v>21200</v>
      </c>
      <c r="C21195">
        <f>HYPERLINK("C:\Users\franc\OneDrive\Documentos\MALENTIN KARIME\BANCO CREDITO\FER LORCA en ROSITA (Rosita)\FER\RED. ESCRITURA\ACCIONISTAS AGROVAL.doc", "Abrir Documento")</f>
        <v>0</v>
      </c>
      <c r="D21195" t="s">
        <v>23500</v>
      </c>
      <c r="E21195" t="s">
        <v>43663</v>
      </c>
    </row>
    <row r="21196" spans="1:5">
      <c r="A21196" t="s">
        <v>6</v>
      </c>
      <c r="B21196" t="s">
        <v>21201</v>
      </c>
      <c r="C21196">
        <f>HYPERLINK("C:\Users\franc\OneDrive\Documentos\MALENTIN KARIME\BANCO CREDITO\FER LORCA en ROSITA (Rosita)\FER\PUNIT. TERMINADOS\MODELO FIRMAS 1.doc", "Abrir Documento")</f>
        <v>0</v>
      </c>
      <c r="D21196" t="s">
        <v>23500</v>
      </c>
      <c r="E21196" t="s">
        <v>43664</v>
      </c>
    </row>
    <row r="21197" spans="1:5">
      <c r="A21197" t="s">
        <v>6</v>
      </c>
      <c r="B21197" t="s">
        <v>21202</v>
      </c>
      <c r="C21197">
        <f>HYPERLINK("C:\Users\franc\OneDrive\Documentos\MALENTIN KARIME\BANCO CREDITO\FER LORCA en ROSITA (Rosita)\FER\PUNIT. TERMINADOS\MANDATO PUNITAQUI Nº 6.doc", "Abrir Documento")</f>
        <v>0</v>
      </c>
      <c r="D21197" t="s">
        <v>23500</v>
      </c>
      <c r="E21197" t="s">
        <v>43665</v>
      </c>
    </row>
    <row r="21198" spans="1:5">
      <c r="A21198" t="s">
        <v>6</v>
      </c>
      <c r="B21198" t="s">
        <v>21203</v>
      </c>
      <c r="C21198">
        <f>HYPERLINK("C:\Users\franc\OneDrive\Documentos\MALENTIN KARIME\BANCO CREDITO\FER LORCA en ROSITA (Rosita)\FER\PUNIT. TERMINADOS\MANDATO PUNITAQUI Nº 5.doc", "Abrir Documento")</f>
        <v>0</v>
      </c>
      <c r="D21198" t="s">
        <v>23500</v>
      </c>
      <c r="E21198" t="s">
        <v>43666</v>
      </c>
    </row>
    <row r="21199" spans="1:5">
      <c r="A21199" t="s">
        <v>6</v>
      </c>
      <c r="B21199" t="s">
        <v>21204</v>
      </c>
      <c r="C21199">
        <f>HYPERLINK("C:\Users\franc\OneDrive\Documentos\MALENTIN KARIME\BANCO CREDITO\FER LORCA en ROSITA (Rosita)\FER\PUNIT. TERMINADOS\MANDATO PUNITAQUI 4.doc", "Abrir Documento")</f>
        <v>0</v>
      </c>
      <c r="D21199" t="s">
        <v>23500</v>
      </c>
      <c r="E21199" t="s">
        <v>43667</v>
      </c>
    </row>
    <row r="21200" spans="1:5">
      <c r="A21200" t="s">
        <v>6</v>
      </c>
      <c r="B21200" t="s">
        <v>21205</v>
      </c>
      <c r="C21200">
        <f>HYPERLINK("C:\Users\franc\OneDrive\Documentos\MALENTIN KARIME\BANCO CREDITO\FER LORCA en ROSITA (Rosita)\FER\PUNIT. TERMINADOS\MANDATO PUNITAQUI 3.doc", "Abrir Documento")</f>
        <v>0</v>
      </c>
      <c r="D21200" t="s">
        <v>23500</v>
      </c>
      <c r="E21200" t="s">
        <v>43668</v>
      </c>
    </row>
    <row r="21201" spans="1:5">
      <c r="A21201" t="s">
        <v>6</v>
      </c>
      <c r="B21201" t="s">
        <v>21206</v>
      </c>
      <c r="C21201">
        <f>HYPERLINK("C:\Users\franc\OneDrive\Documentos\MALENTIN KARIME\BANCO CREDITO\FER LORCA en ROSITA (Rosita)\FER\PROTOCOLIZACION\TRANSACCION\TRANSACCION DIVORCIO.doc", "Abrir Documento")</f>
        <v>0</v>
      </c>
      <c r="D21201" t="s">
        <v>23500</v>
      </c>
      <c r="E21201" t="s">
        <v>43669</v>
      </c>
    </row>
    <row r="21202" spans="1:5">
      <c r="A21202" t="s">
        <v>6</v>
      </c>
      <c r="B21202" t="s">
        <v>21207</v>
      </c>
      <c r="C21202">
        <f>HYPERLINK("C:\Users\franc\OneDrive\Documentos\MALENTIN KARIME\BANCO CREDITO\FER LORCA en ROSITA (Rosita)\FER\PROTOCOLIZACION\PAOLA CARVAJAL VALENZUELA.doc", "Abrir Documento")</f>
        <v>0</v>
      </c>
      <c r="D21202" t="s">
        <v>23500</v>
      </c>
      <c r="E21202" t="s">
        <v>43670</v>
      </c>
    </row>
    <row r="21203" spans="1:5">
      <c r="A21203" t="s">
        <v>6</v>
      </c>
      <c r="B21203" t="s">
        <v>21208</v>
      </c>
      <c r="C21203">
        <f>HYPERLINK("C:\Users\franc\OneDrive\Documentos\MALENTIN KARIME\BANCO CREDITO\FER LORCA en ROSITA (Rosita)\FER\PROTOCOLIZACION\FACTORING.doc", "Abrir Documento")</f>
        <v>0</v>
      </c>
      <c r="D21203" t="s">
        <v>23500</v>
      </c>
      <c r="E21203" t="s">
        <v>43671</v>
      </c>
    </row>
    <row r="21204" spans="1:5">
      <c r="A21204" t="s">
        <v>6</v>
      </c>
      <c r="B21204" t="s">
        <v>21209</v>
      </c>
      <c r="C21204">
        <f>HYPERLINK("C:\Users\franc\OneDrive\Documentos\MALENTIN KARIME\BANCO CREDITO\FER LORCA en ROSITA (Rosita)\FER\PROTOCOLIZACION\COMUNIDAD DE ORURO.doc", "Abrir Documento")</f>
        <v>0</v>
      </c>
      <c r="D21204" t="s">
        <v>23500</v>
      </c>
      <c r="E21204" t="s">
        <v>43672</v>
      </c>
    </row>
    <row r="21205" spans="1:5">
      <c r="A21205" t="s">
        <v>6</v>
      </c>
      <c r="B21205" t="s">
        <v>21210</v>
      </c>
      <c r="C21205">
        <f>HYPERLINK("C:\Users\franc\OneDrive\Documentos\MALENTIN KARIME\BANCO CREDITO\FER LORCA en ROSITA (Rosita)\FER\PROTOCOLIZACION\AUTORIZA LIBRO PARA COPIAS.doc", "Abrir Documento")</f>
        <v>0</v>
      </c>
      <c r="D21205" t="s">
        <v>23500</v>
      </c>
      <c r="E21205" t="s">
        <v>43673</v>
      </c>
    </row>
    <row r="21206" spans="1:5">
      <c r="A21206" t="s">
        <v>6</v>
      </c>
      <c r="B21206" t="s">
        <v>21211</v>
      </c>
      <c r="C21206">
        <f>HYPERLINK("C:\Users\franc\OneDrive\Documentos\MALENTIN KARIME\BANCO CREDITO\FER LORCA en ROSITA (Rosita)\FER\PROTOCOLIZACION\ADOLFO LAY.- 17-01-09.doc", "Abrir Documento")</f>
        <v>0</v>
      </c>
      <c r="D21206" t="s">
        <v>23500</v>
      </c>
      <c r="E21206" t="s">
        <v>43674</v>
      </c>
    </row>
    <row r="21207" spans="1:5">
      <c r="A21207" t="s">
        <v>6</v>
      </c>
      <c r="B21207" t="s">
        <v>21212</v>
      </c>
      <c r="C21207">
        <f>HYPERLINK("C:\Users\franc\OneDrive\Documentos\MALENTIN KARIME\BANCO CREDITO\FER LORCA en ROSITA (Rosita)\FER\PROTOCOLIZACION\3º CIA. BOMBEROS.doc", "Abrir Documento")</f>
        <v>0</v>
      </c>
      <c r="D21207" t="s">
        <v>23500</v>
      </c>
      <c r="E21207" t="s">
        <v>43675</v>
      </c>
    </row>
    <row r="21208" spans="1:5">
      <c r="A21208" t="s">
        <v>6</v>
      </c>
      <c r="B21208" t="s">
        <v>21213</v>
      </c>
      <c r="C21208">
        <f>HYPERLINK("C:\Users\franc\OneDrive\Documentos\MALENTIN KARIME\BANCO CREDITO\FER LORCA en ROSITA (Rosita)\FER\PROTOCOLIZACION\3º CIA. BOMBEROS MANDATO.doc", "Abrir Documento")</f>
        <v>0</v>
      </c>
      <c r="D21208" t="s">
        <v>23500</v>
      </c>
      <c r="E21208" t="s">
        <v>43676</v>
      </c>
    </row>
    <row r="21209" spans="1:5">
      <c r="A21209" t="s">
        <v>6</v>
      </c>
      <c r="B21209" t="s">
        <v>21214</v>
      </c>
      <c r="C21209">
        <f>HYPERLINK("C:\Users\franc\OneDrive\Documentos\MALENTIN KARIME\BANCO CREDITO\FER LORCA en ROSITA (Rosita)\FER\PROMESAS\VEHICULO\JUAN F. TAPIA Y ROBERTO DIAZ.doc", "Abrir Documento")</f>
        <v>0</v>
      </c>
      <c r="D21209" t="s">
        <v>23500</v>
      </c>
      <c r="E21209" t="s">
        <v>43677</v>
      </c>
    </row>
    <row r="21210" spans="1:5">
      <c r="A21210" t="s">
        <v>6</v>
      </c>
      <c r="B21210" t="s">
        <v>21215</v>
      </c>
      <c r="C21210">
        <f>HYPERLINK("C:\Users\franc\OneDrive\Documentos\MALENTIN KARIME\BANCO CREDITO\FER LORCA en ROSITA (Rosita)\FER\PROMESAS\VEHICULO\ADOLFO ARAYA A RICARDO ZAMORA.doc", "Abrir Documento")</f>
        <v>0</v>
      </c>
      <c r="D21210" t="s">
        <v>23500</v>
      </c>
      <c r="E21210" t="s">
        <v>43678</v>
      </c>
    </row>
    <row r="21211" spans="1:5">
      <c r="A21211" t="s">
        <v>6</v>
      </c>
      <c r="B21211" t="s">
        <v>21216</v>
      </c>
      <c r="C21211">
        <f>HYPERLINK("C:\Users\franc\OneDrive\Documentos\MALENTIN KARIME\BANCO CREDITO\FER LORCA en ROSITA (Rosita)\FER\MUNIC. OVALLE\ALZAMIENTOS\PATRICIA MEDALLA CASTILLO.doc", "Abrir Documento")</f>
        <v>0</v>
      </c>
      <c r="D21211" t="s">
        <v>23500</v>
      </c>
      <c r="E21211" t="s">
        <v>43679</v>
      </c>
    </row>
    <row r="21212" spans="1:5">
      <c r="A21212" t="s">
        <v>6</v>
      </c>
      <c r="B21212" t="s">
        <v>21217</v>
      </c>
      <c r="C21212">
        <f>HYPERLINK("C:\Users\franc\OneDrive\Documentos\MALENTIN KARIME\BANCO CREDITO\FER LORCA en ROSITA (Rosita)\FER\MAº INES CORTES CORRAL\MAº CORTES CORRAL.doc", "Abrir Documento")</f>
        <v>0</v>
      </c>
      <c r="D21212" t="s">
        <v>23500</v>
      </c>
      <c r="E21212" t="s">
        <v>43680</v>
      </c>
    </row>
    <row r="21213" spans="1:5">
      <c r="A21213" t="s">
        <v>6</v>
      </c>
      <c r="B21213" t="s">
        <v>21218</v>
      </c>
      <c r="C21213">
        <f>HYPERLINK("C:\Users\franc\OneDrive\Documentos\MALENTIN KARIME\BANCO CREDITO\FER LORCA en ROSITA (Rosita)\FER\MAº INES CORTES CORRAL\MANDATO MAº CORTES CORRAL.doc", "Abrir Documento")</f>
        <v>0</v>
      </c>
      <c r="D21213" t="s">
        <v>23500</v>
      </c>
      <c r="E21213" t="s">
        <v>43681</v>
      </c>
    </row>
    <row r="21214" spans="1:5">
      <c r="A21214" t="s">
        <v>6</v>
      </c>
      <c r="B21214" t="s">
        <v>21219</v>
      </c>
      <c r="C21214">
        <f>HYPERLINK("C:\Users\franc\OneDrive\Documentos\MALENTIN KARIME\BANCO CREDITO\FER LORCA en ROSITA (Rosita)\FER\MAº INES CORTES CORRAL\1.doc", "Abrir Documento")</f>
        <v>0</v>
      </c>
      <c r="D21214" t="s">
        <v>23500</v>
      </c>
      <c r="E21214" t="s">
        <v>43682</v>
      </c>
    </row>
    <row r="21215" spans="1:5">
      <c r="A21215" t="s">
        <v>6</v>
      </c>
      <c r="B21215" t="s">
        <v>21220</v>
      </c>
      <c r="C21215">
        <f>HYPERLINK("C:\Users\franc\OneDrive\Documentos\MALENTIN KARIME\BANCO CREDITO\FER LORCA en ROSITA (Rosita)\FER\MANDATO JUDICIAL\PEDRO LEIVA A FELIX OSSANDON.doc", "Abrir Documento")</f>
        <v>0</v>
      </c>
      <c r="D21215" t="s">
        <v>23500</v>
      </c>
      <c r="E21215" t="s">
        <v>43683</v>
      </c>
    </row>
    <row r="21216" spans="1:5">
      <c r="A21216" t="s">
        <v>6</v>
      </c>
      <c r="B21216" t="s">
        <v>21221</v>
      </c>
      <c r="C21216">
        <f>HYPERLINK("C:\Users\franc\OneDrive\Documentos\MALENTIN KARIME\BANCO CREDITO\FER LORCA en ROSITA (Rosita)\FER\MANDATO JUDICIAL\PAOLA PAZ A J.P. CORRAL.doc", "Abrir Documento")</f>
        <v>0</v>
      </c>
      <c r="D21216" t="s">
        <v>23500</v>
      </c>
      <c r="E21216" t="s">
        <v>43684</v>
      </c>
    </row>
    <row r="21217" spans="1:5">
      <c r="A21217" t="s">
        <v>6</v>
      </c>
      <c r="B21217" t="s">
        <v>21222</v>
      </c>
      <c r="C21217">
        <f>HYPERLINK("C:\Users\franc\OneDrive\Documentos\MALENTIN KARIME\BANCO CREDITO\FER LORCA en ROSITA (Rosita)\FER\MANDATO JUDICIAL\MARIO ALVAREZ A E. RIVAS. JUDIC..doc", "Abrir Documento")</f>
        <v>0</v>
      </c>
      <c r="D21217" t="s">
        <v>23500</v>
      </c>
      <c r="E21217" t="s">
        <v>43685</v>
      </c>
    </row>
    <row r="21218" spans="1:5">
      <c r="A21218" t="s">
        <v>6</v>
      </c>
      <c r="B21218" t="s">
        <v>21223</v>
      </c>
      <c r="C21218">
        <f>HYPERLINK("C:\Users\franc\OneDrive\Documentos\MALENTIN KARIME\BANCO CREDITO\FER LORCA en ROSITA (Rosita)\FER\MANDATO JUDICIAL\INVENTARIO SIMPLE CASA.doc", "Abrir Documento")</f>
        <v>0</v>
      </c>
      <c r="D21218" t="s">
        <v>23500</v>
      </c>
      <c r="E21218" t="s">
        <v>43686</v>
      </c>
    </row>
    <row r="21219" spans="1:5">
      <c r="A21219" t="s">
        <v>6</v>
      </c>
      <c r="B21219" t="s">
        <v>21224</v>
      </c>
      <c r="C21219">
        <f>HYPERLINK("C:\Users\franc\OneDrive\Documentos\MALENTIN KARIME\BANCO CREDITO\FER LORCA en ROSITA (Rosita)\FER\MANDATO JUDICIAL\FERNANDO SANCHEZ VILCHES.doc", "Abrir Documento")</f>
        <v>0</v>
      </c>
      <c r="D21219" t="s">
        <v>23500</v>
      </c>
      <c r="E21219" t="s">
        <v>43687</v>
      </c>
    </row>
    <row r="21220" spans="1:5">
      <c r="A21220" t="s">
        <v>6</v>
      </c>
      <c r="B21220" t="s">
        <v>21225</v>
      </c>
      <c r="C21220">
        <f>HYPERLINK("C:\Users\franc\OneDrive\Documentos\MALENTIN KARIME\BANCO CREDITO\FER LORCA en ROSITA (Rosita)\FER\SINOPSIS DOCUMENTAL.doc", "Abrir Documento")</f>
        <v>0</v>
      </c>
      <c r="D21220" t="s">
        <v>23500</v>
      </c>
      <c r="E21220" t="s">
        <v>43688</v>
      </c>
    </row>
    <row r="21221" spans="1:5">
      <c r="A21221" t="s">
        <v>6</v>
      </c>
      <c r="B21221" t="s">
        <v>21226</v>
      </c>
      <c r="C21221">
        <f>HYPERLINK("C:\Users\franc\OneDrive\Documentos\MALENTIN KARIME\BANCO CREDITO\FER LORCA en ROSITA (Rosita)\FER\MTO. ESPECIAL BRUNILDA CARVAJAL.doc", "Abrir Documento")</f>
        <v>0</v>
      </c>
      <c r="D21221" t="s">
        <v>23500</v>
      </c>
      <c r="E21221" t="s">
        <v>43689</v>
      </c>
    </row>
    <row r="21222" spans="1:5">
      <c r="A21222" t="s">
        <v>6</v>
      </c>
      <c r="B21222" t="s">
        <v>21227</v>
      </c>
      <c r="C21222">
        <f>HYPERLINK("C:\Users\franc\OneDrive\Documentos\MALENTIN KARIME\BANCO CREDITO\FER LORCA en ROSITA (Rosita)\FER\MTO. CONTRATISTA.doc", "Abrir Documento")</f>
        <v>0</v>
      </c>
      <c r="D21222" t="s">
        <v>23500</v>
      </c>
      <c r="E21222" t="s">
        <v>43690</v>
      </c>
    </row>
    <row r="21223" spans="1:5">
      <c r="A21223" t="s">
        <v>6</v>
      </c>
      <c r="B21223" t="s">
        <v>21228</v>
      </c>
      <c r="C21223">
        <f>HYPERLINK("C:\Users\franc\OneDrive\Documentos\MALENTIN KARIME\BANCO CREDITO\FER LORCA en ROSITA (Rosita)\FER\MTO. CONT. HECTOR VELIZ.doc", "Abrir Documento")</f>
        <v>0</v>
      </c>
      <c r="D21223" t="s">
        <v>23500</v>
      </c>
      <c r="E21223" t="s">
        <v>43691</v>
      </c>
    </row>
    <row r="21224" spans="1:5">
      <c r="A21224" t="s">
        <v>6</v>
      </c>
      <c r="B21224" t="s">
        <v>21229</v>
      </c>
      <c r="C21224">
        <f>HYPERLINK("C:\Users\franc\OneDrive\Documentos\MALENTIN KARIME\BANCO CREDITO\FER LORCA en ROSITA (Rosita)\FER\MANDATO ESPECIAL CHEQUES.doc", "Abrir Documento")</f>
        <v>0</v>
      </c>
      <c r="D21224" t="s">
        <v>23500</v>
      </c>
      <c r="E21224" t="s">
        <v>43692</v>
      </c>
    </row>
    <row r="21225" spans="1:5">
      <c r="A21225" t="s">
        <v>6</v>
      </c>
      <c r="B21225" t="s">
        <v>21230</v>
      </c>
      <c r="C21225">
        <f>HYPERLINK("C:\Users\franc\OneDrive\Documentos\MALENTIN KARIME\BANCO CREDITO\FER LORCA en ROSITA (Rosita)\FER\FIRMAS.doc", "Abrir Documento")</f>
        <v>0</v>
      </c>
      <c r="D21225" t="s">
        <v>23500</v>
      </c>
      <c r="E21225" t="s">
        <v>43693</v>
      </c>
    </row>
    <row r="21226" spans="1:5">
      <c r="A21226" t="s">
        <v>6</v>
      </c>
      <c r="B21226" t="s">
        <v>21231</v>
      </c>
      <c r="C21226">
        <f>HYPERLINK("C:\Users\franc\OneDrive\Documentos\MALENTIN KARIME\BANCO CREDITO\FER LORCA en ROSITA (Rosita)\FER\DORALISA CASTILLO Chq. Capel.doc", "Abrir Documento")</f>
        <v>0</v>
      </c>
      <c r="D21226" t="s">
        <v>23500</v>
      </c>
      <c r="E21226" t="s">
        <v>43694</v>
      </c>
    </row>
    <row r="21227" spans="1:5">
      <c r="A21227" t="s">
        <v>6</v>
      </c>
      <c r="B21227" t="s">
        <v>21232</v>
      </c>
      <c r="C21227">
        <f>HYPERLINK("C:\Users\franc\OneDrive\Documentos\MALENTIN KARIME\BANCO CREDITO\FER LORCA en ROSITA (Rosita)\FER\DECLARACION MODELO.doc", "Abrir Documento")</f>
        <v>0</v>
      </c>
      <c r="D21227" t="s">
        <v>23500</v>
      </c>
      <c r="E21227" t="s">
        <v>43695</v>
      </c>
    </row>
    <row r="21228" spans="1:5">
      <c r="A21228" t="s">
        <v>6</v>
      </c>
      <c r="B21228" t="s">
        <v>21233</v>
      </c>
      <c r="C21228">
        <f>HYPERLINK("C:\Users\franc\OneDrive\Documentos\MALENTIN KARIME\BANCO CREDITO\FER LORCA en ROSITA (Rosita)\FER\CERTIFICACION COPIA MATRIZ.doc", "Abrir Documento")</f>
        <v>0</v>
      </c>
      <c r="D21228" t="s">
        <v>23500</v>
      </c>
      <c r="E21228" t="s">
        <v>43696</v>
      </c>
    </row>
    <row r="21229" spans="1:5">
      <c r="A21229" t="s">
        <v>6</v>
      </c>
      <c r="B21229" t="s">
        <v>21234</v>
      </c>
      <c r="C21229">
        <f>HYPERLINK("C:\Users\franc\OneDrive\Documentos\MALENTIN KARIME\BANCO CREDITO\FER LORCA en ROSITA (Rosita)\FER\AUT. FIRMAS.doc", "Abrir Documento")</f>
        <v>0</v>
      </c>
      <c r="D21229" t="s">
        <v>23500</v>
      </c>
      <c r="E21229" t="s">
        <v>43697</v>
      </c>
    </row>
    <row r="21230" spans="1:5">
      <c r="A21230" t="s">
        <v>6</v>
      </c>
      <c r="B21230" t="s">
        <v>21235</v>
      </c>
      <c r="C21230">
        <f>HYPERLINK("C:\Users\franc\OneDrive\Documentos\MALENTIN KARIME\BANCO CREDITO\FER LORCA en ROSITA (Rosita)\FER\ASS.doc", "Abrir Documento")</f>
        <v>0</v>
      </c>
      <c r="D21230" t="s">
        <v>23500</v>
      </c>
      <c r="E21230" t="s">
        <v>43698</v>
      </c>
    </row>
    <row r="21231" spans="1:5">
      <c r="A21231" t="s">
        <v>6</v>
      </c>
      <c r="B21231" t="s">
        <v>21236</v>
      </c>
      <c r="C21231">
        <f>HYPERLINK("C:\Users\franc\OneDrive\Documentos\MALENTIN KARIME\BANCO CREDITO\FER LORCA en ROSITA (Rosita)\FACTORONE\SEPTIEMBRE\valle grande ltda.-.doc", "Abrir Documento")</f>
        <v>0</v>
      </c>
      <c r="D21231" t="s">
        <v>23500</v>
      </c>
      <c r="E21231" t="s">
        <v>43699</v>
      </c>
    </row>
    <row r="21232" spans="1:5">
      <c r="A21232" t="s">
        <v>6</v>
      </c>
      <c r="B21232" t="s">
        <v>21237</v>
      </c>
      <c r="C21232">
        <f>HYPERLINK("C:\Users\franc\OneDrive\Documentos\MALENTIN KARIME\BANCO CREDITO\FER LORCA en ROSITA (Rosita)\FACTORONE\SEPTIEMBRE\RUBEN BERIOS AVILA.doc", "Abrir Documento")</f>
        <v>0</v>
      </c>
      <c r="D21232" t="s">
        <v>23500</v>
      </c>
      <c r="E21232" t="s">
        <v>43700</v>
      </c>
    </row>
    <row r="21233" spans="1:5">
      <c r="A21233" t="s">
        <v>6</v>
      </c>
      <c r="B21233" t="s">
        <v>21238</v>
      </c>
      <c r="C21233">
        <f>HYPERLINK("C:\Users\franc\OneDrive\Documentos\MALENTIN KARIME\BANCO CREDITO\FER LORCA en ROSITA (Rosita)\FACTORONE\SEPTIEMBRE\CTO. LUIS ARAYA CASTRO.doc", "Abrir Documento")</f>
        <v>0</v>
      </c>
      <c r="D21233" t="s">
        <v>23500</v>
      </c>
      <c r="E21233" t="s">
        <v>43701</v>
      </c>
    </row>
    <row r="21234" spans="1:5">
      <c r="A21234" t="s">
        <v>6</v>
      </c>
      <c r="B21234" t="s">
        <v>21239</v>
      </c>
      <c r="C21234">
        <f>HYPERLINK("C:\Users\franc\OneDrive\Documentos\MALENTIN KARIME\BANCO CREDITO\FER LORCA en ROSITA (Rosita)\FACTORONE\SEPTIEMBRE\Carta Notificacion carlos adaos pizarro (valle grande S[1].A).doc", "Abrir Documento")</f>
        <v>0</v>
      </c>
      <c r="D21234" t="s">
        <v>23500</v>
      </c>
      <c r="E21234" t="s">
        <v>43702</v>
      </c>
    </row>
    <row r="21235" spans="1:5">
      <c r="A21235" t="s">
        <v>6</v>
      </c>
      <c r="B21235" t="s">
        <v>21240</v>
      </c>
      <c r="C21235">
        <f>HYPERLINK("C:\Users\franc\OneDrive\Documentos\MALENTIN KARIME\BANCO CREDITO\FER LORCA en ROSITA (Rosita)\FACTORONE\SEPTIEMBRE\CARTA NOTIFICA. LUIS CORTES.doc", "Abrir Documento")</f>
        <v>0</v>
      </c>
      <c r="D21235" t="s">
        <v>23500</v>
      </c>
      <c r="E21235" t="s">
        <v>43703</v>
      </c>
    </row>
    <row r="21236" spans="1:5">
      <c r="A21236" t="s">
        <v>6</v>
      </c>
      <c r="B21236" t="s">
        <v>21241</v>
      </c>
      <c r="C21236">
        <f>HYPERLINK("C:\Users\franc\OneDrive\Documentos\MALENTIN KARIME\BANCO CREDITO\FER LORCA en ROSITA (Rosita)\FACTORONE\OCTUBRE\RICARDO MONTERO.doc", "Abrir Documento")</f>
        <v>0</v>
      </c>
      <c r="D21236" t="s">
        <v>23500</v>
      </c>
      <c r="E21236" t="s">
        <v>43704</v>
      </c>
    </row>
    <row r="21237" spans="1:5">
      <c r="A21237" t="s">
        <v>6</v>
      </c>
      <c r="B21237" t="s">
        <v>21242</v>
      </c>
      <c r="C21237">
        <f>HYPERLINK("C:\Users\franc\OneDrive\Documentos\MALENTIN KARIME\BANCO CREDITO\FER LORCA en ROSITA (Rosita)\FACTORONE\OCTUBRE\CARLOS ADAOS PIZARRO.doc", "Abrir Documento")</f>
        <v>0</v>
      </c>
      <c r="D21237" t="s">
        <v>23500</v>
      </c>
      <c r="E21237" t="s">
        <v>43705</v>
      </c>
    </row>
    <row r="21238" spans="1:5">
      <c r="A21238" t="s">
        <v>6</v>
      </c>
      <c r="B21238" t="s">
        <v>21243</v>
      </c>
      <c r="C21238">
        <f>HYPERLINK("C:\Users\franc\OneDrive\Documentos\MALENTIN KARIME\BANCO CREDITO\FER LORCA en ROSITA (Rosita)\FACTORONE\FEBRERO\carta de notificación José Ossa 08-02-2010.doc", "Abrir Documento")</f>
        <v>0</v>
      </c>
      <c r="D21238" t="s">
        <v>23500</v>
      </c>
      <c r="E21238" t="s">
        <v>43706</v>
      </c>
    </row>
    <row r="21239" spans="1:5">
      <c r="A21239" t="s">
        <v>6</v>
      </c>
      <c r="B21239" t="s">
        <v>21244</v>
      </c>
      <c r="C21239">
        <f>HYPERLINK("C:\Users\franc\OneDrive\Documentos\MALENTIN KARIME\BANCO CREDITO\FER LORCA en ROSITA (Rosita)\FACTORONE\AGOSTO 2010\ctt.Comercial Javier Rodriguez E.I.R.L.doc", "Abrir Documento")</f>
        <v>0</v>
      </c>
      <c r="D21239" t="s">
        <v>23500</v>
      </c>
      <c r="E21239" t="s">
        <v>43707</v>
      </c>
    </row>
    <row r="21240" spans="1:5">
      <c r="A21240" t="s">
        <v>6</v>
      </c>
      <c r="B21240" t="s">
        <v>21245</v>
      </c>
      <c r="C21240">
        <f>HYPERLINK("C:\Users\franc\OneDrive\Documentos\MALENTIN KARIME\BANCO CREDITO\FER LORCA en ROSITA (Rosita)\FACTORONE\AGOSTO\JORGE IBACACHE.doc", "Abrir Documento")</f>
        <v>0</v>
      </c>
      <c r="D21240" t="s">
        <v>23500</v>
      </c>
      <c r="E21240" t="s">
        <v>43708</v>
      </c>
    </row>
    <row r="21241" spans="1:5">
      <c r="A21241" t="s">
        <v>6</v>
      </c>
      <c r="B21241" t="s">
        <v>21246</v>
      </c>
      <c r="C21241">
        <f>HYPERLINK("C:\Users\franc\OneDrive\Documentos\MALENTIN KARIME\BANCO CREDITO\FER LORCA en ROSITA (Rosita)\FACTORONE\AGOSTO\ALBERTO SCHENFELD.doc", "Abrir Documento")</f>
        <v>0</v>
      </c>
      <c r="D21241" t="s">
        <v>23500</v>
      </c>
      <c r="E21241" t="s">
        <v>43709</v>
      </c>
    </row>
    <row r="21242" spans="1:5">
      <c r="A21242" t="s">
        <v>6</v>
      </c>
      <c r="B21242" t="s">
        <v>21247</v>
      </c>
      <c r="C21242">
        <f>HYPERLINK("C:\Users\franc\OneDrive\Documentos\MALENTIN KARIME\BANCO CREDITO\FER LORCA en ROSITA (Rosita)\FACTORONE\SOBRE medio.doc", "Abrir Documento")</f>
        <v>0</v>
      </c>
      <c r="D21242" t="s">
        <v>23500</v>
      </c>
      <c r="E21242" t="s">
        <v>43710</v>
      </c>
    </row>
    <row r="21243" spans="1:5">
      <c r="A21243" t="s">
        <v>6</v>
      </c>
      <c r="B21243" t="s">
        <v>21248</v>
      </c>
      <c r="C21243">
        <f>HYPERLINK("C:\Users\franc\OneDrive\Documentos\MALENTIN KARIME\BANCO CREDITO\FER LORCA en ROSITA (Rosita)\FACTORONE\SOBRE medio.-otro.doc", "Abrir Documento")</f>
        <v>0</v>
      </c>
      <c r="D21243" t="s">
        <v>23500</v>
      </c>
      <c r="E21243" t="s">
        <v>43711</v>
      </c>
    </row>
    <row r="21244" spans="1:5">
      <c r="A21244" t="s">
        <v>6</v>
      </c>
      <c r="B21244" t="s">
        <v>21249</v>
      </c>
      <c r="C21244">
        <f>HYPERLINK("C:\Users\franc\OneDrive\Documentos\MALENTIN KARIME\BANCO CREDITO\FER LORCA en ROSITA (Rosita)\FACTORONE\PODER ESPECIAL.- PERSONA NATURAL.doc", "Abrir Documento")</f>
        <v>0</v>
      </c>
      <c r="D21244" t="s">
        <v>23500</v>
      </c>
      <c r="E21244" t="s">
        <v>43712</v>
      </c>
    </row>
    <row r="21245" spans="1:5">
      <c r="A21245" t="s">
        <v>6</v>
      </c>
      <c r="B21245" t="s">
        <v>21250</v>
      </c>
      <c r="C21245">
        <f>HYPERLINK("C:\Users\franc\OneDrive\Documentos\MALENTIN KARIME\BANCO CREDITO\FER LORCA en ROSITA (Rosita)\FACTORONE\notificacion.doc", "Abrir Documento")</f>
        <v>0</v>
      </c>
      <c r="D21245" t="s">
        <v>23500</v>
      </c>
      <c r="E21245" t="s">
        <v>43713</v>
      </c>
    </row>
    <row r="21246" spans="1:5">
      <c r="A21246" t="s">
        <v>6</v>
      </c>
      <c r="B21246" t="s">
        <v>21251</v>
      </c>
      <c r="C21246">
        <f>HYPERLINK("C:\Users\franc\OneDrive\Documentos\MALENTIN KARIME\BANCO CREDITO\FER LORCA en ROSITA (Rosita)\FACTORONE\MANDATO ESPECIAL.doc", "Abrir Documento")</f>
        <v>0</v>
      </c>
      <c r="D21246" t="s">
        <v>23500</v>
      </c>
      <c r="E21246" t="s">
        <v>43714</v>
      </c>
    </row>
    <row r="21247" spans="1:5">
      <c r="A21247" t="s">
        <v>6</v>
      </c>
      <c r="B21247" t="s">
        <v>21252</v>
      </c>
      <c r="C21247">
        <f>HYPERLINK("C:\Users\franc\OneDrive\Documentos\MALENTIN KARIME\BANCO CREDITO\FER LORCA en ROSITA (Rosita)\FACTORONE\GILBERTO PARDO.doc", "Abrir Documento")</f>
        <v>0</v>
      </c>
      <c r="D21247" t="s">
        <v>23500</v>
      </c>
      <c r="E21247" t="s">
        <v>43715</v>
      </c>
    </row>
    <row r="21248" spans="1:5">
      <c r="A21248" t="s">
        <v>6</v>
      </c>
      <c r="B21248" t="s">
        <v>21253</v>
      </c>
      <c r="C21248">
        <f>HYPERLINK("C:\Users\franc\OneDrive\Documentos\MALENTIN KARIME\BANCO CREDITO\FER LORCA en ROSITA (Rosita)\FACTORONE\CARTA NOTIFICACION CONSTRUCMART.doc", "Abrir Documento")</f>
        <v>0</v>
      </c>
      <c r="D21248" t="s">
        <v>23500</v>
      </c>
      <c r="E21248" t="s">
        <v>43716</v>
      </c>
    </row>
    <row r="21249" spans="1:5">
      <c r="A21249" t="s">
        <v>6</v>
      </c>
      <c r="B21249" t="s">
        <v>21254</v>
      </c>
      <c r="C21249">
        <f>HYPERLINK("C:\Users\franc\OneDrive\Documentos\MALENTIN KARIME\BANCO CREDITO\FER LORCA en ROSITA (Rosita)\FACTORLINE\9. FAC. Pna.Nat. con aval casado- autoriz.conyuge.doc", "Abrir Documento")</f>
        <v>0</v>
      </c>
      <c r="D21249" t="s">
        <v>23500</v>
      </c>
      <c r="E21249" t="s">
        <v>43717</v>
      </c>
    </row>
    <row r="21250" spans="1:5">
      <c r="A21250" t="s">
        <v>6</v>
      </c>
      <c r="B21250" t="s">
        <v>21255</v>
      </c>
      <c r="C21250">
        <f>HYPERLINK("C:\Users\franc\OneDrive\Documentos\MALENTIN KARIME\BANCO CREDITO\FER LORCA en ROSITA (Rosita)\FACTORLINE\8. FAC. Pna.Nat con aval. (1).doc", "Abrir Documento")</f>
        <v>0</v>
      </c>
      <c r="D21250" t="s">
        <v>23500</v>
      </c>
      <c r="E21250" t="s">
        <v>43718</v>
      </c>
    </row>
    <row r="21251" spans="1:5">
      <c r="A21251" t="s">
        <v>6</v>
      </c>
      <c r="B21251" t="s">
        <v>21256</v>
      </c>
      <c r="C21251">
        <f>HYPERLINK("C:\Users\franc\OneDrive\Documentos\MALENTIN KARIME\BANCO CREDITO\FER LORCA en ROSITA (Rosita)\FACTORLINE\7. FAC. Pna.Nat. sin aval.doc", "Abrir Documento")</f>
        <v>0</v>
      </c>
      <c r="D21251" t="s">
        <v>23500</v>
      </c>
      <c r="E21251" t="s">
        <v>43719</v>
      </c>
    </row>
    <row r="21252" spans="1:5">
      <c r="A21252" t="s">
        <v>6</v>
      </c>
      <c r="B21252" t="s">
        <v>21257</v>
      </c>
      <c r="C21252">
        <f>HYPERLINK("C:\Users\franc\OneDrive\Documentos\MALENTIN KARIME\BANCO CREDITO\FER LORCA en ROSITA (Rosita)\FACTORLINE\5. FAC. Pna.Jdca con aval casado- autoriz.conyuge (1).doc", "Abrir Documento")</f>
        <v>0</v>
      </c>
      <c r="D21252" t="s">
        <v>23500</v>
      </c>
      <c r="E21252" t="s">
        <v>43720</v>
      </c>
    </row>
    <row r="21253" spans="1:5">
      <c r="A21253" t="s">
        <v>6</v>
      </c>
      <c r="B21253" t="s">
        <v>21258</v>
      </c>
      <c r="C21253">
        <f>HYPERLINK("C:\Users\franc\OneDrive\Documentos\MALENTIN KARIME\BANCO CREDITO\FER LORCA en ROSITA (Rosita)\FACTORLINE\4. FAC. Pna.Jdca con aval Soltero.doc", "Abrir Documento")</f>
        <v>0</v>
      </c>
      <c r="D21253" t="s">
        <v>23500</v>
      </c>
      <c r="E21253" t="s">
        <v>43721</v>
      </c>
    </row>
    <row r="21254" spans="1:5">
      <c r="A21254" t="s">
        <v>6</v>
      </c>
      <c r="B21254" t="s">
        <v>21259</v>
      </c>
      <c r="C21254">
        <f>HYPERLINK("C:\Users\franc\OneDrive\Documentos\MALENTIN KARIME\BANCO CREDITO\FER LORCA en ROSITA (Rosita)\FACTORLINE\3. FAC. Pna.Jdca con aval simple.doc", "Abrir Documento")</f>
        <v>0</v>
      </c>
      <c r="D21254" t="s">
        <v>23500</v>
      </c>
      <c r="E21254" t="s">
        <v>43722</v>
      </c>
    </row>
    <row r="21255" spans="1:5">
      <c r="A21255" t="s">
        <v>6</v>
      </c>
      <c r="B21255" t="s">
        <v>21260</v>
      </c>
      <c r="C21255">
        <f>HYPERLINK("C:\Users\franc\OneDrive\Documentos\MALENTIN KARIME\BANCO CREDITO\FER LORCA en ROSITA (Rosita)\FACTORLINE\2. FAC. Pna.Jdca sin aval.doc", "Abrir Documento")</f>
        <v>0</v>
      </c>
      <c r="D21255" t="s">
        <v>23500</v>
      </c>
      <c r="E21255" t="s">
        <v>43723</v>
      </c>
    </row>
    <row r="21256" spans="1:5">
      <c r="A21256" t="s">
        <v>6</v>
      </c>
      <c r="B21256" t="s">
        <v>21261</v>
      </c>
      <c r="C21256">
        <f>HYPERLINK("C:\Users\franc\OneDrive\Documentos\MALENTIN KARIME\BANCO CREDITO\FER LORCA en ROSITA (Rosita)\FACTORING EUROAMERICA\MTO. ESPECIAL. AGRIC. CANTA RANA.doc", "Abrir Documento")</f>
        <v>0</v>
      </c>
      <c r="D21256" t="s">
        <v>23500</v>
      </c>
      <c r="E21256" t="s">
        <v>43724</v>
      </c>
    </row>
    <row r="21257" spans="1:5">
      <c r="A21257" t="s">
        <v>6</v>
      </c>
      <c r="B21257" t="s">
        <v>21262</v>
      </c>
      <c r="C21257">
        <f>HYPERLINK("C:\Users\franc\OneDrive\Documentos\MALENTIN KARIME\BANCO CREDITO\FER LORCA en ROSITA (Rosita)\FACTORING EUROAMERICA\FACT. AGRIC. CANTA RANA.doc", "Abrir Documento")</f>
        <v>0</v>
      </c>
      <c r="D21257" t="s">
        <v>23500</v>
      </c>
      <c r="E21257" t="s">
        <v>43725</v>
      </c>
    </row>
    <row r="21258" spans="1:5">
      <c r="A21258" t="s">
        <v>6</v>
      </c>
      <c r="B21258" t="s">
        <v>21263</v>
      </c>
      <c r="C21258">
        <f>HYPERLINK("C:\Users\franc\OneDrive\Documentos\MALENTIN KARIME\BANCO CREDITO\FER LORCA en ROSITA (Rosita)\FACTORING\Contrato_Factoring BENJAMIN CORTES.doc", "Abrir Documento")</f>
        <v>0</v>
      </c>
      <c r="D21258" t="s">
        <v>23500</v>
      </c>
      <c r="E21258" t="s">
        <v>43726</v>
      </c>
    </row>
    <row r="21259" spans="1:5">
      <c r="A21259" t="s">
        <v>6</v>
      </c>
      <c r="B21259" t="s">
        <v>21264</v>
      </c>
      <c r="C21259">
        <f>HYPERLINK("C:\Users\franc\OneDrive\Documentos\MALENTIN KARIME\BANCO CREDITO\FER LORCA en ROSITA (Rosita)\ENTEL PCS\PODER ESPECIAL.doc", "Abrir Documento")</f>
        <v>0</v>
      </c>
      <c r="D21259" t="s">
        <v>23500</v>
      </c>
      <c r="E21259" t="s">
        <v>43727</v>
      </c>
    </row>
    <row r="21260" spans="1:5">
      <c r="A21260" t="s">
        <v>6</v>
      </c>
      <c r="B21260" t="s">
        <v>21265</v>
      </c>
      <c r="C21260">
        <f>HYPERLINK("C:\Users\franc\OneDrive\Documentos\MALENTIN KARIME\BANCO CREDITO\FER LORCA en ROSITA (Rosita)\ENTEL PCS\INSTRUCCIONES AL NOTARIO PÚBLICO OVALLE.doc", "Abrir Documento")</f>
        <v>0</v>
      </c>
      <c r="D21260" t="s">
        <v>23500</v>
      </c>
      <c r="E21260" t="s">
        <v>43728</v>
      </c>
    </row>
    <row r="21261" spans="1:5">
      <c r="A21261" t="s">
        <v>6</v>
      </c>
      <c r="B21261" t="s">
        <v>21266</v>
      </c>
      <c r="C21261">
        <f>HYPERLINK("C:\Users\franc\OneDrive\Documentos\MALENTIN KARIME\BANCO CREDITO\FER LORCA en ROSITA (Rosita)\ENTEL PCS\INSTRUCCIONES AL NOTARIO PÚBLICO OVALLE..doc", "Abrir Documento")</f>
        <v>0</v>
      </c>
      <c r="D21261" t="s">
        <v>23500</v>
      </c>
      <c r="E21261" t="s">
        <v>43729</v>
      </c>
    </row>
    <row r="21262" spans="1:5">
      <c r="A21262" t="s">
        <v>6</v>
      </c>
      <c r="B21262" t="s">
        <v>21267</v>
      </c>
      <c r="C21262">
        <f>HYPERLINK("C:\Users\franc\OneDrive\Documentos\MALENTIN KARIME\BANCO CREDITO\FER LORCA en ROSITA (Rosita)\ENTEL PCS\DECLARACIÓN JURADA Y AUTORIZACIÓN.doc", "Abrir Documento")</f>
        <v>0</v>
      </c>
      <c r="D21262" t="s">
        <v>23500</v>
      </c>
      <c r="E21262" t="s">
        <v>43730</v>
      </c>
    </row>
    <row r="21263" spans="1:5">
      <c r="A21263" t="s">
        <v>6</v>
      </c>
      <c r="B21263" t="s">
        <v>21268</v>
      </c>
      <c r="C21263">
        <f>HYPERLINK("C:\Users\franc\OneDrive\Documentos\MALENTIN KARIME\BANCO CREDITO\FER LORCA en ROSITA (Rosita)\ENTEL PCS\CONTRATO NOTARIA UFN390 SAMO ALTO.doc", "Abrir Documento")</f>
        <v>0</v>
      </c>
      <c r="D21263" t="s">
        <v>23500</v>
      </c>
      <c r="E21263" t="s">
        <v>43731</v>
      </c>
    </row>
    <row r="21264" spans="1:5">
      <c r="A21264" t="s">
        <v>6</v>
      </c>
      <c r="B21264" t="s">
        <v>21269</v>
      </c>
      <c r="C21264">
        <f>HYPERLINK("C:\Users\franc\OneDrive\Documentos\MALENTIN KARIME\BANCO CREDITO\FER LORCA en ROSITA (Rosita)\ENTEL PCS\CONTRATO NOTARIA UFN390 SAMO ALTO 2011.doc", "Abrir Documento")</f>
        <v>0</v>
      </c>
      <c r="D21264" t="s">
        <v>23500</v>
      </c>
      <c r="E21264" t="s">
        <v>43732</v>
      </c>
    </row>
    <row r="21265" spans="1:5">
      <c r="A21265" t="s">
        <v>6</v>
      </c>
      <c r="B21265" t="s">
        <v>21270</v>
      </c>
      <c r="C21265">
        <f>HYPERLINK("C:\Users\franc\OneDrive\Documentos\MALENTIN KARIME\BANCO CREDITO\FER LORCA en ROSITA (Rosita)\ENTEL PCS\AUTORIZACIÓN PARA EMPALME ELÉCTRICO PROVISORIO.doc", "Abrir Documento")</f>
        <v>0</v>
      </c>
      <c r="D21265" t="s">
        <v>23500</v>
      </c>
      <c r="E21265" t="s">
        <v>43733</v>
      </c>
    </row>
    <row r="21266" spans="1:5">
      <c r="A21266" t="s">
        <v>6</v>
      </c>
      <c r="B21266" t="s">
        <v>21271</v>
      </c>
      <c r="C21266">
        <f>HYPERLINK("C:\Users\franc\OneDrive\Documentos\MALENTIN KARIME\BANCO CREDITO\FER LORCA en ROSITA (Rosita)\DON LUIS\Cesión derechos hereditarios Alberto Cortés Paolini.doc", "Abrir Documento")</f>
        <v>0</v>
      </c>
      <c r="D21266" t="s">
        <v>23500</v>
      </c>
      <c r="E21266" t="s">
        <v>43734</v>
      </c>
    </row>
    <row r="21267" spans="1:5">
      <c r="A21267" t="s">
        <v>6</v>
      </c>
      <c r="B21267" t="s">
        <v>21272</v>
      </c>
      <c r="C21267">
        <f>HYPERLINK("C:\Users\franc\OneDrive\Documentos\MALENTIN KARIME\BANCO CREDITO\FER LORCA en ROSITA (Rosita)\DOBLE M\CV Mutuo Hipotecario (Doble M - del Atardecer 2º Etapa) EDUARDO IRIARTE ALVAREZ - Agosto.doc", "Abrir Documento")</f>
        <v>0</v>
      </c>
      <c r="D21267" t="s">
        <v>23500</v>
      </c>
      <c r="E21267" t="s">
        <v>43735</v>
      </c>
    </row>
    <row r="21268" spans="1:5">
      <c r="A21268" t="s">
        <v>6</v>
      </c>
      <c r="B21268" t="s">
        <v>21273</v>
      </c>
      <c r="C21268">
        <f>HYPERLINK("C:\Users\franc\OneDrive\Documentos\MALENTIN KARIME\BANCO CREDITO\FER LORCA en ROSITA (Rosita)\DERECHO REAL DE USO\WILSON MALEBRAN A WILSON MALEBRAN.doc", "Abrir Documento")</f>
        <v>0</v>
      </c>
      <c r="D21268" t="s">
        <v>23500</v>
      </c>
      <c r="E21268" t="s">
        <v>43736</v>
      </c>
    </row>
    <row r="21269" spans="1:5">
      <c r="A21269" t="s">
        <v>6</v>
      </c>
      <c r="B21269" t="s">
        <v>21274</v>
      </c>
      <c r="C21269">
        <f>HYPERLINK("C:\Users\franc\OneDrive\Documentos\MALENTIN KARIME\BANCO CREDITO\FER LORCA en ROSITA (Rosita)\DERECHO REAL DE USO\MARIELA ADONES A RENE RAMIREZ.- CON PROH. LEGAL.doc", "Abrir Documento")</f>
        <v>0</v>
      </c>
      <c r="D21269" t="s">
        <v>23500</v>
      </c>
      <c r="E21269" t="s">
        <v>43737</v>
      </c>
    </row>
    <row r="21270" spans="1:5">
      <c r="A21270" t="s">
        <v>6</v>
      </c>
      <c r="B21270" t="s">
        <v>21275</v>
      </c>
      <c r="C21270">
        <f>HYPERLINK("C:\Users\franc\OneDrive\Documentos\MALENTIN KARIME\BANCO CREDITO\FER LORCA en ROSITA (Rosita)\DERECHO REAL DE USO\ANA FLORES A PAMELA CARVAJAL.- MARZO 2011.doc", "Abrir Documento")</f>
        <v>0</v>
      </c>
      <c r="D21270" t="s">
        <v>23500</v>
      </c>
      <c r="E21270" t="s">
        <v>43738</v>
      </c>
    </row>
    <row r="21271" spans="1:5">
      <c r="A21271" t="s">
        <v>6</v>
      </c>
      <c r="B21271" t="s">
        <v>21276</v>
      </c>
      <c r="C21271">
        <f>HYPERLINK("C:\Users\franc\OneDrive\Documentos\MALENTIN KARIME\BANCO CREDITO\FER LORCA en ROSITA (Rosita)\DERECHO REAL DE USO\ALICIA OLIVARES A EMA BOLADOS.- ABRIL.doc", "Abrir Documento")</f>
        <v>0</v>
      </c>
      <c r="D21271" t="s">
        <v>23500</v>
      </c>
      <c r="E21271" t="s">
        <v>43739</v>
      </c>
    </row>
    <row r="21272" spans="1:5">
      <c r="A21272" t="s">
        <v>6</v>
      </c>
      <c r="B21272" t="s">
        <v>21277</v>
      </c>
      <c r="C21272">
        <f>HYPERLINK("C:\Users\franc\OneDrive\Documentos\MALENTIN KARIME\BANCO CREDITO\FER LORCA en ROSITA (Rosita)\DERECHO REAL DE USO\ALEJANDRO IBAÑEZ  A BARBARA LUKSIC.doc", "Abrir Documento")</f>
        <v>0</v>
      </c>
      <c r="D21272" t="s">
        <v>23500</v>
      </c>
      <c r="E21272" t="s">
        <v>43740</v>
      </c>
    </row>
    <row r="21273" spans="1:5">
      <c r="A21273" t="s">
        <v>6</v>
      </c>
      <c r="B21273" t="s">
        <v>21278</v>
      </c>
      <c r="C21273">
        <f>HYPERLINK("C:\Users\franc\OneDrive\Documentos\MALENTIN KARIME\BANCO CREDITO\FER LORCA en ROSITA (Rosita)\DELEGACION DE FACULTADES\WILSON SALINAS.doc", "Abrir Documento")</f>
        <v>0</v>
      </c>
      <c r="D21273" t="s">
        <v>23500</v>
      </c>
      <c r="E21273" t="s">
        <v>43741</v>
      </c>
    </row>
    <row r="21274" spans="1:5">
      <c r="A21274" t="s">
        <v>6</v>
      </c>
      <c r="B21274" t="s">
        <v>21279</v>
      </c>
      <c r="C21274">
        <f>HYPERLINK("C:\Users\franc\OneDrive\Documentos\MALENTIN KARIME\BANCO CREDITO\FER LORCA en ROSITA (Rosita)\DELEGACION DE FACULTADES\IVAN VARELA.doc", "Abrir Documento")</f>
        <v>0</v>
      </c>
      <c r="D21274" t="s">
        <v>23500</v>
      </c>
      <c r="E21274" t="s">
        <v>43742</v>
      </c>
    </row>
    <row r="21275" spans="1:5">
      <c r="A21275" t="s">
        <v>6</v>
      </c>
      <c r="B21275" t="s">
        <v>21280</v>
      </c>
      <c r="C21275">
        <f>HYPERLINK("C:\Users\franc\OneDrive\Documentos\MALENTIN KARIME\BANCO CREDITO\FER LORCA en ROSITA (Rosita)\DAVID BUGUEÑO\arrendamiento chato cruz[1].doc", "Abrir Documento")</f>
        <v>0</v>
      </c>
      <c r="D21275" t="s">
        <v>23500</v>
      </c>
      <c r="E21275" t="s">
        <v>43743</v>
      </c>
    </row>
    <row r="21276" spans="1:5">
      <c r="A21276" t="s">
        <v>6</v>
      </c>
      <c r="B21276" t="s">
        <v>21281</v>
      </c>
      <c r="C21276">
        <f>HYPERLINK("C:\Users\franc\OneDrive\Documentos\MALENTIN KARIME\BANCO CREDITO\FER LORCA en ROSITA (Rosita)\DAVID BUGUEÑO\ALZAMIENTO PRENDA.- OCTUBRE.doc", "Abrir Documento")</f>
        <v>0</v>
      </c>
      <c r="D21276" t="s">
        <v>23500</v>
      </c>
      <c r="E21276" t="s">
        <v>43744</v>
      </c>
    </row>
    <row r="21277" spans="1:5">
      <c r="A21277" t="s">
        <v>6</v>
      </c>
      <c r="B21277" t="s">
        <v>21282</v>
      </c>
      <c r="C21277">
        <f>HYPERLINK("C:\Users\franc\OneDrive\Documentos\MALENTIN KARIME\BANCO CREDITO\FER LORCA en ROSITA (Rosita)\DACION EN PAGO\MARCO GAJARDO ALVARADO.- AGOSTO 2010Ç.doc", "Abrir Documento")</f>
        <v>0</v>
      </c>
      <c r="D21277" t="s">
        <v>23500</v>
      </c>
      <c r="E21277" t="s">
        <v>43745</v>
      </c>
    </row>
    <row r="21278" spans="1:5">
      <c r="A21278" t="s">
        <v>6</v>
      </c>
      <c r="B21278" t="s">
        <v>21283</v>
      </c>
      <c r="C21278">
        <f>HYPERLINK("C:\Users\franc\OneDrive\Documentos\MALENTIN KARIME\BANCO CREDITO\FER LORCA en ROSITA (Rosita)\DABED\mandato judicial antofagasta.doc", "Abrir Documento")</f>
        <v>0</v>
      </c>
      <c r="D21278" t="s">
        <v>23500</v>
      </c>
      <c r="E21278" t="s">
        <v>43746</v>
      </c>
    </row>
    <row r="21279" spans="1:5">
      <c r="A21279" t="s">
        <v>6</v>
      </c>
      <c r="B21279" t="s">
        <v>21284</v>
      </c>
      <c r="C21279">
        <f>HYPERLINK("C:\Users\franc\OneDrive\Documentos\MALENTIN KARIME\BANCO CREDITO\FER LORCA en ROSITA (Rosita)\DABED\EXTRACTO Innova..doc", "Abrir Documento")</f>
        <v>0</v>
      </c>
      <c r="D21279" t="s">
        <v>23500</v>
      </c>
      <c r="E21279" t="s">
        <v>43747</v>
      </c>
    </row>
    <row r="21280" spans="1:5">
      <c r="A21280" t="s">
        <v>6</v>
      </c>
      <c r="B21280" t="s">
        <v>21285</v>
      </c>
      <c r="C21280">
        <f>HYPERLINK("C:\Users\franc\OneDrive\Documentos\MALENTIN KARIME\BANCO CREDITO\FER LORCA en ROSITA (Rosita)\DABED\Contrato de suministros de materiales Selim Dabed y Compañia Limitada a Incoveg Ltda.- ABRIL 2011.doc", "Abrir Documento")</f>
        <v>0</v>
      </c>
      <c r="D21280" t="s">
        <v>23500</v>
      </c>
      <c r="E21280" t="s">
        <v>43748</v>
      </c>
    </row>
    <row r="21281" spans="1:5">
      <c r="A21281" t="s">
        <v>6</v>
      </c>
      <c r="B21281" t="s">
        <v>21286</v>
      </c>
      <c r="C21281">
        <f>HYPERLINK("C:\Users\franc\OneDrive\Documentos\MALENTIN KARIME\BANCO CREDITO\FER LORCA en ROSITA (Rosita)\DABED\CONSTITUCION innova.- MARZO.doc", "Abrir Documento")</f>
        <v>0</v>
      </c>
      <c r="D21281" t="s">
        <v>23500</v>
      </c>
      <c r="E21281" t="s">
        <v>43749</v>
      </c>
    </row>
    <row r="21282" spans="1:5">
      <c r="A21282" t="s">
        <v>6</v>
      </c>
      <c r="B21282" t="s">
        <v>21287</v>
      </c>
      <c r="C21282">
        <f>HYPERLINK("C:\Users\franc\OneDrive\Documentos\MALENTIN KARIME\BANCO CREDITO\FER LORCA en ROSITA (Rosita)\CVTA. SUB. DS.174\FONDO SOLIDARIO\WILSON HENRIQUEZ A FERNANDO ARAYA.doc", "Abrir Documento")</f>
        <v>0</v>
      </c>
      <c r="D21282" t="s">
        <v>23500</v>
      </c>
      <c r="E21282" t="s">
        <v>43750</v>
      </c>
    </row>
    <row r="21283" spans="1:5">
      <c r="A21283" t="s">
        <v>6</v>
      </c>
      <c r="B21283" t="s">
        <v>21288</v>
      </c>
      <c r="C21283">
        <f>HYPERLINK("C:\Users\franc\OneDrive\Documentos\MALENTIN KARIME\BANCO CREDITO\FER LORCA en ROSITA (Rosita)\CVTA. SUB. DS.174\FONDO SOLIDARIO\ROSA NICOLA TALAMILLA A NORA ALVAREZ TALAMILLA.doc", "Abrir Documento")</f>
        <v>0</v>
      </c>
      <c r="D21283" t="s">
        <v>23500</v>
      </c>
      <c r="E21283" t="s">
        <v>43751</v>
      </c>
    </row>
    <row r="21284" spans="1:5">
      <c r="A21284" t="s">
        <v>6</v>
      </c>
      <c r="B21284" t="s">
        <v>21289</v>
      </c>
      <c r="C21284">
        <f>HYPERLINK("C:\Users\franc\OneDrive\Documentos\MALENTIN KARIME\BANCO CREDITO\FER LORCA en ROSITA (Rosita)\CVTA. SUB. DS.174\FONDO SOLIDARIO\LUISA TAPIA PIZARRO A JOHANNA ZEPEDA.doc", "Abrir Documento")</f>
        <v>0</v>
      </c>
      <c r="D21284" t="s">
        <v>23500</v>
      </c>
      <c r="E21284" t="s">
        <v>43752</v>
      </c>
    </row>
    <row r="21285" spans="1:5">
      <c r="A21285" t="s">
        <v>6</v>
      </c>
      <c r="B21285" t="s">
        <v>21290</v>
      </c>
      <c r="C21285">
        <f>HYPERLINK("C:\Users\franc\OneDrive\Documentos\MALENTIN KARIME\BANCO CREDITO\FER LORCA en ROSITA (Rosita)\CVTA. SUB. DS.174\FONDO SOLIDARIO\LINA ROJAS A GABRIELA ROJAS.doc", "Abrir Documento")</f>
        <v>0</v>
      </c>
      <c r="D21285" t="s">
        <v>23500</v>
      </c>
      <c r="E21285" t="s">
        <v>43753</v>
      </c>
    </row>
    <row r="21286" spans="1:5">
      <c r="A21286" t="s">
        <v>6</v>
      </c>
      <c r="B21286" t="s">
        <v>21291</v>
      </c>
      <c r="C21286">
        <f>HYPERLINK("C:\Users\franc\OneDrive\Documentos\MALENTIN KARIME\BANCO CREDITO\FER LORCA en ROSITA (Rosita)\CVTA. SUB. DS.174\CERTIFICADOS\PATRICIO VERGARA.doc", "Abrir Documento")</f>
        <v>0</v>
      </c>
      <c r="D21286" t="s">
        <v>23500</v>
      </c>
      <c r="E21286" t="s">
        <v>43754</v>
      </c>
    </row>
    <row r="21287" spans="1:5">
      <c r="A21287" t="s">
        <v>6</v>
      </c>
      <c r="B21287" t="s">
        <v>21292</v>
      </c>
      <c r="C21287">
        <f>HYPERLINK("C:\Users\franc\OneDrive\Documentos\MALENTIN KARIME\BANCO CREDITO\FER LORCA en ROSITA (Rosita)\CVTA. SUB. DS.174\CERTIFICADOS\NIDIA OLIVARES.doc", "Abrir Documento")</f>
        <v>0</v>
      </c>
      <c r="D21287" t="s">
        <v>23500</v>
      </c>
      <c r="E21287" t="s">
        <v>43755</v>
      </c>
    </row>
    <row r="21288" spans="1:5">
      <c r="A21288" t="s">
        <v>6</v>
      </c>
      <c r="B21288" t="s">
        <v>21293</v>
      </c>
      <c r="C21288">
        <f>HYPERLINK("C:\Users\franc\OneDrive\Documentos\MALENTIN KARIME\BANCO CREDITO\FER LORCA en ROSITA (Rosita)\CVTA. SUB. DS.174\CERTIFICADOS\MARIA VALLEJOS A CLAUDIO OLIVARES.doc", "Abrir Documento")</f>
        <v>0</v>
      </c>
      <c r="D21288" t="s">
        <v>23500</v>
      </c>
      <c r="E21288" t="s">
        <v>43756</v>
      </c>
    </row>
    <row r="21289" spans="1:5">
      <c r="A21289" t="s">
        <v>6</v>
      </c>
      <c r="B21289" t="s">
        <v>21294</v>
      </c>
      <c r="C21289">
        <f>HYPERLINK("C:\Users\franc\OneDrive\Documentos\MALENTIN KARIME\BANCO CREDITO\FER LORCA en ROSITA (Rosita)\CVTA. SUB. DS.174\CERTIFICADOS\LILA HUENCHULLAN A CARLOS PERINES.doc", "Abrir Documento")</f>
        <v>0</v>
      </c>
      <c r="D21289" t="s">
        <v>23500</v>
      </c>
      <c r="E21289" t="s">
        <v>43757</v>
      </c>
    </row>
    <row r="21290" spans="1:5">
      <c r="A21290" t="s">
        <v>6</v>
      </c>
      <c r="B21290" t="s">
        <v>21295</v>
      </c>
      <c r="C21290">
        <f>HYPERLINK("C:\Users\franc\OneDrive\Documentos\MALENTIN KARIME\BANCO CREDITO\FER LORCA en ROSITA (Rosita)\CVTA. SUB. DS.174\CERTIFICADOS\JUAN OLMOS CORTES.doc", "Abrir Documento")</f>
        <v>0</v>
      </c>
      <c r="D21290" t="s">
        <v>23500</v>
      </c>
      <c r="E21290" t="s">
        <v>43758</v>
      </c>
    </row>
    <row r="21291" spans="1:5">
      <c r="A21291" t="s">
        <v>6</v>
      </c>
      <c r="B21291" t="s">
        <v>21296</v>
      </c>
      <c r="C21291">
        <f>HYPERLINK("C:\Users\franc\OneDrive\Documentos\MALENTIN KARIME\BANCO CREDITO\FER LORCA en ROSITA (Rosita)\CVTA. SUB. DS.174\CERTIFICADOS\HERNAN RIVERA HERRERA.doc", "Abrir Documento")</f>
        <v>0</v>
      </c>
      <c r="D21291" t="s">
        <v>23500</v>
      </c>
      <c r="E21291" t="s">
        <v>43759</v>
      </c>
    </row>
    <row r="21292" spans="1:5">
      <c r="A21292" t="s">
        <v>6</v>
      </c>
      <c r="B21292" t="s">
        <v>21297</v>
      </c>
      <c r="C21292">
        <f>HYPERLINK("C:\Users\franc\OneDrive\Documentos\MALENTIN KARIME\BANCO CREDITO\FER LORCA en ROSITA (Rosita)\CVTA. SUB. DS.174\CERTIFICADOS\GLADYS PLAZA A JONATHAN ROJAS.doc", "Abrir Documento")</f>
        <v>0</v>
      </c>
      <c r="D21292" t="s">
        <v>23500</v>
      </c>
      <c r="E21292" t="s">
        <v>43760</v>
      </c>
    </row>
    <row r="21293" spans="1:5">
      <c r="A21293" t="s">
        <v>6</v>
      </c>
      <c r="B21293" t="s">
        <v>21298</v>
      </c>
      <c r="C21293">
        <f>HYPERLINK("C:\Users\franc\OneDrive\Documentos\MALENTIN KARIME\BANCO CREDITO\FER LORCA en ROSITA (Rosita)\CVTA. SUB. DS.174\CERTIFICADOS\ELBA CASTILLO A MARGARITA ACUÑA LARA.doc", "Abrir Documento")</f>
        <v>0</v>
      </c>
      <c r="D21293" t="s">
        <v>23500</v>
      </c>
      <c r="E21293" t="s">
        <v>43761</v>
      </c>
    </row>
    <row r="21294" spans="1:5">
      <c r="A21294" t="s">
        <v>6</v>
      </c>
      <c r="B21294" t="s">
        <v>21299</v>
      </c>
      <c r="C21294">
        <f>HYPERLINK("C:\Users\franc\OneDrive\Documentos\MALENTIN KARIME\BANCO CREDITO\FER LORCA en ROSITA (Rosita)\CVTA. SUB. DS.174\CERTIFICADOS\CERT. CVTA. HUGO A. a SANDRA A..doc", "Abrir Documento")</f>
        <v>0</v>
      </c>
      <c r="D21294" t="s">
        <v>23500</v>
      </c>
      <c r="E21294" t="s">
        <v>43762</v>
      </c>
    </row>
    <row r="21295" spans="1:5">
      <c r="A21295" t="s">
        <v>6</v>
      </c>
      <c r="B21295" t="s">
        <v>21300</v>
      </c>
      <c r="C21295">
        <f>HYPERLINK("C:\Users\franc\OneDrive\Documentos\MALENTIN KARIME\BANCO CREDITO\FER LORCA en ROSITA (Rosita)\CVTA. SUB. DS.174\CERTIFICADOS\CERT. CARLOS CONTRERAS A ANA MOLINA.doc", "Abrir Documento")</f>
        <v>0</v>
      </c>
      <c r="D21295" t="s">
        <v>23500</v>
      </c>
      <c r="E21295" t="s">
        <v>43763</v>
      </c>
    </row>
    <row r="21296" spans="1:5">
      <c r="A21296" t="s">
        <v>6</v>
      </c>
      <c r="B21296" t="s">
        <v>21301</v>
      </c>
      <c r="C21296">
        <f>HYPERLINK("C:\Users\franc\OneDrive\Documentos\MALENTIN KARIME\BANCO CREDITO\FER LORCA en ROSITA (Rosita)\CVTA. SUB. DS.174\PATRICIO VERGARA_a_ELIZABETH AGUIRRE.doc", "Abrir Documento")</f>
        <v>0</v>
      </c>
      <c r="D21296" t="s">
        <v>23500</v>
      </c>
      <c r="E21296" t="s">
        <v>43764</v>
      </c>
    </row>
    <row r="21297" spans="1:5">
      <c r="A21297" t="s">
        <v>6</v>
      </c>
      <c r="B21297" t="s">
        <v>21302</v>
      </c>
      <c r="C21297">
        <f>HYPERLINK("C:\Users\franc\OneDrive\Documentos\MALENTIN KARIME\BANCO CREDITO\FER LORCA en ROSITA (Rosita)\CVTA. SUB. DS.174\HERNAN RIVERA A WILSON RIVERAS.- ESCRITURA.doc", "Abrir Documento")</f>
        <v>0</v>
      </c>
      <c r="D21297" t="s">
        <v>23500</v>
      </c>
      <c r="E21297" t="s">
        <v>43765</v>
      </c>
    </row>
    <row r="21298" spans="1:5">
      <c r="A21298" t="s">
        <v>6</v>
      </c>
      <c r="B21298" t="s">
        <v>21303</v>
      </c>
      <c r="C21298">
        <f>HYPERLINK("C:\Users\franc\OneDrive\Documentos\MALENTIN KARIME\BANCO CREDITO\FER LORCA en ROSITA (Rosita)\CVTA. SUB. DS.174\CARLOS ALFARO_a_ NIDIA OLIVARES[1].doc", "Abrir Documento")</f>
        <v>0</v>
      </c>
      <c r="D21298" t="s">
        <v>23500</v>
      </c>
      <c r="E21298" t="s">
        <v>43766</v>
      </c>
    </row>
    <row r="21299" spans="1:5">
      <c r="A21299" t="s">
        <v>6</v>
      </c>
      <c r="B21299" t="s">
        <v>21304</v>
      </c>
      <c r="C21299">
        <f>HYPERLINK("C:\Users\franc\OneDrive\Documentos\MALENTIN KARIME\BANCO CREDITO\FER LORCA en ROSITA (Rosita)\CVTA. SUB. DS.174\AUTORIZ. FIRMAS CVI 174 HUGO ARAYA.doc", "Abrir Documento")</f>
        <v>0</v>
      </c>
      <c r="D21299" t="s">
        <v>23500</v>
      </c>
      <c r="E21299" t="s">
        <v>43767</v>
      </c>
    </row>
    <row r="21300" spans="1:5">
      <c r="A21300" t="s">
        <v>6</v>
      </c>
      <c r="B21300" t="s">
        <v>21305</v>
      </c>
      <c r="C21300">
        <f>HYPERLINK("C:\Users\franc\OneDrive\Documentos\MALENTIN KARIME\BANCO CREDITO\FER LORCA en ROSITA (Rosita)\CVTA. SUB. DS.174\AUTORIZ. FIRMAS CVI 174  (2).doc", "Abrir Documento")</f>
        <v>0</v>
      </c>
      <c r="D21300" t="s">
        <v>23500</v>
      </c>
      <c r="E21300" t="s">
        <v>43768</v>
      </c>
    </row>
    <row r="21301" spans="1:5">
      <c r="A21301" t="s">
        <v>6</v>
      </c>
      <c r="B21301" t="s">
        <v>21306</v>
      </c>
      <c r="C21301">
        <f>HYPERLINK("C:\Users\franc\OneDrive\Documentos\MALENTIN KARIME\BANCO CREDITO\FER LORCA en ROSITA (Rosita)\CVTA. SUB. DS.174\AUT. COPIA RECTIFICADA.doc", "Abrir Documento")</f>
        <v>0</v>
      </c>
      <c r="D21301" t="s">
        <v>23500</v>
      </c>
      <c r="E21301" t="s">
        <v>43769</v>
      </c>
    </row>
    <row r="21302" spans="1:5">
      <c r="A21302" t="s">
        <v>6</v>
      </c>
      <c r="B21302" t="s">
        <v>21307</v>
      </c>
      <c r="C21302">
        <f>HYPERLINK("C:\Users\franc\OneDrive\Documentos\MALENTIN KARIME\BANCO CREDITO\FER LORCA en ROSITA (Rosita)\CVTA. AGUAS\PERSOL...S.A\SOC. AGRIC. TRAEGER con PERSOL S.A.-.doc", "Abrir Documento")</f>
        <v>0</v>
      </c>
      <c r="D21302" t="s">
        <v>23500</v>
      </c>
      <c r="E21302" t="s">
        <v>43770</v>
      </c>
    </row>
    <row r="21303" spans="1:5">
      <c r="A21303" t="s">
        <v>6</v>
      </c>
      <c r="B21303" t="s">
        <v>21308</v>
      </c>
      <c r="C21303">
        <f>HYPERLINK("C:\Users\franc\OneDrive\Documentos\MALENTIN KARIME\BANCO CREDITO\FER LORCA en ROSITA (Rosita)\CVTA. AGUAS\PERSOL...S.A\SERGIO CORREA A .-AGRIC. LSP LTDA.- EPT. AGUA.- 2010.doc", "Abrir Documento")</f>
        <v>0</v>
      </c>
      <c r="D21303" t="s">
        <v>23500</v>
      </c>
      <c r="E21303" t="s">
        <v>43771</v>
      </c>
    </row>
    <row r="21304" spans="1:5">
      <c r="A21304" t="s">
        <v>6</v>
      </c>
      <c r="B21304" t="s">
        <v>21309</v>
      </c>
      <c r="C21304">
        <f>HYPERLINK("C:\Users\franc\OneDrive\Documentos\MALENTIN KARIME\BANCO CREDITO\FER LORCA en ROSITA (Rosita)\CVTA. AGUAS\PERSOL...S.A\INVERSIONES EL RETIRO S.A.-.doc", "Abrir Documento")</f>
        <v>0</v>
      </c>
      <c r="D21304" t="s">
        <v>23500</v>
      </c>
      <c r="E21304" t="s">
        <v>43772</v>
      </c>
    </row>
    <row r="21305" spans="1:5">
      <c r="A21305" t="s">
        <v>6</v>
      </c>
      <c r="B21305" t="s">
        <v>21310</v>
      </c>
      <c r="C21305">
        <f>HYPERLINK("C:\Users\franc\OneDrive\Documentos\MALENTIN KARIME\BANCO CREDITO\FER LORCA en ROSITA (Rosita)\CVTA. AGUAS\PERSOL...S.A\AGRIC. LSP LTDA.- SEPT. AGUA.- 2010.doc", "Abrir Documento")</f>
        <v>0</v>
      </c>
      <c r="D21305" t="s">
        <v>23500</v>
      </c>
      <c r="E21305" t="s">
        <v>43773</v>
      </c>
    </row>
    <row r="21306" spans="1:5">
      <c r="A21306" t="s">
        <v>6</v>
      </c>
      <c r="B21306" t="s">
        <v>21311</v>
      </c>
      <c r="C21306">
        <f>HYPERLINK("C:\Users\franc\OneDrive\Documentos\MALENTIN KARIME\BANCO CREDITO\FER LORCA en ROSITA (Rosita)\CVTA. AGUAS\SOC. AGRIC. VALDIVIA.- OCTUBRE.doc", "Abrir Documento")</f>
        <v>0</v>
      </c>
      <c r="D21306" t="s">
        <v>23500</v>
      </c>
      <c r="E21306" t="s">
        <v>43774</v>
      </c>
    </row>
    <row r="21307" spans="1:5">
      <c r="A21307" t="s">
        <v>6</v>
      </c>
      <c r="B21307" t="s">
        <v>21312</v>
      </c>
      <c r="C21307">
        <f>HYPERLINK("C:\Users\franc\OneDrive\Documentos\MALENTIN KARIME\BANCO CREDITO\FER LORCA en ROSITA (Rosita)\CVTA. AGUAS\SOC. AGRIC. VALDIVIA.- NOVIEMBRE.doc", "Abrir Documento")</f>
        <v>0</v>
      </c>
      <c r="D21307" t="s">
        <v>23500</v>
      </c>
      <c r="E21307" t="s">
        <v>43775</v>
      </c>
    </row>
    <row r="21308" spans="1:5">
      <c r="A21308" t="s">
        <v>6</v>
      </c>
      <c r="B21308" t="s">
        <v>21313</v>
      </c>
      <c r="C21308">
        <f>HYPERLINK("C:\Users\franc\OneDrive\Documentos\MALENTIN KARIME\BANCO CREDITO\FER LORCA en ROSITA (Rosita)\CVTA. AGUAS\RENE RAMIREZ POR FERNANDO GOMEZ.doc", "Abrir Documento")</f>
        <v>0</v>
      </c>
      <c r="D21308" t="s">
        <v>23500</v>
      </c>
      <c r="E21308" t="s">
        <v>43776</v>
      </c>
    </row>
    <row r="21309" spans="1:5">
      <c r="A21309" t="s">
        <v>6</v>
      </c>
      <c r="B21309" t="s">
        <v>21314</v>
      </c>
      <c r="C21309">
        <f>HYPERLINK("C:\Users\franc\OneDrive\Documentos\MALENTIN KARIME\BANCO CREDITO\FER LORCA en ROSITA (Rosita)\CVTA. AGUAS\modelo.doc", "Abrir Documento")</f>
        <v>0</v>
      </c>
      <c r="D21309" t="s">
        <v>23500</v>
      </c>
      <c r="E21309" t="s">
        <v>43777</v>
      </c>
    </row>
    <row r="21310" spans="1:5">
      <c r="A21310" t="s">
        <v>6</v>
      </c>
      <c r="B21310" t="s">
        <v>21315</v>
      </c>
      <c r="C21310">
        <f>HYPERLINK("C:\Users\franc\OneDrive\Documentos\MALENTIN KARIME\BANCO CREDITO\FER LORCA en ROSITA (Rosita)\CVTA. AGUAS\MARCELO MERY.doc", "Abrir Documento")</f>
        <v>0</v>
      </c>
      <c r="D21310" t="s">
        <v>23500</v>
      </c>
      <c r="E21310" t="s">
        <v>43778</v>
      </c>
    </row>
    <row r="21311" spans="1:5">
      <c r="A21311" t="s">
        <v>6</v>
      </c>
      <c r="B21311" t="s">
        <v>21316</v>
      </c>
      <c r="C21311">
        <f>HYPERLINK("C:\Users\franc\OneDrive\Documentos\MALENTIN KARIME\BANCO CREDITO\FER LORCA en ROSITA (Rosita)\CVTA. AGUAS\LUIS GODOY G. a RENATO HERRERA.doc", "Abrir Documento")</f>
        <v>0</v>
      </c>
      <c r="D21311" t="s">
        <v>23500</v>
      </c>
      <c r="E21311" t="s">
        <v>43779</v>
      </c>
    </row>
    <row r="21312" spans="1:5">
      <c r="A21312" t="s">
        <v>6</v>
      </c>
      <c r="B21312" t="s">
        <v>21317</v>
      </c>
      <c r="C21312">
        <f>HYPERLINK("C:\Users\franc\OneDrive\Documentos\MALENTIN KARIME\BANCO CREDITO\FER LORCA en ROSITA (Rosita)\CVTA. AGUAS\ENCABEZADO NOTARIO.doc", "Abrir Documento")</f>
        <v>0</v>
      </c>
      <c r="D21312" t="s">
        <v>23500</v>
      </c>
      <c r="E21312" t="s">
        <v>43780</v>
      </c>
    </row>
    <row r="21313" spans="1:5">
      <c r="A21313" t="s">
        <v>6</v>
      </c>
      <c r="B21313" t="s">
        <v>21318</v>
      </c>
      <c r="C21313">
        <f>HYPERLINK("C:\Users\franc\OneDrive\Documentos\MALENTIN KARIME\BANCO CREDITO\FER LORCA en ROSITA (Rosita)\CVTA. AGUAS\EMILIO MUÑOZ A LUIS PEPPI.- C. BUGUEÑO.doc", "Abrir Documento")</f>
        <v>0</v>
      </c>
      <c r="D21313" t="s">
        <v>23500</v>
      </c>
      <c r="E21313" t="s">
        <v>43781</v>
      </c>
    </row>
    <row r="21314" spans="1:5">
      <c r="A21314" t="s">
        <v>6</v>
      </c>
      <c r="B21314" t="s">
        <v>21319</v>
      </c>
      <c r="C21314">
        <f>HYPERLINK("C:\Users\franc\OneDrive\Documentos\MALENTIN KARIME\BANCO CREDITO\FER LORCA en ROSITA (Rosita)\CVTA. AGUAS\ELIANA OLIVARES A JAVIER OLIVARES.doc", "Abrir Documento")</f>
        <v>0</v>
      </c>
      <c r="D21314" t="s">
        <v>23500</v>
      </c>
      <c r="E21314" t="s">
        <v>43782</v>
      </c>
    </row>
    <row r="21315" spans="1:5">
      <c r="A21315" t="s">
        <v>6</v>
      </c>
      <c r="B21315" t="s">
        <v>21320</v>
      </c>
      <c r="C21315">
        <f>HYPERLINK("C:\Users\franc\OneDrive\Documentos\MALENTIN KARIME\BANCO CREDITO\FER LORCA en ROSITA (Rosita)\CVTA. AGUAS\CARTA INSTRUCCION. SOC. AGRIC. MAL PASO A CARMEN FLORES.doc", "Abrir Documento")</f>
        <v>0</v>
      </c>
      <c r="D21315" t="s">
        <v>23500</v>
      </c>
      <c r="E21315" t="s">
        <v>43783</v>
      </c>
    </row>
    <row r="21316" spans="1:5">
      <c r="A21316" t="s">
        <v>6</v>
      </c>
      <c r="B21316" t="s">
        <v>21321</v>
      </c>
      <c r="C21316">
        <f>HYPERLINK("C:\Users\franc\OneDrive\Documentos\MALENTIN KARIME\BANCO CREDITO\FER LORCA en ROSITA (Rosita)\CVTA. AGUAS\CARMEN FLORES SUAREZ A SOC. AGRIC. MAL PASO.doc", "Abrir Documento")</f>
        <v>0</v>
      </c>
      <c r="D21316" t="s">
        <v>23500</v>
      </c>
      <c r="E21316" t="s">
        <v>43784</v>
      </c>
    </row>
    <row r="21317" spans="1:5">
      <c r="A21317" t="s">
        <v>6</v>
      </c>
      <c r="B21317" t="s">
        <v>21322</v>
      </c>
      <c r="C21317">
        <f>HYPERLINK("C:\Users\franc\OneDrive\Documentos\MALENTIN KARIME\BANCO CREDITO\FER LORCA en ROSITA (Rosita)\CVTA. AGUAS\BASILIO AGUIRRE.doc", "Abrir Documento")</f>
        <v>0</v>
      </c>
      <c r="D21317" t="s">
        <v>23500</v>
      </c>
      <c r="E21317" t="s">
        <v>43785</v>
      </c>
    </row>
    <row r="21318" spans="1:5">
      <c r="A21318" t="s">
        <v>6</v>
      </c>
      <c r="B21318" t="s">
        <v>21323</v>
      </c>
      <c r="C21318">
        <f>HYPERLINK("C:\Users\franc\OneDrive\Documentos\MALENTIN KARIME\BANCO CREDITO\FER LORCA en ROSITA (Rosita)\CORPORACION ASIST. JUDICIAL\MODELOS\PAMELA GALLEGUILLOS CORTES.doc", "Abrir Documento")</f>
        <v>0</v>
      </c>
      <c r="D21318" t="s">
        <v>23500</v>
      </c>
      <c r="E21318" t="s">
        <v>43786</v>
      </c>
    </row>
    <row r="21319" spans="1:5">
      <c r="A21319" t="s">
        <v>6</v>
      </c>
      <c r="B21319" t="s">
        <v>21324</v>
      </c>
      <c r="C21319">
        <f>HYPERLINK("C:\Users\franc\OneDrive\Documentos\MALENTIN KARIME\BANCO CREDITO\FER LORCA en ROSITA (Rosita)\CORPORACION ASIST. JUDICIAL\MODELOS\mandato Tomasa Bonilla.doc", "Abrir Documento")</f>
        <v>0</v>
      </c>
      <c r="D21319" t="s">
        <v>23500</v>
      </c>
      <c r="E21319" t="s">
        <v>43787</v>
      </c>
    </row>
    <row r="21320" spans="1:5">
      <c r="A21320" t="s">
        <v>6</v>
      </c>
      <c r="B21320" t="s">
        <v>21325</v>
      </c>
      <c r="C21320">
        <f>HYPERLINK("C:\Users\franc\OneDrive\Documentos\MALENTIN KARIME\BANCO CREDITO\FER LORCA en ROSITA (Rosita)\CORPORACION ASIST. JUDICIAL\MODELOS\mandato patricia diaz.doc", "Abrir Documento")</f>
        <v>0</v>
      </c>
      <c r="D21320" t="s">
        <v>23500</v>
      </c>
      <c r="E21320" t="s">
        <v>43788</v>
      </c>
    </row>
    <row r="21321" spans="1:5">
      <c r="A21321" t="s">
        <v>6</v>
      </c>
      <c r="B21321" t="s">
        <v>21326</v>
      </c>
      <c r="C21321">
        <f>HYPERLINK("C:\Users\franc\OneDrive\Documentos\MALENTIN KARIME\BANCO CREDITO\FER LORCA en ROSITA (Rosita)\CORPORACION ASIST. JUDICIAL\MODELOS\mandato MAURICIO PEREZ IBACACHE.doc", "Abrir Documento")</f>
        <v>0</v>
      </c>
      <c r="D21321" t="s">
        <v>23500</v>
      </c>
      <c r="E21321" t="s">
        <v>43789</v>
      </c>
    </row>
    <row r="21322" spans="1:5">
      <c r="A21322" t="s">
        <v>6</v>
      </c>
      <c r="B21322" t="s">
        <v>21327</v>
      </c>
      <c r="C21322">
        <f>HYPERLINK("C:\Users\franc\OneDrive\Documentos\MALENTIN KARIME\BANCO CREDITO\FER LORCA en ROSITA (Rosita)\CORPORACION ASIST. JUDICIAL\MODELOS\Mandato judicial maximo cortes.doc", "Abrir Documento")</f>
        <v>0</v>
      </c>
      <c r="D21322" t="s">
        <v>23500</v>
      </c>
      <c r="E21322" t="s">
        <v>43790</v>
      </c>
    </row>
    <row r="21323" spans="1:5">
      <c r="A21323" t="s">
        <v>6</v>
      </c>
      <c r="B21323" t="s">
        <v>21328</v>
      </c>
      <c r="C21323">
        <f>HYPERLINK("C:\Users\franc\OneDrive\Documentos\MALENTIN KARIME\BANCO CREDITO\FER LORCA en ROSITA (Rosita)\CORPORACION ASIST. JUDICIAL\MODELOS\MANDATO JUDICIAL especial divorcio maria devia definitiva.doc", "Abrir Documento")</f>
        <v>0</v>
      </c>
      <c r="D21323" t="s">
        <v>23500</v>
      </c>
      <c r="E21323" t="s">
        <v>43791</v>
      </c>
    </row>
    <row r="21324" spans="1:5">
      <c r="A21324" t="s">
        <v>6</v>
      </c>
      <c r="B21324" t="s">
        <v>21329</v>
      </c>
      <c r="C21324">
        <f>HYPERLINK("C:\Users\franc\OneDrive\Documentos\MALENTIN KARIME\BANCO CREDITO\FER LORCA en ROSITA (Rosita)\CORPORACION ASIST. JUDICIAL\MODELOS\MANDATO JUDICIAL ESPECIAL DIVORCIO eduviges.doc", "Abrir Documento")</f>
        <v>0</v>
      </c>
      <c r="D21324" t="s">
        <v>23500</v>
      </c>
      <c r="E21324" t="s">
        <v>43792</v>
      </c>
    </row>
    <row r="21325" spans="1:5">
      <c r="A21325" t="s">
        <v>6</v>
      </c>
      <c r="B21325" t="s">
        <v>21330</v>
      </c>
      <c r="C21325">
        <f>HYPERLINK("C:\Users\franc\OneDrive\Documentos\MALENTIN KARIME\BANCO CREDITO\FER LORCA en ROSITA (Rosita)\CORPORACION ASIST. JUDICIAL\MODELOS\mandato jeanette definitivo.doc", "Abrir Documento")</f>
        <v>0</v>
      </c>
      <c r="D21325" t="s">
        <v>23500</v>
      </c>
      <c r="E21325" t="s">
        <v>43793</v>
      </c>
    </row>
    <row r="21326" spans="1:5">
      <c r="A21326" t="s">
        <v>6</v>
      </c>
      <c r="B21326" t="s">
        <v>21331</v>
      </c>
      <c r="C21326">
        <f>HYPERLINK("C:\Users\franc\OneDrive\Documentos\MALENTIN KARIME\BANCO CREDITO\FER LORCA en ROSITA (Rosita)\CORPORACION ASIST. JUDICIAL\MODELOS\mandato Jacqueline Cortes.doc", "Abrir Documento")</f>
        <v>0</v>
      </c>
      <c r="D21326" t="s">
        <v>23500</v>
      </c>
      <c r="E21326" t="s">
        <v>43794</v>
      </c>
    </row>
    <row r="21327" spans="1:5">
      <c r="A21327" t="s">
        <v>6</v>
      </c>
      <c r="B21327" t="s">
        <v>21332</v>
      </c>
      <c r="C21327">
        <f>HYPERLINK("C:\Users\franc\OneDrive\Documentos\MALENTIN KARIME\BANCO CREDITO\FER LORCA en ROSITA (Rosita)\CORPORACION ASIST. JUDICIAL\MODELOS\CAMILO CORTES GUERRERO II.doc", "Abrir Documento")</f>
        <v>0</v>
      </c>
      <c r="D21327" t="s">
        <v>23500</v>
      </c>
      <c r="E21327" t="s">
        <v>43795</v>
      </c>
    </row>
    <row r="21328" spans="1:5">
      <c r="A21328" t="s">
        <v>6</v>
      </c>
      <c r="B21328" t="s">
        <v>21333</v>
      </c>
      <c r="C21328">
        <f>HYPERLINK("C:\Users\franc\OneDrive\Documentos\MALENTIN KARIME\BANCO CREDITO\FER LORCA en ROSITA (Rosita)\CORPORACION ASIST. JUDICIAL\MODELOS\ARAYA - GALLARDO.doc", "Abrir Documento")</f>
        <v>0</v>
      </c>
      <c r="D21328" t="s">
        <v>23500</v>
      </c>
      <c r="E21328" t="s">
        <v>43796</v>
      </c>
    </row>
    <row r="21329" spans="1:5">
      <c r="A21329" t="s">
        <v>6</v>
      </c>
      <c r="B21329" t="s">
        <v>21334</v>
      </c>
      <c r="C21329">
        <f>HYPERLINK("C:\Users\franc\OneDrive\Documentos\MALENTIN KARIME\BANCO CREDITO\FER LORCA en ROSITA (Rosita)\CORPORACION ASIST. JUDICIAL\MARZO.- 2011\mandato Maria Angelica Garay La pintana.- ABRIL 2011.doc", "Abrir Documento")</f>
        <v>0</v>
      </c>
      <c r="D21329" t="s">
        <v>23500</v>
      </c>
      <c r="E21329" t="s">
        <v>43797</v>
      </c>
    </row>
    <row r="21330" spans="1:5">
      <c r="A21330" t="s">
        <v>6</v>
      </c>
      <c r="B21330" t="s">
        <v>21335</v>
      </c>
      <c r="C21330">
        <f>HYPERLINK("C:\Users\franc\OneDrive\Documentos\MALENTIN KARIME\BANCO CREDITO\FER LORCA en ROSITA (Rosita)\CORPORACION ASIST. JUDICIAL\JUDIC. CORP\MINUTA ANAN HONORES.doc", "Abrir Documento")</f>
        <v>0</v>
      </c>
      <c r="D21330" t="s">
        <v>23500</v>
      </c>
      <c r="E21330" t="s">
        <v>43798</v>
      </c>
    </row>
    <row r="21331" spans="1:5">
      <c r="A21331" t="s">
        <v>6</v>
      </c>
      <c r="B21331" t="s">
        <v>21336</v>
      </c>
      <c r="C21331">
        <f>HYPERLINK("C:\Users\franc\OneDrive\Documentos\MALENTIN KARIME\BANCO CREDITO\FER LORCA en ROSITA (Rosita)\CORPORACION ASIST. JUDICIAL\JUDIC. CORP\MANDATO JUDICIAL especial divorcio Elizabeth Araya.doc", "Abrir Documento")</f>
        <v>0</v>
      </c>
      <c r="D21331" t="s">
        <v>23500</v>
      </c>
      <c r="E21331" t="s">
        <v>43799</v>
      </c>
    </row>
    <row r="21332" spans="1:5">
      <c r="A21332" t="s">
        <v>6</v>
      </c>
      <c r="B21332" t="s">
        <v>21337</v>
      </c>
      <c r="C21332">
        <f>HYPERLINK("C:\Users\franc\OneDrive\Documentos\MALENTIN KARIME\BANCO CREDITO\FER LORCA en ROSITA (Rosita)\CORPORACION ASIST. JUDICIAL\JUDIC. CORP\JORGE CONTRERAS.doc", "Abrir Documento")</f>
        <v>0</v>
      </c>
      <c r="D21332" t="s">
        <v>23500</v>
      </c>
      <c r="E21332" t="s">
        <v>43800</v>
      </c>
    </row>
    <row r="21333" spans="1:5">
      <c r="A21333" t="s">
        <v>6</v>
      </c>
      <c r="B21333" t="s">
        <v>21338</v>
      </c>
      <c r="C21333">
        <f>HYPERLINK("C:\Users\franc\OneDrive\Documentos\MALENTIN KARIME\BANCO CREDITO\FER LORCA en ROSITA (Rosita)\CORPORACION ASIST. JUDICIAL\JUDIC. CORP\ELIZABETH ARAYA.doc", "Abrir Documento")</f>
        <v>0</v>
      </c>
      <c r="D21333" t="s">
        <v>23500</v>
      </c>
      <c r="E21333" t="s">
        <v>43801</v>
      </c>
    </row>
    <row r="21334" spans="1:5">
      <c r="A21334" t="s">
        <v>6</v>
      </c>
      <c r="B21334" t="s">
        <v>21339</v>
      </c>
      <c r="C21334">
        <f>HYPERLINK("C:\Users\franc\OneDrive\Documentos\MALENTIN KARIME\BANCO CREDITO\FER LORCA en ROSITA (Rosita)\CORPORACION ASIST. JUDICIAL\2010\SEPTIEMBRE 2010.-\reduccion. HECTOR ARANCIBIA.doc", "Abrir Documento")</f>
        <v>0</v>
      </c>
      <c r="D21334" t="s">
        <v>23500</v>
      </c>
      <c r="E21334" t="s">
        <v>43802</v>
      </c>
    </row>
    <row r="21335" spans="1:5">
      <c r="A21335" t="s">
        <v>6</v>
      </c>
      <c r="B21335" t="s">
        <v>21340</v>
      </c>
      <c r="C21335">
        <f>HYPERLINK("C:\Users\franc\OneDrive\Documentos\MALENTIN KARIME\BANCO CREDITO\FER LORCA en ROSITA (Rosita)\CORPORACION ASIST. JUDICIAL\2010\OCTUBRE\reduccion alicia torrejon (listoca)[1].doc", "Abrir Documento")</f>
        <v>0</v>
      </c>
      <c r="D21335" t="s">
        <v>23500</v>
      </c>
      <c r="E21335" t="s">
        <v>43803</v>
      </c>
    </row>
    <row r="21336" spans="1:5">
      <c r="A21336" t="s">
        <v>6</v>
      </c>
      <c r="B21336" t="s">
        <v>21341</v>
      </c>
      <c r="C21336">
        <f>HYPERLINK("C:\Users\franc\OneDrive\Documentos\MALENTIN KARIME\BANCO CREDITO\FER LORCA en ROSITA (Rosita)\CORPORACION ASIST. JUDICIAL\2010\OCTUBRE\MANDATO DON JORGE ANTONIO CONTRERAS ROJAS.doc", "Abrir Documento")</f>
        <v>0</v>
      </c>
      <c r="D21336" t="s">
        <v>23500</v>
      </c>
      <c r="E21336" t="s">
        <v>43804</v>
      </c>
    </row>
    <row r="21337" spans="1:5">
      <c r="A21337" t="s">
        <v>6</v>
      </c>
      <c r="B21337" t="s">
        <v>21342</v>
      </c>
      <c r="C21337">
        <f>HYPERLINK("C:\Users\franc\OneDrive\Documentos\MALENTIN KARIME\BANCO CREDITO\FER LORCA en ROSITA (Rosita)\CORPORACION ASIST. JUDICIAL\2010\NOVIEMBRE 10\REDUCCION_ESCRITURA_PUBLICA_Fonseca Rojo Irene.doc", "Abrir Documento")</f>
        <v>0</v>
      </c>
      <c r="D21337" t="s">
        <v>23500</v>
      </c>
      <c r="E21337" t="s">
        <v>43805</v>
      </c>
    </row>
    <row r="21338" spans="1:5">
      <c r="A21338" t="s">
        <v>6</v>
      </c>
      <c r="B21338" t="s">
        <v>21343</v>
      </c>
      <c r="C21338">
        <f>HYPERLINK("C:\Users\franc\OneDrive\Documentos\MALENTIN KARIME\BANCO CREDITO\FER LORCA en ROSITA (Rosita)\CORPORACION ASIST. JUDICIAL\2010\NOVIEMBRE 10\REDUCCION_ESCRITURA_PUBLICA_Cortes Cortes Agustin.doc", "Abrir Documento")</f>
        <v>0</v>
      </c>
      <c r="D21338" t="s">
        <v>23500</v>
      </c>
      <c r="E21338" t="s">
        <v>43806</v>
      </c>
    </row>
    <row r="21339" spans="1:5">
      <c r="A21339" t="s">
        <v>6</v>
      </c>
      <c r="B21339" t="s">
        <v>21344</v>
      </c>
      <c r="C21339">
        <f>HYPERLINK("C:\Users\franc\OneDrive\Documentos\MALENTIN KARIME\BANCO CREDITO\FER LORCA en ROSITA (Rosita)\CORPORACION ASIST. JUDICIAL\2010\NOVIEMBRE 10\MARIA ZAPATA.- REDUCCION FELIX SAEZ.doc", "Abrir Documento")</f>
        <v>0</v>
      </c>
      <c r="D21339" t="s">
        <v>23500</v>
      </c>
      <c r="E21339" t="s">
        <v>43807</v>
      </c>
    </row>
    <row r="21340" spans="1:5">
      <c r="A21340" t="s">
        <v>6</v>
      </c>
      <c r="B21340" t="s">
        <v>21345</v>
      </c>
      <c r="C21340">
        <f>HYPERLINK("C:\Users\franc\OneDrive\Documentos\MALENTIN KARIME\BANCO CREDITO\FER LORCA en ROSITA (Rosita)\CORPORACION ASIST. JUDICIAL\2010\NOVIEMBRE 10\MANDATO_CELINDA[1].doc", "Abrir Documento")</f>
        <v>0</v>
      </c>
      <c r="D21340" t="s">
        <v>23500</v>
      </c>
      <c r="E21340" t="s">
        <v>43808</v>
      </c>
    </row>
    <row r="21341" spans="1:5">
      <c r="A21341" t="s">
        <v>6</v>
      </c>
      <c r="B21341" t="s">
        <v>21346</v>
      </c>
      <c r="C21341">
        <f>HYPERLINK("C:\Users\franc\OneDrive\Documentos\MALENTIN KARIME\BANCO CREDITO\FER LORCA en ROSITA (Rosita)\CORPORACION ASIST. JUDICIAL\2010\NOVIEMBRE 10\MANDATO_CELINDA.-.doc", "Abrir Documento")</f>
        <v>0</v>
      </c>
      <c r="D21341" t="s">
        <v>23500</v>
      </c>
      <c r="E21341" t="s">
        <v>43809</v>
      </c>
    </row>
    <row r="21342" spans="1:5">
      <c r="A21342" t="s">
        <v>6</v>
      </c>
      <c r="B21342" t="s">
        <v>21347</v>
      </c>
      <c r="C21342">
        <f>HYPERLINK("C:\Users\franc\OneDrive\Documentos\MALENTIN KARIME\BANCO CREDITO\FER LORCA en ROSITA (Rosita)\CORPORACION ASIST. JUDICIAL\2010\NOVIEMBRE 10\MANDATO JUDICIAL RODRIGO LEYTON CAJ CALAMA.-.doc", "Abrir Documento")</f>
        <v>0</v>
      </c>
      <c r="D21342" t="s">
        <v>23500</v>
      </c>
      <c r="E21342" t="s">
        <v>43810</v>
      </c>
    </row>
    <row r="21343" spans="1:5">
      <c r="A21343" t="s">
        <v>6</v>
      </c>
      <c r="B21343" t="s">
        <v>21348</v>
      </c>
      <c r="C21343">
        <f>HYPERLINK("C:\Users\franc\OneDrive\Documentos\MALENTIN KARIME\BANCO CREDITO\FER LORCA en ROSITA (Rosita)\CORPORACION ASIST. JUDICIAL\2010\NOVIEMBRE 10\MANDATO ESPEC. DIVORCIO MIRIAM CISTERNAS POZO ALMONTE.doc", "Abrir Documento")</f>
        <v>0</v>
      </c>
      <c r="D21343" t="s">
        <v>23500</v>
      </c>
      <c r="E21343" t="s">
        <v>43811</v>
      </c>
    </row>
    <row r="21344" spans="1:5">
      <c r="A21344" t="s">
        <v>6</v>
      </c>
      <c r="B21344" t="s">
        <v>21349</v>
      </c>
      <c r="C21344">
        <f>HYPERLINK("C:\Users\franc\OneDrive\Documentos\MALENTIN KARIME\BANCO CREDITO\FER LORCA en ROSITA (Rosita)\CORPORACION ASIST. JUDICIAL\2010\MAYO 2010\REDUCCION ESCRITURA PUBLICA_Marisol_del_Transito_Araya_Castro_Francisco_Bravo[1].doc", "Abrir Documento")</f>
        <v>0</v>
      </c>
      <c r="D21344" t="s">
        <v>23500</v>
      </c>
      <c r="E21344" t="s">
        <v>43812</v>
      </c>
    </row>
    <row r="21345" spans="1:5">
      <c r="A21345" t="s">
        <v>6</v>
      </c>
      <c r="B21345" t="s">
        <v>21350</v>
      </c>
      <c r="C21345">
        <f>HYPERLINK("C:\Users\franc\OneDrive\Documentos\MALENTIN KARIME\BANCO CREDITO\FER LORCA en ROSITA (Rosita)\CORPORACION ASIST. JUDICIAL\2010\MARZO 2010\MANDATO ESPEC. ANA CASANOVA.doc", "Abrir Documento")</f>
        <v>0</v>
      </c>
      <c r="D21345" t="s">
        <v>23500</v>
      </c>
      <c r="E21345" t="s">
        <v>43813</v>
      </c>
    </row>
    <row r="21346" spans="1:5">
      <c r="A21346" t="s">
        <v>6</v>
      </c>
      <c r="B21346" t="s">
        <v>21351</v>
      </c>
      <c r="C21346">
        <f>HYPERLINK("C:\Users\franc\OneDrive\Documentos\MALENTIN KARIME\BANCO CREDITO\FER LORCA en ROSITA (Rosita)\CORPORACION ASIST. JUDICIAL\2010\JUNIO 2010\REDUCCION ESCRITURA PUBLICA_ana_naranjo.- MARCELA RIVERA.doc", "Abrir Documento")</f>
        <v>0</v>
      </c>
      <c r="D21346" t="s">
        <v>23500</v>
      </c>
      <c r="E21346" t="s">
        <v>43814</v>
      </c>
    </row>
    <row r="21347" spans="1:5">
      <c r="A21347" t="s">
        <v>6</v>
      </c>
      <c r="B21347" t="s">
        <v>21352</v>
      </c>
      <c r="C21347">
        <f>HYPERLINK("C:\Users\franc\OneDrive\Documentos\MALENTIN KARIME\BANCO CREDITO\FER LORCA en ROSITA (Rosita)\CORPORACION ASIST. JUDICIAL\2010\JULIO 2010.-\mdto jud divorcio la serena ROSA ALVAREZ[1].doc", "Abrir Documento")</f>
        <v>0</v>
      </c>
      <c r="D21347" t="s">
        <v>23500</v>
      </c>
      <c r="E21347" t="s">
        <v>43815</v>
      </c>
    </row>
    <row r="21348" spans="1:5">
      <c r="A21348" t="s">
        <v>6</v>
      </c>
      <c r="B21348" t="s">
        <v>21353</v>
      </c>
      <c r="C21348">
        <f>HYPERLINK("C:\Users\franc\OneDrive\Documentos\MALENTIN KARIME\BANCO CREDITO\FER LORCA en ROSITA (Rosita)\CORPORACION ASIST. JUDICIAL\2010\JULIO 2010.-\mandato don amadiel araya.doc", "Abrir Documento")</f>
        <v>0</v>
      </c>
      <c r="D21348" t="s">
        <v>23500</v>
      </c>
      <c r="E21348" t="s">
        <v>43816</v>
      </c>
    </row>
    <row r="21349" spans="1:5">
      <c r="A21349" t="s">
        <v>6</v>
      </c>
      <c r="B21349" t="s">
        <v>21354</v>
      </c>
      <c r="C21349">
        <f>HYPERLINK("C:\Users\franc\OneDrive\Documentos\MALENTIN KARIME\BANCO CREDITO\FER LORCA en ROSITA (Rosita)\CORPORACION ASIST. JUDICIAL\2010\JULIO 2010.-\LOYOLA con NAVEA. OTRO FORMATO.- JULIO 2010.doc", "Abrir Documento")</f>
        <v>0</v>
      </c>
      <c r="D21349" t="s">
        <v>23500</v>
      </c>
      <c r="E21349" t="s">
        <v>43817</v>
      </c>
    </row>
    <row r="21350" spans="1:5">
      <c r="A21350" t="s">
        <v>6</v>
      </c>
      <c r="B21350" t="s">
        <v>21355</v>
      </c>
      <c r="C21350">
        <f>HYPERLINK("C:\Users\franc\OneDrive\Documentos\MALENTIN KARIME\BANCO CREDITO\FER LORCA en ROSITA (Rosita)\CORPORACION ASIST. JUDICIAL\2010\ENERO 2010\mandato_osvaldo_emmanuel_avila_rojas[1][1].doc", "Abrir Documento")</f>
        <v>0</v>
      </c>
      <c r="D21350" t="s">
        <v>23500</v>
      </c>
      <c r="E21350" t="s">
        <v>43818</v>
      </c>
    </row>
    <row r="21351" spans="1:5">
      <c r="A21351" t="s">
        <v>6</v>
      </c>
      <c r="B21351" t="s">
        <v>21356</v>
      </c>
      <c r="C21351">
        <f>HYPERLINK("C:\Users\franc\OneDrive\Documentos\MALENTIN KARIME\BANCO CREDITO\FER LORCA en ROSITA (Rosita)\CORPORACION ASIST. JUDICIAL\2010\DICIEMBRE 10\REGISTRO_DE_INSTRUMENTOS_PUBLICOS_DE_OVALLE[1] huerta.doc", "Abrir Documento")</f>
        <v>0</v>
      </c>
      <c r="D21351" t="s">
        <v>23500</v>
      </c>
      <c r="E21351" t="s">
        <v>43819</v>
      </c>
    </row>
    <row r="21352" spans="1:5">
      <c r="A21352" t="s">
        <v>6</v>
      </c>
      <c r="B21352" t="s">
        <v>21357</v>
      </c>
      <c r="C21352">
        <f>HYPERLINK("C:\Users\franc\OneDrive\Documentos\MALENTIN KARIME\BANCO CREDITO\FER LORCA en ROSITA (Rosita)\CORPORACION ASIST. JUDICIAL\2010\DICIEMBRE 10\Mandato judicial Abel Araya Ramírez .corr.doc", "Abrir Documento")</f>
        <v>0</v>
      </c>
      <c r="D21352" t="s">
        <v>23500</v>
      </c>
      <c r="E21352" t="s">
        <v>43820</v>
      </c>
    </row>
    <row r="21353" spans="1:5">
      <c r="A21353" t="s">
        <v>6</v>
      </c>
      <c r="B21353" t="s">
        <v>21358</v>
      </c>
      <c r="C21353">
        <f>HYPERLINK("C:\Users\franc\OneDrive\Documentos\MALENTIN KARIME\BANCO CREDITO\FER LORCA en ROSITA (Rosita)\CORPORACION ASIST. JUDICIAL\2010\AGOSTO\Cesion digna rojas.corregida-cabrera.doc", "Abrir Documento")</f>
        <v>0</v>
      </c>
      <c r="D21353" t="s">
        <v>23500</v>
      </c>
      <c r="E21353" t="s">
        <v>43821</v>
      </c>
    </row>
    <row r="21354" spans="1:5">
      <c r="A21354" t="s">
        <v>6</v>
      </c>
      <c r="B21354" t="s">
        <v>21359</v>
      </c>
      <c r="C21354">
        <f>HYPERLINK("C:\Users\franc\OneDrive\Documentos\MALENTIN KARIME\BANCO CREDITO\FER LORCA en ROSITA (Rosita)\CORPORACION ASIST. JUDICIAL\2010\DICIEMBRE 10\Copia de MANDATO JUDICIAL Bernabe Cortes.- dic.doc", "Abrir Documento")</f>
        <v>0</v>
      </c>
      <c r="D21354" t="s">
        <v>23500</v>
      </c>
      <c r="E21354" t="s">
        <v>43821</v>
      </c>
    </row>
    <row r="21355" spans="1:5">
      <c r="A21355" t="s">
        <v>6</v>
      </c>
      <c r="B21355" t="s">
        <v>21360</v>
      </c>
      <c r="C21355">
        <f>HYPERLINK("C:\Users\franc\OneDrive\Documentos\MALENTIN KARIME\BANCO CREDITO\FER LORCA en ROSITA (Rosita)\CORPORACION ASIST. JUDICIAL\2009\SEPTIEMBRE\MANDATO JUDICIAL DIVORCIO MIREYA.doc", "Abrir Documento")</f>
        <v>0</v>
      </c>
      <c r="D21355" t="s">
        <v>23500</v>
      </c>
      <c r="E21355" t="s">
        <v>43822</v>
      </c>
    </row>
    <row r="21356" spans="1:5">
      <c r="A21356" t="s">
        <v>6</v>
      </c>
      <c r="B21356" t="s">
        <v>21361</v>
      </c>
      <c r="C21356">
        <f>HYPERLINK("C:\Users\franc\OneDrive\Documentos\MALENTIN KARIME\BANCO CREDITO\FER LORCA en ROSITA (Rosita)\CORPORACION ASIST. JUDICIAL\2009\SEPTIEMBRE\INVENTARIO SIMPLE.-.doc", "Abrir Documento")</f>
        <v>0</v>
      </c>
      <c r="D21356" t="s">
        <v>23500</v>
      </c>
      <c r="E21356" t="s">
        <v>43823</v>
      </c>
    </row>
    <row r="21357" spans="1:5">
      <c r="A21357" t="s">
        <v>6</v>
      </c>
      <c r="B21357" t="s">
        <v>21362</v>
      </c>
      <c r="C21357">
        <f>HYPERLINK("C:\Users\franc\OneDrive\Documentos\MALENTIN KARIME\BANCO CREDITO\FER LORCA en ROSITA (Rosita)\CORPORACION ASIST. JUDICIAL\2009\SEPTIEMBRE\COMPRAVENTA DE COSA MUEBLE AL CONTADO.- MARIA BAHAMONDES.doc", "Abrir Documento")</f>
        <v>0</v>
      </c>
      <c r="D21357" t="s">
        <v>23500</v>
      </c>
      <c r="E21357" t="s">
        <v>43824</v>
      </c>
    </row>
    <row r="21358" spans="1:5">
      <c r="A21358" t="s">
        <v>6</v>
      </c>
      <c r="B21358" t="s">
        <v>21363</v>
      </c>
      <c r="C21358">
        <f>HYPERLINK("C:\Users\franc\OneDrive\Documentos\MALENTIN KARIME\BANCO CREDITO\FER LORCA en ROSITA (Rosita)\CORPORACION ASIST. JUDICIAL\2009\NOVIEMBRE 09\PATRICIA PEREZ PEREZ.doc", "Abrir Documento")</f>
        <v>0</v>
      </c>
      <c r="D21358" t="s">
        <v>23500</v>
      </c>
      <c r="E21358" t="s">
        <v>43825</v>
      </c>
    </row>
    <row r="21359" spans="1:5">
      <c r="A21359" t="s">
        <v>6</v>
      </c>
      <c r="B21359" t="s">
        <v>21364</v>
      </c>
      <c r="C21359">
        <f>HYPERLINK("C:\Users\franc\OneDrive\Documentos\MALENTIN KARIME\BANCO CREDITO\FER LORCA en ROSITA (Rosita)\CORPORACION ASIST. JUDICIAL\2009\NOVIEMBRE 09\FAVIOLA RAMOS LABARCA.doc", "Abrir Documento")</f>
        <v>0</v>
      </c>
      <c r="D21359" t="s">
        <v>23500</v>
      </c>
      <c r="E21359" t="s">
        <v>43826</v>
      </c>
    </row>
    <row r="21360" spans="1:5">
      <c r="A21360" t="s">
        <v>6</v>
      </c>
      <c r="B21360" t="s">
        <v>21365</v>
      </c>
      <c r="C21360">
        <f>HYPERLINK("C:\Users\franc\OneDrive\Documentos\MALENTIN KARIME\BANCO CREDITO\FER LORCA en ROSITA (Rosita)\CORPORACION ASIST. JUDICIAL\2009\MAYO 2009\ROMUALDO ALEX URQUIETA PIZARRO.doc", "Abrir Documento")</f>
        <v>0</v>
      </c>
      <c r="D21360" t="s">
        <v>23500</v>
      </c>
      <c r="E21360" t="s">
        <v>43827</v>
      </c>
    </row>
    <row r="21361" spans="1:5">
      <c r="A21361" t="s">
        <v>6</v>
      </c>
      <c r="B21361" t="s">
        <v>21366</v>
      </c>
      <c r="C21361">
        <f>HYPERLINK("C:\Users\franc\OneDrive\Documentos\MALENTIN KARIME\BANCO CREDITO\FER LORCA en ROSITA (Rosita)\CORPORACION ASIST. JUDICIAL\2009\MAYO 2009\ROBERTO OSSANDON CORTES.doc", "Abrir Documento")</f>
        <v>0</v>
      </c>
      <c r="D21361" t="s">
        <v>23500</v>
      </c>
      <c r="E21361" t="s">
        <v>43828</v>
      </c>
    </row>
    <row r="21362" spans="1:5">
      <c r="A21362" t="s">
        <v>6</v>
      </c>
      <c r="B21362" t="s">
        <v>21367</v>
      </c>
      <c r="C21362">
        <f>HYPERLINK("C:\Users\franc\OneDrive\Documentos\MALENTIN KARIME\BANCO CREDITO\FER LORCA en ROSITA (Rosita)\CORPORACION ASIST. JUDICIAL\2009\MAYO 2009\LEONTINA HINOJOSA ARAYA.doc", "Abrir Documento")</f>
        <v>0</v>
      </c>
      <c r="D21362" t="s">
        <v>23500</v>
      </c>
      <c r="E21362" t="s">
        <v>43829</v>
      </c>
    </row>
    <row r="21363" spans="1:5">
      <c r="A21363" t="s">
        <v>6</v>
      </c>
      <c r="B21363" t="s">
        <v>21368</v>
      </c>
      <c r="C21363">
        <f>HYPERLINK("C:\Users\franc\OneDrive\Documentos\MALENTIN KARIME\BANCO CREDITO\FER LORCA en ROSITA (Rosita)\CORPORACION ASIST. JUDICIAL\2009\MAYO 2009\JUAN FRANCISCO OSSANDON.doc", "Abrir Documento")</f>
        <v>0</v>
      </c>
      <c r="D21363" t="s">
        <v>23500</v>
      </c>
      <c r="E21363" t="s">
        <v>43830</v>
      </c>
    </row>
    <row r="21364" spans="1:5">
      <c r="A21364" t="s">
        <v>6</v>
      </c>
      <c r="B21364" t="s">
        <v>21369</v>
      </c>
      <c r="C21364">
        <f>HYPERLINK("C:\Users\franc\OneDrive\Documentos\MALENTIN KARIME\BANCO CREDITO\FER LORCA en ROSITA (Rosita)\CORPORACION ASIST. JUDICIAL\2009\MAYO 2009\FLORIDOR ARAYA ADAROS.doc", "Abrir Documento")</f>
        <v>0</v>
      </c>
      <c r="D21364" t="s">
        <v>23500</v>
      </c>
      <c r="E21364" t="s">
        <v>43831</v>
      </c>
    </row>
    <row r="21365" spans="1:5">
      <c r="A21365" t="s">
        <v>6</v>
      </c>
      <c r="B21365" t="s">
        <v>21370</v>
      </c>
      <c r="C21365">
        <f>HYPERLINK("C:\Users\franc\OneDrive\Documentos\MALENTIN KARIME\BANCO CREDITO\FER LORCA en ROSITA (Rosita)\CORPORACION ASIST. JUDICIAL\2009\MAYO 2009\FEDERICO ARAYA.-.doc", "Abrir Documento")</f>
        <v>0</v>
      </c>
      <c r="D21365" t="s">
        <v>23500</v>
      </c>
      <c r="E21365" t="s">
        <v>43832</v>
      </c>
    </row>
    <row r="21366" spans="1:5">
      <c r="A21366" t="s">
        <v>6</v>
      </c>
      <c r="B21366" t="s">
        <v>21371</v>
      </c>
      <c r="C21366">
        <f>HYPERLINK("C:\Users\franc\OneDrive\Documentos\MALENTIN KARIME\BANCO CREDITO\FER LORCA en ROSITA (Rosita)\CORPORACION ASIST. JUDICIAL\YERKO SAAVEDRA.doc", "Abrir Documento")</f>
        <v>0</v>
      </c>
      <c r="D21366" t="s">
        <v>23500</v>
      </c>
      <c r="E21366" t="s">
        <v>43833</v>
      </c>
    </row>
    <row r="21367" spans="1:5">
      <c r="A21367" t="s">
        <v>6</v>
      </c>
      <c r="B21367" t="s">
        <v>21372</v>
      </c>
      <c r="C21367">
        <f>HYPERLINK("C:\Users\franc\OneDrive\Documentos\MALENTIN KARIME\BANCO CREDITO\FER LORCA en ROSITA (Rosita)\CORPORACION ASIST. JUDICIAL\TIMBRE PRIVILEGIO POBREZA.doc", "Abrir Documento")</f>
        <v>0</v>
      </c>
      <c r="D21367" t="s">
        <v>23500</v>
      </c>
      <c r="E21367" t="s">
        <v>43834</v>
      </c>
    </row>
    <row r="21368" spans="1:5">
      <c r="A21368" t="s">
        <v>6</v>
      </c>
      <c r="B21368" t="s">
        <v>21373</v>
      </c>
      <c r="C21368">
        <f>HYPERLINK("C:\Users\franc\OneDrive\Documentos\MALENTIN KARIME\BANCO CREDITO\FER LORCA en ROSITA (Rosita)\CORPORACION ASIST. JUDICIAL\Pacto_separacion_de_bienes.ROSA_ARAYA.corregido.doc", "Abrir Documento")</f>
        <v>0</v>
      </c>
      <c r="D21368" t="s">
        <v>23500</v>
      </c>
      <c r="E21368" t="s">
        <v>43835</v>
      </c>
    </row>
    <row r="21369" spans="1:5">
      <c r="A21369" t="s">
        <v>6</v>
      </c>
      <c r="B21369" t="s">
        <v>21374</v>
      </c>
      <c r="C21369">
        <f>HYPERLINK("C:\Users\franc\OneDrive\Documentos\MALENTIN KARIME\BANCO CREDITO\FER LORCA en ROSITA (Rosita)\CORPORACION ASIST. JUDICIAL\MARIA ROJAS. DIVORCIO.doc", "Abrir Documento")</f>
        <v>0</v>
      </c>
      <c r="D21369" t="s">
        <v>23500</v>
      </c>
      <c r="E21369" t="s">
        <v>43836</v>
      </c>
    </row>
    <row r="21370" spans="1:5">
      <c r="A21370" t="s">
        <v>6</v>
      </c>
      <c r="B21370" t="s">
        <v>21375</v>
      </c>
      <c r="C21370">
        <f>HYPERLINK("C:\Users\franc\OneDrive\Documentos\MALENTIN KARIME\BANCO CREDITO\FER LORCA en ROSITA (Rosita)\CORPORACION ASIST. JUDICIAL\MARIA PASTEN ROJAS.doc", "Abrir Documento")</f>
        <v>0</v>
      </c>
      <c r="D21370" t="s">
        <v>23500</v>
      </c>
      <c r="E21370" t="s">
        <v>43837</v>
      </c>
    </row>
    <row r="21371" spans="1:5">
      <c r="A21371" t="s">
        <v>6</v>
      </c>
      <c r="B21371" t="s">
        <v>21376</v>
      </c>
      <c r="C21371">
        <f>HYPERLINK("C:\Users\franc\OneDrive\Documentos\MALENTIN KARIME\BANCO CREDITO\FER LORCA en ROSITA (Rosita)\CORPORACION ASIST. JUDICIAL\MARIA DEVIA.doc", "Abrir Documento")</f>
        <v>0</v>
      </c>
      <c r="D21371" t="s">
        <v>23500</v>
      </c>
      <c r="E21371" t="s">
        <v>43838</v>
      </c>
    </row>
    <row r="21372" spans="1:5">
      <c r="A21372" t="s">
        <v>6</v>
      </c>
      <c r="B21372" t="s">
        <v>21377</v>
      </c>
      <c r="C21372">
        <f>HYPERLINK("C:\Users\franc\OneDrive\Documentos\MALENTIN KARIME\BANCO CREDITO\FER LORCA en ROSITA (Rosita)\CORPORACION ASIST. JUDICIAL\MANDATO JUDICIAL ESPECIAL antofagasta CORP..doc", "Abrir Documento")</f>
        <v>0</v>
      </c>
      <c r="D21372" t="s">
        <v>23500</v>
      </c>
      <c r="E21372" t="s">
        <v>43839</v>
      </c>
    </row>
    <row r="21373" spans="1:5">
      <c r="A21373" t="s">
        <v>6</v>
      </c>
      <c r="B21373" t="s">
        <v>21378</v>
      </c>
      <c r="C21373">
        <f>HYPERLINK("C:\Users\franc\OneDrive\Documentos\MALENTIN KARIME\BANCO CREDITO\FER LORCA en ROSITA (Rosita)\CORPORACION ASIST. JUDICIAL\MANDATO JUD. ESPECIAL ARICA.doc", "Abrir Documento")</f>
        <v>0</v>
      </c>
      <c r="D21373" t="s">
        <v>23500</v>
      </c>
      <c r="E21373" t="s">
        <v>43840</v>
      </c>
    </row>
    <row r="21374" spans="1:5">
      <c r="A21374" t="s">
        <v>6</v>
      </c>
      <c r="B21374" t="s">
        <v>21379</v>
      </c>
      <c r="C21374">
        <f>HYPERLINK("C:\Users\franc\OneDrive\Documentos\MALENTIN KARIME\BANCO CREDITO\FER LORCA en ROSITA (Rosita)\CORPORACION ASIST. JUDICIAL\mandato becerra-cabrera.corregido.doc", "Abrir Documento")</f>
        <v>0</v>
      </c>
      <c r="D21374" t="s">
        <v>23500</v>
      </c>
      <c r="E21374" t="s">
        <v>43841</v>
      </c>
    </row>
    <row r="21375" spans="1:5">
      <c r="A21375" t="s">
        <v>6</v>
      </c>
      <c r="B21375" t="s">
        <v>21380</v>
      </c>
      <c r="C21375">
        <f>HYPERLINK("C:\Users\franc\OneDrive\Documentos\MALENTIN KARIME\BANCO CREDITO\FER LORCA en ROSITA (Rosita)\CORPORACION ASIST. JUDICIAL\JEANETTE CORTES.doc", "Abrir Documento")</f>
        <v>0</v>
      </c>
      <c r="D21375" t="s">
        <v>23500</v>
      </c>
      <c r="E21375" t="s">
        <v>43842</v>
      </c>
    </row>
    <row r="21376" spans="1:5">
      <c r="A21376" t="s">
        <v>6</v>
      </c>
      <c r="B21376" t="s">
        <v>21381</v>
      </c>
      <c r="C21376">
        <f>HYPERLINK("C:\Users\franc\OneDrive\Documentos\MALENTIN KARIME\BANCO CREDITO\FER LORCA en ROSITA (Rosita)\CORPORACION ASIST. JUDICIAL\JAVIER ALFARO RUBINA.doc", "Abrir Documento")</f>
        <v>0</v>
      </c>
      <c r="D21376" t="s">
        <v>23500</v>
      </c>
      <c r="E21376" t="s">
        <v>43843</v>
      </c>
    </row>
    <row r="21377" spans="1:5">
      <c r="A21377" t="s">
        <v>6</v>
      </c>
      <c r="B21377" t="s">
        <v>21382</v>
      </c>
      <c r="C21377">
        <f>HYPERLINK("C:\Users\franc\OneDrive\Documentos\MALENTIN KARIME\BANCO CREDITO\FER LORCA en ROSITA (Rosita)\CORPORACION ASIST. JUDICIAL\HILDA GONZALEZ MOLINA.doc", "Abrir Documento")</f>
        <v>0</v>
      </c>
      <c r="D21377" t="s">
        <v>23500</v>
      </c>
      <c r="E21377" t="s">
        <v>43844</v>
      </c>
    </row>
    <row r="21378" spans="1:5">
      <c r="A21378" t="s">
        <v>6</v>
      </c>
      <c r="B21378" t="s">
        <v>21383</v>
      </c>
      <c r="C21378">
        <f>HYPERLINK("C:\Users\franc\OneDrive\Documentos\MALENTIN KARIME\BANCO CREDITO\FER LORCA en ROSITA (Rosita)\CORPORACION ASIST. JUDICIAL\escritura cuidado robert tabilo.doc", "Abrir Documento")</f>
        <v>0</v>
      </c>
      <c r="D21378" t="s">
        <v>23500</v>
      </c>
      <c r="E21378" t="s">
        <v>43845</v>
      </c>
    </row>
    <row r="21379" spans="1:5">
      <c r="A21379" t="s">
        <v>6</v>
      </c>
      <c r="B21379" t="s">
        <v>21384</v>
      </c>
      <c r="C21379">
        <f>HYPERLINK("C:\Users\franc\OneDrive\Documentos\MALENTIN KARIME\BANCO CREDITO\FER LORCA en ROSITA (Rosita)\CORPORACION ASIST. JUDICIAL\CAMILO CORTES GUERRERO.doc", "Abrir Documento")</f>
        <v>0</v>
      </c>
      <c r="D21379" t="s">
        <v>23500</v>
      </c>
      <c r="E21379" t="s">
        <v>43846</v>
      </c>
    </row>
    <row r="21380" spans="1:5">
      <c r="A21380" t="s">
        <v>6</v>
      </c>
      <c r="B21380" t="s">
        <v>21385</v>
      </c>
      <c r="C21380">
        <f>HYPERLINK("C:\Users\franc\OneDrive\Documentos\MALENTIN KARIME\BANCO CREDITO\FER LORCA en ROSITA (Rosita)\CORP. HABITACIONAL\CERTIFICADOS NOV._\NAVEA CHACANA A GUSTAVO CARVAJAL.doc", "Abrir Documento")</f>
        <v>0</v>
      </c>
      <c r="D21380" t="s">
        <v>23500</v>
      </c>
      <c r="E21380" t="s">
        <v>43847</v>
      </c>
    </row>
    <row r="21381" spans="1:5">
      <c r="A21381" t="s">
        <v>6</v>
      </c>
      <c r="B21381" t="s">
        <v>21386</v>
      </c>
      <c r="C21381">
        <f>HYPERLINK("C:\Users\franc\OneDrive\Documentos\MALENTIN KARIME\BANCO CREDITO\FER LORCA en ROSITA (Rosita)\CORP. HABITACIONAL\CERTIFICADOS NOV._\MAXIMO VALDIVIA A SILVIA DIAZ.doc", "Abrir Documento")</f>
        <v>0</v>
      </c>
      <c r="D21381" t="s">
        <v>23500</v>
      </c>
      <c r="E21381" t="s">
        <v>43848</v>
      </c>
    </row>
    <row r="21382" spans="1:5">
      <c r="A21382" t="s">
        <v>6</v>
      </c>
      <c r="B21382" t="s">
        <v>21387</v>
      </c>
      <c r="C21382">
        <f>HYPERLINK("C:\Users\franc\OneDrive\Documentos\MALENTIN KARIME\BANCO CREDITO\FER LORCA en ROSITA (Rosita)\CORP. HABITACIONAL\CERTIFICADOS NOV._\MARIA GOMEZ A LORENA EGAÑA.doc", "Abrir Documento")</f>
        <v>0</v>
      </c>
      <c r="D21382" t="s">
        <v>23500</v>
      </c>
      <c r="E21382" t="s">
        <v>43849</v>
      </c>
    </row>
    <row r="21383" spans="1:5">
      <c r="A21383" t="s">
        <v>6</v>
      </c>
      <c r="B21383" t="s">
        <v>21388</v>
      </c>
      <c r="C21383">
        <f>HYPERLINK("C:\Users\franc\OneDrive\Documentos\MALENTIN KARIME\BANCO CREDITO\FER LORCA en ROSITA (Rosita)\CORP. HABITACIONAL\CERTIFICADOS NOV._\MARIA BALCAZAR Y GRIMALDINA PEREIRA.doc", "Abrir Documento")</f>
        <v>0</v>
      </c>
      <c r="D21383" t="s">
        <v>23500</v>
      </c>
      <c r="E21383" t="s">
        <v>43850</v>
      </c>
    </row>
    <row r="21384" spans="1:5">
      <c r="A21384" t="s">
        <v>6</v>
      </c>
      <c r="B21384" t="s">
        <v>21389</v>
      </c>
      <c r="C21384">
        <f>HYPERLINK("C:\Users\franc\OneDrive\Documentos\MALENTIN KARIME\BANCO CREDITO\FER LORCA en ROSITA (Rosita)\CORP. HABITACIONAL\CERTIFICADOS NOV._\JEANETTE BARRAZA A JOSSELINE DIAZ.doc", "Abrir Documento")</f>
        <v>0</v>
      </c>
      <c r="D21384" t="s">
        <v>23500</v>
      </c>
      <c r="E21384" t="s">
        <v>43851</v>
      </c>
    </row>
    <row r="21385" spans="1:5">
      <c r="A21385" t="s">
        <v>6</v>
      </c>
      <c r="B21385" t="s">
        <v>21390</v>
      </c>
      <c r="C21385">
        <f>HYPERLINK("C:\Users\franc\OneDrive\Documentos\MALENTIN KARIME\BANCO CREDITO\FER LORCA en ROSITA (Rosita)\CORP. HABITACIONAL\CERTIFICADOS NOV._\FRAN SEGOVIA A ALEJANDRO CARVAJAL.doc", "Abrir Documento")</f>
        <v>0</v>
      </c>
      <c r="D21385" t="s">
        <v>23500</v>
      </c>
      <c r="E21385" t="s">
        <v>43852</v>
      </c>
    </row>
    <row r="21386" spans="1:5">
      <c r="A21386" t="s">
        <v>6</v>
      </c>
      <c r="B21386" t="s">
        <v>21391</v>
      </c>
      <c r="C21386">
        <f>HYPERLINK("C:\Users\franc\OneDrive\Documentos\MALENTIN KARIME\BANCO CREDITO\FER LORCA en ROSITA (Rosita)\CORP. HABITACIONAL\VALDIVIA a DIAZ[.doc", "Abrir Documento")</f>
        <v>0</v>
      </c>
      <c r="D21386" t="s">
        <v>23500</v>
      </c>
      <c r="E21386" t="s">
        <v>43853</v>
      </c>
    </row>
    <row r="21387" spans="1:5">
      <c r="A21387" t="s">
        <v>6</v>
      </c>
      <c r="B21387" t="s">
        <v>21392</v>
      </c>
      <c r="C21387">
        <f>HYPERLINK("C:\Users\franc\OneDrive\Documentos\MALENTIN KARIME\BANCO CREDITO\FER LORCA en ROSITA (Rosita)\CORP. HABITACIONAL\SEGOVIA a CARVAJAL[1].doc", "Abrir Documento")</f>
        <v>0</v>
      </c>
      <c r="D21387" t="s">
        <v>23500</v>
      </c>
      <c r="E21387" t="s">
        <v>43854</v>
      </c>
    </row>
    <row r="21388" spans="1:5">
      <c r="A21388" t="s">
        <v>6</v>
      </c>
      <c r="B21388" t="s">
        <v>21393</v>
      </c>
      <c r="C21388">
        <f>HYPERLINK("C:\Users\franc\OneDrive\Documentos\MALENTIN KARIME\BANCO CREDITO\FER LORCA en ROSITA (Rosita)\CORP. HABITACIONAL\PEREIRA a BALCAZAR[1].doc", "Abrir Documento")</f>
        <v>0</v>
      </c>
      <c r="D21388" t="s">
        <v>23500</v>
      </c>
      <c r="E21388" t="s">
        <v>43855</v>
      </c>
    </row>
    <row r="21389" spans="1:5">
      <c r="A21389" t="s">
        <v>6</v>
      </c>
      <c r="B21389" t="s">
        <v>21394</v>
      </c>
      <c r="C21389">
        <f>HYPERLINK("C:\Users\franc\OneDrive\Documentos\MALENTIN KARIME\BANCO CREDITO\FER LORCA en ROSITA (Rosita)\CORP. HABITACIONAL\NAVEA a CARVAJAL[1].doc", "Abrir Documento")</f>
        <v>0</v>
      </c>
      <c r="D21389" t="s">
        <v>23500</v>
      </c>
      <c r="E21389" t="s">
        <v>43856</v>
      </c>
    </row>
    <row r="21390" spans="1:5">
      <c r="A21390" t="s">
        <v>6</v>
      </c>
      <c r="B21390" t="s">
        <v>21395</v>
      </c>
      <c r="C21390">
        <f>HYPERLINK("C:\Users\franc\OneDrive\Documentos\MALENTIN KARIME\BANCO CREDITO\FER LORCA en ROSITA (Rosita)\CORP. HABITACIONAL\LOPEZ a JOFRE[1].doc", "Abrir Documento")</f>
        <v>0</v>
      </c>
      <c r="D21390" t="s">
        <v>23500</v>
      </c>
      <c r="E21390" t="s">
        <v>43857</v>
      </c>
    </row>
    <row r="21391" spans="1:5">
      <c r="A21391" t="s">
        <v>6</v>
      </c>
      <c r="B21391" t="s">
        <v>21396</v>
      </c>
      <c r="C21391">
        <f>HYPERLINK("C:\Users\franc\OneDrive\Documentos\MALENTIN KARIME\BANCO CREDITO\FER LORCA en ROSITA (Rosita)\CORP. HABITACIONAL\GOMEZ A EGAÑA.doc", "Abrir Documento")</f>
        <v>0</v>
      </c>
      <c r="D21391" t="s">
        <v>23500</v>
      </c>
      <c r="E21391" t="s">
        <v>43858</v>
      </c>
    </row>
    <row r="21392" spans="1:5">
      <c r="A21392" t="s">
        <v>6</v>
      </c>
      <c r="B21392" t="s">
        <v>21397</v>
      </c>
      <c r="C21392">
        <f>HYPERLINK("C:\Users\franc\OneDrive\Documentos\MALENTIN KARIME\BANCO CREDITO\FER LORCA en ROSITA (Rosita)\CORP. HABITACIONAL\BARRAZA a DIAZ[1].doc", "Abrir Documento")</f>
        <v>0</v>
      </c>
      <c r="D21392" t="s">
        <v>23500</v>
      </c>
      <c r="E21392" t="s">
        <v>43859</v>
      </c>
    </row>
    <row r="21393" spans="1:5">
      <c r="A21393" t="s">
        <v>6</v>
      </c>
      <c r="B21393" t="s">
        <v>21398</v>
      </c>
      <c r="C21393">
        <f>HYPERLINK("C:\Users\franc\OneDrive\Documentos\MALENTIN KARIME\BANCO CREDITO\FER LORCA en ROSITA (Rosita)\CORP. HABITACIONAL\AUT. FIRMAS.doc", "Abrir Documento")</f>
        <v>0</v>
      </c>
      <c r="D21393" t="s">
        <v>23500</v>
      </c>
      <c r="E21393" t="s">
        <v>43860</v>
      </c>
    </row>
    <row r="21394" spans="1:5">
      <c r="A21394" t="s">
        <v>6</v>
      </c>
      <c r="B21394" t="s">
        <v>21399</v>
      </c>
      <c r="C21394">
        <f>HYPERLINK("C:\Users\franc\OneDrive\Documentos\MALENTIN KARIME\BANCO CREDITO\FER LORCA en ROSITA (Rosita)\CONTRATO ARRIENDOS\MISAEL V. SOC. AGRIC. VALDIVIA.doc", "Abrir Documento")</f>
        <v>0</v>
      </c>
      <c r="D21394" t="s">
        <v>23500</v>
      </c>
      <c r="E21394" t="s">
        <v>43861</v>
      </c>
    </row>
    <row r="21395" spans="1:5">
      <c r="A21395" t="s">
        <v>6</v>
      </c>
      <c r="B21395" t="s">
        <v>21400</v>
      </c>
      <c r="C21395">
        <f>HYPERLINK("C:\Users\franc\OneDrive\Documentos\MALENTIN KARIME\BANCO CREDITO\FER LORCA en ROSITA (Rosita)\CONTRATO ARRIENDOS\IRELVA MOYA.doc", "Abrir Documento")</f>
        <v>0</v>
      </c>
      <c r="D21395" t="s">
        <v>23500</v>
      </c>
      <c r="E21395" t="s">
        <v>43862</v>
      </c>
    </row>
    <row r="21396" spans="1:5">
      <c r="A21396" t="s">
        <v>6</v>
      </c>
      <c r="B21396" t="s">
        <v>21401</v>
      </c>
      <c r="C21396">
        <f>HYPERLINK("C:\Users\franc\OneDrive\Documentos\MALENTIN KARIME\BANCO CREDITO\FER LORCA en ROSITA (Rosita)\CONTRATO ARRIENDOS\AGRICOLA MISAEL VALDIVIA A JAIME VALDIVIA.doc", "Abrir Documento")</f>
        <v>0</v>
      </c>
      <c r="D21396" t="s">
        <v>23500</v>
      </c>
      <c r="E21396" t="s">
        <v>43863</v>
      </c>
    </row>
    <row r="21397" spans="1:5">
      <c r="A21397" t="s">
        <v>6</v>
      </c>
      <c r="B21397" t="s">
        <v>21402</v>
      </c>
      <c r="C21397">
        <f>HYPERLINK("C:\Users\franc\OneDrive\Documentos\MALENTIN KARIME\BANCO CREDITO\FER LORCA en ROSITA (Rosita)\COMPRAVENTAS - SUBSIDIO\HUGO BUGUEÑOOO.doc", "Abrir Documento")</f>
        <v>0</v>
      </c>
      <c r="D21397" t="s">
        <v>23500</v>
      </c>
      <c r="E21397" t="s">
        <v>43864</v>
      </c>
    </row>
    <row r="21398" spans="1:5">
      <c r="A21398" t="s">
        <v>6</v>
      </c>
      <c r="B21398" t="s">
        <v>21403</v>
      </c>
      <c r="C21398">
        <f>HYPERLINK("C:\Users\franc\OneDrive\Documentos\MALENTIN KARIME\BANCO CREDITO\FER LORCA en ROSITA (Rosita)\COMPRAVENTA Y CESION\HECTOR A. A JORGE ROJAS.doc", "Abrir Documento")</f>
        <v>0</v>
      </c>
      <c r="D21398" t="s">
        <v>23500</v>
      </c>
      <c r="E21398" t="s">
        <v>43865</v>
      </c>
    </row>
    <row r="21399" spans="1:5">
      <c r="A21399" t="s">
        <v>6</v>
      </c>
      <c r="B21399" t="s">
        <v>21404</v>
      </c>
      <c r="C21399">
        <f>HYPERLINK("C:\Users\franc\OneDrive\Documentos\MALENTIN KARIME\BANCO CREDITO\FER LORCA en ROSITA (Rosita)\COMPRAVENTA CON USUFRUCTO\MARIA VIDAL A WILSON (HIJO).doc", "Abrir Documento")</f>
        <v>0</v>
      </c>
      <c r="D21399" t="s">
        <v>23500</v>
      </c>
      <c r="E21399" t="s">
        <v>43866</v>
      </c>
    </row>
    <row r="21400" spans="1:5">
      <c r="A21400" t="s">
        <v>6</v>
      </c>
      <c r="B21400" t="s">
        <v>21405</v>
      </c>
      <c r="C21400">
        <f>HYPERLINK("C:\Users\franc\OneDrive\Documentos\MALENTIN KARIME\BANCO CREDITO\FER LORCA en ROSITA (Rosita)\COMPRAVENTA CON USUFRUCTO\JULIETA VEGA Y ALBERTO OGALDE.- BENAVENTE.- USUFRUCTO.-.doc", "Abrir Documento")</f>
        <v>0</v>
      </c>
      <c r="D21400" t="s">
        <v>23500</v>
      </c>
      <c r="E21400" t="s">
        <v>43867</v>
      </c>
    </row>
    <row r="21401" spans="1:5">
      <c r="A21401" t="s">
        <v>6</v>
      </c>
      <c r="B21401" t="s">
        <v>21406</v>
      </c>
      <c r="C21401">
        <f>HYPERLINK("C:\Users\franc\OneDrive\Documentos\MALENTIN KARIME\BANCO CREDITO\FER LORCA en ROSITA (Rosita)\COMPRAVENTA CON USUFRUCTO\JULIETA VEGA A SUS HIJOS.- AUT. CONYUGE.-.doc", "Abrir Documento")</f>
        <v>0</v>
      </c>
      <c r="D21401" t="s">
        <v>23500</v>
      </c>
      <c r="E21401" t="s">
        <v>43868</v>
      </c>
    </row>
    <row r="21402" spans="1:5">
      <c r="A21402" t="s">
        <v>6</v>
      </c>
      <c r="B21402" t="s">
        <v>21407</v>
      </c>
      <c r="C21402">
        <f>HYPERLINK("C:\Users\franc\OneDrive\Documentos\MALENTIN KARIME\BANCO CREDITO\FER LORCA en ROSITA (Rosita)\COMPRAVENTA CON USUFRUCTO\JULIETA VEGA A SUS HIJOS.- AUT. CONYUGE.- PARCELA 11-158.- AMBOS HIJOS.doc", "Abrir Documento")</f>
        <v>0</v>
      </c>
      <c r="D21402" t="s">
        <v>23500</v>
      </c>
      <c r="E21402" t="s">
        <v>43869</v>
      </c>
    </row>
    <row r="21403" spans="1:5">
      <c r="A21403" t="s">
        <v>6</v>
      </c>
      <c r="B21403" t="s">
        <v>21408</v>
      </c>
      <c r="C21403">
        <f>HYPERLINK("C:\Users\franc\OneDrive\Documentos\MALENTIN KARIME\BANCO CREDITO\FER LORCA en ROSITA (Rosita)\COMPRAVENTA CON USUFRUCTO\JULIETA VEGA A SUS HIJOS.- AUT. CONYUGE.- LOTE 77 A-4.- AMBOS HIJOS.doc", "Abrir Documento")</f>
        <v>0</v>
      </c>
      <c r="D21403" t="s">
        <v>23500</v>
      </c>
      <c r="E21403" t="s">
        <v>43870</v>
      </c>
    </row>
    <row r="21404" spans="1:5">
      <c r="A21404" t="s">
        <v>6</v>
      </c>
      <c r="B21404" t="s">
        <v>21409</v>
      </c>
      <c r="C21404">
        <f>HYPERLINK("C:\Users\franc\OneDrive\Documentos\MALENTIN KARIME\BANCO CREDITO\FER LORCA en ROSITA (Rosita)\COMPRAVENTA CON USUFRUCTO\JULIETA VEGA A SUS HIJOS.- AUT. CONYUGE.- GUANAQUEROS.doc", "Abrir Documento")</f>
        <v>0</v>
      </c>
      <c r="D21404" t="s">
        <v>23500</v>
      </c>
      <c r="E21404" t="s">
        <v>43871</v>
      </c>
    </row>
    <row r="21405" spans="1:5">
      <c r="A21405" t="s">
        <v>6</v>
      </c>
      <c r="B21405" t="s">
        <v>21410</v>
      </c>
      <c r="C21405">
        <f>HYPERLINK("C:\Users\franc\OneDrive\Documentos\MALENTIN KARIME\BANCO CREDITO\FER LORCA en ROSITA (Rosita)\COMPRAVENTA CON USUFRUCTO\JULIETA VEGA A SUS HIJOS.- AUT. CONYUGE.- BELLAVISTA.- AMBOS HIJOS.doc", "Abrir Documento")</f>
        <v>0</v>
      </c>
      <c r="D21405" t="s">
        <v>23500</v>
      </c>
      <c r="E21405" t="s">
        <v>43872</v>
      </c>
    </row>
    <row r="21406" spans="1:5">
      <c r="A21406" t="s">
        <v>6</v>
      </c>
      <c r="B21406" t="s">
        <v>21411</v>
      </c>
      <c r="C21406">
        <f>HYPERLINK("C:\Users\franc\OneDrive\Documentos\MALENTIN KARIME\BANCO CREDITO\FER LORCA en ROSITA (Rosita)\COMPRAVENTA\MINEROS\VICTOR MORALES A CLAUDIO BARRIOS. Cv. Drchos Mros..doc", "Abrir Documento")</f>
        <v>0</v>
      </c>
      <c r="D21406" t="s">
        <v>23500</v>
      </c>
      <c r="E21406" t="s">
        <v>43873</v>
      </c>
    </row>
    <row r="21407" spans="1:5">
      <c r="A21407" t="s">
        <v>6</v>
      </c>
      <c r="B21407" t="s">
        <v>21412</v>
      </c>
      <c r="C21407">
        <f>HYPERLINK("C:\Users\franc\OneDrive\Documentos\MALENTIN KARIME\BANCO CREDITO\FER LORCA en ROSITA (Rosita)\COMPRAVENTA\MINEROS\SLM LA SOLITARIA UNO DE LIMARI.doc", "Abrir Documento")</f>
        <v>0</v>
      </c>
      <c r="D21407" t="s">
        <v>23500</v>
      </c>
      <c r="E21407" t="s">
        <v>43874</v>
      </c>
    </row>
    <row r="21408" spans="1:5">
      <c r="A21408" t="s">
        <v>6</v>
      </c>
      <c r="B21408" t="s">
        <v>21413</v>
      </c>
      <c r="C21408">
        <f>HYPERLINK("C:\Users\franc\OneDrive\Documentos\MALENTIN KARIME\BANCO CREDITO\FER LORCA en ROSITA (Rosita)\COMPRAVENTA\MINEROS\JOSE CORTES ANGEL. Ces.Acc.Mras.doc", "Abrir Documento")</f>
        <v>0</v>
      </c>
      <c r="D21408" t="s">
        <v>23500</v>
      </c>
      <c r="E21408" t="s">
        <v>43875</v>
      </c>
    </row>
    <row r="21409" spans="1:5">
      <c r="A21409" t="s">
        <v>6</v>
      </c>
      <c r="B21409" t="s">
        <v>21414</v>
      </c>
      <c r="C21409">
        <f>HYPERLINK("C:\Users\franc\OneDrive\Documentos\MALENTIN KARIME\BANCO CREDITO\FER LORCA en ROSITA (Rosita)\COMPRAVENTA\MINEROS\FELIX GALLARDOL. Cv. Drchos Mros..doc", "Abrir Documento")</f>
        <v>0</v>
      </c>
      <c r="D21409" t="s">
        <v>23500</v>
      </c>
      <c r="E21409" t="s">
        <v>43876</v>
      </c>
    </row>
    <row r="21410" spans="1:5">
      <c r="A21410" t="s">
        <v>6</v>
      </c>
      <c r="B21410" t="s">
        <v>21415</v>
      </c>
      <c r="C21410">
        <f>HYPERLINK("C:\Users\franc\OneDrive\Documentos\MALENTIN KARIME\BANCO CREDITO\FER LORCA en ROSITA (Rosita)\COMPRAVENTA\MINEROS\FELIX GALLARDOL. Cv. Drchos Mros. SAN FELIX III.doc", "Abrir Documento")</f>
        <v>0</v>
      </c>
      <c r="D21410" t="s">
        <v>23500</v>
      </c>
      <c r="E21410" t="s">
        <v>43877</v>
      </c>
    </row>
    <row r="21411" spans="1:5">
      <c r="A21411" t="s">
        <v>6</v>
      </c>
      <c r="B21411" t="s">
        <v>21416</v>
      </c>
      <c r="C21411">
        <f>HYPERLINK("C:\Users\franc\OneDrive\Documentos\MALENTIN KARIME\BANCO CREDITO\FER LORCA en ROSITA (Rosita)\COMPRAVENTA\MINEROS\FELIX GALLARDOL. Cv. Drchos Mros. SAN FELIX II.doc", "Abrir Documento")</f>
        <v>0</v>
      </c>
      <c r="D21411" t="s">
        <v>23500</v>
      </c>
      <c r="E21411" t="s">
        <v>43878</v>
      </c>
    </row>
    <row r="21412" spans="1:5">
      <c r="A21412" t="s">
        <v>6</v>
      </c>
      <c r="B21412" t="s">
        <v>21417</v>
      </c>
      <c r="C21412">
        <f>HYPERLINK("C:\Users\franc\OneDrive\Documentos\MALENTIN KARIME\BANCO CREDITO\FER LORCA en ROSITA (Rosita)\COMPRAVENTA\MINEROS\FELIX GALLARDOL. Cv. Drchos Mros. SAN FELIX I.doc", "Abrir Documento")</f>
        <v>0</v>
      </c>
      <c r="D21412" t="s">
        <v>23500</v>
      </c>
      <c r="E21412" t="s">
        <v>43879</v>
      </c>
    </row>
    <row r="21413" spans="1:5">
      <c r="A21413" t="s">
        <v>6</v>
      </c>
      <c r="B21413" t="s">
        <v>21418</v>
      </c>
      <c r="C21413">
        <f>HYPERLINK("C:\Users\franc\OneDrive\Documentos\MALENTIN KARIME\BANCO CREDITO\FER LORCA en ROSITA (Rosita)\COMPRAVENTA\MINEROS\COMPRAVENTA DERECHOS MIN ARIZONA.doc", "Abrir Documento")</f>
        <v>0</v>
      </c>
      <c r="D21413" t="s">
        <v>23500</v>
      </c>
      <c r="E21413" t="s">
        <v>43880</v>
      </c>
    </row>
    <row r="21414" spans="1:5">
      <c r="A21414" t="s">
        <v>6</v>
      </c>
      <c r="B21414" t="s">
        <v>21419</v>
      </c>
      <c r="C21414">
        <f>HYPERLINK("C:\Users\franc\OneDrive\Documentos\MALENTIN KARIME\BANCO CREDITO\FER LORCA en ROSITA (Rosita)\COMPRAVENTA\MINEROS\COMPRAVENTA ACCIONES SLM VALLECITO II.doc", "Abrir Documento")</f>
        <v>0</v>
      </c>
      <c r="D21414" t="s">
        <v>23500</v>
      </c>
      <c r="E21414" t="s">
        <v>43881</v>
      </c>
    </row>
    <row r="21415" spans="1:5">
      <c r="A21415" t="s">
        <v>6</v>
      </c>
      <c r="B21415" t="s">
        <v>21420</v>
      </c>
      <c r="C21415">
        <f>HYPERLINK("C:\Users\franc\OneDrive\Documentos\MALENTIN KARIME\BANCO CREDITO\FER LORCA en ROSITA (Rosita)\COMPRAVENTA\DERECHOS\ZUNILDA ROJAS E HIJOS.- ENERO 2011.doc", "Abrir Documento")</f>
        <v>0</v>
      </c>
      <c r="D21415" t="s">
        <v>23500</v>
      </c>
      <c r="E21415" t="s">
        <v>43882</v>
      </c>
    </row>
    <row r="21416" spans="1:5">
      <c r="A21416" t="s">
        <v>6</v>
      </c>
      <c r="B21416" t="s">
        <v>21421</v>
      </c>
      <c r="C21416">
        <f>HYPERLINK("C:\Users\franc\OneDrive\Documentos\MALENTIN KARIME\BANCO CREDITO\FER LORCA en ROSITA (Rosita)\COMPRAVENTA\DERECHOS\RIQUELME ANTIQUERA CASTILLO Dchos Bien Raiz.doc", "Abrir Documento")</f>
        <v>0</v>
      </c>
      <c r="D21416" t="s">
        <v>23500</v>
      </c>
      <c r="E21416" t="s">
        <v>43883</v>
      </c>
    </row>
    <row r="21417" spans="1:5">
      <c r="A21417" t="s">
        <v>6</v>
      </c>
      <c r="B21417" t="s">
        <v>21422</v>
      </c>
      <c r="C21417">
        <f>HYPERLINK("C:\Users\franc\OneDrive\Documentos\MALENTIN KARIME\BANCO CREDITO\FER LORCA en ROSITA (Rosita)\COMPRAVENTA\DERECHOS\REBECA RODRIGUEZ Y OTROS A ROSA RODRIGUEZ HIJ. 15 (CESION DE DERECHOS.doc", "Abrir Documento")</f>
        <v>0</v>
      </c>
      <c r="D21417" t="s">
        <v>23500</v>
      </c>
      <c r="E21417" t="s">
        <v>43884</v>
      </c>
    </row>
    <row r="21418" spans="1:5">
      <c r="A21418" t="s">
        <v>6</v>
      </c>
      <c r="B21418" t="s">
        <v>21423</v>
      </c>
      <c r="C21418">
        <f>HYPERLINK("C:\Users\franc\OneDrive\Documentos\MALENTIN KARIME\BANCO CREDITO\FER LORCA en ROSITA (Rosita)\COMPRAVENTA\DERECHOS\ORLANDO ARAYA.- NOVIEMBRE Drchos B.Raiz.doc", "Abrir Documento")</f>
        <v>0</v>
      </c>
      <c r="D21418" t="s">
        <v>23500</v>
      </c>
      <c r="E21418" t="s">
        <v>43885</v>
      </c>
    </row>
    <row r="21419" spans="1:5">
      <c r="A21419" t="s">
        <v>6</v>
      </c>
      <c r="B21419" t="s">
        <v>21424</v>
      </c>
      <c r="C21419">
        <f>HYPERLINK("C:\Users\franc\OneDrive\Documentos\MALENTIN KARIME\BANCO CREDITO\FER LORCA en ROSITA (Rosita)\COMPRAVENTA\DERECHOS\MISAEL VALDIVIA A ENRIQUE VALDIVIA.doc", "Abrir Documento")</f>
        <v>0</v>
      </c>
      <c r="D21419" t="s">
        <v>23500</v>
      </c>
      <c r="E21419" t="s">
        <v>43886</v>
      </c>
    </row>
    <row r="21420" spans="1:5">
      <c r="A21420" t="s">
        <v>6</v>
      </c>
      <c r="B21420" t="s">
        <v>21425</v>
      </c>
      <c r="C21420">
        <f>HYPERLINK("C:\Users\franc\OneDrive\Documentos\MALENTIN KARIME\BANCO CREDITO\FER LORCA en ROSITA (Rosita)\COMPRAVENTA\DERECHOS\MIGUEL FLORES Y OTROS A SU HIJA (CON CONYUGE AUTOIR).doc", "Abrir Documento")</f>
        <v>0</v>
      </c>
      <c r="D21420" t="s">
        <v>23500</v>
      </c>
      <c r="E21420" t="s">
        <v>43887</v>
      </c>
    </row>
    <row r="21421" spans="1:5">
      <c r="A21421" t="s">
        <v>6</v>
      </c>
      <c r="B21421" t="s">
        <v>21426</v>
      </c>
      <c r="C21421">
        <f>HYPERLINK("C:\Users\franc\OneDrive\Documentos\MALENTIN KARIME\BANCO CREDITO\FER LORCA en ROSITA (Rosita)\COMPRAVENTA\DERECHOS\MIGUEL FLORES Y OTROS A SU HIJA (CON CONYUGE AUTOIR).- ENERO 2011.doc", "Abrir Documento")</f>
        <v>0</v>
      </c>
      <c r="D21421" t="s">
        <v>23500</v>
      </c>
      <c r="E21421" t="s">
        <v>43888</v>
      </c>
    </row>
    <row r="21422" spans="1:5">
      <c r="A21422" t="s">
        <v>6</v>
      </c>
      <c r="B21422" t="s">
        <v>21427</v>
      </c>
      <c r="C21422">
        <f>HYPERLINK("C:\Users\franc\OneDrive\Documentos\MALENTIN KARIME\BANCO CREDITO\FER LORCA en ROSITA (Rosita)\COMPRAVENTA\DERECHOS\MIGUEL FLORES Y OTROS A SU HIJA (CON CONYUGE AUTOIR).- abril 2010.doc", "Abrir Documento")</f>
        <v>0</v>
      </c>
      <c r="D21422" t="s">
        <v>23500</v>
      </c>
      <c r="E21422" t="s">
        <v>43889</v>
      </c>
    </row>
    <row r="21423" spans="1:5">
      <c r="A21423" t="s">
        <v>6</v>
      </c>
      <c r="B21423" t="s">
        <v>21428</v>
      </c>
      <c r="C21423">
        <f>HYPERLINK("C:\Users\franc\OneDrive\Documentos\MALENTIN KARIME\BANCO CREDITO\FER LORCA en ROSITA (Rosita)\COMPRAVENTA\DERECHOS\JACQUELINE HERNANDEZ A CAROLINA HERNANDEZ DIAZ.doc", "Abrir Documento")</f>
        <v>0</v>
      </c>
      <c r="D21423" t="s">
        <v>23500</v>
      </c>
      <c r="E21423" t="s">
        <v>43890</v>
      </c>
    </row>
    <row r="21424" spans="1:5">
      <c r="A21424" t="s">
        <v>6</v>
      </c>
      <c r="B21424" t="s">
        <v>21429</v>
      </c>
      <c r="C21424">
        <f>HYPERLINK("C:\Users\franc\OneDrive\Documentos\MALENTIN KARIME\BANCO CREDITO\FER LORCA en ROSITA (Rosita)\COMPRAVENTA\DERECHOS\GUSMAN ALBURQUENQUE A LUIS ALB.-.doc", "Abrir Documento")</f>
        <v>0</v>
      </c>
      <c r="D21424" t="s">
        <v>23500</v>
      </c>
      <c r="E21424" t="s">
        <v>43891</v>
      </c>
    </row>
    <row r="21425" spans="1:5">
      <c r="A21425" t="s">
        <v>6</v>
      </c>
      <c r="B21425" t="s">
        <v>21430</v>
      </c>
      <c r="C21425">
        <f>HYPERLINK("C:\Users\franc\OneDrive\Documentos\MALENTIN KARIME\BANCO CREDITO\FER LORCA en ROSITA (Rosita)\COMPRAVENTA\DERECHOS\GABRIELA OGALDE A GABRIELA CHACANA.doc", "Abrir Documento")</f>
        <v>0</v>
      </c>
      <c r="D21425" t="s">
        <v>23500</v>
      </c>
      <c r="E21425" t="s">
        <v>43892</v>
      </c>
    </row>
    <row r="21426" spans="1:5">
      <c r="A21426" t="s">
        <v>6</v>
      </c>
      <c r="B21426" t="s">
        <v>21431</v>
      </c>
      <c r="C21426">
        <f>HYPERLINK("C:\Users\franc\OneDrive\Documentos\MALENTIN KARIME\BANCO CREDITO\FER LORCA en ROSITA (Rosita)\COMPRAVENTA\DERECHOS\FERID CORTES A ELIANA CORTES.doc", "Abrir Documento")</f>
        <v>0</v>
      </c>
      <c r="D21426" t="s">
        <v>23500</v>
      </c>
      <c r="E21426" t="s">
        <v>43893</v>
      </c>
    </row>
    <row r="21427" spans="1:5">
      <c r="A21427" t="s">
        <v>6</v>
      </c>
      <c r="B21427" t="s">
        <v>21432</v>
      </c>
      <c r="C21427">
        <f>HYPERLINK("C:\Users\franc\OneDrive\Documentos\MALENTIN KARIME\BANCO CREDITO\FER LORCA en ROSITA (Rosita)\COMPRAVENTA\DERECHOS\ERASMO LOPEZ A PABLA LAZO.- DICIEMBRE.doc", "Abrir Documento")</f>
        <v>0</v>
      </c>
      <c r="D21427" t="s">
        <v>23500</v>
      </c>
      <c r="E21427" t="s">
        <v>43894</v>
      </c>
    </row>
    <row r="21428" spans="1:5">
      <c r="A21428" t="s">
        <v>6</v>
      </c>
      <c r="B21428" t="s">
        <v>21433</v>
      </c>
      <c r="C21428">
        <f>HYPERLINK("C:\Users\franc\OneDrive\Documentos\MALENTIN KARIME\BANCO CREDITO\FER LORCA en ROSITA (Rosita)\COMPRAVENTA\CVTA. E HIPOTECA\MARIA CLARINA A JUAN DAVID.- CON PODER.doc", "Abrir Documento")</f>
        <v>0</v>
      </c>
      <c r="D21428" t="s">
        <v>23500</v>
      </c>
      <c r="E21428" t="s">
        <v>43895</v>
      </c>
    </row>
    <row r="21429" spans="1:5">
      <c r="A21429" t="s">
        <v>6</v>
      </c>
      <c r="B21429" t="s">
        <v>21434</v>
      </c>
      <c r="C21429">
        <f>HYPERLINK("C:\Users\franc\OneDrive\Documentos\MALENTIN KARIME\BANCO CREDITO\FER LORCA en ROSITA (Rosita)\COMPRAVENTA\WALDA GARCIA Y OTROS.-.doc", "Abrir Documento")</f>
        <v>0</v>
      </c>
      <c r="D21429" t="s">
        <v>23500</v>
      </c>
      <c r="E21429" t="s">
        <v>43896</v>
      </c>
    </row>
    <row r="21430" spans="1:5">
      <c r="A21430" t="s">
        <v>6</v>
      </c>
      <c r="B21430" t="s">
        <v>21435</v>
      </c>
      <c r="C21430">
        <f>HYPERLINK("C:\Users\franc\OneDrive\Documentos\MALENTIN KARIME\BANCO CREDITO\FER LORCA en ROSITA (Rosita)\COMPRAVENTA\VILMA ARAYA A EDITH CARRASCO (HIJA).doc", "Abrir Documento")</f>
        <v>0</v>
      </c>
      <c r="D21430" t="s">
        <v>23500</v>
      </c>
      <c r="E21430" t="s">
        <v>43897</v>
      </c>
    </row>
    <row r="21431" spans="1:5">
      <c r="A21431" t="s">
        <v>6</v>
      </c>
      <c r="B21431" t="s">
        <v>21436</v>
      </c>
      <c r="C21431">
        <f>HYPERLINK("C:\Users\franc\OneDrive\Documentos\MALENTIN KARIME\BANCO CREDITO\FER LORCA en ROSITA (Rosita)\COMPRAVENTA\VERONICA ESPINOZA A BELLA ARAYA.- OCTUBRE.doc", "Abrir Documento")</f>
        <v>0</v>
      </c>
      <c r="D21431" t="s">
        <v>23500</v>
      </c>
      <c r="E21431" t="s">
        <v>43898</v>
      </c>
    </row>
    <row r="21432" spans="1:5">
      <c r="A21432" t="s">
        <v>6</v>
      </c>
      <c r="B21432" t="s">
        <v>21437</v>
      </c>
      <c r="C21432">
        <f>HYPERLINK("C:\Users\franc\OneDrive\Documentos\MALENTIN KARIME\BANCO CREDITO\FER LORCA en ROSITA (Rosita)\COMPRAVENTA\SUC. CAMPUSANO ALVARADO.- (AUT. CONYUGE Y PROH. LEGAL).doc", "Abrir Documento")</f>
        <v>0</v>
      </c>
      <c r="D21432" t="s">
        <v>23500</v>
      </c>
      <c r="E21432" t="s">
        <v>43899</v>
      </c>
    </row>
    <row r="21433" spans="1:5">
      <c r="A21433" t="s">
        <v>6</v>
      </c>
      <c r="B21433" t="s">
        <v>21438</v>
      </c>
      <c r="C21433">
        <f>HYPERLINK("C:\Users\franc\OneDrive\Documentos\MALENTIN KARIME\BANCO CREDITO\FER LORCA en ROSITA (Rosita)\COMPRAVENTA\SERGIO RAMON SEGOVIA... 2010.-  AUT.CONYUGE.doc", "Abrir Documento")</f>
        <v>0</v>
      </c>
      <c r="D21433" t="s">
        <v>23500</v>
      </c>
      <c r="E21433" t="s">
        <v>43900</v>
      </c>
    </row>
    <row r="21434" spans="1:5">
      <c r="A21434" t="s">
        <v>6</v>
      </c>
      <c r="B21434" t="s">
        <v>21439</v>
      </c>
      <c r="C21434">
        <f>HYPERLINK("C:\Users\franc\OneDrive\Documentos\MALENTIN KARIME\BANCO CREDITO\FER LORCA en ROSITA (Rosita)\COMPRAVENTA\RODRIGO GONZALEZ A VICTOR CORTES.- AUT. CONYUGE.- SEPT. 2010.doc", "Abrir Documento")</f>
        <v>0</v>
      </c>
      <c r="D21434" t="s">
        <v>23500</v>
      </c>
      <c r="E21434" t="s">
        <v>43901</v>
      </c>
    </row>
    <row r="21435" spans="1:5">
      <c r="A21435" t="s">
        <v>6</v>
      </c>
      <c r="B21435" t="s">
        <v>21440</v>
      </c>
      <c r="C21435">
        <f>HYPERLINK("C:\Users\franc\OneDrive\Documentos\MALENTIN KARIME\BANCO CREDITO\FER LORCA en ROSITA (Rosita)\COMPRAVENTA\RAUL CIKUTOVIC A MARCIA VARAS.doc", "Abrir Documento")</f>
        <v>0</v>
      </c>
      <c r="D21435" t="s">
        <v>23500</v>
      </c>
      <c r="E21435" t="s">
        <v>43902</v>
      </c>
    </row>
    <row r="21436" spans="1:5">
      <c r="A21436" t="s">
        <v>6</v>
      </c>
      <c r="B21436" t="s">
        <v>21441</v>
      </c>
      <c r="C21436">
        <f>HYPERLINK("C:\Users\franc\OneDrive\Documentos\MALENTIN KARIME\BANCO CREDITO\FER LORCA en ROSITA (Rosita)\COMPRAVENTA\PATRICIA MUÑOZ A JOSE ARAYA.doc", "Abrir Documento")</f>
        <v>0</v>
      </c>
      <c r="D21436" t="s">
        <v>23500</v>
      </c>
      <c r="E21436" t="s">
        <v>43903</v>
      </c>
    </row>
    <row r="21437" spans="1:5">
      <c r="A21437" t="s">
        <v>6</v>
      </c>
      <c r="B21437" t="s">
        <v>21442</v>
      </c>
      <c r="C21437">
        <f>HYPERLINK("C:\Users\franc\OneDrive\Documentos\MALENTIN KARIME\BANCO CREDITO\FER LORCA en ROSITA (Rosita)\COMPRAVENTA\RAUL CIKUTOVIC A MARCIA VARAS (1).doc", "Abrir Documento")</f>
        <v>0</v>
      </c>
      <c r="D21437" t="s">
        <v>23500</v>
      </c>
      <c r="E21437" t="s">
        <v>43903</v>
      </c>
    </row>
    <row r="21438" spans="1:5">
      <c r="A21438" t="s">
        <v>6</v>
      </c>
      <c r="B21438" t="s">
        <v>21443</v>
      </c>
      <c r="C21438">
        <f>HYPERLINK("C:\Users\franc\OneDrive\Documentos\MALENTIN KARIME\BANCO CREDITO\FER LORCA en ROSITA (Rosita)\COMPRAVENTA\PAOLA CORTES A SILVIA IBACACHE.- MARZO 2011.doc", "Abrir Documento")</f>
        <v>0</v>
      </c>
      <c r="D21438" t="s">
        <v>23500</v>
      </c>
      <c r="E21438" t="s">
        <v>43904</v>
      </c>
    </row>
    <row r="21439" spans="1:5">
      <c r="A21439" t="s">
        <v>6</v>
      </c>
      <c r="B21439" t="s">
        <v>21444</v>
      </c>
      <c r="C21439">
        <f>HYPERLINK("C:\Users\franc\OneDrive\Documentos\MALENTIN KARIME\BANCO CREDITO\FER LORCA en ROSITA (Rosita)\COMPRAVENTA\NILZA CERDA A RAQUEL VILLARROEL.- PODER.doc", "Abrir Documento")</f>
        <v>0</v>
      </c>
      <c r="D21439" t="s">
        <v>23500</v>
      </c>
      <c r="E21439" t="s">
        <v>43905</v>
      </c>
    </row>
    <row r="21440" spans="1:5">
      <c r="A21440" t="s">
        <v>6</v>
      </c>
      <c r="B21440" t="s">
        <v>21445</v>
      </c>
      <c r="C21440">
        <f>HYPERLINK("C:\Users\franc\OneDrive\Documentos\MALENTIN KARIME\BANCO CREDITO\FER LORCA en ROSITA (Rosita)\COMPRAVENTA\NELSON PIZARRO A MATIAS PIZARRO.- JUNIO 2010.doc", "Abrir Documento")</f>
        <v>0</v>
      </c>
      <c r="D21440" t="s">
        <v>23500</v>
      </c>
      <c r="E21440" t="s">
        <v>43906</v>
      </c>
    </row>
    <row r="21441" spans="1:5">
      <c r="A21441" t="s">
        <v>6</v>
      </c>
      <c r="B21441" t="s">
        <v>21446</v>
      </c>
      <c r="C21441">
        <f>HYPERLINK("C:\Users\franc\OneDrive\Documentos\MALENTIN KARIME\BANCO CREDITO\FER LORCA en ROSITA (Rosita)\COMPRAVENTA\NANCY ARAYA A ALICIA MARTINEZ.- AUT. CONYUGE.- NOVIEMBRE.doc", "Abrir Documento")</f>
        <v>0</v>
      </c>
      <c r="D21441" t="s">
        <v>23500</v>
      </c>
      <c r="E21441" t="s">
        <v>43907</v>
      </c>
    </row>
    <row r="21442" spans="1:5">
      <c r="A21442" t="s">
        <v>6</v>
      </c>
      <c r="B21442" t="s">
        <v>21447</v>
      </c>
      <c r="C21442">
        <f>HYPERLINK("C:\Users\franc\OneDrive\Documentos\MALENTIN KARIME\BANCO CREDITO\FER LORCA en ROSITA (Rosita)\COMPRAVENTA\MODELO.doc", "Abrir Documento")</f>
        <v>0</v>
      </c>
      <c r="D21442" t="s">
        <v>23500</v>
      </c>
      <c r="E21442" t="s">
        <v>43908</v>
      </c>
    </row>
    <row r="21443" spans="1:5">
      <c r="A21443" t="s">
        <v>6</v>
      </c>
      <c r="B21443" t="s">
        <v>21448</v>
      </c>
      <c r="C21443">
        <f>HYPERLINK("C:\Users\franc\OneDrive\Documentos\MALENTIN KARIME\BANCO CREDITO\FER LORCA en ROSITA (Rosita)\COMPRAVENTA\MODELO.- SEPT..doc", "Abrir Documento")</f>
        <v>0</v>
      </c>
      <c r="D21443" t="s">
        <v>23500</v>
      </c>
      <c r="E21443" t="s">
        <v>43909</v>
      </c>
    </row>
    <row r="21444" spans="1:5">
      <c r="A21444" t="s">
        <v>6</v>
      </c>
      <c r="B21444" t="s">
        <v>21449</v>
      </c>
      <c r="C21444">
        <f>HYPERLINK("C:\Users\franc\OneDrive\Documentos\MALENTIN KARIME\BANCO CREDITO\FER LORCA en ROSITA (Rosita)\COMPRAVENTA\MIRIAM CISTERNAS A PABLO RAMIREZ.- DICIEMBRE.doc", "Abrir Documento")</f>
        <v>0</v>
      </c>
      <c r="D21444" t="s">
        <v>23500</v>
      </c>
      <c r="E21444" t="s">
        <v>43910</v>
      </c>
    </row>
    <row r="21445" spans="1:5">
      <c r="A21445" t="s">
        <v>6</v>
      </c>
      <c r="B21445" t="s">
        <v>21450</v>
      </c>
      <c r="C21445">
        <f>HYPERLINK("C:\Users\franc\OneDrive\Documentos\MALENTIN KARIME\BANCO CREDITO\FER LORCA en ROSITA (Rosita)\COMPRAVENTA\MIGUEL BARRAZA Y OTROS........... A PABLO USEDO.doc", "Abrir Documento")</f>
        <v>0</v>
      </c>
      <c r="D21445" t="s">
        <v>23500</v>
      </c>
      <c r="E21445" t="s">
        <v>43911</v>
      </c>
    </row>
    <row r="21446" spans="1:5">
      <c r="A21446" t="s">
        <v>6</v>
      </c>
      <c r="B21446" t="s">
        <v>21451</v>
      </c>
      <c r="C21446">
        <f>HYPERLINK("C:\Users\franc\OneDrive\Documentos\MALENTIN KARIME\BANCO CREDITO\FER LORCA en ROSITA (Rosita)\COMPRAVENTA\MICCONO MONTALVAN A FANTINA OLIVARES.- (CUERNPO CIERTO).doc", "Abrir Documento")</f>
        <v>0</v>
      </c>
      <c r="D21446" t="s">
        <v>23500</v>
      </c>
      <c r="E21446" t="s">
        <v>43912</v>
      </c>
    </row>
    <row r="21447" spans="1:5">
      <c r="A21447" t="s">
        <v>6</v>
      </c>
      <c r="B21447" t="s">
        <v>21452</v>
      </c>
      <c r="C21447">
        <f>HYPERLINK("C:\Users\franc\OneDrive\Documentos\MALENTIN KARIME\BANCO CREDITO\FER LORCA en ROSITA (Rosita)\COMPRAVENTA\MAURICIO FIGUEROA A REBECA OLMEDO.doc", "Abrir Documento")</f>
        <v>0</v>
      </c>
      <c r="D21447" t="s">
        <v>23500</v>
      </c>
      <c r="E21447" t="s">
        <v>43913</v>
      </c>
    </row>
    <row r="21448" spans="1:5">
      <c r="A21448" t="s">
        <v>6</v>
      </c>
      <c r="B21448" t="s">
        <v>21453</v>
      </c>
      <c r="C21448">
        <f>HYPERLINK("C:\Users\franc\OneDrive\Documentos\MALENTIN KARIME\BANCO CREDITO\FER LORCA en ROSITA (Rosita)\COMPRAVENTA\MAURICIO ARIAS ROJAS A ANGELO CARVAJAL (PROH. LEGAL).doc", "Abrir Documento")</f>
        <v>0</v>
      </c>
      <c r="D21448" t="s">
        <v>23500</v>
      </c>
      <c r="E21448" t="s">
        <v>43914</v>
      </c>
    </row>
    <row r="21449" spans="1:5">
      <c r="A21449" t="s">
        <v>6</v>
      </c>
      <c r="B21449" t="s">
        <v>21454</v>
      </c>
      <c r="C21449">
        <f>HYPERLINK("C:\Users\franc\OneDrive\Documentos\MALENTIN KARIME\BANCO CREDITO\FER LORCA en ROSITA (Rosita)\COMPRAVENTA\MARIO REARTE A ROSENDO ADONES.- AUT. CONYUGE.- NOVIEMBRE.doc", "Abrir Documento")</f>
        <v>0</v>
      </c>
      <c r="D21449" t="s">
        <v>23500</v>
      </c>
      <c r="E21449" t="s">
        <v>43915</v>
      </c>
    </row>
    <row r="21450" spans="1:5">
      <c r="A21450" t="s">
        <v>6</v>
      </c>
      <c r="B21450" t="s">
        <v>21455</v>
      </c>
      <c r="C21450">
        <f>HYPERLINK("C:\Users\franc\OneDrive\Documentos\MALENTIN KARIME\BANCO CREDITO\FER LORCA en ROSITA (Rosita)\COMPRAVENTA\MARINA LEDEZMA A LEYLA IZABETA........doc", "Abrir Documento")</f>
        <v>0</v>
      </c>
      <c r="D21450" t="s">
        <v>23500</v>
      </c>
      <c r="E21450" t="s">
        <v>43916</v>
      </c>
    </row>
    <row r="21451" spans="1:5">
      <c r="A21451" t="s">
        <v>6</v>
      </c>
      <c r="B21451" t="s">
        <v>21456</v>
      </c>
      <c r="C21451">
        <f>HYPERLINK("C:\Users\franc\OneDrive\Documentos\MALENTIN KARIME\BANCO CREDITO\FER LORCA en ROSITA (Rosita)\COMPRAVENTA\MARIO CERDA MADRID.- AUT. CONYUGE.- JUNIO 2010.-.doc", "Abrir Documento")</f>
        <v>0</v>
      </c>
      <c r="D21451" t="s">
        <v>23500</v>
      </c>
      <c r="E21451" t="s">
        <v>43916</v>
      </c>
    </row>
    <row r="21452" spans="1:5">
      <c r="A21452" t="s">
        <v>6</v>
      </c>
      <c r="B21452" t="s">
        <v>21457</v>
      </c>
      <c r="C21452">
        <f>HYPERLINK("C:\Users\franc\OneDrive\Documentos\MALENTIN KARIME\BANCO CREDITO\FER LORCA en ROSITA (Rosita)\COMPRAVENTA\MARIA TAPIA CASANOVA.doc", "Abrir Documento")</f>
        <v>0</v>
      </c>
      <c r="D21452" t="s">
        <v>23500</v>
      </c>
      <c r="E21452" t="s">
        <v>43917</v>
      </c>
    </row>
    <row r="21453" spans="1:5">
      <c r="A21453" t="s">
        <v>6</v>
      </c>
      <c r="B21453" t="s">
        <v>21458</v>
      </c>
      <c r="C21453">
        <f>HYPERLINK("C:\Users\franc\OneDrive\Documentos\MALENTIN KARIME\BANCO CREDITO\FER LORCA en ROSITA (Rosita)\COMPRAVENTA\MARIA RODRIGUEZ A SERGIO ROJAS.- AGOSTO 2010.-.doc", "Abrir Documento")</f>
        <v>0</v>
      </c>
      <c r="D21453" t="s">
        <v>23500</v>
      </c>
      <c r="E21453" t="s">
        <v>43918</v>
      </c>
    </row>
    <row r="21454" spans="1:5">
      <c r="A21454" t="s">
        <v>6</v>
      </c>
      <c r="B21454" t="s">
        <v>21459</v>
      </c>
      <c r="C21454">
        <f>HYPERLINK("C:\Users\franc\OneDrive\Documentos\MALENTIN KARIME\BANCO CREDITO\FER LORCA en ROSITA (Rosita)\COMPRAVENTA\MARIA ISABEL VASQUEZ ORELLANA.- NOVIEMBRE.doc", "Abrir Documento")</f>
        <v>0</v>
      </c>
      <c r="D21454" t="s">
        <v>23500</v>
      </c>
      <c r="E21454" t="s">
        <v>43919</v>
      </c>
    </row>
    <row r="21455" spans="1:5">
      <c r="A21455" t="s">
        <v>6</v>
      </c>
      <c r="B21455" t="s">
        <v>21460</v>
      </c>
      <c r="C21455">
        <f>HYPERLINK("C:\Users\franc\OneDrive\Documentos\MALENTIN KARIME\BANCO CREDITO\FER LORCA en ROSITA (Rosita)\COMPRAVENTA\MARIA INES RODRIGUEZ CON HIJO.- VILLA SAN LUIS.- ABRIL 2011.doc", "Abrir Documento")</f>
        <v>0</v>
      </c>
      <c r="D21455" t="s">
        <v>23500</v>
      </c>
      <c r="E21455" t="s">
        <v>43920</v>
      </c>
    </row>
    <row r="21456" spans="1:5">
      <c r="A21456" t="s">
        <v>6</v>
      </c>
      <c r="B21456" t="s">
        <v>21461</v>
      </c>
      <c r="C21456">
        <f>HYPERLINK("C:\Users\franc\OneDrive\Documentos\MALENTIN KARIME\BANCO CREDITO\FER LORCA en ROSITA (Rosita)\COMPRAVENTA\MARIA CORENJO A NATIVIDAD CORTES- AUT.CONYUGE.doc", "Abrir Documento")</f>
        <v>0</v>
      </c>
      <c r="D21456" t="s">
        <v>23500</v>
      </c>
      <c r="E21456" t="s">
        <v>43921</v>
      </c>
    </row>
    <row r="21457" spans="1:5">
      <c r="A21457" t="s">
        <v>6</v>
      </c>
      <c r="B21457" t="s">
        <v>21462</v>
      </c>
      <c r="C21457">
        <f>HYPERLINK("C:\Users\franc\OneDrive\Documentos\MALENTIN KARIME\BANCO CREDITO\FER LORCA en ROSITA (Rosita)\COMPRAVENTA\MARIA BARRAZA A CARLOS GODOY.doc", "Abrir Documento")</f>
        <v>0</v>
      </c>
      <c r="D21457" t="s">
        <v>23500</v>
      </c>
      <c r="E21457" t="s">
        <v>43922</v>
      </c>
    </row>
    <row r="21458" spans="1:5">
      <c r="A21458" t="s">
        <v>6</v>
      </c>
      <c r="B21458" t="s">
        <v>21463</v>
      </c>
      <c r="C21458">
        <f>HYPERLINK("C:\Users\franc\OneDrive\Documentos\MALENTIN KARIME\BANCO CREDITO\FER LORCA en ROSITA (Rosita)\COMPRAVENTA\MARIA ANGELICA A LUIS VELIZ (CON PROH. LEGAL).doc", "Abrir Documento")</f>
        <v>0</v>
      </c>
      <c r="D21458" t="s">
        <v>23500</v>
      </c>
      <c r="E21458" t="s">
        <v>43923</v>
      </c>
    </row>
    <row r="21459" spans="1:5">
      <c r="A21459" t="s">
        <v>6</v>
      </c>
      <c r="B21459" t="s">
        <v>21464</v>
      </c>
      <c r="C21459">
        <f>HYPERLINK("C:\Users\franc\OneDrive\Documentos\MALENTIN KARIME\BANCO CREDITO\FER LORCA en ROSITA (Rosita)\COMPRAVENTA\MARGARITA ROJAS A JOSEFINA CORTES  (CONYUGE) ART. 150.doc", "Abrir Documento")</f>
        <v>0</v>
      </c>
      <c r="D21459" t="s">
        <v>23500</v>
      </c>
      <c r="E21459" t="s">
        <v>43924</v>
      </c>
    </row>
    <row r="21460" spans="1:5">
      <c r="A21460" t="s">
        <v>6</v>
      </c>
      <c r="B21460" t="s">
        <v>21465</v>
      </c>
      <c r="C21460">
        <f>HYPERLINK("C:\Users\franc\OneDrive\Documentos\MALENTIN KARIME\BANCO CREDITO\FER LORCA en ROSITA (Rosita)\COMPRAVENTA\MARCELA PEÑA. SITIO Nº 5.doc", "Abrir Documento")</f>
        <v>0</v>
      </c>
      <c r="D21460" t="s">
        <v>23500</v>
      </c>
      <c r="E21460" t="s">
        <v>43925</v>
      </c>
    </row>
    <row r="21461" spans="1:5">
      <c r="A21461" t="s">
        <v>6</v>
      </c>
      <c r="B21461" t="s">
        <v>21466</v>
      </c>
      <c r="C21461">
        <f>HYPERLINK("C:\Users\franc\OneDrive\Documentos\MALENTIN KARIME\BANCO CREDITO\FER LORCA en ROSITA (Rosita)\COMPRAVENTA\MARCELA PEÑA. SITIO Nº 4.doc", "Abrir Documento")</f>
        <v>0</v>
      </c>
      <c r="D21461" t="s">
        <v>23500</v>
      </c>
      <c r="E21461" t="s">
        <v>43926</v>
      </c>
    </row>
    <row r="21462" spans="1:5">
      <c r="A21462" t="s">
        <v>6</v>
      </c>
      <c r="B21462" t="s">
        <v>21467</v>
      </c>
      <c r="C21462">
        <f>HYPERLINK("C:\Users\franc\OneDrive\Documentos\MALENTIN KARIME\BANCO CREDITO\FER LORCA en ROSITA (Rosita)\COMPRAVENTA\MARCELA PEÑA. SITIO Nº 3..doc", "Abrir Documento")</f>
        <v>0</v>
      </c>
      <c r="D21462" t="s">
        <v>23500</v>
      </c>
      <c r="E21462" t="s">
        <v>43927</v>
      </c>
    </row>
    <row r="21463" spans="1:5">
      <c r="A21463" t="s">
        <v>6</v>
      </c>
      <c r="B21463" t="s">
        <v>21468</v>
      </c>
      <c r="C21463">
        <f>HYPERLINK("C:\Users\franc\OneDrive\Documentos\MALENTIN KARIME\BANCO CREDITO\FER LORCA en ROSITA (Rosita)\COMPRAVENTA\MARCELA PEÑA. SITIO Nº 2..doc", "Abrir Documento")</f>
        <v>0</v>
      </c>
      <c r="D21463" t="s">
        <v>23500</v>
      </c>
      <c r="E21463" t="s">
        <v>43928</v>
      </c>
    </row>
    <row r="21464" spans="1:5">
      <c r="A21464" t="s">
        <v>6</v>
      </c>
      <c r="B21464" t="s">
        <v>21469</v>
      </c>
      <c r="C21464">
        <f>HYPERLINK("C:\Users\franc\OneDrive\Documentos\MALENTIN KARIME\BANCO CREDITO\FER LORCA en ROSITA (Rosita)\COMPRAVENTA\LAFONSO VILLEGAS A LARRINSON LEON.- AGOSTO 2010 (PROH. LEGAL).doc", "Abrir Documento")</f>
        <v>0</v>
      </c>
      <c r="D21464" t="s">
        <v>23500</v>
      </c>
      <c r="E21464" t="s">
        <v>43929</v>
      </c>
    </row>
    <row r="21465" spans="1:5">
      <c r="A21465" t="s">
        <v>6</v>
      </c>
      <c r="B21465" t="s">
        <v>21470</v>
      </c>
      <c r="C21465">
        <f>HYPERLINK("C:\Users\franc\OneDrive\Documentos\MALENTIN KARIME\BANCO CREDITO\FER LORCA en ROSITA (Rosita)\COMPRAVENTA\KAREN ALFARO A JHONY PEREIRA.- NOV.-.doc", "Abrir Documento")</f>
        <v>0</v>
      </c>
      <c r="D21465" t="s">
        <v>23500</v>
      </c>
      <c r="E21465" t="s">
        <v>43930</v>
      </c>
    </row>
    <row r="21466" spans="1:5">
      <c r="A21466" t="s">
        <v>6</v>
      </c>
      <c r="B21466" t="s">
        <v>21471</v>
      </c>
      <c r="C21466">
        <f>HYPERLINK("C:\Users\franc\OneDrive\Documentos\MALENTIN KARIME\BANCO CREDITO\FER LORCA en ROSITA (Rosita)\COMPRAVENTA\JUAN IRARRAZABAL.doc", "Abrir Documento")</f>
        <v>0</v>
      </c>
      <c r="D21466" t="s">
        <v>23500</v>
      </c>
      <c r="E21466" t="s">
        <v>43931</v>
      </c>
    </row>
    <row r="21467" spans="1:5">
      <c r="A21467" t="s">
        <v>6</v>
      </c>
      <c r="B21467" t="s">
        <v>21472</v>
      </c>
      <c r="C21467">
        <f>HYPERLINK("C:\Users\franc\OneDrive\Documentos\MALENTIN KARIME\BANCO CREDITO\FER LORCA en ROSITA (Rosita)\COMPRAVENTA\JUAN MONDACA A MARIA I. GONZALEZ.doc", "Abrir Documento")</f>
        <v>0</v>
      </c>
      <c r="D21467" t="s">
        <v>23500</v>
      </c>
      <c r="E21467" t="s">
        <v>43931</v>
      </c>
    </row>
    <row r="21468" spans="1:5">
      <c r="A21468" t="s">
        <v>6</v>
      </c>
      <c r="B21468" t="s">
        <v>21473</v>
      </c>
      <c r="C21468">
        <f>HYPERLINK("C:\Users\franc\OneDrive\Documentos\MALENTIN KARIME\BANCO CREDITO\FER LORCA en ROSITA (Rosita)\COMPRAVENTA\JORGE MALDONADO A NELYDA MALDONADO.- CVTA. CON DERE, COMUN. Y CUERPO CIERTO.- ENERO 2011.doc", "Abrir Documento")</f>
        <v>0</v>
      </c>
      <c r="D21468" t="s">
        <v>23500</v>
      </c>
      <c r="E21468" t="s">
        <v>43932</v>
      </c>
    </row>
    <row r="21469" spans="1:5">
      <c r="A21469" t="s">
        <v>6</v>
      </c>
      <c r="B21469" t="s">
        <v>21474</v>
      </c>
      <c r="C21469">
        <f>HYPERLINK("C:\Users\franc\OneDrive\Documentos\MALENTIN KARIME\BANCO CREDITO\FER LORCA en ROSITA (Rosita)\COMPRAVENTA\JORGE GUTIERREZ Y DANIEL SILVA.- PODER. TIERRAS Y AGUASÇ.doc", "Abrir Documento")</f>
        <v>0</v>
      </c>
      <c r="D21469" t="s">
        <v>23500</v>
      </c>
      <c r="E21469" t="s">
        <v>43933</v>
      </c>
    </row>
    <row r="21470" spans="1:5">
      <c r="A21470" t="s">
        <v>6</v>
      </c>
      <c r="B21470" t="s">
        <v>21475</v>
      </c>
      <c r="C21470">
        <f>HYPERLINK("C:\Users\franc\OneDrive\Documentos\MALENTIN KARIME\BANCO CREDITO\FER LORCA en ROSITA (Rosita)\COMPRAVENTA\JILIBERTO GONZALEZ  A XXXXXXXXX.doc", "Abrir Documento")</f>
        <v>0</v>
      </c>
      <c r="D21470" t="s">
        <v>23500</v>
      </c>
      <c r="E21470" t="s">
        <v>43934</v>
      </c>
    </row>
    <row r="21471" spans="1:5">
      <c r="A21471" t="s">
        <v>6</v>
      </c>
      <c r="B21471" t="s">
        <v>21476</v>
      </c>
      <c r="C21471">
        <f>HYPERLINK("C:\Users\franc\OneDrive\Documentos\MALENTIN KARIME\BANCO CREDITO\FER LORCA en ROSITA (Rosita)\COMPRAVENTA\JILBERTO CORDOVA... A DAVID OLIVARES.- AUT. CONYUGE.- JUNIO 2010.-.doc", "Abrir Documento")</f>
        <v>0</v>
      </c>
      <c r="D21471" t="s">
        <v>23500</v>
      </c>
      <c r="E21471" t="s">
        <v>43935</v>
      </c>
    </row>
    <row r="21472" spans="1:5">
      <c r="A21472" t="s">
        <v>6</v>
      </c>
      <c r="B21472" t="s">
        <v>21477</v>
      </c>
      <c r="C21472">
        <f>HYPERLINK("C:\Users\franc\OneDrive\Documentos\MALENTIN KARIME\BANCO CREDITO\FER LORCA en ROSITA (Rosita)\COMPRAVENTA\JERMAN ACUÑA MARIN A MARIA POBLETE.- OCT. 2010.doc", "Abrir Documento")</f>
        <v>0</v>
      </c>
      <c r="D21472" t="s">
        <v>23500</v>
      </c>
      <c r="E21472" t="s">
        <v>43936</v>
      </c>
    </row>
    <row r="21473" spans="1:5">
      <c r="A21473" t="s">
        <v>6</v>
      </c>
      <c r="B21473" t="s">
        <v>21478</v>
      </c>
      <c r="C21473">
        <f>HYPERLINK("C:\Users\franc\OneDrive\Documentos\MALENTIN KARIME\BANCO CREDITO\FER LORCA en ROSITA (Rosita)\COMPRAVENTA\INSTRUCCIONES.- amanda.doc", "Abrir Documento")</f>
        <v>0</v>
      </c>
      <c r="D21473" t="s">
        <v>23500</v>
      </c>
      <c r="E21473" t="s">
        <v>43937</v>
      </c>
    </row>
    <row r="21474" spans="1:5">
      <c r="A21474" t="s">
        <v>6</v>
      </c>
      <c r="B21474" t="s">
        <v>21479</v>
      </c>
      <c r="C21474">
        <f>HYPERLINK("C:\Users\franc\OneDrive\Documentos\MALENTIN KARIME\BANCO CREDITO\FER LORCA en ROSITA (Rosita)\COMPRAVENTA\INMO. E INV. DASIL S.A. A ERIKA ORTIZ.doc", "Abrir Documento")</f>
        <v>0</v>
      </c>
      <c r="D21474" t="s">
        <v>23500</v>
      </c>
      <c r="E21474" t="s">
        <v>43938</v>
      </c>
    </row>
    <row r="21475" spans="1:5">
      <c r="A21475" t="s">
        <v>6</v>
      </c>
      <c r="B21475" t="s">
        <v>21480</v>
      </c>
      <c r="C21475">
        <f>HYPERLINK("C:\Users\franc\OneDrive\Documentos\MALENTIN KARIME\BANCO CREDITO\FER LORCA en ROSITA (Rosita)\COMPRAVENTA\IGNACIO GARCIA  A LUIS VELIZ (CON PROH. LEGAL).doc", "Abrir Documento")</f>
        <v>0</v>
      </c>
      <c r="D21475" t="s">
        <v>23500</v>
      </c>
      <c r="E21475" t="s">
        <v>43939</v>
      </c>
    </row>
    <row r="21476" spans="1:5">
      <c r="A21476" t="s">
        <v>6</v>
      </c>
      <c r="B21476" t="s">
        <v>21481</v>
      </c>
      <c r="C21476">
        <f>HYPERLINK("C:\Users\franc\OneDrive\Documentos\MALENTIN KARIME\BANCO CREDITO\FER LORCA en ROSITA (Rosita)\COMPRAVENTA\HUMBERTO ARAYA.... HJ. CON DEREC. COMUNIDAD. Y GOCE SINGULAR.doc", "Abrir Documento")</f>
        <v>0</v>
      </c>
      <c r="D21476" t="s">
        <v>23500</v>
      </c>
      <c r="E21476" t="s">
        <v>43940</v>
      </c>
    </row>
    <row r="21477" spans="1:5">
      <c r="A21477" t="s">
        <v>6</v>
      </c>
      <c r="B21477" t="s">
        <v>21482</v>
      </c>
      <c r="C21477">
        <f>HYPERLINK("C:\Users\franc\OneDrive\Documentos\MALENTIN KARIME\BANCO CREDITO\FER LORCA en ROSITA (Rosita)\COMPRAVENTA\HUMBERTO ARAYA  A JORGE FLOREST. Hj y Com.Agr.doc", "Abrir Documento")</f>
        <v>0</v>
      </c>
      <c r="D21477" t="s">
        <v>23500</v>
      </c>
      <c r="E21477" t="s">
        <v>43941</v>
      </c>
    </row>
    <row r="21478" spans="1:5">
      <c r="A21478" t="s">
        <v>6</v>
      </c>
      <c r="B21478" t="s">
        <v>21483</v>
      </c>
      <c r="C21478">
        <f>HYPERLINK("C:\Users\franc\OneDrive\Documentos\MALENTIN KARIME\BANCO CREDITO\FER LORCA en ROSITA (Rosita)\COMPRAVENTA\HERMANOS SRA. JENARA.doc", "Abrir Documento")</f>
        <v>0</v>
      </c>
      <c r="D21478" t="s">
        <v>23500</v>
      </c>
      <c r="E21478" t="s">
        <v>43942</v>
      </c>
    </row>
    <row r="21479" spans="1:5">
      <c r="A21479" t="s">
        <v>6</v>
      </c>
      <c r="B21479" t="s">
        <v>21484</v>
      </c>
      <c r="C21479">
        <f>HYPERLINK("C:\Users\franc\OneDrive\Documentos\MALENTIN KARIME\BANCO CREDITO\FER LORCA en ROSITA (Rosita)\COMPRAVENTA\HERENCIA ELISA SALINAS....-----.doc", "Abrir Documento")</f>
        <v>0</v>
      </c>
      <c r="D21479" t="s">
        <v>23500</v>
      </c>
      <c r="E21479" t="s">
        <v>43943</v>
      </c>
    </row>
    <row r="21480" spans="1:5">
      <c r="A21480" t="s">
        <v>6</v>
      </c>
      <c r="B21480" t="s">
        <v>21485</v>
      </c>
      <c r="C21480">
        <f>HYPERLINK("C:\Users\franc\OneDrive\Documentos\MALENTIN KARIME\BANCO CREDITO\FER LORCA en ROSITA (Rosita)\COMPRAVENTA\FANTINA OLIVARES A JOSE MORALES.- ENERO 2011.doc", "Abrir Documento")</f>
        <v>0</v>
      </c>
      <c r="D21480" t="s">
        <v>23500</v>
      </c>
      <c r="E21480" t="s">
        <v>43944</v>
      </c>
    </row>
    <row r="21481" spans="1:5">
      <c r="A21481" t="s">
        <v>6</v>
      </c>
      <c r="B21481" t="s">
        <v>21486</v>
      </c>
      <c r="C21481">
        <f>HYPERLINK("C:\Users\franc\OneDrive\Documentos\MALENTIN KARIME\BANCO CREDITO\FER LORCA en ROSITA (Rosita)\COMPRAVENTA\ESTELA VALDIVIA Y OTROS A ESPERANZA NARANJO.doc", "Abrir Documento")</f>
        <v>0</v>
      </c>
      <c r="D21481" t="s">
        <v>23500</v>
      </c>
      <c r="E21481" t="s">
        <v>43945</v>
      </c>
    </row>
    <row r="21482" spans="1:5">
      <c r="A21482" t="s">
        <v>6</v>
      </c>
      <c r="B21482" t="s">
        <v>21487</v>
      </c>
      <c r="C21482">
        <f>HYPERLINK("C:\Users\franc\OneDrive\Documentos\MALENTIN KARIME\BANCO CREDITO\FER LORCA en ROSITA (Rosita)\COMPRAVENTA\EDUVIGIS GUTIERREZ B. Cuerpo cierto.doc", "Abrir Documento")</f>
        <v>0</v>
      </c>
      <c r="D21482" t="s">
        <v>23500</v>
      </c>
      <c r="E21482" t="s">
        <v>43946</v>
      </c>
    </row>
    <row r="21483" spans="1:5">
      <c r="A21483" t="s">
        <v>6</v>
      </c>
      <c r="B21483" t="s">
        <v>21488</v>
      </c>
      <c r="C21483">
        <f>HYPERLINK("C:\Users\franc\OneDrive\Documentos\MALENTIN KARIME\BANCO CREDITO\FER LORCA en ROSITA (Rosita)\COMPRAVENTA\DAVID PIZARRO A ANA TOLEDO (CON PROH. LEGAL).doc", "Abrir Documento")</f>
        <v>0</v>
      </c>
      <c r="D21483" t="s">
        <v>23500</v>
      </c>
      <c r="E21483" t="s">
        <v>43947</v>
      </c>
    </row>
    <row r="21484" spans="1:5">
      <c r="A21484" t="s">
        <v>6</v>
      </c>
      <c r="B21484" t="s">
        <v>21489</v>
      </c>
      <c r="C21484">
        <f>HYPERLINK("C:\Users\franc\OneDrive\Documentos\MALENTIN KARIME\BANCO CREDITO\FER LORCA en ROSITA (Rosita)\COMPRAVENTA\DANIEL SALINAS A CARLOS ZULETA.- ABRIL 2010.-.doc", "Abrir Documento")</f>
        <v>0</v>
      </c>
      <c r="D21484" t="s">
        <v>23500</v>
      </c>
      <c r="E21484" t="s">
        <v>43948</v>
      </c>
    </row>
    <row r="21485" spans="1:5">
      <c r="A21485" t="s">
        <v>6</v>
      </c>
      <c r="B21485" t="s">
        <v>21490</v>
      </c>
      <c r="C21485">
        <f>HYPERLINK("C:\Users\franc\OneDrive\Documentos\MALENTIN KARIME\BANCO CREDITO\FER LORCA en ROSITA (Rosita)\COMPRAVENTA\CRAE MUÑOZ -A LUZ MANRIQUEZ- AUT.CONYUGE.doc", "Abrir Documento")</f>
        <v>0</v>
      </c>
      <c r="D21485" t="s">
        <v>23500</v>
      </c>
      <c r="E21485" t="s">
        <v>43949</v>
      </c>
    </row>
    <row r="21486" spans="1:5">
      <c r="A21486" t="s">
        <v>6</v>
      </c>
      <c r="B21486" t="s">
        <v>21491</v>
      </c>
      <c r="C21486">
        <f>HYPERLINK("C:\Users\franc\OneDrive\Documentos\MALENTIN KARIME\BANCO CREDITO\FER LORCA en ROSITA (Rosita)\COMPRAVENTA\COMPRAVENTA ARAYA CON LUZA.- JUNIO 2010.doc", "Abrir Documento")</f>
        <v>0</v>
      </c>
      <c r="D21486" t="s">
        <v>23500</v>
      </c>
      <c r="E21486" t="s">
        <v>43950</v>
      </c>
    </row>
    <row r="21487" spans="1:5">
      <c r="A21487" t="s">
        <v>6</v>
      </c>
      <c r="B21487" t="s">
        <v>21492</v>
      </c>
      <c r="C21487">
        <f>HYPERLINK("C:\Users\franc\OneDrive\Documentos\MALENTIN KARIME\BANCO CREDITO\FER LORCA en ROSITA (Rosita)\COMPRAVENTA\compra parcelas huana.doc", "Abrir Documento")</f>
        <v>0</v>
      </c>
      <c r="D21487" t="s">
        <v>23500</v>
      </c>
      <c r="E21487" t="s">
        <v>43951</v>
      </c>
    </row>
    <row r="21488" spans="1:5">
      <c r="A21488" t="s">
        <v>6</v>
      </c>
      <c r="B21488" t="s">
        <v>21493</v>
      </c>
      <c r="C21488">
        <f>HYPERLINK("C:\Users\franc\OneDrive\Documentos\MALENTIN KARIME\BANCO CREDITO\FER LORCA en ROSITA (Rosita)\COMPRAVENTA\COMPAÑIA MINERA.doc", "Abrir Documento")</f>
        <v>0</v>
      </c>
      <c r="D21488" t="s">
        <v>23500</v>
      </c>
      <c r="E21488" t="s">
        <v>43952</v>
      </c>
    </row>
    <row r="21489" spans="1:5">
      <c r="A21489" t="s">
        <v>6</v>
      </c>
      <c r="B21489" t="s">
        <v>21494</v>
      </c>
      <c r="C21489">
        <f>HYPERLINK("C:\Users\franc\OneDrive\Documentos\MALENTIN KARIME\BANCO CREDITO\FER LORCA en ROSITA (Rosita)\COMPRAVENTA\CARMEN ROJAS A JUAN ROJAS (CON PROH. LEGAL).- ENE 11.doc", "Abrir Documento")</f>
        <v>0</v>
      </c>
      <c r="D21489" t="s">
        <v>23500</v>
      </c>
      <c r="E21489" t="s">
        <v>43953</v>
      </c>
    </row>
    <row r="21490" spans="1:5">
      <c r="A21490" t="s">
        <v>6</v>
      </c>
      <c r="B21490" t="s">
        <v>21495</v>
      </c>
      <c r="C21490">
        <f>HYPERLINK("C:\Users\franc\OneDrive\Documentos\MALENTIN KARIME\BANCO CREDITO\FER LORCA en ROSITA (Rosita)\COMPRAVENTA\CARMEN PIZARRO A JORGE ARANCIBIA.- AGOSTO 2010.doc", "Abrir Documento")</f>
        <v>0</v>
      </c>
      <c r="D21490" t="s">
        <v>23500</v>
      </c>
      <c r="E21490" t="s">
        <v>43954</v>
      </c>
    </row>
    <row r="21491" spans="1:5">
      <c r="A21491" t="s">
        <v>6</v>
      </c>
      <c r="B21491" t="s">
        <v>21496</v>
      </c>
      <c r="C21491">
        <f>HYPERLINK("C:\Users\franc\OneDrive\Documentos\MALENTIN KARIME\BANCO CREDITO\FER LORCA en ROSITA (Rosita)\COMPRAVENTA\CARMEN PIZARRO A JORGE ARANCIBIA.- AGOSTO 2010.-.doc", "Abrir Documento")</f>
        <v>0</v>
      </c>
      <c r="D21491" t="s">
        <v>23500</v>
      </c>
      <c r="E21491" t="s">
        <v>43955</v>
      </c>
    </row>
    <row r="21492" spans="1:5">
      <c r="A21492" t="s">
        <v>6</v>
      </c>
      <c r="B21492" t="s">
        <v>21497</v>
      </c>
      <c r="C21492">
        <f>HYPERLINK("C:\Users\franc\OneDrive\Documentos\MALENTIN KARIME\BANCO CREDITO\FER LORCA en ROSITA (Rosita)\COMPRAVENTA\CARLOS ITE A LAURA ITE.- NOVIEMBRE.doc", "Abrir Documento")</f>
        <v>0</v>
      </c>
      <c r="D21492" t="s">
        <v>23500</v>
      </c>
      <c r="E21492" t="s">
        <v>43956</v>
      </c>
    </row>
    <row r="21493" spans="1:5">
      <c r="A21493" t="s">
        <v>6</v>
      </c>
      <c r="B21493" t="s">
        <v>21498</v>
      </c>
      <c r="C21493">
        <f>HYPERLINK("C:\Users\franc\OneDrive\Documentos\MALENTIN KARIME\BANCO CREDITO\FER LORCA en ROSITA (Rosita)\COMPRAVENTA\ARISTIDES ANGEL A HERNAN VASQUEZ.doc", "Abrir Documento")</f>
        <v>0</v>
      </c>
      <c r="D21493" t="s">
        <v>23500</v>
      </c>
      <c r="E21493" t="s">
        <v>43957</v>
      </c>
    </row>
    <row r="21494" spans="1:5">
      <c r="A21494" t="s">
        <v>6</v>
      </c>
      <c r="B21494" t="s">
        <v>21499</v>
      </c>
      <c r="C21494">
        <f>HYPERLINK("C:\Users\franc\OneDrive\Documentos\MALENTIN KARIME\BANCO CREDITO\FER LORCA en ROSITA (Rosita)\COMPRAVENTA\ANGELICA MOSALVE A MARIO MONSALVE- AUT.CONYUGE.doc", "Abrir Documento")</f>
        <v>0</v>
      </c>
      <c r="D21494" t="s">
        <v>23500</v>
      </c>
      <c r="E21494" t="s">
        <v>43958</v>
      </c>
    </row>
    <row r="21495" spans="1:5">
      <c r="A21495" t="s">
        <v>6</v>
      </c>
      <c r="B21495" t="s">
        <v>21500</v>
      </c>
      <c r="C21495">
        <f>HYPERLINK("C:\Users\franc\OneDrive\Documentos\MALENTIN KARIME\BANCO CREDITO\FER LORCA en ROSITA (Rosita)\COMPRAVENTA\AMERICA CARVAJAL A ANA LEMUS.doc", "Abrir Documento")</f>
        <v>0</v>
      </c>
      <c r="D21495" t="s">
        <v>23500</v>
      </c>
      <c r="E21495" t="s">
        <v>43959</v>
      </c>
    </row>
    <row r="21496" spans="1:5">
      <c r="A21496" t="s">
        <v>6</v>
      </c>
      <c r="B21496" t="s">
        <v>21501</v>
      </c>
      <c r="C21496">
        <f>HYPERLINK("C:\Users\franc\OneDrive\Documentos\MALENTIN KARIME\BANCO CREDITO\FER LORCA en ROSITA (Rosita)\COMPRAVENTA\AMANDA VENEGAS.- FEDERICO.doc", "Abrir Documento")</f>
        <v>0</v>
      </c>
      <c r="D21496" t="s">
        <v>23500</v>
      </c>
      <c r="E21496" t="s">
        <v>43960</v>
      </c>
    </row>
    <row r="21497" spans="1:5">
      <c r="A21497" t="s">
        <v>6</v>
      </c>
      <c r="B21497" t="s">
        <v>21502</v>
      </c>
      <c r="C21497">
        <f>HYPERLINK("C:\Users\franc\OneDrive\Documentos\MALENTIN KARIME\BANCO CREDITO\FER LORCA en ROSITA (Rosita)\COMPRAVENTA\ALEYINA TABILO TORO.- POB. MANZANO.doc", "Abrir Documento")</f>
        <v>0</v>
      </c>
      <c r="D21497" t="s">
        <v>23500</v>
      </c>
      <c r="E21497" t="s">
        <v>43961</v>
      </c>
    </row>
    <row r="21498" spans="1:5">
      <c r="A21498" t="s">
        <v>6</v>
      </c>
      <c r="B21498" t="s">
        <v>21503</v>
      </c>
      <c r="C21498">
        <f>HYPERLINK("C:\Users\franc\OneDrive\Documentos\MALENTIN KARIME\BANCO CREDITO\FER LORCA en ROSITA (Rosita)\COMODATO\POTRERILLOS BAJOS.doc", "Abrir Documento")</f>
        <v>0</v>
      </c>
      <c r="D21498" t="s">
        <v>23500</v>
      </c>
      <c r="E21498" t="s">
        <v>43962</v>
      </c>
    </row>
    <row r="21499" spans="1:5">
      <c r="A21499" t="s">
        <v>6</v>
      </c>
      <c r="B21499" t="s">
        <v>21504</v>
      </c>
      <c r="C21499">
        <f>HYPERLINK("C:\Users\franc\OneDrive\Documentos\MALENTIN KARIME\BANCO CREDITO\FER LORCA en ROSITA (Rosita)\COMODATO\COMUNI. AGRIC. LOS TRISGO A COMITE ADULTO MAYOR AMOR A LA VIDA.doc", "Abrir Documento")</f>
        <v>0</v>
      </c>
      <c r="D21499" t="s">
        <v>23500</v>
      </c>
      <c r="E21499" t="s">
        <v>43963</v>
      </c>
    </row>
    <row r="21500" spans="1:5">
      <c r="A21500" t="s">
        <v>6</v>
      </c>
      <c r="B21500" t="s">
        <v>21505</v>
      </c>
      <c r="C21500">
        <f>HYPERLINK("C:\Users\franc\OneDrive\Documentos\MALENTIN KARIME\BANCO CREDITO\FER LORCA en ROSITA (Rosita)\CLEMENTEN FUENTEALBA\JUAN VELIZ A ROSA MONSALVE  (CONYUGE) ART. 150.doc", "Abrir Documento")</f>
        <v>0</v>
      </c>
      <c r="D21500" t="s">
        <v>23500</v>
      </c>
      <c r="E21500" t="s">
        <v>43964</v>
      </c>
    </row>
    <row r="21501" spans="1:5">
      <c r="A21501" t="s">
        <v>6</v>
      </c>
      <c r="B21501" t="s">
        <v>21506</v>
      </c>
      <c r="C21501">
        <f>HYPERLINK("C:\Users\franc\OneDrive\Documentos\MALENTIN KARIME\BANCO CREDITO\FER LORCA en ROSITA (Rosita)\CLEMENTEN FUENTEALBA\carta instrucciones.doc", "Abrir Documento")</f>
        <v>0</v>
      </c>
      <c r="D21501" t="s">
        <v>23500</v>
      </c>
      <c r="E21501" t="s">
        <v>43965</v>
      </c>
    </row>
    <row r="21502" spans="1:5">
      <c r="A21502" t="s">
        <v>6</v>
      </c>
      <c r="B21502" t="s">
        <v>21507</v>
      </c>
      <c r="C21502">
        <f>HYPERLINK("C:\Users\franc\OneDrive\Documentos\MALENTIN KARIME\BANCO CREDITO\FER LORCA en ROSITA (Rosita)\CLAUDIO CASTILLO\MANUEL CORTES A CARLOS HIDALGO, st media luna.doc", "Abrir Documento")</f>
        <v>0</v>
      </c>
      <c r="D21502" t="s">
        <v>23500</v>
      </c>
      <c r="E21502" t="s">
        <v>43966</v>
      </c>
    </row>
    <row r="21503" spans="1:5">
      <c r="A21503" t="s">
        <v>6</v>
      </c>
      <c r="B21503" t="s">
        <v>21508</v>
      </c>
      <c r="C21503">
        <f>HYPERLINK("C:\Users\franc\OneDrive\Documentos\MALENTIN KARIME\BANCO CREDITO\FER LORCA en ROSITA (Rosita)\CLAUDIO CASTILLO\HERBERTO TRONCOSO.- SEPT. 2'010.-.doc", "Abrir Documento")</f>
        <v>0</v>
      </c>
      <c r="D21503" t="s">
        <v>23500</v>
      </c>
      <c r="E21503" t="s">
        <v>43967</v>
      </c>
    </row>
    <row r="21504" spans="1:5">
      <c r="A21504" t="s">
        <v>6</v>
      </c>
      <c r="B21504" t="s">
        <v>21509</v>
      </c>
      <c r="C21504">
        <f>HYPERLINK("C:\Users\franc\OneDrive\Documentos\MALENTIN KARIME\BANCO CREDITO\FER LORCA en ROSITA (Rosita)\CIBERGESTION\SEPTIEMBRE\CERTIFICADOS\MARIA YANET CAMPOS DIAZ.doc", "Abrir Documento")</f>
        <v>0</v>
      </c>
      <c r="D21504" t="s">
        <v>23500</v>
      </c>
      <c r="E21504" t="s">
        <v>43968</v>
      </c>
    </row>
    <row r="21505" spans="1:5">
      <c r="A21505" t="s">
        <v>6</v>
      </c>
      <c r="B21505" t="s">
        <v>21510</v>
      </c>
      <c r="C21505">
        <f>HYPERLINK("C:\Users\franc\OneDrive\Documentos\MALENTIN KARIME\BANCO CREDITO\FER LORCA en ROSITA (Rosita)\CIBERGESTION\SEPTIEMBRE\CERTIFICADOS\ESTRELLA IBACACHE.doc", "Abrir Documento")</f>
        <v>0</v>
      </c>
      <c r="D21505" t="s">
        <v>23500</v>
      </c>
      <c r="E21505" t="s">
        <v>43969</v>
      </c>
    </row>
    <row r="21506" spans="1:5">
      <c r="A21506" t="s">
        <v>6</v>
      </c>
      <c r="B21506" t="s">
        <v>21511</v>
      </c>
      <c r="C21506">
        <f>HYPERLINK("C:\Users\franc\OneDrive\Documentos\MALENTIN KARIME\BANCO CREDITO\FER LORCA en ROSITA (Rosita)\CIBERGESTION\SEPTIEMBRE\CERTIFICADOS\BERTA BRUNA.doc", "Abrir Documento")</f>
        <v>0</v>
      </c>
      <c r="D21506" t="s">
        <v>23500</v>
      </c>
      <c r="E21506" t="s">
        <v>43970</v>
      </c>
    </row>
    <row r="21507" spans="1:5">
      <c r="A21507" t="s">
        <v>6</v>
      </c>
      <c r="B21507" t="s">
        <v>21512</v>
      </c>
      <c r="C21507">
        <f>HYPERLINK("C:\Users\franc\OneDrive\Documentos\MALENTIN KARIME\BANCO CREDITO\FER LORCA en ROSITA (Rosita)\CIBERGESTION\SEPTIEMBRE\PATRICIA LOPEZ LOPEZ[1].doc", "Abrir Documento")</f>
        <v>0</v>
      </c>
      <c r="D21507" t="s">
        <v>23500</v>
      </c>
      <c r="E21507" t="s">
        <v>43971</v>
      </c>
    </row>
    <row r="21508" spans="1:5">
      <c r="A21508" t="s">
        <v>6</v>
      </c>
      <c r="B21508" t="s">
        <v>21513</v>
      </c>
      <c r="C21508">
        <f>HYPERLINK("C:\Users\franc\OneDrive\Documentos\MALENTIN KARIME\BANCO CREDITO\FER LORCA en ROSITA (Rosita)\CIBERGESTION\SEPTIEMBRE\MARIA CAMPOS DIZ[1].doc", "Abrir Documento")</f>
        <v>0</v>
      </c>
      <c r="D21508" t="s">
        <v>23500</v>
      </c>
      <c r="E21508" t="s">
        <v>43972</v>
      </c>
    </row>
    <row r="21509" spans="1:5">
      <c r="A21509" t="s">
        <v>6</v>
      </c>
      <c r="B21509" t="s">
        <v>21514</v>
      </c>
      <c r="C21509">
        <f>HYPERLINK("C:\Users\franc\OneDrive\Documentos\MALENTIN KARIME\BANCO CREDITO\FER LORCA en ROSITA (Rosita)\CIBERGESTION\SEPTIEMBRE\HERNAN CASTRO LOYOLA[1].doc", "Abrir Documento")</f>
        <v>0</v>
      </c>
      <c r="D21509" t="s">
        <v>23500</v>
      </c>
      <c r="E21509" t="s">
        <v>43973</v>
      </c>
    </row>
    <row r="21510" spans="1:5">
      <c r="A21510" t="s">
        <v>6</v>
      </c>
      <c r="B21510" t="s">
        <v>21515</v>
      </c>
      <c r="C21510">
        <f>HYPERLINK("C:\Users\franc\OneDrive\Documentos\MALENTIN KARIME\BANCO CREDITO\FER LORCA en ROSITA (Rosita)\CIBERGESTION\SEPTIEMBRE\ESTRELLA IBACACHE JIMENEZ[1].doc", "Abrir Documento")</f>
        <v>0</v>
      </c>
      <c r="D21510" t="s">
        <v>23500</v>
      </c>
      <c r="E21510" t="s">
        <v>43974</v>
      </c>
    </row>
    <row r="21511" spans="1:5">
      <c r="A21511" t="s">
        <v>6</v>
      </c>
      <c r="B21511" t="s">
        <v>21516</v>
      </c>
      <c r="C21511">
        <f>HYPERLINK("C:\Users\franc\OneDrive\Documentos\MALENTIN KARIME\BANCO CREDITO\FER LORCA en ROSITA (Rosita)\CIBERGESTION\SEPTIEMBRE\CARLOS BRUNA CUBILLOS[1] TRANSACCION.doc", "Abrir Documento")</f>
        <v>0</v>
      </c>
      <c r="D21511" t="s">
        <v>23500</v>
      </c>
      <c r="E21511" t="s">
        <v>43975</v>
      </c>
    </row>
    <row r="21512" spans="1:5">
      <c r="A21512" t="s">
        <v>6</v>
      </c>
      <c r="B21512" t="s">
        <v>21517</v>
      </c>
      <c r="C21512">
        <f>HYPERLINK("C:\Users\franc\OneDrive\Documentos\MALENTIN KARIME\BANCO CREDITO\FER LORCA en ROSITA (Rosita)\CIBERGESTION\SEPTIEMBRE\BERTA BRUNA VERA[1].doc", "Abrir Documento")</f>
        <v>0</v>
      </c>
      <c r="D21512" t="s">
        <v>23500</v>
      </c>
      <c r="E21512" t="s">
        <v>43976</v>
      </c>
    </row>
    <row r="21513" spans="1:5">
      <c r="A21513" t="s">
        <v>6</v>
      </c>
      <c r="B21513" t="s">
        <v>21518</v>
      </c>
      <c r="C21513">
        <f>HYPERLINK("C:\Users\franc\OneDrive\Documentos\MALENTIN KARIME\BANCO CREDITO\FER LORCA en ROSITA (Rosita)\CIBERGESTION\OCTUBRE\JAVIER RIVERA BARRAZA[1].doc", "Abrir Documento")</f>
        <v>0</v>
      </c>
      <c r="D21513" t="s">
        <v>23500</v>
      </c>
      <c r="E21513" t="s">
        <v>43977</v>
      </c>
    </row>
    <row r="21514" spans="1:5">
      <c r="A21514" t="s">
        <v>6</v>
      </c>
      <c r="B21514" t="s">
        <v>21519</v>
      </c>
      <c r="C21514">
        <f>HYPERLINK("C:\Users\franc\OneDrive\Documentos\MALENTIN KARIME\BANCO CREDITO\FER LORCA en ROSITA (Rosita)\CIBERGESTION\NOVIEMBRE\TRANSACCION\PATRICIA SOLAR ARANIBAR[1].doc", "Abrir Documento")</f>
        <v>0</v>
      </c>
      <c r="D21514" t="s">
        <v>23500</v>
      </c>
      <c r="E21514" t="s">
        <v>43978</v>
      </c>
    </row>
    <row r="21515" spans="1:5">
      <c r="A21515" t="s">
        <v>6</v>
      </c>
      <c r="B21515" t="s">
        <v>21520</v>
      </c>
      <c r="C21515">
        <f>HYPERLINK("C:\Users\franc\OneDrive\Documentos\MALENTIN KARIME\BANCO CREDITO\FER LORCA en ROSITA (Rosita)\CIBERGESTION\NOVIEMBRE\YOSSELYN ESQUIVEL SOTO.doc", "Abrir Documento")</f>
        <v>0</v>
      </c>
      <c r="D21515" t="s">
        <v>23500</v>
      </c>
      <c r="E21515" t="s">
        <v>43979</v>
      </c>
    </row>
    <row r="21516" spans="1:5">
      <c r="A21516" t="s">
        <v>6</v>
      </c>
      <c r="B21516" t="s">
        <v>21521</v>
      </c>
      <c r="C21516">
        <f>HYPERLINK("C:\Users\franc\OneDrive\Documentos\MALENTIN KARIME\BANCO CREDITO\FER LORCA en ROSITA (Rosita)\CIBERGESTION\NOVIEMBRE\ROSA JULIO JULIO.doc", "Abrir Documento")</f>
        <v>0</v>
      </c>
      <c r="D21516" t="s">
        <v>23500</v>
      </c>
      <c r="E21516" t="s">
        <v>43980</v>
      </c>
    </row>
    <row r="21517" spans="1:5">
      <c r="A21517" t="s">
        <v>6</v>
      </c>
      <c r="B21517" t="s">
        <v>21522</v>
      </c>
      <c r="C21517">
        <f>HYPERLINK("C:\Users\franc\OneDrive\Documentos\MALENTIN KARIME\BANCO CREDITO\FER LORCA en ROSITA (Rosita)\CIBERGESTION\NOVIEMBRE\RAMON MILLA MONARDEZ.doc", "Abrir Documento")</f>
        <v>0</v>
      </c>
      <c r="D21517" t="s">
        <v>23500</v>
      </c>
      <c r="E21517" t="s">
        <v>43981</v>
      </c>
    </row>
    <row r="21518" spans="1:5">
      <c r="A21518" t="s">
        <v>6</v>
      </c>
      <c r="B21518" t="s">
        <v>21523</v>
      </c>
      <c r="C21518">
        <f>HYPERLINK("C:\Users\franc\OneDrive\Documentos\MALENTIN KARIME\BANCO CREDITO\FER LORCA en ROSITA (Rosita)\CIBERGESTION\NOVIEMBRE\ISAAC HERRERA CASTILLO.doc", "Abrir Documento")</f>
        <v>0</v>
      </c>
      <c r="D21518" t="s">
        <v>23500</v>
      </c>
      <c r="E21518" t="s">
        <v>43982</v>
      </c>
    </row>
    <row r="21519" spans="1:5">
      <c r="A21519" t="s">
        <v>6</v>
      </c>
      <c r="B21519" t="s">
        <v>21524</v>
      </c>
      <c r="C21519">
        <f>HYPERLINK("C:\Users\franc\OneDrive\Documentos\MALENTIN KARIME\BANCO CREDITO\FER LORCA en ROSITA (Rosita)\CIBERGESTION\NOVIEMBRE\HONORINO VEGA VEGA.doc", "Abrir Documento")</f>
        <v>0</v>
      </c>
      <c r="D21519" t="s">
        <v>23500</v>
      </c>
      <c r="E21519" t="s">
        <v>43983</v>
      </c>
    </row>
    <row r="21520" spans="1:5">
      <c r="A21520" t="s">
        <v>6</v>
      </c>
      <c r="B21520" t="s">
        <v>21525</v>
      </c>
      <c r="C21520">
        <f>HYPERLINK("C:\Users\franc\OneDrive\Documentos\MALENTIN KARIME\BANCO CREDITO\FER LORCA en ROSITA (Rosita)\CIBERGESTION\JULIO `09\TRANSACCION\INGRID_TORRES_TAPIA[1].doc", "Abrir Documento")</f>
        <v>0</v>
      </c>
      <c r="D21520" t="s">
        <v>23500</v>
      </c>
      <c r="E21520" t="s">
        <v>43984</v>
      </c>
    </row>
    <row r="21521" spans="1:5">
      <c r="A21521" t="s">
        <v>6</v>
      </c>
      <c r="B21521" t="s">
        <v>21526</v>
      </c>
      <c r="C21521">
        <f>HYPERLINK("C:\Users\franc\OneDrive\Documentos\MALENTIN KARIME\BANCO CREDITO\FER LORCA en ROSITA (Rosita)\CIBERGESTION\JULIO `09\CERTIFICADOS\RAFAEL BARRAZA CISTERNAS.doc", "Abrir Documento")</f>
        <v>0</v>
      </c>
      <c r="D21521" t="s">
        <v>23500</v>
      </c>
      <c r="E21521" t="s">
        <v>43985</v>
      </c>
    </row>
    <row r="21522" spans="1:5">
      <c r="A21522" t="s">
        <v>6</v>
      </c>
      <c r="B21522" t="s">
        <v>21527</v>
      </c>
      <c r="C21522">
        <f>HYPERLINK("C:\Users\franc\OneDrive\Documentos\MALENTIN KARIME\BANCO CREDITO\FER LORCA en ROSITA (Rosita)\CIBERGESTION\JULIO `09\CERTIFICADOS\PAMELA RETAMALES.doc", "Abrir Documento")</f>
        <v>0</v>
      </c>
      <c r="D21522" t="s">
        <v>23500</v>
      </c>
      <c r="E21522" t="s">
        <v>43986</v>
      </c>
    </row>
    <row r="21523" spans="1:5">
      <c r="A21523" t="s">
        <v>6</v>
      </c>
      <c r="B21523" t="s">
        <v>21528</v>
      </c>
      <c r="C21523">
        <f>HYPERLINK("C:\Users\franc\OneDrive\Documentos\MALENTIN KARIME\BANCO CREDITO\FER LORCA en ROSITA (Rosita)\CIBERGESTION\JULIO `09\CERTIFICADOS\PAMELA MOLINA FLORES.doc", "Abrir Documento")</f>
        <v>0</v>
      </c>
      <c r="D21523" t="s">
        <v>23500</v>
      </c>
      <c r="E21523" t="s">
        <v>43987</v>
      </c>
    </row>
    <row r="21524" spans="1:5">
      <c r="A21524" t="s">
        <v>6</v>
      </c>
      <c r="B21524" t="s">
        <v>21529</v>
      </c>
      <c r="C21524">
        <f>HYPERLINK("C:\Users\franc\OneDrive\Documentos\MALENTIN KARIME\BANCO CREDITO\FER LORCA en ROSITA (Rosita)\CIBERGESTION\JULIO `09\CERTIFICADOS\ANGEL CORTES VEGA.doc", "Abrir Documento")</f>
        <v>0</v>
      </c>
      <c r="D21524" t="s">
        <v>23500</v>
      </c>
      <c r="E21524" t="s">
        <v>43988</v>
      </c>
    </row>
    <row r="21525" spans="1:5">
      <c r="A21525" t="s">
        <v>6</v>
      </c>
      <c r="B21525" t="s">
        <v>21530</v>
      </c>
      <c r="C21525">
        <f>HYPERLINK("C:\Users\franc\OneDrive\Documentos\MALENTIN KARIME\BANCO CREDITO\FER LORCA en ROSITA (Rosita)\CIBERGESTION\JULIO `09\RAFAEL_BARRAZA_CISTERNAS[1].doc", "Abrir Documento")</f>
        <v>0</v>
      </c>
      <c r="D21525" t="s">
        <v>23500</v>
      </c>
      <c r="E21525" t="s">
        <v>43989</v>
      </c>
    </row>
    <row r="21526" spans="1:5">
      <c r="A21526" t="s">
        <v>6</v>
      </c>
      <c r="B21526" t="s">
        <v>21531</v>
      </c>
      <c r="C21526">
        <f>HYPERLINK("C:\Users\franc\OneDrive\Documentos\MALENTIN KARIME\BANCO CREDITO\FER LORCA en ROSITA (Rosita)\CIBERGESTION\JULIO `09\PAMELA_RETAMALES_LOPEZ.doc", "Abrir Documento")</f>
        <v>0</v>
      </c>
      <c r="D21526" t="s">
        <v>23500</v>
      </c>
      <c r="E21526" t="s">
        <v>43990</v>
      </c>
    </row>
    <row r="21527" spans="1:5">
      <c r="A21527" t="s">
        <v>6</v>
      </c>
      <c r="B21527" t="s">
        <v>21532</v>
      </c>
      <c r="C21527">
        <f>HYPERLINK("C:\Users\franc\OneDrive\Documentos\MALENTIN KARIME\BANCO CREDITO\FER LORCA en ROSITA (Rosita)\CIBERGESTION\JULIO `09\PAMELA_MOLINA_FLORES[2].doc", "Abrir Documento")</f>
        <v>0</v>
      </c>
      <c r="D21527" t="s">
        <v>23500</v>
      </c>
      <c r="E21527" t="s">
        <v>43991</v>
      </c>
    </row>
    <row r="21528" spans="1:5">
      <c r="A21528" t="s">
        <v>6</v>
      </c>
      <c r="B21528" t="s">
        <v>21533</v>
      </c>
      <c r="C21528">
        <f>HYPERLINK("C:\Users\franc\OneDrive\Documentos\MALENTIN KARIME\BANCO CREDITO\FER LORCA en ROSITA (Rosita)\CIBERGESTION\JULIO `09\MIRIAM_BARRAZA_CORTES[1].doc", "Abrir Documento")</f>
        <v>0</v>
      </c>
      <c r="D21528" t="s">
        <v>23500</v>
      </c>
      <c r="E21528" t="s">
        <v>43992</v>
      </c>
    </row>
    <row r="21529" spans="1:5">
      <c r="A21529" t="s">
        <v>6</v>
      </c>
      <c r="B21529" t="s">
        <v>21534</v>
      </c>
      <c r="C21529">
        <f>HYPERLINK("C:\Users\franc\OneDrive\Documentos\MALENTIN KARIME\BANCO CREDITO\FER LORCA en ROSITA (Rosita)\CIBERGESTION\JULIO `09\MIREYA_TORO_OPAZO[1].doc", "Abrir Documento")</f>
        <v>0</v>
      </c>
      <c r="D21529" t="s">
        <v>23500</v>
      </c>
      <c r="E21529" t="s">
        <v>43993</v>
      </c>
    </row>
    <row r="21530" spans="1:5">
      <c r="A21530" t="s">
        <v>6</v>
      </c>
      <c r="B21530" t="s">
        <v>21535</v>
      </c>
      <c r="C21530">
        <f>HYPERLINK("C:\Users\franc\OneDrive\Documentos\MALENTIN KARIME\BANCO CREDITO\FER LORCA en ROSITA (Rosita)\CIBERGESTION\JULIO `09\GUSTAVO_GONZALEZ_GONZALEZ[1].doc", "Abrir Documento")</f>
        <v>0</v>
      </c>
      <c r="D21530" t="s">
        <v>23500</v>
      </c>
      <c r="E21530" t="s">
        <v>43994</v>
      </c>
    </row>
    <row r="21531" spans="1:5">
      <c r="A21531" t="s">
        <v>6</v>
      </c>
      <c r="B21531" t="s">
        <v>21536</v>
      </c>
      <c r="C21531">
        <f>HYPERLINK("C:\Users\franc\OneDrive\Documentos\MALENTIN KARIME\BANCO CREDITO\FER LORCA en ROSITA (Rosita)\CIBERGESTION\JULIO `09\GUSTAVO_GONZALEZ_ FIRMA CONYUGE.doc", "Abrir Documento")</f>
        <v>0</v>
      </c>
      <c r="D21531" t="s">
        <v>23500</v>
      </c>
      <c r="E21531" t="s">
        <v>43995</v>
      </c>
    </row>
    <row r="21532" spans="1:5">
      <c r="A21532" t="s">
        <v>6</v>
      </c>
      <c r="B21532" t="s">
        <v>21537</v>
      </c>
      <c r="C21532">
        <f>HYPERLINK("C:\Users\franc\OneDrive\Documentos\MALENTIN KARIME\BANCO CREDITO\FER LORCA en ROSITA (Rosita)\CIBERGESTION\JULIO `09\EXEQUIEL_LOPEZ_MALUENDA[1].doc", "Abrir Documento")</f>
        <v>0</v>
      </c>
      <c r="D21532" t="s">
        <v>23500</v>
      </c>
      <c r="E21532" t="s">
        <v>43996</v>
      </c>
    </row>
    <row r="21533" spans="1:5">
      <c r="A21533" t="s">
        <v>6</v>
      </c>
      <c r="B21533" t="s">
        <v>21538</v>
      </c>
      <c r="C21533">
        <f>HYPERLINK("C:\Users\franc\OneDrive\Documentos\MALENTIN KARIME\BANCO CREDITO\FER LORCA en ROSITA (Rosita)\CIBERGESTION\JULIO `09\EXEQUIEL LOPEZ MALUENDA.doc", "Abrir Documento")</f>
        <v>0</v>
      </c>
      <c r="D21533" t="s">
        <v>23500</v>
      </c>
      <c r="E21533" t="s">
        <v>43997</v>
      </c>
    </row>
    <row r="21534" spans="1:5">
      <c r="A21534" t="s">
        <v>6</v>
      </c>
      <c r="B21534" t="s">
        <v>21539</v>
      </c>
      <c r="C21534">
        <f>HYPERLINK("C:\Users\franc\OneDrive\Documentos\MALENTIN KARIME\BANCO CREDITO\FER LORCA en ROSITA (Rosita)\CIBERGESTION\JULIO `09\CLAUDIO_CASTRO_FLORES[1].doc", "Abrir Documento")</f>
        <v>0</v>
      </c>
      <c r="D21534" t="s">
        <v>23500</v>
      </c>
      <c r="E21534" t="s">
        <v>43998</v>
      </c>
    </row>
    <row r="21535" spans="1:5">
      <c r="A21535" t="s">
        <v>6</v>
      </c>
      <c r="B21535" t="s">
        <v>21540</v>
      </c>
      <c r="C21535">
        <f>HYPERLINK("C:\Users\franc\OneDrive\Documentos\MALENTIN KARIME\BANCO CREDITO\FER LORCA en ROSITA (Rosita)\CIBERGESTION\JULIO `09\ANGEL_CORTES_VEGA[1].doc", "Abrir Documento")</f>
        <v>0</v>
      </c>
      <c r="D21535" t="s">
        <v>23500</v>
      </c>
      <c r="E21535" t="s">
        <v>43999</v>
      </c>
    </row>
    <row r="21536" spans="1:5">
      <c r="A21536" t="s">
        <v>6</v>
      </c>
      <c r="B21536" t="s">
        <v>21541</v>
      </c>
      <c r="C21536">
        <f>HYPERLINK("C:\Users\franc\OneDrive\Documentos\MALENTIN KARIME\BANCO CREDITO\FER LORCA en ROSITA (Rosita)\CIBERGESTION\DICIEMBRE 2010\Marcela Andrea Carmona Carmona, transaccion , Dic..doc", "Abrir Documento")</f>
        <v>0</v>
      </c>
      <c r="D21536" t="s">
        <v>23500</v>
      </c>
      <c r="E21536" t="s">
        <v>44000</v>
      </c>
    </row>
    <row r="21537" spans="1:5">
      <c r="A21537" t="s">
        <v>6</v>
      </c>
      <c r="B21537" t="s">
        <v>21542</v>
      </c>
      <c r="C21537">
        <f>HYPERLINK("C:\Users\franc\OneDrive\Documentos\MALENTIN KARIME\BANCO CREDITO\FER LORCA en ROSITA (Rosita)\CIBERGESTION\CERTIFICADOS ANT\RUBÉN CORTES COLQUE.doc", "Abrir Documento")</f>
        <v>0</v>
      </c>
      <c r="D21537" t="s">
        <v>23500</v>
      </c>
      <c r="E21537" t="s">
        <v>44001</v>
      </c>
    </row>
    <row r="21538" spans="1:5">
      <c r="A21538" t="s">
        <v>6</v>
      </c>
      <c r="B21538" t="s">
        <v>21543</v>
      </c>
      <c r="C21538">
        <f>HYPERLINK("C:\Users\franc\OneDrive\Documentos\MALENTIN KARIME\BANCO CREDITO\FER LORCA en ROSITA (Rosita)\CIBERGESTION\CERTIFICADOS ANT\PATRICIA TORREJON LEON.doc", "Abrir Documento")</f>
        <v>0</v>
      </c>
      <c r="D21538" t="s">
        <v>23500</v>
      </c>
      <c r="E21538" t="s">
        <v>44002</v>
      </c>
    </row>
    <row r="21539" spans="1:5">
      <c r="A21539" t="s">
        <v>6</v>
      </c>
      <c r="B21539" t="s">
        <v>21544</v>
      </c>
      <c r="C21539">
        <f>HYPERLINK("C:\Users\franc\OneDrive\Documentos\MALENTIN KARIME\BANCO CREDITO\FER LORCA en ROSITA (Rosita)\CIBERGESTION\CERTIFICADOS ANT\NELSON ROJAS VALDES.doc", "Abrir Documento")</f>
        <v>0</v>
      </c>
      <c r="D21539" t="s">
        <v>23500</v>
      </c>
      <c r="E21539" t="s">
        <v>44003</v>
      </c>
    </row>
    <row r="21540" spans="1:5">
      <c r="A21540" t="s">
        <v>6</v>
      </c>
      <c r="B21540" t="s">
        <v>21545</v>
      </c>
      <c r="C21540">
        <f>HYPERLINK("C:\Users\franc\OneDrive\Documentos\MALENTIN KARIME\BANCO CREDITO\FER LORCA en ROSITA (Rosita)\CIBERGESTION\CERTIFICADOS ANT\NELSON ARAYA ARAYA.doc", "Abrir Documento")</f>
        <v>0</v>
      </c>
      <c r="D21540" t="s">
        <v>23500</v>
      </c>
      <c r="E21540" t="s">
        <v>44004</v>
      </c>
    </row>
    <row r="21541" spans="1:5">
      <c r="A21541" t="s">
        <v>6</v>
      </c>
      <c r="B21541" t="s">
        <v>21546</v>
      </c>
      <c r="C21541">
        <f>HYPERLINK("C:\Users\franc\OneDrive\Documentos\MALENTIN KARIME\BANCO CREDITO\FER LORCA en ROSITA (Rosita)\CIBERGESTION\CERTIFICADOS ANT\MIREYA CARES CORTES.doc", "Abrir Documento")</f>
        <v>0</v>
      </c>
      <c r="D21541" t="s">
        <v>23500</v>
      </c>
      <c r="E21541" t="s">
        <v>44005</v>
      </c>
    </row>
    <row r="21542" spans="1:5">
      <c r="A21542" t="s">
        <v>6</v>
      </c>
      <c r="B21542" t="s">
        <v>21547</v>
      </c>
      <c r="C21542">
        <f>HYPERLINK("C:\Users\franc\OneDrive\Documentos\MALENTIN KARIME\BANCO CREDITO\FER LORCA en ROSITA (Rosita)\CIBERGESTION\CERTIFICADOS ANT\MARIA CORTES ALFARO.doc", "Abrir Documento")</f>
        <v>0</v>
      </c>
      <c r="D21542" t="s">
        <v>23500</v>
      </c>
      <c r="E21542" t="s">
        <v>44006</v>
      </c>
    </row>
    <row r="21543" spans="1:5">
      <c r="A21543" t="s">
        <v>6</v>
      </c>
      <c r="B21543" t="s">
        <v>21548</v>
      </c>
      <c r="C21543">
        <f>HYPERLINK("C:\Users\franc\OneDrive\Documentos\MALENTIN KARIME\BANCO CREDITO\FER LORCA en ROSITA (Rosita)\CIBERGESTION\CERTIFICADOS ANT\MANUEL GONZALEZ PEÑA.doc", "Abrir Documento")</f>
        <v>0</v>
      </c>
      <c r="D21543" t="s">
        <v>23500</v>
      </c>
      <c r="E21543" t="s">
        <v>44007</v>
      </c>
    </row>
    <row r="21544" spans="1:5">
      <c r="A21544" t="s">
        <v>6</v>
      </c>
      <c r="B21544" t="s">
        <v>21549</v>
      </c>
      <c r="C21544">
        <f>HYPERLINK("C:\Users\franc\OneDrive\Documentos\MALENTIN KARIME\BANCO CREDITO\FER LORCA en ROSITA (Rosita)\CIBERGESTION\CERTIFICADOS ANT\LUISA FLORS MUNDACA.doc", "Abrir Documento")</f>
        <v>0</v>
      </c>
      <c r="D21544" t="s">
        <v>23500</v>
      </c>
      <c r="E21544" t="s">
        <v>44008</v>
      </c>
    </row>
    <row r="21545" spans="1:5">
      <c r="A21545" t="s">
        <v>6</v>
      </c>
      <c r="B21545" t="s">
        <v>21550</v>
      </c>
      <c r="C21545">
        <f>HYPERLINK("C:\Users\franc\OneDrive\Documentos\MALENTIN KARIME\BANCO CREDITO\FER LORCA en ROSITA (Rosita)\CIBERGESTION\CERTIFICADOS ANT\JORGE HUERTA GONZALEZ.doc", "Abrir Documento")</f>
        <v>0</v>
      </c>
      <c r="D21545" t="s">
        <v>23500</v>
      </c>
      <c r="E21545" t="s">
        <v>44009</v>
      </c>
    </row>
    <row r="21546" spans="1:5">
      <c r="A21546" t="s">
        <v>6</v>
      </c>
      <c r="B21546" t="s">
        <v>21551</v>
      </c>
      <c r="C21546">
        <f>HYPERLINK("C:\Users\franc\OneDrive\Documentos\MALENTIN KARIME\BANCO CREDITO\FER LORCA en ROSITA (Rosita)\CIBERGESTION\CERTIFICADOS ANT\GUSTAVO GONZALEZ GONZALEZ[1].doc", "Abrir Documento")</f>
        <v>0</v>
      </c>
      <c r="D21546" t="s">
        <v>23500</v>
      </c>
      <c r="E21546" t="s">
        <v>44010</v>
      </c>
    </row>
    <row r="21547" spans="1:5">
      <c r="A21547" t="s">
        <v>6</v>
      </c>
      <c r="B21547" t="s">
        <v>21552</v>
      </c>
      <c r="C21547">
        <f>HYPERLINK("C:\Users\franc\OneDrive\Documentos\MALENTIN KARIME\BANCO CREDITO\FER LORCA en ROSITA (Rosita)\CIBERGESTION\CERTIFICADOS ANT\CAROLA VELASQUEZ RIVERA.doc", "Abrir Documento")</f>
        <v>0</v>
      </c>
      <c r="D21547" t="s">
        <v>23500</v>
      </c>
      <c r="E21547" t="s">
        <v>44011</v>
      </c>
    </row>
    <row r="21548" spans="1:5">
      <c r="A21548" t="s">
        <v>6</v>
      </c>
      <c r="B21548" t="s">
        <v>21553</v>
      </c>
      <c r="C21548">
        <f>HYPERLINK("C:\Users\franc\OneDrive\Documentos\MALENTIN KARIME\BANCO CREDITO\FER LORCA en ROSITA (Rosita)\CIBERGESTION\CERTIFICADOS ANT\ANA MATAMOROS ZEPEDA.doc", "Abrir Documento")</f>
        <v>0</v>
      </c>
      <c r="D21548" t="s">
        <v>23500</v>
      </c>
      <c r="E21548" t="s">
        <v>44012</v>
      </c>
    </row>
    <row r="21549" spans="1:5">
      <c r="A21549" t="s">
        <v>6</v>
      </c>
      <c r="B21549" t="s">
        <v>21554</v>
      </c>
      <c r="C21549">
        <f>HYPERLINK("C:\Users\franc\OneDrive\Documentos\MALENTIN KARIME\BANCO CREDITO\FER LORCA en ROSITA (Rosita)\CIBERGESTION\CERTIFICADOS ANT\CARLOS TORO ROJAS.doc", "Abrir Documento")</f>
        <v>0</v>
      </c>
      <c r="D21549" t="s">
        <v>23500</v>
      </c>
      <c r="E21549" t="s">
        <v>44012</v>
      </c>
    </row>
    <row r="21550" spans="1:5">
      <c r="A21550" t="s">
        <v>6</v>
      </c>
      <c r="B21550" t="s">
        <v>21555</v>
      </c>
      <c r="C21550">
        <f>HYPERLINK("C:\Users\franc\OneDrive\Documentos\MALENTIN KARIME\BANCO CREDITO\FER LORCA en ROSITA (Rosita)\CIBERGESTION\CERTIFICADOS\MIRIAM BARRAZA MUÑOZ.- 29 JUL. SERGIO CORTES.doc", "Abrir Documento")</f>
        <v>0</v>
      </c>
      <c r="D21550" t="s">
        <v>23500</v>
      </c>
      <c r="E21550" t="s">
        <v>44013</v>
      </c>
    </row>
    <row r="21551" spans="1:5">
      <c r="A21551" t="s">
        <v>6</v>
      </c>
      <c r="B21551" t="s">
        <v>21556</v>
      </c>
      <c r="C21551">
        <f>HYPERLINK("C:\Users\franc\OneDrive\Documentos\MALENTIN KARIME\BANCO CREDITO\FER LORCA en ROSITA (Rosita)\CIBERGESTION\CERTIFICADOS\GUSTAVO GONZALEZ GONZALEZ.- 29 JUL. SERGIO CORTES.doc", "Abrir Documento")</f>
        <v>0</v>
      </c>
      <c r="D21551" t="s">
        <v>23500</v>
      </c>
      <c r="E21551" t="s">
        <v>44014</v>
      </c>
    </row>
    <row r="21552" spans="1:5">
      <c r="A21552" t="s">
        <v>6</v>
      </c>
      <c r="B21552" t="s">
        <v>21557</v>
      </c>
      <c r="C21552">
        <f>HYPERLINK("C:\Users\franc\OneDrive\Documentos\MALENTIN KARIME\BANCO CREDITO\FER LORCA en ROSITA (Rosita)\CIBERGESTION\CERTIF. TRANSACCION\JUAN VAZQUEZ ORTIZ.doc", "Abrir Documento")</f>
        <v>0</v>
      </c>
      <c r="D21552" t="s">
        <v>23500</v>
      </c>
      <c r="E21552" t="s">
        <v>44015</v>
      </c>
    </row>
    <row r="21553" spans="1:5">
      <c r="A21553" t="s">
        <v>6</v>
      </c>
      <c r="B21553" t="s">
        <v>21558</v>
      </c>
      <c r="C21553">
        <f>HYPERLINK("C:\Users\franc\OneDrive\Documentos\MALENTIN KARIME\BANCO CREDITO\FER LORCA en ROSITA (Rosita)\CIBERGESTION\CERTIF. TRANSACCION\INGRID TORRES TAPIA.doc", "Abrir Documento")</f>
        <v>0</v>
      </c>
      <c r="D21553" t="s">
        <v>23500</v>
      </c>
      <c r="E21553" t="s">
        <v>44016</v>
      </c>
    </row>
    <row r="21554" spans="1:5">
      <c r="A21554" t="s">
        <v>6</v>
      </c>
      <c r="B21554" t="s">
        <v>21559</v>
      </c>
      <c r="C21554">
        <f>HYPERLINK("C:\Users\franc\OneDrive\Documentos\MALENTIN KARIME\BANCO CREDITO\FER LORCA en ROSITA (Rosita)\CIBERGESTION\AGOSTO `09\CERTIFICADOS\MIRIAM ALVARADO.doc", "Abrir Documento")</f>
        <v>0</v>
      </c>
      <c r="D21554" t="s">
        <v>23500</v>
      </c>
      <c r="E21554" t="s">
        <v>44017</v>
      </c>
    </row>
    <row r="21555" spans="1:5">
      <c r="A21555" t="s">
        <v>6</v>
      </c>
      <c r="B21555" t="s">
        <v>21560</v>
      </c>
      <c r="C21555">
        <f>HYPERLINK("C:\Users\franc\OneDrive\Documentos\MALENTIN KARIME\BANCO CREDITO\FER LORCA en ROSITA (Rosita)\CIBERGESTION\AGOSTO `09\CERTIFICADOS\MARITZA GUERRA.doc", "Abrir Documento")</f>
        <v>0</v>
      </c>
      <c r="D21555" t="s">
        <v>23500</v>
      </c>
      <c r="E21555" t="s">
        <v>44018</v>
      </c>
    </row>
    <row r="21556" spans="1:5">
      <c r="A21556" t="s">
        <v>6</v>
      </c>
      <c r="B21556" t="s">
        <v>21561</v>
      </c>
      <c r="C21556">
        <f>HYPERLINK("C:\Users\franc\OneDrive\Documentos\MALENTIN KARIME\BANCO CREDITO\FER LORCA en ROSITA (Rosita)\CIBERGESTION\AGOSTO `09\MIRIAM ARAYA[1].doc", "Abrir Documento")</f>
        <v>0</v>
      </c>
      <c r="D21556" t="s">
        <v>23500</v>
      </c>
      <c r="E21556" t="s">
        <v>44019</v>
      </c>
    </row>
    <row r="21557" spans="1:5">
      <c r="A21557" t="s">
        <v>6</v>
      </c>
      <c r="B21557" t="s">
        <v>21562</v>
      </c>
      <c r="C21557">
        <f>HYPERLINK("C:\Users\franc\OneDrive\Documentos\MALENTIN KARIME\BANCO CREDITO\FER LORCA en ROSITA (Rosita)\CIBERGESTION\AGOSTO `09\MARITZA GUERRA CORTES[1].doc", "Abrir Documento")</f>
        <v>0</v>
      </c>
      <c r="D21557" t="s">
        <v>23500</v>
      </c>
      <c r="E21557" t="s">
        <v>44020</v>
      </c>
    </row>
    <row r="21558" spans="1:5">
      <c r="A21558" t="s">
        <v>6</v>
      </c>
      <c r="B21558" t="s">
        <v>21563</v>
      </c>
      <c r="C21558">
        <f>HYPERLINK("C:\Users\franc\OneDrive\Documentos\MALENTIN KARIME\BANCO CREDITO\FER LORCA en ROSITA (Rosita)\CIBERGESTION\AGOSTO `09\MARIO GALLARDO ARACENA.doc", "Abrir Documento")</f>
        <v>0</v>
      </c>
      <c r="D21558" t="s">
        <v>23500</v>
      </c>
      <c r="E21558" t="s">
        <v>44021</v>
      </c>
    </row>
    <row r="21559" spans="1:5">
      <c r="A21559" t="s">
        <v>6</v>
      </c>
      <c r="B21559" t="s">
        <v>21564</v>
      </c>
      <c r="C21559">
        <f>HYPERLINK("C:\Users\franc\OneDrive\Documentos\MALENTIN KARIME\BANCO CREDITO\FER LORCA en ROSITA (Rosita)\CIBERGESTION\AGOSTO `09\ESTRELLA  ARANCIBIA MUÑOZ.doc", "Abrir Documento")</f>
        <v>0</v>
      </c>
      <c r="D21559" t="s">
        <v>23500</v>
      </c>
      <c r="E21559" t="s">
        <v>44022</v>
      </c>
    </row>
    <row r="21560" spans="1:5">
      <c r="A21560" t="s">
        <v>6</v>
      </c>
      <c r="B21560" t="s">
        <v>21565</v>
      </c>
      <c r="C21560">
        <f>HYPERLINK("C:\Users\franc\OneDrive\Documentos\MALENTIN KARIME\BANCO CREDITO\FER LORCA en ROSITA (Rosita)\CIBERGESTION\SOBRE CIBERGESTION.doc", "Abrir Documento")</f>
        <v>0</v>
      </c>
      <c r="D21560" t="s">
        <v>23500</v>
      </c>
      <c r="E21560" t="s">
        <v>44023</v>
      </c>
    </row>
    <row r="21561" spans="1:5">
      <c r="A21561" t="s">
        <v>6</v>
      </c>
      <c r="B21561" t="s">
        <v>21566</v>
      </c>
      <c r="C21561">
        <f>HYPERLINK("C:\Users\franc\OneDrive\Documentos\MALENTIN KARIME\BANCO CREDITO\FER LORCA en ROSITA (Rosita)\CIBERGESTION\CARTA DAVID.doc", "Abrir Documento")</f>
        <v>0</v>
      </c>
      <c r="D21561" t="s">
        <v>23500</v>
      </c>
      <c r="E21561" t="s">
        <v>44024</v>
      </c>
    </row>
    <row r="21562" spans="1:5">
      <c r="A21562" t="s">
        <v>6</v>
      </c>
      <c r="B21562" t="s">
        <v>21567</v>
      </c>
      <c r="C21562">
        <f>HYPERLINK("C:\Users\franc\OneDrive\Documentos\MALENTIN KARIME\BANCO CREDITO\FER LORCA en ROSITA (Rosita)\CESION MINERAS\MIGUEL TAPIA (HIJO).doc", "Abrir Documento")</f>
        <v>0</v>
      </c>
      <c r="D21562" t="s">
        <v>23500</v>
      </c>
      <c r="E21562" t="s">
        <v>44025</v>
      </c>
    </row>
    <row r="21563" spans="1:5">
      <c r="A21563" t="s">
        <v>6</v>
      </c>
      <c r="B21563" t="s">
        <v>21568</v>
      </c>
      <c r="C21563">
        <f>HYPERLINK("C:\Users\franc\OneDrive\Documentos\MALENTIN KARIME\BANCO CREDITO\FER LORCA en ROSITA (Rosita)\CESION DERECHOS COMUNITARIOS\COM. PUNITAQUI\AGUSTIN BARRAZA A ALEX SANTANDER.doc", "Abrir Documento")</f>
        <v>0</v>
      </c>
      <c r="D21563" t="s">
        <v>23500</v>
      </c>
      <c r="E21563" t="s">
        <v>44026</v>
      </c>
    </row>
    <row r="21564" spans="1:5">
      <c r="A21564" t="s">
        <v>6</v>
      </c>
      <c r="B21564" t="s">
        <v>21569</v>
      </c>
      <c r="C21564">
        <f>HYPERLINK("C:\Users\franc\OneDrive\Documentos\MALENTIN KARIME\BANCO CREDITO\FER LORCA en ROSITA (Rosita)\CESION DERECHOS COMUNITARIOS\MANUEL ROJAS A OSCAR MURILLO (CASTILLO, MAL PASO).doc", "Abrir Documento")</f>
        <v>0</v>
      </c>
      <c r="D21564" t="s">
        <v>23500</v>
      </c>
      <c r="E21564" t="s">
        <v>44027</v>
      </c>
    </row>
    <row r="21565" spans="1:5">
      <c r="A21565" t="s">
        <v>6</v>
      </c>
      <c r="B21565" t="s">
        <v>21570</v>
      </c>
      <c r="C21565">
        <f>HYPERLINK("C:\Users\franc\OneDrive\Documentos\MALENTIN KARIME\BANCO CREDITO\FER LORCA en ROSITA (Rosita)\CESION DERECHOS COMUNITARIOS\agrega detalle de pago.doc", "Abrir Documento")</f>
        <v>0</v>
      </c>
      <c r="D21565" t="s">
        <v>23500</v>
      </c>
      <c r="E21565" t="s">
        <v>44028</v>
      </c>
    </row>
    <row r="21566" spans="1:5">
      <c r="A21566" t="s">
        <v>6</v>
      </c>
      <c r="B21566" t="s">
        <v>21571</v>
      </c>
      <c r="C21566">
        <f>HYPERLINK("C:\Users\franc\OneDrive\Documentos\MALENTIN KARIME\BANCO CREDITO\FER LORCA en ROSITA (Rosita)\CESION DER. HEREDIT\SARA BACHO A SUS HIJOS.- JUNIO 2010.doc", "Abrir Documento")</f>
        <v>0</v>
      </c>
      <c r="D21566" t="s">
        <v>23500</v>
      </c>
      <c r="E21566" t="s">
        <v>44029</v>
      </c>
    </row>
    <row r="21567" spans="1:5">
      <c r="A21567" t="s">
        <v>6</v>
      </c>
      <c r="B21567" t="s">
        <v>21572</v>
      </c>
      <c r="C21567">
        <f>HYPERLINK("C:\Users\franc\OneDrive\Documentos\MALENTIN KARIME\BANCO CREDITO\FER LORCA en ROSITA (Rosita)\CESION DER. HEREDIT\OSCAR NAVARRO.doc", "Abrir Documento")</f>
        <v>0</v>
      </c>
      <c r="D21567" t="s">
        <v>23500</v>
      </c>
      <c r="E21567" t="s">
        <v>44030</v>
      </c>
    </row>
    <row r="21568" spans="1:5">
      <c r="A21568" t="s">
        <v>6</v>
      </c>
      <c r="B21568" t="s">
        <v>21573</v>
      </c>
      <c r="C21568">
        <f>HYPERLINK("C:\Users\franc\OneDrive\Documentos\MALENTIN KARIME\BANCO CREDITO\FER LORCA en ROSITA (Rosita)\CESION DER. HEREDIT\OSCAR NAVARRO.-.doc", "Abrir Documento")</f>
        <v>0</v>
      </c>
      <c r="D21568" t="s">
        <v>23500</v>
      </c>
      <c r="E21568" t="s">
        <v>44031</v>
      </c>
    </row>
    <row r="21569" spans="1:5">
      <c r="A21569" t="s">
        <v>6</v>
      </c>
      <c r="B21569" t="s">
        <v>21574</v>
      </c>
      <c r="C21569">
        <f>HYPERLINK("C:\Users\franc\OneDrive\Documentos\MALENTIN KARIME\BANCO CREDITO\FER LORCA en ROSITA (Rosita)\CESION DER. HEREDIT\OSCAR NAVARRO.- sin algunas personas.-.doc", "Abrir Documento")</f>
        <v>0</v>
      </c>
      <c r="D21569" t="s">
        <v>23500</v>
      </c>
      <c r="E21569" t="s">
        <v>44032</v>
      </c>
    </row>
    <row r="21570" spans="1:5">
      <c r="A21570" t="s">
        <v>6</v>
      </c>
      <c r="B21570" t="s">
        <v>21575</v>
      </c>
      <c r="C21570">
        <f>HYPERLINK("C:\Users\franc\OneDrive\Documentos\MALENTIN KARIME\BANCO CREDITO\FER LORCA en ROSITA (Rosita)\CESION DER. HEREDIT\NANCY MUNDACA A JOSE MUNDACA.doc", "Abrir Documento")</f>
        <v>0</v>
      </c>
      <c r="D21570" t="s">
        <v>23500</v>
      </c>
      <c r="E21570" t="s">
        <v>44033</v>
      </c>
    </row>
    <row r="21571" spans="1:5">
      <c r="A21571" t="s">
        <v>6</v>
      </c>
      <c r="B21571" t="s">
        <v>21576</v>
      </c>
      <c r="C21571">
        <f>HYPERLINK("C:\Users\franc\OneDrive\Documentos\MALENTIN KARIME\BANCO CREDITO\FER LORCA en ROSITA (Rosita)\CESION DER. HEREDIT\MIGUEL FLORES Y OTROS A SU HIJA (CON CONYUGE AUTOIR).doc", "Abrir Documento")</f>
        <v>0</v>
      </c>
      <c r="D21571" t="s">
        <v>23500</v>
      </c>
      <c r="E21571" t="s">
        <v>44034</v>
      </c>
    </row>
    <row r="21572" spans="1:5">
      <c r="A21572" t="s">
        <v>6</v>
      </c>
      <c r="B21572" t="s">
        <v>21577</v>
      </c>
      <c r="C21572">
        <f>HYPERLINK("C:\Users\franc\OneDrive\Documentos\MALENTIN KARIME\BANCO CREDITO\FER LORCA en ROSITA (Rosita)\CESION DER. HEREDIT\MARIO ROJAS A MARIA VEGA.doc", "Abrir Documento")</f>
        <v>0</v>
      </c>
      <c r="D21572" t="s">
        <v>23500</v>
      </c>
      <c r="E21572" t="s">
        <v>44035</v>
      </c>
    </row>
    <row r="21573" spans="1:5">
      <c r="A21573" t="s">
        <v>6</v>
      </c>
      <c r="B21573" t="s">
        <v>21578</v>
      </c>
      <c r="C21573">
        <f>HYPERLINK("C:\Users\franc\OneDrive\Documentos\MALENTIN KARIME\BANCO CREDITO\FER LORCA en ROSITA (Rosita)\CESION DER. HEREDIT\JUAN CARLOS CORTES TRUJILLO A MIGUEL ALVAREZ ALVAREZ.doc", "Abrir Documento")</f>
        <v>0</v>
      </c>
      <c r="D21573" t="s">
        <v>23500</v>
      </c>
      <c r="E21573" t="s">
        <v>44036</v>
      </c>
    </row>
    <row r="21574" spans="1:5">
      <c r="A21574" t="s">
        <v>6</v>
      </c>
      <c r="B21574" t="s">
        <v>21579</v>
      </c>
      <c r="C21574">
        <f>HYPERLINK("C:\Users\franc\OneDrive\Documentos\MALENTIN KARIME\BANCO CREDITO\FER LORCA en ROSITA (Rosita)\CESION DER. HEREDIT\JORGE DIAZ A RAUL DIAZ.-HIJUELA SIETE.doc", "Abrir Documento")</f>
        <v>0</v>
      </c>
      <c r="D21574" t="s">
        <v>23500</v>
      </c>
      <c r="E21574" t="s">
        <v>44037</v>
      </c>
    </row>
    <row r="21575" spans="1:5">
      <c r="A21575" t="s">
        <v>6</v>
      </c>
      <c r="B21575" t="s">
        <v>21580</v>
      </c>
      <c r="C21575">
        <f>HYPERLINK("C:\Users\franc\OneDrive\Documentos\MALENTIN KARIME\BANCO CREDITO\FER LORCA en ROSITA (Rosita)\CESION DER. HEREDIT\JORGE DIAZ A RAUL DIAZ.-.doc", "Abrir Documento")</f>
        <v>0</v>
      </c>
      <c r="D21575" t="s">
        <v>23500</v>
      </c>
      <c r="E21575" t="s">
        <v>44038</v>
      </c>
    </row>
    <row r="21576" spans="1:5">
      <c r="A21576" t="s">
        <v>6</v>
      </c>
      <c r="B21576" t="s">
        <v>21581</v>
      </c>
      <c r="C21576">
        <f>HYPERLINK("C:\Users\franc\OneDrive\Documentos\MALENTIN KARIME\BANCO CREDITO\FER LORCA en ROSITA (Rosita)\CESION DER. HEREDIT\INVENTARIO SIMPLE CASA.doc", "Abrir Documento")</f>
        <v>0</v>
      </c>
      <c r="D21576" t="s">
        <v>23500</v>
      </c>
      <c r="E21576" t="s">
        <v>44039</v>
      </c>
    </row>
    <row r="21577" spans="1:5">
      <c r="A21577" t="s">
        <v>6</v>
      </c>
      <c r="B21577" t="s">
        <v>21582</v>
      </c>
      <c r="C21577">
        <f>HYPERLINK("C:\Users\franc\OneDrive\Documentos\MALENTIN KARIME\BANCO CREDITO\FER LORCA en ROSITA (Rosita)\CESION DER. HEREDIT\GRACIELA  VARELA Y OTROS A ANGELA ROJAS  (SRA. ANA LUISA.doc", "Abrir Documento")</f>
        <v>0</v>
      </c>
      <c r="D21577" t="s">
        <v>23500</v>
      </c>
      <c r="E21577" t="s">
        <v>44040</v>
      </c>
    </row>
    <row r="21578" spans="1:5">
      <c r="A21578" t="s">
        <v>6</v>
      </c>
      <c r="B21578" t="s">
        <v>21583</v>
      </c>
      <c r="C21578">
        <f>HYPERLINK("C:\Users\franc\OneDrive\Documentos\MALENTIN KARIME\BANCO CREDITO\FER LORCA en ROSITA (Rosita)\CESION DER. HEREDIT\Cesion de Derechos  de HERENCIA.- FERNANDO VIVAR.doc", "Abrir Documento")</f>
        <v>0</v>
      </c>
      <c r="D21578" t="s">
        <v>23500</v>
      </c>
      <c r="E21578" t="s">
        <v>44041</v>
      </c>
    </row>
    <row r="21579" spans="1:5">
      <c r="A21579" t="s">
        <v>6</v>
      </c>
      <c r="B21579" t="s">
        <v>21584</v>
      </c>
      <c r="C21579">
        <f>HYPERLINK("C:\Users\franc\OneDrive\Documentos\MALENTIN KARIME\BANCO CREDITO\FER LORCA en ROSITA (Rosita)\CESION DER. HEREDIT\CES. EXC. SRA. GRACIELA.doc", "Abrir Documento")</f>
        <v>0</v>
      </c>
      <c r="D21579" t="s">
        <v>23500</v>
      </c>
      <c r="E21579" t="s">
        <v>44042</v>
      </c>
    </row>
    <row r="21580" spans="1:5">
      <c r="A21580" t="s">
        <v>6</v>
      </c>
      <c r="B21580" t="s">
        <v>21585</v>
      </c>
      <c r="C21580">
        <f>HYPERLINK("C:\Users\franc\OneDrive\Documentos\MALENTIN KARIME\BANCO CREDITO\FER LORCA en ROSITA (Rosita)\CESION DER. HEREDIT\ANA GRACIELA PEREZ PIZARRO E HIJOS.doc", "Abrir Documento")</f>
        <v>0</v>
      </c>
      <c r="D21580" t="s">
        <v>23500</v>
      </c>
      <c r="E21580" t="s">
        <v>44043</v>
      </c>
    </row>
    <row r="21581" spans="1:5">
      <c r="A21581" t="s">
        <v>6</v>
      </c>
      <c r="B21581" t="s">
        <v>21586</v>
      </c>
      <c r="C21581">
        <f>HYPERLINK("C:\Users\franc\OneDrive\Documentos\MALENTIN KARIME\BANCO CREDITO\FER LORCA en ROSITA (Rosita)\CESION DER. HEREDIT\ANA CASTILLO Y OTROS A SU MAMA.doc", "Abrir Documento")</f>
        <v>0</v>
      </c>
      <c r="D21581" t="s">
        <v>23500</v>
      </c>
      <c r="E21581" t="s">
        <v>44044</v>
      </c>
    </row>
    <row r="21582" spans="1:5">
      <c r="A21582" t="s">
        <v>6</v>
      </c>
      <c r="B21582" t="s">
        <v>21587</v>
      </c>
      <c r="C21582">
        <f>HYPERLINK("C:\Users\franc\OneDrive\Documentos\MALENTIN KARIME\BANCO CREDITO\FER LORCA en ROSITA (Rosita)\CARLOS BUGUEÑO\STRUCCIONES\MARCELO CORRAL.doc", "Abrir Documento")</f>
        <v>0</v>
      </c>
      <c r="D21582" t="s">
        <v>23500</v>
      </c>
      <c r="E21582" t="s">
        <v>44045</v>
      </c>
    </row>
    <row r="21583" spans="1:5">
      <c r="A21583" t="s">
        <v>6</v>
      </c>
      <c r="B21583" t="s">
        <v>21588</v>
      </c>
      <c r="C21583">
        <f>HYPERLINK("C:\Users\franc\OneDrive\Documentos\MALENTIN KARIME\BANCO CREDITO\FER LORCA en ROSITA (Rosita)\CARLOS BUGUEÑO\STRUCCIONES\corral y pardo - con inostroza.doc", "Abrir Documento")</f>
        <v>0</v>
      </c>
      <c r="D21583" t="s">
        <v>23500</v>
      </c>
      <c r="E21583" t="s">
        <v>44046</v>
      </c>
    </row>
    <row r="21584" spans="1:5">
      <c r="A21584" t="s">
        <v>6</v>
      </c>
      <c r="B21584" t="s">
        <v>21589</v>
      </c>
      <c r="C21584">
        <f>HYPERLINK("C:\Users\franc\OneDrive\Documentos\MALENTIN KARIME\BANCO CREDITO\FER LORCA en ROSITA (Rosita)\CARLOS BUGUEÑO\STRUCCIONES\corral y pardo - con inostroza.- MARZO 2010.doc", "Abrir Documento")</f>
        <v>0</v>
      </c>
      <c r="D21584" t="s">
        <v>23500</v>
      </c>
      <c r="E21584" t="s">
        <v>44047</v>
      </c>
    </row>
    <row r="21585" spans="1:5">
      <c r="A21585" t="s">
        <v>6</v>
      </c>
      <c r="B21585" t="s">
        <v>21590</v>
      </c>
      <c r="C21585">
        <f>HYPERLINK("C:\Users\franc\OneDrive\Documentos\MALENTIN KARIME\BANCO CREDITO\FER LORCA en ROSITA (Rosita)\CARLOS BUGUEÑO\STRUCCIONES\corral y pardo - con inostroza (2).doc", "Abrir Documento")</f>
        <v>0</v>
      </c>
      <c r="D21585" t="s">
        <v>23500</v>
      </c>
      <c r="E21585" t="s">
        <v>44048</v>
      </c>
    </row>
    <row r="21586" spans="1:5">
      <c r="A21586" t="s">
        <v>6</v>
      </c>
      <c r="B21586" t="s">
        <v>21591</v>
      </c>
      <c r="C21586">
        <f>HYPERLINK("C:\Users\franc\OneDrive\Documentos\MALENTIN KARIME\BANCO CREDITO\FER LORCA en ROSITA (Rosita)\CARLOS BUGUEÑO\STRUCCIONES\carta[1].instrucc aguas roberto de la cruz aguilera - enero 2010.doc", "Abrir Documento")</f>
        <v>0</v>
      </c>
      <c r="D21586" t="s">
        <v>23500</v>
      </c>
      <c r="E21586" t="s">
        <v>44049</v>
      </c>
    </row>
    <row r="21587" spans="1:5">
      <c r="A21587" t="s">
        <v>6</v>
      </c>
      <c r="B21587" t="s">
        <v>21592</v>
      </c>
      <c r="C21587">
        <f>HYPERLINK("C:\Users\franc\OneDrive\Documentos\MALENTIN KARIME\BANCO CREDITO\FER LORCA en ROSITA (Rosita)\CARLOS BUGUEÑO\STRUCCIONES\carta instrucciones venta norterra ltda[1]. enero 2010.doc", "Abrir Documento")</f>
        <v>0</v>
      </c>
      <c r="D21587" t="s">
        <v>23500</v>
      </c>
      <c r="E21587" t="s">
        <v>44050</v>
      </c>
    </row>
    <row r="21588" spans="1:5">
      <c r="A21588" t="s">
        <v>6</v>
      </c>
      <c r="B21588" t="s">
        <v>21593</v>
      </c>
      <c r="C21588">
        <f>HYPERLINK("C:\Users\franc\OneDrive\Documentos\MALENTIN KARIME\BANCO CREDITO\FER LORCA en ROSITA (Rosita)\CARLOS BUGUEÑO\STRUCCIONES\carta instrucciones venta  gonzalo alvarez - feb 2010[1].doc", "Abrir Documento")</f>
        <v>0</v>
      </c>
      <c r="D21588" t="s">
        <v>23500</v>
      </c>
      <c r="E21588" t="s">
        <v>44051</v>
      </c>
    </row>
    <row r="21589" spans="1:5">
      <c r="A21589" t="s">
        <v>6</v>
      </c>
      <c r="B21589" t="s">
        <v>21594</v>
      </c>
      <c r="C21589">
        <f>HYPERLINK("C:\Users\franc\OneDrive\Documentos\MALENTIN KARIME\BANCO CREDITO\FER LORCA en ROSITA (Rosita)\CARLOS BUGUEÑO\STRUCCIONES\carta instrucciones venta  gonzalo alvarez - feb 2010[1].- NUEVA.doc", "Abrir Documento")</f>
        <v>0</v>
      </c>
      <c r="D21589" t="s">
        <v>23500</v>
      </c>
      <c r="E21589" t="s">
        <v>44052</v>
      </c>
    </row>
    <row r="21590" spans="1:5">
      <c r="A21590" t="s">
        <v>6</v>
      </c>
      <c r="B21590" t="s">
        <v>21595</v>
      </c>
      <c r="C21590">
        <f>HYPERLINK("C:\Users\franc\OneDrive\Documentos\MALENTIN KARIME\BANCO CREDITO\FER LORCA en ROSITA (Rosita)\CARLOS BUGUEÑO\STRUCCIONES\carta instrucc guido maya - julio 2010.doc", "Abrir Documento")</f>
        <v>0</v>
      </c>
      <c r="D21590" t="s">
        <v>23500</v>
      </c>
      <c r="E21590" t="s">
        <v>44053</v>
      </c>
    </row>
    <row r="21591" spans="1:5">
      <c r="A21591" t="s">
        <v>6</v>
      </c>
      <c r="B21591" t="s">
        <v>21596</v>
      </c>
      <c r="C21591">
        <f>HYPERLINK("C:\Users\franc\OneDrive\Documentos\MALENTIN KARIME\BANCO CREDITO\FER LORCA en ROSITA (Rosita)\CARLOS BUGUEÑO\STRUCCIONES\carta instrucc fco cerva - junio 2010.doc", "Abrir Documento")</f>
        <v>0</v>
      </c>
      <c r="D21591" t="s">
        <v>23500</v>
      </c>
      <c r="E21591" t="s">
        <v>44054</v>
      </c>
    </row>
    <row r="21592" spans="1:5">
      <c r="A21592" t="s">
        <v>6</v>
      </c>
      <c r="B21592" t="s">
        <v>21597</v>
      </c>
      <c r="C21592">
        <f>HYPERLINK("C:\Users\franc\OneDrive\Documentos\MALENTIN KARIME\BANCO CREDITO\FER LORCA en ROSITA (Rosita)\CARLOS BUGUEÑO\STRUCCIONES\carta instrucc BENEDICTO CISTERNAS - febrero 2010[1].doc", "Abrir Documento")</f>
        <v>0</v>
      </c>
      <c r="D21592" t="s">
        <v>23500</v>
      </c>
      <c r="E21592" t="s">
        <v>44055</v>
      </c>
    </row>
    <row r="21593" spans="1:5">
      <c r="A21593" t="s">
        <v>6</v>
      </c>
      <c r="B21593" t="s">
        <v>21598</v>
      </c>
      <c r="C21593">
        <f>HYPERLINK("C:\Users\franc\OneDrive\Documentos\MALENTIN KARIME\BANCO CREDITO\FER LORCA en ROSITA (Rosita)\CARLOS BUGUEÑO\SOCIEDAD\erika jofre. extracto junio 2010.doc", "Abrir Documento")</f>
        <v>0</v>
      </c>
      <c r="D21593" t="s">
        <v>23500</v>
      </c>
      <c r="E21593" t="s">
        <v>44056</v>
      </c>
    </row>
    <row r="21594" spans="1:5">
      <c r="A21594" t="s">
        <v>6</v>
      </c>
      <c r="B21594" t="s">
        <v>21599</v>
      </c>
      <c r="C21594">
        <f>HYPERLINK("C:\Users\franc\OneDrive\Documentos\MALENTIN KARIME\BANCO CREDITO\FER LORCA en ROSITA (Rosita)\CARLOS BUGUEÑO\SOCIEDAD\erika jofre . junio 2010.doc", "Abrir Documento")</f>
        <v>0</v>
      </c>
      <c r="D21594" t="s">
        <v>23500</v>
      </c>
      <c r="E21594" t="s">
        <v>44057</v>
      </c>
    </row>
    <row r="21595" spans="1:5">
      <c r="A21595" t="s">
        <v>6</v>
      </c>
      <c r="B21595" t="s">
        <v>21600</v>
      </c>
      <c r="C21595">
        <f>HYPERLINK("C:\Users\franc\OneDrive\Documentos\MALENTIN KARIME\BANCO CREDITO\FER LORCA en ROSITA (Rosita)\CARLOS BUGUEÑO\SOC. ARKON LTDA\CONTRATO DE COMPRAVENTA.doc", "Abrir Documento")</f>
        <v>0</v>
      </c>
      <c r="D21595" t="s">
        <v>23500</v>
      </c>
      <c r="E21595" t="s">
        <v>44058</v>
      </c>
    </row>
    <row r="21596" spans="1:5">
      <c r="A21596" t="s">
        <v>6</v>
      </c>
      <c r="B21596" t="s">
        <v>21601</v>
      </c>
      <c r="C21596">
        <f>HYPERLINK("C:\Users\franc\OneDrive\Documentos\MALENTIN KARIME\BANCO CREDITO\FER LORCA en ROSITA (Rosita)\CARLOS BUGUEÑO\SOC. ARKON LTDA\CESION DERECHOS DE PROMESA COMPRAVENTA.doc", "Abrir Documento")</f>
        <v>0</v>
      </c>
      <c r="D21596" t="s">
        <v>23500</v>
      </c>
      <c r="E21596" t="s">
        <v>44059</v>
      </c>
    </row>
    <row r="21597" spans="1:5">
      <c r="A21597" t="s">
        <v>6</v>
      </c>
      <c r="B21597" t="s">
        <v>21602</v>
      </c>
      <c r="C21597">
        <f>HYPERLINK("C:\Users\franc\OneDrive\Documentos\MALENTIN KARIME\BANCO CREDITO\FER LORCA en ROSITA (Rosita)\CARLOS BUGUEÑO\SOC. AGRIC. ANGOSTURA LTDA.-\VENTA LOTE A .- CON SELIM DABED.doc", "Abrir Documento")</f>
        <v>0</v>
      </c>
      <c r="D21597" t="s">
        <v>23500</v>
      </c>
      <c r="E21597" t="s">
        <v>44060</v>
      </c>
    </row>
    <row r="21598" spans="1:5">
      <c r="A21598" t="s">
        <v>6</v>
      </c>
      <c r="B21598" t="s">
        <v>21603</v>
      </c>
      <c r="C21598">
        <f>HYPERLINK("C:\Users\franc\OneDrive\Documentos\MALENTIN KARIME\BANCO CREDITO\FER LORCA en ROSITA (Rosita)\CARLOS BUGUEÑO\SAMUEL BOZO LORCA\escritura Acta Junta extraordinaria - 1 julio 2010.doc", "Abrir Documento")</f>
        <v>0</v>
      </c>
      <c r="D21598" t="s">
        <v>23500</v>
      </c>
      <c r="E21598" t="s">
        <v>44061</v>
      </c>
    </row>
    <row r="21599" spans="1:5">
      <c r="A21599" t="s">
        <v>6</v>
      </c>
      <c r="B21599" t="s">
        <v>21604</v>
      </c>
      <c r="C21599">
        <f>HYPERLINK("C:\Users\franc\OneDrive\Documentos\MALENTIN KARIME\BANCO CREDITO\FER LORCA en ROSITA (Rosita)\CARLOS BUGUEÑO\SAMUEL BOZO LORCA\cesion derechos sostenedor - julio 2010.doc", "Abrir Documento")</f>
        <v>0</v>
      </c>
      <c r="D21599" t="s">
        <v>23500</v>
      </c>
      <c r="E21599" t="s">
        <v>44062</v>
      </c>
    </row>
    <row r="21600" spans="1:5">
      <c r="A21600" t="s">
        <v>6</v>
      </c>
      <c r="B21600" t="s">
        <v>21605</v>
      </c>
      <c r="C21600">
        <f>HYPERLINK("C:\Users\franc\OneDrive\Documentos\MALENTIN KARIME\BANCO CREDITO\FER LORCA en ROSITA (Rosita)\CARLOS BUGUEÑO\SAMUEL BOZO LORCA\acta jta extr sostenedora samuel bozo - extracto.doc", "Abrir Documento")</f>
        <v>0</v>
      </c>
      <c r="D21600" t="s">
        <v>23500</v>
      </c>
      <c r="E21600" t="s">
        <v>44063</v>
      </c>
    </row>
    <row r="21601" spans="1:5">
      <c r="A21601" t="s">
        <v>6</v>
      </c>
      <c r="B21601" t="s">
        <v>21606</v>
      </c>
      <c r="C21601">
        <f>HYPERLINK("C:\Users\franc\OneDrive\Documentos\MALENTIN KARIME\BANCO CREDITO\FER LORCA en ROSITA (Rosita)\CARLOS BUGUEÑO\REDUCCION ESCRITURA PUBLICA\CANAL GRANDE Y LOS AZULES\ESCRIT~1.DOC", "Abrir Documento")</f>
        <v>0</v>
      </c>
      <c r="D21601" t="s">
        <v>23500</v>
      </c>
      <c r="E21601" t="s">
        <v>44064</v>
      </c>
    </row>
    <row r="21602" spans="1:5">
      <c r="A21602" t="s">
        <v>6</v>
      </c>
      <c r="B21602" t="s">
        <v>21607</v>
      </c>
      <c r="C21602">
        <f>HYPERLINK("C:\Users\franc\OneDrive\Documentos\MALENTIN KARIME\BANCO CREDITO\FER LORCA en ROSITA (Rosita)\CARLOS BUGUEÑO\REDUCCION ESCRITURA PUBLICA\CANAL GRANDE Y LOS AZULES\Canal Grande y Los Azules - julio 2010.- 2.-.doc", "Abrir Documento")</f>
        <v>0</v>
      </c>
      <c r="D21602" t="s">
        <v>23500</v>
      </c>
      <c r="E21602" t="s">
        <v>44065</v>
      </c>
    </row>
    <row r="21603" spans="1:5">
      <c r="A21603" t="s">
        <v>6</v>
      </c>
      <c r="B21603" t="s">
        <v>21608</v>
      </c>
      <c r="C21603">
        <f>HYPERLINK("C:\Users\franc\OneDrive\Documentos\MALENTIN KARIME\BANCO CREDITO\FER LORCA en ROSITA (Rosita)\CARLOS BUGUEÑO\REDUCCION ESCRITURA PUBLICA\rescilia escritura Acta sesion directorio limari trading sa enero 2010 - esc.doc", "Abrir Documento")</f>
        <v>0</v>
      </c>
      <c r="D21603" t="s">
        <v>23500</v>
      </c>
      <c r="E21603" t="s">
        <v>44066</v>
      </c>
    </row>
    <row r="21604" spans="1:5">
      <c r="A21604" t="s">
        <v>6</v>
      </c>
      <c r="B21604" t="s">
        <v>21609</v>
      </c>
      <c r="C21604">
        <f>HYPERLINK("C:\Users\franc\OneDrive\Documentos\MALENTIN KARIME\BANCO CREDITO\FER LORCA en ROSITA (Rosita)\CARLOS BUGUEÑO\REDUCCION ESCRITURA PUBLICA\nueva escritura Acta sesion directorio limari trading sa enero 2010 - esc[1].doc", "Abrir Documento")</f>
        <v>0</v>
      </c>
      <c r="D21604" t="s">
        <v>23500</v>
      </c>
      <c r="E21604" t="s">
        <v>44067</v>
      </c>
    </row>
    <row r="21605" spans="1:5">
      <c r="A21605" t="s">
        <v>6</v>
      </c>
      <c r="B21605" t="s">
        <v>21610</v>
      </c>
      <c r="C21605">
        <f>HYPERLINK("C:\Users\franc\OneDrive\Documentos\MALENTIN KARIME\BANCO CREDITO\FER LORCA en ROSITA (Rosita)\CARLOS BUGUEÑO\REDUCCION ESCRITURA PUBLICA\escritura Acta sesion directorio don valentino sa dic 2009 - esc[1].doc", "Abrir Documento")</f>
        <v>0</v>
      </c>
      <c r="D21605" t="s">
        <v>23500</v>
      </c>
      <c r="E21605" t="s">
        <v>44068</v>
      </c>
    </row>
    <row r="21606" spans="1:5">
      <c r="A21606" t="s">
        <v>6</v>
      </c>
      <c r="B21606" t="s">
        <v>21611</v>
      </c>
      <c r="C21606">
        <f>HYPERLINK("C:\Users\franc\OneDrive\Documentos\MALENTIN KARIME\BANCO CREDITO\FER LORCA en ROSITA (Rosita)\CARLOS BUGUEÑO\REDUCCION ESCRITURA PUBLICA\escritura Acta Junta extraordinaria don valentino sa dic 2009 - esc[1].doc", "Abrir Documento")</f>
        <v>0</v>
      </c>
      <c r="D21606" t="s">
        <v>23500</v>
      </c>
      <c r="E21606" t="s">
        <v>44069</v>
      </c>
    </row>
    <row r="21607" spans="1:5">
      <c r="A21607" t="s">
        <v>6</v>
      </c>
      <c r="B21607" t="s">
        <v>21612</v>
      </c>
      <c r="C21607">
        <f>HYPERLINK("C:\Users\franc\OneDrive\Documentos\MALENTIN KARIME\BANCO CREDITO\FER LORCA en ROSITA (Rosita)\CARLOS BUGUEÑO\REDUCCION ESCRITURA PUBLICA\Acta sesion directorio limari trading sa dic 2009 - esc[1].doc", "Abrir Documento")</f>
        <v>0</v>
      </c>
      <c r="D21607" t="s">
        <v>23500</v>
      </c>
      <c r="E21607" t="s">
        <v>44070</v>
      </c>
    </row>
    <row r="21608" spans="1:5">
      <c r="A21608" t="s">
        <v>6</v>
      </c>
      <c r="B21608" t="s">
        <v>21613</v>
      </c>
      <c r="C21608">
        <f>HYPERLINK("C:\Users\franc\OneDrive\Documentos\MALENTIN KARIME\BANCO CREDITO\FER LORCA en ROSITA (Rosita)\CARLOS BUGUEÑO\REDUCCION ESCRITURA PUBLICA\abrl 2010 escritura Acta sesion directorio limari trading sa.doc", "Abrir Documento")</f>
        <v>0</v>
      </c>
      <c r="D21608" t="s">
        <v>23500</v>
      </c>
      <c r="E21608" t="s">
        <v>44071</v>
      </c>
    </row>
    <row r="21609" spans="1:5">
      <c r="A21609" t="s">
        <v>6</v>
      </c>
      <c r="B21609" t="s">
        <v>21614</v>
      </c>
      <c r="C21609">
        <f>HYPERLINK("C:\Users\franc\OneDrive\Documentos\MALENTIN KARIME\BANCO CREDITO\FER LORCA en ROSITA (Rosita)\CARLOS BUGUEÑO\rectificaciones\ratifica venta lote 6 - rocio valdivia.- 2 JUNIO 2010.doc", "Abrir Documento")</f>
        <v>0</v>
      </c>
      <c r="D21609" t="s">
        <v>23500</v>
      </c>
      <c r="E21609" t="s">
        <v>44072</v>
      </c>
    </row>
    <row r="21610" spans="1:5">
      <c r="A21610" t="s">
        <v>6</v>
      </c>
      <c r="B21610" t="s">
        <v>21615</v>
      </c>
      <c r="C21610">
        <f>HYPERLINK("C:\Users\franc\OneDrive\Documentos\MALENTIN KARIME\BANCO CREDITO\FER LORCA en ROSITA (Rosita)\CARLOS BUGUEÑO\rectificaciones\JUAN INOSTROZA - SOC. FRESSO LTDA.doc", "Abrir Documento")</f>
        <v>0</v>
      </c>
      <c r="D21610" t="s">
        <v>23500</v>
      </c>
      <c r="E21610" t="s">
        <v>44073</v>
      </c>
    </row>
    <row r="21611" spans="1:5">
      <c r="A21611" t="s">
        <v>6</v>
      </c>
      <c r="B21611" t="s">
        <v>21616</v>
      </c>
      <c r="C21611">
        <f>HYPERLINK("C:\Users\franc\OneDrive\Documentos\MALENTIN KARIME\BANCO CREDITO\FER LORCA en ROSITA (Rosita)\CARLOS BUGUEÑO\rectificaciones\complementa maria ramos - mayo 2010.doc", "Abrir Documento")</f>
        <v>0</v>
      </c>
      <c r="D21611" t="s">
        <v>23500</v>
      </c>
      <c r="E21611" t="s">
        <v>44074</v>
      </c>
    </row>
    <row r="21612" spans="1:5">
      <c r="A21612" t="s">
        <v>6</v>
      </c>
      <c r="B21612" t="s">
        <v>21617</v>
      </c>
      <c r="C21612">
        <f>HYPERLINK("C:\Users\franc\OneDrive\Documentos\MALENTIN KARIME\BANCO CREDITO\FER LORCA en ROSITA (Rosita)\CARLOS BUGUEÑO\rectificaciones\angostura - selim dabed - enero 2010[1].doc", "Abrir Documento")</f>
        <v>0</v>
      </c>
      <c r="D21612" t="s">
        <v>23500</v>
      </c>
      <c r="E21612" t="s">
        <v>44075</v>
      </c>
    </row>
    <row r="21613" spans="1:5">
      <c r="A21613" t="s">
        <v>6</v>
      </c>
      <c r="B21613" t="s">
        <v>21618</v>
      </c>
      <c r="C21613">
        <f>HYPERLINK("C:\Users\franc\OneDrive\Documentos\MALENTIN KARIME\BANCO CREDITO\FER LORCA en ROSITA (Rosita)\CARLOS BUGUEÑO\rectificaciones\aclara venta fco cerva - julio 2010.doc", "Abrir Documento")</f>
        <v>0</v>
      </c>
      <c r="D21613" t="s">
        <v>23500</v>
      </c>
      <c r="E21613" t="s">
        <v>44076</v>
      </c>
    </row>
    <row r="21614" spans="1:5">
      <c r="A21614" t="s">
        <v>6</v>
      </c>
      <c r="B21614" t="s">
        <v>21619</v>
      </c>
      <c r="C21614">
        <f>HYPERLINK("C:\Users\franc\OneDrive\Documentos\MALENTIN KARIME\BANCO CREDITO\FER LORCA en ROSITA (Rosita)\CARLOS BUGUEÑO\rectificaciones\ACLARA venta aguas sucesion pereira alvarez - enero 2010.doc", "Abrir Documento")</f>
        <v>0</v>
      </c>
      <c r="D21614" t="s">
        <v>23500</v>
      </c>
      <c r="E21614" t="s">
        <v>44077</v>
      </c>
    </row>
    <row r="21615" spans="1:5">
      <c r="A21615" t="s">
        <v>6</v>
      </c>
      <c r="B21615" t="s">
        <v>21620</v>
      </c>
      <c r="C21615">
        <f>HYPERLINK("C:\Users\franc\OneDrive\Documentos\MALENTIN KARIME\BANCO CREDITO\FER LORCA en ROSITA (Rosita)\CARLOS BUGUEÑO\rectificaciones\ACLARA soc..doc", "Abrir Documento")</f>
        <v>0</v>
      </c>
      <c r="D21615" t="s">
        <v>23500</v>
      </c>
      <c r="E21615" t="s">
        <v>44078</v>
      </c>
    </row>
    <row r="21616" spans="1:5">
      <c r="A21616" t="s">
        <v>6</v>
      </c>
      <c r="B21616" t="s">
        <v>21621</v>
      </c>
      <c r="C21616">
        <f>HYPERLINK("C:\Users\franc\OneDrive\Documentos\MALENTIN KARIME\BANCO CREDITO\FER LORCA en ROSITA (Rosita)\CARLOS BUGUEÑO\rectificaciones\aclara maria ramos - julio 2010.-.doc", "Abrir Documento")</f>
        <v>0</v>
      </c>
      <c r="D21616" t="s">
        <v>23500</v>
      </c>
      <c r="E21616" t="s">
        <v>44079</v>
      </c>
    </row>
    <row r="21617" spans="1:5">
      <c r="A21617" t="s">
        <v>6</v>
      </c>
      <c r="B21617" t="s">
        <v>21622</v>
      </c>
      <c r="C21617">
        <f>HYPERLINK("C:\Users\franc\OneDrive\Documentos\MALENTIN KARIME\BANCO CREDITO\FER LORCA en ROSITA (Rosita)\CARLOS BUGUEÑO\rectificaciones\aclara escritura modifica estatutos - canal grande y los azules - noviembre 2009[1].doc", "Abrir Documento")</f>
        <v>0</v>
      </c>
      <c r="D21617" t="s">
        <v>23500</v>
      </c>
      <c r="E21617" t="s">
        <v>44080</v>
      </c>
    </row>
    <row r="21618" spans="1:5">
      <c r="A21618" t="s">
        <v>6</v>
      </c>
      <c r="B21618" t="s">
        <v>21623</v>
      </c>
      <c r="C21618">
        <f>HYPERLINK("C:\Users\franc\OneDrive\Documentos\MALENTIN KARIME\BANCO CREDITO\FER LORCA en ROSITA (Rosita)\CARLOS BUGUEÑO\rectificaciones\ACLARA compraventa a john keeler - enero 2010[1].doc", "Abrir Documento")</f>
        <v>0</v>
      </c>
      <c r="D21618" t="s">
        <v>23500</v>
      </c>
      <c r="E21618" t="s">
        <v>44081</v>
      </c>
    </row>
    <row r="21619" spans="1:5">
      <c r="A21619" t="s">
        <v>6</v>
      </c>
      <c r="B21619" t="s">
        <v>21624</v>
      </c>
      <c r="C21619">
        <f>HYPERLINK("C:\Users\franc\OneDrive\Documentos\MALENTIN KARIME\BANCO CREDITO\FER LORCA en ROSITA (Rosita)\CARLOS BUGUEÑO\RATIFICACION AGENTE OFICIOSO\ratifica ag ofic humberto gonzalez a carlos bugueño - julio 2010.doc", "Abrir Documento")</f>
        <v>0</v>
      </c>
      <c r="D21619" t="s">
        <v>23500</v>
      </c>
      <c r="E21619" t="s">
        <v>44082</v>
      </c>
    </row>
    <row r="21620" spans="1:5">
      <c r="A21620" t="s">
        <v>6</v>
      </c>
      <c r="B21620" t="s">
        <v>21625</v>
      </c>
      <c r="C21620">
        <f>HYPERLINK("C:\Users\franc\OneDrive\Documentos\MALENTIN KARIME\BANCO CREDITO\FER LORCA en ROSITA (Rosita)\CARLOS BUGUEÑO\PROTOCOLIZACION\SOC. INMOB. E INVERS. ATRIA Y PEREZ LTDA..doc", "Abrir Documento")</f>
        <v>0</v>
      </c>
      <c r="D21620" t="s">
        <v>23500</v>
      </c>
      <c r="E21620" t="s">
        <v>44083</v>
      </c>
    </row>
    <row r="21621" spans="1:5">
      <c r="A21621" t="s">
        <v>6</v>
      </c>
      <c r="B21621" t="s">
        <v>21626</v>
      </c>
      <c r="C21621">
        <f>HYPERLINK("C:\Users\franc\OneDrive\Documentos\MALENTIN KARIME\BANCO CREDITO\FER LORCA en ROSITA (Rosita)\CARLOS BUGUEÑO\PROTOCOLIZACION\MODIFICAICON SOCIAL SOC. AGRIC. MOSTAZAL.doc", "Abrir Documento")</f>
        <v>0</v>
      </c>
      <c r="D21621" t="s">
        <v>23500</v>
      </c>
      <c r="E21621" t="s">
        <v>44084</v>
      </c>
    </row>
    <row r="21622" spans="1:5">
      <c r="A21622" t="s">
        <v>6</v>
      </c>
      <c r="B21622" t="s">
        <v>21627</v>
      </c>
      <c r="C21622">
        <f>HYPERLINK("C:\Users\franc\OneDrive\Documentos\MALENTIN KARIME\BANCO CREDITO\FER LORCA en ROSITA (Rosita)\CARLOS BUGUEÑO\PROTOCOLIZACION\INMOBILIARIA CORRAL NEWMAN LTDA.-.doc", "Abrir Documento")</f>
        <v>0</v>
      </c>
      <c r="D21622" t="s">
        <v>23500</v>
      </c>
      <c r="E21622" t="s">
        <v>44085</v>
      </c>
    </row>
    <row r="21623" spans="1:5">
      <c r="A21623" t="s">
        <v>6</v>
      </c>
      <c r="B21623" t="s">
        <v>21628</v>
      </c>
      <c r="C21623">
        <f>HYPERLINK("C:\Users\franc\OneDrive\Documentos\MALENTIN KARIME\BANCO CREDITO\FER LORCA en ROSITA (Rosita)\CARLOS BUGUEÑO\PROTOCOLIZACION\CONST. SOC. AGRIC.STA.MARIA MOSTAZAL.doc", "Abrir Documento")</f>
        <v>0</v>
      </c>
      <c r="D21623" t="s">
        <v>23500</v>
      </c>
      <c r="E21623" t="s">
        <v>44086</v>
      </c>
    </row>
    <row r="21624" spans="1:5">
      <c r="A21624" t="s">
        <v>6</v>
      </c>
      <c r="B21624" t="s">
        <v>21629</v>
      </c>
      <c r="C21624">
        <f>HYPERLINK("C:\Users\franc\OneDrive\Documentos\MALENTIN KARIME\BANCO CREDITO\FER LORCA en ROSITA (Rosita)\CARLOS BUGUEÑO\PROTOCOLIZACION\ACTA EXT. COMUNIDAD MIALQUI.doc", "Abrir Documento")</f>
        <v>0</v>
      </c>
      <c r="D21624" t="s">
        <v>23500</v>
      </c>
      <c r="E21624" t="s">
        <v>44087</v>
      </c>
    </row>
    <row r="21625" spans="1:5">
      <c r="A21625" t="s">
        <v>6</v>
      </c>
      <c r="B21625" t="s">
        <v>21630</v>
      </c>
      <c r="C21625">
        <f>HYPERLINK("C:\Users\franc\OneDrive\Documentos\MALENTIN KARIME\BANCO CREDITO\FER LORCA en ROSITA (Rosita)\CARLOS BUGUEÑO\PROMESAS\ROSA CONTRERAS Y PATRICIO PINTO.doc", "Abrir Documento")</f>
        <v>0</v>
      </c>
      <c r="D21625" t="s">
        <v>23500</v>
      </c>
      <c r="E21625" t="s">
        <v>44088</v>
      </c>
    </row>
    <row r="21626" spans="1:5">
      <c r="A21626" t="s">
        <v>6</v>
      </c>
      <c r="B21626" t="s">
        <v>21631</v>
      </c>
      <c r="C21626">
        <f>HYPERLINK("C:\Users\franc\OneDrive\Documentos\MALENTIN KARIME\BANCO CREDITO\FER LORCA en ROSITA (Rosita)\CARLOS BUGUEÑO\PROMESAS\ELENA GALLEGUILLOS - FILOMENA CASTILLO.doc", "Abrir Documento")</f>
        <v>0</v>
      </c>
      <c r="D21626" t="s">
        <v>23500</v>
      </c>
      <c r="E21626" t="s">
        <v>44089</v>
      </c>
    </row>
    <row r="21627" spans="1:5">
      <c r="A21627" t="s">
        <v>6</v>
      </c>
      <c r="B21627" t="s">
        <v>21632</v>
      </c>
      <c r="C21627">
        <f>HYPERLINK("C:\Users\franc\OneDrive\Documentos\MALENTIN KARIME\BANCO CREDITO\FER LORCA en ROSITA (Rosita)\CARLOS BUGUEÑO\PARTICION\MARZO - 2009\CONT. ARREND. INMB.JOFRE A CLAUDIA PEREZ.doc", "Abrir Documento")</f>
        <v>0</v>
      </c>
      <c r="D21627" t="s">
        <v>23500</v>
      </c>
      <c r="E21627" t="s">
        <v>44090</v>
      </c>
    </row>
    <row r="21628" spans="1:5">
      <c r="A21628" t="s">
        <v>6</v>
      </c>
      <c r="B21628" t="s">
        <v>21633</v>
      </c>
      <c r="C21628">
        <f>HYPERLINK("C:\Users\franc\OneDrive\Documentos\MALENTIN KARIME\BANCO CREDITO\FER LORCA en ROSITA (Rosita)\CARLOS BUGUEÑO\PARTICION\MARZO - 2009\CONT. ARREND. CESAR YAÑEZ.doc", "Abrir Documento")</f>
        <v>0</v>
      </c>
      <c r="D21628" t="s">
        <v>23500</v>
      </c>
      <c r="E21628" t="s">
        <v>44091</v>
      </c>
    </row>
    <row r="21629" spans="1:5">
      <c r="A21629" t="s">
        <v>6</v>
      </c>
      <c r="B21629" t="s">
        <v>21634</v>
      </c>
      <c r="C21629">
        <f>HYPERLINK("C:\Users\franc\OneDrive\Documentos\MALENTIN KARIME\BANCO CREDITO\FER LORCA en ROSITA (Rosita)\CARLOS BUGUEÑO\PARTICION\MARZO - 2009\COMODATO ERIKA LEIVA.. CESAR YAÑEZ.doc", "Abrir Documento")</f>
        <v>0</v>
      </c>
      <c r="D21629" t="s">
        <v>23500</v>
      </c>
      <c r="E21629" t="s">
        <v>44092</v>
      </c>
    </row>
    <row r="21630" spans="1:5">
      <c r="A21630" t="s">
        <v>6</v>
      </c>
      <c r="B21630" t="s">
        <v>21635</v>
      </c>
      <c r="C21630">
        <f>HYPERLINK("C:\Users\franc\OneDrive\Documentos\MALENTIN KARIME\BANCO CREDITO\FER LORCA en ROSITA (Rosita)\CARLOS BUGUEÑO\PARTICION\particion pato pinto y otros - mayo 2010.- CORREGIDA.-.doc", "Abrir Documento")</f>
        <v>0</v>
      </c>
      <c r="D21630" t="s">
        <v>23500</v>
      </c>
      <c r="E21630" t="s">
        <v>44093</v>
      </c>
    </row>
    <row r="21631" spans="1:5">
      <c r="A21631" t="s">
        <v>6</v>
      </c>
      <c r="B21631" t="s">
        <v>21636</v>
      </c>
      <c r="C21631">
        <f>HYPERLINK("C:\Users\franc\OneDrive\Documentos\MALENTIN KARIME\BANCO CREDITO\FER LORCA en ROSITA (Rosita)\CARLOS BUGUEÑO\PARTICION\particion pato pinto y otros - abril 2010.doc", "Abrir Documento")</f>
        <v>0</v>
      </c>
      <c r="D21631" t="s">
        <v>23500</v>
      </c>
      <c r="E21631" t="s">
        <v>44094</v>
      </c>
    </row>
    <row r="21632" spans="1:5">
      <c r="A21632" t="s">
        <v>6</v>
      </c>
      <c r="B21632" t="s">
        <v>21637</v>
      </c>
      <c r="C21632">
        <f>HYPERLINK("C:\Users\franc\OneDrive\Documentos\MALENTIN KARIME\BANCO CREDITO\FER LORCA en ROSITA (Rosita)\CARLOS BUGUEÑO\MUTUOS\mutuo maria belen baquedano - sept 2010.doc", "Abrir Documento")</f>
        <v>0</v>
      </c>
      <c r="D21632" t="s">
        <v>23500</v>
      </c>
      <c r="E21632" t="s">
        <v>44095</v>
      </c>
    </row>
    <row r="21633" spans="1:5">
      <c r="A21633" t="s">
        <v>6</v>
      </c>
      <c r="B21633" t="s">
        <v>21638</v>
      </c>
      <c r="C21633">
        <f>HYPERLINK("C:\Users\franc\OneDrive\Documentos\MALENTIN KARIME\BANCO CREDITO\FER LORCA en ROSITA (Rosita)\CARLOS BUGUEÑO\MUTUOS\mutuo maria belen baquedano - sept 2010..doc", "Abrir Documento")</f>
        <v>0</v>
      </c>
      <c r="D21633" t="s">
        <v>23500</v>
      </c>
      <c r="E21633" t="s">
        <v>44096</v>
      </c>
    </row>
    <row r="21634" spans="1:5">
      <c r="A21634" t="s">
        <v>6</v>
      </c>
      <c r="B21634" t="s">
        <v>21639</v>
      </c>
      <c r="C21634">
        <f>HYPERLINK("C:\Users\franc\OneDrive\Documentos\MALENTIN KARIME\BANCO CREDITO\FER LORCA en ROSITA (Rosita)\CARLOS BUGUEÑO\MUTUOS\mutuo dinero a la vista marcela cortes.doc", "Abrir Documento")</f>
        <v>0</v>
      </c>
      <c r="D21634" t="s">
        <v>23500</v>
      </c>
      <c r="E21634" t="s">
        <v>44097</v>
      </c>
    </row>
    <row r="21635" spans="1:5">
      <c r="A21635" t="s">
        <v>6</v>
      </c>
      <c r="B21635" t="s">
        <v>21640</v>
      </c>
      <c r="C21635">
        <f>HYPERLINK("C:\Users\franc\OneDrive\Documentos\MALENTIN KARIME\BANCO CREDITO\FER LORCA en ROSITA (Rosita)\CARLOS BUGUEÑO\MANDATOS\poder judicial OM. AGUAS CANAL GRANDE Y LOS AZULESa claudio ardiles - sept 2010.doc", "Abrir Documento")</f>
        <v>0</v>
      </c>
      <c r="D21635" t="s">
        <v>23500</v>
      </c>
      <c r="E21635" t="s">
        <v>44098</v>
      </c>
    </row>
    <row r="21636" spans="1:5">
      <c r="A21636" t="s">
        <v>6</v>
      </c>
      <c r="B21636" t="s">
        <v>21641</v>
      </c>
      <c r="C21636">
        <f>HYPERLINK("C:\Users\franc\OneDrive\Documentos\MALENTIN KARIME\BANCO CREDITO\FER LORCA en ROSITA (Rosita)\CARLOS BUGUEÑO\MANDATOS\PODER JUDIC. LA GREDA A CLAUDIO ARDILES- sept 2010.doc", "Abrir Documento")</f>
        <v>0</v>
      </c>
      <c r="D21636" t="s">
        <v>23500</v>
      </c>
      <c r="E21636" t="s">
        <v>44099</v>
      </c>
    </row>
    <row r="21637" spans="1:5">
      <c r="A21637" t="s">
        <v>6</v>
      </c>
      <c r="B21637" t="s">
        <v>21642</v>
      </c>
      <c r="C21637">
        <f>HYPERLINK("C:\Users\franc\OneDrive\Documentos\MALENTIN KARIME\BANCO CREDITO\FER LORCA en ROSITA (Rosita)\CARLOS BUGUEÑO\MANDATOS\poder especial enrique lopez - mayo 2010.doc", "Abrir Documento")</f>
        <v>0</v>
      </c>
      <c r="D21637" t="s">
        <v>23500</v>
      </c>
      <c r="E21637" t="s">
        <v>44100</v>
      </c>
    </row>
    <row r="21638" spans="1:5">
      <c r="A21638" t="s">
        <v>6</v>
      </c>
      <c r="B21638" t="s">
        <v>21643</v>
      </c>
      <c r="C21638">
        <f>HYPERLINK("C:\Users\franc\OneDrive\Documentos\MALENTIN KARIME\BANCO CREDITO\FER LORCA en ROSITA (Rosita)\CARLOS BUGUEÑO\MANDATOS\poder adriana chandia - sept 2010.- SIMPLE.doc", "Abrir Documento")</f>
        <v>0</v>
      </c>
      <c r="D21638" t="s">
        <v>23500</v>
      </c>
      <c r="E21638" t="s">
        <v>44101</v>
      </c>
    </row>
    <row r="21639" spans="1:5">
      <c r="A21639" t="s">
        <v>6</v>
      </c>
      <c r="B21639" t="s">
        <v>21644</v>
      </c>
      <c r="C21639">
        <f>HYPERLINK("C:\Users\franc\OneDrive\Documentos\MALENTIN KARIME\BANCO CREDITO\FER LORCA en ROSITA (Rosita)\CARLOS BUGUEÑO\MANDATOS\NOLVIA CARVAJAL.- 19-01.doc", "Abrir Documento")</f>
        <v>0</v>
      </c>
      <c r="D21639" t="s">
        <v>23500</v>
      </c>
      <c r="E21639" t="s">
        <v>44102</v>
      </c>
    </row>
    <row r="21640" spans="1:5">
      <c r="A21640" t="s">
        <v>6</v>
      </c>
      <c r="B21640" t="s">
        <v>21645</v>
      </c>
      <c r="C21640">
        <f>HYPERLINK("C:\Users\franc\OneDrive\Documentos\MALENTIN KARIME\BANCO CREDITO\FER LORCA en ROSITA (Rosita)\CARLOS BUGUEÑO\MANDATOS\lidia aviles mandato judicial.-.doc", "Abrir Documento")</f>
        <v>0</v>
      </c>
      <c r="D21640" t="s">
        <v>23500</v>
      </c>
      <c r="E21640" t="s">
        <v>44103</v>
      </c>
    </row>
    <row r="21641" spans="1:5">
      <c r="A21641" t="s">
        <v>6</v>
      </c>
      <c r="B21641" t="s">
        <v>21646</v>
      </c>
      <c r="C21641">
        <f>HYPERLINK("C:\Users\franc\OneDrive\Documentos\MALENTIN KARIME\BANCO CREDITO\FER LORCA en ROSITA (Rosita)\CARLOS BUGUEÑO\MANDATOS\inv y agric bosman y gioia a claudio ardiles  - mayo 2010.doc", "Abrir Documento")</f>
        <v>0</v>
      </c>
      <c r="D21641" t="s">
        <v>23500</v>
      </c>
      <c r="E21641" t="s">
        <v>44104</v>
      </c>
    </row>
    <row r="21642" spans="1:5">
      <c r="A21642" t="s">
        <v>6</v>
      </c>
      <c r="B21642" t="s">
        <v>21647</v>
      </c>
      <c r="C21642">
        <f>HYPERLINK("C:\Users\franc\OneDrive\Documentos\MALENTIN KARIME\BANCO CREDITO\FER LORCA en ROSITA (Rosita)\CARLOS BUGUEÑO\MANDATOS\HERNAN CORRAL NEWMAN.- MTO. JUDIC. a mario barrios - diciembre 2009[1].doc", "Abrir Documento")</f>
        <v>0</v>
      </c>
      <c r="D21642" t="s">
        <v>23500</v>
      </c>
      <c r="E21642" t="s">
        <v>44105</v>
      </c>
    </row>
    <row r="21643" spans="1:5">
      <c r="A21643" t="s">
        <v>6</v>
      </c>
      <c r="B21643" t="s">
        <v>21648</v>
      </c>
      <c r="C21643">
        <f>HYPERLINK("C:\Users\franc\OneDrive\Documentos\MALENTIN KARIME\BANCO CREDITO\FER LORCA en ROSITA (Rosita)\CARLOS BUGUEÑO\MANDATOS\GUSTAVO CORRAL A HUGO VEGA.doc", "Abrir Documento")</f>
        <v>0</v>
      </c>
      <c r="D21643" t="s">
        <v>23500</v>
      </c>
      <c r="E21643" t="s">
        <v>44106</v>
      </c>
    </row>
    <row r="21644" spans="1:5">
      <c r="A21644" t="s">
        <v>6</v>
      </c>
      <c r="B21644" t="s">
        <v>21649</v>
      </c>
      <c r="C21644">
        <f>HYPERLINK("C:\Users\franc\OneDrive\Documentos\MALENTIN KARIME\BANCO CREDITO\FER LORCA en ROSITA (Rosita)\CARLOS BUGUEÑO\MANDATOS\FRANKLIN MUNDACA A MARIO BARRIOS.doc", "Abrir Documento")</f>
        <v>0</v>
      </c>
      <c r="D21644" t="s">
        <v>23500</v>
      </c>
      <c r="E21644" t="s">
        <v>44107</v>
      </c>
    </row>
    <row r="21645" spans="1:5">
      <c r="A21645" t="s">
        <v>6</v>
      </c>
      <c r="B21645" t="s">
        <v>21650</v>
      </c>
      <c r="C21645">
        <f>HYPERLINK("C:\Users\franc\OneDrive\Documentos\MALENTIN KARIME\BANCO CREDITO\FER LORCA en ROSITA (Rosita)\CARLOS BUGUEÑO\MANDATOS\cristian robles - claudio ardiles - febrero 2010[1].doc", "Abrir Documento")</f>
        <v>0</v>
      </c>
      <c r="D21645" t="s">
        <v>23500</v>
      </c>
      <c r="E21645" t="s">
        <v>44108</v>
      </c>
    </row>
    <row r="21646" spans="1:5">
      <c r="A21646" t="s">
        <v>6</v>
      </c>
      <c r="B21646" t="s">
        <v>21651</v>
      </c>
      <c r="C21646">
        <f>HYPERLINK("C:\Users\franc\OneDrive\Documentos\MALENTIN KARIME\BANCO CREDITO\FER LORCA en ROSITA (Rosita)\CARLOS BUGUEÑO\MANDATOS\BERNARDO ARAYA.- AGOSTO 2010.-.doc", "Abrir Documento")</f>
        <v>0</v>
      </c>
      <c r="D21646" t="s">
        <v>23500</v>
      </c>
      <c r="E21646" t="s">
        <v>44109</v>
      </c>
    </row>
    <row r="21647" spans="1:5">
      <c r="A21647" t="s">
        <v>6</v>
      </c>
      <c r="B21647" t="s">
        <v>21652</v>
      </c>
      <c r="C21647">
        <f>HYPERLINK("C:\Users\franc\OneDrive\Documentos\MALENTIN KARIME\BANCO CREDITO\FER LORCA en ROSITA (Rosita)\CARLOS BUGUEÑO\MANDATOS\autorizacion nolvia villar carvajal - enero 2010[1].doc", "Abrir Documento")</f>
        <v>0</v>
      </c>
      <c r="D21647" t="s">
        <v>23500</v>
      </c>
      <c r="E21647" t="s">
        <v>44110</v>
      </c>
    </row>
    <row r="21648" spans="1:5">
      <c r="A21648" t="s">
        <v>6</v>
      </c>
      <c r="B21648" t="s">
        <v>21653</v>
      </c>
      <c r="C21648">
        <f>HYPERLINK("C:\Users\franc\OneDrive\Documentos\MALENTIN KARIME\BANCO CREDITO\FER LORCA en ROSITA (Rosita)\CARLOS BUGUEÑO\FINIQUITOS\resciliacon contrato mariana bolvaran - sept 2010.doc", "Abrir Documento")</f>
        <v>0</v>
      </c>
      <c r="D21648" t="s">
        <v>23500</v>
      </c>
      <c r="E21648" t="s">
        <v>44111</v>
      </c>
    </row>
    <row r="21649" spans="1:5">
      <c r="A21649" t="s">
        <v>6</v>
      </c>
      <c r="B21649" t="s">
        <v>21654</v>
      </c>
      <c r="C21649">
        <f>HYPERLINK("C:\Users\franc\OneDrive\Documentos\MALENTIN KARIME\BANCO CREDITO\FER LORCA en ROSITA (Rosita)\CARLOS BUGUEÑO\FINIQUITOS\finiquito manuel cortes - sept 2010.doc", "Abrir Documento")</f>
        <v>0</v>
      </c>
      <c r="D21649" t="s">
        <v>23500</v>
      </c>
      <c r="E21649" t="s">
        <v>44112</v>
      </c>
    </row>
    <row r="21650" spans="1:5">
      <c r="A21650" t="s">
        <v>6</v>
      </c>
      <c r="B21650" t="s">
        <v>21655</v>
      </c>
      <c r="C21650">
        <f>HYPERLINK("C:\Users\franc\OneDrive\Documentos\MALENTIN KARIME\BANCO CREDITO\FER LORCA en ROSITA (Rosita)\CARLOS BUGUEÑO\FINIQUITOS\FINIQUITO CONTRATU TRABAJO.Ernesto Araya.doc", "Abrir Documento")</f>
        <v>0</v>
      </c>
      <c r="D21650" t="s">
        <v>23500</v>
      </c>
      <c r="E21650" t="s">
        <v>44113</v>
      </c>
    </row>
    <row r="21651" spans="1:5">
      <c r="A21651" t="s">
        <v>6</v>
      </c>
      <c r="B21651" t="s">
        <v>21656</v>
      </c>
      <c r="C21651">
        <f>HYPERLINK("C:\Users\franc\OneDrive\Documentos\MALENTIN KARIME\BANCO CREDITO\FER LORCA en ROSITA (Rosita)\CARLOS BUGUEÑO\FINIQUITOS\FINIQUITO CONTRATO CLAUDIO VEGA (1).doc", "Abrir Documento")</f>
        <v>0</v>
      </c>
      <c r="D21651" t="s">
        <v>23500</v>
      </c>
      <c r="E21651" t="s">
        <v>44114</v>
      </c>
    </row>
    <row r="21652" spans="1:5">
      <c r="A21652" t="s">
        <v>6</v>
      </c>
      <c r="B21652" t="s">
        <v>21657</v>
      </c>
      <c r="C21652">
        <f>HYPERLINK("C:\Users\franc\OneDrive\Documentos\MALENTIN KARIME\BANCO CREDITO\FER LORCA en ROSITA (Rosita)\CARLOS BUGUEÑO\FINIQUITOS\finiquito cbo - sept 2010.doc", "Abrir Documento")</f>
        <v>0</v>
      </c>
      <c r="D21652" t="s">
        <v>23500</v>
      </c>
      <c r="E21652" t="s">
        <v>44115</v>
      </c>
    </row>
    <row r="21653" spans="1:5">
      <c r="A21653" t="s">
        <v>6</v>
      </c>
      <c r="B21653" t="s">
        <v>21658</v>
      </c>
      <c r="C21653">
        <f>HYPERLINK("C:\Users\franc\OneDrive\Documentos\MALENTIN KARIME\BANCO CREDITO\FER LORCA en ROSITA (Rosita)\CARLOS BUGUEÑO\EXTRACTOS\sociedad john keeler - extracto - enero 2010[1].doc", "Abrir Documento")</f>
        <v>0</v>
      </c>
      <c r="D21653" t="s">
        <v>23500</v>
      </c>
      <c r="E21653" t="s">
        <v>44116</v>
      </c>
    </row>
    <row r="21654" spans="1:5">
      <c r="A21654" t="s">
        <v>6</v>
      </c>
      <c r="B21654" t="s">
        <v>21659</v>
      </c>
      <c r="C21654">
        <f>HYPERLINK("C:\Users\franc\OneDrive\Documentos\MALENTIN KARIME\BANCO CREDITO\FER LORCA en ROSITA (Rosita)\CARLOS BUGUEÑO\EXTRACTOS\extracto marcelo corral soc - modific soc agosto 2010.doc", "Abrir Documento")</f>
        <v>0</v>
      </c>
      <c r="D21654" t="s">
        <v>23500</v>
      </c>
      <c r="E21654" t="s">
        <v>44117</v>
      </c>
    </row>
    <row r="21655" spans="1:5">
      <c r="A21655" t="s">
        <v>6</v>
      </c>
      <c r="B21655" t="s">
        <v>21660</v>
      </c>
      <c r="C21655">
        <f>HYPERLINK("C:\Users\franc\OneDrive\Documentos\MALENTIN KARIME\BANCO CREDITO\FER LORCA en ROSITA (Rosita)\CARLOS BUGUEÑO\DACION EN PAGO\finiquito mariana bolvaran - marzo 2010.doc", "Abrir Documento")</f>
        <v>0</v>
      </c>
      <c r="D21655" t="s">
        <v>23500</v>
      </c>
      <c r="E21655" t="s">
        <v>44118</v>
      </c>
    </row>
    <row r="21656" spans="1:5">
      <c r="A21656" t="s">
        <v>6</v>
      </c>
      <c r="B21656" t="s">
        <v>21661</v>
      </c>
      <c r="C21656">
        <f>HYPERLINK("C:\Users\franc\OneDrive\Documentos\MALENTIN KARIME\BANCO CREDITO\FER LORCA en ROSITA (Rosita)\CARLOS BUGUEÑO\DACION EN PAGO\finiquito gonzalo vega - marzo 2010.doc", "Abrir Documento")</f>
        <v>0</v>
      </c>
      <c r="D21656" t="s">
        <v>23500</v>
      </c>
      <c r="E21656" t="s">
        <v>44119</v>
      </c>
    </row>
    <row r="21657" spans="1:5">
      <c r="A21657" t="s">
        <v>6</v>
      </c>
      <c r="B21657" t="s">
        <v>21662</v>
      </c>
      <c r="C21657">
        <f>HYPERLINK("C:\Users\franc\OneDrive\Documentos\MALENTIN KARIME\BANCO CREDITO\FER LORCA en ROSITA (Rosita)\CARLOS BUGUEÑO\DACION EN PAGO\dacion en pago mariana bolvaran - marzo 2010.doc", "Abrir Documento")</f>
        <v>0</v>
      </c>
      <c r="D21657" t="s">
        <v>23500</v>
      </c>
      <c r="E21657" t="s">
        <v>44120</v>
      </c>
    </row>
    <row r="21658" spans="1:5">
      <c r="A21658" t="s">
        <v>6</v>
      </c>
      <c r="B21658" t="s">
        <v>21663</v>
      </c>
      <c r="C21658">
        <f>HYPERLINK("C:\Users\franc\OneDrive\Documentos\MALENTIN KARIME\BANCO CREDITO\FER LORCA en ROSITA (Rosita)\CARLOS BUGUEÑO\DACION EN PAGO\dacion en pago mariana bolvaran - marzo 2010.-.doc", "Abrir Documento")</f>
        <v>0</v>
      </c>
      <c r="D21658" t="s">
        <v>23500</v>
      </c>
      <c r="E21658" t="s">
        <v>44121</v>
      </c>
    </row>
    <row r="21659" spans="1:5">
      <c r="A21659" t="s">
        <v>6</v>
      </c>
      <c r="B21659" t="s">
        <v>21664</v>
      </c>
      <c r="C21659">
        <f>HYPERLINK("C:\Users\franc\OneDrive\Documentos\MALENTIN KARIME\BANCO CREDITO\FER LORCA en ROSITA (Rosita)\CARLOS BUGUEÑO\DACION EN PAGO\dacion en pago gonzalo vega - marzo 2010.doc", "Abrir Documento")</f>
        <v>0</v>
      </c>
      <c r="D21659" t="s">
        <v>23500</v>
      </c>
      <c r="E21659" t="s">
        <v>44122</v>
      </c>
    </row>
    <row r="21660" spans="1:5">
      <c r="A21660" t="s">
        <v>6</v>
      </c>
      <c r="B21660" t="s">
        <v>21665</v>
      </c>
      <c r="C21660">
        <f>HYPERLINK("C:\Users\franc\OneDrive\Documentos\MALENTIN KARIME\BANCO CREDITO\FER LORCA en ROSITA (Rosita)\CARLOS BUGUEÑO\CORRAL\renuncia usufructo - gustavo corral - octubre 2009.doc", "Abrir Documento")</f>
        <v>0</v>
      </c>
      <c r="D21660" t="s">
        <v>23500</v>
      </c>
      <c r="E21660" t="s">
        <v>44123</v>
      </c>
    </row>
    <row r="21661" spans="1:5">
      <c r="A21661" t="s">
        <v>6</v>
      </c>
      <c r="B21661" t="s">
        <v>21666</v>
      </c>
      <c r="C21661">
        <f>HYPERLINK("C:\Users\franc\OneDrive\Documentos\MALENTIN KARIME\BANCO CREDITO\FER LORCA en ROSITA (Rosita)\CARLOS BUGUEÑO\CORRAL\renuncia usufructo (4) - gustavo corral - octubre 2009.doc", "Abrir Documento")</f>
        <v>0</v>
      </c>
      <c r="D21661" t="s">
        <v>23500</v>
      </c>
      <c r="E21661" t="s">
        <v>44124</v>
      </c>
    </row>
    <row r="21662" spans="1:5">
      <c r="A21662" t="s">
        <v>6</v>
      </c>
      <c r="B21662" t="s">
        <v>21667</v>
      </c>
      <c r="C21662">
        <f>HYPERLINK("C:\Users\franc\OneDrive\Documentos\MALENTIN KARIME\BANCO CREDITO\FER LORCA en ROSITA (Rosita)\CARLOS BUGUEÑO\CORRAL\renuncia usufructo (3) - gustavo corral - octubre 2009.doc", "Abrir Documento")</f>
        <v>0</v>
      </c>
      <c r="D21662" t="s">
        <v>23500</v>
      </c>
      <c r="E21662" t="s">
        <v>44125</v>
      </c>
    </row>
    <row r="21663" spans="1:5">
      <c r="A21663" t="s">
        <v>6</v>
      </c>
      <c r="B21663" t="s">
        <v>21668</v>
      </c>
      <c r="C21663">
        <f>HYPERLINK("C:\Users\franc\OneDrive\Documentos\MALENTIN KARIME\BANCO CREDITO\FER LORCA en ROSITA (Rosita)\CARLOS BUGUEÑO\CORRAL\renuncia usufructo (2) - gustavo corral - octubre 2009.doc", "Abrir Documento")</f>
        <v>0</v>
      </c>
      <c r="D21663" t="s">
        <v>23500</v>
      </c>
      <c r="E21663" t="s">
        <v>44126</v>
      </c>
    </row>
    <row r="21664" spans="1:5">
      <c r="A21664" t="s">
        <v>6</v>
      </c>
      <c r="B21664" t="s">
        <v>21669</v>
      </c>
      <c r="C21664">
        <f>HYPERLINK("C:\Users\franc\OneDrive\Documentos\MALENTIN KARIME\BANCO CREDITO\FER LORCA en ROSITA (Rosita)\CARLOS BUGUEÑO\CORRAL\MTO. JUDICIAL. MARCELO CORRAL.doc", "Abrir Documento")</f>
        <v>0</v>
      </c>
      <c r="D21664" t="s">
        <v>23500</v>
      </c>
      <c r="E21664" t="s">
        <v>44127</v>
      </c>
    </row>
    <row r="21665" spans="1:5">
      <c r="A21665" t="s">
        <v>6</v>
      </c>
      <c r="B21665" t="s">
        <v>21670</v>
      </c>
      <c r="C21665">
        <f>HYPERLINK("C:\Users\franc\OneDrive\Documentos\MALENTIN KARIME\BANCO CREDITO\FER LORCA en ROSITA (Rosita)\CARLOS BUGUEÑO\CORRAL\marcelo corral soc - modific soc.- AGOSTO 2010.doc", "Abrir Documento")</f>
        <v>0</v>
      </c>
      <c r="D21665" t="s">
        <v>23500</v>
      </c>
      <c r="E21665" t="s">
        <v>44128</v>
      </c>
    </row>
    <row r="21666" spans="1:5">
      <c r="A21666" t="s">
        <v>6</v>
      </c>
      <c r="B21666" t="s">
        <v>21671</v>
      </c>
      <c r="C21666">
        <f>HYPERLINK("C:\Users\franc\OneDrive\Documentos\MALENTIN KARIME\BANCO CREDITO\FER LORCA en ROSITA (Rosita)\CARLOS BUGUEÑO\CORRAL\MANDATO GUSTAVO CORRAL BARRIOS A BSANTANDER 12.04.2010[1].doc", "Abrir Documento")</f>
        <v>0</v>
      </c>
      <c r="D21666" t="s">
        <v>23500</v>
      </c>
      <c r="E21666" t="s">
        <v>44129</v>
      </c>
    </row>
    <row r="21667" spans="1:5">
      <c r="A21667" t="s">
        <v>6</v>
      </c>
      <c r="B21667" t="s">
        <v>21672</v>
      </c>
      <c r="C21667">
        <f>HYPERLINK("C:\Users\franc\OneDrive\Documentos\MALENTIN KARIME\BANCO CREDITO\FER LORCA en ROSITA (Rosita)\CARLOS BUGUEÑO\CORRAL\CERTIFICACION NOTARIO.doc", "Abrir Documento")</f>
        <v>0</v>
      </c>
      <c r="D21667" t="s">
        <v>23500</v>
      </c>
      <c r="E21667" t="s">
        <v>44130</v>
      </c>
    </row>
    <row r="21668" spans="1:5">
      <c r="A21668" t="s">
        <v>6</v>
      </c>
      <c r="B21668" t="s">
        <v>21673</v>
      </c>
      <c r="C21668">
        <f>HYPERLINK("C:\Users\franc\OneDrive\Documentos\MALENTIN KARIME\BANCO CREDITO\FER LORCA en ROSITA (Rosita)\CARLOS BUGUEÑO\CORRAL\CERTIFICACION NOTARIO.- 2º.doc", "Abrir Documento")</f>
        <v>0</v>
      </c>
      <c r="D21668" t="s">
        <v>23500</v>
      </c>
      <c r="E21668" t="s">
        <v>44131</v>
      </c>
    </row>
    <row r="21669" spans="1:5">
      <c r="A21669" t="s">
        <v>6</v>
      </c>
      <c r="B21669" t="s">
        <v>21674</v>
      </c>
      <c r="C21669">
        <f>HYPERLINK("C:\Users\franc\OneDrive\Documentos\MALENTIN KARIME\BANCO CREDITO\FER LORCA en ROSITA (Rosita)\CARLOS BUGUEÑO\CONST. SOCIEDAD\cruz cortes - enero 2010.doc", "Abrir Documento")</f>
        <v>0</v>
      </c>
      <c r="D21669" t="s">
        <v>23500</v>
      </c>
      <c r="E21669" t="s">
        <v>44132</v>
      </c>
    </row>
    <row r="21670" spans="1:5">
      <c r="A21670" t="s">
        <v>6</v>
      </c>
      <c r="B21670" t="s">
        <v>21675</v>
      </c>
      <c r="C21670">
        <f>HYPERLINK("C:\Users\franc\OneDrive\Documentos\MALENTIN KARIME\BANCO CREDITO\FER LORCA en ROSITA (Rosita)\CARLOS BUGUEÑO\CONST. SOCIEDAD\sociedad john keeler -enero 2010[1].doc", "Abrir Documento")</f>
        <v>0</v>
      </c>
      <c r="D21670" t="s">
        <v>23500</v>
      </c>
      <c r="E21670" t="s">
        <v>44132</v>
      </c>
    </row>
    <row r="21671" spans="1:5">
      <c r="A21671" t="s">
        <v>6</v>
      </c>
      <c r="B21671" t="s">
        <v>21676</v>
      </c>
      <c r="C21671">
        <f>HYPERLINK("C:\Users\franc\OneDrive\Documentos\MALENTIN KARIME\BANCO CREDITO\FER LORCA en ROSITA (Rosita)\CARLOS BUGUEÑO\COMPRAVENTAS\VEHICULOS\MARIA SOLEDAD  ZEPEDA PROVIS.doc", "Abrir Documento")</f>
        <v>0</v>
      </c>
      <c r="D21671" t="s">
        <v>23500</v>
      </c>
      <c r="E21671" t="s">
        <v>44133</v>
      </c>
    </row>
    <row r="21672" spans="1:5">
      <c r="A21672" t="s">
        <v>6</v>
      </c>
      <c r="B21672" t="s">
        <v>21677</v>
      </c>
      <c r="C21672">
        <f>HYPERLINK("C:\Users\franc\OneDrive\Documentos\MALENTIN KARIME\BANCO CREDITO\FER LORCA en ROSITA (Rosita)\CARLOS BUGUEÑO\COMPRAVENTAS\PRIVADA\venta dotacion aguas rio limari - enero 2010[1].doc", "Abrir Documento")</f>
        <v>0</v>
      </c>
      <c r="D21672" t="s">
        <v>23500</v>
      </c>
      <c r="E21672" t="s">
        <v>44134</v>
      </c>
    </row>
    <row r="21673" spans="1:5">
      <c r="A21673" t="s">
        <v>6</v>
      </c>
      <c r="B21673" t="s">
        <v>21678</v>
      </c>
      <c r="C21673">
        <f>HYPERLINK("C:\Users\franc\OneDrive\Documentos\MALENTIN KARIME\BANCO CREDITO\FER LORCA en ROSITA (Rosita)\CARLOS BUGUEÑO\COMPRAVENTAS\CVTA. Y SUBDIVISION\jaime[1].villalon - miguel salazar - enero 2010.doc", "Abrir Documento")</f>
        <v>0</v>
      </c>
      <c r="D21673" t="s">
        <v>23500</v>
      </c>
      <c r="E21673" t="s">
        <v>44135</v>
      </c>
    </row>
    <row r="21674" spans="1:5">
      <c r="A21674" t="s">
        <v>6</v>
      </c>
      <c r="B21674" t="s">
        <v>21679</v>
      </c>
      <c r="C21674">
        <f>HYPERLINK("C:\Users\franc\OneDrive\Documentos\MALENTIN KARIME\BANCO CREDITO\FER LORCA en ROSITA (Rosita)\CARLOS BUGUEÑO\COMPRAVENTAS\venta lotes 16 y v17 - comite procasa[1] MIALQUI.doc", "Abrir Documento")</f>
        <v>0</v>
      </c>
      <c r="D21674" t="s">
        <v>23500</v>
      </c>
      <c r="E21674" t="s">
        <v>44136</v>
      </c>
    </row>
    <row r="21675" spans="1:5">
      <c r="A21675" t="s">
        <v>6</v>
      </c>
      <c r="B21675" t="s">
        <v>21680</v>
      </c>
      <c r="C21675">
        <f>HYPERLINK("C:\Users\franc\OneDrive\Documentos\MALENTIN KARIME\BANCO CREDITO\FER LORCA en ROSITA (Rosita)\CARLOS BUGUEÑO\COMPRAVENTAS\venta propiedad cbb - j larrondo - calle miguel aguirre - julio 2010.- EST. JURIDICO.doc", "Abrir Documento")</f>
        <v>0</v>
      </c>
      <c r="D21675" t="s">
        <v>23500</v>
      </c>
      <c r="E21675" t="s">
        <v>44136</v>
      </c>
    </row>
    <row r="21676" spans="1:5">
      <c r="A21676" t="s">
        <v>6</v>
      </c>
      <c r="B21676" t="s">
        <v>21681</v>
      </c>
      <c r="C21676">
        <f>HYPERLINK("C:\Users\franc\OneDrive\Documentos\MALENTIN KARIME\BANCO CREDITO\FER LORCA en ROSITA (Rosita)\CARLOS BUGUEÑO\COMPRAVENTAS\VENTA LOTE 6. ROCIO VALDIVIA.- INM. CRUZ COLORADA.doc", "Abrir Documento")</f>
        <v>0</v>
      </c>
      <c r="D21676" t="s">
        <v>23500</v>
      </c>
      <c r="E21676" t="s">
        <v>44137</v>
      </c>
    </row>
    <row r="21677" spans="1:5">
      <c r="A21677" t="s">
        <v>6</v>
      </c>
      <c r="B21677" t="s">
        <v>21682</v>
      </c>
      <c r="C21677">
        <f>HYPERLINK("C:\Users\franc\OneDrive\Documentos\MALENTIN KARIME\BANCO CREDITO\FER LORCA en ROSITA (Rosita)\CARLOS BUGUEÑO\COMPRAVENTAS\venta lote 4  lidia aviles[1].doc", "Abrir Documento")</f>
        <v>0</v>
      </c>
      <c r="D21677" t="s">
        <v>23500</v>
      </c>
      <c r="E21677" t="s">
        <v>44138</v>
      </c>
    </row>
    <row r="21678" spans="1:5">
      <c r="A21678" t="s">
        <v>6</v>
      </c>
      <c r="B21678" t="s">
        <v>21683</v>
      </c>
      <c r="C21678">
        <f>HYPERLINK("C:\Users\franc\OneDrive\Documentos\MALENTIN KARIME\BANCO CREDITO\FER LORCA en ROSITA (Rosita)\CARLOS BUGUEÑO\COMPRAVENTAS\RODRIGO BAQUEDANO.- 2. - sept 2010 (1).doc", "Abrir Documento")</f>
        <v>0</v>
      </c>
      <c r="D21678" t="s">
        <v>23500</v>
      </c>
      <c r="E21678" t="s">
        <v>44139</v>
      </c>
    </row>
    <row r="21679" spans="1:5">
      <c r="A21679" t="s">
        <v>6</v>
      </c>
      <c r="B21679" t="s">
        <v>21684</v>
      </c>
      <c r="C21679">
        <f>HYPERLINK("C:\Users\franc\OneDrive\Documentos\MALENTIN KARIME\BANCO CREDITO\FER LORCA en ROSITA (Rosita)\CARLOS BUGUEÑO\COMPRAVENTAS\RODRIGO BAQUEDANO - sept 2010.doc", "Abrir Documento")</f>
        <v>0</v>
      </c>
      <c r="D21679" t="s">
        <v>23500</v>
      </c>
      <c r="E21679" t="s">
        <v>44140</v>
      </c>
    </row>
    <row r="21680" spans="1:5">
      <c r="A21680" t="s">
        <v>6</v>
      </c>
      <c r="B21680" t="s">
        <v>21685</v>
      </c>
      <c r="C21680">
        <f>HYPERLINK("C:\Users\franc\OneDrive\Documentos\MALENTIN KARIME\BANCO CREDITO\FER LORCA en ROSITA (Rosita)\CARLOS BUGUEÑO\COMPRAVENTAS\mirna rojas - Lote 8 compraventa - febrero 2010.doc", "Abrir Documento")</f>
        <v>0</v>
      </c>
      <c r="D21680" t="s">
        <v>23500</v>
      </c>
      <c r="E21680" t="s">
        <v>44141</v>
      </c>
    </row>
    <row r="21681" spans="1:5">
      <c r="A21681" t="s">
        <v>6</v>
      </c>
      <c r="B21681" t="s">
        <v>21686</v>
      </c>
      <c r="C21681">
        <f>HYPERLINK("C:\Users\franc\OneDrive\Documentos\MALENTIN KARIME\BANCO CREDITO\FER LORCA en ROSITA (Rosita)\CARLOS BUGUEÑO\COMPRAVENTAS\maria cristina robles - julio 2010 (2) GUANAQUEROS.doc", "Abrir Documento")</f>
        <v>0</v>
      </c>
      <c r="D21681" t="s">
        <v>23500</v>
      </c>
      <c r="E21681" t="s">
        <v>44142</v>
      </c>
    </row>
    <row r="21682" spans="1:5">
      <c r="A21682" t="s">
        <v>6</v>
      </c>
      <c r="B21682" t="s">
        <v>21687</v>
      </c>
      <c r="C21682">
        <f>HYPERLINK("C:\Users\franc\OneDrive\Documentos\MALENTIN KARIME\BANCO CREDITO\FER LORCA en ROSITA (Rosita)\CARLOS BUGUEÑO\COMPRAVENTAS\MARIA BELEN BAQUEDANO- sept 2010.doc", "Abrir Documento")</f>
        <v>0</v>
      </c>
      <c r="D21682" t="s">
        <v>23500</v>
      </c>
      <c r="E21682" t="s">
        <v>44143</v>
      </c>
    </row>
    <row r="21683" spans="1:5">
      <c r="A21683" t="s">
        <v>6</v>
      </c>
      <c r="B21683" t="s">
        <v>21688</v>
      </c>
      <c r="C21683">
        <f>HYPERLINK("C:\Users\franc\OneDrive\Documentos\MALENTIN KARIME\BANCO CREDITO\FER LORCA en ROSITA (Rosita)\CARLOS BUGUEÑO\COMPRAVENTAS\Lote 49 - humberto gonzalez - julio 2010.doc", "Abrir Documento")</f>
        <v>0</v>
      </c>
      <c r="D21683" t="s">
        <v>23500</v>
      </c>
      <c r="E21683" t="s">
        <v>44144</v>
      </c>
    </row>
    <row r="21684" spans="1:5">
      <c r="A21684" t="s">
        <v>6</v>
      </c>
      <c r="B21684" t="s">
        <v>21689</v>
      </c>
      <c r="C21684">
        <f>HYPERLINK("C:\Users\franc\OneDrive\Documentos\MALENTIN KARIME\BANCO CREDITO\FER LORCA en ROSITA (Rosita)\CARLOS BUGUEÑO\COMPRAVENTAS\Lote 40 compraventa hector araya - noviembre 2009[1].doc", "Abrir Documento")</f>
        <v>0</v>
      </c>
      <c r="D21684" t="s">
        <v>23500</v>
      </c>
      <c r="E21684" t="s">
        <v>44145</v>
      </c>
    </row>
    <row r="21685" spans="1:5">
      <c r="A21685" t="s">
        <v>6</v>
      </c>
      <c r="B21685" t="s">
        <v>21690</v>
      </c>
      <c r="C21685">
        <f>HYPERLINK("C:\Users\franc\OneDrive\Documentos\MALENTIN KARIME\BANCO CREDITO\FER LORCA en ROSITA (Rosita)\CARLOS BUGUEÑO\COMPRAVENTAS\Lote 10 - francisco cerva - junio 2010.doc", "Abrir Documento")</f>
        <v>0</v>
      </c>
      <c r="D21685" t="s">
        <v>23500</v>
      </c>
      <c r="E21685" t="s">
        <v>44146</v>
      </c>
    </row>
    <row r="21686" spans="1:5">
      <c r="A21686" t="s">
        <v>6</v>
      </c>
      <c r="B21686" t="s">
        <v>21691</v>
      </c>
      <c r="C21686">
        <f>HYPERLINK("C:\Users\franc\OneDrive\Documentos\MALENTIN KARIME\BANCO CREDITO\FER LORCA en ROSITA (Rosita)\CARLOS BUGUEÑO\COMPRAVENTAS\lorena sandoval y otro - marzo 2010 - Lote 11 compraventa.doc", "Abrir Documento")</f>
        <v>0</v>
      </c>
      <c r="D21686" t="s">
        <v>23500</v>
      </c>
      <c r="E21686" t="s">
        <v>44147</v>
      </c>
    </row>
    <row r="21687" spans="1:5">
      <c r="A21687" t="s">
        <v>6</v>
      </c>
      <c r="B21687" t="s">
        <v>21692</v>
      </c>
      <c r="C21687">
        <f>HYPERLINK("C:\Users\franc\OneDrive\Documentos\MALENTIN KARIME\BANCO CREDITO\FER LORCA en ROSITA (Rosita)\CARLOS BUGUEÑO\COMPRAVENTAS\Lote 10 - francisco cerva - junio 2010.- INM. PINTO.doc", "Abrir Documento")</f>
        <v>0</v>
      </c>
      <c r="D21687" t="s">
        <v>23500</v>
      </c>
      <c r="E21687" t="s">
        <v>44147</v>
      </c>
    </row>
    <row r="21688" spans="1:5">
      <c r="A21688" t="s">
        <v>6</v>
      </c>
      <c r="B21688" t="s">
        <v>21693</v>
      </c>
      <c r="C21688">
        <f>HYPERLINK("C:\Users\franc\OneDrive\Documentos\MALENTIN KARIME\BANCO CREDITO\FER LORCA en ROSITA (Rosita)\CARLOS BUGUEÑO\COMPRAVENTAS\LORENA SANDOVAL  - abril 2010 - Lote 11 compraventa.doc", "Abrir Documento")</f>
        <v>0</v>
      </c>
      <c r="D21688" t="s">
        <v>23500</v>
      </c>
      <c r="E21688" t="s">
        <v>44148</v>
      </c>
    </row>
    <row r="21689" spans="1:5">
      <c r="A21689" t="s">
        <v>6</v>
      </c>
      <c r="B21689" t="s">
        <v>21694</v>
      </c>
      <c r="C21689">
        <f>HYPERLINK("C:\Users\franc\OneDrive\Documentos\MALENTIN KARIME\BANCO CREDITO\FER LORCA en ROSITA (Rosita)\CARLOS BUGUEÑO\COMPRAVENTAS\INM. CRUZ COLORADA.- 24-12-2009.doc", "Abrir Documento")</f>
        <v>0</v>
      </c>
      <c r="D21689" t="s">
        <v>23500</v>
      </c>
      <c r="E21689" t="s">
        <v>44149</v>
      </c>
    </row>
    <row r="21690" spans="1:5">
      <c r="A21690" t="s">
        <v>6</v>
      </c>
      <c r="B21690" t="s">
        <v>21695</v>
      </c>
      <c r="C21690">
        <f>HYPERLINK("C:\Users\franc\OneDrive\Documentos\MALENTIN KARIME\BANCO CREDITO\FER LORCA en ROSITA (Rosita)\CARLOS BUGUEÑO\COMPRAVENTAS\compraventa lote 21 a franklin araya - enero 2010. NUEVA.doc", "Abrir Documento")</f>
        <v>0</v>
      </c>
      <c r="D21690" t="s">
        <v>23500</v>
      </c>
      <c r="E21690" t="s">
        <v>44150</v>
      </c>
    </row>
    <row r="21691" spans="1:5">
      <c r="A21691" t="s">
        <v>6</v>
      </c>
      <c r="B21691" t="s">
        <v>21696</v>
      </c>
      <c r="C21691">
        <f>HYPERLINK("C:\Users\franc\OneDrive\Documentos\MALENTIN KARIME\BANCO CREDITO\FER LORCA en ROSITA (Rosita)\CARLOS BUGUEÑO\COMPRAVENTAS\compra venta lote 21 a2 franklin araya - enero 2010[1].doc", "Abrir Documento")</f>
        <v>0</v>
      </c>
      <c r="D21691" t="s">
        <v>23500</v>
      </c>
      <c r="E21691" t="s">
        <v>44151</v>
      </c>
    </row>
    <row r="21692" spans="1:5">
      <c r="A21692" t="s">
        <v>6</v>
      </c>
      <c r="B21692" t="s">
        <v>21697</v>
      </c>
      <c r="C21692">
        <f>HYPERLINK("C:\Users\franc\OneDrive\Documentos\MALENTIN KARIME\BANCO CREDITO\FER LORCA en ROSITA (Rosita)\CARLOS BUGUEÑO\COMPRAVENTAS\compra parcelas huana.- SOC. AGRIC. EL PUENTE LTDA.-.doc", "Abrir Documento")</f>
        <v>0</v>
      </c>
      <c r="D21692" t="s">
        <v>23500</v>
      </c>
      <c r="E21692" t="s">
        <v>44152</v>
      </c>
    </row>
    <row r="21693" spans="1:5">
      <c r="A21693" t="s">
        <v>6</v>
      </c>
      <c r="B21693" t="s">
        <v>21698</v>
      </c>
      <c r="C21693">
        <f>HYPERLINK("C:\Users\franc\OneDrive\Documentos\MALENTIN KARIME\BANCO CREDITO\FER LORCA en ROSITA (Rosita)\CARLOS BUGUEÑO\COMPRAVENTAS\compra luis pinto a agricola aliro pinto sr ltda[2].doc", "Abrir Documento")</f>
        <v>0</v>
      </c>
      <c r="D21693" t="s">
        <v>23500</v>
      </c>
      <c r="E21693" t="s">
        <v>44153</v>
      </c>
    </row>
    <row r="21694" spans="1:5">
      <c r="A21694" t="s">
        <v>6</v>
      </c>
      <c r="B21694" t="s">
        <v>21699</v>
      </c>
      <c r="C21694">
        <f>HYPERLINK("C:\Users\franc\OneDrive\Documentos\MALENTIN KARIME\BANCO CREDITO\FER LORCA en ROSITA (Rosita)\CARLOS BUGUEÑO\COMPRAVENTAS\BERNARDO ARAYA A JOHN KEELER.doc", "Abrir Documento")</f>
        <v>0</v>
      </c>
      <c r="D21694" t="s">
        <v>23500</v>
      </c>
      <c r="E21694" t="s">
        <v>44154</v>
      </c>
    </row>
    <row r="21695" spans="1:5">
      <c r="A21695" t="s">
        <v>6</v>
      </c>
      <c r="B21695" t="s">
        <v>21700</v>
      </c>
      <c r="C21695">
        <f>HYPERLINK("C:\Users\franc\OneDrive\Documentos\MALENTIN KARIME\BANCO CREDITO\FER LORCA en ROSITA (Rosita)\CARLOS BUGUEÑO\COMPRAVENTAS\COMPRA FRESSO.- ABRIL.doc", "Abrir Documento")</f>
        <v>0</v>
      </c>
      <c r="D21695" t="s">
        <v>23500</v>
      </c>
      <c r="E21695" t="s">
        <v>44154</v>
      </c>
    </row>
    <row r="21696" spans="1:5">
      <c r="A21696" t="s">
        <v>6</v>
      </c>
      <c r="B21696" t="s">
        <v>21701</v>
      </c>
      <c r="C21696">
        <f>HYPERLINK("C:\Users\franc\OneDrive\Documentos\MALENTIN KARIME\BANCO CREDITO\FER LORCA en ROSITA (Rosita)\CARLOS BUGUEÑO\COMPRAVENTAS\antonio corral - venta parcela - marzo 2010.doc", "Abrir Documento")</f>
        <v>0</v>
      </c>
      <c r="D21696" t="s">
        <v>23500</v>
      </c>
      <c r="E21696" t="s">
        <v>44155</v>
      </c>
    </row>
    <row r="21697" spans="1:5">
      <c r="A21697" t="s">
        <v>6</v>
      </c>
      <c r="B21697" t="s">
        <v>21702</v>
      </c>
      <c r="C21697">
        <f>HYPERLINK("C:\Users\franc\OneDrive\Documentos\MALENTIN KARIME\BANCO CREDITO\FER LORCA en ROSITA (Rosita)\CARLOS BUGUEÑO\COMPRAVENTA  AGUAS\SEPT. 2010\venta aguas palmenia maya - sept 2010.doc", "Abrir Documento")</f>
        <v>0</v>
      </c>
      <c r="D21697" t="s">
        <v>23500</v>
      </c>
      <c r="E21697" t="s">
        <v>44156</v>
      </c>
    </row>
    <row r="21698" spans="1:5">
      <c r="A21698" t="s">
        <v>6</v>
      </c>
      <c r="B21698" t="s">
        <v>21703</v>
      </c>
      <c r="C21698">
        <f>HYPERLINK("C:\Users\franc\OneDrive\Documentos\MALENTIN KARIME\BANCO CREDITO\FER LORCA en ROSITA (Rosita)\CARLOS BUGUEÑO\COMPRAVENTA  AGUAS\SEPT. 2010\venta a camila aracena villar - sept 2010.doc", "Abrir Documento")</f>
        <v>0</v>
      </c>
      <c r="D21698" t="s">
        <v>23500</v>
      </c>
      <c r="E21698" t="s">
        <v>44157</v>
      </c>
    </row>
    <row r="21699" spans="1:5">
      <c r="A21699" t="s">
        <v>6</v>
      </c>
      <c r="B21699" t="s">
        <v>21704</v>
      </c>
      <c r="C21699">
        <f>HYPERLINK("C:\Users\franc\OneDrive\Documentos\MALENTIN KARIME\BANCO CREDITO\FER LORCA en ROSITA (Rosita)\CARLOS BUGUEÑO\COMPRAVENTA  AGUAS\SEPT. 2010\carta instrucc palmenia maya - septiembre 2010.doc", "Abrir Documento")</f>
        <v>0</v>
      </c>
      <c r="D21699" t="s">
        <v>23500</v>
      </c>
      <c r="E21699" t="s">
        <v>44158</v>
      </c>
    </row>
    <row r="21700" spans="1:5">
      <c r="A21700" t="s">
        <v>6</v>
      </c>
      <c r="B21700" t="s">
        <v>21705</v>
      </c>
      <c r="C21700">
        <f>HYPERLINK("C:\Users\franc\OneDrive\Documentos\MALENTIN KARIME\BANCO CREDITO\FER LORCA en ROSITA (Rosita)\CARLOS BUGUEÑO\COMPRAVENTA  AGUAS\SEPT. 2010\carta instrucc camila aracena - septiembre 2010.doc", "Abrir Documento")</f>
        <v>0</v>
      </c>
      <c r="D21700" t="s">
        <v>23500</v>
      </c>
      <c r="E21700" t="s">
        <v>44159</v>
      </c>
    </row>
    <row r="21701" spans="1:5">
      <c r="A21701" t="s">
        <v>6</v>
      </c>
      <c r="B21701" t="s">
        <v>21706</v>
      </c>
      <c r="C21701">
        <f>HYPERLINK("C:\Users\franc\OneDrive\Documentos\MALENTIN KARIME\BANCO CREDITO\FER LORCA en ROSITA (Rosita)\CARLOS BUGUEÑO\COMPRAVENTA  AGUAS\OCTUBRE\modelo.-.doc", "Abrir Documento")</f>
        <v>0</v>
      </c>
      <c r="D21701" t="s">
        <v>23500</v>
      </c>
      <c r="E21701" t="s">
        <v>44160</v>
      </c>
    </row>
    <row r="21702" spans="1:5">
      <c r="A21702" t="s">
        <v>6</v>
      </c>
      <c r="B21702" t="s">
        <v>21707</v>
      </c>
      <c r="C21702">
        <f>HYPERLINK("C:\Users\franc\OneDrive\Documentos\MALENTIN KARIME\BANCO CREDITO\FER LORCA en ROSITA (Rosita)\CARLOS BUGUEÑO\COMPRAVENTA  AGUAS\OCTUBRE\carta instrucciones venta aguas manriquez.doc", "Abrir Documento")</f>
        <v>0</v>
      </c>
      <c r="D21702" t="s">
        <v>23500</v>
      </c>
      <c r="E21702" t="s">
        <v>44161</v>
      </c>
    </row>
    <row r="21703" spans="1:5">
      <c r="A21703" t="s">
        <v>6</v>
      </c>
      <c r="B21703" t="s">
        <v>21708</v>
      </c>
      <c r="C21703">
        <f>HYPERLINK("C:\Users\franc\OneDrive\Documentos\MALENTIN KARIME\BANCO CREDITO\FER LORCA en ROSITA (Rosita)\CARLOS BUGUEÑO\COMPRAVENTA  AGUAS\OCTUBRE\MARIA S. MANRIQUEZ A AGRICOLA LAS MERCEDES.- OCT. 2010.doc", "Abrir Documento")</f>
        <v>0</v>
      </c>
      <c r="D21703" t="s">
        <v>23500</v>
      </c>
      <c r="E21703" t="s">
        <v>44161</v>
      </c>
    </row>
    <row r="21704" spans="1:5">
      <c r="A21704" t="s">
        <v>6</v>
      </c>
      <c r="B21704" t="s">
        <v>21709</v>
      </c>
      <c r="C21704">
        <f>HYPERLINK("C:\Users\franc\OneDrive\Documentos\MALENTIN KARIME\BANCO CREDITO\FER LORCA en ROSITA (Rosita)\CARLOS BUGUEÑO\COMPRAVENTA  AGUAS\venta aguas guido maya - julio 2010.doc", "Abrir Documento")</f>
        <v>0</v>
      </c>
      <c r="D21704" t="s">
        <v>23500</v>
      </c>
      <c r="E21704" t="s">
        <v>44162</v>
      </c>
    </row>
    <row r="21705" spans="1:5">
      <c r="A21705" t="s">
        <v>6</v>
      </c>
      <c r="B21705" t="s">
        <v>21710</v>
      </c>
      <c r="C21705">
        <f>HYPERLINK("C:\Users\franc\OneDrive\Documentos\MALENTIN KARIME\BANCO CREDITO\FER LORCA en ROSITA (Rosita)\CARLOS BUGUEÑO\COMPRAVENTA  AGUAS\venta aguas guido maya - julio 2010 (1).doc", "Abrir Documento")</f>
        <v>0</v>
      </c>
      <c r="D21705" t="s">
        <v>23500</v>
      </c>
      <c r="E21705" t="s">
        <v>44163</v>
      </c>
    </row>
    <row r="21706" spans="1:5">
      <c r="A21706" t="s">
        <v>6</v>
      </c>
      <c r="B21706" t="s">
        <v>21711</v>
      </c>
      <c r="C21706">
        <f>HYPERLINK("C:\Users\franc\OneDrive\Documentos\MALENTIN KARIME\BANCO CREDITO\FER LORCA en ROSITA (Rosita)\CARLOS BUGUEÑO\COMPRAVENTA  AGUAS\SOC. BOSSMAN.- GONZALO ALVAREZ.doc", "Abrir Documento")</f>
        <v>0</v>
      </c>
      <c r="D21706" t="s">
        <v>23500</v>
      </c>
      <c r="E21706" t="s">
        <v>44164</v>
      </c>
    </row>
    <row r="21707" spans="1:5">
      <c r="A21707" t="s">
        <v>6</v>
      </c>
      <c r="B21707" t="s">
        <v>21712</v>
      </c>
      <c r="C21707">
        <f>HYPERLINK("C:\Users\franc\OneDrive\Documentos\MALENTIN KARIME\BANCO CREDITO\FER LORCA en ROSITA (Rosita)\CARLOS BUGUEÑO\COMPRAVENTA  AGUAS\ROBERTO AGUILERA A SOC. AGRIC. MAL PASO LTDA.-.doc", "Abrir Documento")</f>
        <v>0</v>
      </c>
      <c r="D21707" t="s">
        <v>23500</v>
      </c>
      <c r="E21707" t="s">
        <v>44165</v>
      </c>
    </row>
    <row r="21708" spans="1:5">
      <c r="A21708" t="s">
        <v>6</v>
      </c>
      <c r="B21708" t="s">
        <v>21713</v>
      </c>
      <c r="C21708">
        <f>HYPERLINK("C:\Users\franc\OneDrive\Documentos\MALENTIN KARIME\BANCO CREDITO\FER LORCA en ROSITA (Rosita)\CARLOS BUGUEÑO\COMPRAVENTA  AGUAS\ROBERTO AGUILERA A SOC. AGRIC. MAL PASO LTDA.- buena.doc", "Abrir Documento")</f>
        <v>0</v>
      </c>
      <c r="D21708" t="s">
        <v>23500</v>
      </c>
      <c r="E21708" t="s">
        <v>44166</v>
      </c>
    </row>
    <row r="21709" spans="1:5">
      <c r="A21709" t="s">
        <v>6</v>
      </c>
      <c r="B21709" t="s">
        <v>21714</v>
      </c>
      <c r="C21709">
        <f>HYPERLINK("C:\Users\franc\OneDrive\Documentos\MALENTIN KARIME\BANCO CREDITO\FER LORCA en ROSITA (Rosita)\CARLOS BUGUEÑO\COMPRAVENTA  AGUAS\LUIS MIRANDA A INV. AGRIC. BOSSMANN.doc", "Abrir Documento")</f>
        <v>0</v>
      </c>
      <c r="D21709" t="s">
        <v>23500</v>
      </c>
      <c r="E21709" t="s">
        <v>44167</v>
      </c>
    </row>
    <row r="21710" spans="1:5">
      <c r="A21710" t="s">
        <v>6</v>
      </c>
      <c r="B21710" t="s">
        <v>21715</v>
      </c>
      <c r="C21710">
        <f>HYPERLINK("C:\Users\franc\OneDrive\Documentos\MALENTIN KARIME\BANCO CREDITO\FER LORCA en ROSITA (Rosita)\CARLOS BUGUEÑO\COMPRAVENTA  AGUAS\EMILIO MUÑOZ - LUIS PEPPI.doc", "Abrir Documento")</f>
        <v>0</v>
      </c>
      <c r="D21710" t="s">
        <v>23500</v>
      </c>
      <c r="E21710" t="s">
        <v>44168</v>
      </c>
    </row>
    <row r="21711" spans="1:5">
      <c r="A21711" t="s">
        <v>6</v>
      </c>
      <c r="B21711" t="s">
        <v>21716</v>
      </c>
      <c r="C21711">
        <f>HYPERLINK("C:\Users\franc\OneDrive\Documentos\MALENTIN KARIME\BANCO CREDITO\FER LORCA en ROSITA (Rosita)\CARLOS BUGUEÑO\COMPRAVENTA  AGUAS\compra aguas a norterra ltda - enero 2010[1].doc", "Abrir Documento")</f>
        <v>0</v>
      </c>
      <c r="D21711" t="s">
        <v>23500</v>
      </c>
      <c r="E21711" t="s">
        <v>44169</v>
      </c>
    </row>
    <row r="21712" spans="1:5">
      <c r="A21712" t="s">
        <v>6</v>
      </c>
      <c r="B21712" t="s">
        <v>21717</v>
      </c>
      <c r="C21712">
        <f>HYPERLINK("C:\Users\franc\OneDrive\Documentos\MALENTIN KARIME\BANCO CREDITO\FER LORCA en ROSITA (Rosita)\CARLOS BUGUEÑO\COMPRAVENTA  AGUAS\AGRICOLA LAS MERCEDES.- Y BENEDICTO CISTERNAS.doc", "Abrir Documento")</f>
        <v>0</v>
      </c>
      <c r="D21712" t="s">
        <v>23500</v>
      </c>
      <c r="E21712" t="s">
        <v>44170</v>
      </c>
    </row>
    <row r="21713" spans="1:5">
      <c r="A21713" t="s">
        <v>6</v>
      </c>
      <c r="B21713" t="s">
        <v>21718</v>
      </c>
      <c r="C21713">
        <f>HYPERLINK("C:\Users\franc\OneDrive\Documentos\MALENTIN KARIME\BANCO CREDITO\FER LORCA en ROSITA (Rosita)\CARLOS BUGUEÑO\CESION\venta lote 4  lidia aviles a fruticola rio copiapo ltda[1].doc", "Abrir Documento")</f>
        <v>0</v>
      </c>
      <c r="D21713" t="s">
        <v>23500</v>
      </c>
      <c r="E21713" t="s">
        <v>44171</v>
      </c>
    </row>
    <row r="21714" spans="1:5">
      <c r="A21714" t="s">
        <v>6</v>
      </c>
      <c r="B21714" t="s">
        <v>21719</v>
      </c>
      <c r="C21714">
        <f>HYPERLINK("C:\Users\franc\OneDrive\Documentos\MALENTIN KARIME\BANCO CREDITO\FER LORCA en ROSITA (Rosita)\CARLOS BUGUEÑO\CESION DE ACCIONES\cesion acciones bernardita - junio 2010.- STA. TERESA.doc", "Abrir Documento")</f>
        <v>0</v>
      </c>
      <c r="D21714" t="s">
        <v>23500</v>
      </c>
      <c r="E21714" t="s">
        <v>44171</v>
      </c>
    </row>
    <row r="21715" spans="1:5">
      <c r="A21715" t="s">
        <v>6</v>
      </c>
      <c r="B21715" t="s">
        <v>21720</v>
      </c>
      <c r="C21715">
        <f>HYPERLINK("C:\Users\franc\OneDrive\Documentos\MALENTIN KARIME\BANCO CREDITO\FER LORCA en ROSITA (Rosita)\CARLOS BUGUEÑO\CESION\cesion derecho lidia aviles a andres barros - dic 2009[1].doc", "Abrir Documento")</f>
        <v>0</v>
      </c>
      <c r="D21715" t="s">
        <v>23500</v>
      </c>
      <c r="E21715" t="s">
        <v>44172</v>
      </c>
    </row>
    <row r="21716" spans="1:5">
      <c r="A21716" t="s">
        <v>6</v>
      </c>
      <c r="B21716" t="s">
        <v>21721</v>
      </c>
      <c r="C21716">
        <f>HYPERLINK("C:\Users\franc\OneDrive\Documentos\MALENTIN KARIME\BANCO CREDITO\FER LORCA en ROSITA (Rosita)\CARLOS BUGUEÑO\CESION\cesion (2) derecho y goce singular MARIA ALFARO - mayo 2010.doc", "Abrir Documento")</f>
        <v>0</v>
      </c>
      <c r="D21716" t="s">
        <v>23500</v>
      </c>
      <c r="E21716" t="s">
        <v>44173</v>
      </c>
    </row>
    <row r="21717" spans="1:5">
      <c r="A21717" t="s">
        <v>6</v>
      </c>
      <c r="B21717" t="s">
        <v>21722</v>
      </c>
      <c r="C21717">
        <f>HYPERLINK("C:\Users\franc\OneDrive\Documentos\MALENTIN KARIME\BANCO CREDITO\FER LORCA en ROSITA (Rosita)\CARLOS BUGUEÑO\CESION\carta.inst. compra a maria gonzalez alfaro - mayo 2010.doc", "Abrir Documento")</f>
        <v>0</v>
      </c>
      <c r="D21717" t="s">
        <v>23500</v>
      </c>
      <c r="E21717" t="s">
        <v>44174</v>
      </c>
    </row>
    <row r="21718" spans="1:5">
      <c r="A21718" t="s">
        <v>6</v>
      </c>
      <c r="B21718" t="s">
        <v>21723</v>
      </c>
      <c r="C21718">
        <f>HYPERLINK("C:\Users\franc\OneDrive\Documentos\MALENTIN KARIME\BANCO CREDITO\FER LORCA en ROSITA (Rosita)\CARLOS BUGUEÑO\CESION\cesion (2) derecho y goce singular MARIA ALFARO - mayo 2010.- MODELO.doc", "Abrir Documento")</f>
        <v>0</v>
      </c>
      <c r="D21718" t="s">
        <v>23500</v>
      </c>
      <c r="E21718" t="s">
        <v>44174</v>
      </c>
    </row>
    <row r="21719" spans="1:5">
      <c r="A21719" t="s">
        <v>6</v>
      </c>
      <c r="B21719" t="s">
        <v>21724</v>
      </c>
      <c r="C21719">
        <f>HYPERLINK("C:\Users\franc\OneDrive\Documentos\MALENTIN KARIME\BANCO CREDITO\FER LORCA en ROSITA (Rosita)\CARLOS BUGUEÑO\CESION\carta inst (2)[1]. compra a lidia aviles.doc", "Abrir Documento")</f>
        <v>0</v>
      </c>
      <c r="D21719" t="s">
        <v>23500</v>
      </c>
      <c r="E21719" t="s">
        <v>44175</v>
      </c>
    </row>
    <row r="21720" spans="1:5">
      <c r="A21720" t="s">
        <v>6</v>
      </c>
      <c r="B21720" t="s">
        <v>21725</v>
      </c>
      <c r="C21720">
        <f>HYPERLINK("C:\Users\franc\OneDrive\Documentos\MALENTIN KARIME\BANCO CREDITO\FER LORCA en ROSITA (Rosita)\CARLOS BUGUEÑO\CESION\carta inst (1)[1]. compra a lidia aviles.doc", "Abrir Documento")</f>
        <v>0</v>
      </c>
      <c r="D21720" t="s">
        <v>23500</v>
      </c>
      <c r="E21720" t="s">
        <v>44176</v>
      </c>
    </row>
    <row r="21721" spans="1:5">
      <c r="A21721" t="s">
        <v>6</v>
      </c>
      <c r="B21721" t="s">
        <v>21726</v>
      </c>
      <c r="C21721">
        <f>HYPERLINK("C:\Users\franc\OneDrive\Documentos\MALENTIN KARIME\BANCO CREDITO\FER LORCA en ROSITA (Rosita)\CARLOS BUGUEÑO\CANCELACION\cancelacion sergio salfate -marzo 2010.doc", "Abrir Documento")</f>
        <v>0</v>
      </c>
      <c r="D21721" t="s">
        <v>23500</v>
      </c>
      <c r="E21721" t="s">
        <v>44177</v>
      </c>
    </row>
    <row r="21722" spans="1:5">
      <c r="A21722" t="s">
        <v>6</v>
      </c>
      <c r="B21722" t="s">
        <v>21727</v>
      </c>
      <c r="C21722">
        <f>HYPERLINK("C:\Users\franc\OneDrive\Documentos\MALENTIN KARIME\BANCO CREDITO\FER LORCA en ROSITA (Rosita)\CARLOS BUGUEÑO\CANCELACION\cancelacion precio venta lote 21 a franklin araya - julio 2010.- MARCELO CORRAL.doc", "Abrir Documento")</f>
        <v>0</v>
      </c>
      <c r="D21722" t="s">
        <v>23500</v>
      </c>
      <c r="E21722" t="s">
        <v>44178</v>
      </c>
    </row>
    <row r="21723" spans="1:5">
      <c r="A21723" t="s">
        <v>6</v>
      </c>
      <c r="B21723" t="s">
        <v>21728</v>
      </c>
      <c r="C21723">
        <f>HYPERLINK("C:\Users\franc\OneDrive\Documentos\MALENTIN KARIME\BANCO CREDITO\FER LORCA en ROSITA (Rosita)\CARLOS BUGUEÑO\CANCELACION\cancelacion precio pamela cofre - febrero 2010[1].doc", "Abrir Documento")</f>
        <v>0</v>
      </c>
      <c r="D21723" t="s">
        <v>23500</v>
      </c>
      <c r="E21723" t="s">
        <v>44179</v>
      </c>
    </row>
    <row r="21724" spans="1:5">
      <c r="A21724" t="s">
        <v>6</v>
      </c>
      <c r="B21724" t="s">
        <v>21729</v>
      </c>
      <c r="C21724">
        <f>HYPERLINK("C:\Users\franc\OneDrive\Documentos\MALENTIN KARIME\BANCO CREDITO\FER LORCA en ROSITA (Rosita)\CARLOS BUGUEÑO\CANCELACION\cancelacion precio gmo gibson - marzo 2010.doc", "Abrir Documento")</f>
        <v>0</v>
      </c>
      <c r="D21724" t="s">
        <v>23500</v>
      </c>
      <c r="E21724" t="s">
        <v>44180</v>
      </c>
    </row>
    <row r="21725" spans="1:5">
      <c r="A21725" t="s">
        <v>6</v>
      </c>
      <c r="B21725" t="s">
        <v>21730</v>
      </c>
      <c r="C21725">
        <f>HYPERLINK("C:\Users\franc\OneDrive\Documentos\MALENTIN KARIME\BANCO CREDITO\FER LORCA en ROSITA (Rosita)\CARLOS BUGUEÑO\CANCELACION\cancelacion cbb a jorge larrondo - agosto 2010 (1).doc", "Abrir Documento")</f>
        <v>0</v>
      </c>
      <c r="D21725" t="s">
        <v>23500</v>
      </c>
      <c r="E21725" t="s">
        <v>44181</v>
      </c>
    </row>
    <row r="21726" spans="1:5">
      <c r="A21726" t="s">
        <v>6</v>
      </c>
      <c r="B21726" t="s">
        <v>21731</v>
      </c>
      <c r="C21726">
        <f>HYPERLINK("C:\Users\franc\OneDrive\Documentos\MALENTIN KARIME\BANCO CREDITO\FER LORCA en ROSITA (Rosita)\CARLOS BUGUEÑO\ARRIENDOS\termino raul carmona - junio 2010.doc", "Abrir Documento")</f>
        <v>0</v>
      </c>
      <c r="D21726" t="s">
        <v>23500</v>
      </c>
      <c r="E21726" t="s">
        <v>44182</v>
      </c>
    </row>
    <row r="21727" spans="1:5">
      <c r="A21727" t="s">
        <v>6</v>
      </c>
      <c r="B21727" t="s">
        <v>21732</v>
      </c>
      <c r="C21727">
        <f>HYPERLINK("C:\Users\franc\OneDrive\Documentos\MALENTIN KARIME\BANCO CREDITO\FER LORCA en ROSITA (Rosita)\CARLOS BUGUEÑO\ARRIENDOS\soc agricola esperanza - mayo 2010 (1).doc", "Abrir Documento")</f>
        <v>0</v>
      </c>
      <c r="D21727" t="s">
        <v>23500</v>
      </c>
      <c r="E21727" t="s">
        <v>44183</v>
      </c>
    </row>
    <row r="21728" spans="1:5">
      <c r="A21728" t="s">
        <v>6</v>
      </c>
      <c r="B21728" t="s">
        <v>21733</v>
      </c>
      <c r="C21728">
        <f>HYPERLINK("C:\Users\franc\OneDrive\Documentos\MALENTIN KARIME\BANCO CREDITO\FER LORCA en ROSITA (Rosita)\CARLOS BUGUEÑO\ALZAMIENTO B.C.I\alzamiento hipoteca bci - julio 2010.doc", "Abrir Documento")</f>
        <v>0</v>
      </c>
      <c r="D21728" t="s">
        <v>23500</v>
      </c>
      <c r="E21728" t="s">
        <v>44184</v>
      </c>
    </row>
    <row r="21729" spans="1:5">
      <c r="A21729" t="s">
        <v>6</v>
      </c>
      <c r="B21729" t="s">
        <v>21734</v>
      </c>
      <c r="C21729">
        <f>HYPERLINK("C:\Users\franc\OneDrive\Documentos\MALENTIN KARIME\BANCO CREDITO\FER LORCA en ROSITA (Rosita)\CARLOS BUGUEÑO\ACTAS\nueva escritura Acta sesion directorio limari trading sa enero 2010 - esc[1].doc", "Abrir Documento")</f>
        <v>0</v>
      </c>
      <c r="D21729" t="s">
        <v>23500</v>
      </c>
      <c r="E21729" t="s">
        <v>44185</v>
      </c>
    </row>
    <row r="21730" spans="1:5">
      <c r="A21730" t="s">
        <v>6</v>
      </c>
      <c r="B21730" t="s">
        <v>21735</v>
      </c>
      <c r="C21730">
        <f>HYPERLINK("C:\Users\franc\OneDrive\Documentos\MALENTIN KARIME\BANCO CREDITO\FER LORCA en ROSITA (Rosita)\CARLOS BUGUEÑO\ACTAS\escrituracion acta junta ordinaria - enero 2010[1]MIALQUI.-.doc", "Abrir Documento")</f>
        <v>0</v>
      </c>
      <c r="D21730" t="s">
        <v>23500</v>
      </c>
      <c r="E21730" t="s">
        <v>44186</v>
      </c>
    </row>
    <row r="21731" spans="1:5">
      <c r="A21731" t="s">
        <v>6</v>
      </c>
      <c r="B21731" t="s">
        <v>21736</v>
      </c>
      <c r="C21731">
        <f>HYPERLINK("C:\Users\franc\OneDrive\Documentos\MALENTIN KARIME\BANCO CREDITO\FER LORCA en ROSITA (Rosita)\CARLOS BUGUEÑO\ACTAS\escritura Acta sesion directorio limari trading sa mayo 2010 - esc.doc", "Abrir Documento")</f>
        <v>0</v>
      </c>
      <c r="D21731" t="s">
        <v>23500</v>
      </c>
      <c r="E21731" t="s">
        <v>44187</v>
      </c>
    </row>
    <row r="21732" spans="1:5">
      <c r="A21732" t="s">
        <v>6</v>
      </c>
      <c r="B21732" t="s">
        <v>21737</v>
      </c>
      <c r="C21732">
        <f>HYPERLINK("C:\Users\franc\OneDrive\Documentos\MALENTIN KARIME\BANCO CREDITO\FER LORCA en ROSITA (Rosita)\CARLOS BUGUEÑO\ACTAS\escritura Acta Junta Ordinaria - mayo 2010 - esc.doc", "Abrir Documento")</f>
        <v>0</v>
      </c>
      <c r="D21732" t="s">
        <v>23500</v>
      </c>
      <c r="E21732" t="s">
        <v>44188</v>
      </c>
    </row>
    <row r="21733" spans="1:5">
      <c r="A21733" t="s">
        <v>6</v>
      </c>
      <c r="B21733" t="s">
        <v>21738</v>
      </c>
      <c r="C21733">
        <f>HYPERLINK("C:\Users\franc\OneDrive\Documentos\MALENTIN KARIME\BANCO CREDITO\FER LORCA en ROSITA (Rosita)\CARLOS BUGUEÑO\SESION DE DIRECTORIO H. JOFRE.doc", "Abrir Documento")</f>
        <v>0</v>
      </c>
      <c r="D21733" t="s">
        <v>23500</v>
      </c>
      <c r="E21733" t="s">
        <v>44189</v>
      </c>
    </row>
    <row r="21734" spans="1:5">
      <c r="A21734" t="s">
        <v>6</v>
      </c>
      <c r="B21734" t="s">
        <v>21739</v>
      </c>
      <c r="C21734">
        <f>HYPERLINK("C:\Users\franc\OneDrive\Documentos\MALENTIN KARIME\BANCO CREDITO\FER LORCA en ROSITA (Rosita)\CARLOS BUGUEÑO\SESION DE DIRECTORIO  nº 8.doc", "Abrir Documento")</f>
        <v>0</v>
      </c>
      <c r="D21734" t="s">
        <v>23500</v>
      </c>
      <c r="E21734" t="s">
        <v>44190</v>
      </c>
    </row>
    <row r="21735" spans="1:5">
      <c r="A21735" t="s">
        <v>6</v>
      </c>
      <c r="B21735" t="s">
        <v>21740</v>
      </c>
      <c r="C21735">
        <f>HYPERLINK("C:\Users\franc\OneDrive\Documentos\MALENTIN KARIME\BANCO CREDITO\FER LORCA en ROSITA (Rosita)\CARLOS BUGUEÑO\PAGARE A PLAZO.- SOC. FRESSO.doc", "Abrir Documento")</f>
        <v>0</v>
      </c>
      <c r="D21735" t="s">
        <v>23500</v>
      </c>
      <c r="E21735" t="s">
        <v>44191</v>
      </c>
    </row>
    <row r="21736" spans="1:5">
      <c r="A21736" t="s">
        <v>6</v>
      </c>
      <c r="B21736" t="s">
        <v>21741</v>
      </c>
      <c r="C21736">
        <f>HYPERLINK("C:\Users\franc\OneDrive\Documentos\MALENTIN KARIME\BANCO CREDITO\FER LORCA en ROSITA (Rosita)\CARLOS BUGUEÑO\modifica arriendo vicuña mackenna 253 - nov 2008.doc", "Abrir Documento")</f>
        <v>0</v>
      </c>
      <c r="D21736" t="s">
        <v>23500</v>
      </c>
      <c r="E21736" t="s">
        <v>44192</v>
      </c>
    </row>
    <row r="21737" spans="1:5">
      <c r="A21737" t="s">
        <v>6</v>
      </c>
      <c r="B21737" t="s">
        <v>21742</v>
      </c>
      <c r="C21737">
        <f>HYPERLINK("C:\Users\franc\OneDrive\Documentos\MALENTIN KARIME\BANCO CREDITO\FER LORCA en ROSITA (Rosita)\CARLOS BUGUEÑO\MODIFI. SOC. AGRICOLA LAS CAÑAS DE SOTAQUI.doc", "Abrir Documento")</f>
        <v>0</v>
      </c>
      <c r="D21737" t="s">
        <v>23500</v>
      </c>
      <c r="E21737" t="s">
        <v>44193</v>
      </c>
    </row>
    <row r="21738" spans="1:5">
      <c r="A21738" t="s">
        <v>6</v>
      </c>
      <c r="B21738" t="s">
        <v>21743</v>
      </c>
      <c r="C21738">
        <f>HYPERLINK("C:\Users\franc\OneDrive\Documentos\MALENTIN KARIME\BANCO CREDITO\FER LORCA en ROSITA (Rosita)\CARLOS BUGUEÑO\MODELO   FORMULARIO  24.-.doc", "Abrir Documento")</f>
        <v>0</v>
      </c>
      <c r="D21738" t="s">
        <v>23500</v>
      </c>
      <c r="E21738" t="s">
        <v>44194</v>
      </c>
    </row>
    <row r="21739" spans="1:5">
      <c r="A21739" t="s">
        <v>6</v>
      </c>
      <c r="B21739" t="s">
        <v>21744</v>
      </c>
      <c r="C21739">
        <f>HYPERLINK("C:\Users\franc\OneDrive\Documentos\MALENTIN KARIME\BANCO CREDITO\FER LORCA en ROSITA (Rosita)\CARLOS BUGUEÑO\MODELO   FORMULARIO  24.- FRESSO.doc", "Abrir Documento")</f>
        <v>0</v>
      </c>
      <c r="D21739" t="s">
        <v>23500</v>
      </c>
      <c r="E21739" t="s">
        <v>44195</v>
      </c>
    </row>
    <row r="21740" spans="1:5">
      <c r="A21740" t="s">
        <v>6</v>
      </c>
      <c r="B21740" t="s">
        <v>21745</v>
      </c>
      <c r="C21740">
        <f>HYPERLINK("C:\Users\franc\OneDrive\Documentos\MALENTIN KARIME\BANCO CREDITO\FER LORCA en ROSITA (Rosita)\CARLOS BUGUEÑO\HUGO JOFRE Nº 2.doc", "Abrir Documento")</f>
        <v>0</v>
      </c>
      <c r="D21740" t="s">
        <v>23500</v>
      </c>
      <c r="E21740" t="s">
        <v>44196</v>
      </c>
    </row>
    <row r="21741" spans="1:5">
      <c r="A21741" t="s">
        <v>6</v>
      </c>
      <c r="B21741" t="s">
        <v>21746</v>
      </c>
      <c r="C21741">
        <f>HYPERLINK("C:\Users\franc\OneDrive\Documentos\MALENTIN KARIME\BANCO CREDITO\FER LORCA en ROSITA (Rosita)\CARLOS BUGUEÑO\hugo jofre agricooa los leones sa - renuncia usufructo[1].doc", "Abrir Documento")</f>
        <v>0</v>
      </c>
      <c r="D21741" t="s">
        <v>23500</v>
      </c>
      <c r="E21741" t="s">
        <v>44197</v>
      </c>
    </row>
    <row r="21742" spans="1:5">
      <c r="A21742" t="s">
        <v>6</v>
      </c>
      <c r="B21742" t="s">
        <v>21747</v>
      </c>
      <c r="C21742">
        <f>HYPERLINK("C:\Users\franc\OneDrive\Documentos\MALENTIN KARIME\BANCO CREDITO\FER LORCA en ROSITA (Rosita)\CARLOS BUGUEÑO\declaracion jurada elsa guerrero -mundaca[1].doc", "Abrir Documento")</f>
        <v>0</v>
      </c>
      <c r="D21742" t="s">
        <v>23500</v>
      </c>
      <c r="E21742" t="s">
        <v>44198</v>
      </c>
    </row>
    <row r="21743" spans="1:5">
      <c r="A21743" t="s">
        <v>6</v>
      </c>
      <c r="B21743" t="s">
        <v>21748</v>
      </c>
      <c r="C21743">
        <f>HYPERLINK("C:\Users\franc\OneDrive\Documentos\MALENTIN KARIME\BANCO CREDITO\FER LORCA en ROSITA (Rosita)\CARLOS BUGUEÑO\CRISTIAN CARRION.doc", "Abrir Documento")</f>
        <v>0</v>
      </c>
      <c r="D21743" t="s">
        <v>23500</v>
      </c>
      <c r="E21743" t="s">
        <v>44199</v>
      </c>
    </row>
    <row r="21744" spans="1:5">
      <c r="A21744" t="s">
        <v>6</v>
      </c>
      <c r="B21744" t="s">
        <v>21749</v>
      </c>
      <c r="C21744">
        <f>HYPERLINK("C:\Users\franc\OneDrive\Documentos\MALENTIN KARIME\BANCO CREDITO\FER LORCA en ROSITA (Rosita)\CARLOS BUGUEÑO\COMPRAVENTA VEHICULO.doc", "Abrir Documento")</f>
        <v>0</v>
      </c>
      <c r="D21744" t="s">
        <v>23500</v>
      </c>
      <c r="E21744" t="s">
        <v>44200</v>
      </c>
    </row>
    <row r="21745" spans="1:5">
      <c r="A21745" t="s">
        <v>6</v>
      </c>
      <c r="B21745" t="s">
        <v>21750</v>
      </c>
      <c r="C21745">
        <f>HYPERLINK("C:\Users\franc\OneDrive\Documentos\MALENTIN KARIME\BANCO CREDITO\FER LORCA en ROSITA (Rosita)\CARLOS BUGUEÑO\arriendo_r_celedon_-__dic_2008[1].doc", "Abrir Documento")</f>
        <v>0</v>
      </c>
      <c r="D21745" t="s">
        <v>23500</v>
      </c>
      <c r="E21745" t="s">
        <v>44201</v>
      </c>
    </row>
    <row r="21746" spans="1:5">
      <c r="A21746" t="s">
        <v>6</v>
      </c>
      <c r="B21746" t="s">
        <v>21751</v>
      </c>
      <c r="C21746">
        <f>HYPERLINK("C:\Users\franc\OneDrive\Documentos\MALENTIN KARIME\BANCO CREDITO\FER LORCA en ROSITA (Rosita)\CARLOS BUGUEÑO\arriendo_alejandro_pinilla_-_modifica_arriendo_dic_2008[1].doc", "Abrir Documento")</f>
        <v>0</v>
      </c>
      <c r="D21746" t="s">
        <v>23500</v>
      </c>
      <c r="E21746" t="s">
        <v>44202</v>
      </c>
    </row>
    <row r="21747" spans="1:5">
      <c r="A21747" t="s">
        <v>6</v>
      </c>
      <c r="B21747" t="s">
        <v>21752</v>
      </c>
      <c r="C21747">
        <f>HYPERLINK("C:\Users\franc\OneDrive\Documentos\MALENTIN KARIME\BANCO CREDITO\FER LORCA en ROSITA (Rosita)\CARLOS BUGUEÑO\29    04      2010            76.doc", "Abrir Documento")</f>
        <v>0</v>
      </c>
      <c r="D21747" t="s">
        <v>23500</v>
      </c>
      <c r="E21747" t="s">
        <v>44203</v>
      </c>
    </row>
    <row r="21748" spans="1:5">
      <c r="A21748" t="s">
        <v>6</v>
      </c>
      <c r="B21748" t="s">
        <v>21753</v>
      </c>
      <c r="C21748">
        <f>HYPERLINK("C:\Users\franc\OneDrive\Documentos\MALENTIN KARIME\BANCO CREDITO\FER LORCA en ROSITA (Rosita)\BIENES MUEBLES.-\sergio leon.doc", "Abrir Documento")</f>
        <v>0</v>
      </c>
      <c r="D21748" t="s">
        <v>23500</v>
      </c>
      <c r="E21748" t="s">
        <v>44204</v>
      </c>
    </row>
    <row r="21749" spans="1:5">
      <c r="A21749" t="s">
        <v>6</v>
      </c>
      <c r="B21749" t="s">
        <v>21754</v>
      </c>
      <c r="C21749">
        <f>HYPERLINK("C:\Users\franc\OneDrive\Documentos\MALENTIN KARIME\BANCO CREDITO\FER LORCA en ROSITA (Rosita)\BIENES MUEBLES.-\MARIA CARVAJAL A JUANA PARRA.- NOVIEMBRE.doc", "Abrir Documento")</f>
        <v>0</v>
      </c>
      <c r="D21749" t="s">
        <v>23500</v>
      </c>
      <c r="E21749" t="s">
        <v>44205</v>
      </c>
    </row>
    <row r="21750" spans="1:5">
      <c r="A21750" t="s">
        <v>6</v>
      </c>
      <c r="B21750" t="s">
        <v>21755</v>
      </c>
      <c r="C21750">
        <f>HYPERLINK("C:\Users\franc\OneDrive\Documentos\MALENTIN KARIME\BANCO CREDITO\FER LORCA en ROSITA (Rosita)\BANCOS\SCOTIABANK\SOC. ALFALFARES\HIPOTECA COMERCIAL 2º GRADO.- INCOVEG.doc", "Abrir Documento")</f>
        <v>0</v>
      </c>
      <c r="D21750" t="s">
        <v>23500</v>
      </c>
      <c r="E21750" t="s">
        <v>44206</v>
      </c>
    </row>
    <row r="21751" spans="1:5">
      <c r="A21751" t="s">
        <v>6</v>
      </c>
      <c r="B21751" t="s">
        <v>21756</v>
      </c>
      <c r="C21751">
        <f>HYPERLINK("C:\Users\franc\OneDrive\Documentos\MALENTIN KARIME\BANCO CREDITO\FER LORCA en ROSITA (Rosita)\BANCOS\SCOTIABANK\SOC. ALFALFARES\HIPOTECA 2 º SOC. ALFALFARES. PC. 32.doc", "Abrir Documento")</f>
        <v>0</v>
      </c>
      <c r="D21751" t="s">
        <v>23500</v>
      </c>
      <c r="E21751" t="s">
        <v>44207</v>
      </c>
    </row>
    <row r="21752" spans="1:5">
      <c r="A21752" t="s">
        <v>6</v>
      </c>
      <c r="B21752" t="s">
        <v>21757</v>
      </c>
      <c r="C21752">
        <f>HYPERLINK("C:\Users\franc\OneDrive\Documentos\MALENTIN KARIME\BANCO CREDITO\FER LORCA en ROSITA (Rosita)\BANCOS\SCOTIABANK\SOC. ALFALFARES\HIPOTECA 2 º . ALFALFARES. PC. 39.doc", "Abrir Documento")</f>
        <v>0</v>
      </c>
      <c r="D21752" t="s">
        <v>23500</v>
      </c>
      <c r="E21752" t="s">
        <v>44208</v>
      </c>
    </row>
    <row r="21753" spans="1:5">
      <c r="A21753" t="s">
        <v>6</v>
      </c>
      <c r="B21753" t="s">
        <v>21758</v>
      </c>
      <c r="C21753">
        <f>HYPERLINK("C:\Users\franc\OneDrive\Documentos\MALENTIN KARIME\BANCO CREDITO\FER LORCA en ROSITA (Rosita)\BANCOS\SCOTIABANK\SOC. ALFALFARES\AMPLIACION PRENDA. INCOVEG.doc", "Abrir Documento")</f>
        <v>0</v>
      </c>
      <c r="D21753" t="s">
        <v>23500</v>
      </c>
      <c r="E21753" t="s">
        <v>44209</v>
      </c>
    </row>
    <row r="21754" spans="1:5">
      <c r="A21754" t="s">
        <v>6</v>
      </c>
      <c r="B21754" t="s">
        <v>21759</v>
      </c>
      <c r="C21754">
        <f>HYPERLINK("C:\Users\franc\OneDrive\Documentos\MALENTIN KARIME\BANCO CREDITO\FER LORCA en ROSITA (Rosita)\BANCOS\SCOTIABANK\SOC. ALFALFARES\AMPLIACION PRENDA. INCOVEG.= 2.doc", "Abrir Documento")</f>
        <v>0</v>
      </c>
      <c r="D21754" t="s">
        <v>23500</v>
      </c>
      <c r="E21754" t="s">
        <v>44210</v>
      </c>
    </row>
    <row r="21755" spans="1:5">
      <c r="A21755" t="s">
        <v>6</v>
      </c>
      <c r="B21755" t="s">
        <v>21760</v>
      </c>
      <c r="C21755">
        <f>HYPERLINK("C:\Users\franc\OneDrive\Documentos\MALENTIN KARIME\BANCO CREDITO\FER LORCA en ROSITA (Rosita)\BANCOS\SCOTIABANK\SOC. ALFALFARES\AMP. PRENDA SOC. ALFALFARES LTDA..doc", "Abrir Documento")</f>
        <v>0</v>
      </c>
      <c r="D21755" t="s">
        <v>23500</v>
      </c>
      <c r="E21755" t="s">
        <v>44211</v>
      </c>
    </row>
    <row r="21756" spans="1:5">
      <c r="A21756" t="s">
        <v>6</v>
      </c>
      <c r="B21756" t="s">
        <v>21761</v>
      </c>
      <c r="C21756">
        <f>HYPERLINK("C:\Users\franc\OneDrive\Documentos\MALENTIN KARIME\BANCO CREDITO\FER LORCA en ROSITA (Rosita)\BANCOS\SCOTIABANK\SCOTT HEIDMILLER\Hipoteca Comercial 2º Grado Scotiabank Scott William Heidmiller,aguas AGOSTO 2010.doc", "Abrir Documento")</f>
        <v>0</v>
      </c>
      <c r="D21756" t="s">
        <v>23500</v>
      </c>
      <c r="E21756" t="s">
        <v>44212</v>
      </c>
    </row>
    <row r="21757" spans="1:5">
      <c r="A21757" t="s">
        <v>6</v>
      </c>
      <c r="B21757" t="s">
        <v>21762</v>
      </c>
      <c r="C21757">
        <f>HYPERLINK("C:\Users\franc\OneDrive\Documentos\MALENTIN KARIME\BANCO CREDITO\FER LORCA en ROSITA (Rosita)\BANCOS\SCOTIABANK\SCOTT HEIDMILLER\Hipoteca Comercial 2º Grado Scotiabank Scott William Heidmiller, AGOSTO.- HPOTECA.doc", "Abrir Documento")</f>
        <v>0</v>
      </c>
      <c r="D21757" t="s">
        <v>23500</v>
      </c>
      <c r="E21757" t="s">
        <v>44213</v>
      </c>
    </row>
    <row r="21758" spans="1:5">
      <c r="A21758" t="s">
        <v>6</v>
      </c>
      <c r="B21758" t="s">
        <v>21763</v>
      </c>
      <c r="C21758">
        <f>HYPERLINK("C:\Users\franc\OneDrive\Documentos\MALENTIN KARIME\BANCO CREDITO\FER LORCA en ROSITA (Rosita)\BANCOS\SCOTIABANK\SCOTT HEIDMILLER\ampliación prenda Scott Heidmiller (Cerro Negro Ltda)lt 4-3.doc", "Abrir Documento")</f>
        <v>0</v>
      </c>
      <c r="D21758" t="s">
        <v>23500</v>
      </c>
      <c r="E21758" t="s">
        <v>44214</v>
      </c>
    </row>
    <row r="21759" spans="1:5">
      <c r="A21759" t="s">
        <v>6</v>
      </c>
      <c r="B21759" t="s">
        <v>21764</v>
      </c>
      <c r="C21759">
        <f>HYPERLINK("C:\Users\franc\OneDrive\Documentos\MALENTIN KARIME\BANCO CREDITO\FER LORCA en ROSITA (Rosita)\BANCOS\SCOTIABANK\SCOTT HEIDMILLER\ampliación prenda Scott Heidmiller (Cerro Negro Ltda)Lt 35.doc", "Abrir Documento")</f>
        <v>0</v>
      </c>
      <c r="D21759" t="s">
        <v>23500</v>
      </c>
      <c r="E21759" t="s">
        <v>44215</v>
      </c>
    </row>
    <row r="21760" spans="1:5">
      <c r="A21760" t="s">
        <v>6</v>
      </c>
      <c r="B21760" t="s">
        <v>21765</v>
      </c>
      <c r="C21760">
        <f>HYPERLINK("C:\Users\franc\OneDrive\Documentos\MALENTIN KARIME\BANCO CREDITO\FER LORCA en ROSITA (Rosita)\BANCOS\SCOTIABANK\SCOTT HEIDMILLER\ampliación prenda Scott Heidmiller (Cerro Negro Ltda)Lt 34A y 35.doc", "Abrir Documento")</f>
        <v>0</v>
      </c>
      <c r="D21760" t="s">
        <v>23500</v>
      </c>
      <c r="E21760" t="s">
        <v>44216</v>
      </c>
    </row>
    <row r="21761" spans="1:5">
      <c r="A21761" t="s">
        <v>6</v>
      </c>
      <c r="B21761" t="s">
        <v>21766</v>
      </c>
      <c r="C21761">
        <f>HYPERLINK("C:\Users\franc\OneDrive\Documentos\MALENTIN KARIME\BANCO CREDITO\FER LORCA en ROSITA (Rosita)\BANCOS\SCOTIABANK\REVOCACION DE MANDATOS\SCOTIABANK VICENTE POLO.doc", "Abrir Documento")</f>
        <v>0</v>
      </c>
      <c r="D21761" t="s">
        <v>23500</v>
      </c>
      <c r="E21761" t="s">
        <v>44217</v>
      </c>
    </row>
    <row r="21762" spans="1:5">
      <c r="A21762" t="s">
        <v>6</v>
      </c>
      <c r="B21762" t="s">
        <v>21767</v>
      </c>
      <c r="C21762">
        <f>HYPERLINK("C:\Users\franc\OneDrive\Documentos\MALENTIN KARIME\BANCO CREDITO\FER LORCA en ROSITA (Rosita)\BANCOS\SCOTIABANK\PRENDA\Manuel Castañeda Gómez. AGOSTO 2010.-.doc", "Abrir Documento")</f>
        <v>0</v>
      </c>
      <c r="D21762" t="s">
        <v>23500</v>
      </c>
      <c r="E21762" t="s">
        <v>44218</v>
      </c>
    </row>
    <row r="21763" spans="1:5">
      <c r="A21763" t="s">
        <v>6</v>
      </c>
      <c r="B21763" t="s">
        <v>21768</v>
      </c>
      <c r="C21763">
        <f>HYPERLINK("C:\Users\franc\OneDrive\Documentos\MALENTIN KARIME\BANCO CREDITO\FER LORCA en ROSITA (Rosita)\BANCOS\SCOTIABANK\PRENDA\DIGNA CASTILLO ARAYA.- OCTUBRE.doc", "Abrir Documento")</f>
        <v>0</v>
      </c>
      <c r="D21763" t="s">
        <v>23500</v>
      </c>
      <c r="E21763" t="s">
        <v>44219</v>
      </c>
    </row>
    <row r="21764" spans="1:5">
      <c r="A21764" t="s">
        <v>6</v>
      </c>
      <c r="B21764" t="s">
        <v>21769</v>
      </c>
      <c r="C21764">
        <f>HYPERLINK("C:\Users\franc\OneDrive\Documentos\MALENTIN KARIME\BANCO CREDITO\FER LORCA en ROSITA (Rosita)\BANCOS\SCOTIABANK\PRENDA\108 Digna Castillo Araya. 150 cc, enero.doc", "Abrir Documento")</f>
        <v>0</v>
      </c>
      <c r="D21764" t="s">
        <v>23500</v>
      </c>
      <c r="E21764" t="s">
        <v>44220</v>
      </c>
    </row>
    <row r="21765" spans="1:5">
      <c r="A21765" t="s">
        <v>6</v>
      </c>
      <c r="B21765" t="s">
        <v>21770</v>
      </c>
      <c r="C21765">
        <f>HYPERLINK("C:\Users\franc\OneDrive\Documentos\MALENTIN KARIME\BANCO CREDITO\FER LORCA en ROSITA (Rosita)\BANCOS\SCOTIABANK\MUTUOS\Mutuo Tasa Fija UFespecial) MARY GOMEZ ARAYA.csb.oct.doc", "Abrir Documento")</f>
        <v>0</v>
      </c>
      <c r="D21765" t="s">
        <v>23500</v>
      </c>
      <c r="E21765" t="s">
        <v>44221</v>
      </c>
    </row>
    <row r="21766" spans="1:5">
      <c r="A21766" t="s">
        <v>6</v>
      </c>
      <c r="B21766" t="s">
        <v>21771</v>
      </c>
      <c r="C21766">
        <f>HYPERLINK("C:\Users\franc\OneDrive\Documentos\MALENTIN KARIME\BANCO CREDITO\FER LORCA en ROSITA (Rosita)\BANCOS\SCOTIABANK\LUIS MARMADUQUE\AMP. PRENDA. 3.doc", "Abrir Documento")</f>
        <v>0</v>
      </c>
      <c r="D21766" t="s">
        <v>23500</v>
      </c>
      <c r="E21766" t="s">
        <v>44222</v>
      </c>
    </row>
    <row r="21767" spans="1:5">
      <c r="A21767" t="s">
        <v>6</v>
      </c>
      <c r="B21767" t="s">
        <v>21772</v>
      </c>
      <c r="C21767">
        <f>HYPERLINK("C:\Users\franc\OneDrive\Documentos\MALENTIN KARIME\BANCO CREDITO\FER LORCA en ROSITA (Rosita)\BANCOS\SCOTIABANK\LUIS MARMADUQUE\AMP. PRENDA. 1.doc", "Abrir Documento")</f>
        <v>0</v>
      </c>
      <c r="D21767" t="s">
        <v>23500</v>
      </c>
      <c r="E21767" t="s">
        <v>44223</v>
      </c>
    </row>
    <row r="21768" spans="1:5">
      <c r="A21768" t="s">
        <v>6</v>
      </c>
      <c r="B21768" t="s">
        <v>21773</v>
      </c>
      <c r="C21768">
        <f>HYPERLINK("C:\Users\franc\OneDrive\Documentos\MALENTIN KARIME\BANCO CREDITO\FER LORCA en ROSITA (Rosita)\BANCOS\SCOTIABANK\LUIS MARMADUQUE\AMP. PRENDA 2..doc", "Abrir Documento")</f>
        <v>0</v>
      </c>
      <c r="D21768" t="s">
        <v>23500</v>
      </c>
      <c r="E21768" t="s">
        <v>44224</v>
      </c>
    </row>
    <row r="21769" spans="1:5">
      <c r="A21769" t="s">
        <v>6</v>
      </c>
      <c r="B21769" t="s">
        <v>21774</v>
      </c>
      <c r="C21769">
        <f>HYPERLINK("C:\Users\franc\OneDrive\Documentos\MALENTIN KARIME\BANCO CREDITO\FER LORCA en ROSITA (Rosita)\BANCOS\SCOTIABANK\LEASING\ENERO 2011.-\TRANSP  VICAL Y CIA  1617401( 3VUFSBCG).doc", "Abrir Documento")</f>
        <v>0</v>
      </c>
      <c r="D21769" t="s">
        <v>23500</v>
      </c>
      <c r="E21769" t="s">
        <v>44225</v>
      </c>
    </row>
    <row r="21770" spans="1:5">
      <c r="A21770" t="s">
        <v>6</v>
      </c>
      <c r="B21770" t="s">
        <v>21775</v>
      </c>
      <c r="C21770">
        <f>HYPERLINK("C:\Users\franc\OneDrive\Documentos\MALENTIN KARIME\BANCO CREDITO\FER LORCA en ROSITA (Rosita)\BANCOS\SCOTIABANK\LEASING\DICIEMBRE\PEDRO ARAYA VALDIVIA ENERO 2011.doc", "Abrir Documento")</f>
        <v>0</v>
      </c>
      <c r="D21770" t="s">
        <v>23500</v>
      </c>
      <c r="E21770" t="s">
        <v>44226</v>
      </c>
    </row>
    <row r="21771" spans="1:5">
      <c r="A21771" t="s">
        <v>6</v>
      </c>
      <c r="B21771" t="s">
        <v>21776</v>
      </c>
      <c r="C21771">
        <f>HYPERLINK("C:\Users\franc\OneDrive\Documentos\MALENTIN KARIME\BANCO CREDITO\FER LORCA en ROSITA (Rosita)\BANCOS\SCOTIABANK\LEASING\DICIEMBRE\PEDRO ARAYA VALDIVIA 1VUFSBSG.doc", "Abrir Documento")</f>
        <v>0</v>
      </c>
      <c r="D21771" t="s">
        <v>23500</v>
      </c>
      <c r="E21771" t="s">
        <v>44227</v>
      </c>
    </row>
    <row r="21772" spans="1:5">
      <c r="A21772" t="s">
        <v>6</v>
      </c>
      <c r="B21772" t="s">
        <v>21777</v>
      </c>
      <c r="C21772">
        <f>HYPERLINK("C:\Users\franc\OneDrive\Documentos\MALENTIN KARIME\BANCO CREDITO\FER LORCA en ROSITA (Rosita)\BANCOS\SCOTIABANK\LEASING\JOSE OSSA ... JUNIO 2010.doc", "Abrir Documento")</f>
        <v>0</v>
      </c>
      <c r="D21772" t="s">
        <v>23500</v>
      </c>
      <c r="E21772" t="s">
        <v>44228</v>
      </c>
    </row>
    <row r="21773" spans="1:5">
      <c r="A21773" t="s">
        <v>6</v>
      </c>
      <c r="B21773" t="s">
        <v>21778</v>
      </c>
      <c r="C21773">
        <f>HYPERLINK("C:\Users\franc\OneDrive\Documentos\MALENTIN KARIME\BANCO CREDITO\FER LORCA en ROSITA (Rosita)\BANCOS\SCOTIABANK\HIPOTECAS\SEPTIEMBRE\HIPOTECA Héctor Diaz Saavedra. SEPT..doc", "Abrir Documento")</f>
        <v>0</v>
      </c>
      <c r="D21773" t="s">
        <v>23500</v>
      </c>
      <c r="E21773" t="s">
        <v>44229</v>
      </c>
    </row>
    <row r="21774" spans="1:5">
      <c r="A21774" t="s">
        <v>6</v>
      </c>
      <c r="B21774" t="s">
        <v>21779</v>
      </c>
      <c r="C21774">
        <f>HYPERLINK("C:\Users\franc\OneDrive\Documentos\MALENTIN KARIME\BANCO CREDITO\FER LORCA en ROSITA (Rosita)\BANCOS\SCOTIABANK\HIPOTECAS\ROSA ESTELVINA FLORES ARAYA.- OCTUBRE.-.doc", "Abrir Documento")</f>
        <v>0</v>
      </c>
      <c r="D21774" t="s">
        <v>23500</v>
      </c>
      <c r="E21774" t="s">
        <v>44230</v>
      </c>
    </row>
    <row r="21775" spans="1:5">
      <c r="A21775" t="s">
        <v>6</v>
      </c>
      <c r="B21775" t="s">
        <v>21780</v>
      </c>
      <c r="C21775">
        <f>HYPERLINK("C:\Users\franc\OneDrive\Documentos\MALENTIN KARIME\BANCO CREDITO\FER LORCA en ROSITA (Rosita)\BANCOS\SCOTIABANK\HIPOTECAS\ROSA ESTELVINA FLORES ARAYA.- NOVIEMBRE.doc", "Abrir Documento")</f>
        <v>0</v>
      </c>
      <c r="D21775" t="s">
        <v>23500</v>
      </c>
      <c r="E21775" t="s">
        <v>44231</v>
      </c>
    </row>
    <row r="21776" spans="1:5">
      <c r="A21776" t="s">
        <v>6</v>
      </c>
      <c r="B21776" t="s">
        <v>21781</v>
      </c>
      <c r="C21776">
        <f>HYPERLINK("C:\Users\franc\OneDrive\Documentos\MALENTIN KARIME\BANCO CREDITO\FER LORCA en ROSITA (Rosita)\BANCOS\SCOTIABANK\HIPOTECAS\MARIA VERONICA PIZARRO GARCIA.doc", "Abrir Documento")</f>
        <v>0</v>
      </c>
      <c r="D21776" t="s">
        <v>23500</v>
      </c>
      <c r="E21776" t="s">
        <v>44232</v>
      </c>
    </row>
    <row r="21777" spans="1:5">
      <c r="A21777" t="s">
        <v>6</v>
      </c>
      <c r="B21777" t="s">
        <v>21782</v>
      </c>
      <c r="C21777">
        <f>HYPERLINK("C:\Users\franc\OneDrive\Documentos\MALENTIN KARIME\BANCO CREDITO\FER LORCA en ROSITA (Rosita)\BANCOS\SCOTIABANK\HIPOTECAS\LUIS GUERRA COLLADO.doc", "Abrir Documento")</f>
        <v>0</v>
      </c>
      <c r="D21777" t="s">
        <v>23500</v>
      </c>
      <c r="E21777" t="s">
        <v>44233</v>
      </c>
    </row>
    <row r="21778" spans="1:5">
      <c r="A21778" t="s">
        <v>6</v>
      </c>
      <c r="B21778" t="s">
        <v>21783</v>
      </c>
      <c r="C21778">
        <f>HYPERLINK("C:\Users\franc\OneDrive\Documentos\MALENTIN KARIME\BANCO CREDITO\FER LORCA en ROSITA (Rosita)\BANCOS\SCOTIABANK\HIPOTECAS\HIPOTECA. SAMUEL BOZO LORCA. EL ROMERAL 10.doc", "Abrir Documento")</f>
        <v>0</v>
      </c>
      <c r="D21778" t="s">
        <v>23500</v>
      </c>
      <c r="E21778" t="s">
        <v>44234</v>
      </c>
    </row>
    <row r="21779" spans="1:5">
      <c r="A21779" t="s">
        <v>6</v>
      </c>
      <c r="B21779" t="s">
        <v>21784</v>
      </c>
      <c r="C21779">
        <f>HYPERLINK("C:\Users\franc\OneDrive\Documentos\MALENTIN KARIME\BANCO CREDITO\FER LORCA en ROSITA (Rosita)\BANCOS\SCOTIABANK\HIPOTECAS\HIPOTECA. Luis Salinas Peña.AGOSTO 2010.doc", "Abrir Documento")</f>
        <v>0</v>
      </c>
      <c r="D21779" t="s">
        <v>23500</v>
      </c>
      <c r="E21779" t="s">
        <v>44235</v>
      </c>
    </row>
    <row r="21780" spans="1:5">
      <c r="A21780" t="s">
        <v>6</v>
      </c>
      <c r="B21780" t="s">
        <v>21785</v>
      </c>
      <c r="C21780">
        <f>HYPERLINK("C:\Users\franc\OneDrive\Documentos\MALENTIN KARIME\BANCO CREDITO\FER LORCA en ROSITA (Rosita)\BANCOS\SCOTIABANK\HIPOTECAS\HIPOTECA SAMUEL BOZO LORCA.doc", "Abrir Documento")</f>
        <v>0</v>
      </c>
      <c r="D21780" t="s">
        <v>23500</v>
      </c>
      <c r="E21780" t="s">
        <v>44236</v>
      </c>
    </row>
    <row r="21781" spans="1:5">
      <c r="A21781" t="s">
        <v>6</v>
      </c>
      <c r="B21781" t="s">
        <v>21786</v>
      </c>
      <c r="C21781">
        <f>HYPERLINK("C:\Users\franc\OneDrive\Documentos\MALENTIN KARIME\BANCO CREDITO\FER LORCA en ROSITA (Rosita)\BANCOS\SCOTIABANK\HIPOTECAS\HIPOTECA RAMON LUNA.- HACER.doc", "Abrir Documento")</f>
        <v>0</v>
      </c>
      <c r="D21781" t="s">
        <v>23500</v>
      </c>
      <c r="E21781" t="s">
        <v>44237</v>
      </c>
    </row>
    <row r="21782" spans="1:5">
      <c r="A21782" t="s">
        <v>6</v>
      </c>
      <c r="B21782" t="s">
        <v>21787</v>
      </c>
      <c r="C21782">
        <f>HYPERLINK("C:\Users\franc\OneDrive\Documentos\MALENTIN KARIME\BANCO CREDITO\FER LORCA en ROSITA (Rosita)\BANCOS\SCOTIABANK\HIPOTECAS\HIPOTECA RAMON LUNA CON ANGEL LUNA.- HACER.doc", "Abrir Documento")</f>
        <v>0</v>
      </c>
      <c r="D21782" t="s">
        <v>23500</v>
      </c>
      <c r="E21782" t="s">
        <v>44238</v>
      </c>
    </row>
    <row r="21783" spans="1:5">
      <c r="A21783" t="s">
        <v>6</v>
      </c>
      <c r="B21783" t="s">
        <v>21788</v>
      </c>
      <c r="C21783">
        <f>HYPERLINK("C:\Users\franc\OneDrive\Documentos\MALENTIN KARIME\BANCO CREDITO\FER LORCA en ROSITA (Rosita)\BANCOS\SCOTIABANK\HIPOTECAS\HIPOTECA NICOMEDES BUGUEÑO BARRAZA.doc", "Abrir Documento")</f>
        <v>0</v>
      </c>
      <c r="D21783" t="s">
        <v>23500</v>
      </c>
      <c r="E21783" t="s">
        <v>44239</v>
      </c>
    </row>
    <row r="21784" spans="1:5">
      <c r="A21784" t="s">
        <v>6</v>
      </c>
      <c r="B21784" t="s">
        <v>21789</v>
      </c>
      <c r="C21784">
        <f>HYPERLINK("C:\Users\franc\OneDrive\Documentos\MALENTIN KARIME\BANCO CREDITO\FER LORCA en ROSITA (Rosita)\BANCOS\SCOTIABANK\HIPOTECAS\HIPOTECA MARY GOMEZ ARAYA. OCTUBRE 2010.doc", "Abrir Documento")</f>
        <v>0</v>
      </c>
      <c r="D21784" t="s">
        <v>23500</v>
      </c>
      <c r="E21784" t="s">
        <v>44240</v>
      </c>
    </row>
    <row r="21785" spans="1:5">
      <c r="A21785" t="s">
        <v>6</v>
      </c>
      <c r="B21785" t="s">
        <v>21790</v>
      </c>
      <c r="C21785">
        <f>HYPERLINK("C:\Users\franc\OneDrive\Documentos\MALENTIN KARIME\BANCO CREDITO\FER LORCA en ROSITA (Rosita)\BANCOS\SCOTIABANK\HIPOTECAS\HIPOTECA LORENZO ARAYA.doc", "Abrir Documento")</f>
        <v>0</v>
      </c>
      <c r="D21785" t="s">
        <v>23500</v>
      </c>
      <c r="E21785" t="s">
        <v>44241</v>
      </c>
    </row>
    <row r="21786" spans="1:5">
      <c r="A21786" t="s">
        <v>6</v>
      </c>
      <c r="B21786" t="s">
        <v>21791</v>
      </c>
      <c r="C21786">
        <f>HYPERLINK("C:\Users\franc\OneDrive\Documentos\MALENTIN KARIME\BANCO CREDITO\FER LORCA en ROSITA (Rosita)\BANCOS\SCOTIABANK\HIPOTECAS\HIPOTECA LAUTARO GONZALEZ CAMPOS.doc", "Abrir Documento")</f>
        <v>0</v>
      </c>
      <c r="D21786" t="s">
        <v>23500</v>
      </c>
      <c r="E21786" t="s">
        <v>44242</v>
      </c>
    </row>
    <row r="21787" spans="1:5">
      <c r="A21787" t="s">
        <v>6</v>
      </c>
      <c r="B21787" t="s">
        <v>21792</v>
      </c>
      <c r="C21787">
        <f>HYPERLINK("C:\Users\franc\OneDrive\Documentos\MALENTIN KARIME\BANCO CREDITO\FER LORCA en ROSITA (Rosita)\BANCOS\SCOTIABANK\HIPOTECAS\HIPOTECA IRIS GALLEGUILLOS MALDONADO.doc", "Abrir Documento")</f>
        <v>0</v>
      </c>
      <c r="D21787" t="s">
        <v>23500</v>
      </c>
      <c r="E21787" t="s">
        <v>44243</v>
      </c>
    </row>
    <row r="21788" spans="1:5">
      <c r="A21788" t="s">
        <v>6</v>
      </c>
      <c r="B21788" t="s">
        <v>21793</v>
      </c>
      <c r="C21788">
        <f>HYPERLINK("C:\Users\franc\OneDrive\Documentos\MALENTIN KARIME\BANCO CREDITO\FER LORCA en ROSITA (Rosita)\BANCOS\SCOTIABANK\HIPOTECAS\HIPOTECA ESMERALDO ENRIQUE VALDIVIA .- FEBRERO.doc", "Abrir Documento")</f>
        <v>0</v>
      </c>
      <c r="D21788" t="s">
        <v>23500</v>
      </c>
      <c r="E21788" t="s">
        <v>44244</v>
      </c>
    </row>
    <row r="21789" spans="1:5">
      <c r="A21789" t="s">
        <v>6</v>
      </c>
      <c r="B21789" t="s">
        <v>21794</v>
      </c>
      <c r="C21789">
        <f>HYPERLINK("C:\Users\franc\OneDrive\Documentos\MALENTIN KARIME\BANCO CREDITO\FER LORCA en ROSITA (Rosita)\BANCOS\SCOTIABANK\HIPOTECAS\HIPOTECA ENRIQUE MOLINA OTAROLA.doc", "Abrir Documento")</f>
        <v>0</v>
      </c>
      <c r="D21789" t="s">
        <v>23500</v>
      </c>
      <c r="E21789" t="s">
        <v>44245</v>
      </c>
    </row>
    <row r="21790" spans="1:5">
      <c r="A21790" t="s">
        <v>6</v>
      </c>
      <c r="B21790" t="s">
        <v>21795</v>
      </c>
      <c r="C21790">
        <f>HYPERLINK("C:\Users\franc\OneDrive\Documentos\MALENTIN KARIME\BANCO CREDITO\FER LORCA en ROSITA (Rosita)\BANCOS\SCOTIABANK\HIPOTECAS\HIPOTECA EMIR RODRIGUEZ.doc", "Abrir Documento")</f>
        <v>0</v>
      </c>
      <c r="D21790" t="s">
        <v>23500</v>
      </c>
      <c r="E21790" t="s">
        <v>44246</v>
      </c>
    </row>
    <row r="21791" spans="1:5">
      <c r="A21791" t="s">
        <v>6</v>
      </c>
      <c r="B21791" t="s">
        <v>21796</v>
      </c>
      <c r="C21791">
        <f>HYPERLINK("C:\Users\franc\OneDrive\Documentos\MALENTIN KARIME\BANCO CREDITO\FER LORCA en ROSITA (Rosita)\BANCOS\SCOTIABANK\HIPOTECAS\HIPOTECA DELICIA BUGUEÑO MUÑOZ...-.doc", "Abrir Documento")</f>
        <v>0</v>
      </c>
      <c r="D21791" t="s">
        <v>23500</v>
      </c>
      <c r="E21791" t="s">
        <v>44247</v>
      </c>
    </row>
    <row r="21792" spans="1:5">
      <c r="A21792" t="s">
        <v>6</v>
      </c>
      <c r="B21792" t="s">
        <v>21797</v>
      </c>
      <c r="C21792">
        <f>HYPERLINK("C:\Users\franc\OneDrive\Documentos\MALENTIN KARIME\BANCO CREDITO\FER LORCA en ROSITA (Rosita)\BANCOS\SCOTIABANK\HIPOTECAS\Hipoteca Comercial 2º Grado Scotiabank Luis Guerra Collao.-.doc", "Abrir Documento")</f>
        <v>0</v>
      </c>
      <c r="D21792" t="s">
        <v>23500</v>
      </c>
      <c r="E21792" t="s">
        <v>44248</v>
      </c>
    </row>
    <row r="21793" spans="1:5">
      <c r="A21793" t="s">
        <v>6</v>
      </c>
      <c r="B21793" t="s">
        <v>21798</v>
      </c>
      <c r="C21793">
        <f>HYPERLINK("C:\Users\franc\OneDrive\Documentos\MALENTIN KARIME\BANCO CREDITO\FER LORCA en ROSITA (Rosita)\BANCOS\SCOTIABANK\HIPOTECAS\Hipoteca Comercial 2º Grado Scotiabank Inv e Inmob Cahur Ltda- Serena.- ABRIL.doc", "Abrir Documento")</f>
        <v>0</v>
      </c>
      <c r="D21793" t="s">
        <v>23500</v>
      </c>
      <c r="E21793" t="s">
        <v>44249</v>
      </c>
    </row>
    <row r="21794" spans="1:5">
      <c r="A21794" t="s">
        <v>6</v>
      </c>
      <c r="B21794" t="s">
        <v>21799</v>
      </c>
      <c r="C21794">
        <f>HYPERLINK("C:\Users\franc\OneDrive\Documentos\MALENTIN KARIME\BANCO CREDITO\FER LORCA en ROSITA (Rosita)\BANCOS\SCOTIABANK\HIPOTECAS\Hipoteca Comercial 2º Grado Scotiabank Inv e Inmob Cahur Ltda- Coquimbo.- ABRIL.doc", "Abrir Documento")</f>
        <v>0</v>
      </c>
      <c r="D21794" t="s">
        <v>23500</v>
      </c>
      <c r="E21794" t="s">
        <v>44250</v>
      </c>
    </row>
    <row r="21795" spans="1:5">
      <c r="A21795" t="s">
        <v>6</v>
      </c>
      <c r="B21795" t="s">
        <v>21800</v>
      </c>
      <c r="C21795">
        <f>HYPERLINK("C:\Users\franc\OneDrive\Documentos\MALENTIN KARIME\BANCO CREDITO\FER LORCA en ROSITA (Rosita)\BANCOS\SCOTIABANK\HIPOTECAS\Hipoteca Comercial 2º Grado Scotiabank Inmob Las Cardas Ltda- AGOSTO 2010.doc", "Abrir Documento")</f>
        <v>0</v>
      </c>
      <c r="D21795" t="s">
        <v>23500</v>
      </c>
      <c r="E21795" t="s">
        <v>44251</v>
      </c>
    </row>
    <row r="21796" spans="1:5">
      <c r="A21796" t="s">
        <v>6</v>
      </c>
      <c r="B21796" t="s">
        <v>21801</v>
      </c>
      <c r="C21796">
        <f>HYPERLINK("C:\Users\franc\OneDrive\Documentos\MALENTIN KARIME\BANCO CREDITO\FER LORCA en ROSITA (Rosita)\BANCOS\SCOTIABANK\HIPOTECAS\Hipoteca Comercial 2º Grado Scotiabank Inmob Las Cardas Ltda- AGOSTO 2010..doc", "Abrir Documento")</f>
        <v>0</v>
      </c>
      <c r="D21796" t="s">
        <v>23500</v>
      </c>
      <c r="E21796" t="s">
        <v>44252</v>
      </c>
    </row>
    <row r="21797" spans="1:5">
      <c r="A21797" t="s">
        <v>6</v>
      </c>
      <c r="B21797" t="s">
        <v>21802</v>
      </c>
      <c r="C21797">
        <f>HYPERLINK("C:\Users\franc\OneDrive\Documentos\MALENTIN KARIME\BANCO CREDITO\FER LORCA en ROSITA (Rosita)\BANCOS\SCOTIABANK\HIPOTECAS\Hipoteca Comercial 2º Grado Scotiabank Inmob Las Cardas Ltda- AGOSTO 2010.-.doc", "Abrir Documento")</f>
        <v>0</v>
      </c>
      <c r="D21797" t="s">
        <v>23500</v>
      </c>
      <c r="E21797" t="s">
        <v>44253</v>
      </c>
    </row>
    <row r="21798" spans="1:5">
      <c r="A21798" t="s">
        <v>6</v>
      </c>
      <c r="B21798" t="s">
        <v>21803</v>
      </c>
      <c r="C21798">
        <f>HYPERLINK("C:\Users\franc\OneDrive\Documentos\MALENTIN KARIME\BANCO CREDITO\FER LORCA en ROSITA (Rosita)\BANCOS\SCOTIABANK\HIPOTECAS\Hipoteca Comercial 2º Grado Scotiabank Hector Rojas González.doc", "Abrir Documento")</f>
        <v>0</v>
      </c>
      <c r="D21798" t="s">
        <v>23500</v>
      </c>
      <c r="E21798" t="s">
        <v>44254</v>
      </c>
    </row>
    <row r="21799" spans="1:5">
      <c r="A21799" t="s">
        <v>6</v>
      </c>
      <c r="B21799" t="s">
        <v>21804</v>
      </c>
      <c r="C21799">
        <f>HYPERLINK("C:\Users\franc\OneDrive\Documentos\MALENTIN KARIME\BANCO CREDITO\FER LORCA en ROSITA (Rosita)\BANCOS\SCOTIABANK\HIPOTECAS\Hipoteca Comercial 2º Grado Scotiabank Altamirano Buono-Core Hnos Ltda.doc", "Abrir Documento")</f>
        <v>0</v>
      </c>
      <c r="D21799" t="s">
        <v>23500</v>
      </c>
      <c r="E21799" t="s">
        <v>44255</v>
      </c>
    </row>
    <row r="21800" spans="1:5">
      <c r="A21800" t="s">
        <v>6</v>
      </c>
      <c r="B21800" t="s">
        <v>21805</v>
      </c>
      <c r="C21800">
        <f>HYPERLINK("C:\Users\franc\OneDrive\Documentos\MALENTIN KARIME\BANCO CREDITO\FER LORCA en ROSITA (Rosita)\BANCOS\SCOTIABANK\HIPOTECAS\HIPOTECA BLANCA HIDALGO VILLALOBOS.doc", "Abrir Documento")</f>
        <v>0</v>
      </c>
      <c r="D21800" t="s">
        <v>23500</v>
      </c>
      <c r="E21800" t="s">
        <v>44256</v>
      </c>
    </row>
    <row r="21801" spans="1:5">
      <c r="A21801" t="s">
        <v>6</v>
      </c>
      <c r="B21801" t="s">
        <v>21806</v>
      </c>
      <c r="C21801">
        <f>HYPERLINK("C:\Users\franc\OneDrive\Documentos\MALENTIN KARIME\BANCO CREDITO\FER LORCA en ROSITA (Rosita)\BANCOS\SCOTIABANK\HIPOTECAS\HIPOTECA  Exequiel Véliz Ordenes.- ABRIL.- HACER.doc", "Abrir Documento")</f>
        <v>0</v>
      </c>
      <c r="D21801" t="s">
        <v>23500</v>
      </c>
      <c r="E21801" t="s">
        <v>44257</v>
      </c>
    </row>
    <row r="21802" spans="1:5">
      <c r="A21802" t="s">
        <v>6</v>
      </c>
      <c r="B21802" t="s">
        <v>21807</v>
      </c>
      <c r="C21802">
        <f>HYPERLINK("C:\Users\franc\OneDrive\Documentos\MALENTIN KARIME\BANCO CREDITO\FER LORCA en ROSITA (Rosita)\BANCOS\SCOTIABANK\HIPOTECAS\HIPOTECA   PATRICIA  DELGADO RUBIO.doc", "Abrir Documento")</f>
        <v>0</v>
      </c>
      <c r="D21802" t="s">
        <v>23500</v>
      </c>
      <c r="E21802" t="s">
        <v>44258</v>
      </c>
    </row>
    <row r="21803" spans="1:5">
      <c r="A21803" t="s">
        <v>6</v>
      </c>
      <c r="B21803" t="s">
        <v>21808</v>
      </c>
      <c r="C21803">
        <f>HYPERLINK("C:\Users\franc\OneDrive\Documentos\MALENTIN KARIME\BANCO CREDITO\FER LORCA en ROSITA (Rosita)\BANCOS\SCOTIABANK\HIPOTECAS\HIPOT. FRESIA CASTILLO IRIARTE.- MARZOÇ.doc", "Abrir Documento")</f>
        <v>0</v>
      </c>
      <c r="D21803" t="s">
        <v>23500</v>
      </c>
      <c r="E21803" t="s">
        <v>44259</v>
      </c>
    </row>
    <row r="21804" spans="1:5">
      <c r="A21804" t="s">
        <v>6</v>
      </c>
      <c r="B21804" t="s">
        <v>21809</v>
      </c>
      <c r="C21804">
        <f>HYPERLINK("C:\Users\franc\OneDrive\Documentos\MALENTIN KARIME\BANCO CREDITO\FER LORCA en ROSITA (Rosita)\BANCOS\SCOTIABANK\HIPOTECAS\FRANCISCO NIÑO DE ZEPEDA.- JUNIO 2010.doc", "Abrir Documento")</f>
        <v>0</v>
      </c>
      <c r="D21804" t="s">
        <v>23500</v>
      </c>
      <c r="E21804" t="s">
        <v>44260</v>
      </c>
    </row>
    <row r="21805" spans="1:5">
      <c r="A21805" t="s">
        <v>6</v>
      </c>
      <c r="B21805" t="s">
        <v>21810</v>
      </c>
      <c r="C21805">
        <f>HYPERLINK("C:\Users\franc\OneDrive\Documentos\MALENTIN KARIME\BANCO CREDITO\FER LORCA en ROSITA (Rosita)\BANCOS\SCOTIABANK\HIPOTECAS\Fernando Pizarro Vargas.dic DICIEMBRE.doc", "Abrir Documento")</f>
        <v>0</v>
      </c>
      <c r="D21805" t="s">
        <v>23500</v>
      </c>
      <c r="E21805" t="s">
        <v>44261</v>
      </c>
    </row>
    <row r="21806" spans="1:5">
      <c r="A21806" t="s">
        <v>6</v>
      </c>
      <c r="B21806" t="s">
        <v>21811</v>
      </c>
      <c r="C21806">
        <f>HYPERLINK("C:\Users\franc\OneDrive\Documentos\MALENTIN KARIME\BANCO CREDITO\FER LORCA en ROSITA (Rosita)\BANCOS\SCOTIABANK\HIPOTECAS\Exequiel Alfaro Araya.A Dhalmar.AGOSTO.- 2010.doc", "Abrir Documento")</f>
        <v>0</v>
      </c>
      <c r="D21806" t="s">
        <v>23500</v>
      </c>
      <c r="E21806" t="s">
        <v>44262</v>
      </c>
    </row>
    <row r="21807" spans="1:5">
      <c r="A21807" t="s">
        <v>6</v>
      </c>
      <c r="B21807" t="s">
        <v>21812</v>
      </c>
      <c r="C21807">
        <f>HYPERLINK("C:\Users\franc\OneDrive\Documentos\MALENTIN KARIME\BANCO CREDITO\FER LORCA en ROSITA (Rosita)\BANCOS\SCOTIABANK\HIPOTECAS\Exequiel Alfaro Araya .Libertad. AGOSTO 2010.- 2-.doc", "Abrir Documento")</f>
        <v>0</v>
      </c>
      <c r="D21807" t="s">
        <v>23500</v>
      </c>
      <c r="E21807" t="s">
        <v>44263</v>
      </c>
    </row>
    <row r="21808" spans="1:5">
      <c r="A21808" t="s">
        <v>6</v>
      </c>
      <c r="B21808" t="s">
        <v>21813</v>
      </c>
      <c r="C21808">
        <f>HYPERLINK("C:\Users\franc\OneDrive\Documentos\MALENTIN KARIME\BANCO CREDITO\FER LORCA en ROSITA (Rosita)\BANCOS\SCOTIABANK\HIPOTECAS\DIST. COMB. CONDE  Y  DIAZ   LTDA.-.doc", "Abrir Documento")</f>
        <v>0</v>
      </c>
      <c r="D21808" t="s">
        <v>23500</v>
      </c>
      <c r="E21808" t="s">
        <v>44264</v>
      </c>
    </row>
    <row r="21809" spans="1:5">
      <c r="A21809" t="s">
        <v>6</v>
      </c>
      <c r="B21809" t="s">
        <v>21814</v>
      </c>
      <c r="C21809">
        <f>HYPERLINK("C:\Users\franc\OneDrive\Documentos\MALENTIN KARIME\BANCO CREDITO\FER LORCA en ROSITA (Rosita)\BANCOS\SCOTIABANK\HIPOTECAS\COMPLEMENTACION AM.  HIPOT. SCOTT WILLIAM HEIDMILLER.- OCTUBRE.doc", "Abrir Documento")</f>
        <v>0</v>
      </c>
      <c r="D21809" t="s">
        <v>23500</v>
      </c>
      <c r="E21809" t="s">
        <v>44265</v>
      </c>
    </row>
    <row r="21810" spans="1:5">
      <c r="A21810" t="s">
        <v>6</v>
      </c>
      <c r="B21810" t="s">
        <v>21815</v>
      </c>
      <c r="C21810">
        <f>HYPERLINK("C:\Users\franc\OneDrive\Documentos\MALENTIN KARIME\BANCO CREDITO\FER LORCA en ROSITA (Rosita)\BANCOS\SCOTIABANK\HIPOTECAS\AROLDO TELLO CORTES.- ABRIL 2010.doc", "Abrir Documento")</f>
        <v>0</v>
      </c>
      <c r="D21810" t="s">
        <v>23500</v>
      </c>
      <c r="E21810" t="s">
        <v>44266</v>
      </c>
    </row>
    <row r="21811" spans="1:5">
      <c r="A21811" t="s">
        <v>6</v>
      </c>
      <c r="B21811" t="s">
        <v>21816</v>
      </c>
      <c r="C21811">
        <f>HYPERLINK("C:\Users\franc\OneDrive\Documentos\MALENTIN KARIME\BANCO CREDITO\FER LORCA en ROSITA (Rosita)\BANCOS\SCOTIABANK\FLOR MARIA.- RAUL JOFRE- CARMEN\ON CARMEN BRAVO\HIPOTECA CARMEN BRAVO CASTILLO. SOC. FLOR MARIA.doc", "Abrir Documento")</f>
        <v>0</v>
      </c>
      <c r="D21811" t="s">
        <v>23500</v>
      </c>
      <c r="E21811" t="s">
        <v>44267</v>
      </c>
    </row>
    <row r="21812" spans="1:5">
      <c r="A21812" t="s">
        <v>6</v>
      </c>
      <c r="B21812" t="s">
        <v>21817</v>
      </c>
      <c r="C21812">
        <f>HYPERLINK("C:\Users\franc\OneDrive\Documentos\MALENTIN KARIME\BANCO CREDITO\FER LORCA en ROSITA (Rosita)\BANCOS\SCOTIABANK\FLOR MARIA.- RAUL JOFRE- CARMEN\ON CARMEN BRAVO\HIPOTECA CARMEN BRAVO CASTILLO- FLOR MARIA.doc", "Abrir Documento")</f>
        <v>0</v>
      </c>
      <c r="D21812" t="s">
        <v>23500</v>
      </c>
      <c r="E21812" t="s">
        <v>44268</v>
      </c>
    </row>
    <row r="21813" spans="1:5">
      <c r="A21813" t="s">
        <v>6</v>
      </c>
      <c r="B21813" t="s">
        <v>21818</v>
      </c>
      <c r="C21813">
        <f>HYPERLINK("C:\Users\franc\OneDrive\Documentos\MALENTIN KARIME\BANCO CREDITO\FER LORCA en ROSITA (Rosita)\BANCOS\SCOTIABANK\FLOR MARIA.- RAUL JOFRE- CARMEN\ON CARMEN BRAVO\AMPLIAC.  PRENDA. CARMEN BRAVO CASTILLO.doc", "Abrir Documento")</f>
        <v>0</v>
      </c>
      <c r="D21813" t="s">
        <v>23500</v>
      </c>
      <c r="E21813" t="s">
        <v>44269</v>
      </c>
    </row>
    <row r="21814" spans="1:5">
      <c r="A21814" t="s">
        <v>6</v>
      </c>
      <c r="B21814" t="s">
        <v>21819</v>
      </c>
      <c r="C21814">
        <f>HYPERLINK("C:\Users\franc\OneDrive\Documentos\MALENTIN KARIME\BANCO CREDITO\FER LORCA en ROSITA (Rosita)\BANCOS\SCOTIABANK\FLOR MARIA.- RAUL JOFRE- CARMEN\HIPOTECA. SOC. FLOR MARIA LTDA.doc", "Abrir Documento")</f>
        <v>0</v>
      </c>
      <c r="D21814" t="s">
        <v>23500</v>
      </c>
      <c r="E21814" t="s">
        <v>44270</v>
      </c>
    </row>
    <row r="21815" spans="1:5">
      <c r="A21815" t="s">
        <v>6</v>
      </c>
      <c r="B21815" t="s">
        <v>21820</v>
      </c>
      <c r="C21815">
        <f>HYPERLINK("C:\Users\franc\OneDrive\Documentos\MALENTIN KARIME\BANCO CREDITO\FER LORCA en ROSITA (Rosita)\BANCOS\SCOTIABANK\FLOR MARIA.- RAUL JOFRE- CARMEN\HIPOTECA. RAUL TARCISIO JOFRE.doc", "Abrir Documento")</f>
        <v>0</v>
      </c>
      <c r="D21815" t="s">
        <v>23500</v>
      </c>
      <c r="E21815" t="s">
        <v>44271</v>
      </c>
    </row>
    <row r="21816" spans="1:5">
      <c r="A21816" t="s">
        <v>6</v>
      </c>
      <c r="B21816" t="s">
        <v>21821</v>
      </c>
      <c r="C21816">
        <f>HYPERLINK("C:\Users\franc\OneDrive\Documentos\MALENTIN KARIME\BANCO CREDITO\FER LORCA en ROSITA (Rosita)\BANCOS\SCOTIABANK\FLOR MARIA.- RAUL JOFRE- CARMEN\EXTRACTO CARMEN BRAVO CASTILLO (AGRO RAISINS). CORREGIDO.doc", "Abrir Documento")</f>
        <v>0</v>
      </c>
      <c r="D21816" t="s">
        <v>23500</v>
      </c>
      <c r="E21816" t="s">
        <v>44272</v>
      </c>
    </row>
    <row r="21817" spans="1:5">
      <c r="A21817" t="s">
        <v>6</v>
      </c>
      <c r="B21817" t="s">
        <v>21822</v>
      </c>
      <c r="C21817">
        <f>HYPERLINK("C:\Users\franc\OneDrive\Documentos\MALENTIN KARIME\BANCO CREDITO\FER LORCA en ROSITA (Rosita)\BANCOS\SCOTIABANK\FLOR MARIA.- RAUL JOFRE- CARMEN\CARMEN BRAVO CASTILLO (AMP. Y MODIFIC) EXTRACTO.doc", "Abrir Documento")</f>
        <v>0</v>
      </c>
      <c r="D21817" t="s">
        <v>23500</v>
      </c>
      <c r="E21817" t="s">
        <v>44273</v>
      </c>
    </row>
    <row r="21818" spans="1:5">
      <c r="A21818" t="s">
        <v>6</v>
      </c>
      <c r="B21818" t="s">
        <v>21823</v>
      </c>
      <c r="C21818">
        <f>HYPERLINK("C:\Users\franc\OneDrive\Documentos\MALENTIN KARIME\BANCO CREDITO\FER LORCA en ROSITA (Rosita)\BANCOS\SCOTIABANK\EXTRACTOS\SCOTT WILLIAM\extracto SCOTT WILLIAM HEIDMILLER.2 LOTE_34A Y 35.doc", "Abrir Documento")</f>
        <v>0</v>
      </c>
      <c r="D21818" t="s">
        <v>23500</v>
      </c>
      <c r="E21818" t="s">
        <v>44274</v>
      </c>
    </row>
    <row r="21819" spans="1:5">
      <c r="A21819" t="s">
        <v>6</v>
      </c>
      <c r="B21819" t="s">
        <v>21824</v>
      </c>
      <c r="C21819">
        <f>HYPERLINK("C:\Users\franc\OneDrive\Documentos\MALENTIN KARIME\BANCO CREDITO\FER LORCA en ROSITA (Rosita)\BANCOS\SCOTIABANK\EXTRACTOS\SCOTT WILLIAM\extracto SCOTT WILLIAM HEIDMILLER.-3.-lote 35.doc", "Abrir Documento")</f>
        <v>0</v>
      </c>
      <c r="D21819" t="s">
        <v>23500</v>
      </c>
      <c r="E21819" t="s">
        <v>44275</v>
      </c>
    </row>
    <row r="21820" spans="1:5">
      <c r="A21820" t="s">
        <v>6</v>
      </c>
      <c r="B21820" t="s">
        <v>21825</v>
      </c>
      <c r="C21820">
        <f>HYPERLINK("C:\Users\franc\OneDrive\Documentos\MALENTIN KARIME\BANCO CREDITO\FER LORCA en ROSITA (Rosita)\BANCOS\SCOTIABANK\EXTRACTOS\SCOTT WILLIAM\extracto SCOTT WILLIAM HEIDMILLER.-1 lt 4-3.doc", "Abrir Documento")</f>
        <v>0</v>
      </c>
      <c r="D21820" t="s">
        <v>23500</v>
      </c>
      <c r="E21820" t="s">
        <v>44276</v>
      </c>
    </row>
    <row r="21821" spans="1:5">
      <c r="A21821" t="s">
        <v>6</v>
      </c>
      <c r="B21821" t="s">
        <v>21826</v>
      </c>
      <c r="C21821">
        <f>HYPERLINK("C:\Users\franc\OneDrive\Documentos\MALENTIN KARIME\BANCO CREDITO\FER LORCA en ROSITA (Rosita)\BANCOS\SCOTIABANK\EXTRACTOS\TOMAS CORTES FUENTES.doc", "Abrir Documento")</f>
        <v>0</v>
      </c>
      <c r="D21821" t="s">
        <v>23500</v>
      </c>
      <c r="E21821" t="s">
        <v>44277</v>
      </c>
    </row>
    <row r="21822" spans="1:5">
      <c r="A21822" t="s">
        <v>6</v>
      </c>
      <c r="B21822" t="s">
        <v>21827</v>
      </c>
      <c r="C21822">
        <f>HYPERLINK("C:\Users\franc\OneDrive\Documentos\MALENTIN KARIME\BANCO CREDITO\FER LORCA en ROSITA (Rosita)\BANCOS\SCOTIABANK\EXTRACTOS\SOC. ALFALFARES LTDA.-.doc", "Abrir Documento")</f>
        <v>0</v>
      </c>
      <c r="D21822" t="s">
        <v>23500</v>
      </c>
      <c r="E21822" t="s">
        <v>44278</v>
      </c>
    </row>
    <row r="21823" spans="1:5">
      <c r="A21823" t="s">
        <v>6</v>
      </c>
      <c r="B21823" t="s">
        <v>21828</v>
      </c>
      <c r="C21823">
        <f>HYPERLINK("C:\Users\franc\OneDrive\Documentos\MALENTIN KARIME\BANCO CREDITO\FER LORCA en ROSITA (Rosita)\BANCOS\SCOTIABANK\EXTRACTOS\SOC. AGRO RAISINS LTDA (AMP. Y MODIFIC) EXTRACTO.doc", "Abrir Documento")</f>
        <v>0</v>
      </c>
      <c r="D21823" t="s">
        <v>23500</v>
      </c>
      <c r="E21823" t="s">
        <v>44279</v>
      </c>
    </row>
    <row r="21824" spans="1:5">
      <c r="A21824" t="s">
        <v>6</v>
      </c>
      <c r="B21824" t="s">
        <v>21829</v>
      </c>
      <c r="C21824">
        <f>HYPERLINK("C:\Users\franc\OneDrive\Documentos\MALENTIN KARIME\BANCO CREDITO\FER LORCA en ROSITA (Rosita)\BANCOS\SCOTIABANK\EXTRACTOS\SOC. AGRIC. LOS ALAMOS LTDA.- FEB.-.doc", "Abrir Documento")</f>
        <v>0</v>
      </c>
      <c r="D21824" t="s">
        <v>23500</v>
      </c>
      <c r="E21824" t="s">
        <v>44280</v>
      </c>
    </row>
    <row r="21825" spans="1:5">
      <c r="A21825" t="s">
        <v>6</v>
      </c>
      <c r="B21825" t="s">
        <v>21830</v>
      </c>
      <c r="C21825">
        <f>HYPERLINK("C:\Users\franc\OneDrive\Documentos\MALENTIN KARIME\BANCO CREDITO\FER LORCA en ROSITA (Rosita)\BANCOS\SCOTIABANK\EXTRACTOS\SCOTT WILLIAM HEIDMILLER.- 3.- lote 35.-.doc", "Abrir Documento")</f>
        <v>0</v>
      </c>
      <c r="D21825" t="s">
        <v>23500</v>
      </c>
      <c r="E21825" t="s">
        <v>44281</v>
      </c>
    </row>
    <row r="21826" spans="1:5">
      <c r="A21826" t="s">
        <v>6</v>
      </c>
      <c r="B21826" t="s">
        <v>21831</v>
      </c>
      <c r="C21826">
        <f>HYPERLINK("C:\Users\franc\OneDrive\Documentos\MALENTIN KARIME\BANCO CREDITO\FER LORCA en ROSITA (Rosita)\BANCOS\SCOTIABANK\EXTRACTOS\SCOTT WILLIAM HEIDMILLER.- 2.- LOTE 34.doc", "Abrir Documento")</f>
        <v>0</v>
      </c>
      <c r="D21826" t="s">
        <v>23500</v>
      </c>
      <c r="E21826" t="s">
        <v>44282</v>
      </c>
    </row>
    <row r="21827" spans="1:5">
      <c r="A21827" t="s">
        <v>6</v>
      </c>
      <c r="B21827" t="s">
        <v>21832</v>
      </c>
      <c r="C21827">
        <f>HYPERLINK("C:\Users\franc\OneDrive\Documentos\MALENTIN KARIME\BANCO CREDITO\FER LORCA en ROSITA (Rosita)\BANCOS\SCOTIABANK\EXTRACTOS\SCOTT WILLIAM HEIDMILLER.- 1.doc", "Abrir Documento")</f>
        <v>0</v>
      </c>
      <c r="D21827" t="s">
        <v>23500</v>
      </c>
      <c r="E21827" t="s">
        <v>44283</v>
      </c>
    </row>
    <row r="21828" spans="1:5">
      <c r="A21828" t="s">
        <v>6</v>
      </c>
      <c r="B21828" t="s">
        <v>21833</v>
      </c>
      <c r="C21828">
        <f>HYPERLINK("C:\Users\franc\OneDrive\Documentos\MALENTIN KARIME\BANCO CREDITO\FER LORCA en ROSITA (Rosita)\BANCOS\SCOTIABANK\EXTRACTOS\ROSA OLIVIA PASTEN(AMP. Y MODIFIC) EXTRACTO.doc", "Abrir Documento")</f>
        <v>0</v>
      </c>
      <c r="D21828" t="s">
        <v>23500</v>
      </c>
      <c r="E21828" t="s">
        <v>44284</v>
      </c>
    </row>
    <row r="21829" spans="1:5">
      <c r="A21829" t="s">
        <v>6</v>
      </c>
      <c r="B21829" t="s">
        <v>21834</v>
      </c>
      <c r="C21829">
        <f>HYPERLINK("C:\Users\franc\OneDrive\Documentos\MALENTIN KARIME\BANCO CREDITO\FER LORCA en ROSITA (Rosita)\BANCOS\SCOTIABANK\EXTRACTOS\RAMON LUNA CORTES.doc", "Abrir Documento")</f>
        <v>0</v>
      </c>
      <c r="D21829" t="s">
        <v>23500</v>
      </c>
      <c r="E21829" t="s">
        <v>44285</v>
      </c>
    </row>
    <row r="21830" spans="1:5">
      <c r="A21830" t="s">
        <v>6</v>
      </c>
      <c r="B21830" t="s">
        <v>21835</v>
      </c>
      <c r="C21830">
        <f>HYPERLINK("C:\Users\franc\OneDrive\Documentos\MALENTIN KARIME\BANCO CREDITO\FER LORCA en ROSITA (Rosita)\BANCOS\SCOTIABANK\EXTRACTOS\LUIS GUERRA COLLADO.doc", "Abrir Documento")</f>
        <v>0</v>
      </c>
      <c r="D21830" t="s">
        <v>23500</v>
      </c>
      <c r="E21830" t="s">
        <v>44286</v>
      </c>
    </row>
    <row r="21831" spans="1:5">
      <c r="A21831" t="s">
        <v>6</v>
      </c>
      <c r="B21831" t="s">
        <v>21836</v>
      </c>
      <c r="C21831">
        <f>HYPERLINK("C:\Users\franc\OneDrive\Documentos\MALENTIN KARIME\BANCO CREDITO\FER LORCA en ROSITA (Rosita)\BANCOS\SCOTIABANK\EXTRACTOS\JOSE OSSA HUENOLAF.doc", "Abrir Documento")</f>
        <v>0</v>
      </c>
      <c r="D21831" t="s">
        <v>23500</v>
      </c>
      <c r="E21831" t="s">
        <v>44287</v>
      </c>
    </row>
    <row r="21832" spans="1:5">
      <c r="A21832" t="s">
        <v>6</v>
      </c>
      <c r="B21832" t="s">
        <v>21837</v>
      </c>
      <c r="C21832">
        <f>HYPERLINK("C:\Users\franc\OneDrive\Documentos\MALENTIN KARIME\BANCO CREDITO\FER LORCA en ROSITA (Rosita)\BANCOS\SCOTIABANK\EXTRACTOS\JOSE OSSA HUENOLAF.- HYUNDAI.-.doc", "Abrir Documento")</f>
        <v>0</v>
      </c>
      <c r="D21832" t="s">
        <v>23500</v>
      </c>
      <c r="E21832" t="s">
        <v>44288</v>
      </c>
    </row>
    <row r="21833" spans="1:5">
      <c r="A21833" t="s">
        <v>6</v>
      </c>
      <c r="B21833" t="s">
        <v>21838</v>
      </c>
      <c r="C21833">
        <f>HYPERLINK("C:\Users\franc\OneDrive\Documentos\MALENTIN KARIME\BANCO CREDITO\FER LORCA en ROSITA (Rosita)\BANCOS\SCOTIABANK\EXTRACTOS\INCOVEG 2.-.doc", "Abrir Documento")</f>
        <v>0</v>
      </c>
      <c r="D21833" t="s">
        <v>23500</v>
      </c>
      <c r="E21833" t="s">
        <v>44289</v>
      </c>
    </row>
    <row r="21834" spans="1:5">
      <c r="A21834" t="s">
        <v>6</v>
      </c>
      <c r="B21834" t="s">
        <v>21839</v>
      </c>
      <c r="C21834">
        <f>HYPERLINK("C:\Users\franc\OneDrive\Documentos\MALENTIN KARIME\BANCO CREDITO\FER LORCA en ROSITA (Rosita)\BANCOS\SCOTIABANK\EXTRACTOS\INCOVEG 1.-.doc", "Abrir Documento")</f>
        <v>0</v>
      </c>
      <c r="D21834" t="s">
        <v>23500</v>
      </c>
      <c r="E21834" t="s">
        <v>44290</v>
      </c>
    </row>
    <row r="21835" spans="1:5">
      <c r="A21835" t="s">
        <v>6</v>
      </c>
      <c r="B21835" t="s">
        <v>21840</v>
      </c>
      <c r="C21835">
        <f>HYPERLINK("C:\Users\franc\OneDrive\Documentos\MALENTIN KARIME\BANCO CREDITO\FER LORCA en ROSITA (Rosita)\BANCOS\SCOTIABANK\EXTRACTOS\EXTRACTO.OSCIEL BUGUEÑO CARVAJAL.doc", "Abrir Documento")</f>
        <v>0</v>
      </c>
      <c r="D21835" t="s">
        <v>23500</v>
      </c>
      <c r="E21835" t="s">
        <v>44291</v>
      </c>
    </row>
    <row r="21836" spans="1:5">
      <c r="A21836" t="s">
        <v>6</v>
      </c>
      <c r="B21836" t="s">
        <v>21841</v>
      </c>
      <c r="C21836">
        <f>HYPERLINK("C:\Users\franc\OneDrive\Documentos\MALENTIN KARIME\BANCO CREDITO\FER LORCA en ROSITA (Rosita)\BANCOS\SCOTIABANK\EXTRACTOS\EXTRACTO. SALVADOR CASTILLO HONORES.doc", "Abrir Documento")</f>
        <v>0</v>
      </c>
      <c r="D21836" t="s">
        <v>23500</v>
      </c>
      <c r="E21836" t="s">
        <v>44292</v>
      </c>
    </row>
    <row r="21837" spans="1:5">
      <c r="A21837" t="s">
        <v>6</v>
      </c>
      <c r="B21837" t="s">
        <v>21842</v>
      </c>
      <c r="C21837">
        <f>HYPERLINK("C:\Users\franc\OneDrive\Documentos\MALENTIN KARIME\BANCO CREDITO\FER LORCA en ROSITA (Rosita)\BANCOS\SCOTIABANK\EXTRACTOS\EXTRACTO. NESTOR GOMEZ ARAYA.doc", "Abrir Documento")</f>
        <v>0</v>
      </c>
      <c r="D21837" t="s">
        <v>23500</v>
      </c>
      <c r="E21837" t="s">
        <v>44293</v>
      </c>
    </row>
    <row r="21838" spans="1:5">
      <c r="A21838" t="s">
        <v>6</v>
      </c>
      <c r="B21838" t="s">
        <v>21843</v>
      </c>
      <c r="C21838">
        <f>HYPERLINK("C:\Users\franc\OneDrive\Documentos\MALENTIN KARIME\BANCO CREDITO\FER LORCA en ROSITA (Rosita)\BANCOS\SCOTIABANK\EXTRACTOS\EXTRACTO. MANUEL CASTAÑEDA.-2.-.doc", "Abrir Documento")</f>
        <v>0</v>
      </c>
      <c r="D21838" t="s">
        <v>23500</v>
      </c>
      <c r="E21838" t="s">
        <v>44294</v>
      </c>
    </row>
    <row r="21839" spans="1:5">
      <c r="A21839" t="s">
        <v>6</v>
      </c>
      <c r="B21839" t="s">
        <v>21844</v>
      </c>
      <c r="C21839">
        <f>HYPERLINK("C:\Users\franc\OneDrive\Documentos\MALENTIN KARIME\BANCO CREDITO\FER LORCA en ROSITA (Rosita)\BANCOS\SCOTIABANK\EXTRACTOS\EXTRACTO. MANUEL CASTAÑEDA.-.doc", "Abrir Documento")</f>
        <v>0</v>
      </c>
      <c r="D21839" t="s">
        <v>23500</v>
      </c>
      <c r="E21839" t="s">
        <v>44295</v>
      </c>
    </row>
    <row r="21840" spans="1:5">
      <c r="A21840" t="s">
        <v>6</v>
      </c>
      <c r="B21840" t="s">
        <v>21845</v>
      </c>
      <c r="C21840">
        <f>HYPERLINK("C:\Users\franc\OneDrive\Documentos\MALENTIN KARIME\BANCO CREDITO\FER LORCA en ROSITA (Rosita)\BANCOS\SCOTIABANK\EXTRACTOS\EXTRACTO. LUIS MARMADUQUE.- 3.doc", "Abrir Documento")</f>
        <v>0</v>
      </c>
      <c r="D21840" t="s">
        <v>23500</v>
      </c>
      <c r="E21840" t="s">
        <v>44296</v>
      </c>
    </row>
    <row r="21841" spans="1:5">
      <c r="A21841" t="s">
        <v>6</v>
      </c>
      <c r="B21841" t="s">
        <v>21846</v>
      </c>
      <c r="C21841">
        <f>HYPERLINK("C:\Users\franc\OneDrive\Documentos\MALENTIN KARIME\BANCO CREDITO\FER LORCA en ROSITA (Rosita)\BANCOS\SCOTIABANK\EXTRACTOS\EXTRACTO. LUIS MARMADUQUE.- 2.doc", "Abrir Documento")</f>
        <v>0</v>
      </c>
      <c r="D21841" t="s">
        <v>23500</v>
      </c>
      <c r="E21841" t="s">
        <v>44297</v>
      </c>
    </row>
    <row r="21842" spans="1:5">
      <c r="A21842" t="s">
        <v>6</v>
      </c>
      <c r="B21842" t="s">
        <v>21847</v>
      </c>
      <c r="C21842">
        <f>HYPERLINK("C:\Users\franc\OneDrive\Documentos\MALENTIN KARIME\BANCO CREDITO\FER LORCA en ROSITA (Rosita)\BANCOS\SCOTIABANK\EXTRACTOS\EXTRACTO. LUIS MARMADUQUE.- 1.doc", "Abrir Documento")</f>
        <v>0</v>
      </c>
      <c r="D21842" t="s">
        <v>23500</v>
      </c>
      <c r="E21842" t="s">
        <v>44298</v>
      </c>
    </row>
    <row r="21843" spans="1:5">
      <c r="A21843" t="s">
        <v>6</v>
      </c>
      <c r="B21843" t="s">
        <v>21848</v>
      </c>
      <c r="C21843">
        <f>HYPERLINK("C:\Users\franc\OneDrive\Documentos\MALENTIN KARIME\BANCO CREDITO\FER LORCA en ROSITA (Rosita)\BANCOS\SCOTIABANK\EXTRACTOS\EXTRACTO. HERNAN CASTRO PIZARRO.doc", "Abrir Documento")</f>
        <v>0</v>
      </c>
      <c r="D21843" t="s">
        <v>23500</v>
      </c>
      <c r="E21843" t="s">
        <v>44299</v>
      </c>
    </row>
    <row r="21844" spans="1:5">
      <c r="A21844" t="s">
        <v>6</v>
      </c>
      <c r="B21844" t="s">
        <v>21849</v>
      </c>
      <c r="C21844">
        <f>HYPERLINK("C:\Users\franc\OneDrive\Documentos\MALENTIN KARIME\BANCO CREDITO\FER LORCA en ROSITA (Rosita)\BANCOS\SCOTIABANK\EXTRACTOS\EXTRACTO SALVADOR CASTILLO HONORES.doc", "Abrir Documento")</f>
        <v>0</v>
      </c>
      <c r="D21844" t="s">
        <v>23500</v>
      </c>
      <c r="E21844" t="s">
        <v>44300</v>
      </c>
    </row>
    <row r="21845" spans="1:5">
      <c r="A21845" t="s">
        <v>6</v>
      </c>
      <c r="B21845" t="s">
        <v>21850</v>
      </c>
      <c r="C21845">
        <f>HYPERLINK("C:\Users\franc\OneDrive\Documentos\MALENTIN KARIME\BANCO CREDITO\FER LORCA en ROSITA (Rosita)\BANCOS\SCOTIABANK\EXTRACTOS\EXTRACTO ROSA OLIVIA PASTEN.- CORREGIDO.doc", "Abrir Documento")</f>
        <v>0</v>
      </c>
      <c r="D21845" t="s">
        <v>23500</v>
      </c>
      <c r="E21845" t="s">
        <v>44301</v>
      </c>
    </row>
    <row r="21846" spans="1:5">
      <c r="A21846" t="s">
        <v>6</v>
      </c>
      <c r="B21846" t="s">
        <v>21851</v>
      </c>
      <c r="C21846">
        <f>HYPERLINK("C:\Users\franc\OneDrive\Documentos\MALENTIN KARIME\BANCO CREDITO\FER LORCA en ROSITA (Rosita)\BANCOS\SCOTIABANK\EXTRACTOS\extracto RAMON LUNA CORTES.doc", "Abrir Documento")</f>
        <v>0</v>
      </c>
      <c r="D21846" t="s">
        <v>23500</v>
      </c>
      <c r="E21846" t="s">
        <v>44302</v>
      </c>
    </row>
    <row r="21847" spans="1:5">
      <c r="A21847" t="s">
        <v>6</v>
      </c>
      <c r="B21847" t="s">
        <v>21852</v>
      </c>
      <c r="C21847">
        <f>HYPERLINK("C:\Users\franc\OneDrive\Documentos\MALENTIN KARIME\BANCO CREDITO\FER LORCA en ROSITA (Rosita)\BANCOS\SCOTIABANK\EXTRACTOS\EXTRACTO NESTOR GOMEZ ARAYA.doc", "Abrir Documento")</f>
        <v>0</v>
      </c>
      <c r="D21847" t="s">
        <v>23500</v>
      </c>
      <c r="E21847" t="s">
        <v>44303</v>
      </c>
    </row>
    <row r="21848" spans="1:5">
      <c r="A21848" t="s">
        <v>6</v>
      </c>
      <c r="B21848" t="s">
        <v>21853</v>
      </c>
      <c r="C21848">
        <f>HYPERLINK("C:\Users\franc\OneDrive\Documentos\MALENTIN KARIME\BANCO CREDITO\FER LORCA en ROSITA (Rosita)\BANCOS\SCOTIABANK\EXTRACTOS\extracto MANUEL CASTAÑEDA GOMEZ.-AGOSTO 2010.doc", "Abrir Documento")</f>
        <v>0</v>
      </c>
      <c r="D21848" t="s">
        <v>23500</v>
      </c>
      <c r="E21848" t="s">
        <v>44304</v>
      </c>
    </row>
    <row r="21849" spans="1:5">
      <c r="A21849" t="s">
        <v>6</v>
      </c>
      <c r="B21849" t="s">
        <v>21854</v>
      </c>
      <c r="C21849">
        <f>HYPERLINK("C:\Users\franc\OneDrive\Documentos\MALENTIN KARIME\BANCO CREDITO\FER LORCA en ROSITA (Rosita)\BANCOS\SCOTIABANK\EXTRACTOS\EXTRACTO HERNAN CASTRO PIZARRO[1].doc", "Abrir Documento")</f>
        <v>0</v>
      </c>
      <c r="D21849" t="s">
        <v>23500</v>
      </c>
      <c r="E21849" t="s">
        <v>44305</v>
      </c>
    </row>
    <row r="21850" spans="1:5">
      <c r="A21850" t="s">
        <v>6</v>
      </c>
      <c r="B21850" t="s">
        <v>21855</v>
      </c>
      <c r="C21850">
        <f>HYPERLINK("C:\Users\franc\OneDrive\Documentos\MALENTIN KARIME\BANCO CREDITO\FER LORCA en ROSITA (Rosita)\BANCOS\SCOTIABANK\EXTRACTOS\EXTRACTO CARLOS ASTETE.doc", "Abrir Documento")</f>
        <v>0</v>
      </c>
      <c r="D21850" t="s">
        <v>23500</v>
      </c>
      <c r="E21850" t="s">
        <v>44306</v>
      </c>
    </row>
    <row r="21851" spans="1:5">
      <c r="A21851" t="s">
        <v>6</v>
      </c>
      <c r="B21851" t="s">
        <v>21856</v>
      </c>
      <c r="C21851">
        <f>HYPERLINK("C:\Users\franc\OneDrive\Documentos\MALENTIN KARIME\BANCO CREDITO\FER LORCA en ROSITA (Rosita)\BANCOS\SCOTIABANK\EXTRACTOS\EXTRACTO ABEL CASTANEDA.doc", "Abrir Documento")</f>
        <v>0</v>
      </c>
      <c r="D21851" t="s">
        <v>23500</v>
      </c>
      <c r="E21851" t="s">
        <v>44307</v>
      </c>
    </row>
    <row r="21852" spans="1:5">
      <c r="A21852" t="s">
        <v>6</v>
      </c>
      <c r="B21852" t="s">
        <v>21857</v>
      </c>
      <c r="C21852">
        <f>HYPERLINK("C:\Users\franc\OneDrive\Documentos\MALENTIN KARIME\BANCO CREDITO\FER LORCA en ROSITA (Rosita)\BANCOS\SCOTIABANK\EXTRACTOS\EXTRACTO ABEL CASTANE.doc", "Abrir Documento")</f>
        <v>0</v>
      </c>
      <c r="D21852" t="s">
        <v>23500</v>
      </c>
      <c r="E21852" t="s">
        <v>44308</v>
      </c>
    </row>
    <row r="21853" spans="1:5">
      <c r="A21853" t="s">
        <v>6</v>
      </c>
      <c r="B21853" t="s">
        <v>21858</v>
      </c>
      <c r="C21853">
        <f>HYPERLINK("C:\Users\franc\OneDrive\Documentos\MALENTIN KARIME\BANCO CREDITO\FER LORCA en ROSITA (Rosita)\BANCOS\SCOTIABANK\EXTRACTOS\DIGNA CASTILLO.- PRENDA OCTUBRE.doc", "Abrir Documento")</f>
        <v>0</v>
      </c>
      <c r="D21853" t="s">
        <v>23500</v>
      </c>
      <c r="E21853" t="s">
        <v>44309</v>
      </c>
    </row>
    <row r="21854" spans="1:5">
      <c r="A21854" t="s">
        <v>6</v>
      </c>
      <c r="B21854" t="s">
        <v>21859</v>
      </c>
      <c r="C21854">
        <f>HYPERLINK("C:\Users\franc\OneDrive\Documentos\MALENTIN KARIME\BANCO CREDITO\FER LORCA en ROSITA (Rosita)\BANCOS\SCOTIABANK\EXTRACTOS\DAVID CARVAJAL nº 3.doc", "Abrir Documento")</f>
        <v>0</v>
      </c>
      <c r="D21854" t="s">
        <v>23500</v>
      </c>
      <c r="E21854" t="s">
        <v>44310</v>
      </c>
    </row>
    <row r="21855" spans="1:5">
      <c r="A21855" t="s">
        <v>6</v>
      </c>
      <c r="B21855" t="s">
        <v>21860</v>
      </c>
      <c r="C21855">
        <f>HYPERLINK("C:\Users\franc\OneDrive\Documentos\MALENTIN KARIME\BANCO CREDITO\FER LORCA en ROSITA (Rosita)\BANCOS\SCOTIABANK\EXTRACTOS\DAVID CARVAJAL nº 2.doc", "Abrir Documento")</f>
        <v>0</v>
      </c>
      <c r="D21855" t="s">
        <v>23500</v>
      </c>
      <c r="E21855" t="s">
        <v>44311</v>
      </c>
    </row>
    <row r="21856" spans="1:5">
      <c r="A21856" t="s">
        <v>6</v>
      </c>
      <c r="B21856" t="s">
        <v>21861</v>
      </c>
      <c r="C21856">
        <f>HYPERLINK("C:\Users\franc\OneDrive\Documentos\MALENTIN KARIME\BANCO CREDITO\FER LORCA en ROSITA (Rosita)\BANCOS\SCOTIABANK\EXTRACTOS\DAVID CARVAJAL nº 1.doc", "Abrir Documento")</f>
        <v>0</v>
      </c>
      <c r="D21856" t="s">
        <v>23500</v>
      </c>
      <c r="E21856" t="s">
        <v>44312</v>
      </c>
    </row>
    <row r="21857" spans="1:5">
      <c r="A21857" t="s">
        <v>6</v>
      </c>
      <c r="B21857" t="s">
        <v>21862</v>
      </c>
      <c r="C21857">
        <f>HYPERLINK("C:\Users\franc\OneDrive\Documentos\MALENTIN KARIME\BANCO CREDITO\FER LORCA en ROSITA (Rosita)\BANCOS\SCOTIABANK\CVTA. Y MUTUO HIPOT.-\Escritura Zeidler Malebran. seguro.doc", "Abrir Documento")</f>
        <v>0</v>
      </c>
      <c r="D21857" t="s">
        <v>23500</v>
      </c>
      <c r="E21857" t="s">
        <v>44313</v>
      </c>
    </row>
    <row r="21858" spans="1:5">
      <c r="A21858" t="s">
        <v>6</v>
      </c>
      <c r="B21858" t="s">
        <v>21863</v>
      </c>
      <c r="C21858">
        <f>HYPERLINK("C:\Users\franc\OneDrive\Documentos\MALENTIN KARIME\BANCO CREDITO\FER LORCA en ROSITA (Rosita)\BANCOS\SCOTIABANK\ALZAMIENTOS\SEPTIEMBRE 2010.-\Manuel Briceño Iturieta- sept.doc", "Abrir Documento")</f>
        <v>0</v>
      </c>
      <c r="D21858" t="s">
        <v>23500</v>
      </c>
      <c r="E21858" t="s">
        <v>44314</v>
      </c>
    </row>
    <row r="21859" spans="1:5">
      <c r="A21859" t="s">
        <v>6</v>
      </c>
      <c r="B21859" t="s">
        <v>21864</v>
      </c>
      <c r="C21859">
        <f>HYPERLINK("C:\Users\franc\OneDrive\Documentos\MALENTIN KARIME\BANCO CREDITO\FER LORCA en ROSITA (Rosita)\BANCOS\SCOTIABANK\ALZAMIENTOS\SEPTIEMBRE 2010.-\Manuel Avalos Castillo . sept 2010.doc", "Abrir Documento")</f>
        <v>0</v>
      </c>
      <c r="D21859" t="s">
        <v>23500</v>
      </c>
      <c r="E21859" t="s">
        <v>44315</v>
      </c>
    </row>
    <row r="21860" spans="1:5">
      <c r="A21860" t="s">
        <v>6</v>
      </c>
      <c r="B21860" t="s">
        <v>21865</v>
      </c>
      <c r="C21860">
        <f>HYPERLINK("C:\Users\franc\OneDrive\Documentos\MALENTIN KARIME\BANCO CREDITO\FER LORCA en ROSITA (Rosita)\BANCOS\SCOTIABANK\ALZAMIENTOS\SEPTIEMBRE 2010.-\Cruz Gomez Formas- sept.doc", "Abrir Documento")</f>
        <v>0</v>
      </c>
      <c r="D21860" t="s">
        <v>23500</v>
      </c>
      <c r="E21860" t="s">
        <v>44316</v>
      </c>
    </row>
    <row r="21861" spans="1:5">
      <c r="A21861" t="s">
        <v>6</v>
      </c>
      <c r="B21861" t="s">
        <v>21866</v>
      </c>
      <c r="C21861">
        <f>HYPERLINK("C:\Users\franc\OneDrive\Documentos\MALENTIN KARIME\BANCO CREDITO\FER LORCA en ROSITA (Rosita)\BANCOS\SCOTIABANK\ALZAMIENTOS\OCTUBRE\Samuel Bozo Lorca . sept. Lt San Luis.doc", "Abrir Documento")</f>
        <v>0</v>
      </c>
      <c r="D21861" t="s">
        <v>23500</v>
      </c>
      <c r="E21861" t="s">
        <v>44317</v>
      </c>
    </row>
    <row r="21862" spans="1:5">
      <c r="A21862" t="s">
        <v>6</v>
      </c>
      <c r="B21862" t="s">
        <v>21867</v>
      </c>
      <c r="C21862">
        <f>HYPERLINK("C:\Users\franc\OneDrive\Documentos\MALENTIN KARIME\BANCO CREDITO\FER LORCA en ROSITA (Rosita)\BANCOS\SCOTIABANK\ALZAMIENTOS\OCTUBRE\Samuel Bozo Lorca . sept. Av Remeral.doc", "Abrir Documento")</f>
        <v>0</v>
      </c>
      <c r="D21862" t="s">
        <v>23500</v>
      </c>
      <c r="E21862" t="s">
        <v>44318</v>
      </c>
    </row>
    <row r="21863" spans="1:5">
      <c r="A21863" t="s">
        <v>6</v>
      </c>
      <c r="B21863" t="s">
        <v>21868</v>
      </c>
      <c r="C21863">
        <f>HYPERLINK("C:\Users\franc\OneDrive\Documentos\MALENTIN KARIME\BANCO CREDITO\FER LORCA en ROSITA (Rosita)\BANCOS\SCOTIABANK\ALZAMIENTOS\OCTUBRE\Luis Zepeda Pastén . octubre 2010.doc", "Abrir Documento")</f>
        <v>0</v>
      </c>
      <c r="D21863" t="s">
        <v>23500</v>
      </c>
      <c r="E21863" t="s">
        <v>44319</v>
      </c>
    </row>
    <row r="21864" spans="1:5">
      <c r="A21864" t="s">
        <v>6</v>
      </c>
      <c r="B21864" t="s">
        <v>21869</v>
      </c>
      <c r="C21864">
        <f>HYPERLINK("C:\Users\franc\OneDrive\Documentos\MALENTIN KARIME\BANCO CREDITO\FER LORCA en ROSITA (Rosita)\BANCOS\SCOTIABANK\ALZAMIENTOS\OCTUBRE\LUIS MARMADUQUE ZEPEDA.- OCT. CORREGIDA.doc", "Abrir Documento")</f>
        <v>0</v>
      </c>
      <c r="D21864" t="s">
        <v>23500</v>
      </c>
      <c r="E21864" t="s">
        <v>44320</v>
      </c>
    </row>
    <row r="21865" spans="1:5">
      <c r="A21865" t="s">
        <v>6</v>
      </c>
      <c r="B21865" t="s">
        <v>21870</v>
      </c>
      <c r="C21865">
        <f>HYPERLINK("C:\Users\franc\OneDrive\Documentos\MALENTIN KARIME\BANCO CREDITO\FER LORCA en ROSITA (Rosita)\BANCOS\SCOTIABANK\ALZAMIENTOS\OCTUBRE\Humberto Pizarro Castro - oct.doc", "Abrir Documento")</f>
        <v>0</v>
      </c>
      <c r="D21865" t="s">
        <v>23500</v>
      </c>
      <c r="E21865" t="s">
        <v>44321</v>
      </c>
    </row>
    <row r="21866" spans="1:5">
      <c r="A21866" t="s">
        <v>6</v>
      </c>
      <c r="B21866" t="s">
        <v>21871</v>
      </c>
      <c r="C21866">
        <f>HYPERLINK("C:\Users\franc\OneDrive\Documentos\MALENTIN KARIME\BANCO CREDITO\FER LORCA en ROSITA (Rosita)\BANCOS\SCOTIABANK\ALZAMIENTOS\NOVIEMBRE 2010.-\Juan Antilef Huenchuman. nov.doc", "Abrir Documento")</f>
        <v>0</v>
      </c>
      <c r="D21866" t="s">
        <v>23500</v>
      </c>
      <c r="E21866" t="s">
        <v>44322</v>
      </c>
    </row>
    <row r="21867" spans="1:5">
      <c r="A21867" t="s">
        <v>6</v>
      </c>
      <c r="B21867" t="s">
        <v>21872</v>
      </c>
      <c r="C21867">
        <f>HYPERLINK("C:\Users\franc\OneDrive\Documentos\MALENTIN KARIME\BANCO CREDITO\FER LORCA en ROSITA (Rosita)\BANCOS\SCOTIABANK\ALZAMIENTOS\NOVIEMBRE 2010.-\Francisco Zepeda Parra  t y a - nov..doc", "Abrir Documento")</f>
        <v>0</v>
      </c>
      <c r="D21867" t="s">
        <v>23500</v>
      </c>
      <c r="E21867" t="s">
        <v>44323</v>
      </c>
    </row>
    <row r="21868" spans="1:5">
      <c r="A21868" t="s">
        <v>6</v>
      </c>
      <c r="B21868" t="s">
        <v>21873</v>
      </c>
      <c r="C21868">
        <f>HYPERLINK("C:\Users\franc\OneDrive\Documentos\MALENTIN KARIME\BANCO CREDITO\FER LORCA en ROSITA (Rosita)\BANCOS\SCOTIABANK\ALZAMIENTOS\NOVIEMBRE 2010.-\Francisco Niño de Zepeda Parra. nov.- cuartel.doc", "Abrir Documento")</f>
        <v>0</v>
      </c>
      <c r="D21868" t="s">
        <v>23500</v>
      </c>
      <c r="E21868" t="s">
        <v>44324</v>
      </c>
    </row>
    <row r="21869" spans="1:5">
      <c r="A21869" t="s">
        <v>6</v>
      </c>
      <c r="B21869" t="s">
        <v>21874</v>
      </c>
      <c r="C21869">
        <f>HYPERLINK("C:\Users\franc\OneDrive\Documentos\MALENTIN KARIME\BANCO CREDITO\FER LORCA en ROSITA (Rosita)\BANCOS\SCOTIABANK\ALZAMIENTOS\MARZO 2011\Ricardo Morgado Rivera. marzo.doc", "Abrir Documento")</f>
        <v>0</v>
      </c>
      <c r="D21869" t="s">
        <v>23500</v>
      </c>
      <c r="E21869" t="s">
        <v>44325</v>
      </c>
    </row>
    <row r="21870" spans="1:5">
      <c r="A21870" t="s">
        <v>6</v>
      </c>
      <c r="B21870" t="s">
        <v>21875</v>
      </c>
      <c r="C21870">
        <f>HYPERLINK("C:\Users\franc\OneDrive\Documentos\MALENTIN KARIME\BANCO CREDITO\FER LORCA en ROSITA (Rosita)\BANCOS\SCOTIABANK\ALZAMIENTOS\MARZO 2011\Jorge Cortes Alfaro. marzo.doc", "Abrir Documento")</f>
        <v>0</v>
      </c>
      <c r="D21870" t="s">
        <v>23500</v>
      </c>
      <c r="E21870" t="s">
        <v>44326</v>
      </c>
    </row>
    <row r="21871" spans="1:5">
      <c r="A21871" t="s">
        <v>6</v>
      </c>
      <c r="B21871" t="s">
        <v>21876</v>
      </c>
      <c r="C21871">
        <f>HYPERLINK("C:\Users\franc\OneDrive\Documentos\MALENTIN KARIME\BANCO CREDITO\FER LORCA en ROSITA (Rosita)\BANCOS\SCOTIABANK\ALZAMIENTOS\JULIO\RAUL PIZARRO MUNDACA.-.doc", "Abrir Documento")</f>
        <v>0</v>
      </c>
      <c r="D21871" t="s">
        <v>23500</v>
      </c>
      <c r="E21871" t="s">
        <v>44327</v>
      </c>
    </row>
    <row r="21872" spans="1:5">
      <c r="A21872" t="s">
        <v>6</v>
      </c>
      <c r="B21872" t="s">
        <v>21877</v>
      </c>
      <c r="C21872">
        <f>HYPERLINK("C:\Users\franc\OneDrive\Documentos\MALENTIN KARIME\BANCO CREDITO\FER LORCA en ROSITA (Rosita)\BANCOS\SCOTIABANK\ALZAMIENTOS\JULIO\PEDRO JAIME CODOCEO.- JULIO 2010.doc", "Abrir Documento")</f>
        <v>0</v>
      </c>
      <c r="D21872" t="s">
        <v>23500</v>
      </c>
      <c r="E21872" t="s">
        <v>44328</v>
      </c>
    </row>
    <row r="21873" spans="1:5">
      <c r="A21873" t="s">
        <v>6</v>
      </c>
      <c r="B21873" t="s">
        <v>21878</v>
      </c>
      <c r="C21873">
        <f>HYPERLINK("C:\Users\franc\OneDrive\Documentos\MALENTIN KARIME\BANCO CREDITO\FER LORCA en ROSITA (Rosita)\BANCOS\SCOTIABANK\ALZAMIENTOS\JULIO\JULIO ZEPEDA RAMIREZ.- JULIO 2010.doc", "Abrir Documento")</f>
        <v>0</v>
      </c>
      <c r="D21873" t="s">
        <v>23500</v>
      </c>
      <c r="E21873" t="s">
        <v>44329</v>
      </c>
    </row>
    <row r="21874" spans="1:5">
      <c r="A21874" t="s">
        <v>6</v>
      </c>
      <c r="B21874" t="s">
        <v>21879</v>
      </c>
      <c r="C21874">
        <f>HYPERLINK("C:\Users\franc\OneDrive\Documentos\MALENTIN KARIME\BANCO CREDITO\FER LORCA en ROSITA (Rosita)\BANCOS\SCOTIABANK\ALZAMIENTOS\JULIO\Patricia Espinoza González - julio 2010.doc", "Abrir Documento")</f>
        <v>0</v>
      </c>
      <c r="D21874" t="s">
        <v>23500</v>
      </c>
      <c r="E21874" t="s">
        <v>44329</v>
      </c>
    </row>
    <row r="21875" spans="1:5">
      <c r="A21875" t="s">
        <v>6</v>
      </c>
      <c r="B21875" t="s">
        <v>21880</v>
      </c>
      <c r="C21875">
        <f>HYPERLINK("C:\Users\franc\OneDrive\Documentos\MALENTIN KARIME\BANCO CREDITO\FER LORCA en ROSITA (Rosita)\BANCOS\SCOTIABANK\ALZAMIENTOS\JULIO\JULIO ZEPEDA RAMIREZ. JULIO 2010. 2.-.doc", "Abrir Documento")</f>
        <v>0</v>
      </c>
      <c r="D21875" t="s">
        <v>23500</v>
      </c>
      <c r="E21875" t="s">
        <v>44330</v>
      </c>
    </row>
    <row r="21876" spans="1:5">
      <c r="A21876" t="s">
        <v>6</v>
      </c>
      <c r="B21876" t="s">
        <v>21881</v>
      </c>
      <c r="C21876">
        <f>HYPERLINK("C:\Users\franc\OneDrive\Documentos\MALENTIN KARIME\BANCO CREDITO\FER LORCA en ROSITA (Rosita)\BANCOS\SCOTIABANK\ALZAMIENTOS\JULIO\JUAN RAMOS LEDEZMA.- JULIO 2010.doc", "Abrir Documento")</f>
        <v>0</v>
      </c>
      <c r="D21876" t="s">
        <v>23500</v>
      </c>
      <c r="E21876" t="s">
        <v>44331</v>
      </c>
    </row>
    <row r="21877" spans="1:5">
      <c r="A21877" t="s">
        <v>6</v>
      </c>
      <c r="B21877" t="s">
        <v>21882</v>
      </c>
      <c r="C21877">
        <f>HYPERLINK("C:\Users\franc\OneDrive\Documentos\MALENTIN KARIME\BANCO CREDITO\FER LORCA en ROSITA (Rosita)\BANCOS\SCOTIABANK\ALZAMIENTOS\JULIO\CARLOS ROJAS ARAYA.- JULIO 2010..doc", "Abrir Documento")</f>
        <v>0</v>
      </c>
      <c r="D21877" t="s">
        <v>23500</v>
      </c>
      <c r="E21877" t="s">
        <v>44332</v>
      </c>
    </row>
    <row r="21878" spans="1:5">
      <c r="A21878" t="s">
        <v>6</v>
      </c>
      <c r="B21878" t="s">
        <v>21883</v>
      </c>
      <c r="C21878">
        <f>HYPERLINK("C:\Users\franc\OneDrive\Documentos\MALENTIN KARIME\BANCO CREDITO\FER LORCA en ROSITA (Rosita)\BANCOS\SCOTIABANK\ALZAMIENTOS\ENERO 2011\Omar Arenas Ganas . enero.doc", "Abrir Documento")</f>
        <v>0</v>
      </c>
      <c r="D21878" t="s">
        <v>23500</v>
      </c>
      <c r="E21878" t="s">
        <v>44333</v>
      </c>
    </row>
    <row r="21879" spans="1:5">
      <c r="A21879" t="s">
        <v>6</v>
      </c>
      <c r="B21879" t="s">
        <v>21884</v>
      </c>
      <c r="C21879">
        <f>HYPERLINK("C:\Users\franc\OneDrive\Documentos\MALENTIN KARIME\BANCO CREDITO\FER LORCA en ROSITA (Rosita)\BANCOS\SCOTIABANK\ALZAMIENTOS\ENERO 2011\Omar Arenas Ganas . enero con Catalina Mulet.doc", "Abrir Documento")</f>
        <v>0</v>
      </c>
      <c r="D21879" t="s">
        <v>23500</v>
      </c>
      <c r="E21879" t="s">
        <v>44334</v>
      </c>
    </row>
    <row r="21880" spans="1:5">
      <c r="A21880" t="s">
        <v>6</v>
      </c>
      <c r="B21880" t="s">
        <v>21885</v>
      </c>
      <c r="C21880">
        <f>HYPERLINK("C:\Users\franc\OneDrive\Documentos\MALENTIN KARIME\BANCO CREDITO\FER LORCA en ROSITA (Rosita)\BANCOS\SCOTIABANK\ALZAMIENTOS\ENERO 2011\Constitucion cumpa L &amp; L Ltda.doc", "Abrir Documento")</f>
        <v>0</v>
      </c>
      <c r="D21880" t="s">
        <v>23500</v>
      </c>
      <c r="E21880" t="s">
        <v>44335</v>
      </c>
    </row>
    <row r="21881" spans="1:5">
      <c r="A21881" t="s">
        <v>6</v>
      </c>
      <c r="B21881" t="s">
        <v>21886</v>
      </c>
      <c r="C21881">
        <f>HYPERLINK("C:\Users\franc\OneDrive\Documentos\MALENTIN KARIME\BANCO CREDITO\FER LORCA en ROSITA (Rosita)\BANCOS\SCOTIABANK\ALZAMIENTOS\ENERO 2011\Ana Montenegro Rios. enero.doc", "Abrir Documento")</f>
        <v>0</v>
      </c>
      <c r="D21881" t="s">
        <v>23500</v>
      </c>
      <c r="E21881" t="s">
        <v>44336</v>
      </c>
    </row>
    <row r="21882" spans="1:5">
      <c r="A21882" t="s">
        <v>6</v>
      </c>
      <c r="B21882" t="s">
        <v>21887</v>
      </c>
      <c r="C21882">
        <f>HYPERLINK("C:\Users\franc\OneDrive\Documentos\MALENTIN KARIME\BANCO CREDITO\FER LORCA en ROSITA (Rosita)\BANCOS\SCOTIABANK\ALZAMIENTOS\DICIEMBRE\Susana Oyanadel Velasquez. dic.-H.doc", "Abrir Documento")</f>
        <v>0</v>
      </c>
      <c r="D21882" t="s">
        <v>23500</v>
      </c>
      <c r="E21882" t="s">
        <v>44337</v>
      </c>
    </row>
    <row r="21883" spans="1:5">
      <c r="A21883" t="s">
        <v>6</v>
      </c>
      <c r="B21883" t="s">
        <v>21888</v>
      </c>
      <c r="C21883">
        <f>HYPERLINK("C:\Users\franc\OneDrive\Documentos\MALENTIN KARIME\BANCO CREDITO\FER LORCA en ROSITA (Rosita)\BANCOS\SCOTIABANK\ALZAMIENTOS\DICIEMBRE\Juan Barraza Urqueta. dic.- H.doc", "Abrir Documento")</f>
        <v>0</v>
      </c>
      <c r="D21883" t="s">
        <v>23500</v>
      </c>
      <c r="E21883" t="s">
        <v>44338</v>
      </c>
    </row>
    <row r="21884" spans="1:5">
      <c r="A21884" t="s">
        <v>6</v>
      </c>
      <c r="B21884" t="s">
        <v>21889</v>
      </c>
      <c r="C21884">
        <f>HYPERLINK("C:\Users\franc\OneDrive\Documentos\MALENTIN KARIME\BANCO CREDITO\FER LORCA en ROSITA (Rosita)\BANCOS\SCOTIABANK\ALZAMIENTOS\DICIEMBRE\Jorge Oro Cortes - dic 2010.doc", "Abrir Documento")</f>
        <v>0</v>
      </c>
      <c r="D21884" t="s">
        <v>23500</v>
      </c>
      <c r="E21884" t="s">
        <v>44339</v>
      </c>
    </row>
    <row r="21885" spans="1:5">
      <c r="A21885" t="s">
        <v>6</v>
      </c>
      <c r="B21885" t="s">
        <v>21890</v>
      </c>
      <c r="C21885">
        <f>HYPERLINK("C:\Users\franc\OneDrive\Documentos\MALENTIN KARIME\BANCO CREDITO\FER LORCA en ROSITA (Rosita)\BANCOS\SCOTIABANK\ALZAMIENTOS\DICIEMBRE\Jessica Lorena Díaz Cuello. dic.doc", "Abrir Documento")</f>
        <v>0</v>
      </c>
      <c r="D21885" t="s">
        <v>23500</v>
      </c>
      <c r="E21885" t="s">
        <v>44340</v>
      </c>
    </row>
    <row r="21886" spans="1:5">
      <c r="A21886" t="s">
        <v>6</v>
      </c>
      <c r="B21886" t="s">
        <v>21891</v>
      </c>
      <c r="C21886">
        <f>HYPERLINK("C:\Users\franc\OneDrive\Documentos\MALENTIN KARIME\BANCO CREDITO\FER LORCA en ROSITA (Rosita)\BANCOS\SCOTIABANK\ALZAMIENTOS\DICIEMBRE\Jaime Ardiles Aceituno. dic.doc", "Abrir Documento")</f>
        <v>0</v>
      </c>
      <c r="D21886" t="s">
        <v>23500</v>
      </c>
      <c r="E21886" t="s">
        <v>44341</v>
      </c>
    </row>
    <row r="21887" spans="1:5">
      <c r="A21887" t="s">
        <v>6</v>
      </c>
      <c r="B21887" t="s">
        <v>21892</v>
      </c>
      <c r="C21887">
        <f>HYPERLINK("C:\Users\franc\OneDrive\Documentos\MALENTIN KARIME\BANCO CREDITO\FER LORCA en ROSITA (Rosita)\BANCOS\SCOTIABANK\ALZAMIENTOS\DICIEMBRE\CTO ARRIENDO.doc", "Abrir Documento")</f>
        <v>0</v>
      </c>
      <c r="D21887" t="s">
        <v>23500</v>
      </c>
      <c r="E21887" t="s">
        <v>44342</v>
      </c>
    </row>
    <row r="21888" spans="1:5">
      <c r="A21888" t="s">
        <v>6</v>
      </c>
      <c r="B21888" t="s">
        <v>21893</v>
      </c>
      <c r="C21888">
        <f>HYPERLINK("C:\Users\franc\OneDrive\Documentos\MALENTIN KARIME\BANCO CREDITO\FER LORCA en ROSITA (Rosita)\BANCOS\SCOTIABANK\ALZAMIENTOS\DICIEMBRE\Carlos Rojas Salinas. dic.doc", "Abrir Documento")</f>
        <v>0</v>
      </c>
      <c r="D21888" t="s">
        <v>23500</v>
      </c>
      <c r="E21888" t="s">
        <v>44343</v>
      </c>
    </row>
    <row r="21889" spans="1:5">
      <c r="A21889" t="s">
        <v>6</v>
      </c>
      <c r="B21889" t="s">
        <v>21894</v>
      </c>
      <c r="C21889">
        <f>HYPERLINK("C:\Users\franc\OneDrive\Documentos\MALENTIN KARIME\BANCO CREDITO\FER LORCA en ROSITA (Rosita)\BANCOS\SCOTIABANK\ALZAMIENTOS\DICIEMBRE\Ana Montenegro Rios. dic.doc", "Abrir Documento")</f>
        <v>0</v>
      </c>
      <c r="D21889" t="s">
        <v>23500</v>
      </c>
      <c r="E21889" t="s">
        <v>44344</v>
      </c>
    </row>
    <row r="21890" spans="1:5">
      <c r="A21890" t="s">
        <v>6</v>
      </c>
      <c r="B21890" t="s">
        <v>21895</v>
      </c>
      <c r="C21890">
        <f>HYPERLINK("C:\Users\franc\OneDrive\Documentos\MALENTIN KARIME\BANCO CREDITO\FER LORCA en ROSITA (Rosita)\BANCOS\SCOTIABANK\ALZAMIENTOS\AGOSTO\Rene Urzua Gomez pren prod Lt 3 - agosto 2010.doc", "Abrir Documento")</f>
        <v>0</v>
      </c>
      <c r="D21890" t="s">
        <v>23500</v>
      </c>
      <c r="E21890" t="s">
        <v>44345</v>
      </c>
    </row>
    <row r="21891" spans="1:5">
      <c r="A21891" t="s">
        <v>6</v>
      </c>
      <c r="B21891" t="s">
        <v>21896</v>
      </c>
      <c r="C21891">
        <f>HYPERLINK("C:\Users\franc\OneDrive\Documentos\MALENTIN KARIME\BANCO CREDITO\FER LORCA en ROSITA (Rosita)\BANCOS\SCOTIABANK\ALZAMIENTOS\AGOSTO\Rene Urzua Gomez . Lt 3. agosto.doc", "Abrir Documento")</f>
        <v>0</v>
      </c>
      <c r="D21891" t="s">
        <v>23500</v>
      </c>
      <c r="E21891" t="s">
        <v>44346</v>
      </c>
    </row>
    <row r="21892" spans="1:5">
      <c r="A21892" t="s">
        <v>6</v>
      </c>
      <c r="B21892" t="s">
        <v>21897</v>
      </c>
      <c r="C21892">
        <f>HYPERLINK("C:\Users\franc\OneDrive\Documentos\MALENTIN KARIME\BANCO CREDITO\FER LORCA en ROSITA (Rosita)\BANCOS\SCOTIABANK\ALZAMIENTOS\AGOSTO\Magdalena Saavedra González- agosto 2010.doc", "Abrir Documento")</f>
        <v>0</v>
      </c>
      <c r="D21892" t="s">
        <v>23500</v>
      </c>
      <c r="E21892" t="s">
        <v>44347</v>
      </c>
    </row>
    <row r="21893" spans="1:5">
      <c r="A21893" t="s">
        <v>6</v>
      </c>
      <c r="B21893" t="s">
        <v>21898</v>
      </c>
      <c r="C21893">
        <f>HYPERLINK("C:\Users\franc\OneDrive\Documentos\MALENTIN KARIME\BANCO CREDITO\FER LORCA en ROSITA (Rosita)\BANCOS\SCOTIABANK\ALZAMIENTOS\AGOSTO\Hugo Rojas Muñoz - agosto.- 2010.doc", "Abrir Documento")</f>
        <v>0</v>
      </c>
      <c r="D21893" t="s">
        <v>23500</v>
      </c>
      <c r="E21893" t="s">
        <v>44348</v>
      </c>
    </row>
    <row r="21894" spans="1:5">
      <c r="A21894" t="s">
        <v>6</v>
      </c>
      <c r="B21894" t="s">
        <v>21899</v>
      </c>
      <c r="C21894">
        <f>HYPERLINK("C:\Users\franc\OneDrive\Documentos\MALENTIN KARIME\BANCO CREDITO\FER LORCA en ROSITA (Rosita)\BANCOS\SCOTIABANK\ALZAMIENTOS\AGOSTO\Herminda Cortes Ortiz - agosto.doc", "Abrir Documento")</f>
        <v>0</v>
      </c>
      <c r="D21894" t="s">
        <v>23500</v>
      </c>
      <c r="E21894" t="s">
        <v>44349</v>
      </c>
    </row>
    <row r="21895" spans="1:5">
      <c r="A21895" t="s">
        <v>6</v>
      </c>
      <c r="B21895" t="s">
        <v>21900</v>
      </c>
      <c r="C21895">
        <f>HYPERLINK("C:\Users\franc\OneDrive\Documentos\MALENTIN KARIME\BANCO CREDITO\FER LORCA en ROSITA (Rosita)\BANCOS\SCOTIABANK\ALZAMIENTOS\AGOSTO\Ernesto Gutierrez Pizarro- agosto 2010.doc", "Abrir Documento")</f>
        <v>0</v>
      </c>
      <c r="D21895" t="s">
        <v>23500</v>
      </c>
      <c r="E21895" t="s">
        <v>44350</v>
      </c>
    </row>
    <row r="21896" spans="1:5">
      <c r="A21896" t="s">
        <v>6</v>
      </c>
      <c r="B21896" t="s">
        <v>21901</v>
      </c>
      <c r="C21896">
        <f>HYPERLINK("C:\Users\franc\OneDrive\Documentos\MALENTIN KARIME\BANCO CREDITO\FER LORCA en ROSITA (Rosita)\BANCOS\SCOTIABANK\ALZAMIENTOS\AGOSTO\Aniceto Gutierrez Aravire - agosto (1).doc", "Abrir Documento")</f>
        <v>0</v>
      </c>
      <c r="D21896" t="s">
        <v>23500</v>
      </c>
      <c r="E21896" t="s">
        <v>44351</v>
      </c>
    </row>
    <row r="21897" spans="1:5">
      <c r="A21897" t="s">
        <v>6</v>
      </c>
      <c r="B21897" t="s">
        <v>21902</v>
      </c>
      <c r="C21897">
        <f>HYPERLINK("C:\Users\franc\OneDrive\Documentos\MALENTIN KARIME\BANCO CREDITO\FER LORCA en ROSITA (Rosita)\BANCOS\SCOTIABANK\ALZAMIENTOS\YAMIL ROJO GALLEGUILLOS.- MARZO 2010.doc", "Abrir Documento")</f>
        <v>0</v>
      </c>
      <c r="D21897" t="s">
        <v>23500</v>
      </c>
      <c r="E21897" t="s">
        <v>44352</v>
      </c>
    </row>
    <row r="21898" spans="1:5">
      <c r="A21898" t="s">
        <v>6</v>
      </c>
      <c r="B21898" t="s">
        <v>21903</v>
      </c>
      <c r="C21898">
        <f>HYPERLINK("C:\Users\franc\OneDrive\Documentos\MALENTIN KARIME\BANCO CREDITO\FER LORCA en ROSITA (Rosita)\BANCOS\SCOTIABANK\ALZAMIENTOS\SOC. INV. DEL VILLAR.doc", "Abrir Documento")</f>
        <v>0</v>
      </c>
      <c r="D21898" t="s">
        <v>23500</v>
      </c>
      <c r="E21898" t="s">
        <v>44353</v>
      </c>
    </row>
    <row r="21899" spans="1:5">
      <c r="A21899" t="s">
        <v>6</v>
      </c>
      <c r="B21899" t="s">
        <v>21904</v>
      </c>
      <c r="C21899">
        <f>HYPERLINK("C:\Users\franc\OneDrive\Documentos\MALENTIN KARIME\BANCO CREDITO\FER LORCA en ROSITA (Rosita)\BANCOS\SCOTIABANK\ALZAMIENTOS\ROLANDO CASTRO VILLANUEVA.doc", "Abrir Documento")</f>
        <v>0</v>
      </c>
      <c r="D21899" t="s">
        <v>23500</v>
      </c>
      <c r="E21899" t="s">
        <v>44354</v>
      </c>
    </row>
    <row r="21900" spans="1:5">
      <c r="A21900" t="s">
        <v>6</v>
      </c>
      <c r="B21900" t="s">
        <v>21905</v>
      </c>
      <c r="C21900">
        <f>HYPERLINK("C:\Users\franc\OneDrive\Documentos\MALENTIN KARIME\BANCO CREDITO\FER LORCA en ROSITA (Rosita)\BANCOS\SCOTIABANK\ALZAMIENTOS\MARCO POLO CORTES - VICENTE POLO.doc", "Abrir Documento")</f>
        <v>0</v>
      </c>
      <c r="D21900" t="s">
        <v>23500</v>
      </c>
      <c r="E21900" t="s">
        <v>44355</v>
      </c>
    </row>
    <row r="21901" spans="1:5">
      <c r="A21901" t="s">
        <v>6</v>
      </c>
      <c r="B21901" t="s">
        <v>21906</v>
      </c>
      <c r="C21901">
        <f>HYPERLINK("C:\Users\franc\OneDrive\Documentos\MALENTIN KARIME\BANCO CREDITO\FER LORCA en ROSITA (Rosita)\BANCOS\SCOTIABANK\ALZAMIENTOS\LUIS OLIVARES JAIME.doc", "Abrir Documento")</f>
        <v>0</v>
      </c>
      <c r="D21901" t="s">
        <v>23500</v>
      </c>
      <c r="E21901" t="s">
        <v>44356</v>
      </c>
    </row>
    <row r="21902" spans="1:5">
      <c r="A21902" t="s">
        <v>6</v>
      </c>
      <c r="B21902" t="s">
        <v>21907</v>
      </c>
      <c r="C21902">
        <f>HYPERLINK("C:\Users\franc\OneDrive\Documentos\MALENTIN KARIME\BANCO CREDITO\FER LORCA en ROSITA (Rosita)\BANCOS\SCOTIABANK\ALZAMIENTOS\Jose Contreras Pinilla - agosto 2010.- HACER.doc", "Abrir Documento")</f>
        <v>0</v>
      </c>
      <c r="D21902" t="s">
        <v>23500</v>
      </c>
      <c r="E21902" t="s">
        <v>44357</v>
      </c>
    </row>
    <row r="21903" spans="1:5">
      <c r="A21903" t="s">
        <v>6</v>
      </c>
      <c r="B21903" t="s">
        <v>21908</v>
      </c>
      <c r="C21903">
        <f>HYPERLINK("C:\Users\franc\OneDrive\Documentos\MALENTIN KARIME\BANCO CREDITO\FER LORCA en ROSITA (Rosita)\BANCOS\SCOTIABANK\ALZAMIENTOS\HUGO PERINES ALVAREZ.doc", "Abrir Documento")</f>
        <v>0</v>
      </c>
      <c r="D21903" t="s">
        <v>23500</v>
      </c>
      <c r="E21903" t="s">
        <v>44358</v>
      </c>
    </row>
    <row r="21904" spans="1:5">
      <c r="A21904" t="s">
        <v>6</v>
      </c>
      <c r="B21904" t="s">
        <v>21909</v>
      </c>
      <c r="C21904">
        <f>HYPERLINK("C:\Users\franc\OneDrive\Documentos\MALENTIN KARIME\BANCO CREDITO\FER LORCA en ROSITA (Rosita)\BANCOS\SCOTIABANK\ALZAMIENTOS\EUGENIO ALVARADO GODOY.doc", "Abrir Documento")</f>
        <v>0</v>
      </c>
      <c r="D21904" t="s">
        <v>23500</v>
      </c>
      <c r="E21904" t="s">
        <v>44359</v>
      </c>
    </row>
    <row r="21905" spans="1:5">
      <c r="A21905" t="s">
        <v>6</v>
      </c>
      <c r="B21905" t="s">
        <v>21910</v>
      </c>
      <c r="C21905">
        <f>HYPERLINK("C:\Users\franc\OneDrive\Documentos\MALENTIN KARIME\BANCO CREDITO\FER LORCA en ROSITA (Rosita)\BANCOS\SCOTIABANK\ALZAMIENTOS\EDMUNDO CORTES ASTUDILLO.- JUNIO 2010.doc", "Abrir Documento")</f>
        <v>0</v>
      </c>
      <c r="D21905" t="s">
        <v>23500</v>
      </c>
      <c r="E21905" t="s">
        <v>44360</v>
      </c>
    </row>
    <row r="21906" spans="1:5">
      <c r="A21906" t="s">
        <v>6</v>
      </c>
      <c r="B21906" t="s">
        <v>21911</v>
      </c>
      <c r="C21906">
        <f>HYPERLINK("C:\Users\franc\OneDrive\Documentos\MALENTIN KARIME\BANCO CREDITO\FER LORCA en ROSITA (Rosita)\BANCOS\SCOTIABANK\ALZAMIENTOS\danica bravo rendic.doc", "Abrir Documento")</f>
        <v>0</v>
      </c>
      <c r="D21906" t="s">
        <v>23500</v>
      </c>
      <c r="E21906" t="s">
        <v>44361</v>
      </c>
    </row>
    <row r="21907" spans="1:5">
      <c r="A21907" t="s">
        <v>6</v>
      </c>
      <c r="B21907" t="s">
        <v>21912</v>
      </c>
      <c r="C21907">
        <f>HYPERLINK("C:\Users\franc\OneDrive\Documentos\MALENTIN KARIME\BANCO CREDITO\FER LORCA en ROSITA (Rosita)\BANCOS\SCOTIABANK\ALZAMIENTOS\CIRO BERRIOS.doc", "Abrir Documento")</f>
        <v>0</v>
      </c>
      <c r="D21907" t="s">
        <v>23500</v>
      </c>
      <c r="E21907" t="s">
        <v>44362</v>
      </c>
    </row>
    <row r="21908" spans="1:5">
      <c r="A21908" t="s">
        <v>6</v>
      </c>
      <c r="B21908" t="s">
        <v>21913</v>
      </c>
      <c r="C21908">
        <f>HYPERLINK("C:\Users\franc\OneDrive\Documentos\MALENTIN KARIME\BANCO CREDITO\FER LORCA en ROSITA (Rosita)\BANCOS\SCOTIABANK\ALZAMIENTOS\ARIEL GARCAI GARCIA. MAYO 2010.doc", "Abrir Documento")</f>
        <v>0</v>
      </c>
      <c r="D21908" t="s">
        <v>23500</v>
      </c>
      <c r="E21908" t="s">
        <v>44363</v>
      </c>
    </row>
    <row r="21909" spans="1:5">
      <c r="A21909" t="s">
        <v>6</v>
      </c>
      <c r="B21909" t="s">
        <v>21914</v>
      </c>
      <c r="C21909">
        <f>HYPERLINK("C:\Users\franc\OneDrive\Documentos\MALENTIN KARIME\BANCO CREDITO\FER LORCA en ROSITA (Rosita)\BANCOS\SCOTIABANK\ALZAMIENTOS\ALZ.HIP. AGROINDUSTRIAL VALLE TULAHUEN LTDA.doc", "Abrir Documento")</f>
        <v>0</v>
      </c>
      <c r="D21909" t="s">
        <v>23500</v>
      </c>
      <c r="E21909" t="s">
        <v>44364</v>
      </c>
    </row>
    <row r="21910" spans="1:5">
      <c r="A21910" t="s">
        <v>6</v>
      </c>
      <c r="B21910" t="s">
        <v>21915</v>
      </c>
      <c r="C21910">
        <f>HYPERLINK("C:\Users\franc\OneDrive\Documentos\MALENTIN KARIME\BANCO CREDITO\FER LORCA en ROSITA (Rosita)\BANCOS\SCOTIABANK\ALZAMIENTOS\ABELARDO SANTANDER.doc", "Abrir Documento")</f>
        <v>0</v>
      </c>
      <c r="D21910" t="s">
        <v>23500</v>
      </c>
      <c r="E21910" t="s">
        <v>44365</v>
      </c>
    </row>
    <row r="21911" spans="1:5">
      <c r="A21911" t="s">
        <v>6</v>
      </c>
      <c r="B21911" t="s">
        <v>21916</v>
      </c>
      <c r="C21911">
        <f>HYPERLINK("C:\Users\franc\OneDrive\Documentos\MALENTIN KARIME\BANCO CREDITO\FER LORCA en ROSITA (Rosita)\BANCOS\SCOTIABANK\AGRO RAINSINS LTDA\HIPOTECAY AGRO RAINSINS LTDA. LOTE 65.doc", "Abrir Documento")</f>
        <v>0</v>
      </c>
      <c r="D21911" t="s">
        <v>23500</v>
      </c>
      <c r="E21911" t="s">
        <v>44366</v>
      </c>
    </row>
    <row r="21912" spans="1:5">
      <c r="A21912" t="s">
        <v>6</v>
      </c>
      <c r="B21912" t="s">
        <v>21917</v>
      </c>
      <c r="C21912">
        <f>HYPERLINK("C:\Users\franc\OneDrive\Documentos\MALENTIN KARIME\BANCO CREDITO\FER LORCA en ROSITA (Rosita)\BANCOS\SCOTIABANK\AGRO RAINSINS LTDA\HIPOTECA COMERCIAL AGRO RAINSINS LTDA.doc", "Abrir Documento")</f>
        <v>0</v>
      </c>
      <c r="D21912" t="s">
        <v>23500</v>
      </c>
      <c r="E21912" t="s">
        <v>44367</v>
      </c>
    </row>
    <row r="21913" spans="1:5">
      <c r="A21913" t="s">
        <v>6</v>
      </c>
      <c r="B21913" t="s">
        <v>21918</v>
      </c>
      <c r="C21913">
        <f>HYPERLINK("C:\Users\franc\OneDrive\Documentos\MALENTIN KARIME\BANCO CREDITO\FER LORCA en ROSITA (Rosita)\BANCOS\SCOTIABANK\AGRO RAINSINS LTDA\HIPOT. COM. AGRO RAINSINS LTDA. AGUS.doc", "Abrir Documento")</f>
        <v>0</v>
      </c>
      <c r="D21913" t="s">
        <v>23500</v>
      </c>
      <c r="E21913" t="s">
        <v>44368</v>
      </c>
    </row>
    <row r="21914" spans="1:5">
      <c r="A21914" t="s">
        <v>6</v>
      </c>
      <c r="B21914" t="s">
        <v>21919</v>
      </c>
      <c r="C21914">
        <f>HYPERLINK("C:\Users\franc\OneDrive\Documentos\MALENTIN KARIME\BANCO CREDITO\FER LORCA en ROSITA (Rosita)\BANCOS\SCOTIABANK\AGRO RAINSINS LTDA\extracto AGRO RAISINS LTDA[1].doc", "Abrir Documento")</f>
        <v>0</v>
      </c>
      <c r="D21914" t="s">
        <v>23500</v>
      </c>
      <c r="E21914" t="s">
        <v>44369</v>
      </c>
    </row>
    <row r="21915" spans="1:5">
      <c r="A21915" t="s">
        <v>6</v>
      </c>
      <c r="B21915" t="s">
        <v>21920</v>
      </c>
      <c r="C21915">
        <f>HYPERLINK("C:\Users\franc\OneDrive\Documentos\MALENTIN KARIME\BANCO CREDITO\FER LORCA en ROSITA (Rosita)\BANCOS\SCOTIABANK\AGRO RAINSINS LTDA\AMPLIACION AGRO RAINSINS LTDA.doc", "Abrir Documento")</f>
        <v>0</v>
      </c>
      <c r="D21915" t="s">
        <v>23500</v>
      </c>
      <c r="E21915" t="s">
        <v>44370</v>
      </c>
    </row>
    <row r="21916" spans="1:5">
      <c r="A21916" t="s">
        <v>6</v>
      </c>
      <c r="B21916" t="s">
        <v>21921</v>
      </c>
      <c r="C21916">
        <f>HYPERLINK("C:\Users\franc\OneDrive\Documentos\MALENTIN KARIME\BANCO CREDITO\FER LORCA en ROSITA (Rosita)\BANCOS\SCOTIABANK\VICENTE POLO E HIJOS LTDA.doc", "Abrir Documento")</f>
        <v>0</v>
      </c>
      <c r="D21916" t="s">
        <v>23500</v>
      </c>
      <c r="E21916" t="s">
        <v>44371</v>
      </c>
    </row>
    <row r="21917" spans="1:5">
      <c r="A21917" t="s">
        <v>6</v>
      </c>
      <c r="B21917" t="s">
        <v>21922</v>
      </c>
      <c r="C21917">
        <f>HYPERLINK("C:\Users\franc\OneDrive\Documentos\MALENTIN KARIME\BANCO CREDITO\FER LORCA en ROSITA (Rosita)\BANCOS\SCOTIABANK\SOC. DE SERVIC. SANTIAGO LTDA.doc", "Abrir Documento")</f>
        <v>0</v>
      </c>
      <c r="D21917" t="s">
        <v>23500</v>
      </c>
      <c r="E21917" t="s">
        <v>44372</v>
      </c>
    </row>
    <row r="21918" spans="1:5">
      <c r="A21918" t="s">
        <v>6</v>
      </c>
      <c r="B21918" t="s">
        <v>21923</v>
      </c>
      <c r="C21918">
        <f>HYPERLINK("C:\Users\franc\OneDrive\Documentos\MALENTIN KARIME\BANCO CREDITO\FER LORCA en ROSITA (Rosita)\BANCOS\SCOTIABANK\SOC,. AGRICO. LOS ALAMOS LTDA.doc", "Abrir Documento")</f>
        <v>0</v>
      </c>
      <c r="D21918" t="s">
        <v>23500</v>
      </c>
      <c r="E21918" t="s">
        <v>44373</v>
      </c>
    </row>
    <row r="21919" spans="1:5">
      <c r="A21919" t="s">
        <v>6</v>
      </c>
      <c r="B21919" t="s">
        <v>21924</v>
      </c>
      <c r="C21919">
        <f>HYPERLINK("C:\Users\franc\OneDrive\Documentos\MALENTIN KARIME\BANCO CREDITO\FER LORCA en ROSITA (Rosita)\BANCOS\SCOTIABANK\PRENDA.- Salvador Castillo Honores. marzo.- HACER.doc", "Abrir Documento")</f>
        <v>0</v>
      </c>
      <c r="D21919" t="s">
        <v>23500</v>
      </c>
      <c r="E21919" t="s">
        <v>44374</v>
      </c>
    </row>
    <row r="21920" spans="1:5">
      <c r="A21920" t="s">
        <v>6</v>
      </c>
      <c r="B21920" t="s">
        <v>21925</v>
      </c>
      <c r="C21920">
        <f>HYPERLINK("C:\Users\franc\OneDrive\Documentos\MALENTIN KARIME\BANCO CREDITO\FER LORCA en ROSITA (Rosita)\BANCOS\SCOTIABANK\MODELO NOTARIO.doc", "Abrir Documento")</f>
        <v>0</v>
      </c>
      <c r="D21920" t="s">
        <v>23500</v>
      </c>
      <c r="E21920" t="s">
        <v>44375</v>
      </c>
    </row>
    <row r="21921" spans="1:5">
      <c r="A21921" t="s">
        <v>6</v>
      </c>
      <c r="B21921" t="s">
        <v>21926</v>
      </c>
      <c r="C21921">
        <f>HYPERLINK("C:\Users\franc\OneDrive\Documentos\MALENTIN KARIME\BANCO CREDITO\FER LORCA en ROSITA (Rosita)\BANCOS\SCOTIABANK\MARCO POLO CORTES.doc", "Abrir Documento")</f>
        <v>0</v>
      </c>
      <c r="D21921" t="s">
        <v>23500</v>
      </c>
      <c r="E21921" t="s">
        <v>44376</v>
      </c>
    </row>
    <row r="21922" spans="1:5">
      <c r="A21922" t="s">
        <v>6</v>
      </c>
      <c r="B21922" t="s">
        <v>21927</v>
      </c>
      <c r="C21922">
        <f>HYPERLINK("C:\Users\franc\OneDrive\Documentos\MALENTIN KARIME\BANCO CREDITO\FER LORCA en ROSITA (Rosita)\BANCOS\SCOTIABANK\CLAUSULA SEPTIMA.- NO ES DEC. BIEN FAMILIAR.doc", "Abrir Documento")</f>
        <v>0</v>
      </c>
      <c r="D21922" t="s">
        <v>23500</v>
      </c>
      <c r="E21922" t="s">
        <v>44377</v>
      </c>
    </row>
    <row r="21923" spans="1:5">
      <c r="A21923" t="s">
        <v>6</v>
      </c>
      <c r="B21923" t="s">
        <v>21928</v>
      </c>
      <c r="C21923">
        <f>HYPERLINK("C:\Users\franc\OneDrive\Documentos\MALENTIN KARIME\BANCO CREDITO\FER LORCA en ROSITA (Rosita)\BANCOS\SCOTIABANK\CARTA GASTOS1.3.doc", "Abrir Documento")</f>
        <v>0</v>
      </c>
      <c r="D21923" t="s">
        <v>23500</v>
      </c>
      <c r="E21923" t="s">
        <v>44378</v>
      </c>
    </row>
    <row r="21924" spans="1:5">
      <c r="A21924" t="s">
        <v>6</v>
      </c>
      <c r="B21924" t="s">
        <v>21929</v>
      </c>
      <c r="C21924">
        <f>HYPERLINK("C:\Users\franc\OneDrive\Documentos\MALENTIN KARIME\BANCO CREDITO\FER LORCA en ROSITA (Rosita)\BANCOS\SCOTIABANK\CARTA GASTOS.doc", "Abrir Documento")</f>
        <v>0</v>
      </c>
      <c r="D21924" t="s">
        <v>23500</v>
      </c>
      <c r="E21924" t="s">
        <v>44379</v>
      </c>
    </row>
    <row r="21925" spans="1:5">
      <c r="A21925" t="s">
        <v>6</v>
      </c>
      <c r="B21925" t="s">
        <v>21930</v>
      </c>
      <c r="C21925">
        <f>HYPERLINK("C:\Users\franc\OneDrive\Documentos\MALENTIN KARIME\BANCO CREDITO\FER LORCA en ROSITA (Rosita)\BANCOS\SCOTIABANK\CARTA GASTOS..doc", "Abrir Documento")</f>
        <v>0</v>
      </c>
      <c r="D21925" t="s">
        <v>23500</v>
      </c>
      <c r="E21925" t="s">
        <v>44380</v>
      </c>
    </row>
    <row r="21926" spans="1:5">
      <c r="A21926" t="s">
        <v>6</v>
      </c>
      <c r="B21926" t="s">
        <v>21931</v>
      </c>
      <c r="C21926">
        <f>HYPERLINK("C:\Users\franc\OneDrive\Documentos\MALENTIN KARIME\BANCO CREDITO\FER LORCA en ROSITA (Rosita)\BANCOS\SCOTIABANK\CARTA GASTOS 2..doc", "Abrir Documento")</f>
        <v>0</v>
      </c>
      <c r="D21926" t="s">
        <v>23500</v>
      </c>
      <c r="E21926" t="s">
        <v>44381</v>
      </c>
    </row>
    <row r="21927" spans="1:5">
      <c r="A21927" t="s">
        <v>6</v>
      </c>
      <c r="B21927" t="s">
        <v>21932</v>
      </c>
      <c r="C21927">
        <f>HYPERLINK("C:\Users\franc\OneDrive\Documentos\MALENTIN KARIME\BANCO CREDITO\FER LORCA en ROSITA (Rosita)\BANCOS\SCOTIABANK\AMPLIACION Y MOD. PRENDA ROSA OLIVIA PASTEN.doc", "Abrir Documento")</f>
        <v>0</v>
      </c>
      <c r="D21927" t="s">
        <v>23500</v>
      </c>
      <c r="E21927" t="s">
        <v>44382</v>
      </c>
    </row>
    <row r="21928" spans="1:5">
      <c r="A21928" t="s">
        <v>6</v>
      </c>
      <c r="B21928" t="s">
        <v>21933</v>
      </c>
      <c r="C21928">
        <f>HYPERLINK("C:\Users\franc\OneDrive\Documentos\MALENTIN KARIME\BANCO CREDITO\FER LORCA en ROSITA (Rosita)\BANCOS\SCOTIABANK\AMPLIACION SOC. AGRIC. LOS ALAMOS LTDA.-.doc", "Abrir Documento")</f>
        <v>0</v>
      </c>
      <c r="D21928" t="s">
        <v>23500</v>
      </c>
      <c r="E21928" t="s">
        <v>44383</v>
      </c>
    </row>
    <row r="21929" spans="1:5">
      <c r="A21929" t="s">
        <v>6</v>
      </c>
      <c r="B21929" t="s">
        <v>21934</v>
      </c>
      <c r="C21929">
        <f>HYPERLINK("C:\Users\franc\OneDrive\Documentos\MALENTIN KARIME\BANCO CREDITO\FER LORCA en ROSITA (Rosita)\BANCOS\SCOTIABANK\AMPL. PRENDA. MANUEL CASTAÑEDA.- BUS MERCEDES BENZ.-.doc", "Abrir Documento")</f>
        <v>0</v>
      </c>
      <c r="D21929" t="s">
        <v>23500</v>
      </c>
      <c r="E21929" t="s">
        <v>44384</v>
      </c>
    </row>
    <row r="21930" spans="1:5">
      <c r="A21930" t="s">
        <v>6</v>
      </c>
      <c r="B21930" t="s">
        <v>21935</v>
      </c>
      <c r="C21930">
        <f>HYPERLINK("C:\Users\franc\OneDrive\Documentos\MALENTIN KARIME\BANCO CREDITO\FER LORCA en ROSITA (Rosita)\BANCOS\SCOTIABANK\AMP.PRENDA LAUTARO GONZALEZ CAMPOS.doc", "Abrir Documento")</f>
        <v>0</v>
      </c>
      <c r="D21930" t="s">
        <v>23500</v>
      </c>
      <c r="E21930" t="s">
        <v>44385</v>
      </c>
    </row>
    <row r="21931" spans="1:5">
      <c r="A21931" t="s">
        <v>6</v>
      </c>
      <c r="B21931" t="s">
        <v>21936</v>
      </c>
      <c r="C21931">
        <f>HYPERLINK("C:\Users\franc\OneDrive\Documentos\MALENTIN KARIME\BANCO CREDITO\FER LORCA en ROSITA (Rosita)\BANCOS\SCOTIABANK\AMP. PRENDA. RAMON LUNA CORTES.-.doc", "Abrir Documento")</f>
        <v>0</v>
      </c>
      <c r="D21931" t="s">
        <v>23500</v>
      </c>
      <c r="E21931" t="s">
        <v>44386</v>
      </c>
    </row>
    <row r="21932" spans="1:5">
      <c r="A21932" t="s">
        <v>6</v>
      </c>
      <c r="B21932" t="s">
        <v>21937</v>
      </c>
      <c r="C21932">
        <f>HYPERLINK("C:\Users\franc\OneDrive\Documentos\MALENTIN KARIME\BANCO CREDITO\FER LORCA en ROSITA (Rosita)\BANCOS\SCOTIABANK\AMP. PRENDA. NESTOR GOMEZ ARAYA.doc", "Abrir Documento")</f>
        <v>0</v>
      </c>
      <c r="D21932" t="s">
        <v>23500</v>
      </c>
      <c r="E21932" t="s">
        <v>44387</v>
      </c>
    </row>
    <row r="21933" spans="1:5">
      <c r="A21933" t="s">
        <v>6</v>
      </c>
      <c r="B21933" t="s">
        <v>21938</v>
      </c>
      <c r="C21933">
        <f>HYPERLINK("C:\Users\franc\OneDrive\Documentos\MALENTIN KARIME\BANCO CREDITO\FER LORCA en ROSITA (Rosita)\BANCOS\SCOTIABANK\AMP. PRENDA. MANUEL CASTAÑEDA.- 2º.doc", "Abrir Documento")</f>
        <v>0</v>
      </c>
      <c r="D21933" t="s">
        <v>23500</v>
      </c>
      <c r="E21933" t="s">
        <v>44388</v>
      </c>
    </row>
    <row r="21934" spans="1:5">
      <c r="A21934" t="s">
        <v>6</v>
      </c>
      <c r="B21934" t="s">
        <v>21939</v>
      </c>
      <c r="C21934">
        <f>HYPERLINK("C:\Users\franc\OneDrive\Documentos\MALENTIN KARIME\BANCO CREDITO\FER LORCA en ROSITA (Rosita)\BANCOS\SCOTIABANK\AMP. PRENDA. JOSE OSSA.- CAM. HYUNDAI.doc", "Abrir Documento")</f>
        <v>0</v>
      </c>
      <c r="D21934" t="s">
        <v>23500</v>
      </c>
      <c r="E21934" t="s">
        <v>44389</v>
      </c>
    </row>
    <row r="21935" spans="1:5">
      <c r="A21935" t="s">
        <v>6</v>
      </c>
      <c r="B21935" t="s">
        <v>21940</v>
      </c>
      <c r="C21935">
        <f>HYPERLINK("C:\Users\franc\OneDrive\Documentos\MALENTIN KARIME\BANCO CREDITO\FER LORCA en ROSITA (Rosita)\BANCOS\SCOTIABANK\AMP. PRENDA. FRANCISCO NIÑO DE ZEPEDA P..doc", "Abrir Documento")</f>
        <v>0</v>
      </c>
      <c r="D21935" t="s">
        <v>23500</v>
      </c>
      <c r="E21935" t="s">
        <v>44390</v>
      </c>
    </row>
    <row r="21936" spans="1:5">
      <c r="A21936" t="s">
        <v>6</v>
      </c>
      <c r="B21936" t="s">
        <v>21941</v>
      </c>
      <c r="C21936">
        <f>HYPERLINK("C:\Users\franc\OneDrive\Documentos\MALENTIN KARIME\BANCO CREDITO\FER LORCA en ROSITA (Rosita)\BANCOS\SCOTIABANK\AMP. PRENDA. DAVID CARVAJAL DUBO.-.doc", "Abrir Documento")</f>
        <v>0</v>
      </c>
      <c r="D21936" t="s">
        <v>23500</v>
      </c>
      <c r="E21936" t="s">
        <v>44391</v>
      </c>
    </row>
    <row r="21937" spans="1:5">
      <c r="A21937" t="s">
        <v>6</v>
      </c>
      <c r="B21937" t="s">
        <v>21942</v>
      </c>
      <c r="C21937">
        <f>HYPERLINK("C:\Users\franc\OneDrive\Documentos\MALENTIN KARIME\BANCO CREDITO\FER LORCA en ROSITA (Rosita)\BANCOS\SCOTIABANK\AMP. PRENDA. DAVID CARVAJAL DUBO.- 3.doc", "Abrir Documento")</f>
        <v>0</v>
      </c>
      <c r="D21937" t="s">
        <v>23500</v>
      </c>
      <c r="E21937" t="s">
        <v>44392</v>
      </c>
    </row>
    <row r="21938" spans="1:5">
      <c r="A21938" t="s">
        <v>6</v>
      </c>
      <c r="B21938" t="s">
        <v>21943</v>
      </c>
      <c r="C21938">
        <f>HYPERLINK("C:\Users\franc\OneDrive\Documentos\MALENTIN KARIME\BANCO CREDITO\FER LORCA en ROSITA (Rosita)\BANCOS\SCOTIABANK\AMP. PRENDA. DAVID CARVAJAL DUBO.- 2.doc", "Abrir Documento")</f>
        <v>0</v>
      </c>
      <c r="D21938" t="s">
        <v>23500</v>
      </c>
      <c r="E21938" t="s">
        <v>44393</v>
      </c>
    </row>
    <row r="21939" spans="1:5">
      <c r="A21939" t="s">
        <v>6</v>
      </c>
      <c r="B21939" t="s">
        <v>21944</v>
      </c>
      <c r="C21939">
        <f>HYPERLINK("C:\Users\franc\OneDrive\Documentos\MALENTIN KARIME\BANCO CREDITO\FER LORCA en ROSITA (Rosita)\BANCOS\SCOTIABANK\AMP. PRENDA. CARLOS ASTETE S. MAYO 2010.-.doc", "Abrir Documento")</f>
        <v>0</v>
      </c>
      <c r="D21939" t="s">
        <v>23500</v>
      </c>
      <c r="E21939" t="s">
        <v>44394</v>
      </c>
    </row>
    <row r="21940" spans="1:5">
      <c r="A21940" t="s">
        <v>6</v>
      </c>
      <c r="B21940" t="s">
        <v>21945</v>
      </c>
      <c r="C21940">
        <f>HYPERLINK("C:\Users\franc\OneDrive\Documentos\MALENTIN KARIME\BANCO CREDITO\FER LORCA en ROSITA (Rosita)\BANCOS\SCOTIABANK\AMP. PRENDA. ABEL CASTAÑEDA GOMEZ.- marzo.doc", "Abrir Documento")</f>
        <v>0</v>
      </c>
      <c r="D21940" t="s">
        <v>23500</v>
      </c>
      <c r="E21940" t="s">
        <v>44395</v>
      </c>
    </row>
    <row r="21941" spans="1:5">
      <c r="A21941" t="s">
        <v>6</v>
      </c>
      <c r="B21941" t="s">
        <v>21946</v>
      </c>
      <c r="C21941">
        <f>HYPERLINK("C:\Users\franc\OneDrive\Documentos\MALENTIN KARIME\BANCO CREDITO\FER LORCA en ROSITA (Rosita)\BANCOS\SCOTIABANK\AMP. PRENDA OSCIEL BUGUEÑO.doc", "Abrir Documento")</f>
        <v>0</v>
      </c>
      <c r="D21941" t="s">
        <v>23500</v>
      </c>
      <c r="E21941" t="s">
        <v>44396</v>
      </c>
    </row>
    <row r="21942" spans="1:5">
      <c r="A21942" t="s">
        <v>6</v>
      </c>
      <c r="B21942" t="s">
        <v>21947</v>
      </c>
      <c r="C21942">
        <f>HYPERLINK("C:\Users\franc\OneDrive\Documentos\MALENTIN KARIME\BANCO CREDITO\FER LORCA en ROSITA (Rosita)\BANCOS\SCOTIABANK\AMP. PRENDA JOSE OSSA.- CAM. MAZDA.doc", "Abrir Documento")</f>
        <v>0</v>
      </c>
      <c r="D21942" t="s">
        <v>23500</v>
      </c>
      <c r="E21942" t="s">
        <v>44397</v>
      </c>
    </row>
    <row r="21943" spans="1:5">
      <c r="A21943" t="s">
        <v>6</v>
      </c>
      <c r="B21943" t="s">
        <v>21948</v>
      </c>
      <c r="C21943">
        <f>HYPERLINK("C:\Users\franc\OneDrive\Documentos\MALENTIN KARIME\BANCO CREDITO\FER LORCA en ROSITA (Rosita)\BANCOS\SCOTIABANK\AMP. PRENDA HERNAN CASTRO PIZARRO.doc", "Abrir Documento")</f>
        <v>0</v>
      </c>
      <c r="D21943" t="s">
        <v>23500</v>
      </c>
      <c r="E21943" t="s">
        <v>44398</v>
      </c>
    </row>
    <row r="21944" spans="1:5">
      <c r="A21944" t="s">
        <v>6</v>
      </c>
      <c r="B21944" t="s">
        <v>21949</v>
      </c>
      <c r="C21944">
        <f>HYPERLINK("C:\Users\franc\OneDrive\Documentos\MALENTIN KARIME\BANCO CREDITO\FER LORCA en ROSITA (Rosita)\BANCOS\SCOTIABANK\AMP. PRENDA DIST. COMB...   CONDE   Y   DIAZ   LTDA.- JUNIO 2010.doc", "Abrir Documento")</f>
        <v>0</v>
      </c>
      <c r="D21944" t="s">
        <v>23500</v>
      </c>
      <c r="E21944" t="s">
        <v>44399</v>
      </c>
    </row>
    <row r="21945" spans="1:5">
      <c r="A21945" t="s">
        <v>6</v>
      </c>
      <c r="B21945" t="s">
        <v>21950</v>
      </c>
      <c r="C21945">
        <f>HYPERLINK("C:\Users\franc\OneDrive\Documentos\MALENTIN KARIME\BANCO CREDITO\FER LORCA en ROSITA (Rosita)\BANCOS\SCOTIABANK\AMP. PRENDA CARLOS ROJAS ARAYA.- NOVIEMBRE.doc", "Abrir Documento")</f>
        <v>0</v>
      </c>
      <c r="D21945" t="s">
        <v>23500</v>
      </c>
      <c r="E21945" t="s">
        <v>44400</v>
      </c>
    </row>
    <row r="21946" spans="1:5">
      <c r="A21946" t="s">
        <v>6</v>
      </c>
      <c r="B21946" t="s">
        <v>21951</v>
      </c>
      <c r="C21946">
        <f>HYPERLINK("C:\Users\franc\OneDrive\Documentos\MALENTIN KARIME\BANCO CREDITO\FER LORCA en ROSITA (Rosita)\BANCOS\SCOTIABANK\AMP PRENDA.- LUIS GUERRA COLLADO FEBRERO.doc", "Abrir Documento")</f>
        <v>0</v>
      </c>
      <c r="D21946" t="s">
        <v>23500</v>
      </c>
      <c r="E21946" t="s">
        <v>44401</v>
      </c>
    </row>
    <row r="21947" spans="1:5">
      <c r="A21947" t="s">
        <v>6</v>
      </c>
      <c r="B21947" t="s">
        <v>21952</v>
      </c>
      <c r="C21947">
        <f>HYPERLINK("C:\Users\franc\OneDrive\Documentos\MALENTIN KARIME\BANCO CREDITO\FER LORCA en ROSITA (Rosita)\BANCOS\CORPBANCA\PRENDAS\Sociedad Agricola Angostura Ltda . Lotes Morales.doc", "Abrir Documento")</f>
        <v>0</v>
      </c>
      <c r="D21947" t="s">
        <v>23500</v>
      </c>
      <c r="E21947" t="s">
        <v>44402</v>
      </c>
    </row>
    <row r="21948" spans="1:5">
      <c r="A21948" t="s">
        <v>6</v>
      </c>
      <c r="B21948" t="s">
        <v>21953</v>
      </c>
      <c r="C21948">
        <f>HYPERLINK("C:\Users\franc\OneDrive\Documentos\MALENTIN KARIME\BANCO CREDITO\FER LORCA en ROSITA (Rosita)\BANCOS\CORPBANCA\PRENDAS\SOC. LOS ALAMOS.- FEBRERO.doc", "Abrir Documento")</f>
        <v>0</v>
      </c>
      <c r="D21948" t="s">
        <v>23500</v>
      </c>
      <c r="E21948" t="s">
        <v>44403</v>
      </c>
    </row>
    <row r="21949" spans="1:5">
      <c r="A21949" t="s">
        <v>6</v>
      </c>
      <c r="B21949" t="s">
        <v>21954</v>
      </c>
      <c r="C21949">
        <f>HYPERLINK("C:\Users\franc\OneDrive\Documentos\MALENTIN KARIME\BANCO CREDITO\FER LORCA en ROSITA (Rosita)\BANCOS\CORPBANCA\PRENDAS\Soc Agr Los Primos Ltda. Fdo Lolol.- AGOSTO 2010.doc", "Abrir Documento")</f>
        <v>0</v>
      </c>
      <c r="D21949" t="s">
        <v>23500</v>
      </c>
      <c r="E21949" t="s">
        <v>44404</v>
      </c>
    </row>
    <row r="21950" spans="1:5">
      <c r="A21950" t="s">
        <v>6</v>
      </c>
      <c r="B21950" t="s">
        <v>21955</v>
      </c>
      <c r="C21950">
        <f>HYPERLINK("C:\Users\franc\OneDrive\Documentos\MALENTIN KARIME\BANCO CREDITO\FER LORCA en ROSITA (Rosita)\BANCOS\CORPBANCA\MUTUO HIPOTECARIO.-\SEPTIEMBRE 2010\Mut Tasa Fija Viv Banca Preferencial (Ley 20.130) Victor Barrios. sol.doc", "Abrir Documento")</f>
        <v>0</v>
      </c>
      <c r="D21950" t="s">
        <v>23500</v>
      </c>
      <c r="E21950" t="s">
        <v>44405</v>
      </c>
    </row>
    <row r="21951" spans="1:5">
      <c r="A21951" t="s">
        <v>6</v>
      </c>
      <c r="B21951" t="s">
        <v>21956</v>
      </c>
      <c r="C21951">
        <f>HYPERLINK("C:\Users\franc\OneDrive\Documentos\MALENTIN KARIME\BANCO CREDITO\FER LORCA en ROSITA (Rosita)\BANCOS\CORPBANCA\MUTUO HIPOTECARIO.-\SEPTIEMBRE 2010\Mut Tasa Fija Viv Banca Preferencial (Ley 20.130) Victor Barrios. sol.- MODIFICADA.doc", "Abrir Documento")</f>
        <v>0</v>
      </c>
      <c r="D21951" t="s">
        <v>23500</v>
      </c>
      <c r="E21951" t="s">
        <v>44406</v>
      </c>
    </row>
    <row r="21952" spans="1:5">
      <c r="A21952" t="s">
        <v>6</v>
      </c>
      <c r="B21952" t="s">
        <v>21957</v>
      </c>
      <c r="C21952">
        <f>HYPERLINK("C:\Users\franc\OneDrive\Documentos\MALENTIN KARIME\BANCO CREDITO\FER LORCA en ROSITA (Rosita)\BANCOS\CORPBANCA\MUTUO HIPOTECARIO.-\SEPTIEMBRE 2010\32RPBA~1.DOC", "Abrir Documento")</f>
        <v>0</v>
      </c>
      <c r="D21952" t="s">
        <v>23500</v>
      </c>
      <c r="E21952" t="s">
        <v>44407</v>
      </c>
    </row>
    <row r="21953" spans="1:5">
      <c r="A21953" t="s">
        <v>6</v>
      </c>
      <c r="B21953" t="s">
        <v>21958</v>
      </c>
      <c r="C21953">
        <f>HYPERLINK("C:\Users\franc\OneDrive\Documentos\MALENTIN KARIME\BANCO CREDITO\FER LORCA en ROSITA (Rosita)\BANCOS\CORPBANCA\MUTUO HIPOTECARIO.-\NOVIEMBRE\15 RP  mut tasa fija UF viv  ley 20130 Cesar Honores Tello - sol.doc", "Abrir Documento")</f>
        <v>0</v>
      </c>
      <c r="D21953" t="s">
        <v>23500</v>
      </c>
      <c r="E21953" t="s">
        <v>44408</v>
      </c>
    </row>
    <row r="21954" spans="1:5">
      <c r="A21954" t="s">
        <v>6</v>
      </c>
      <c r="B21954" t="s">
        <v>21959</v>
      </c>
      <c r="C21954">
        <f>HYPERLINK("C:\Users\franc\OneDrive\Documentos\MALENTIN KARIME\BANCO CREDITO\FER LORCA en ROSITA (Rosita)\BANCOS\CORPBANCA\MUTUO HIPOTECARIO.-\NOVIEMBRE\13RP cv tasa fija viv Marta Peñafiel y otra a Maria Carmona Pizarro csb - sol y sol.doc", "Abrir Documento")</f>
        <v>0</v>
      </c>
      <c r="D21954" t="s">
        <v>23500</v>
      </c>
      <c r="E21954" t="s">
        <v>44409</v>
      </c>
    </row>
    <row r="21955" spans="1:5">
      <c r="A21955" t="s">
        <v>6</v>
      </c>
      <c r="B21955" t="s">
        <v>21960</v>
      </c>
      <c r="C21955">
        <f>HYPERLINK("C:\Users\franc\OneDrive\Documentos\MALENTIN KARIME\BANCO CREDITO\FER LORCA en ROSITA (Rosita)\BANCOS\CORPBANCA\MUTUO HIPOTECARIO.-\NOVIEMBRE\13RP cv tasa fija viv Fantina Olivares a Fernando Yañez sol y cscy.doc", "Abrir Documento")</f>
        <v>0</v>
      </c>
      <c r="D21955" t="s">
        <v>23500</v>
      </c>
      <c r="E21955" t="s">
        <v>44410</v>
      </c>
    </row>
    <row r="21956" spans="1:5">
      <c r="A21956" t="s">
        <v>6</v>
      </c>
      <c r="B21956" t="s">
        <v>21961</v>
      </c>
      <c r="C21956">
        <f>HYPERLINK("C:\Users\franc\OneDrive\Documentos\MALENTIN KARIME\BANCO CREDITO\FER LORCA en ROSITA (Rosita)\BANCOS\CORPBANCA\MUTUO HIPOTECARIO.-\MUTUO TASA FIJA FG Alejandra Rodriguez Lara[1].doc", "Abrir Documento")</f>
        <v>0</v>
      </c>
      <c r="D21956" t="s">
        <v>23500</v>
      </c>
      <c r="E21956" t="s">
        <v>44411</v>
      </c>
    </row>
    <row r="21957" spans="1:5">
      <c r="A21957" t="s">
        <v>6</v>
      </c>
      <c r="B21957" t="s">
        <v>21962</v>
      </c>
      <c r="C21957">
        <f>HYPERLINK("C:\Users\franc\OneDrive\Documentos\MALENTIN KARIME\BANCO CREDITO\FER LORCA en ROSITA (Rosita)\BANCOS\CORPBANCA\MUTUO HIPOTECARIO.-\cv Inm Rio Limari a Jorge Sauterel . csb. AGOSTO 2010.doc", "Abrir Documento")</f>
        <v>0</v>
      </c>
      <c r="D21957" t="s">
        <v>23500</v>
      </c>
      <c r="E21957" t="s">
        <v>44412</v>
      </c>
    </row>
    <row r="21958" spans="1:5">
      <c r="A21958" t="s">
        <v>6</v>
      </c>
      <c r="B21958" t="s">
        <v>21963</v>
      </c>
      <c r="C21958">
        <f>HYPERLINK("C:\Users\franc\OneDrive\Documentos\MALENTIN KARIME\BANCO CREDITO\FER LORCA en ROSITA (Rosita)\BANCOS\CORPBANCA\MUTUO HIPOTECARIO.-\15 RP mut tas fija UF viv  ley 20130 Maria Gonzalez Luengo. sb y codu.doc", "Abrir Documento")</f>
        <v>0</v>
      </c>
      <c r="D21958" t="s">
        <v>23500</v>
      </c>
      <c r="E21958" t="s">
        <v>44413</v>
      </c>
    </row>
    <row r="21959" spans="1:5">
      <c r="A21959" t="s">
        <v>6</v>
      </c>
      <c r="B21959" t="s">
        <v>21964</v>
      </c>
      <c r="C21959">
        <f>HYPERLINK("C:\Users\franc\OneDrive\Documentos\MALENTIN KARIME\BANCO CREDITO\FER LORCA en ROSITA (Rosita)\BANCOS\CORPBANCA\MUTUO HIPOTECARIO.-\13RP cv tasa fija vivienda uf Isabel Rojas a Hector Guzman, rep scy y cscy.- AGOSTO 2010.-.doc", "Abrir Documento")</f>
        <v>0</v>
      </c>
      <c r="D21959" t="s">
        <v>23500</v>
      </c>
      <c r="E21959" t="s">
        <v>44414</v>
      </c>
    </row>
    <row r="21960" spans="1:5">
      <c r="A21960" t="s">
        <v>6</v>
      </c>
      <c r="B21960" t="s">
        <v>21965</v>
      </c>
      <c r="C21960">
        <f>HYPERLINK("C:\Users\franc\OneDrive\Documentos\MALENTIN KARIME\BANCO CREDITO\FER LORCA en ROSITA (Rosita)\BANCOS\CORPBANCA\MUTUO HIPOTECARIO.-\13a) Tasa Fija con cvta FG -Manuel Carvajal y otros a Emilio Aguirre.JULIO 2010.doc", "Abrir Documento")</f>
        <v>0</v>
      </c>
      <c r="D21960" t="s">
        <v>23500</v>
      </c>
      <c r="E21960" t="s">
        <v>44415</v>
      </c>
    </row>
    <row r="21961" spans="1:5">
      <c r="A21961" t="s">
        <v>6</v>
      </c>
      <c r="B21961" t="s">
        <v>21966</v>
      </c>
      <c r="C21961">
        <f>HYPERLINK("C:\Users\franc\OneDrive\Documentos\MALENTIN KARIME\BANCO CREDITO\FER LORCA en ROSITA (Rosita)\BANCOS\CORPBANCA\MUTUO HIPOTECARIO.-\13a) Tasa Fija con cvta FG -Manuel Carvajal y otros a Emilio Aguirre.JULIO 2010.- POR MI....doc", "Abrir Documento")</f>
        <v>0</v>
      </c>
      <c r="D21961" t="s">
        <v>23500</v>
      </c>
      <c r="E21961" t="s">
        <v>44416</v>
      </c>
    </row>
    <row r="21962" spans="1:5">
      <c r="A21962" t="s">
        <v>6</v>
      </c>
      <c r="B21962" t="s">
        <v>21967</v>
      </c>
      <c r="C21962">
        <f>HYPERLINK("C:\Users\franc\OneDrive\Documentos\MALENTIN KARIME\BANCO CREDITO\FER LORCA en ROSITA (Rosita)\BANCOS\CORPBANCA\MUTUO HIPOTECARIO.-\13a) Tasa Fija con cvta FG -Manuel Carvajal y otros a Emilio Aguirre. (2).- MODIFIC..doc", "Abrir Documento")</f>
        <v>0</v>
      </c>
      <c r="D21962" t="s">
        <v>23500</v>
      </c>
      <c r="E21962" t="s">
        <v>44417</v>
      </c>
    </row>
    <row r="21963" spans="1:5">
      <c r="A21963" t="s">
        <v>6</v>
      </c>
      <c r="B21963" t="s">
        <v>21968</v>
      </c>
      <c r="C21963">
        <f>HYPERLINK("C:\Users\franc\OneDrive\Documentos\MALENTIN KARIME\BANCO CREDITO\FER LORCA en ROSITA (Rosita)\BANCOS\CORPBANCA\LEASING\MARZO 2011\MAT_AF_11693818_8153969.pdf", "Abrir Documento")</f>
        <v>0</v>
      </c>
      <c r="D21963" t="s">
        <v>23501</v>
      </c>
      <c r="E21963" t="s">
        <v>44418</v>
      </c>
    </row>
    <row r="21964" spans="1:5">
      <c r="A21964" t="s">
        <v>6</v>
      </c>
      <c r="B21964" t="s">
        <v>21969</v>
      </c>
      <c r="C21964">
        <f>HYPERLINK("C:\Users\franc\OneDrive\Documentos\MALENTIN KARIME\BANCO CREDITO\FER LORCA en ROSITA (Rosita)\BANCOS\CORPBANCA\LEASING\MARZO 2011\DCTO. AGRONOBLE.pdf", "Abrir Documento")</f>
        <v>0</v>
      </c>
      <c r="D21964" t="s">
        <v>23500</v>
      </c>
      <c r="E21964" t="s">
        <v>44419</v>
      </c>
    </row>
    <row r="21965" spans="1:5">
      <c r="A21965" t="s">
        <v>6</v>
      </c>
      <c r="B21965" t="s">
        <v>21970</v>
      </c>
      <c r="C21965">
        <f>HYPERLINK("C:\Users\franc\OneDrive\Documentos\MALENTIN KARIME\BANCO CREDITO\FER LORCA en ROSITA (Rosita)\BANCOS\CORPBANCA\LEASING\MARZO 2011\anexo[1] AGRONOBLE.doc", "Abrir Documento")</f>
        <v>0</v>
      </c>
      <c r="D21965" t="s">
        <v>23500</v>
      </c>
      <c r="E21965" t="s">
        <v>44420</v>
      </c>
    </row>
    <row r="21966" spans="1:5">
      <c r="A21966" t="s">
        <v>6</v>
      </c>
      <c r="B21966" t="s">
        <v>21971</v>
      </c>
      <c r="C21966">
        <f>HYPERLINK("C:\Users\franc\OneDrive\Documentos\MALENTIN KARIME\BANCO CREDITO\FER LORCA en ROSITA (Rosita)\BANCOS\CORPBANCA\LEASING\MARZO 2011\2006487 Guayacan Limitada.- MARZO 2.doc", "Abrir Documento")</f>
        <v>0</v>
      </c>
      <c r="D21966" t="s">
        <v>23500</v>
      </c>
      <c r="E21966" t="s">
        <v>44421</v>
      </c>
    </row>
    <row r="21967" spans="1:5">
      <c r="A21967" t="s">
        <v>6</v>
      </c>
      <c r="B21967" t="s">
        <v>21972</v>
      </c>
      <c r="C21967">
        <f>HYPERLINK("C:\Users\franc\OneDrive\Documentos\MALENTIN KARIME\BANCO CREDITO\FER LORCA en ROSITA (Rosita)\BANCOS\CORPBANCA\LEASING\MARZO 2011\2006189 AGRONOBLE S.A.-.doc", "Abrir Documento")</f>
        <v>0</v>
      </c>
      <c r="D21967" t="s">
        <v>23500</v>
      </c>
      <c r="E21967" t="s">
        <v>44422</v>
      </c>
    </row>
    <row r="21968" spans="1:5">
      <c r="A21968" t="s">
        <v>6</v>
      </c>
      <c r="B21968" t="s">
        <v>21973</v>
      </c>
      <c r="C21968">
        <f>HYPERLINK("C:\Users\franc\OneDrive\Documentos\MALENTIN KARIME\BANCO CREDITO\FER LORCA en ROSITA (Rosita)\BANCOS\CORPBANCA\LEASING\ENERO 2011\2006487 Guayacan Limitada.- MARZO 2.doc", "Abrir Documento")</f>
        <v>0</v>
      </c>
      <c r="D21968" t="s">
        <v>23500</v>
      </c>
      <c r="E21968" t="s">
        <v>44423</v>
      </c>
    </row>
    <row r="21969" spans="1:5">
      <c r="A21969" t="s">
        <v>6</v>
      </c>
      <c r="B21969" t="s">
        <v>21974</v>
      </c>
      <c r="C21969">
        <f>HYPERLINK("C:\Users\franc\OneDrive\Documentos\MALENTIN KARIME\BANCO CREDITO\FER LORCA en ROSITA (Rosita)\BANCOS\CORPBANCA\LEASING\ENERO 2011\2005851 Transportes Guayacan Limitada.doc", "Abrir Documento")</f>
        <v>0</v>
      </c>
      <c r="D21969" t="s">
        <v>23500</v>
      </c>
      <c r="E21969" t="s">
        <v>44424</v>
      </c>
    </row>
    <row r="21970" spans="1:5">
      <c r="A21970" t="s">
        <v>6</v>
      </c>
      <c r="B21970" t="s">
        <v>21975</v>
      </c>
      <c r="C21970">
        <f>HYPERLINK("C:\Users\franc\OneDrive\Documentos\MALENTIN KARIME\BANCO CREDITO\FER LORCA en ROSITA (Rosita)\BANCOS\CORPBANCA\LEASING\DICIEMBRE\2005720 Sociedad Eric Contreras y Cia Limitada.doc", "Abrir Documento")</f>
        <v>0</v>
      </c>
      <c r="D21970" t="s">
        <v>23500</v>
      </c>
      <c r="E21970" t="s">
        <v>44425</v>
      </c>
    </row>
    <row r="21971" spans="1:5">
      <c r="A21971" t="s">
        <v>6</v>
      </c>
      <c r="B21971" t="s">
        <v>21976</v>
      </c>
      <c r="C21971">
        <f>HYPERLINK("C:\Users\franc\OneDrive\Documentos\MALENTIN KARIME\BANCO CREDITO\FER LORCA en ROSITA (Rosita)\BANCOS\CORPBANCA\LEASING\DICIEMBRE\2005694 Contreras Flores.doc", "Abrir Documento")</f>
        <v>0</v>
      </c>
      <c r="D21971" t="s">
        <v>23500</v>
      </c>
      <c r="E21971" t="s">
        <v>44426</v>
      </c>
    </row>
    <row r="21972" spans="1:5">
      <c r="A21972" t="s">
        <v>6</v>
      </c>
      <c r="B21972" t="s">
        <v>21977</v>
      </c>
      <c r="C21972">
        <f>HYPERLINK("C:\Users\franc\OneDrive\Documentos\MALENTIN KARIME\BANCO CREDITO\FER LORCA en ROSITA (Rosita)\BANCOS\CORPBANCA\LEASING\MOV. TIERRAS LUIS CARVAJAL E.I.R.L..doc", "Abrir Documento")</f>
        <v>0</v>
      </c>
      <c r="D21972" t="s">
        <v>23500</v>
      </c>
      <c r="E21972" t="s">
        <v>44427</v>
      </c>
    </row>
    <row r="21973" spans="1:5">
      <c r="A21973" t="s">
        <v>6</v>
      </c>
      <c r="B21973" t="s">
        <v>21978</v>
      </c>
      <c r="C21973">
        <f>HYPERLINK("C:\Users\franc\OneDrive\Documentos\MALENTIN KARIME\BANCO CREDITO\FER LORCA en ROSITA (Rosita)\BANCOS\CORPBANCA\LEASING\LUIS CLAUDIO MARINÇ.doc", "Abrir Documento")</f>
        <v>0</v>
      </c>
      <c r="D21973" t="s">
        <v>23500</v>
      </c>
      <c r="E21973" t="s">
        <v>44428</v>
      </c>
    </row>
    <row r="21974" spans="1:5">
      <c r="A21974" t="s">
        <v>6</v>
      </c>
      <c r="B21974" t="s">
        <v>21979</v>
      </c>
      <c r="C21974">
        <f>HYPERLINK("C:\Users\franc\OneDrive\Documentos\MALENTIN KARIME\BANCO CREDITO\FER LORCA en ROSITA (Rosita)\BANCOS\CORPBANCA\LEASING\JULIO GUTIERREZ FLORES.doc", "Abrir Documento")</f>
        <v>0</v>
      </c>
      <c r="D21974" t="s">
        <v>23500</v>
      </c>
      <c r="E21974" t="s">
        <v>44429</v>
      </c>
    </row>
    <row r="21975" spans="1:5">
      <c r="A21975" t="s">
        <v>6</v>
      </c>
      <c r="B21975" t="s">
        <v>21980</v>
      </c>
      <c r="C21975">
        <f>HYPERLINK("C:\Users\franc\OneDrive\Documentos\MALENTIN KARIME\BANCO CREDITO\FER LORCA en ROSITA (Rosita)\BANCOS\CORPBANCA\LEASING\INVERSIONES SEPEDA HERMANOS.doc", "Abrir Documento")</f>
        <v>0</v>
      </c>
      <c r="D21975" t="s">
        <v>23500</v>
      </c>
      <c r="E21975" t="s">
        <v>44430</v>
      </c>
    </row>
    <row r="21976" spans="1:5">
      <c r="A21976" t="s">
        <v>6</v>
      </c>
      <c r="B21976" t="s">
        <v>21981</v>
      </c>
      <c r="C21976">
        <f>HYPERLINK("C:\Users\franc\OneDrive\Documentos\MALENTIN KARIME\BANCO CREDITO\FER LORCA en ROSITA (Rosita)\BANCOS\CORPBANCA\LEASING\HERNAN CONTRERAS FLORES.doc", "Abrir Documento")</f>
        <v>0</v>
      </c>
      <c r="D21976" t="s">
        <v>23500</v>
      </c>
      <c r="E21976" t="s">
        <v>44431</v>
      </c>
    </row>
    <row r="21977" spans="1:5">
      <c r="A21977" t="s">
        <v>6</v>
      </c>
      <c r="B21977" t="s">
        <v>21982</v>
      </c>
      <c r="C21977">
        <f>HYPERLINK("C:\Users\franc\OneDrive\Documentos\MALENTIN KARIME\BANCO CREDITO\FER LORCA en ROSITA (Rosita)\BANCOS\CORPBANCA\LEASING\CLAUDIO MARIN E I R L ii .- SEPT. 2010.-.doc", "Abrir Documento")</f>
        <v>0</v>
      </c>
      <c r="D21977" t="s">
        <v>23500</v>
      </c>
      <c r="E21977" t="s">
        <v>44432</v>
      </c>
    </row>
    <row r="21978" spans="1:5">
      <c r="A21978" t="s">
        <v>6</v>
      </c>
      <c r="B21978" t="s">
        <v>21983</v>
      </c>
      <c r="C21978">
        <f>HYPERLINK("C:\Users\franc\OneDrive\Documentos\MALENTIN KARIME\BANCO CREDITO\FER LORCA en ROSITA (Rosita)\BANCOS\CORPBANCA\LEASING\2005552 CANTA RANA. NOVIEMBRE.-.doc", "Abrir Documento")</f>
        <v>0</v>
      </c>
      <c r="D21978" t="s">
        <v>23500</v>
      </c>
      <c r="E21978" t="s">
        <v>44433</v>
      </c>
    </row>
    <row r="21979" spans="1:5">
      <c r="A21979" t="s">
        <v>6</v>
      </c>
      <c r="B21979" t="s">
        <v>21984</v>
      </c>
      <c r="C21979">
        <f>HYPERLINK("C:\Users\franc\OneDrive\Documentos\MALENTIN KARIME\BANCO CREDITO\FER LORCA en ROSITA (Rosita)\BANCOS\CORPBANCA\LEASING\2005446.-AGRICOLA CANTA RANA LTDA.-.doc", "Abrir Documento")</f>
        <v>0</v>
      </c>
      <c r="D21979" t="s">
        <v>23500</v>
      </c>
      <c r="E21979" t="s">
        <v>44434</v>
      </c>
    </row>
    <row r="21980" spans="1:5">
      <c r="A21980" t="s">
        <v>6</v>
      </c>
      <c r="B21980" t="s">
        <v>21985</v>
      </c>
      <c r="C21980">
        <f>HYPERLINK("C:\Users\franc\OneDrive\Documentos\MALENTIN KARIME\BANCO CREDITO\FER LORCA en ROSITA (Rosita)\BANCOS\CORPBANCA\HIPOTECAS\SOC. AGRIC. LOS PRIMOS.- AGOSTO 2010..doc", "Abrir Documento")</f>
        <v>0</v>
      </c>
      <c r="D21980" t="s">
        <v>23500</v>
      </c>
      <c r="E21980" t="s">
        <v>44435</v>
      </c>
    </row>
    <row r="21981" spans="1:5">
      <c r="A21981" t="s">
        <v>6</v>
      </c>
      <c r="B21981" t="s">
        <v>21986</v>
      </c>
      <c r="C21981">
        <f>HYPERLINK("C:\Users\franc\OneDrive\Documentos\MALENTIN KARIME\BANCO CREDITO\FER LORCA en ROSITA (Rosita)\BANCOS\CORPBANCA\HIPOTECAS\SOC. AGRIC. LOS PRIMOS.- AGOSTO 2010.-.doc", "Abrir Documento")</f>
        <v>0</v>
      </c>
      <c r="D21981" t="s">
        <v>23500</v>
      </c>
      <c r="E21981" t="s">
        <v>44436</v>
      </c>
    </row>
    <row r="21982" spans="1:5">
      <c r="A21982" t="s">
        <v>6</v>
      </c>
      <c r="B21982" t="s">
        <v>21987</v>
      </c>
      <c r="C21982">
        <f>HYPERLINK("C:\Users\franc\OneDrive\Documentos\MALENTIN KARIME\BANCO CREDITO\FER LORCA en ROSITA (Rosita)\BANCOS\CORPBANCA\HIPOTECAS\Soc Agricola Los Alamos Ltda[1]. LT 2B.- FEBRERO.doc", "Abrir Documento")</f>
        <v>0</v>
      </c>
      <c r="D21982" t="s">
        <v>23500</v>
      </c>
      <c r="E21982" t="s">
        <v>44437</v>
      </c>
    </row>
    <row r="21983" spans="1:5">
      <c r="A21983" t="s">
        <v>6</v>
      </c>
      <c r="B21983" t="s">
        <v>21988</v>
      </c>
      <c r="C21983">
        <f>HYPERLINK("C:\Users\franc\OneDrive\Documentos\MALENTIN KARIME\BANCO CREDITO\FER LORCA en ROSITA (Rosita)\BANCOS\CORPBANCA\HIPOTECAS\Soc Agricola Los Alamos Ltda.- HIPOTECA.doc", "Abrir Documento")</f>
        <v>0</v>
      </c>
      <c r="D21983" t="s">
        <v>23500</v>
      </c>
      <c r="E21983" t="s">
        <v>44438</v>
      </c>
    </row>
    <row r="21984" spans="1:5">
      <c r="A21984" t="s">
        <v>6</v>
      </c>
      <c r="B21984" t="s">
        <v>21989</v>
      </c>
      <c r="C21984">
        <f>HYPERLINK("C:\Users\franc\OneDrive\Documentos\MALENTIN KARIME\BANCO CREDITO\FER LORCA en ROSITA (Rosita)\BANCOS\CORPBANCA\HIPOTECAS\Samuel Bozo Lorca hipoteca.doc", "Abrir Documento")</f>
        <v>0</v>
      </c>
      <c r="D21984" t="s">
        <v>23500</v>
      </c>
      <c r="E21984" t="s">
        <v>44439</v>
      </c>
    </row>
    <row r="21985" spans="1:5">
      <c r="A21985" t="s">
        <v>6</v>
      </c>
      <c r="B21985" t="s">
        <v>21990</v>
      </c>
      <c r="C21985">
        <f>HYPERLINK("C:\Users\franc\OneDrive\Documentos\MALENTIN KARIME\BANCO CREDITO\FER LORCA en ROSITA (Rosita)\BANCOS\CORPBANCA\HIPOTECAS\Samuel Bozo Lorca - Inmboliaria Bozo.- OCTUBRE.doc", "Abrir Documento")</f>
        <v>0</v>
      </c>
      <c r="D21985" t="s">
        <v>23500</v>
      </c>
      <c r="E21985" t="s">
        <v>44440</v>
      </c>
    </row>
    <row r="21986" spans="1:5">
      <c r="A21986" t="s">
        <v>6</v>
      </c>
      <c r="B21986" t="s">
        <v>21991</v>
      </c>
      <c r="C21986">
        <f>HYPERLINK("C:\Users\franc\OneDrive\Documentos\MALENTIN KARIME\BANCO CREDITO\FER LORCA en ROSITA (Rosita)\BANCOS\CORPBANCA\HIPOTECAS\JULIO GUTIERREZ FLORES.doc", "Abrir Documento")</f>
        <v>0</v>
      </c>
      <c r="D21986" t="s">
        <v>23500</v>
      </c>
      <c r="E21986" t="s">
        <v>44441</v>
      </c>
    </row>
    <row r="21987" spans="1:5">
      <c r="A21987" t="s">
        <v>6</v>
      </c>
      <c r="B21987" t="s">
        <v>21992</v>
      </c>
      <c r="C21987">
        <f>HYPERLINK("C:\Users\franc\OneDrive\Documentos\MALENTIN KARIME\BANCO CREDITO\FER LORCA en ROSITA (Rosita)\BANCOS\CORPBANCA\HIPOTECAS\Ing y Construc Camarico Ltda. guanaqueros.- NUEVA.doc", "Abrir Documento")</f>
        <v>0</v>
      </c>
      <c r="D21987" t="s">
        <v>23500</v>
      </c>
      <c r="E21987" t="s">
        <v>44442</v>
      </c>
    </row>
    <row r="21988" spans="1:5">
      <c r="A21988" t="s">
        <v>6</v>
      </c>
      <c r="B21988" t="s">
        <v>21993</v>
      </c>
      <c r="C21988">
        <f>HYPERLINK("C:\Users\franc\OneDrive\Documentos\MALENTIN KARIME\BANCO CREDITO\FER LORCA en ROSITA (Rosita)\BANCOS\CORPBANCA\HIPOTECAS\Ing y Construc Camarico Ltda. St 6 y Lt 19.- NOVIEMBRE.doc", "Abrir Documento")</f>
        <v>0</v>
      </c>
      <c r="D21988" t="s">
        <v>23500</v>
      </c>
      <c r="E21988" t="s">
        <v>44442</v>
      </c>
    </row>
    <row r="21989" spans="1:5">
      <c r="A21989" t="s">
        <v>6</v>
      </c>
      <c r="B21989" t="s">
        <v>21994</v>
      </c>
      <c r="C21989">
        <f>HYPERLINK("C:\Users\franc\OneDrive\Documentos\MALENTIN KARIME\BANCO CREDITO\FER LORCA en ROSITA (Rosita)\BANCOS\CORPBANCA\HIPOTECAS\HIPOTECA.- ANGOSTURA MODIFICADA 07-12-2009.-.doc", "Abrir Documento")</f>
        <v>0</v>
      </c>
      <c r="D21989" t="s">
        <v>23500</v>
      </c>
      <c r="E21989" t="s">
        <v>44443</v>
      </c>
    </row>
    <row r="21990" spans="1:5">
      <c r="A21990" t="s">
        <v>6</v>
      </c>
      <c r="B21990" t="s">
        <v>21995</v>
      </c>
      <c r="C21990">
        <f>HYPERLINK("C:\Users\franc\OneDrive\Documentos\MALENTIN KARIME\BANCO CREDITO\FER LORCA en ROSITA (Rosita)\BANCOS\CORPBANCA\HIPOTECAS\HIPOTECA.- Soc Agric Angostura Ltda. Los Morales y aguas.doc", "Abrir Documento")</f>
        <v>0</v>
      </c>
      <c r="D21990" t="s">
        <v>23500</v>
      </c>
      <c r="E21990" t="s">
        <v>44443</v>
      </c>
    </row>
    <row r="21991" spans="1:5">
      <c r="A21991" t="s">
        <v>6</v>
      </c>
      <c r="B21991" t="s">
        <v>21996</v>
      </c>
      <c r="C21991">
        <f>HYPERLINK("C:\Users\franc\OneDrive\Documentos\MALENTIN KARIME\BANCO CREDITO\FER LORCA en ROSITA (Rosita)\BANCOS\CORPBANCA\HIPOTECAS\HIPOT. SOC. AGRIC. ANGOSTURA.doc", "Abrir Documento")</f>
        <v>0</v>
      </c>
      <c r="D21991" t="s">
        <v>23500</v>
      </c>
      <c r="E21991" t="s">
        <v>44444</v>
      </c>
    </row>
    <row r="21992" spans="1:5">
      <c r="A21992" t="s">
        <v>6</v>
      </c>
      <c r="B21992" t="s">
        <v>21997</v>
      </c>
      <c r="C21992">
        <f>HYPERLINK("C:\Users\franc\OneDrive\Documentos\MALENTIN KARIME\BANCO CREDITO\FER LORCA en ROSITA (Rosita)\BANCOS\CORPBANCA\HIPOTECAS\Cta E cv e hipoteca Samuel Bozo y otra a Inmobiliaria Bozo Sandoval.- OCTUBRE.doc", "Abrir Documento")</f>
        <v>0</v>
      </c>
      <c r="D21992" t="s">
        <v>23500</v>
      </c>
      <c r="E21992" t="s">
        <v>44445</v>
      </c>
    </row>
    <row r="21993" spans="1:5">
      <c r="A21993" t="s">
        <v>6</v>
      </c>
      <c r="B21993" t="s">
        <v>21998</v>
      </c>
      <c r="C21993">
        <f>HYPERLINK("C:\Users\franc\OneDrive\Documentos\MALENTIN KARIME\BANCO CREDITO\FER LORCA en ROSITA (Rosita)\BANCOS\CORPBANCA\HIPOTECAS\CLUB SOCIAL.- MAYO.doc", "Abrir Documento")</f>
        <v>0</v>
      </c>
      <c r="D21993" t="s">
        <v>23500</v>
      </c>
      <c r="E21993" t="s">
        <v>44446</v>
      </c>
    </row>
    <row r="21994" spans="1:5">
      <c r="A21994" t="s">
        <v>6</v>
      </c>
      <c r="B21994" t="s">
        <v>21999</v>
      </c>
      <c r="C21994">
        <f>HYPERLINK("C:\Users\franc\OneDrive\Documentos\MALENTIN KARIME\BANCO CREDITO\FER LORCA en ROSITA (Rosita)\BANCOS\CORPBANCA\HIPOTECAS\ANA MARIA MUNDACA.- HIPOTECA.doc", "Abrir Documento")</f>
        <v>0</v>
      </c>
      <c r="D21994" t="s">
        <v>23500</v>
      </c>
      <c r="E21994" t="s">
        <v>44447</v>
      </c>
    </row>
    <row r="21995" spans="1:5">
      <c r="A21995" t="s">
        <v>6</v>
      </c>
      <c r="B21995" t="s">
        <v>22000</v>
      </c>
      <c r="C21995">
        <f>HYPERLINK("C:\Users\franc\OneDrive\Documentos\MALENTIN KARIME\BANCO CREDITO\FER LORCA en ROSITA (Rosita)\BANCOS\CORPBANCA\HIPOTECAS\ANA MARIA MUNDACA.- HIPOTECA.- MARZO.-.doc", "Abrir Documento")</f>
        <v>0</v>
      </c>
      <c r="D21995" t="s">
        <v>23500</v>
      </c>
      <c r="E21995" t="s">
        <v>44448</v>
      </c>
    </row>
    <row r="21996" spans="1:5">
      <c r="A21996" t="s">
        <v>6</v>
      </c>
      <c r="B21996" t="s">
        <v>22001</v>
      </c>
      <c r="C21996">
        <f>HYPERLINK("C:\Users\franc\OneDrive\Documentos\MALENTIN KARIME\BANCO CREDITO\FER LORCA en ROSITA (Rosita)\BANCOS\CORPBANCA\FIANZA SOLIDARIA\fianza solidaria .- artigues.doc", "Abrir Documento")</f>
        <v>0</v>
      </c>
      <c r="D21996" t="s">
        <v>23500</v>
      </c>
      <c r="E21996" t="s">
        <v>44449</v>
      </c>
    </row>
    <row r="21997" spans="1:5">
      <c r="A21997" t="s">
        <v>6</v>
      </c>
      <c r="B21997" t="s">
        <v>22002</v>
      </c>
      <c r="C21997">
        <f>HYPERLINK("C:\Users\franc\OneDrive\Documentos\MALENTIN KARIME\BANCO CREDITO\FER LORCA en ROSITA (Rosita)\BANCOS\CORPBANCA\FIANZA SOLIDARIA\ALFONSO ARTIGUES POR SOC. ANGOSTURA.- FIANZA SOLIDARIA.doc", "Abrir Documento")</f>
        <v>0</v>
      </c>
      <c r="D21997" t="s">
        <v>23500</v>
      </c>
      <c r="E21997" t="s">
        <v>44450</v>
      </c>
    </row>
    <row r="21998" spans="1:5">
      <c r="A21998" t="s">
        <v>6</v>
      </c>
      <c r="B21998" t="s">
        <v>22003</v>
      </c>
      <c r="C21998">
        <f>HYPERLINK("C:\Users\franc\OneDrive\Documentos\MALENTIN KARIME\BANCO CREDITO\FER LORCA en ROSITA (Rosita)\BANCOS\CORPBANCA\EXTRACTOS\SOC. AGRIC. LOS ALAMOS LTDA.- FEB.-.doc", "Abrir Documento")</f>
        <v>0</v>
      </c>
      <c r="D21998" t="s">
        <v>23500</v>
      </c>
      <c r="E21998" t="s">
        <v>44451</v>
      </c>
    </row>
    <row r="21999" spans="1:5">
      <c r="A21999" t="s">
        <v>6</v>
      </c>
      <c r="B21999" t="s">
        <v>22004</v>
      </c>
      <c r="C21999">
        <f>HYPERLINK("C:\Users\franc\OneDrive\Documentos\MALENTIN KARIME\BANCO CREDITO\FER LORCA en ROSITA (Rosita)\BANCOS\CORPBANCA\EXTRACTOS\SOC. AGRIC. ANGOSTURA.- LOTE LOS MORALES.doc", "Abrir Documento")</f>
        <v>0</v>
      </c>
      <c r="D21999" t="s">
        <v>23500</v>
      </c>
      <c r="E21999" t="s">
        <v>44452</v>
      </c>
    </row>
    <row r="22000" spans="1:5">
      <c r="A22000" t="s">
        <v>6</v>
      </c>
      <c r="B22000" t="s">
        <v>22005</v>
      </c>
      <c r="C22000">
        <f>HYPERLINK("C:\Users\franc\OneDrive\Documentos\MALENTIN KARIME\BANCO CREDITO\FER LORCA en ROSITA (Rosita)\BANCOS\CORPBANCA\EXTRACTOS\EXTRACTO SOC. AGRIC LOS PRIMOS LTDA.- AGOSTO 2010.doc", "Abrir Documento")</f>
        <v>0</v>
      </c>
      <c r="D22000" t="s">
        <v>23500</v>
      </c>
      <c r="E22000" t="s">
        <v>44453</v>
      </c>
    </row>
    <row r="22001" spans="1:5">
      <c r="A22001" t="s">
        <v>6</v>
      </c>
      <c r="B22001" t="s">
        <v>22006</v>
      </c>
      <c r="C22001">
        <f>HYPERLINK("C:\Users\franc\OneDrive\Documentos\MALENTIN KARIME\BANCO CREDITO\FER LORCA en ROSITA (Rosita)\BANCOS\CORPBANCA\EXTRACTOS\EXTRACTO SOC. AGRIC LOS ALAMOS LTDA.doc", "Abrir Documento")</f>
        <v>0</v>
      </c>
      <c r="D22001" t="s">
        <v>23500</v>
      </c>
      <c r="E22001" t="s">
        <v>44454</v>
      </c>
    </row>
    <row r="22002" spans="1:5">
      <c r="A22002" t="s">
        <v>6</v>
      </c>
      <c r="B22002" t="s">
        <v>22007</v>
      </c>
      <c r="C22002">
        <f>HYPERLINK("C:\Users\franc\OneDrive\Documentos\MALENTIN KARIME\BANCO CREDITO\FER LORCA en ROSITA (Rosita)\BANCOS\CORPBANCA\EXTRACTOS\extracto SOC AGRIC ANGOSTURA.- MARZO.-.doc", "Abrir Documento")</f>
        <v>0</v>
      </c>
      <c r="D22002" t="s">
        <v>23500</v>
      </c>
      <c r="E22002" t="s">
        <v>44455</v>
      </c>
    </row>
    <row r="22003" spans="1:5">
      <c r="A22003" t="s">
        <v>6</v>
      </c>
      <c r="B22003" t="s">
        <v>22008</v>
      </c>
      <c r="C22003">
        <f>HYPERLINK("C:\Users\franc\OneDrive\Documentos\MALENTIN KARIME\BANCO CREDITO\FER LORCA en ROSITA (Rosita)\BANCOS\CORPBANCA\CVTA. Y ALZAMIENTO\ERNESTO CONTRERAS A ERIC CONTRERAS.- AGOSTO 2010.doc", "Abrir Documento")</f>
        <v>0</v>
      </c>
      <c r="D22003" t="s">
        <v>23500</v>
      </c>
      <c r="E22003" t="s">
        <v>44456</v>
      </c>
    </row>
    <row r="22004" spans="1:5">
      <c r="A22004" t="s">
        <v>6</v>
      </c>
      <c r="B22004" t="s">
        <v>22009</v>
      </c>
      <c r="C22004">
        <f>HYPERLINK("C:\Users\franc\OneDrive\Documentos\MALENTIN KARIME\BANCO CREDITO\FER LORCA en ROSITA (Rosita)\BANCOS\CORPBANCA\CVTA. Y ALZAMIENTO\compraventa y alzamiento bci Hernan Zanforlin y otros a Soc Agri Valdivia Ltda.doc", "Abrir Documento")</f>
        <v>0</v>
      </c>
      <c r="D22004" t="s">
        <v>23500</v>
      </c>
      <c r="E22004" t="s">
        <v>44457</v>
      </c>
    </row>
    <row r="22005" spans="1:5">
      <c r="A22005" t="s">
        <v>6</v>
      </c>
      <c r="B22005" t="s">
        <v>22010</v>
      </c>
      <c r="C22005">
        <f>HYPERLINK("C:\Users\franc\OneDrive\Documentos\MALENTIN KARIME\BANCO CREDITO\FER LORCA en ROSITA (Rosita)\BANCOS\CORPBANCA\COMPRAVENTA\OSVALDO CARMEN PASTEN CORTES Y OTROS. SOC. AGRIC. ENTRE RIOS LTDA.doc", "Abrir Documento")</f>
        <v>0</v>
      </c>
      <c r="D22005" t="s">
        <v>23500</v>
      </c>
      <c r="E22005" t="s">
        <v>44458</v>
      </c>
    </row>
    <row r="22006" spans="1:5">
      <c r="A22006" t="s">
        <v>6</v>
      </c>
      <c r="B22006" t="s">
        <v>22011</v>
      </c>
      <c r="C22006">
        <f>HYPERLINK("C:\Users\franc\OneDrive\Documentos\MALENTIN KARIME\BANCO CREDITO\FER LORCA en ROSITA (Rosita)\BANCOS\CORPBANCA\COMPRAVENTA\cv e hipoteca Hernan Zanforlin y otros a Soc Agri Valdivia Ltda (2).- NUEVO MARZO.doc", "Abrir Documento")</f>
        <v>0</v>
      </c>
      <c r="D22006" t="s">
        <v>23500</v>
      </c>
      <c r="E22006" t="s">
        <v>44459</v>
      </c>
    </row>
    <row r="22007" spans="1:5">
      <c r="A22007" t="s">
        <v>6</v>
      </c>
      <c r="B22007" t="s">
        <v>22012</v>
      </c>
      <c r="C22007">
        <f>HYPERLINK("C:\Users\franc\OneDrive\Documentos\MALENTIN KARIME\BANCO CREDITO\FER LORCA en ROSITA (Rosita)\BANCOS\CORPBANCA\COMPRAVENTA\COMPRAVENTA VICTOR NAZER A SOC. INM. RIO LIMARI.doc", "Abrir Documento")</f>
        <v>0</v>
      </c>
      <c r="D22007" t="s">
        <v>23500</v>
      </c>
      <c r="E22007" t="s">
        <v>44460</v>
      </c>
    </row>
    <row r="22008" spans="1:5">
      <c r="A22008" t="s">
        <v>6</v>
      </c>
      <c r="B22008" t="s">
        <v>22013</v>
      </c>
      <c r="C22008">
        <f>HYPERLINK("C:\Users\franc\OneDrive\Documentos\MALENTIN KARIME\BANCO CREDITO\FER LORCA en ROSITA (Rosita)\BANCOS\CORPBANCA\COMPRAVENTA\CARTA INSTRUCCIONES.- Zanforlín y Soc Agri Valdivia Ltda.doc", "Abrir Documento")</f>
        <v>0</v>
      </c>
      <c r="D22008" t="s">
        <v>23500</v>
      </c>
      <c r="E22008" t="s">
        <v>44461</v>
      </c>
    </row>
    <row r="22009" spans="1:5">
      <c r="A22009" t="s">
        <v>6</v>
      </c>
      <c r="B22009" t="s">
        <v>22014</v>
      </c>
      <c r="C22009">
        <f>HYPERLINK("C:\Users\franc\OneDrive\Documentos\MALENTIN KARIME\BANCO CREDITO\FER LORCA en ROSITA (Rosita)\BANCOS\CORPBANCA\COMPRAVENTA\13RP cv tasa fija viv Carolina Jofre a Rodrigo Muñoz div y sol.-OCTUBRE.doc", "Abrir Documento")</f>
        <v>0</v>
      </c>
      <c r="D22009" t="s">
        <v>23500</v>
      </c>
      <c r="E22009" t="s">
        <v>44462</v>
      </c>
    </row>
    <row r="22010" spans="1:5">
      <c r="A22010" t="s">
        <v>6</v>
      </c>
      <c r="B22010" t="s">
        <v>22015</v>
      </c>
      <c r="C22010">
        <f>HYPERLINK("C:\Users\franc\OneDrive\Documentos\MALENTIN KARIME\BANCO CREDITO\FER LORCA en ROSITA (Rosita)\BANCOS\CORPBANCA\COMPLEMENTACION\COMPLEMENTACION Y ACLARACION.-  ARTIGUES S.A. y COVALSA[1].doc", "Abrir Documento")</f>
        <v>0</v>
      </c>
      <c r="D22010" t="s">
        <v>23500</v>
      </c>
      <c r="E22010" t="s">
        <v>44463</v>
      </c>
    </row>
    <row r="22011" spans="1:5">
      <c r="A22011" t="s">
        <v>6</v>
      </c>
      <c r="B22011" t="s">
        <v>22016</v>
      </c>
      <c r="C22011">
        <f>HYPERLINK("C:\Users\franc\OneDrive\Documentos\MALENTIN KARIME\BANCO CREDITO\FER LORCA en ROSITA (Rosita)\BANCOS\CORPBANCA\COMPLEMENTACION\COMPLEMENTACION ARTIGUES .- RECTIFICADA CLAUS. QUINTA.doc", "Abrir Documento")</f>
        <v>0</v>
      </c>
      <c r="D22011" t="s">
        <v>23500</v>
      </c>
      <c r="E22011" t="s">
        <v>44464</v>
      </c>
    </row>
    <row r="22012" spans="1:5">
      <c r="A22012" t="s">
        <v>6</v>
      </c>
      <c r="B22012" t="s">
        <v>22017</v>
      </c>
      <c r="C22012">
        <f>HYPERLINK("C:\Users\franc\OneDrive\Documentos\MALENTIN KARIME\BANCO CREDITO\FER LORCA en ROSITA (Rosita)\BANCOS\CORPBANCA\CARTAS INSTRUCCIONES\Victor Nazer y Felipe Nazer[1].doc", "Abrir Documento")</f>
        <v>0</v>
      </c>
      <c r="D22012" t="s">
        <v>23500</v>
      </c>
      <c r="E22012" t="s">
        <v>44465</v>
      </c>
    </row>
    <row r="22013" spans="1:5">
      <c r="A22013" t="s">
        <v>6</v>
      </c>
      <c r="B22013" t="s">
        <v>22018</v>
      </c>
      <c r="C22013">
        <f>HYPERLINK("C:\Users\franc\OneDrive\Documentos\MALENTIN KARIME\BANCO CREDITO\FER LORCA en ROSITA (Rosita)\BANCOS\CORPBANCA\CARTAS INSTRUCCIONES\Soc Agricola Los Alamos Ltda.- COMPLEMENTACION.doc", "Abrir Documento")</f>
        <v>0</v>
      </c>
      <c r="D22013" t="s">
        <v>23500</v>
      </c>
      <c r="E22013" t="s">
        <v>44466</v>
      </c>
    </row>
    <row r="22014" spans="1:5">
      <c r="A22014" t="s">
        <v>6</v>
      </c>
      <c r="B22014" t="s">
        <v>22019</v>
      </c>
      <c r="C22014">
        <f>HYPERLINK("C:\Users\franc\OneDrive\Documentos\MALENTIN KARIME\BANCO CREDITO\FER LORCA en ROSITA (Rosita)\BANCOS\CORPBANCA\CARTAS INSTRUCCIONES\Soc Agri Los Primos Ltda. agosto 2010.- CON SANTANDER HIPOTECA.doc", "Abrir Documento")</f>
        <v>0</v>
      </c>
      <c r="D22014" t="s">
        <v>23500</v>
      </c>
      <c r="E22014" t="s">
        <v>44467</v>
      </c>
    </row>
    <row r="22015" spans="1:5">
      <c r="A22015" t="s">
        <v>6</v>
      </c>
      <c r="B22015" t="s">
        <v>22020</v>
      </c>
      <c r="C22015">
        <f>HYPERLINK("C:\Users\franc\OneDrive\Documentos\MALENTIN KARIME\BANCO CREDITO\FER LORCA en ROSITA (Rosita)\BANCOS\CORPBANCA\CARTAS INSTRUCCIONES\MODIF. ENTRE_RIOS[1].doc", "Abrir Documento")</f>
        <v>0</v>
      </c>
      <c r="D22015" t="s">
        <v>23500</v>
      </c>
      <c r="E22015" t="s">
        <v>44468</v>
      </c>
    </row>
    <row r="22016" spans="1:5">
      <c r="A22016" t="s">
        <v>6</v>
      </c>
      <c r="B22016" t="s">
        <v>22021</v>
      </c>
      <c r="C22016">
        <f>HYPERLINK("C:\Users\franc\OneDrive\Documentos\MALENTIN KARIME\BANCO CREDITO\FER LORCA en ROSITA (Rosita)\BANCOS\CORPBANCA\CARTAS INSTRUCCIONES\ENTRE RIOS.doc", "Abrir Documento")</f>
        <v>0</v>
      </c>
      <c r="D22016" t="s">
        <v>23500</v>
      </c>
      <c r="E22016" t="s">
        <v>44469</v>
      </c>
    </row>
    <row r="22017" spans="1:5">
      <c r="A22017" t="s">
        <v>6</v>
      </c>
      <c r="B22017" t="s">
        <v>22022</v>
      </c>
      <c r="C22017">
        <f>HYPERLINK("C:\Users\franc\OneDrive\Documentos\MALENTIN KARIME\BANCO CREDITO\FER LORCA en ROSITA (Rosita)\BANCOS\CORPBANCA\CARTAS INSTRUCCIONES\CARTA RESGUARDOCesar Honores Tello.doc", "Abrir Documento")</f>
        <v>0</v>
      </c>
      <c r="D22017" t="s">
        <v>23500</v>
      </c>
      <c r="E22017" t="s">
        <v>44470</v>
      </c>
    </row>
    <row r="22018" spans="1:5">
      <c r="A22018" t="s">
        <v>6</v>
      </c>
      <c r="B22018" t="s">
        <v>22023</v>
      </c>
      <c r="C22018">
        <f>HYPERLINK("C:\Users\franc\OneDrive\Documentos\MALENTIN KARIME\BANCO CREDITO\FER LORCA en ROSITA (Rosita)\BANCOS\CORPBANCA\CARTAS INSTRUCCIONES\CARTA RESGUARDO María González Luengo.doc", "Abrir Documento")</f>
        <v>0</v>
      </c>
      <c r="D22018" t="s">
        <v>23500</v>
      </c>
      <c r="E22018" t="s">
        <v>44471</v>
      </c>
    </row>
    <row r="22019" spans="1:5">
      <c r="A22019" t="s">
        <v>6</v>
      </c>
      <c r="B22019" t="s">
        <v>22024</v>
      </c>
      <c r="C22019">
        <f>HYPERLINK("C:\Users\franc\OneDrive\Documentos\MALENTIN KARIME\BANCO CREDITO\FER LORCA en ROSITA (Rosita)\BANCOS\CORPBANCA\CARTAS INSTRUCCIONES\CARTA INSTRUCCIONES Emilio Aguirre Tarifeño.-.doc", "Abrir Documento")</f>
        <v>0</v>
      </c>
      <c r="D22019" t="s">
        <v>23500</v>
      </c>
      <c r="E22019" t="s">
        <v>44472</v>
      </c>
    </row>
    <row r="22020" spans="1:5">
      <c r="A22020" t="s">
        <v>6</v>
      </c>
      <c r="B22020" t="s">
        <v>22025</v>
      </c>
      <c r="C22020">
        <f>HYPERLINK("C:\Users\franc\OneDrive\Documentos\MALENTIN KARIME\BANCO CREDITO\FER LORCA en ROSITA (Rosita)\BANCOS\CORPBANCA\CARTAS INSTRUCCIONES\CARTA DE RESGUARDO Soc Agricola Los Alamos Ltda[1].doc", "Abrir Documento")</f>
        <v>0</v>
      </c>
      <c r="D22020" t="s">
        <v>23500</v>
      </c>
      <c r="E22020" t="s">
        <v>44473</v>
      </c>
    </row>
    <row r="22021" spans="1:5">
      <c r="A22021" t="s">
        <v>6</v>
      </c>
      <c r="B22021" t="s">
        <v>22026</v>
      </c>
      <c r="C22021">
        <f>HYPERLINK("C:\Users\franc\OneDrive\Documentos\MALENTIN KARIME\BANCO CREDITO\FER LORCA en ROSITA (Rosita)\BANCOS\CORPBANCA\CARTAS INSTRUCCIONES\AGREGA.doc", "Abrir Documento")</f>
        <v>0</v>
      </c>
      <c r="D22021" t="s">
        <v>23500</v>
      </c>
      <c r="E22021" t="s">
        <v>44474</v>
      </c>
    </row>
    <row r="22022" spans="1:5">
      <c r="A22022" t="s">
        <v>6</v>
      </c>
      <c r="B22022" t="s">
        <v>22027</v>
      </c>
      <c r="C22022">
        <f>HYPERLINK("C:\Users\franc\OneDrive\Documentos\MALENTIN KARIME\BANCO CREDITO\FER LORCA en ROSITA (Rosita)\BANCOS\CORPBANCA\ALZAMIENTO\2011\Comb Serv de Transp y Cargo S.A. (Cotracar).doc", "Abrir Documento")</f>
        <v>0</v>
      </c>
      <c r="D22022" t="s">
        <v>23500</v>
      </c>
      <c r="E22022" t="s">
        <v>44475</v>
      </c>
    </row>
    <row r="22023" spans="1:5">
      <c r="A22023" t="s">
        <v>6</v>
      </c>
      <c r="B22023" t="s">
        <v>22028</v>
      </c>
      <c r="C22023">
        <f>HYPERLINK("C:\Users\franc\OneDrive\Documentos\MALENTIN KARIME\BANCO CREDITO\FER LORCA en ROSITA (Rosita)\BANCOS\CORPBANCA\ALZAMIENTO\SOC. AGRIC. ANGOSTURA.- OCTUBRE.-.doc", "Abrir Documento")</f>
        <v>0</v>
      </c>
      <c r="D22023" t="s">
        <v>23500</v>
      </c>
      <c r="E22023" t="s">
        <v>44476</v>
      </c>
    </row>
    <row r="22024" spans="1:5">
      <c r="A22024" t="s">
        <v>6</v>
      </c>
      <c r="B22024" t="s">
        <v>22029</v>
      </c>
      <c r="C22024">
        <f>HYPERLINK("C:\Users\franc\OneDrive\Documentos\MALENTIN KARIME\BANCO CREDITO\FER LORCA en ROSITA (Rosita)\BANCOS\CORPBANCA\ALZAMIENTO\SOC. AGRIC. ALGARROBO LTDA.-.doc", "Abrir Documento")</f>
        <v>0</v>
      </c>
      <c r="D22024" t="s">
        <v>23500</v>
      </c>
      <c r="E22024" t="s">
        <v>44477</v>
      </c>
    </row>
    <row r="22025" spans="1:5">
      <c r="A22025" t="s">
        <v>6</v>
      </c>
      <c r="B22025" t="s">
        <v>22030</v>
      </c>
      <c r="C22025">
        <f>HYPERLINK("C:\Users\franc\OneDrive\Documentos\MALENTIN KARIME\BANCO CREDITO\FER LORCA en ROSITA (Rosita)\BANCOS\CORPBANCA\ALZAMIENTO\Soc Inmob e Inv Villar y Cia Ltda[1].doc", "Abrir Documento")</f>
        <v>0</v>
      </c>
      <c r="D22025" t="s">
        <v>23500</v>
      </c>
      <c r="E22025" t="s">
        <v>44478</v>
      </c>
    </row>
    <row r="22026" spans="1:5">
      <c r="A22026" t="s">
        <v>6</v>
      </c>
      <c r="B22026" t="s">
        <v>22031</v>
      </c>
      <c r="C22026">
        <f>HYPERLINK("C:\Users\franc\OneDrive\Documentos\MALENTIN KARIME\BANCO CREDITO\FER LORCA en ROSITA (Rosita)\BANCOS\CORPBANCA\ALZAMIENTO\Soc Inmob e Inv Villar y Cia Ltda[1].- MIGUEL BORDONES.doc", "Abrir Documento")</f>
        <v>0</v>
      </c>
      <c r="D22026" t="s">
        <v>23500</v>
      </c>
      <c r="E22026" t="s">
        <v>44479</v>
      </c>
    </row>
    <row r="22027" spans="1:5">
      <c r="A22027" t="s">
        <v>6</v>
      </c>
      <c r="B22027" t="s">
        <v>22032</v>
      </c>
      <c r="C22027">
        <f>HYPERLINK("C:\Users\franc\OneDrive\Documentos\MALENTIN KARIME\BANCO CREDITO\FER LORCA en ROSITA (Rosita)\BANCOS\CORPBANCA\ALZAMIENTO\Soc Agricola Angostura Ltda.LTt 93-A y 30 acc EC.doc", "Abrir Documento")</f>
        <v>0</v>
      </c>
      <c r="D22027" t="s">
        <v>23500</v>
      </c>
      <c r="E22027" t="s">
        <v>44480</v>
      </c>
    </row>
    <row r="22028" spans="1:5">
      <c r="A22028" t="s">
        <v>6</v>
      </c>
      <c r="B22028" t="s">
        <v>22033</v>
      </c>
      <c r="C22028">
        <f>HYPERLINK("C:\Users\franc\OneDrive\Documentos\MALENTIN KARIME\BANCO CREDITO\FER LORCA en ROSITA (Rosita)\BANCOS\CORPBANCA\ALZAMIENTO\SOC AGRIC. ANGOSTURA.- NOVIEMBRE.-.doc", "Abrir Documento")</f>
        <v>0</v>
      </c>
      <c r="D22028" t="s">
        <v>23500</v>
      </c>
      <c r="E22028" t="s">
        <v>44481</v>
      </c>
    </row>
    <row r="22029" spans="1:5">
      <c r="A22029" t="s">
        <v>6</v>
      </c>
      <c r="B22029" t="s">
        <v>22034</v>
      </c>
      <c r="C22029">
        <f>HYPERLINK("C:\Users\franc\OneDrive\Documentos\MALENTIN KARIME\BANCO CREDITO\FER LORCA en ROSITA (Rosita)\BANCOS\CORPBANCA\ALZAMIENTO\Soc Agric e Inv Juan Pablo. LT 2 y 1 y 25 acc EC.-HACER.doc", "Abrir Documento")</f>
        <v>0</v>
      </c>
      <c r="D22029" t="s">
        <v>23500</v>
      </c>
      <c r="E22029" t="s">
        <v>44482</v>
      </c>
    </row>
    <row r="22030" spans="1:5">
      <c r="A22030" t="s">
        <v>6</v>
      </c>
      <c r="B22030" t="s">
        <v>22035</v>
      </c>
      <c r="C22030">
        <f>HYPERLINK("C:\Users\franc\OneDrive\Documentos\MALENTIN KARIME\BANCO CREDITO\FER LORCA en ROSITA (Rosita)\BANCOS\CORPBANCA\ALZAMIENTO\Soc Agr e Inv Juan Pablo Ltda.Lt 2 San Julian.- HACER.doc", "Abrir Documento")</f>
        <v>0</v>
      </c>
      <c r="D22030" t="s">
        <v>23500</v>
      </c>
      <c r="E22030" t="s">
        <v>44483</v>
      </c>
    </row>
    <row r="22031" spans="1:5">
      <c r="A22031" t="s">
        <v>6</v>
      </c>
      <c r="B22031" t="s">
        <v>22036</v>
      </c>
      <c r="C22031">
        <f>HYPERLINK("C:\Users\franc\OneDrive\Documentos\MALENTIN KARIME\BANCO CREDITO\FER LORCA en ROSITA (Rosita)\BANCOS\CORPBANCA\ALZAMIENTO\SAMUEL BAEZA AVELLO.- SEPT. 2010.-.doc", "Abrir Documento")</f>
        <v>0</v>
      </c>
      <c r="D22031" t="s">
        <v>23500</v>
      </c>
      <c r="E22031" t="s">
        <v>44484</v>
      </c>
    </row>
    <row r="22032" spans="1:5">
      <c r="A22032" t="s">
        <v>6</v>
      </c>
      <c r="B22032" t="s">
        <v>22037</v>
      </c>
      <c r="C22032">
        <f>HYPERLINK("C:\Users\franc\OneDrive\Documentos\MALENTIN KARIME\BANCO CREDITO\FER LORCA en ROSITA (Rosita)\BANCOS\CORPBANCA\ALZAMIENTO\Rene Urquieta Barrios.- ABRIL 2010.doc", "Abrir Documento")</f>
        <v>0</v>
      </c>
      <c r="D22032" t="s">
        <v>23500</v>
      </c>
      <c r="E22032" t="s">
        <v>44485</v>
      </c>
    </row>
    <row r="22033" spans="1:5">
      <c r="A22033" t="s">
        <v>6</v>
      </c>
      <c r="B22033" t="s">
        <v>22038</v>
      </c>
      <c r="C22033">
        <f>HYPERLINK("C:\Users\franc\OneDrive\Documentos\MALENTIN KARIME\BANCO CREDITO\FER LORCA en ROSITA (Rosita)\BANCOS\CORPBANCA\ALZAMIENTO\REINALDO TAPIA ARAVENA.- MIGUEL BORDONES.doc", "Abrir Documento")</f>
        <v>0</v>
      </c>
      <c r="D22033" t="s">
        <v>23500</v>
      </c>
      <c r="E22033" t="s">
        <v>44486</v>
      </c>
    </row>
    <row r="22034" spans="1:5">
      <c r="A22034" t="s">
        <v>6</v>
      </c>
      <c r="B22034" t="s">
        <v>22039</v>
      </c>
      <c r="C22034">
        <f>HYPERLINK("C:\Users\franc\OneDrive\Documentos\MALENTIN KARIME\BANCO CREDITO\FER LORCA en ROSITA (Rosita)\BANCOS\CORPBANCA\ALZAMIENTO\Luis Ramirez Rojas.- ABRIL 2010.doc", "Abrir Documento")</f>
        <v>0</v>
      </c>
      <c r="D22034" t="s">
        <v>23500</v>
      </c>
      <c r="E22034" t="s">
        <v>44487</v>
      </c>
    </row>
    <row r="22035" spans="1:5">
      <c r="A22035" t="s">
        <v>6</v>
      </c>
      <c r="B22035" t="s">
        <v>22040</v>
      </c>
      <c r="C22035">
        <f>HYPERLINK("C:\Users\franc\OneDrive\Documentos\MALENTIN KARIME\BANCO CREDITO\FER LORCA en ROSITA (Rosita)\BANCOS\CORPBANCA\ALZAMIENTO\JUAN VEGA CORTES.- JULIO 2010.- JULIO MONTERO..doc", "Abrir Documento")</f>
        <v>0</v>
      </c>
      <c r="D22035" t="s">
        <v>23500</v>
      </c>
      <c r="E22035" t="s">
        <v>44488</v>
      </c>
    </row>
    <row r="22036" spans="1:5">
      <c r="A22036" t="s">
        <v>6</v>
      </c>
      <c r="B22036" t="s">
        <v>22041</v>
      </c>
      <c r="C22036">
        <f>HYPERLINK("C:\Users\franc\OneDrive\Documentos\MALENTIN KARIME\BANCO CREDITO\FER LORCA en ROSITA (Rosita)\BANCOS\CORPBANCA\ALZAMIENTO\IRLANDA GONZALEZ ANDRADE.doc", "Abrir Documento")</f>
        <v>0</v>
      </c>
      <c r="D22036" t="s">
        <v>23500</v>
      </c>
      <c r="E22036" t="s">
        <v>44489</v>
      </c>
    </row>
    <row r="22037" spans="1:5">
      <c r="A22037" t="s">
        <v>6</v>
      </c>
      <c r="B22037" t="s">
        <v>22042</v>
      </c>
      <c r="C22037">
        <f>HYPERLINK("C:\Users\franc\OneDrive\Documentos\MALENTIN KARIME\BANCO CREDITO\FER LORCA en ROSITA (Rosita)\BANCOS\CORPBANCA\ALZAMIENTO\IRLANDA GONZALEZ ANDRADE.- MIGUEL BORDONES.doc", "Abrir Documento")</f>
        <v>0</v>
      </c>
      <c r="D22037" t="s">
        <v>23500</v>
      </c>
      <c r="E22037" t="s">
        <v>44490</v>
      </c>
    </row>
    <row r="22038" spans="1:5">
      <c r="A22038" t="s">
        <v>6</v>
      </c>
      <c r="B22038" t="s">
        <v>22043</v>
      </c>
      <c r="C22038">
        <f>HYPERLINK("C:\Users\franc\OneDrive\Documentos\MALENTIN KARIME\BANCO CREDITO\FER LORCA en ROSITA (Rosita)\BANCOS\CORPBANCA\ALZAMIENTO\ERNESTO FELIPE HANG.doc", "Abrir Documento")</f>
        <v>0</v>
      </c>
      <c r="D22038" t="s">
        <v>23500</v>
      </c>
      <c r="E22038" t="s">
        <v>44491</v>
      </c>
    </row>
    <row r="22039" spans="1:5">
      <c r="A22039" t="s">
        <v>6</v>
      </c>
      <c r="B22039" t="s">
        <v>22044</v>
      </c>
      <c r="C22039">
        <f>HYPERLINK("C:\Users\franc\OneDrive\Documentos\MALENTIN KARIME\BANCO CREDITO\FER LORCA en ROSITA (Rosita)\BANCOS\CORPBANCA\ALZAMIENTO\ERNESTO FELIPE HANG.- MIGUEL BORDONES.doc", "Abrir Documento")</f>
        <v>0</v>
      </c>
      <c r="D22039" t="s">
        <v>23500</v>
      </c>
      <c r="E22039" t="s">
        <v>44492</v>
      </c>
    </row>
    <row r="22040" spans="1:5">
      <c r="A22040" t="s">
        <v>6</v>
      </c>
      <c r="B22040" t="s">
        <v>22045</v>
      </c>
      <c r="C22040">
        <f>HYPERLINK("C:\Users\franc\OneDrive\Documentos\MALENTIN KARIME\BANCO CREDITO\FER LORCA en ROSITA (Rosita)\BANCOS\CORPBANCA\ALZAMIENTO\ELVIRA SALFATE VASQUEZ.- MAYO.doc", "Abrir Documento")</f>
        <v>0</v>
      </c>
      <c r="D22040" t="s">
        <v>23500</v>
      </c>
      <c r="E22040" t="s">
        <v>44493</v>
      </c>
    </row>
    <row r="22041" spans="1:5">
      <c r="A22041" t="s">
        <v>6</v>
      </c>
      <c r="B22041" t="s">
        <v>22046</v>
      </c>
      <c r="C22041">
        <f>HYPERLINK("C:\Users\franc\OneDrive\Documentos\MALENTIN KARIME\BANCO CREDITO\FER LORCA en ROSITA (Rosita)\BANCOS\CORPBANCA\ALZAMIENTO\Domitila Andrade Rojas.- ABRIL.- HACER.doc", "Abrir Documento")</f>
        <v>0</v>
      </c>
      <c r="D22041" t="s">
        <v>23500</v>
      </c>
      <c r="E22041" t="s">
        <v>44494</v>
      </c>
    </row>
    <row r="22042" spans="1:5">
      <c r="A22042" t="s">
        <v>6</v>
      </c>
      <c r="B22042" t="s">
        <v>22047</v>
      </c>
      <c r="C22042">
        <f>HYPERLINK("C:\Users\franc\OneDrive\Documentos\MALENTIN KARIME\BANCO CREDITO\FER LORCA en ROSITA (Rosita)\BANCOS\CORPBANCA\personeria MICHAEL ALBERT RIFFO CESPEDES (1).doc", "Abrir Documento")</f>
        <v>0</v>
      </c>
      <c r="D22042" t="s">
        <v>23500</v>
      </c>
      <c r="E22042" t="s">
        <v>44495</v>
      </c>
    </row>
    <row r="22043" spans="1:5">
      <c r="A22043" t="s">
        <v>6</v>
      </c>
      <c r="B22043" t="s">
        <v>22048</v>
      </c>
      <c r="C22043">
        <f>HYPERLINK("C:\Users\franc\OneDrive\Documentos\MALENTIN KARIME\BANCO CREDITO\FER LORCA en ROSITA (Rosita)\BANCOS\CORPBANCA\MODELO NOTARIO.doc", "Abrir Documento")</f>
        <v>0</v>
      </c>
      <c r="D22043" t="s">
        <v>23500</v>
      </c>
      <c r="E22043" t="s">
        <v>44496</v>
      </c>
    </row>
    <row r="22044" spans="1:5">
      <c r="A22044" t="s">
        <v>6</v>
      </c>
      <c r="B22044" t="s">
        <v>22049</v>
      </c>
      <c r="C22044">
        <f>HYPERLINK("C:\Users\franc\OneDrive\Documentos\MALENTIN KARIME\BANCO CREDITO\FER LORCA en ROSITA (Rosita)\BANCOS\CORPBANCA\MANDATO RICARDO VIORKLUMDS.doc", "Abrir Documento")</f>
        <v>0</v>
      </c>
      <c r="D22044" t="s">
        <v>23500</v>
      </c>
      <c r="E22044" t="s">
        <v>44497</v>
      </c>
    </row>
    <row r="22045" spans="1:5">
      <c r="A22045" t="s">
        <v>6</v>
      </c>
      <c r="B22045" t="s">
        <v>22050</v>
      </c>
      <c r="C22045">
        <f>HYPERLINK("C:\Users\franc\OneDrive\Documentos\MALENTIN KARIME\BANCO CREDITO\FER LORCA en ROSITA (Rosita)\BANCOS\CORPBANCA\CLAUSULA QUINTA ARTIGUES.doc", "Abrir Documento")</f>
        <v>0</v>
      </c>
      <c r="D22045" t="s">
        <v>23500</v>
      </c>
      <c r="E22045" t="s">
        <v>44498</v>
      </c>
    </row>
    <row r="22046" spans="1:5">
      <c r="A22046" t="s">
        <v>6</v>
      </c>
      <c r="B22046" t="s">
        <v>22051</v>
      </c>
      <c r="C22046">
        <f>HYPERLINK("C:\Users\franc\OneDrive\Documentos\MALENTIN KARIME\BANCO CREDITO\FER LORCA en ROSITA (Rosita)\BANCOS\CORPBANCA\CARTA STGO- CORPBANCA..doc", "Abrir Documento")</f>
        <v>0</v>
      </c>
      <c r="D22046" t="s">
        <v>23500</v>
      </c>
      <c r="E22046" t="s">
        <v>44499</v>
      </c>
    </row>
    <row r="22047" spans="1:5">
      <c r="A22047" t="s">
        <v>6</v>
      </c>
      <c r="B22047" t="s">
        <v>22052</v>
      </c>
      <c r="C22047">
        <f>HYPERLINK("C:\Users\franc\OneDrive\Documentos\MALENTIN KARIME\BANCO CREDITO\FER LORCA en ROSITA (Rosita)\BANCOS\CORPBANCA\CARTA STGO- CORPBANCA.-2.doc", "Abrir Documento")</f>
        <v>0</v>
      </c>
      <c r="D22047" t="s">
        <v>23500</v>
      </c>
      <c r="E22047" t="s">
        <v>44500</v>
      </c>
    </row>
    <row r="22048" spans="1:5">
      <c r="A22048" t="s">
        <v>6</v>
      </c>
      <c r="B22048" t="s">
        <v>22053</v>
      </c>
      <c r="C22048">
        <f>HYPERLINK("C:\Users\franc\OneDrive\Documentos\MALENTIN KARIME\BANCO CREDITO\FER LORCA en ROSITA (Rosita)\BANCOS\CORPBANCA\CARTA STGO- CORPBANCA.-.doc", "Abrir Documento")</f>
        <v>0</v>
      </c>
      <c r="D22048" t="s">
        <v>23500</v>
      </c>
      <c r="E22048" t="s">
        <v>44501</v>
      </c>
    </row>
    <row r="22049" spans="1:5">
      <c r="A22049" t="s">
        <v>6</v>
      </c>
      <c r="B22049" t="s">
        <v>22054</v>
      </c>
      <c r="C22049">
        <f>HYPERLINK("C:\Users\franc\OneDrive\Documentos\MALENTIN KARIME\BANCO CREDITO\FER LORCA en ROSITA (Rosita)\BANCOS\CORPBANCA\CARTA RESGUARDO.doc", "Abrir Documento")</f>
        <v>0</v>
      </c>
      <c r="D22049" t="s">
        <v>23500</v>
      </c>
      <c r="E22049" t="s">
        <v>44502</v>
      </c>
    </row>
    <row r="22050" spans="1:5">
      <c r="A22050" t="s">
        <v>6</v>
      </c>
      <c r="B22050" t="s">
        <v>22055</v>
      </c>
      <c r="C22050">
        <f>HYPERLINK("C:\Users\franc\OneDrive\Documentos\MALENTIN KARIME\BANCO CREDITO\FER LORCA en ROSITA (Rosita)\BANCOS\BDD\SOC. AGRICOLA CORRAL LTDA.doc", "Abrir Documento")</f>
        <v>0</v>
      </c>
      <c r="D22050" t="s">
        <v>23500</v>
      </c>
      <c r="E22050" t="s">
        <v>44503</v>
      </c>
    </row>
    <row r="22051" spans="1:5">
      <c r="A22051" t="s">
        <v>6</v>
      </c>
      <c r="B22051" t="s">
        <v>22056</v>
      </c>
      <c r="C22051">
        <f>HYPERLINK("C:\Users\franc\OneDrive\Documentos\MALENTIN KARIME\BANCO CREDITO\FER LORCA en ROSITA (Rosita)\BANCOS\BDD\SALVADOR CASTILLO.doc", "Abrir Documento")</f>
        <v>0</v>
      </c>
      <c r="D22051" t="s">
        <v>23500</v>
      </c>
      <c r="E22051" t="s">
        <v>44504</v>
      </c>
    </row>
    <row r="22052" spans="1:5">
      <c r="A22052" t="s">
        <v>6</v>
      </c>
      <c r="B22052" t="s">
        <v>22057</v>
      </c>
      <c r="C22052">
        <f>HYPERLINK("C:\Users\franc\OneDrive\Documentos\MALENTIN KARIME\BANCO CREDITO\FER LORCA en ROSITA (Rosita)\BANCOS\BDD\Hipoteca Soc Agroindustrial Agricor Ltda[1]..doc", "Abrir Documento")</f>
        <v>0</v>
      </c>
      <c r="D22052" t="s">
        <v>23500</v>
      </c>
      <c r="E22052" t="s">
        <v>44505</v>
      </c>
    </row>
    <row r="22053" spans="1:5">
      <c r="A22053" t="s">
        <v>6</v>
      </c>
      <c r="B22053" t="s">
        <v>22058</v>
      </c>
      <c r="C22053">
        <f>HYPERLINK("C:\Users\franc\OneDrive\Documentos\MALENTIN KARIME\BANCO CREDITO\FER LORCA en ROSITA (Rosita)\BANCOS\BDD\OLGA CORRAL.doc", "Abrir Documento")</f>
        <v>0</v>
      </c>
      <c r="D22053" t="s">
        <v>23500</v>
      </c>
      <c r="E22053" t="s">
        <v>44505</v>
      </c>
    </row>
    <row r="22054" spans="1:5">
      <c r="A22054" t="s">
        <v>6</v>
      </c>
      <c r="B22054" t="s">
        <v>22059</v>
      </c>
      <c r="C22054">
        <f>HYPERLINK("C:\Users\franc\OneDrive\Documentos\MALENTIN KARIME\BANCO CREDITO\FER LORCA en ROSITA (Rosita)\BANCOS\BDD\Hipoteca Luis Cortes a Soc Agroindustrial Agricor Ltda[1]..doc", "Abrir Documento")</f>
        <v>0</v>
      </c>
      <c r="D22054" t="s">
        <v>23500</v>
      </c>
      <c r="E22054" t="s">
        <v>44506</v>
      </c>
    </row>
    <row r="22055" spans="1:5">
      <c r="A22055" t="s">
        <v>6</v>
      </c>
      <c r="B22055" t="s">
        <v>22060</v>
      </c>
      <c r="C22055">
        <f>HYPERLINK("C:\Users\franc\OneDrive\Documentos\MALENTIN KARIME\BANCO CREDITO\FER LORCA en ROSITA (Rosita)\BANCOS\BDD\ALZAMIENTO MARIA ANABALON.doc", "Abrir Documento")</f>
        <v>0</v>
      </c>
      <c r="D22055" t="s">
        <v>23500</v>
      </c>
      <c r="E22055" t="s">
        <v>44507</v>
      </c>
    </row>
    <row r="22056" spans="1:5">
      <c r="A22056" t="s">
        <v>6</v>
      </c>
      <c r="B22056" t="s">
        <v>22061</v>
      </c>
      <c r="C22056">
        <f>HYPERLINK("C:\Users\franc\OneDrive\Documentos\MALENTIN KARIME\BANCO CREDITO\FER LORCA en ROSITA (Rosita)\BANCOS\BANCO ESTADO\PERSONERIAS\JUAN PLAZA.doc", "Abrir Documento")</f>
        <v>0</v>
      </c>
      <c r="D22056" t="s">
        <v>23500</v>
      </c>
      <c r="E22056" t="s">
        <v>44508</v>
      </c>
    </row>
    <row r="22057" spans="1:5">
      <c r="A22057" t="s">
        <v>6</v>
      </c>
      <c r="B22057" t="s">
        <v>22062</v>
      </c>
      <c r="C22057">
        <f>HYPERLINK("C:\Users\franc\OneDrive\Documentos\MALENTIN KARIME\BANCO CREDITO\FER LORCA en ROSITA (Rosita)\BANCOS\BANCO ESTADO\ENERO 2011\WILSON GOMEZ..doc", "Abrir Documento")</f>
        <v>0</v>
      </c>
      <c r="D22057" t="s">
        <v>23500</v>
      </c>
      <c r="E22057" t="s">
        <v>44509</v>
      </c>
    </row>
    <row r="22058" spans="1:5">
      <c r="A22058" t="s">
        <v>6</v>
      </c>
      <c r="B22058" t="s">
        <v>22063</v>
      </c>
      <c r="C22058">
        <f>HYPERLINK("C:\Users\franc\OneDrive\Documentos\MALENTIN KARIME\BANCO CREDITO\FER LORCA en ROSITA (Rosita)\BANCOS\BANCO ESTADO\ENERO 2011\LUIS AGUSTIN RIVERA.doc", "Abrir Documento")</f>
        <v>0</v>
      </c>
      <c r="D22058" t="s">
        <v>23500</v>
      </c>
      <c r="E22058" t="s">
        <v>44510</v>
      </c>
    </row>
    <row r="22059" spans="1:5">
      <c r="A22059" t="s">
        <v>6</v>
      </c>
      <c r="B22059" t="s">
        <v>22064</v>
      </c>
      <c r="C22059">
        <f>HYPERLINK("C:\Users\franc\OneDrive\Documentos\MALENTIN KARIME\BANCO CREDITO\FER LORCA en ROSITA (Rosita)\BANCOS\BANCO ESTADO\ENERO 2011\ARNOLDO PASTEN HERNANDEZ.doc", "Abrir Documento")</f>
        <v>0</v>
      </c>
      <c r="D22059" t="s">
        <v>23500</v>
      </c>
      <c r="E22059" t="s">
        <v>44511</v>
      </c>
    </row>
    <row r="22060" spans="1:5">
      <c r="A22060" t="s">
        <v>6</v>
      </c>
      <c r="B22060" t="s">
        <v>22065</v>
      </c>
      <c r="C22060">
        <f>HYPERLINK("C:\Users\franc\OneDrive\Documentos\MALENTIN KARIME\BANCO CREDITO\FER LORCA en ROSITA (Rosita)\BANCOS\BANCO ESTADO\ENERO 2011\ALAMIRO ALFARO A.-.doc", "Abrir Documento")</f>
        <v>0</v>
      </c>
      <c r="D22060" t="s">
        <v>23500</v>
      </c>
      <c r="E22060" t="s">
        <v>44512</v>
      </c>
    </row>
    <row r="22061" spans="1:5">
      <c r="A22061" t="s">
        <v>6</v>
      </c>
      <c r="B22061" t="s">
        <v>22066</v>
      </c>
      <c r="C22061">
        <f>HYPERLINK("C:\Users\franc\OneDrive\Documentos\MALENTIN KARIME\BANCO CREDITO\FER LORCA en ROSITA (Rosita)\BANCOS\BANCO ESTADO\2010\SEPTIEMBRE - OCTUBRE\VINKA ROJAS ESQUIVEL.doc", "Abrir Documento")</f>
        <v>0</v>
      </c>
      <c r="D22061" t="s">
        <v>23500</v>
      </c>
      <c r="E22061" t="s">
        <v>44513</v>
      </c>
    </row>
    <row r="22062" spans="1:5">
      <c r="A22062" t="s">
        <v>6</v>
      </c>
      <c r="B22062" t="s">
        <v>22067</v>
      </c>
      <c r="C22062">
        <f>HYPERLINK("C:\Users\franc\OneDrive\Documentos\MALENTIN KARIME\BANCO CREDITO\FER LORCA en ROSITA (Rosita)\BANCOS\BANCO ESTADO\2010\SEPTIEMBRE - OCTUBRE\SONIA LAYANA CASTILLO.doc", "Abrir Documento")</f>
        <v>0</v>
      </c>
      <c r="D22062" t="s">
        <v>23500</v>
      </c>
      <c r="E22062" t="s">
        <v>44514</v>
      </c>
    </row>
    <row r="22063" spans="1:5">
      <c r="A22063" t="s">
        <v>6</v>
      </c>
      <c r="B22063" t="s">
        <v>22068</v>
      </c>
      <c r="C22063">
        <f>HYPERLINK("C:\Users\franc\OneDrive\Documentos\MALENTIN KARIME\BANCO CREDITO\FER LORCA en ROSITA (Rosita)\BANCOS\BANCO ESTADO\2010\SEPTIEMBRE - OCTUBRE\SERGIO PIZARRO ROJAS.doc", "Abrir Documento")</f>
        <v>0</v>
      </c>
      <c r="D22063" t="s">
        <v>23500</v>
      </c>
      <c r="E22063" t="s">
        <v>44515</v>
      </c>
    </row>
    <row r="22064" spans="1:5">
      <c r="A22064" t="s">
        <v>6</v>
      </c>
      <c r="B22064" t="s">
        <v>22069</v>
      </c>
      <c r="C22064">
        <f>HYPERLINK("C:\Users\franc\OneDrive\Documentos\MALENTIN KARIME\BANCO CREDITO\FER LORCA en ROSITA (Rosita)\BANCOS\BANCO ESTADO\2010\SEPTIEMBRE - OCTUBRE\PEDRO LAGUNAS CABEZAS.doc", "Abrir Documento")</f>
        <v>0</v>
      </c>
      <c r="D22064" t="s">
        <v>23500</v>
      </c>
      <c r="E22064" t="s">
        <v>44516</v>
      </c>
    </row>
    <row r="22065" spans="1:5">
      <c r="A22065" t="s">
        <v>6</v>
      </c>
      <c r="B22065" t="s">
        <v>22070</v>
      </c>
      <c r="C22065">
        <f>HYPERLINK("C:\Users\franc\OneDrive\Documentos\MALENTIN KARIME\BANCO CREDITO\FER LORCA en ROSITA (Rosita)\BANCOS\BANCO ESTADO\2010\SEPTIEMBRE - OCTUBRE\RAUL CORTES IBACACHE.doc", "Abrir Documento")</f>
        <v>0</v>
      </c>
      <c r="D22065" t="s">
        <v>23500</v>
      </c>
      <c r="E22065" t="s">
        <v>44516</v>
      </c>
    </row>
    <row r="22066" spans="1:5">
      <c r="A22066" t="s">
        <v>6</v>
      </c>
      <c r="B22066" t="s">
        <v>22071</v>
      </c>
      <c r="C22066">
        <f>HYPERLINK("C:\Users\franc\OneDrive\Documentos\MALENTIN KARIME\BANCO CREDITO\FER LORCA en ROSITA (Rosita)\BANCOS\BANCO ESTADO\2010\SEPTIEMBRE - OCTUBRE\MIGUEL BORDONES.doc", "Abrir Documento")</f>
        <v>0</v>
      </c>
      <c r="D22066" t="s">
        <v>23500</v>
      </c>
      <c r="E22066" t="s">
        <v>44517</v>
      </c>
    </row>
    <row r="22067" spans="1:5">
      <c r="A22067" t="s">
        <v>6</v>
      </c>
      <c r="B22067" t="s">
        <v>22072</v>
      </c>
      <c r="C22067">
        <f>HYPERLINK("C:\Users\franc\OneDrive\Documentos\MALENTIN KARIME\BANCO CREDITO\FER LORCA en ROSITA (Rosita)\BANCOS\BANCO ESTADO\2010\SEPTIEMBRE - OCTUBRE\MARIA MATURANA CORTES.doc", "Abrir Documento")</f>
        <v>0</v>
      </c>
      <c r="D22067" t="s">
        <v>23500</v>
      </c>
      <c r="E22067" t="s">
        <v>44518</v>
      </c>
    </row>
    <row r="22068" spans="1:5">
      <c r="A22068" t="s">
        <v>6</v>
      </c>
      <c r="B22068" t="s">
        <v>22073</v>
      </c>
      <c r="C22068">
        <f>HYPERLINK("C:\Users\franc\OneDrive\Documentos\MALENTIN KARIME\BANCO CREDITO\FER LORCA en ROSITA (Rosita)\BANCOS\BANCO ESTADO\2010\SEPTIEMBRE - OCTUBRE\MARCO ZAMORA. PERS. JUAN PLAZA.doc", "Abrir Documento")</f>
        <v>0</v>
      </c>
      <c r="D22068" t="s">
        <v>23500</v>
      </c>
      <c r="E22068" t="s">
        <v>44519</v>
      </c>
    </row>
    <row r="22069" spans="1:5">
      <c r="A22069" t="s">
        <v>6</v>
      </c>
      <c r="B22069" t="s">
        <v>22074</v>
      </c>
      <c r="C22069">
        <f>HYPERLINK("C:\Users\franc\OneDrive\Documentos\MALENTIN KARIME\BANCO CREDITO\FER LORCA en ROSITA (Rosita)\BANCOS\BANCO ESTADO\2010\SEPTIEMBRE - OCTUBRE\LUZ CUEVAS BLANCO.- PERS. JUAN PLAZA.doc", "Abrir Documento")</f>
        <v>0</v>
      </c>
      <c r="D22069" t="s">
        <v>23500</v>
      </c>
      <c r="E22069" t="s">
        <v>44520</v>
      </c>
    </row>
    <row r="22070" spans="1:5">
      <c r="A22070" t="s">
        <v>6</v>
      </c>
      <c r="B22070" t="s">
        <v>22075</v>
      </c>
      <c r="C22070">
        <f>HYPERLINK("C:\Users\franc\OneDrive\Documentos\MALENTIN KARIME\BANCO CREDITO\FER LORCA en ROSITA (Rosita)\BANCOS\BANCO ESTADO\2010\SEPTIEMBRE - OCTUBRE\JUAN ZAPATA GARCIA.doc", "Abrir Documento")</f>
        <v>0</v>
      </c>
      <c r="D22070" t="s">
        <v>23500</v>
      </c>
      <c r="E22070" t="s">
        <v>44521</v>
      </c>
    </row>
    <row r="22071" spans="1:5">
      <c r="A22071" t="s">
        <v>6</v>
      </c>
      <c r="B22071" t="s">
        <v>22076</v>
      </c>
      <c r="C22071">
        <f>HYPERLINK("C:\Users\franc\OneDrive\Documentos\MALENTIN KARIME\BANCO CREDITO\FER LORCA en ROSITA (Rosita)\BANCOS\BANCO ESTADO\2010\SEPTIEMBRE - OCTUBRE\JUAN CARVAJAL.doc", "Abrir Documento")</f>
        <v>0</v>
      </c>
      <c r="D22071" t="s">
        <v>23500</v>
      </c>
      <c r="E22071" t="s">
        <v>44522</v>
      </c>
    </row>
    <row r="22072" spans="1:5">
      <c r="A22072" t="s">
        <v>6</v>
      </c>
      <c r="B22072" t="s">
        <v>22077</v>
      </c>
      <c r="C22072">
        <f>HYPERLINK("C:\Users\franc\OneDrive\Documentos\MALENTIN KARIME\BANCO CREDITO\FER LORCA en ROSITA (Rosita)\BANCOS\BANCO ESTADO\2010\SEPTIEMBRE - OCTUBRE\JOHANNA ZEBALLOS.doc", "Abrir Documento")</f>
        <v>0</v>
      </c>
      <c r="D22072" t="s">
        <v>23500</v>
      </c>
      <c r="E22072" t="s">
        <v>44523</v>
      </c>
    </row>
    <row r="22073" spans="1:5">
      <c r="A22073" t="s">
        <v>6</v>
      </c>
      <c r="B22073" t="s">
        <v>22078</v>
      </c>
      <c r="C22073">
        <f>HYPERLINK("C:\Users\franc\OneDrive\Documentos\MALENTIN KARIME\BANCO CREDITO\FER LORCA en ROSITA (Rosita)\BANCOS\BANCO ESTADO\2010\SEPTIEMBRE - OCTUBRE\FS. Y FECHA.doc", "Abrir Documento")</f>
        <v>0</v>
      </c>
      <c r="D22073" t="s">
        <v>23500</v>
      </c>
      <c r="E22073" t="s">
        <v>44524</v>
      </c>
    </row>
    <row r="22074" spans="1:5">
      <c r="A22074" t="s">
        <v>6</v>
      </c>
      <c r="B22074" t="s">
        <v>22079</v>
      </c>
      <c r="C22074">
        <f>HYPERLINK("C:\Users\franc\OneDrive\Documentos\MALENTIN KARIME\BANCO CREDITO\FER LORCA en ROSITA (Rosita)\BANCOS\BANCO ESTADO\2010\SEPTIEMBRE - OCTUBRE\FABIAN ALVAREZ GUZMAN.doc", "Abrir Documento")</f>
        <v>0</v>
      </c>
      <c r="D22074" t="s">
        <v>23500</v>
      </c>
      <c r="E22074" t="s">
        <v>44525</v>
      </c>
    </row>
    <row r="22075" spans="1:5">
      <c r="A22075" t="s">
        <v>6</v>
      </c>
      <c r="B22075" t="s">
        <v>22080</v>
      </c>
      <c r="C22075">
        <f>HYPERLINK("C:\Users\franc\OneDrive\Documentos\MALENTIN KARIME\BANCO CREDITO\FER LORCA en ROSITA (Rosita)\BANCOS\BANCO ESTADO\2010\SEPTIEMBRE - OCTUBRE\EVA DIAZ SIERRA.- JUAN PLAZA.doc", "Abrir Documento")</f>
        <v>0</v>
      </c>
      <c r="D22075" t="s">
        <v>23500</v>
      </c>
      <c r="E22075" t="s">
        <v>44526</v>
      </c>
    </row>
    <row r="22076" spans="1:5">
      <c r="A22076" t="s">
        <v>6</v>
      </c>
      <c r="B22076" t="s">
        <v>22081</v>
      </c>
      <c r="C22076">
        <f>HYPERLINK("C:\Users\franc\OneDrive\Documentos\MALENTIN KARIME\BANCO CREDITO\FER LORCA en ROSITA (Rosita)\BANCOS\BANCO ESTADO\2010\SEPTIEMBRE - OCTUBRE\DAVID JIMENEZ.doc", "Abrir Documento")</f>
        <v>0</v>
      </c>
      <c r="D22076" t="s">
        <v>23500</v>
      </c>
      <c r="E22076" t="s">
        <v>44527</v>
      </c>
    </row>
    <row r="22077" spans="1:5">
      <c r="A22077" t="s">
        <v>6</v>
      </c>
      <c r="B22077" t="s">
        <v>22082</v>
      </c>
      <c r="C22077">
        <f>HYPERLINK("C:\Users\franc\OneDrive\Documentos\MALENTIN KARIME\BANCO CREDITO\FER LORCA en ROSITA (Rosita)\BANCOS\BANCO ESTADO\2010\SEPTIEMBRE - OCTUBRE\CARLOS OSSANDON.doc", "Abrir Documento")</f>
        <v>0</v>
      </c>
      <c r="D22077" t="s">
        <v>23500</v>
      </c>
      <c r="E22077" t="s">
        <v>44528</v>
      </c>
    </row>
    <row r="22078" spans="1:5">
      <c r="A22078" t="s">
        <v>6</v>
      </c>
      <c r="B22078" t="s">
        <v>22083</v>
      </c>
      <c r="C22078">
        <f>HYPERLINK("C:\Users\franc\OneDrive\Documentos\MALENTIN KARIME\BANCO CREDITO\FER LORCA en ROSITA (Rosita)\BANCOS\BANCO ESTADO\2010\SEPTIEMBRE - OCTUBRE\CARLOS ACUÑA.doc", "Abrir Documento")</f>
        <v>0</v>
      </c>
      <c r="D22078" t="s">
        <v>23500</v>
      </c>
      <c r="E22078" t="s">
        <v>44529</v>
      </c>
    </row>
    <row r="22079" spans="1:5">
      <c r="A22079" t="s">
        <v>6</v>
      </c>
      <c r="B22079" t="s">
        <v>22084</v>
      </c>
      <c r="C22079">
        <f>HYPERLINK("C:\Users\franc\OneDrive\Documentos\MALENTIN KARIME\BANCO CREDITO\FER LORCA en ROSITA (Rosita)\BANCOS\BANCO ESTADO\2010\SEPTIEMBRE - OCTUBRE\ALIRO VEGA TORREJON.doc", "Abrir Documento")</f>
        <v>0</v>
      </c>
      <c r="D22079" t="s">
        <v>23500</v>
      </c>
      <c r="E22079" t="s">
        <v>44530</v>
      </c>
    </row>
    <row r="22080" spans="1:5">
      <c r="A22080" t="s">
        <v>6</v>
      </c>
      <c r="B22080" t="s">
        <v>22085</v>
      </c>
      <c r="C22080">
        <f>HYPERLINK("C:\Users\franc\OneDrive\Documentos\MALENTIN KARIME\BANCO CREDITO\FER LORCA en ROSITA (Rosita)\BANCOS\BANCO ESTADO\2010\NOVIEMBRE - DICIEMBRE\PATRICIA ALBANEZ TAPIA.doc", "Abrir Documento")</f>
        <v>0</v>
      </c>
      <c r="D22080" t="s">
        <v>23500</v>
      </c>
      <c r="E22080" t="s">
        <v>44531</v>
      </c>
    </row>
    <row r="22081" spans="1:5">
      <c r="A22081" t="s">
        <v>6</v>
      </c>
      <c r="B22081" t="s">
        <v>22086</v>
      </c>
      <c r="C22081">
        <f>HYPERLINK("C:\Users\franc\OneDrive\Documentos\MALENTIN KARIME\BANCO CREDITO\FER LORCA en ROSITA (Rosita)\BANCOS\BANCO ESTADO\2010\NOVIEMBRE - DICIEMBRE\VICTOR GARAY VELASQUEZ.doc", "Abrir Documento")</f>
        <v>0</v>
      </c>
      <c r="D22081" t="s">
        <v>23500</v>
      </c>
      <c r="E22081" t="s">
        <v>44531</v>
      </c>
    </row>
    <row r="22082" spans="1:5">
      <c r="A22082" t="s">
        <v>6</v>
      </c>
      <c r="B22082" t="s">
        <v>22087</v>
      </c>
      <c r="C22082">
        <f>HYPERLINK("C:\Users\franc\OneDrive\Documentos\MALENTIN KARIME\BANCO CREDITO\FER LORCA en ROSITA (Rosita)\BANCOS\BANCO ESTADO\2010\NOVIEMBRE - DICIEMBRE\JUAN PLAZA CASTILLO.doc", "Abrir Documento")</f>
        <v>0</v>
      </c>
      <c r="D22082" t="s">
        <v>23500</v>
      </c>
      <c r="E22082" t="s">
        <v>44532</v>
      </c>
    </row>
    <row r="22083" spans="1:5">
      <c r="A22083" t="s">
        <v>6</v>
      </c>
      <c r="B22083" t="s">
        <v>22088</v>
      </c>
      <c r="C22083">
        <f>HYPERLINK("C:\Users\franc\OneDrive\Documentos\MALENTIN KARIME\BANCO CREDITO\FER LORCA en ROSITA (Rosita)\BANCOS\BANCO ESTADO\2010\NOVIEMBRE - DICIEMBRE\FS. Y FECHA.doc", "Abrir Documento")</f>
        <v>0</v>
      </c>
      <c r="D22083" t="s">
        <v>23500</v>
      </c>
      <c r="E22083" t="s">
        <v>44533</v>
      </c>
    </row>
    <row r="22084" spans="1:5">
      <c r="A22084" t="s">
        <v>6</v>
      </c>
      <c r="B22084" t="s">
        <v>22089</v>
      </c>
      <c r="C22084">
        <f>HYPERLINK("C:\Users\franc\OneDrive\Documentos\MALENTIN KARIME\BANCO CREDITO\FER LORCA en ROSITA (Rosita)\BANCOS\BANCO ESTADO\2010\NOVIEMBRE - DICIEMBRE\DOMINGA SILVA MANCILLA.doc", "Abrir Documento")</f>
        <v>0</v>
      </c>
      <c r="D22084" t="s">
        <v>23500</v>
      </c>
      <c r="E22084" t="s">
        <v>44534</v>
      </c>
    </row>
    <row r="22085" spans="1:5">
      <c r="A22085" t="s">
        <v>6</v>
      </c>
      <c r="B22085" t="s">
        <v>22090</v>
      </c>
      <c r="C22085">
        <f>HYPERLINK("C:\Users\franc\OneDrive\Documentos\MALENTIN KARIME\BANCO CREDITO\FER LORCA en ROSITA (Rosita)\BANCOS\BANCO ESTADO\2010\NOVIEMBRE - DICIEMBRE\DIEGO GARCIA GAHONA.doc", "Abrir Documento")</f>
        <v>0</v>
      </c>
      <c r="D22085" t="s">
        <v>23500</v>
      </c>
      <c r="E22085" t="s">
        <v>44535</v>
      </c>
    </row>
    <row r="22086" spans="1:5">
      <c r="A22086" t="s">
        <v>6</v>
      </c>
      <c r="B22086" t="s">
        <v>22091</v>
      </c>
      <c r="C22086">
        <f>HYPERLINK("C:\Users\franc\OneDrive\Documentos\MALENTIN KARIME\BANCO CREDITO\FER LORCA en ROSITA (Rosita)\BANCOS\BANCO ESTADO\2010\NOVIEMBRE - DICIEMBRE\DIEGO GARCIA GAHONA.- 2dos.doc", "Abrir Documento")</f>
        <v>0</v>
      </c>
      <c r="D22086" t="s">
        <v>23500</v>
      </c>
      <c r="E22086" t="s">
        <v>44536</v>
      </c>
    </row>
    <row r="22087" spans="1:5">
      <c r="A22087" t="s">
        <v>6</v>
      </c>
      <c r="B22087" t="s">
        <v>22092</v>
      </c>
      <c r="C22087">
        <f>HYPERLINK("C:\Users\franc\OneDrive\Documentos\MALENTIN KARIME\BANCO CREDITO\FER LORCA en ROSITA (Rosita)\BANCOS\BANCO ESTADO\2010\NOVIEMBRE - DICIEMBRE\AZUCENA LAGUNAS.doc", "Abrir Documento")</f>
        <v>0</v>
      </c>
      <c r="D22087" t="s">
        <v>23500</v>
      </c>
      <c r="E22087" t="s">
        <v>44537</v>
      </c>
    </row>
    <row r="22088" spans="1:5">
      <c r="A22088" t="s">
        <v>6</v>
      </c>
      <c r="B22088" t="s">
        <v>22093</v>
      </c>
      <c r="C22088">
        <f>HYPERLINK("C:\Users\franc\OneDrive\Documentos\MALENTIN KARIME\BANCO CREDITO\FER LORCA en ROSITA (Rosita)\BANCOS\BANCO ESTADO\2010\NOVIEMBRE - DICIEMBRE\ALEJANDRO PIZARRO BUGUEÑO.doc", "Abrir Documento")</f>
        <v>0</v>
      </c>
      <c r="D22088" t="s">
        <v>23500</v>
      </c>
      <c r="E22088" t="s">
        <v>44538</v>
      </c>
    </row>
    <row r="22089" spans="1:5">
      <c r="A22089" t="s">
        <v>6</v>
      </c>
      <c r="B22089" t="s">
        <v>22094</v>
      </c>
      <c r="C22089">
        <f>HYPERLINK("C:\Users\franc\OneDrive\Documentos\MALENTIN KARIME\BANCO CREDITO\FER LORCA en ROSITA (Rosita)\BANCOS\BANCO ESTADO\2010\JULIO - AGOSTO\SYLVIO JERALDO JERALDO.doc", "Abrir Documento")</f>
        <v>0</v>
      </c>
      <c r="D22089" t="s">
        <v>23500</v>
      </c>
      <c r="E22089" t="s">
        <v>44539</v>
      </c>
    </row>
    <row r="22090" spans="1:5">
      <c r="A22090" t="s">
        <v>6</v>
      </c>
      <c r="B22090" t="s">
        <v>22095</v>
      </c>
      <c r="C22090">
        <f>HYPERLINK("C:\Users\franc\OneDrive\Documentos\MALENTIN KARIME\BANCO CREDITO\FER LORCA en ROSITA (Rosita)\BANCOS\BANCO ESTADO\2010\JULIO - AGOSTO\STEFAN CYPERDIUK VARGAS.doc", "Abrir Documento")</f>
        <v>0</v>
      </c>
      <c r="D22090" t="s">
        <v>23500</v>
      </c>
      <c r="E22090" t="s">
        <v>44540</v>
      </c>
    </row>
    <row r="22091" spans="1:5">
      <c r="A22091" t="s">
        <v>6</v>
      </c>
      <c r="B22091" t="s">
        <v>22096</v>
      </c>
      <c r="C22091">
        <f>HYPERLINK("C:\Users\franc\OneDrive\Documentos\MALENTIN KARIME\BANCO CREDITO\FER LORCA en ROSITA (Rosita)\BANCOS\BANCO ESTADO\2010\JULIO - AGOSTO\RAFAEL NUÑEZ NUÑEZ.doc", "Abrir Documento")</f>
        <v>0</v>
      </c>
      <c r="D22091" t="s">
        <v>23500</v>
      </c>
      <c r="E22091" t="s">
        <v>44541</v>
      </c>
    </row>
    <row r="22092" spans="1:5">
      <c r="A22092" t="s">
        <v>6</v>
      </c>
      <c r="B22092" t="s">
        <v>22097</v>
      </c>
      <c r="C22092">
        <f>HYPERLINK("C:\Users\franc\OneDrive\Documentos\MALENTIN KARIME\BANCO CREDITO\FER LORCA en ROSITA (Rosita)\BANCOS\BANCO ESTADO\2010\JULIO - AGOSTO\OFELIA CISTERNAS ANDRADES.doc", "Abrir Documento")</f>
        <v>0</v>
      </c>
      <c r="D22092" t="s">
        <v>23500</v>
      </c>
      <c r="E22092" t="s">
        <v>44542</v>
      </c>
    </row>
    <row r="22093" spans="1:5">
      <c r="A22093" t="s">
        <v>6</v>
      </c>
      <c r="B22093" t="s">
        <v>22098</v>
      </c>
      <c r="C22093">
        <f>HYPERLINK("C:\Users\franc\OneDrive\Documentos\MALENTIN KARIME\BANCO CREDITO\FER LORCA en ROSITA (Rosita)\BANCOS\BANCO ESTADO\2010\JULIO - AGOSTO\NEFTALI TAPIA BARRIA.doc", "Abrir Documento")</f>
        <v>0</v>
      </c>
      <c r="D22093" t="s">
        <v>23500</v>
      </c>
      <c r="E22093" t="s">
        <v>44543</v>
      </c>
    </row>
    <row r="22094" spans="1:5">
      <c r="A22094" t="s">
        <v>6</v>
      </c>
      <c r="B22094" t="s">
        <v>22099</v>
      </c>
      <c r="C22094">
        <f>HYPERLINK("C:\Users\franc\OneDrive\Documentos\MALENTIN KARIME\BANCO CREDITO\FER LORCA en ROSITA (Rosita)\BANCOS\BANCO ESTADO\2010\JULIO - AGOSTO\MARIA URQUETA AGUIRRE.doc", "Abrir Documento")</f>
        <v>0</v>
      </c>
      <c r="D22094" t="s">
        <v>23500</v>
      </c>
      <c r="E22094" t="s">
        <v>44544</v>
      </c>
    </row>
    <row r="22095" spans="1:5">
      <c r="A22095" t="s">
        <v>6</v>
      </c>
      <c r="B22095" t="s">
        <v>22100</v>
      </c>
      <c r="C22095">
        <f>HYPERLINK("C:\Users\franc\OneDrive\Documentos\MALENTIN KARIME\BANCO CREDITO\FER LORCA en ROSITA (Rosita)\BANCOS\BANCO ESTADO\2010\JULIO - AGOSTO\MARIA FUENTES MUÑOZ.doc", "Abrir Documento")</f>
        <v>0</v>
      </c>
      <c r="D22095" t="s">
        <v>23500</v>
      </c>
      <c r="E22095" t="s">
        <v>44545</v>
      </c>
    </row>
    <row r="22096" spans="1:5">
      <c r="A22096" t="s">
        <v>6</v>
      </c>
      <c r="B22096" t="s">
        <v>22101</v>
      </c>
      <c r="C22096">
        <f>HYPERLINK("C:\Users\franc\OneDrive\Documentos\MALENTIN KARIME\BANCO CREDITO\FER LORCA en ROSITA (Rosita)\BANCOS\BANCO ESTADO\2010\JULIO - AGOSTO\MANUEL RODRIGUEZ CARVAJAL.doc", "Abrir Documento")</f>
        <v>0</v>
      </c>
      <c r="D22096" t="s">
        <v>23500</v>
      </c>
      <c r="E22096" t="s">
        <v>44546</v>
      </c>
    </row>
    <row r="22097" spans="1:5">
      <c r="A22097" t="s">
        <v>6</v>
      </c>
      <c r="B22097" t="s">
        <v>22102</v>
      </c>
      <c r="C22097">
        <f>HYPERLINK("C:\Users\franc\OneDrive\Documentos\MALENTIN KARIME\BANCO CREDITO\FER LORCA en ROSITA (Rosita)\BANCOS\BANCO ESTADO\2010\JULIO - AGOSTO\MANUEL CARVAJAL ROJAS.doc", "Abrir Documento")</f>
        <v>0</v>
      </c>
      <c r="D22097" t="s">
        <v>23500</v>
      </c>
      <c r="E22097" t="s">
        <v>44547</v>
      </c>
    </row>
    <row r="22098" spans="1:5">
      <c r="A22098" t="s">
        <v>6</v>
      </c>
      <c r="B22098" t="s">
        <v>22103</v>
      </c>
      <c r="C22098">
        <f>HYPERLINK("C:\Users\franc\OneDrive\Documentos\MALENTIN KARIME\BANCO CREDITO\FER LORCA en ROSITA (Rosita)\BANCOS\BANCO ESTADO\2010\JULIO - AGOSTO\LUIS AROS NUÑEZ.doc", "Abrir Documento")</f>
        <v>0</v>
      </c>
      <c r="D22098" t="s">
        <v>23500</v>
      </c>
      <c r="E22098" t="s">
        <v>44548</v>
      </c>
    </row>
    <row r="22099" spans="1:5">
      <c r="A22099" t="s">
        <v>6</v>
      </c>
      <c r="B22099" t="s">
        <v>22104</v>
      </c>
      <c r="C22099">
        <f>HYPERLINK("C:\Users\franc\OneDrive\Documentos\MALENTIN KARIME\BANCO CREDITO\FER LORCA en ROSITA (Rosita)\BANCOS\BANCO ESTADO\2010\JULIO - AGOSTO\LUCY CORDOVA ARAYA.doc", "Abrir Documento")</f>
        <v>0</v>
      </c>
      <c r="D22099" t="s">
        <v>23500</v>
      </c>
      <c r="E22099" t="s">
        <v>44549</v>
      </c>
    </row>
    <row r="22100" spans="1:5">
      <c r="A22100" t="s">
        <v>6</v>
      </c>
      <c r="B22100" t="s">
        <v>22105</v>
      </c>
      <c r="C22100">
        <f>HYPERLINK("C:\Users\franc\OneDrive\Documentos\MALENTIN KARIME\BANCO CREDITO\FER LORCA en ROSITA (Rosita)\BANCOS\BANCO ESTADO\2010\JULIO - AGOSTO\IVER ARAYA ARAYA.doc", "Abrir Documento")</f>
        <v>0</v>
      </c>
      <c r="D22100" t="s">
        <v>23500</v>
      </c>
      <c r="E22100" t="s">
        <v>44550</v>
      </c>
    </row>
    <row r="22101" spans="1:5">
      <c r="A22101" t="s">
        <v>6</v>
      </c>
      <c r="B22101" t="s">
        <v>22106</v>
      </c>
      <c r="C22101">
        <f>HYPERLINK("C:\Users\franc\OneDrive\Documentos\MALENTIN KARIME\BANCO CREDITO\FER LORCA en ROSITA (Rosita)\BANCOS\BANCO ESTADO\2010\JULIO - AGOSTO\JUAN CARLOS MONARDES JOFRE.doc", "Abrir Documento")</f>
        <v>0</v>
      </c>
      <c r="D22101" t="s">
        <v>23500</v>
      </c>
      <c r="E22101" t="s">
        <v>44550</v>
      </c>
    </row>
    <row r="22102" spans="1:5">
      <c r="A22102" t="s">
        <v>6</v>
      </c>
      <c r="B22102" t="s">
        <v>22107</v>
      </c>
      <c r="C22102">
        <f>HYPERLINK("C:\Users\franc\OneDrive\Documentos\MALENTIN KARIME\BANCO CREDITO\FER LORCA en ROSITA (Rosita)\BANCOS\BANCO ESTADO\2010\JULIO - AGOSTO\INES SEPULVEDA RODRIGUEZ.doc", "Abrir Documento")</f>
        <v>0</v>
      </c>
      <c r="D22102" t="s">
        <v>23500</v>
      </c>
      <c r="E22102" t="s">
        <v>44551</v>
      </c>
    </row>
    <row r="22103" spans="1:5">
      <c r="A22103" t="s">
        <v>6</v>
      </c>
      <c r="B22103" t="s">
        <v>22108</v>
      </c>
      <c r="C22103">
        <f>HYPERLINK("C:\Users\franc\OneDrive\Documentos\MALENTIN KARIME\BANCO CREDITO\FER LORCA en ROSITA (Rosita)\BANCOS\BANCO ESTADO\2010\JULIO - AGOSTO\HECTOR GONZALEZ BRAVO.doc", "Abrir Documento")</f>
        <v>0</v>
      </c>
      <c r="D22103" t="s">
        <v>23500</v>
      </c>
      <c r="E22103" t="s">
        <v>44552</v>
      </c>
    </row>
    <row r="22104" spans="1:5">
      <c r="A22104" t="s">
        <v>6</v>
      </c>
      <c r="B22104" t="s">
        <v>22109</v>
      </c>
      <c r="C22104">
        <f>HYPERLINK("C:\Users\franc\OneDrive\Documentos\MALENTIN KARIME\BANCO CREDITO\FER LORCA en ROSITA (Rosita)\BANCOS\BANCO ESTADO\2010\JULIO - AGOSTO\GLADYS NAVARRO CASTILLO.doc", "Abrir Documento")</f>
        <v>0</v>
      </c>
      <c r="D22104" t="s">
        <v>23500</v>
      </c>
      <c r="E22104" t="s">
        <v>44553</v>
      </c>
    </row>
    <row r="22105" spans="1:5">
      <c r="A22105" t="s">
        <v>6</v>
      </c>
      <c r="B22105" t="s">
        <v>22110</v>
      </c>
      <c r="C22105">
        <f>HYPERLINK("C:\Users\franc\OneDrive\Documentos\MALENTIN KARIME\BANCO CREDITO\FER LORCA en ROSITA (Rosita)\BANCOS\BANCO ESTADO\2010\JULIO - AGOSTO\GLADYS GUERRA VILLALOBOS.doc", "Abrir Documento")</f>
        <v>0</v>
      </c>
      <c r="D22105" t="s">
        <v>23500</v>
      </c>
      <c r="E22105" t="s">
        <v>44554</v>
      </c>
    </row>
    <row r="22106" spans="1:5">
      <c r="A22106" t="s">
        <v>6</v>
      </c>
      <c r="B22106" t="s">
        <v>22111</v>
      </c>
      <c r="C22106">
        <f>HYPERLINK("C:\Users\franc\OneDrive\Documentos\MALENTIN KARIME\BANCO CREDITO\FER LORCA en ROSITA (Rosita)\BANCOS\BANCO ESTADO\2010\JULIO - AGOSTO\FS. Y FECHA.doc", "Abrir Documento")</f>
        <v>0</v>
      </c>
      <c r="D22106" t="s">
        <v>23500</v>
      </c>
      <c r="E22106" t="s">
        <v>44555</v>
      </c>
    </row>
    <row r="22107" spans="1:5">
      <c r="A22107" t="s">
        <v>6</v>
      </c>
      <c r="B22107" t="s">
        <v>22112</v>
      </c>
      <c r="C22107">
        <f>HYPERLINK("C:\Users\franc\OneDrive\Documentos\MALENTIN KARIME\BANCO CREDITO\FER LORCA en ROSITA (Rosita)\BANCOS\BANCO ESTADO\2010\JULIO - AGOSTO\EDUARDO ABEL IRIARTE ARAYA.doc", "Abrir Documento")</f>
        <v>0</v>
      </c>
      <c r="D22107" t="s">
        <v>23500</v>
      </c>
      <c r="E22107" t="s">
        <v>44556</v>
      </c>
    </row>
    <row r="22108" spans="1:5">
      <c r="A22108" t="s">
        <v>6</v>
      </c>
      <c r="B22108" t="s">
        <v>22113</v>
      </c>
      <c r="C22108">
        <f>HYPERLINK("C:\Users\franc\OneDrive\Documentos\MALENTIN KARIME\BANCO CREDITO\FER LORCA en ROSITA (Rosita)\BANCOS\BANCO ESTADO\2010\JULIO - AGOSTO\CRISTINA AGUIRRE GOMEZ.doc", "Abrir Documento")</f>
        <v>0</v>
      </c>
      <c r="D22108" t="s">
        <v>23500</v>
      </c>
      <c r="E22108" t="s">
        <v>44557</v>
      </c>
    </row>
    <row r="22109" spans="1:5">
      <c r="A22109" t="s">
        <v>6</v>
      </c>
      <c r="B22109" t="s">
        <v>22114</v>
      </c>
      <c r="C22109">
        <f>HYPERLINK("C:\Users\franc\OneDrive\Documentos\MALENTIN KARIME\BANCO CREDITO\FER LORCA en ROSITA (Rosita)\BANCOS\BANCO ESTADO\2010\JULIO - AGOSTO\CAMILA ROJAS BONILLA.doc", "Abrir Documento")</f>
        <v>0</v>
      </c>
      <c r="D22109" t="s">
        <v>23500</v>
      </c>
      <c r="E22109" t="s">
        <v>44558</v>
      </c>
    </row>
    <row r="22110" spans="1:5">
      <c r="A22110" t="s">
        <v>6</v>
      </c>
      <c r="B22110" t="s">
        <v>22115</v>
      </c>
      <c r="C22110">
        <f>HYPERLINK("C:\Users\franc\OneDrive\Documentos\MALENTIN KARIME\BANCO CREDITO\FER LORCA en ROSITA (Rosita)\BANCOS\BANCO ESTADO\2010\JULIO - AGOSTO\ANGEL CASTRO VEGA.doc", "Abrir Documento")</f>
        <v>0</v>
      </c>
      <c r="D22110" t="s">
        <v>23500</v>
      </c>
      <c r="E22110" t="s">
        <v>44559</v>
      </c>
    </row>
    <row r="22111" spans="1:5">
      <c r="A22111" t="s">
        <v>6</v>
      </c>
      <c r="B22111" t="s">
        <v>22116</v>
      </c>
      <c r="C22111">
        <f>HYPERLINK("C:\Users\franc\OneDrive\Documentos\MALENTIN KARIME\BANCO CREDITO\FER LORCA en ROSITA (Rosita)\BANCOS\BANCO ESTADO\2010\JULIO - AGOSTO\ANA MARIA VILLEGAS ACUÑA.doc", "Abrir Documento")</f>
        <v>0</v>
      </c>
      <c r="D22111" t="s">
        <v>23500</v>
      </c>
      <c r="E22111" t="s">
        <v>44560</v>
      </c>
    </row>
    <row r="22112" spans="1:5">
      <c r="A22112" t="s">
        <v>6</v>
      </c>
      <c r="B22112" t="s">
        <v>22117</v>
      </c>
      <c r="C22112">
        <f>HYPERLINK("C:\Users\franc\OneDrive\Documentos\MALENTIN KARIME\BANCO CREDITO\FER LORCA en ROSITA (Rosita)\BANCOS\BANCO ESTADO\2010\JULIO - AGOSTO\ALFONSO MUÑOZ LOYOLA.doc", "Abrir Documento")</f>
        <v>0</v>
      </c>
      <c r="D22112" t="s">
        <v>23500</v>
      </c>
      <c r="E22112" t="s">
        <v>44561</v>
      </c>
    </row>
    <row r="22113" spans="1:5">
      <c r="A22113" t="s">
        <v>6</v>
      </c>
      <c r="B22113" t="s">
        <v>22118</v>
      </c>
      <c r="C22113">
        <f>HYPERLINK("C:\Users\franc\OneDrive\Documentos\MALENTIN KARIME\BANCO CREDITO\FER LORCA en ROSITA (Rosita)\BANCOS\BANCO ESTADO\2010\JULIO - AGOSTO\ALEJANDRO URBINA CORTES.doc", "Abrir Documento")</f>
        <v>0</v>
      </c>
      <c r="D22113" t="s">
        <v>23500</v>
      </c>
      <c r="E22113" t="s">
        <v>44562</v>
      </c>
    </row>
    <row r="22114" spans="1:5">
      <c r="A22114" t="s">
        <v>6</v>
      </c>
      <c r="B22114" t="s">
        <v>22119</v>
      </c>
      <c r="C22114">
        <f>HYPERLINK("C:\Users\franc\OneDrive\Documentos\MALENTIN KARIME\BANCO CREDITO\FER LORCA en ROSITA (Rosita)\BANCOS\BANCO ESTADO\2010\JULIO - AGOSTO\ALEJANDRO ALFARO ROJAS.doc", "Abrir Documento")</f>
        <v>0</v>
      </c>
      <c r="D22114" t="s">
        <v>23500</v>
      </c>
      <c r="E22114" t="s">
        <v>44563</v>
      </c>
    </row>
    <row r="22115" spans="1:5">
      <c r="A22115" t="s">
        <v>6</v>
      </c>
      <c r="B22115" t="s">
        <v>22120</v>
      </c>
      <c r="C22115">
        <f>HYPERLINK("C:\Users\franc\OneDrive\Documentos\MALENTIN KARIME\BANCO CREDITO\FER LORCA en ROSITA (Rosita)\BANCOS\BANCO ESTADO\2010\ENERO 2010\CVTA AGUAS NUEVA ESPERANZA DABED (V13)[1].doc", "Abrir Documento")</f>
        <v>0</v>
      </c>
      <c r="D22115" t="s">
        <v>23500</v>
      </c>
      <c r="E22115" t="s">
        <v>44564</v>
      </c>
    </row>
    <row r="22116" spans="1:5">
      <c r="A22116" t="s">
        <v>6</v>
      </c>
      <c r="B22116" t="s">
        <v>22121</v>
      </c>
      <c r="C22116">
        <f>HYPERLINK("C:\Users\franc\OneDrive\Documentos\MALENTIN KARIME\BANCO CREDITO\FER LORCA en ROSITA (Rosita)\BANCOS\BANCO ESTADO\2010\DICIEMBRE 2010\PATRICIA MARAMBIO VALDIVIA.doc", "Abrir Documento")</f>
        <v>0</v>
      </c>
      <c r="D22116" t="s">
        <v>23500</v>
      </c>
      <c r="E22116" t="s">
        <v>44565</v>
      </c>
    </row>
    <row r="22117" spans="1:5">
      <c r="A22117" t="s">
        <v>6</v>
      </c>
      <c r="B22117" t="s">
        <v>22122</v>
      </c>
      <c r="C22117">
        <f>HYPERLINK("C:\Users\franc\OneDrive\Documentos\MALENTIN KARIME\BANCO CREDITO\FER LORCA en ROSITA (Rosita)\BANCOS\BANCO ESTADO\DICIEMBRE 2010.doc", "Abrir Documento")</f>
        <v>0</v>
      </c>
      <c r="D22117" t="s">
        <v>23500</v>
      </c>
      <c r="E22117" t="s">
        <v>44566</v>
      </c>
    </row>
    <row r="22118" spans="1:5">
      <c r="A22118" t="s">
        <v>6</v>
      </c>
      <c r="B22118" t="s">
        <v>22123</v>
      </c>
      <c r="C22118">
        <f>HYPERLINK("C:\Users\franc\OneDrive\Documentos\MALENTIN KARIME\BANCO CREDITO\FER LORCA en ROSITA (Rosita)\BANCOS\BANCHILE\Marco VILLARROEL LOPEZ, JUAN GUILLERMO  (La Serena).doc", "Abrir Documento")</f>
        <v>0</v>
      </c>
      <c r="D22118" t="s">
        <v>23500</v>
      </c>
      <c r="E22118" t="s">
        <v>44567</v>
      </c>
    </row>
    <row r="22119" spans="1:5">
      <c r="A22119" t="s">
        <v>6</v>
      </c>
      <c r="B22119" t="s">
        <v>22124</v>
      </c>
      <c r="C22119">
        <f>HYPERLINK("C:\Users\franc\OneDrive\Documentos\MALENTIN KARIME\BANCO CREDITO\FER LORCA en ROSITA (Rosita)\BANCOS\BANCHILE\Marco TAPIA HERRERA, GLORIA ALEJANDRA - LA SERENA(mpn)[1].doc", "Abrir Documento")</f>
        <v>0</v>
      </c>
      <c r="D22119" t="s">
        <v>23500</v>
      </c>
      <c r="E22119" t="s">
        <v>44568</v>
      </c>
    </row>
    <row r="22120" spans="1:5">
      <c r="A22120" t="s">
        <v>6</v>
      </c>
      <c r="B22120" t="s">
        <v>22125</v>
      </c>
      <c r="C22120">
        <f>HYPERLINK("C:\Users\franc\OneDrive\Documentos\MALENTIN KARIME\BANCO CREDITO\FER LORCA en ROSITA (Rosita)\BANCOS\BANCHILE\Marco COMERCIAL LAS TINAJAS LIMITADA La Serena MPN.doc", "Abrir Documento")</f>
        <v>0</v>
      </c>
      <c r="D22120" t="s">
        <v>23500</v>
      </c>
      <c r="E22120" t="s">
        <v>44569</v>
      </c>
    </row>
    <row r="22121" spans="1:5">
      <c r="A22121" t="s">
        <v>6</v>
      </c>
      <c r="B22121" t="s">
        <v>22126</v>
      </c>
      <c r="C22121">
        <f>HYPERLINK("C:\Users\franc\OneDrive\Documentos\MALENTIN KARIME\BANCO CREDITO\FER LORCA en ROSITA (Rosita)\BANCOS\BANCHILE\FACTORING COMERCIAL AROS PIZARRO LIMITADA -La Serena MPN.doc", "Abrir Documento")</f>
        <v>0</v>
      </c>
      <c r="D22121" t="s">
        <v>23500</v>
      </c>
      <c r="E22121" t="s">
        <v>44570</v>
      </c>
    </row>
    <row r="22122" spans="1:5">
      <c r="A22122" t="s">
        <v>6</v>
      </c>
      <c r="B22122" t="s">
        <v>22127</v>
      </c>
      <c r="C22122">
        <f>HYPERLINK("C:\Users\franc\OneDrive\Documentos\MALENTIN KARIME\BANCO CREDITO\FER LORCA en ROSITA (Rosita)\BANCOS\BANCHILE\FACT. ALEX BRICEÑO LORCA.doc", "Abrir Documento")</f>
        <v>0</v>
      </c>
      <c r="D22122" t="s">
        <v>23500</v>
      </c>
      <c r="E22122" t="s">
        <v>44571</v>
      </c>
    </row>
    <row r="22123" spans="1:5">
      <c r="A22123" t="s">
        <v>6</v>
      </c>
      <c r="B22123" t="s">
        <v>22128</v>
      </c>
      <c r="C22123">
        <f>HYPERLINK("C:\Users\franc\OneDrive\Documentos\MALENTIN KARIME\BANCO CREDITO\FER LORCA en ROSITA (Rosita)\BANCOS\BANCHILE\COMERCIAL LAS TINAJAS LIMITADA La Serena MPN (1).- ABRIL.doc", "Abrir Documento")</f>
        <v>0</v>
      </c>
      <c r="D22123" t="s">
        <v>23500</v>
      </c>
      <c r="E22123" t="s">
        <v>44572</v>
      </c>
    </row>
    <row r="22124" spans="1:5">
      <c r="A22124" t="s">
        <v>6</v>
      </c>
      <c r="B22124" t="s">
        <v>22129</v>
      </c>
      <c r="C22124">
        <f>HYPERLINK("C:\Users\franc\OneDrive\Documentos\MALENTIN KARIME\BANCO CREDITO\FER LORCA en ROSITA (Rosita)\BANCOS\MODELO   FORMULARIO  24.doc", "Abrir Documento")</f>
        <v>0</v>
      </c>
      <c r="D22124" t="s">
        <v>23500</v>
      </c>
      <c r="E22124" t="s">
        <v>44573</v>
      </c>
    </row>
    <row r="22125" spans="1:5">
      <c r="A22125" t="s">
        <v>6</v>
      </c>
      <c r="B22125" t="s">
        <v>22130</v>
      </c>
      <c r="C22125">
        <f>HYPERLINK("C:\Users\franc\OneDrive\Documentos\MALENTIN KARIME\BANCO CREDITO\FER LORCA en ROSITA (Rosita)\BANCOS\MODELO   FORMULARIO  24..doc", "Abrir Documento")</f>
        <v>0</v>
      </c>
      <c r="D22125" t="s">
        <v>23500</v>
      </c>
      <c r="E22125" t="s">
        <v>44574</v>
      </c>
    </row>
    <row r="22126" spans="1:5">
      <c r="A22126" t="s">
        <v>6</v>
      </c>
      <c r="B22126" t="s">
        <v>22131</v>
      </c>
      <c r="C22126">
        <f>HYPERLINK("C:\Users\franc\OneDrive\Documentos\MALENTIN KARIME\BANCO CREDITO\FER LORCA en ROSITA (Rosita)\BANCOS\MODELO   FORMULARIO  24. MUTUO CORPBANCA.doc", "Abrir Documento")</f>
        <v>0</v>
      </c>
      <c r="D22126" t="s">
        <v>23500</v>
      </c>
      <c r="E22126" t="s">
        <v>44575</v>
      </c>
    </row>
    <row r="22127" spans="1:5">
      <c r="A22127" t="s">
        <v>6</v>
      </c>
      <c r="B22127" t="s">
        <v>22132</v>
      </c>
      <c r="C22127">
        <f>HYPERLINK("C:\Users\franc\OneDrive\Documentos\MALENTIN KARIME\BANCO CREDITO\FER LORCA en ROSITA (Rosita)\BANCOS\MODELO   FORMULARIO  24. MUTUO CORPBANCA.- SALDO.doc", "Abrir Documento")</f>
        <v>0</v>
      </c>
      <c r="D22127" t="s">
        <v>23500</v>
      </c>
      <c r="E22127" t="s">
        <v>44576</v>
      </c>
    </row>
    <row r="22128" spans="1:5">
      <c r="A22128" t="s">
        <v>6</v>
      </c>
      <c r="B22128" t="s">
        <v>22133</v>
      </c>
      <c r="C22128">
        <f>HYPERLINK("C:\Users\franc\OneDrive\Documentos\MALENTIN KARIME\BANCO CREDITO\FER LORCA en ROSITA (Rosita)\AUTORIZACION VENTA\VERONICA MORALES A JORGE CASTELLON.doc", "Abrir Documento")</f>
        <v>0</v>
      </c>
      <c r="D22128" t="s">
        <v>23500</v>
      </c>
      <c r="E22128" t="s">
        <v>44577</v>
      </c>
    </row>
    <row r="22129" spans="1:5">
      <c r="A22129" t="s">
        <v>6</v>
      </c>
      <c r="B22129" t="s">
        <v>22134</v>
      </c>
      <c r="C22129">
        <f>HYPERLINK("C:\Users\franc\OneDrive\Documentos\MALENTIN KARIME\BANCO CREDITO\FER LORCA en ROSITA (Rosita)\AUTORIZACION VENTA\PEDRO HUERTA A IRMA TABILO.doc", "Abrir Documento")</f>
        <v>0</v>
      </c>
      <c r="D22129" t="s">
        <v>23500</v>
      </c>
      <c r="E22129" t="s">
        <v>44578</v>
      </c>
    </row>
    <row r="22130" spans="1:5">
      <c r="A22130" t="s">
        <v>6</v>
      </c>
      <c r="B22130" t="s">
        <v>22135</v>
      </c>
      <c r="C22130">
        <f>HYPERLINK("C:\Users\franc\OneDrive\Documentos\MALENTIN KARIME\BANCO CREDITO\FER LORCA en ROSITA (Rosita)\AUTORIZACION VENTA\MODELO.doc", "Abrir Documento")</f>
        <v>0</v>
      </c>
      <c r="D22130" t="s">
        <v>23500</v>
      </c>
      <c r="E22130" t="s">
        <v>44579</v>
      </c>
    </row>
    <row r="22131" spans="1:5">
      <c r="A22131" t="s">
        <v>6</v>
      </c>
      <c r="B22131" t="s">
        <v>22136</v>
      </c>
      <c r="C22131">
        <f>HYPERLINK("C:\Users\franc\OneDrive\Documentos\MALENTIN KARIME\BANCO CREDITO\FER LORCA en ROSITA (Rosita)\AUTORIZACION VENTA\MODELO.-.doc", "Abrir Documento")</f>
        <v>0</v>
      </c>
      <c r="D22131" t="s">
        <v>23500</v>
      </c>
      <c r="E22131" t="s">
        <v>44580</v>
      </c>
    </row>
    <row r="22132" spans="1:5">
      <c r="A22132" t="s">
        <v>6</v>
      </c>
      <c r="B22132" t="s">
        <v>22137</v>
      </c>
      <c r="C22132">
        <f>HYPERLINK("C:\Users\franc\OneDrive\Documentos\MALENTIN KARIME\BANCO CREDITO\FER LORCA en ROSITA (Rosita)\AUTORIZACION VENTA\modelo 2.doc", "Abrir Documento")</f>
        <v>0</v>
      </c>
      <c r="D22132" t="s">
        <v>23500</v>
      </c>
      <c r="E22132" t="s">
        <v>44581</v>
      </c>
    </row>
    <row r="22133" spans="1:5">
      <c r="A22133" t="s">
        <v>6</v>
      </c>
      <c r="B22133" t="s">
        <v>22138</v>
      </c>
      <c r="C22133">
        <f>HYPERLINK("C:\Users\franc\OneDrive\Documentos\MALENTIN KARIME\BANCO CREDITO\FER LORCA en ROSITA (Rosita)\AUTORIZACION VENTA\MARIO DUBO A YARELLA ROJAS.- OCTUBRE.doc", "Abrir Documento")</f>
        <v>0</v>
      </c>
      <c r="D22133" t="s">
        <v>23500</v>
      </c>
      <c r="E22133" t="s">
        <v>44582</v>
      </c>
    </row>
    <row r="22134" spans="1:5">
      <c r="A22134" t="s">
        <v>6</v>
      </c>
      <c r="B22134" t="s">
        <v>22139</v>
      </c>
      <c r="C22134">
        <f>HYPERLINK("C:\Users\franc\OneDrive\Documentos\MALENTIN KARIME\BANCO CREDITO\FER LORCA en ROSITA (Rosita)\AUTORIZACION VENTA\MARIA ARAYA A ISRAEL CEURA (VENTA CONYUGE).doc", "Abrir Documento")</f>
        <v>0</v>
      </c>
      <c r="D22134" t="s">
        <v>23500</v>
      </c>
      <c r="E22134" t="s">
        <v>44583</v>
      </c>
    </row>
    <row r="22135" spans="1:5">
      <c r="A22135" t="s">
        <v>6</v>
      </c>
      <c r="B22135" t="s">
        <v>22140</v>
      </c>
      <c r="C22135">
        <f>HYPERLINK("C:\Users\franc\OneDrive\Documentos\MALENTIN KARIME\BANCO CREDITO\FER LORCA en ROSITA (Rosita)\AUTORIZACION VENTA\mail.google.- ORLANDO DALBOSCO.doc", "Abrir Documento")</f>
        <v>0</v>
      </c>
      <c r="D22135" t="s">
        <v>23500</v>
      </c>
      <c r="E22135" t="s">
        <v>44584</v>
      </c>
    </row>
    <row r="22136" spans="1:5">
      <c r="A22136" t="s">
        <v>6</v>
      </c>
      <c r="B22136" t="s">
        <v>22141</v>
      </c>
      <c r="C22136">
        <f>HYPERLINK("C:\Users\franc\OneDrive\Documentos\MALENTIN KARIME\BANCO CREDITO\FER LORCA en ROSITA (Rosita)\AUTORIZACION VENTA\IGNACIO VILCHEZ A SILVIA CHANDIA.doc", "Abrir Documento")</f>
        <v>0</v>
      </c>
      <c r="D22136" t="s">
        <v>23500</v>
      </c>
      <c r="E22136" t="s">
        <v>44585</v>
      </c>
    </row>
    <row r="22137" spans="1:5">
      <c r="A22137" t="s">
        <v>6</v>
      </c>
      <c r="B22137" t="s">
        <v>22142</v>
      </c>
      <c r="C22137">
        <f>HYPERLINK("C:\Users\franc\OneDrive\Documentos\MALENTIN KARIME\BANCO CREDITO\FER LORCA en ROSITA (Rosita)\AUTORIZACION VENTA\HECTOR RIZ GARRIDO.-.doc", "Abrir Documento")</f>
        <v>0</v>
      </c>
      <c r="D22137" t="s">
        <v>23500</v>
      </c>
      <c r="E22137" t="s">
        <v>44586</v>
      </c>
    </row>
    <row r="22138" spans="1:5">
      <c r="A22138" t="s">
        <v>6</v>
      </c>
      <c r="B22138" t="s">
        <v>22143</v>
      </c>
      <c r="C22138">
        <f>HYPERLINK("C:\Users\franc\OneDrive\Documentos\MALENTIN KARIME\BANCO CREDITO\FER LORCA en ROSITA (Rosita)\AUTORIZACION VENTA\AUTO. VIAJE MENOR.-  EDUARDO CARVAJAL.doc", "Abrir Documento")</f>
        <v>0</v>
      </c>
      <c r="D22138" t="s">
        <v>23500</v>
      </c>
      <c r="E22138" t="s">
        <v>44587</v>
      </c>
    </row>
    <row r="22139" spans="1:5">
      <c r="A22139" t="s">
        <v>6</v>
      </c>
      <c r="B22139" t="s">
        <v>22144</v>
      </c>
      <c r="C22139">
        <f>HYPERLINK("C:\Users\franc\OneDrive\Documentos\MALENTIN KARIME\BANCO CREDITO\FER LORCA en ROSITA (Rosita)\ASICOM\RECTIFICATORIAS\rectificatoria%20Transacci%C3%B3n%20poblete%20rojas%2C%20juan[1].doc", "Abrir Documento")</f>
        <v>0</v>
      </c>
      <c r="D22139" t="s">
        <v>23500</v>
      </c>
      <c r="E22139" t="s">
        <v>44588</v>
      </c>
    </row>
    <row r="22140" spans="1:5">
      <c r="A22140" t="s">
        <v>6</v>
      </c>
      <c r="B22140" t="s">
        <v>22145</v>
      </c>
      <c r="C22140">
        <f>HYPERLINK("C:\Users\franc\OneDrive\Documentos\MALENTIN KARIME\BANCO CREDITO\FER LORCA en ROSITA (Rosita)\ASICOM\RECTIFICATORIAS\AGUAYO SARAVIA GLADYS DEL CARMEN[1].doc", "Abrir Documento")</f>
        <v>0</v>
      </c>
      <c r="D22140" t="s">
        <v>23500</v>
      </c>
      <c r="E22140" t="s">
        <v>44589</v>
      </c>
    </row>
    <row r="22141" spans="1:5">
      <c r="A22141" t="s">
        <v>6</v>
      </c>
      <c r="B22141" t="s">
        <v>22146</v>
      </c>
      <c r="C22141">
        <f>HYPERLINK("C:\Users\franc\OneDrive\Documentos\MALENTIN KARIME\BANCO CREDITO\FER LORCA en ROSITA (Rosita)\ASICOM\RECTIFICACION 2010\AGUAYO SARAVIA GLADYS DEL CARMEN.doc", "Abrir Documento")</f>
        <v>0</v>
      </c>
      <c r="D22141" t="s">
        <v>23500</v>
      </c>
      <c r="E22141" t="s">
        <v>44590</v>
      </c>
    </row>
    <row r="22142" spans="1:5">
      <c r="A22142" t="s">
        <v>6</v>
      </c>
      <c r="B22142" t="s">
        <v>22147</v>
      </c>
      <c r="C22142">
        <f>HYPERLINK("C:\Users\franc\OneDrive\Documentos\MALENTIN KARIME\BANCO CREDITO\FER LORCA en ROSITA (Rosita)\ASICOM\RECTIFICACION 2010\POBLETE ROJAS JUAN RAMON.doc", "Abrir Documento")</f>
        <v>0</v>
      </c>
      <c r="D22142" t="s">
        <v>23500</v>
      </c>
      <c r="E22142" t="s">
        <v>44590</v>
      </c>
    </row>
    <row r="22143" spans="1:5">
      <c r="A22143" t="s">
        <v>6</v>
      </c>
      <c r="B22143" t="s">
        <v>22148</v>
      </c>
      <c r="C22143">
        <f>HYPERLINK("C:\Users\franc\OneDrive\Documentos\MALENTIN KARIME\BANCO CREDITO\FER LORCA en ROSITA (Rosita)\ASICOM\RECTIFICACION 2010\RODRIGUEZ RODRIGUEZ SARITA.doc", "Abrir Documento")</f>
        <v>0</v>
      </c>
      <c r="D22143" t="s">
        <v>23500</v>
      </c>
      <c r="E22143" t="s">
        <v>44590</v>
      </c>
    </row>
    <row r="22144" spans="1:5">
      <c r="A22144" t="s">
        <v>6</v>
      </c>
      <c r="B22144" t="s">
        <v>22149</v>
      </c>
      <c r="C22144">
        <f>HYPERLINK("C:\Users\franc\OneDrive\Documentos\MALENTIN KARIME\BANCO CREDITO\FER LORCA en ROSITA (Rosita)\ASICOM\2009\SEPTIEMBRE\CERTIFICADOS\VICTORIA ALFARO FERREIRA.doc", "Abrir Documento")</f>
        <v>0</v>
      </c>
      <c r="D22144" t="s">
        <v>23500</v>
      </c>
      <c r="E22144" t="s">
        <v>44591</v>
      </c>
    </row>
    <row r="22145" spans="1:5">
      <c r="A22145" t="s">
        <v>6</v>
      </c>
      <c r="B22145" t="s">
        <v>22150</v>
      </c>
      <c r="C22145">
        <f>HYPERLINK("C:\Users\franc\OneDrive\Documentos\MALENTIN KARIME\BANCO CREDITO\FER LORCA en ROSITA (Rosita)\ASICOM\2009\SEPTIEMBRE\CERTIFICADOS\GABRIELA ASTORGA.doc", "Abrir Documento")</f>
        <v>0</v>
      </c>
      <c r="D22145" t="s">
        <v>23500</v>
      </c>
      <c r="E22145" t="s">
        <v>44592</v>
      </c>
    </row>
    <row r="22146" spans="1:5">
      <c r="A22146" t="s">
        <v>6</v>
      </c>
      <c r="B22146" t="s">
        <v>22151</v>
      </c>
      <c r="C22146">
        <f>HYPERLINK("C:\Users\franc\OneDrive\Documentos\MALENTIN KARIME\BANCO CREDITO\FER LORCA en ROSITA (Rosita)\ASICOM\2009\SEPTIEMBRE\CERTIFICADOS\ERCIRA ALFARO VILLALOBOS.doc", "Abrir Documento")</f>
        <v>0</v>
      </c>
      <c r="D22146" t="s">
        <v>23500</v>
      </c>
      <c r="E22146" t="s">
        <v>44593</v>
      </c>
    </row>
    <row r="22147" spans="1:5">
      <c r="A22147" t="s">
        <v>6</v>
      </c>
      <c r="B22147" t="s">
        <v>22152</v>
      </c>
      <c r="C22147">
        <f>HYPERLINK("C:\Users\franc\OneDrive\Documentos\MALENTIN KARIME\BANCO CREDITO\FER LORCA en ROSITA (Rosita)\ASICOM\2009\SEPTIEMBRE\CERTIFICADOS\ANDREA BOYD ROSENDE.doc", "Abrir Documento")</f>
        <v>0</v>
      </c>
      <c r="D22147" t="s">
        <v>23500</v>
      </c>
      <c r="E22147" t="s">
        <v>44594</v>
      </c>
    </row>
    <row r="22148" spans="1:5">
      <c r="A22148" t="s">
        <v>6</v>
      </c>
      <c r="B22148" t="s">
        <v>22153</v>
      </c>
      <c r="C22148">
        <f>HYPERLINK("C:\Users\franc\OneDrive\Documentos\MALENTIN KARIME\BANCO CREDITO\FER LORCA en ROSITA (Rosita)\ASICOM\2009\SEPTIEMBRE\CERTIFICADOS\ALEX RODRIGUEZ JOFRE.doc", "Abrir Documento")</f>
        <v>0</v>
      </c>
      <c r="D22148" t="s">
        <v>23500</v>
      </c>
      <c r="E22148" t="s">
        <v>44595</v>
      </c>
    </row>
    <row r="22149" spans="1:5">
      <c r="A22149" t="s">
        <v>6</v>
      </c>
      <c r="B22149" t="s">
        <v>22154</v>
      </c>
      <c r="C22149">
        <f>HYPERLINK("C:\Users\franc\OneDrive\Documentos\MALENTIN KARIME\BANCO CREDITO\FER LORCA en ROSITA (Rosita)\ASICOM\2009\OCTUBRE\CERTIFICADOS\PATRICIO ARAYA ARAYA.doc", "Abrir Documento")</f>
        <v>0</v>
      </c>
      <c r="D22149" t="s">
        <v>23500</v>
      </c>
      <c r="E22149" t="s">
        <v>44596</v>
      </c>
    </row>
    <row r="22150" spans="1:5">
      <c r="A22150" t="s">
        <v>6</v>
      </c>
      <c r="B22150" t="s">
        <v>22155</v>
      </c>
      <c r="C22150">
        <f>HYPERLINK("C:\Users\franc\OneDrive\Documentos\MALENTIN KARIME\BANCO CREDITO\FER LORCA en ROSITA (Rosita)\ASICOM\2009\OCTUBRE\CERTIFICADOS\PABLO LANAS VEGA.doc", "Abrir Documento")</f>
        <v>0</v>
      </c>
      <c r="D22150" t="s">
        <v>23500</v>
      </c>
      <c r="E22150" t="s">
        <v>44597</v>
      </c>
    </row>
    <row r="22151" spans="1:5">
      <c r="A22151" t="s">
        <v>6</v>
      </c>
      <c r="B22151" t="s">
        <v>22156</v>
      </c>
      <c r="C22151">
        <f>HYPERLINK("C:\Users\franc\OneDrive\Documentos\MALENTIN KARIME\BANCO CREDITO\FER LORCA en ROSITA (Rosita)\ASICOM\2009\OCTUBRE\CERTIFICADOS\MARIZA MOLINA.doc", "Abrir Documento")</f>
        <v>0</v>
      </c>
      <c r="D22151" t="s">
        <v>23500</v>
      </c>
      <c r="E22151" t="s">
        <v>44598</v>
      </c>
    </row>
    <row r="22152" spans="1:5">
      <c r="A22152" t="s">
        <v>6</v>
      </c>
      <c r="B22152" t="s">
        <v>22157</v>
      </c>
      <c r="C22152">
        <f>HYPERLINK("C:\Users\franc\OneDrive\Documentos\MALENTIN KARIME\BANCO CREDITO\FER LORCA en ROSITA (Rosita)\ASICOM\2009\OCTUBRE\CERTIFICADOS\LUIS MUÑOZ DIAZ.doc", "Abrir Documento")</f>
        <v>0</v>
      </c>
      <c r="D22152" t="s">
        <v>23500</v>
      </c>
      <c r="E22152" t="s">
        <v>44599</v>
      </c>
    </row>
    <row r="22153" spans="1:5">
      <c r="A22153" t="s">
        <v>6</v>
      </c>
      <c r="B22153" t="s">
        <v>22158</v>
      </c>
      <c r="C22153">
        <f>HYPERLINK("C:\Users\franc\OneDrive\Documentos\MALENTIN KARIME\BANCO CREDITO\FER LORCA en ROSITA (Rosita)\ASICOM\2009\OCTUBRE\CERTIFICADOS\JUAN CARLOS FARIA.doc", "Abrir Documento")</f>
        <v>0</v>
      </c>
      <c r="D22153" t="s">
        <v>23500</v>
      </c>
      <c r="E22153" t="s">
        <v>44600</v>
      </c>
    </row>
    <row r="22154" spans="1:5">
      <c r="A22154" t="s">
        <v>6</v>
      </c>
      <c r="B22154" t="s">
        <v>22159</v>
      </c>
      <c r="C22154">
        <f>HYPERLINK("C:\Users\franc\OneDrive\Documentos\MALENTIN KARIME\BANCO CREDITO\FER LORCA en ROSITA (Rosita)\ASICOM\2009\OCTUBRE\CERTIFICADOS\ISABEL ARAYA PEREIRA.doc", "Abrir Documento")</f>
        <v>0</v>
      </c>
      <c r="D22154" t="s">
        <v>23500</v>
      </c>
      <c r="E22154" t="s">
        <v>44601</v>
      </c>
    </row>
    <row r="22155" spans="1:5">
      <c r="A22155" t="s">
        <v>6</v>
      </c>
      <c r="B22155" t="s">
        <v>22160</v>
      </c>
      <c r="C22155">
        <f>HYPERLINK("C:\Users\franc\OneDrive\Documentos\MALENTIN KARIME\BANCO CREDITO\FER LORCA en ROSITA (Rosita)\ASICOM\2009\OCTUBRE\CERTIFICADOS\FRANCO PEREZ ZAMORA.doc", "Abrir Documento")</f>
        <v>0</v>
      </c>
      <c r="D22155" t="s">
        <v>23500</v>
      </c>
      <c r="E22155" t="s">
        <v>44602</v>
      </c>
    </row>
    <row r="22156" spans="1:5">
      <c r="A22156" t="s">
        <v>6</v>
      </c>
      <c r="B22156" t="s">
        <v>22161</v>
      </c>
      <c r="C22156">
        <f>HYPERLINK("C:\Users\franc\OneDrive\Documentos\MALENTIN KARIME\BANCO CREDITO\FER LORCA en ROSITA (Rosita)\ASICOM\2009\OCTUBRE\CERTIFICADOS\FELICIANO ENCINA ENCINAÇÇ.doc", "Abrir Documento")</f>
        <v>0</v>
      </c>
      <c r="D22156" t="s">
        <v>23500</v>
      </c>
      <c r="E22156" t="s">
        <v>44603</v>
      </c>
    </row>
    <row r="22157" spans="1:5">
      <c r="A22157" t="s">
        <v>6</v>
      </c>
      <c r="B22157" t="s">
        <v>22162</v>
      </c>
      <c r="C22157">
        <f>HYPERLINK("C:\Users\franc\OneDrive\Documentos\MALENTIN KARIME\BANCO CREDITO\FER LORCA en ROSITA (Rosita)\ASICOM\2009\OCTUBRE\CERTIFICADOS\ANA TAPIA ROJAS.doc", "Abrir Documento")</f>
        <v>0</v>
      </c>
      <c r="D22157" t="s">
        <v>23500</v>
      </c>
      <c r="E22157" t="s">
        <v>44604</v>
      </c>
    </row>
    <row r="22158" spans="1:5">
      <c r="A22158" t="s">
        <v>6</v>
      </c>
      <c r="B22158" t="s">
        <v>22163</v>
      </c>
      <c r="C22158">
        <f>HYPERLINK("C:\Users\franc\OneDrive\Documentos\MALENTIN KARIME\BANCO CREDITO\FER LORCA en ROSITA (Rosita)\ASICOM\2009\OCTUBRE\CERTIFICADOS\ADRIANA GALALRDO.doc", "Abrir Documento")</f>
        <v>0</v>
      </c>
      <c r="D22158" t="s">
        <v>23500</v>
      </c>
      <c r="E22158" t="s">
        <v>44605</v>
      </c>
    </row>
    <row r="22159" spans="1:5">
      <c r="A22159" t="s">
        <v>6</v>
      </c>
      <c r="B22159" t="s">
        <v>22164</v>
      </c>
      <c r="C22159">
        <f>HYPERLINK("C:\Users\franc\OneDrive\Documentos\MALENTIN KARIME\BANCO CREDITO\FER LORCA en ROSITA (Rosita)\ASICOM\2009\NOVIEMBRE\CERTIFICADOS\SONIA RAMIREZ CASTRO.doc", "Abrir Documento")</f>
        <v>0</v>
      </c>
      <c r="D22159" t="s">
        <v>23500</v>
      </c>
      <c r="E22159" t="s">
        <v>44606</v>
      </c>
    </row>
    <row r="22160" spans="1:5">
      <c r="A22160" t="s">
        <v>6</v>
      </c>
      <c r="B22160" t="s">
        <v>22165</v>
      </c>
      <c r="C22160">
        <f>HYPERLINK("C:\Users\franc\OneDrive\Documentos\MALENTIN KARIME\BANCO CREDITO\FER LORCA en ROSITA (Rosita)\ASICOM\2009\NOVIEMBRE\CERTIFICADOS\PATRICIA CORTES CORTES.doc", "Abrir Documento")</f>
        <v>0</v>
      </c>
      <c r="D22160" t="s">
        <v>23500</v>
      </c>
      <c r="E22160" t="s">
        <v>44607</v>
      </c>
    </row>
    <row r="22161" spans="1:5">
      <c r="A22161" t="s">
        <v>6</v>
      </c>
      <c r="B22161" t="s">
        <v>22166</v>
      </c>
      <c r="C22161">
        <f>HYPERLINK("C:\Users\franc\OneDrive\Documentos\MALENTIN KARIME\BANCO CREDITO\FER LORCA en ROSITA (Rosita)\ASICOM\2009\NOVIEMBRE\CERTIFICADOS\NAYARETT SALINAS ZEPEDA.doc", "Abrir Documento")</f>
        <v>0</v>
      </c>
      <c r="D22161" t="s">
        <v>23500</v>
      </c>
      <c r="E22161" t="s">
        <v>44608</v>
      </c>
    </row>
    <row r="22162" spans="1:5">
      <c r="A22162" t="s">
        <v>6</v>
      </c>
      <c r="B22162" t="s">
        <v>22167</v>
      </c>
      <c r="C22162">
        <f>HYPERLINK("C:\Users\franc\OneDrive\Documentos\MALENTIN KARIME\BANCO CREDITO\FER LORCA en ROSITA (Rosita)\ASICOM\2009\NOVIEMBRE\CERTIFICADOS\LEONEL TORO MADRID.doc", "Abrir Documento")</f>
        <v>0</v>
      </c>
      <c r="D22162" t="s">
        <v>23500</v>
      </c>
      <c r="E22162" t="s">
        <v>44609</v>
      </c>
    </row>
    <row r="22163" spans="1:5">
      <c r="A22163" t="s">
        <v>6</v>
      </c>
      <c r="B22163" t="s">
        <v>22168</v>
      </c>
      <c r="C22163">
        <f>HYPERLINK("C:\Users\franc\OneDrive\Documentos\MALENTIN KARIME\BANCO CREDITO\FER LORCA en ROSITA (Rosita)\ASICOM\2009\NOVIEMBRE\CERTIFICADOS\JUDITH LAYANA PIZARRO.doc", "Abrir Documento")</f>
        <v>0</v>
      </c>
      <c r="D22163" t="s">
        <v>23500</v>
      </c>
      <c r="E22163" t="s">
        <v>44610</v>
      </c>
    </row>
    <row r="22164" spans="1:5">
      <c r="A22164" t="s">
        <v>6</v>
      </c>
      <c r="B22164" t="s">
        <v>22169</v>
      </c>
      <c r="C22164">
        <f>HYPERLINK("C:\Users\franc\OneDrive\Documentos\MALENTIN KARIME\BANCO CREDITO\FER LORCA en ROSITA (Rosita)\ASICOM\2009\NOVIEMBRE\CERTIFICADOS\jacob ortiz rojas.doc", "Abrir Documento")</f>
        <v>0</v>
      </c>
      <c r="D22164" t="s">
        <v>23500</v>
      </c>
      <c r="E22164" t="s">
        <v>44611</v>
      </c>
    </row>
    <row r="22165" spans="1:5">
      <c r="A22165" t="s">
        <v>6</v>
      </c>
      <c r="B22165" t="s">
        <v>22170</v>
      </c>
      <c r="C22165">
        <f>HYPERLINK("C:\Users\franc\OneDrive\Documentos\MALENTIN KARIME\BANCO CREDITO\FER LORCA en ROSITA (Rosita)\ASICOM\2009\NOVIEMBRE\CERTIFICADOS\GLADYS AGUAYO.doc", "Abrir Documento")</f>
        <v>0</v>
      </c>
      <c r="D22165" t="s">
        <v>23500</v>
      </c>
      <c r="E22165" t="s">
        <v>44612</v>
      </c>
    </row>
    <row r="22166" spans="1:5">
      <c r="A22166" t="s">
        <v>6</v>
      </c>
      <c r="B22166" t="s">
        <v>22171</v>
      </c>
      <c r="C22166">
        <f>HYPERLINK("C:\Users\franc\OneDrive\Documentos\MALENTIN KARIME\BANCO CREDITO\FER LORCA en ROSITA (Rosita)\ASICOM\2009\NOVIEMBRE\CERTIFICADOS\EDUARDO JARA DIAZ.doc", "Abrir Documento")</f>
        <v>0</v>
      </c>
      <c r="D22166" t="s">
        <v>23500</v>
      </c>
      <c r="E22166" t="s">
        <v>44613</v>
      </c>
    </row>
    <row r="22167" spans="1:5">
      <c r="A22167" t="s">
        <v>6</v>
      </c>
      <c r="B22167" t="s">
        <v>22172</v>
      </c>
      <c r="C22167">
        <f>HYPERLINK("C:\Users\franc\OneDrive\Documentos\MALENTIN KARIME\BANCO CREDITO\FER LORCA en ROSITA (Rosita)\ASICOM\2009\NOVIEMBRE\CERTIFICADOS\CESAR PEDREROS.doc", "Abrir Documento")</f>
        <v>0</v>
      </c>
      <c r="D22167" t="s">
        <v>23500</v>
      </c>
      <c r="E22167" t="s">
        <v>44614</v>
      </c>
    </row>
    <row r="22168" spans="1:5">
      <c r="A22168" t="s">
        <v>6</v>
      </c>
      <c r="B22168" t="s">
        <v>22173</v>
      </c>
      <c r="C22168">
        <f>HYPERLINK("C:\Users\franc\OneDrive\Documentos\MALENTIN KARIME\BANCO CREDITO\FER LORCA en ROSITA (Rosita)\ASICOM\2009\JULIO\CERTIF. JULIO\WILSON MONTALBAN ALVARADO.doc", "Abrir Documento")</f>
        <v>0</v>
      </c>
      <c r="D22168" t="s">
        <v>23500</v>
      </c>
      <c r="E22168" t="s">
        <v>44615</v>
      </c>
    </row>
    <row r="22169" spans="1:5">
      <c r="A22169" t="s">
        <v>6</v>
      </c>
      <c r="B22169" t="s">
        <v>22174</v>
      </c>
      <c r="C22169">
        <f>HYPERLINK("C:\Users\franc\OneDrive\Documentos\MALENTIN KARIME\BANCO CREDITO\FER LORCA en ROSITA (Rosita)\ASICOM\2009\JULIO\CERTIF. JULIO\TERESA VILLALOBOS CORTES.doc", "Abrir Documento")</f>
        <v>0</v>
      </c>
      <c r="D22169" t="s">
        <v>23500</v>
      </c>
      <c r="E22169" t="s">
        <v>44616</v>
      </c>
    </row>
    <row r="22170" spans="1:5">
      <c r="A22170" t="s">
        <v>6</v>
      </c>
      <c r="B22170" t="s">
        <v>22175</v>
      </c>
      <c r="C22170">
        <f>HYPERLINK("C:\Users\franc\OneDrive\Documentos\MALENTIN KARIME\BANCO CREDITO\FER LORCA en ROSITA (Rosita)\ASICOM\2009\JULIO\CERTIF. JULIO\RICARDO RAMIREZ ROJO.doc", "Abrir Documento")</f>
        <v>0</v>
      </c>
      <c r="D22170" t="s">
        <v>23500</v>
      </c>
      <c r="E22170" t="s">
        <v>44617</v>
      </c>
    </row>
    <row r="22171" spans="1:5">
      <c r="A22171" t="s">
        <v>6</v>
      </c>
      <c r="B22171" t="s">
        <v>22176</v>
      </c>
      <c r="C22171">
        <f>HYPERLINK("C:\Users\franc\OneDrive\Documentos\MALENTIN KARIME\BANCO CREDITO\FER LORCA en ROSITA (Rosita)\ASICOM\2009\JULIO\CERTIF. JULIO\PERCY ORTIZ  HERRERA.doc", "Abrir Documento")</f>
        <v>0</v>
      </c>
      <c r="D22171" t="s">
        <v>23500</v>
      </c>
      <c r="E22171" t="s">
        <v>44618</v>
      </c>
    </row>
    <row r="22172" spans="1:5">
      <c r="A22172" t="s">
        <v>6</v>
      </c>
      <c r="B22172" t="s">
        <v>22177</v>
      </c>
      <c r="C22172">
        <f>HYPERLINK("C:\Users\franc\OneDrive\Documentos\MALENTIN KARIME\BANCO CREDITO\FER LORCA en ROSITA (Rosita)\ASICOM\2009\JULIO\CERTIF. JULIO\MARIO MORGADO CASTILLO.doc", "Abrir Documento")</f>
        <v>0</v>
      </c>
      <c r="D22172" t="s">
        <v>23500</v>
      </c>
      <c r="E22172" t="s">
        <v>44619</v>
      </c>
    </row>
    <row r="22173" spans="1:5">
      <c r="A22173" t="s">
        <v>6</v>
      </c>
      <c r="B22173" t="s">
        <v>22178</v>
      </c>
      <c r="C22173">
        <f>HYPERLINK("C:\Users\franc\OneDrive\Documentos\MALENTIN KARIME\BANCO CREDITO\FER LORCA en ROSITA (Rosita)\ASICOM\2009\JULIO\CERTIF. JULIO\MARIA ARAYA ARAYA.doc", "Abrir Documento")</f>
        <v>0</v>
      </c>
      <c r="D22173" t="s">
        <v>23500</v>
      </c>
      <c r="E22173" t="s">
        <v>44620</v>
      </c>
    </row>
    <row r="22174" spans="1:5">
      <c r="A22174" t="s">
        <v>6</v>
      </c>
      <c r="B22174" t="s">
        <v>22179</v>
      </c>
      <c r="C22174">
        <f>HYPERLINK("C:\Users\franc\OneDrive\Documentos\MALENTIN KARIME\BANCO CREDITO\FER LORCA en ROSITA (Rosita)\ASICOM\2009\JULIO\CERTIF. JULIO\JUAN POBLETE ROJAS.doc", "Abrir Documento")</f>
        <v>0</v>
      </c>
      <c r="D22174" t="s">
        <v>23500</v>
      </c>
      <c r="E22174" t="s">
        <v>44621</v>
      </c>
    </row>
    <row r="22175" spans="1:5">
      <c r="A22175" t="s">
        <v>6</v>
      </c>
      <c r="B22175" t="s">
        <v>22180</v>
      </c>
      <c r="C22175">
        <f>HYPERLINK("C:\Users\franc\OneDrive\Documentos\MALENTIN KARIME\BANCO CREDITO\FER LORCA en ROSITA (Rosita)\ASICOM\2009\JULIO\CERTIF. JULIO\JORGE ROJAS MALEBRAN.doc", "Abrir Documento")</f>
        <v>0</v>
      </c>
      <c r="D22175" t="s">
        <v>23500</v>
      </c>
      <c r="E22175" t="s">
        <v>44622</v>
      </c>
    </row>
    <row r="22176" spans="1:5">
      <c r="A22176" t="s">
        <v>6</v>
      </c>
      <c r="B22176" t="s">
        <v>22181</v>
      </c>
      <c r="C22176">
        <f>HYPERLINK("C:\Users\franc\OneDrive\Documentos\MALENTIN KARIME\BANCO CREDITO\FER LORCA en ROSITA (Rosita)\ASICOM\2009\JULIO\CERTIF. JULIO\JOHANA DIAZ VARAS.doc", "Abrir Documento")</f>
        <v>0</v>
      </c>
      <c r="D22176" t="s">
        <v>23500</v>
      </c>
      <c r="E22176" t="s">
        <v>44623</v>
      </c>
    </row>
    <row r="22177" spans="1:5">
      <c r="A22177" t="s">
        <v>6</v>
      </c>
      <c r="B22177" t="s">
        <v>22182</v>
      </c>
      <c r="C22177">
        <f>HYPERLINK("C:\Users\franc\OneDrive\Documentos\MALENTIN KARIME\BANCO CREDITO\FER LORCA en ROSITA (Rosita)\ASICOM\2009\JULIO\CERTIF. JULIO\JESSICA ROJAS CASTILLO.doc", "Abrir Documento")</f>
        <v>0</v>
      </c>
      <c r="D22177" t="s">
        <v>23500</v>
      </c>
      <c r="E22177" t="s">
        <v>44624</v>
      </c>
    </row>
    <row r="22178" spans="1:5">
      <c r="A22178" t="s">
        <v>6</v>
      </c>
      <c r="B22178" t="s">
        <v>22183</v>
      </c>
      <c r="C22178">
        <f>HYPERLINK("C:\Users\franc\OneDrive\Documentos\MALENTIN KARIME\BANCO CREDITO\FER LORCA en ROSITA (Rosita)\ASICOM\2009\JULIO\CERTIF. JULIO\GABRIEL TAPIA JOFRE.doc", "Abrir Documento")</f>
        <v>0</v>
      </c>
      <c r="D22178" t="s">
        <v>23500</v>
      </c>
      <c r="E22178" t="s">
        <v>44625</v>
      </c>
    </row>
    <row r="22179" spans="1:5">
      <c r="A22179" t="s">
        <v>6</v>
      </c>
      <c r="B22179" t="s">
        <v>22184</v>
      </c>
      <c r="C22179">
        <f>HYPERLINK("C:\Users\franc\OneDrive\Documentos\MALENTIN KARIME\BANCO CREDITO\FER LORCA en ROSITA (Rosita)\ASICOM\2009\JULIO\CERTIF. JULIO\GUSTAVO GONZALEZ GONZALEZ.- 29 JUL. SERGIO CORTES.doc", "Abrir Documento")</f>
        <v>0</v>
      </c>
      <c r="D22179" t="s">
        <v>23500</v>
      </c>
      <c r="E22179" t="s">
        <v>44625</v>
      </c>
    </row>
    <row r="22180" spans="1:5">
      <c r="A22180" t="s">
        <v>6</v>
      </c>
      <c r="B22180" t="s">
        <v>22185</v>
      </c>
      <c r="C22180">
        <f>HYPERLINK("C:\Users\franc\OneDrive\Documentos\MALENTIN KARIME\BANCO CREDITO\FER LORCA en ROSITA (Rosita)\ASICOM\2009\JULIO\CERTIF. JULIO\DENILDA ROJAS ABALOS.doc", "Abrir Documento")</f>
        <v>0</v>
      </c>
      <c r="D22180" t="s">
        <v>23500</v>
      </c>
      <c r="E22180" t="s">
        <v>44626</v>
      </c>
    </row>
    <row r="22181" spans="1:5">
      <c r="A22181" t="s">
        <v>6</v>
      </c>
      <c r="B22181" t="s">
        <v>22186</v>
      </c>
      <c r="C22181">
        <f>HYPERLINK("C:\Users\franc\OneDrive\Documentos\MALENTIN KARIME\BANCO CREDITO\FER LORCA en ROSITA (Rosita)\ASICOM\2009\JULIO\CERTIF. JULIO\CARMEN PASTENE PASTENE.doc", "Abrir Documento")</f>
        <v>0</v>
      </c>
      <c r="D22181" t="s">
        <v>23500</v>
      </c>
      <c r="E22181" t="s">
        <v>44627</v>
      </c>
    </row>
    <row r="22182" spans="1:5">
      <c r="A22182" t="s">
        <v>6</v>
      </c>
      <c r="B22182" t="s">
        <v>22187</v>
      </c>
      <c r="C22182">
        <f>HYPERLINK("C:\Users\franc\OneDrive\Documentos\MALENTIN KARIME\BANCO CREDITO\FER LORCA en ROSITA (Rosita)\ASICOM\2009\JULIO\CERTIF. JULIO\ANA SANTANDER ROJAS.doc", "Abrir Documento")</f>
        <v>0</v>
      </c>
      <c r="D22182" t="s">
        <v>23500</v>
      </c>
      <c r="E22182" t="s">
        <v>44628</v>
      </c>
    </row>
    <row r="22183" spans="1:5">
      <c r="A22183" t="s">
        <v>6</v>
      </c>
      <c r="B22183" t="s">
        <v>22188</v>
      </c>
      <c r="C22183">
        <f>HYPERLINK("C:\Users\franc\OneDrive\Documentos\MALENTIN KARIME\BANCO CREDITO\FER LORCA en ROSITA (Rosita)\ASICOM\2009\AGOSTO\CERTIFICADOS\RUBEN CARVAJAL.doc", "Abrir Documento")</f>
        <v>0</v>
      </c>
      <c r="D22183" t="s">
        <v>23500</v>
      </c>
      <c r="E22183" t="s">
        <v>44629</v>
      </c>
    </row>
    <row r="22184" spans="1:5">
      <c r="A22184" t="s">
        <v>6</v>
      </c>
      <c r="B22184" t="s">
        <v>22189</v>
      </c>
      <c r="C22184">
        <f>HYPERLINK("C:\Users\franc\OneDrive\Documentos\MALENTIN KARIME\BANCO CREDITO\FER LORCA en ROSITA (Rosita)\ASICOM\2009\AGOSTO\CERTIFICADOS\DOMINGO VILLALOBOS VILLALOBOS.doc", "Abrir Documento")</f>
        <v>0</v>
      </c>
      <c r="D22184" t="s">
        <v>23500</v>
      </c>
      <c r="E22184" t="s">
        <v>44630</v>
      </c>
    </row>
    <row r="22185" spans="1:5">
      <c r="A22185" t="s">
        <v>6</v>
      </c>
      <c r="B22185" t="s">
        <v>22190</v>
      </c>
      <c r="C22185">
        <f>HYPERLINK("C:\Users\franc\OneDrive\Documentos\MALENTIN KARIME\BANCO CREDITO\FER LORCA en ROSITA (Rosita)\ASICOM\2009\AGOSTO\CERTIFICADOS\CECILIA MARGARITA.doc", "Abrir Documento")</f>
        <v>0</v>
      </c>
      <c r="D22185" t="s">
        <v>23500</v>
      </c>
      <c r="E22185" t="s">
        <v>44631</v>
      </c>
    </row>
    <row r="22186" spans="1:5">
      <c r="A22186" t="s">
        <v>6</v>
      </c>
      <c r="B22186" t="s">
        <v>22191</v>
      </c>
      <c r="C22186">
        <f>HYPERLINK("C:\Users\franc\OneDrive\Documentos\MALENTIN KARIME\BANCO CREDITO\FER LORCA en ROSITA (Rosita)\ASICOM\2009\AGOSTO\CERTIFICADOS\CARLOS FLORES MOLINA.doc", "Abrir Documento")</f>
        <v>0</v>
      </c>
      <c r="D22186" t="s">
        <v>23500</v>
      </c>
      <c r="E22186" t="s">
        <v>44632</v>
      </c>
    </row>
    <row r="22187" spans="1:5">
      <c r="A22187" t="s">
        <v>6</v>
      </c>
      <c r="B22187" t="s">
        <v>22192</v>
      </c>
      <c r="C22187">
        <f>HYPERLINK("C:\Users\franc\OneDrive\Documentos\MALENTIN KARIME\BANCO CREDITO\FER LORCA en ROSITA (Rosita)\ASICOM\RODRIGUEZ RODRIGUEZ SARITA.doc", "Abrir Documento")</f>
        <v>0</v>
      </c>
      <c r="D22187" t="s">
        <v>23500</v>
      </c>
      <c r="E22187" t="s">
        <v>44633</v>
      </c>
    </row>
    <row r="22188" spans="1:5">
      <c r="A22188" t="s">
        <v>6</v>
      </c>
      <c r="B22188" t="s">
        <v>22193</v>
      </c>
      <c r="C22188">
        <f>HYPERLINK("C:\Users\franc\OneDrive\Documentos\MALENTIN KARIME\BANCO CREDITO\FER LORCA en ROSITA (Rosita)\ASICOM\FS.doc", "Abrir Documento")</f>
        <v>0</v>
      </c>
      <c r="D22188" t="s">
        <v>23500</v>
      </c>
      <c r="E22188" t="s">
        <v>44634</v>
      </c>
    </row>
    <row r="22189" spans="1:5">
      <c r="A22189" t="s">
        <v>6</v>
      </c>
      <c r="B22189" t="s">
        <v>22194</v>
      </c>
      <c r="C22189">
        <f>HYPERLINK("C:\Users\franc\OneDrive\Documentos\MALENTIN KARIME\BANCO CREDITO\FER LORCA en ROSITA (Rosita)\ASICOM\CERTIFICACION.doc", "Abrir Documento")</f>
        <v>0</v>
      </c>
      <c r="D22189" t="s">
        <v>23500</v>
      </c>
      <c r="E22189" t="s">
        <v>44635</v>
      </c>
    </row>
    <row r="22190" spans="1:5">
      <c r="A22190" t="s">
        <v>6</v>
      </c>
      <c r="B22190" t="s">
        <v>22195</v>
      </c>
      <c r="C22190">
        <f>HYPERLINK("C:\Users\franc\OneDrive\Documentos\MALENTIN KARIME\BANCO CREDITO\FER LORCA en ROSITA (Rosita)\ASICOM\CERTIFICACION.- 2010.doc", "Abrir Documento")</f>
        <v>0</v>
      </c>
      <c r="D22190" t="s">
        <v>23500</v>
      </c>
      <c r="E22190" t="s">
        <v>44636</v>
      </c>
    </row>
    <row r="22191" spans="1:5">
      <c r="A22191" t="s">
        <v>6</v>
      </c>
      <c r="B22191" t="s">
        <v>22196</v>
      </c>
      <c r="C22191">
        <f>HYPERLINK("C:\Users\franc\OneDrive\Documentos\MALENTIN KARIME\BANCO CREDITO\FER LORCA en ROSITA (Rosita)\ASICOM\CERTIFICACION ANVERSO.doc", "Abrir Documento")</f>
        <v>0</v>
      </c>
      <c r="D22191" t="s">
        <v>23500</v>
      </c>
      <c r="E22191" t="s">
        <v>44637</v>
      </c>
    </row>
    <row r="22192" spans="1:5">
      <c r="A22192" t="s">
        <v>6</v>
      </c>
      <c r="B22192" t="s">
        <v>22197</v>
      </c>
      <c r="C22192">
        <f>HYPERLINK("C:\Users\franc\OneDrive\Documentos\MALENTIN KARIME\BANCO CREDITO\FER LORCA en ROSITA (Rosita)\ASICOM\CERTIFICACION 1 otra fecha.doc", "Abrir Documento")</f>
        <v>0</v>
      </c>
      <c r="D22192" t="s">
        <v>23500</v>
      </c>
      <c r="E22192" t="s">
        <v>44638</v>
      </c>
    </row>
    <row r="22193" spans="1:5">
      <c r="A22193" t="s">
        <v>6</v>
      </c>
      <c r="B22193" t="s">
        <v>22198</v>
      </c>
      <c r="C22193">
        <f>HYPERLINK("C:\Users\franc\OneDrive\Documentos\MALENTIN KARIME\BANCO CREDITO\FER LORCA en ROSITA (Rosita)\ARRIENDOS\AGRICOLAS\ENRIQUE VALDIVIA A SOC. VALDIVIA.- SEPT. 2010.-.doc", "Abrir Documento")</f>
        <v>0</v>
      </c>
      <c r="D22193" t="s">
        <v>23500</v>
      </c>
      <c r="E22193" t="s">
        <v>44639</v>
      </c>
    </row>
    <row r="22194" spans="1:5">
      <c r="A22194" t="s">
        <v>6</v>
      </c>
      <c r="B22194" t="s">
        <v>22199</v>
      </c>
      <c r="C22194">
        <f>HYPERLINK("C:\Users\franc\OneDrive\Documentos\MALENTIN KARIME\BANCO CREDITO\FER LORCA en ROSITA (Rosita)\ARRIENDOS\AGROTRANS a CANTA RANA.doc", "Abrir Documento")</f>
        <v>0</v>
      </c>
      <c r="D22194" t="s">
        <v>23500</v>
      </c>
      <c r="E22194" t="s">
        <v>44640</v>
      </c>
    </row>
    <row r="22195" spans="1:5">
      <c r="A22195" t="s">
        <v>6</v>
      </c>
      <c r="B22195" t="s">
        <v>22200</v>
      </c>
      <c r="C22195">
        <f>HYPERLINK("C:\Users\franc\OneDrive\Documentos\MALENTIN KARIME\BANCO CREDITO\FER LORCA en ROSITA (Rosita)\ARRIENDO MINEROS\TERMINO ARRIENDO MINA PUNITAQUI.- ROMELIO HONORES. CONST. LIRCAY.doc", "Abrir Documento")</f>
        <v>0</v>
      </c>
      <c r="D22195" t="s">
        <v>23500</v>
      </c>
      <c r="E22195" t="s">
        <v>44641</v>
      </c>
    </row>
    <row r="22196" spans="1:5">
      <c r="A22196" t="s">
        <v>6</v>
      </c>
      <c r="B22196" t="s">
        <v>22201</v>
      </c>
      <c r="C22196">
        <f>HYPERLINK("C:\Users\franc\OneDrive\Documentos\MALENTIN KARIME\BANCO CREDITO\FER LORCA en ROSITA (Rosita)\ARRIENDO MINEROS\ROMELIO HONORES (LA FARELLON) a EMPRESA CONST. LIRCAY Y CIA. LTDA.-.doc", "Abrir Documento")</f>
        <v>0</v>
      </c>
      <c r="D22196" t="s">
        <v>23500</v>
      </c>
      <c r="E22196" t="s">
        <v>44642</v>
      </c>
    </row>
    <row r="22197" spans="1:5">
      <c r="A22197" t="s">
        <v>6</v>
      </c>
      <c r="B22197" t="s">
        <v>22202</v>
      </c>
      <c r="C22197">
        <f>HYPERLINK("C:\Users\franc\OneDrive\Documentos\MALENTIN KARIME\BANCO CREDITO\FER LORCA en ROSITA (Rosita)\ANA LUISA TODO\YO\cmhtf hfpc.doc", "Abrir Documento")</f>
        <v>0</v>
      </c>
      <c r="D22197" t="s">
        <v>23500</v>
      </c>
      <c r="E22197" t="s">
        <v>44643</v>
      </c>
    </row>
    <row r="22198" spans="1:5">
      <c r="A22198" t="s">
        <v>6</v>
      </c>
      <c r="B22198" t="s">
        <v>22203</v>
      </c>
      <c r="C22198">
        <f>HYPERLINK("C:\Users\franc\OneDrive\Documentos\MALENTIN KARIME\BANCO CREDITO\FER LORCA en ROSITA (Rosita)\ANA LUISA TODO\VTR\RICARDO RISI  TERMINO ARRIENDO.doc", "Abrir Documento")</f>
        <v>0</v>
      </c>
      <c r="D22198" t="s">
        <v>23500</v>
      </c>
      <c r="E22198" t="s">
        <v>44644</v>
      </c>
    </row>
    <row r="22199" spans="1:5">
      <c r="A22199" t="s">
        <v>6</v>
      </c>
      <c r="B22199" t="s">
        <v>22204</v>
      </c>
      <c r="C22199">
        <f>HYPERLINK("C:\Users\franc\OneDrive\Documentos\MALENTIN KARIME\BANCO CREDITO\FER LORCA en ROSITA (Rosita)\ANA LUISA TODO\VTR\DECLARACION.DOC", "Abrir Documento")</f>
        <v>0</v>
      </c>
      <c r="D22199" t="s">
        <v>23500</v>
      </c>
      <c r="E22199" t="s">
        <v>44645</v>
      </c>
    </row>
    <row r="22200" spans="1:5">
      <c r="A22200" t="s">
        <v>6</v>
      </c>
      <c r="B22200" t="s">
        <v>22205</v>
      </c>
      <c r="C22200">
        <f>HYPERLINK("C:\Users\franc\OneDrive\Documentos\MALENTIN KARIME\BANCO CREDITO\FER LORCA en ROSITA (Rosita)\ANA LUISA TODO\VTR\PODER ESPECIAL.doc", "Abrir Documento")</f>
        <v>0</v>
      </c>
      <c r="D22200" t="s">
        <v>23500</v>
      </c>
      <c r="E22200" t="s">
        <v>44645</v>
      </c>
    </row>
    <row r="22201" spans="1:5">
      <c r="A22201" t="s">
        <v>6</v>
      </c>
      <c r="B22201" t="s">
        <v>22206</v>
      </c>
      <c r="C22201">
        <f>HYPERLINK("C:\Users\franc\OneDrive\Documentos\MALENTIN KARIME\BANCO CREDITO\FER LORCA en ROSITA (Rosita)\ANA LUISA TODO\VIVACOP\SERGIO CANIHUANTE  PET.doc", "Abrir Documento")</f>
        <v>0</v>
      </c>
      <c r="D22201" t="s">
        <v>23500</v>
      </c>
      <c r="E22201" t="s">
        <v>44646</v>
      </c>
    </row>
    <row r="22202" spans="1:5">
      <c r="A22202" t="s">
        <v>6</v>
      </c>
      <c r="B22202" t="s">
        <v>22207</v>
      </c>
      <c r="C22202">
        <f>HYPERLINK("C:\Users\franc\OneDrive\Documentos\MALENTIN KARIME\BANCO CREDITO\FER LORCA en ROSITA (Rosita)\ANA LUISA TODO\VTR\ARRENDAMIENTO - COM. EL POTRERO.doc", "Abrir Documento")</f>
        <v>0</v>
      </c>
      <c r="D22202" t="s">
        <v>23500</v>
      </c>
      <c r="E22202" t="s">
        <v>44646</v>
      </c>
    </row>
    <row r="22203" spans="1:5">
      <c r="A22203" t="s">
        <v>6</v>
      </c>
      <c r="B22203" t="s">
        <v>22208</v>
      </c>
      <c r="C22203">
        <f>HYPERLINK("C:\Users\franc\OneDrive\Documentos\MALENTIN KARIME\BANCO CREDITO\FER LORCA en ROSITA (Rosita)\ANA LUISA TODO\VIVACOP\OSCAR CORTES CORTES.doc", "Abrir Documento")</f>
        <v>0</v>
      </c>
      <c r="D22203" t="s">
        <v>23500</v>
      </c>
      <c r="E22203" t="s">
        <v>44647</v>
      </c>
    </row>
    <row r="22204" spans="1:5">
      <c r="A22204" t="s">
        <v>6</v>
      </c>
      <c r="B22204" t="s">
        <v>22209</v>
      </c>
      <c r="C22204">
        <f>HYPERLINK("C:\Users\franc\OneDrive\Documentos\MALENTIN KARIME\BANCO CREDITO\FER LORCA en ROSITA (Rosita)\ANA LUISA TODO\VIVACOP\MARIA CONTRERAS VEGA.doc", "Abrir Documento")</f>
        <v>0</v>
      </c>
      <c r="D22204" t="s">
        <v>23500</v>
      </c>
      <c r="E22204" t="s">
        <v>44648</v>
      </c>
    </row>
    <row r="22205" spans="1:5">
      <c r="A22205" t="s">
        <v>6</v>
      </c>
      <c r="B22205" t="s">
        <v>22210</v>
      </c>
      <c r="C22205">
        <f>HYPERLINK("C:\Users\franc\OneDrive\Documentos\MALENTIN KARIME\BANCO CREDITO\FER LORCA en ROSITA (Rosita)\ANA LUISA TODO\VERONICA FALCONE - TRINIDAD EXPORT\Yolanda -Parc1.doc", "Abrir Documento")</f>
        <v>0</v>
      </c>
      <c r="D22205" t="s">
        <v>23500</v>
      </c>
      <c r="E22205" t="s">
        <v>44649</v>
      </c>
    </row>
    <row r="22206" spans="1:5">
      <c r="A22206" t="s">
        <v>6</v>
      </c>
      <c r="B22206" t="s">
        <v>22211</v>
      </c>
      <c r="C22206">
        <f>HYPERLINK("C:\Users\franc\OneDrive\Documentos\MALENTIN KARIME\BANCO CREDITO\FER LORCA en ROSITA (Rosita)\ANA LUISA TODO\VERONICA FALCONE - TRINIDAD EXPORT\Yolanda - Parc.doc", "Abrir Documento")</f>
        <v>0</v>
      </c>
      <c r="D22206" t="s">
        <v>23500</v>
      </c>
      <c r="E22206" t="s">
        <v>44650</v>
      </c>
    </row>
    <row r="22207" spans="1:5">
      <c r="A22207" t="s">
        <v>6</v>
      </c>
      <c r="B22207" t="s">
        <v>22212</v>
      </c>
      <c r="C22207">
        <f>HYPERLINK("C:\Users\franc\OneDrive\Documentos\MALENTIN KARIME\BANCO CREDITO\FER LORCA en ROSITA (Rosita)\ANA LUISA TODO\VERONICA FALCONE - TRINIDAD EXPORT\Victoria - Parc.dos.doc", "Abrir Documento")</f>
        <v>0</v>
      </c>
      <c r="D22207" t="s">
        <v>23500</v>
      </c>
      <c r="E22207" t="s">
        <v>44651</v>
      </c>
    </row>
    <row r="22208" spans="1:5">
      <c r="A22208" t="s">
        <v>6</v>
      </c>
      <c r="B22208" t="s">
        <v>22213</v>
      </c>
      <c r="C22208">
        <f>HYPERLINK("C:\Users\franc\OneDrive\Documentos\MALENTIN KARIME\BANCO CREDITO\FER LORCA en ROSITA (Rosita)\ANA LUISA TODO\VERONICA FALCONE - TRINIDAD EXPORT\Yolanda - Aguas Camarico.doc", "Abrir Documento")</f>
        <v>0</v>
      </c>
      <c r="D22208" t="s">
        <v>23500</v>
      </c>
      <c r="E22208" t="s">
        <v>44651</v>
      </c>
    </row>
    <row r="22209" spans="1:5">
      <c r="A22209" t="s">
        <v>6</v>
      </c>
      <c r="B22209" t="s">
        <v>22214</v>
      </c>
      <c r="C22209">
        <f>HYPERLINK("C:\Users\franc\OneDrive\Documentos\MALENTIN KARIME\BANCO CREDITO\FER LORCA en ROSITA (Rosita)\ANA LUISA TODO\VERONICA FALCONE - TRINIDAD EXPORT\SOC. RALIN LIMITADA.doc", "Abrir Documento")</f>
        <v>0</v>
      </c>
      <c r="D22209" t="s">
        <v>23500</v>
      </c>
      <c r="E22209" t="s">
        <v>44652</v>
      </c>
    </row>
    <row r="22210" spans="1:5">
      <c r="A22210" t="s">
        <v>6</v>
      </c>
      <c r="B22210" t="s">
        <v>22215</v>
      </c>
      <c r="C22210">
        <f>HYPERLINK("C:\Users\franc\OneDrive\Documentos\MALENTIN KARIME\BANCO CREDITO\FER LORCA en ROSITA (Rosita)\ANA LUISA TODO\VERONICA FALCONE - TRINIDAD EXPORT\San Jorge - Parc.doc", "Abrir Documento")</f>
        <v>0</v>
      </c>
      <c r="D22210" t="s">
        <v>23500</v>
      </c>
      <c r="E22210" t="s">
        <v>44653</v>
      </c>
    </row>
    <row r="22211" spans="1:5">
      <c r="A22211" t="s">
        <v>6</v>
      </c>
      <c r="B22211" t="s">
        <v>22216</v>
      </c>
      <c r="C22211">
        <f>HYPERLINK("C:\Users\franc\OneDrive\Documentos\MALENTIN KARIME\BANCO CREDITO\FER LORCA en ROSITA (Rosita)\ANA LUISA TODO\VERONICA FALCONE - TRINIDAD EXPORT\San Jorge - Reserva.doc", "Abrir Documento")</f>
        <v>0</v>
      </c>
      <c r="D22211" t="s">
        <v>23500</v>
      </c>
      <c r="E22211" t="s">
        <v>44653</v>
      </c>
    </row>
    <row r="22212" spans="1:5">
      <c r="A22212" t="s">
        <v>6</v>
      </c>
      <c r="B22212" t="s">
        <v>22217</v>
      </c>
      <c r="C22212">
        <f>HYPERLINK("C:\Users\franc\OneDrive\Documentos\MALENTIN KARIME\BANCO CREDITO\FER LORCA en ROSITA (Rosita)\ANA LUISA TODO\VERONICA FALCONE - TRINIDAD EXPORT\San Jorge - Aguas Cogot.doc", "Abrir Documento")</f>
        <v>0</v>
      </c>
      <c r="D22212" t="s">
        <v>23500</v>
      </c>
      <c r="E22212" t="s">
        <v>44654</v>
      </c>
    </row>
    <row r="22213" spans="1:5">
      <c r="A22213" t="s">
        <v>6</v>
      </c>
      <c r="B22213" t="s">
        <v>22218</v>
      </c>
      <c r="C22213">
        <f>HYPERLINK("C:\Users\franc\OneDrive\Documentos\MALENTIN KARIME\BANCO CREDITO\FER LORCA en ROSITA (Rosita)\ANA LUISA TODO\VERONICA FALCONE - TRINIDAD EXPORT\Ralín  extracto psd.doc", "Abrir Documento")</f>
        <v>0</v>
      </c>
      <c r="D22213" t="s">
        <v>23500</v>
      </c>
      <c r="E22213" t="s">
        <v>44655</v>
      </c>
    </row>
    <row r="22214" spans="1:5">
      <c r="A22214" t="s">
        <v>6</v>
      </c>
      <c r="B22214" t="s">
        <v>22219</v>
      </c>
      <c r="C22214">
        <f>HYPERLINK("C:\Users\franc\OneDrive\Documentos\MALENTIN KARIME\BANCO CREDITO\FER LORCA en ROSITA (Rosita)\ANA LUISA TODO\VERONICA FALCONE - TRINIDAD EXPORT\La Mireya - Parc.doc", "Abrir Documento")</f>
        <v>0</v>
      </c>
      <c r="D22214" t="s">
        <v>23500</v>
      </c>
      <c r="E22214" t="s">
        <v>44656</v>
      </c>
    </row>
    <row r="22215" spans="1:5">
      <c r="A22215" t="s">
        <v>6</v>
      </c>
      <c r="B22215" t="s">
        <v>22220</v>
      </c>
      <c r="C22215">
        <f>HYPERLINK("C:\Users\franc\OneDrive\Documentos\MALENTIN KARIME\BANCO CREDITO\FER LORCA en ROSITA (Rosita)\ANA LUISA TODO\VERONICA CERDA\RECTIFICACION.doc", "Abrir Documento")</f>
        <v>0</v>
      </c>
      <c r="D22215" t="s">
        <v>23500</v>
      </c>
      <c r="E22215" t="s">
        <v>44657</v>
      </c>
    </row>
    <row r="22216" spans="1:5">
      <c r="A22216" t="s">
        <v>6</v>
      </c>
      <c r="B22216" t="s">
        <v>22221</v>
      </c>
      <c r="C22216">
        <f>HYPERLINK("C:\Users\franc\OneDrive\Documentos\MALENTIN KARIME\BANCO CREDITO\FER LORCA en ROSITA (Rosita)\ANA LUISA TODO\VEHICULOS PRIVADOS\EDUARDO HERNANDEZ.doc", "Abrir Documento")</f>
        <v>0</v>
      </c>
      <c r="D22216" t="s">
        <v>23500</v>
      </c>
      <c r="E22216" t="s">
        <v>44658</v>
      </c>
    </row>
    <row r="22217" spans="1:5">
      <c r="A22217" t="s">
        <v>6</v>
      </c>
      <c r="B22217" t="s">
        <v>22222</v>
      </c>
      <c r="C22217">
        <f>HYPERLINK("C:\Users\franc\OneDrive\Documentos\MALENTIN KARIME\BANCO CREDITO\FER LORCA en ROSITA (Rosita)\ANA LUISA TODO\VERONICA CERDA\BERNARDO LEON PARTICION}.doc", "Abrir Documento")</f>
        <v>0</v>
      </c>
      <c r="D22217" t="s">
        <v>23500</v>
      </c>
      <c r="E22217" t="s">
        <v>44658</v>
      </c>
    </row>
    <row r="22218" spans="1:5">
      <c r="A22218" t="s">
        <v>6</v>
      </c>
      <c r="B22218" t="s">
        <v>22223</v>
      </c>
      <c r="C22218">
        <f>HYPERLINK("C:\Users\franc\OneDrive\Documentos\MALENTIN KARIME\BANCO CREDITO\FER LORCA en ROSITA (Rosita)\ANA LUISA TODO\VARIOS\VISITA OCULAR.doc", "Abrir Documento")</f>
        <v>0</v>
      </c>
      <c r="D22218" t="s">
        <v>23500</v>
      </c>
      <c r="E22218" t="s">
        <v>44659</v>
      </c>
    </row>
    <row r="22219" spans="1:5">
      <c r="A22219" t="s">
        <v>6</v>
      </c>
      <c r="B22219" t="s">
        <v>22224</v>
      </c>
      <c r="C22219">
        <f>HYPERLINK("C:\Users\franc\OneDrive\Documentos\MALENTIN KARIME\BANCO CREDITO\FER LORCA en ROSITA (Rosita)\ANA LUISA TODO\VARIOS\WILSON GONZALEZ A JUAN CODOCEO.- JULIO 2010.doc", "Abrir Documento")</f>
        <v>0</v>
      </c>
      <c r="D22219" t="s">
        <v>23500</v>
      </c>
      <c r="E22219" t="s">
        <v>44659</v>
      </c>
    </row>
    <row r="22220" spans="1:5">
      <c r="A22220" t="s">
        <v>6</v>
      </c>
      <c r="B22220" t="s">
        <v>22225</v>
      </c>
      <c r="C22220">
        <f>HYPERLINK("C:\Users\franc\OneDrive\Documentos\MALENTIN KARIME\BANCO CREDITO\FER LORCA en ROSITA (Rosita)\ANA LUISA TODO\VARIOS\venta nicho.doc", "Abrir Documento")</f>
        <v>0</v>
      </c>
      <c r="D22220" t="s">
        <v>23500</v>
      </c>
      <c r="E22220" t="s">
        <v>44660</v>
      </c>
    </row>
    <row r="22221" spans="1:5">
      <c r="A22221" t="s">
        <v>6</v>
      </c>
      <c r="B22221" t="s">
        <v>22226</v>
      </c>
      <c r="C22221">
        <f>HYPERLINK("C:\Users\franc\OneDrive\Documentos\MALENTIN KARIME\BANCO CREDITO\FER LORCA en ROSITA (Rosita)\ANA LUISA TODO\VARIOS\VEHICULO FUERA PAIS.doc", "Abrir Documento")</f>
        <v>0</v>
      </c>
      <c r="D22221" t="s">
        <v>23500</v>
      </c>
      <c r="E22221" t="s">
        <v>44661</v>
      </c>
    </row>
    <row r="22222" spans="1:5">
      <c r="A22222" t="s">
        <v>6</v>
      </c>
      <c r="B22222" t="s">
        <v>22227</v>
      </c>
      <c r="C22222">
        <f>HYPERLINK("C:\Users\franc\OneDrive\Documentos\MALENTIN KARIME\BANCO CREDITO\FER LORCA en ROSITA (Rosita)\ANA LUISA TODO\VARIOS\TIO LINO.doc", "Abrir Documento")</f>
        <v>0</v>
      </c>
      <c r="D22222" t="s">
        <v>23500</v>
      </c>
      <c r="E22222" t="s">
        <v>44662</v>
      </c>
    </row>
    <row r="22223" spans="1:5">
      <c r="A22223" t="s">
        <v>6</v>
      </c>
      <c r="B22223" t="s">
        <v>22228</v>
      </c>
      <c r="C22223">
        <f>HYPERLINK("C:\Users\franc\OneDrive\Documentos\MALENTIN KARIME\BANCO CREDITO\FER LORCA en ROSITA (Rosita)\ANA LUISA TODO\VARIOS\TERMINO ARRIENDOP.doc", "Abrir Documento")</f>
        <v>0</v>
      </c>
      <c r="D22223" t="s">
        <v>23500</v>
      </c>
      <c r="E22223" t="s">
        <v>44663</v>
      </c>
    </row>
    <row r="22224" spans="1:5">
      <c r="A22224" t="s">
        <v>6</v>
      </c>
      <c r="B22224" t="s">
        <v>22229</v>
      </c>
      <c r="C22224">
        <f>HYPERLINK("C:\Users\franc\OneDrive\Documentos\MALENTIN KARIME\BANCO CREDITO\FER LORCA en ROSITA (Rosita)\ANA LUISA TODO\VARIOS\testigo (firma).doc", "Abrir Documento")</f>
        <v>0</v>
      </c>
      <c r="D22224" t="s">
        <v>23500</v>
      </c>
      <c r="E22224" t="s">
        <v>44663</v>
      </c>
    </row>
    <row r="22225" spans="1:5">
      <c r="A22225" t="s">
        <v>6</v>
      </c>
      <c r="B22225" t="s">
        <v>22230</v>
      </c>
      <c r="C22225">
        <f>HYPERLINK("C:\Users\franc\OneDrive\Documentos\MALENTIN KARIME\BANCO CREDITO\FER LORCA en ROSITA (Rosita)\ANA LUISA TODO\VARIOS\TASACION SOBRE ALIMENTOS.doc", "Abrir Documento")</f>
        <v>0</v>
      </c>
      <c r="D22225" t="s">
        <v>23500</v>
      </c>
      <c r="E22225" t="s">
        <v>44664</v>
      </c>
    </row>
    <row r="22226" spans="1:5">
      <c r="A22226" t="s">
        <v>6</v>
      </c>
      <c r="B22226" t="s">
        <v>22231</v>
      </c>
      <c r="C22226">
        <f>HYPERLINK("C:\Users\franc\OneDrive\Documentos\MALENTIN KARIME\BANCO CREDITO\FER LORCA en ROSITA (Rosita)\ANA LUISA TODO\VARIOS\SUC. JUAN BAUTISTA (CONTROL PISQUERO).doc", "Abrir Documento")</f>
        <v>0</v>
      </c>
      <c r="D22226" t="s">
        <v>23500</v>
      </c>
      <c r="E22226" t="s">
        <v>44665</v>
      </c>
    </row>
    <row r="22227" spans="1:5">
      <c r="A22227" t="s">
        <v>6</v>
      </c>
      <c r="B22227" t="s">
        <v>22232</v>
      </c>
      <c r="C22227">
        <f>HYPERLINK("C:\Users\franc\OneDrive\Documentos\MALENTIN KARIME\BANCO CREDITO\FER LORCA en ROSITA (Rosita)\ANA LUISA TODO\VARIOS\SUBARRIENDO MIGUEL TAPIA.doc", "Abrir Documento")</f>
        <v>0</v>
      </c>
      <c r="D22227" t="s">
        <v>23500</v>
      </c>
      <c r="E22227" t="s">
        <v>44666</v>
      </c>
    </row>
    <row r="22228" spans="1:5">
      <c r="A22228" t="s">
        <v>6</v>
      </c>
      <c r="B22228" t="s">
        <v>22233</v>
      </c>
      <c r="C22228">
        <f>HYPERLINK("C:\Users\franc\OneDrive\Documentos\MALENTIN KARIME\BANCO CREDITO\FER LORCA en ROSITA (Rosita)\ANA LUISA TODO\VARIOS\SOLICITUD ALZAMIENTO PROH. SERVIU.doc", "Abrir Documento")</f>
        <v>0</v>
      </c>
      <c r="D22228" t="s">
        <v>23500</v>
      </c>
      <c r="E22228" t="s">
        <v>44667</v>
      </c>
    </row>
    <row r="22229" spans="1:5">
      <c r="A22229" t="s">
        <v>6</v>
      </c>
      <c r="B22229" t="s">
        <v>22234</v>
      </c>
      <c r="C22229">
        <f>HYPERLINK("C:\Users\franc\OneDrive\Documentos\MALENTIN KARIME\BANCO CREDITO\FER LORCA en ROSITA (Rosita)\ANA LUISA TODO\VARIOS\SOCIEDAD DE HECHO.doc", "Abrir Documento")</f>
        <v>0</v>
      </c>
      <c r="D22229" t="s">
        <v>23500</v>
      </c>
      <c r="E22229" t="s">
        <v>44668</v>
      </c>
    </row>
    <row r="22230" spans="1:5">
      <c r="A22230" t="s">
        <v>6</v>
      </c>
      <c r="B22230" t="s">
        <v>22235</v>
      </c>
      <c r="C22230">
        <f>HYPERLINK("C:\Users\franc\OneDrive\Documentos\MALENTIN KARIME\BANCO CREDITO\FER LORCA en ROSITA (Rosita)\ANA LUISA TODO\VARIOS\SOCIEDAD DE HECHO Cyntia.doc", "Abrir Documento")</f>
        <v>0</v>
      </c>
      <c r="D22230" t="s">
        <v>23500</v>
      </c>
      <c r="E22230" t="s">
        <v>44669</v>
      </c>
    </row>
    <row r="22231" spans="1:5">
      <c r="A22231" t="s">
        <v>6</v>
      </c>
      <c r="B22231" t="s">
        <v>22236</v>
      </c>
      <c r="C22231">
        <f>HYPERLINK("C:\Users\franc\OneDrive\Documentos\MALENTIN KARIME\BANCO CREDITO\FER LORCA en ROSITA (Rosita)\ANA LUISA TODO\VARIOS\SOC. LA GREDA A INVERS. BOSMAN.doc", "Abrir Documento")</f>
        <v>0</v>
      </c>
      <c r="D22231" t="s">
        <v>23500</v>
      </c>
      <c r="E22231" t="s">
        <v>44670</v>
      </c>
    </row>
    <row r="22232" spans="1:5">
      <c r="A22232" t="s">
        <v>6</v>
      </c>
      <c r="B22232" t="s">
        <v>22237</v>
      </c>
      <c r="C22232">
        <f>HYPERLINK("C:\Users\franc\OneDrive\Documentos\MALENTIN KARIME\BANCO CREDITO\FER LORCA en ROSITA (Rosita)\ANA LUISA TODO\VARIOS\SOBRE.doc", "Abrir Documento")</f>
        <v>0</v>
      </c>
      <c r="D22232" t="s">
        <v>23500</v>
      </c>
      <c r="E22232" t="s">
        <v>44671</v>
      </c>
    </row>
    <row r="22233" spans="1:5">
      <c r="A22233" t="s">
        <v>6</v>
      </c>
      <c r="B22233" t="s">
        <v>22238</v>
      </c>
      <c r="C22233">
        <f>HYPERLINK("C:\Users\franc\OneDrive\Documentos\MALENTIN KARIME\BANCO CREDITO\FER LORCA en ROSITA (Rosita)\ANA LUISA TODO\VARIOS\SLM GRICELL A VICTOR VERGARA.doc", "Abrir Documento")</f>
        <v>0</v>
      </c>
      <c r="D22233" t="s">
        <v>23500</v>
      </c>
      <c r="E22233" t="s">
        <v>44672</v>
      </c>
    </row>
    <row r="22234" spans="1:5">
      <c r="A22234" t="s">
        <v>6</v>
      </c>
      <c r="B22234" t="s">
        <v>22239</v>
      </c>
      <c r="C22234">
        <f>HYPERLINK("C:\Users\franc\OneDrive\Documentos\MALENTIN KARIME\BANCO CREDITO\FER LORCA en ROSITA (Rosita)\ANA LUISA TODO\VARIOS\SEPARACION BIENES.doc", "Abrir Documento")</f>
        <v>0</v>
      </c>
      <c r="D22234" t="s">
        <v>23500</v>
      </c>
      <c r="E22234" t="s">
        <v>44673</v>
      </c>
    </row>
    <row r="22235" spans="1:5">
      <c r="A22235" t="s">
        <v>6</v>
      </c>
      <c r="B22235" t="s">
        <v>22240</v>
      </c>
      <c r="C22235">
        <f>HYPERLINK("C:\Users\franc\OneDrive\Documentos\MALENTIN KARIME\BANCO CREDITO\FER LORCA en ROSITA (Rosita)\ANA LUISA TODO\VARIOS\RESUMEN LIBRO.doc", "Abrir Documento")</f>
        <v>0</v>
      </c>
      <c r="D22235" t="s">
        <v>23500</v>
      </c>
      <c r="E22235" t="s">
        <v>44674</v>
      </c>
    </row>
    <row r="22236" spans="1:5">
      <c r="A22236" t="s">
        <v>6</v>
      </c>
      <c r="B22236" t="s">
        <v>22241</v>
      </c>
      <c r="C22236">
        <f>HYPERLINK("C:\Users\franc\OneDrive\Documentos\MALENTIN KARIME\BANCO CREDITO\FER LORCA en ROSITA (Rosita)\ANA LUISA TODO\VARIOS\RESCILIACION CONTRATO DE ARRENDQMIENOT.doc", "Abrir Documento")</f>
        <v>0</v>
      </c>
      <c r="D22236" t="s">
        <v>23500</v>
      </c>
      <c r="E22236" t="s">
        <v>44675</v>
      </c>
    </row>
    <row r="22237" spans="1:5">
      <c r="A22237" t="s">
        <v>6</v>
      </c>
      <c r="B22237" t="s">
        <v>22242</v>
      </c>
      <c r="C22237">
        <f>HYPERLINK("C:\Users\franc\OneDrive\Documentos\MALENTIN KARIME\BANCO CREDITO\FER LORCA en ROSITA (Rosita)\ANA LUISA TODO\VARIOS\RECIBO JANI.doc", "Abrir Documento")</f>
        <v>0</v>
      </c>
      <c r="D22237" t="s">
        <v>23500</v>
      </c>
      <c r="E22237" t="s">
        <v>44676</v>
      </c>
    </row>
    <row r="22238" spans="1:5">
      <c r="A22238" t="s">
        <v>6</v>
      </c>
      <c r="B22238" t="s">
        <v>22243</v>
      </c>
      <c r="C22238">
        <f>HYPERLINK("C:\Users\franc\OneDrive\Documentos\MALENTIN KARIME\BANCO CREDITO\FER LORCA en ROSITA (Rosita)\ANA LUISA TODO\VARIOS\RECIBO INSTRUCCIONES.doc", "Abrir Documento")</f>
        <v>0</v>
      </c>
      <c r="D22238" t="s">
        <v>23500</v>
      </c>
      <c r="E22238" t="s">
        <v>44677</v>
      </c>
    </row>
    <row r="22239" spans="1:5">
      <c r="A22239" t="s">
        <v>6</v>
      </c>
      <c r="B22239" t="s">
        <v>22244</v>
      </c>
      <c r="C22239">
        <f>HYPERLINK("C:\Users\franc\OneDrive\Documentos\MALENTIN KARIME\BANCO CREDITO\FER LORCA en ROSITA (Rosita)\ANA LUISA TODO\VARIOS\RECIBO DE DINERO.doc", "Abrir Documento")</f>
        <v>0</v>
      </c>
      <c r="D22239" t="s">
        <v>23500</v>
      </c>
      <c r="E22239" t="s">
        <v>44678</v>
      </c>
    </row>
    <row r="22240" spans="1:5">
      <c r="A22240" t="s">
        <v>6</v>
      </c>
      <c r="B22240" t="s">
        <v>22245</v>
      </c>
      <c r="C22240">
        <f>HYPERLINK("C:\Users\franc\OneDrive\Documentos\MALENTIN KARIME\BANCO CREDITO\FER LORCA en ROSITA (Rosita)\ANA LUISA TODO\VARIOS\RECIBO DE DINERO ANDRES SUAREZ.doc", "Abrir Documento")</f>
        <v>0</v>
      </c>
      <c r="D22240" t="s">
        <v>23500</v>
      </c>
      <c r="E22240" t="s">
        <v>44679</v>
      </c>
    </row>
    <row r="22241" spans="1:5">
      <c r="A22241" t="s">
        <v>6</v>
      </c>
      <c r="B22241" t="s">
        <v>22246</v>
      </c>
      <c r="C22241">
        <f>HYPERLINK("C:\Users\franc\OneDrive\Documentos\MALENTIN KARIME\BANCO CREDITO\FER LORCA en ROSITA (Rosita)\ANA LUISA TODO\VARIOS\RECIBO DE ARRIENDO.doc", "Abrir Documento")</f>
        <v>0</v>
      </c>
      <c r="D22241" t="s">
        <v>23500</v>
      </c>
      <c r="E22241" t="s">
        <v>44680</v>
      </c>
    </row>
    <row r="22242" spans="1:5">
      <c r="A22242" t="s">
        <v>6</v>
      </c>
      <c r="B22242" t="s">
        <v>22247</v>
      </c>
      <c r="C22242">
        <f>HYPERLINK("C:\Users\franc\OneDrive\Documentos\MALENTIN KARIME\BANCO CREDITO\FER LORCA en ROSITA (Rosita)\ANA LUISA TODO\VARIOS\RALIN.doc", "Abrir Documento")</f>
        <v>0</v>
      </c>
      <c r="D22242" t="s">
        <v>23500</v>
      </c>
      <c r="E22242" t="s">
        <v>44681</v>
      </c>
    </row>
    <row r="22243" spans="1:5">
      <c r="A22243" t="s">
        <v>6</v>
      </c>
      <c r="B22243" t="s">
        <v>22248</v>
      </c>
      <c r="C22243">
        <f>HYPERLINK("C:\Users\franc\OneDrive\Documentos\MALENTIN KARIME\BANCO CREDITO\FER LORCA en ROSITA (Rosita)\ANA LUISA TODO\VARIOS\PROTOCOLIZADO AUTORIZACION.doc", "Abrir Documento")</f>
        <v>0</v>
      </c>
      <c r="D22243" t="s">
        <v>23500</v>
      </c>
      <c r="E22243" t="s">
        <v>44682</v>
      </c>
    </row>
    <row r="22244" spans="1:5">
      <c r="A22244" t="s">
        <v>6</v>
      </c>
      <c r="B22244" t="s">
        <v>22249</v>
      </c>
      <c r="C22244">
        <f>HYPERLINK("C:\Users\franc\OneDrive\Documentos\MALENTIN KARIME\BANCO CREDITO\FER LORCA en ROSITA (Rosita)\ANA LUISA TODO\VARIOS\PROTOCOLIZADO AUTORIZACION (LEGAJO.doc", "Abrir Documento")</f>
        <v>0</v>
      </c>
      <c r="D22244" t="s">
        <v>23500</v>
      </c>
      <c r="E22244" t="s">
        <v>44683</v>
      </c>
    </row>
    <row r="22245" spans="1:5">
      <c r="A22245" t="s">
        <v>6</v>
      </c>
      <c r="B22245" t="s">
        <v>22250</v>
      </c>
      <c r="C22245">
        <f>HYPERLINK("C:\Users\franc\OneDrive\Documentos\MALENTIN KARIME\BANCO CREDITO\FER LORCA en ROSITA (Rosita)\ANA LUISA TODO\VARIOS\PODER SIMPLE.doc", "Abrir Documento")</f>
        <v>0</v>
      </c>
      <c r="D22245" t="s">
        <v>23500</v>
      </c>
      <c r="E22245" t="s">
        <v>44684</v>
      </c>
    </row>
    <row r="22246" spans="1:5">
      <c r="A22246" t="s">
        <v>6</v>
      </c>
      <c r="B22246" t="s">
        <v>22251</v>
      </c>
      <c r="C22246">
        <f>HYPERLINK("C:\Users\franc\OneDrive\Documentos\MALENTIN KARIME\BANCO CREDITO\FER LORCA en ROSITA (Rosita)\ANA LUISA TODO\VARIOS\PODER SII PATRICIO PINTO Y OTROS.doc", "Abrir Documento")</f>
        <v>0</v>
      </c>
      <c r="D22246" t="s">
        <v>23500</v>
      </c>
      <c r="E22246" t="s">
        <v>44685</v>
      </c>
    </row>
    <row r="22247" spans="1:5">
      <c r="A22247" t="s">
        <v>6</v>
      </c>
      <c r="B22247" t="s">
        <v>22252</v>
      </c>
      <c r="C22247">
        <f>HYPERLINK("C:\Users\franc\OneDrive\Documentos\MALENTIN KARIME\BANCO CREDITO\FER LORCA en ROSITA (Rosita)\ANA LUISA TODO\VARIOS\PODER SIMPLE Y AUTORIZACION.doc", "Abrir Documento")</f>
        <v>0</v>
      </c>
      <c r="D22247" t="s">
        <v>23500</v>
      </c>
      <c r="E22247" t="s">
        <v>44685</v>
      </c>
    </row>
    <row r="22248" spans="1:5">
      <c r="A22248" t="s">
        <v>6</v>
      </c>
      <c r="B22248" t="s">
        <v>22253</v>
      </c>
      <c r="C22248">
        <f>HYPERLINK("C:\Users\franc\OneDrive\Documentos\MALENTIN KARIME\BANCO CREDITO\FER LORCA en ROSITA (Rosita)\ANA LUISA TODO\VARIOS\PODER SII carmen gloria pinto.doc", "Abrir Documento")</f>
        <v>0</v>
      </c>
      <c r="D22248" t="s">
        <v>23500</v>
      </c>
      <c r="E22248" t="s">
        <v>44686</v>
      </c>
    </row>
    <row r="22249" spans="1:5">
      <c r="A22249" t="s">
        <v>6</v>
      </c>
      <c r="B22249" t="s">
        <v>22254</v>
      </c>
      <c r="C22249">
        <f>HYPERLINK("C:\Users\franc\OneDrive\Documentos\MALENTIN KARIME\BANCO CREDITO\FER LORCA en ROSITA (Rosita)\ANA LUISA TODO\VARIOS\PODER MARIO ARACENA.doc", "Abrir Documento")</f>
        <v>0</v>
      </c>
      <c r="D22249" t="s">
        <v>23500</v>
      </c>
      <c r="E22249" t="s">
        <v>44687</v>
      </c>
    </row>
    <row r="22250" spans="1:5">
      <c r="A22250" t="s">
        <v>6</v>
      </c>
      <c r="B22250" t="s">
        <v>22255</v>
      </c>
      <c r="C22250">
        <f>HYPERLINK("C:\Users\franc\OneDrive\Documentos\MALENTIN KARIME\BANCO CREDITO\FER LORCA en ROSITA (Rosita)\ANA LUISA TODO\VARIOS\PODER MINAS.doc", "Abrir Documento")</f>
        <v>0</v>
      </c>
      <c r="D22250" t="s">
        <v>23500</v>
      </c>
      <c r="E22250" t="s">
        <v>44687</v>
      </c>
    </row>
    <row r="22251" spans="1:5">
      <c r="A22251" t="s">
        <v>6</v>
      </c>
      <c r="B22251" t="s">
        <v>22256</v>
      </c>
      <c r="C22251">
        <f>HYPERLINK("C:\Users\franc\OneDrive\Documentos\MALENTIN KARIME\BANCO CREDITO\FER LORCA en ROSITA (Rosita)\ANA LUISA TODO\VARIOS\PODER  VENTA DE VEHICULO Cyntia.doc", "Abrir Documento")</f>
        <v>0</v>
      </c>
      <c r="D22251" t="s">
        <v>23500</v>
      </c>
      <c r="E22251" t="s">
        <v>44688</v>
      </c>
    </row>
    <row r="22252" spans="1:5">
      <c r="A22252" t="s">
        <v>6</v>
      </c>
      <c r="B22252" t="s">
        <v>22257</v>
      </c>
      <c r="C22252">
        <f>HYPERLINK("C:\Users\franc\OneDrive\Documentos\MALENTIN KARIME\BANCO CREDITO\FER LORCA en ROSITA (Rosita)\ANA LUISA TODO\VARIOS\PERSONERIA BANCO SANTANDER.doc", "Abrir Documento")</f>
        <v>0</v>
      </c>
      <c r="D22252" t="s">
        <v>23500</v>
      </c>
      <c r="E22252" t="s">
        <v>44689</v>
      </c>
    </row>
    <row r="22253" spans="1:5">
      <c r="A22253" t="s">
        <v>6</v>
      </c>
      <c r="B22253" t="s">
        <v>22258</v>
      </c>
      <c r="C22253">
        <f>HYPERLINK("C:\Users\franc\OneDrive\Documentos\MALENTIN KARIME\BANCO CREDITO\FER LORCA en ROSITA (Rosita)\ANA LUISA TODO\VARIOS\PERSONERIA BANCO CHILE.doc", "Abrir Documento")</f>
        <v>0</v>
      </c>
      <c r="D22253" t="s">
        <v>23500</v>
      </c>
      <c r="E22253" t="s">
        <v>44690</v>
      </c>
    </row>
    <row r="22254" spans="1:5">
      <c r="A22254" t="s">
        <v>6</v>
      </c>
      <c r="B22254" t="s">
        <v>22259</v>
      </c>
      <c r="C22254">
        <f>HYPERLINK("C:\Users\franc\OneDrive\Documentos\MALENTIN KARIME\BANCO CREDITO\FER LORCA en ROSITA (Rosita)\ANA LUISA TODO\VARIOS\PATRICIO PINTO SOLO.doc", "Abrir Documento")</f>
        <v>0</v>
      </c>
      <c r="D22254" t="s">
        <v>23500</v>
      </c>
      <c r="E22254" t="s">
        <v>44691</v>
      </c>
    </row>
    <row r="22255" spans="1:5">
      <c r="A22255" t="s">
        <v>6</v>
      </c>
      <c r="B22255" t="s">
        <v>22260</v>
      </c>
      <c r="C22255">
        <f>HYPERLINK("C:\Users\franc\OneDrive\Documentos\MALENTIN KARIME\BANCO CREDITO\FER LORCA en ROSITA (Rosita)\ANA LUISA TODO\VARIOS\PATRICIO PINTO AUTORIZACION.doc", "Abrir Documento")</f>
        <v>0</v>
      </c>
      <c r="D22255" t="s">
        <v>23500</v>
      </c>
      <c r="E22255" t="s">
        <v>44692</v>
      </c>
    </row>
    <row r="22256" spans="1:5">
      <c r="A22256" t="s">
        <v>6</v>
      </c>
      <c r="B22256" t="s">
        <v>22261</v>
      </c>
      <c r="C22256">
        <f>HYPERLINK("C:\Users\franc\OneDrive\Documentos\MALENTIN KARIME\BANCO CREDITO\FER LORCA en ROSITA (Rosita)\ANA LUISA TODO\VARIOS\PAGARE TIO LINO.doc", "Abrir Documento")</f>
        <v>0</v>
      </c>
      <c r="D22256" t="s">
        <v>23500</v>
      </c>
      <c r="E22256" t="s">
        <v>44693</v>
      </c>
    </row>
    <row r="22257" spans="1:5">
      <c r="A22257" t="s">
        <v>6</v>
      </c>
      <c r="B22257" t="s">
        <v>22262</v>
      </c>
      <c r="C22257">
        <f>HYPERLINK("C:\Users\franc\OneDrive\Documentos\MALENTIN KARIME\BANCO CREDITO\FER LORCA en ROSITA (Rosita)\ANA LUISA TODO\VARIOS\PAGO IMPUESTO MARUBENI.doc", "Abrir Documento")</f>
        <v>0</v>
      </c>
      <c r="D22257" t="s">
        <v>23500</v>
      </c>
      <c r="E22257" t="s">
        <v>44693</v>
      </c>
    </row>
    <row r="22258" spans="1:5">
      <c r="A22258" t="s">
        <v>6</v>
      </c>
      <c r="B22258" t="s">
        <v>22263</v>
      </c>
      <c r="C22258">
        <f>HYPERLINK("C:\Users\franc\OneDrive\Documentos\MALENTIN KARIME\BANCO CREDITO\FER LORCA en ROSITA (Rosita)\ANA LUISA TODO\VARIOS\PAGARE ROXANA LARRONDO.doc", "Abrir Documento")</f>
        <v>0</v>
      </c>
      <c r="D22258" t="s">
        <v>23500</v>
      </c>
      <c r="E22258" t="s">
        <v>44694</v>
      </c>
    </row>
    <row r="22259" spans="1:5">
      <c r="A22259" t="s">
        <v>6</v>
      </c>
      <c r="B22259" t="s">
        <v>22264</v>
      </c>
      <c r="C22259">
        <f>HYPERLINK("C:\Users\franc\OneDrive\Documentos\MALENTIN KARIME\BANCO CREDITO\FER LORCA en ROSITA (Rosita)\ANA LUISA TODO\VARIOS\PAGare modelo.doc", "Abrir Documento")</f>
        <v>0</v>
      </c>
      <c r="D22259" t="s">
        <v>23500</v>
      </c>
      <c r="E22259" t="s">
        <v>44695</v>
      </c>
    </row>
    <row r="22260" spans="1:5">
      <c r="A22260" t="s">
        <v>6</v>
      </c>
      <c r="B22260" t="s">
        <v>22265</v>
      </c>
      <c r="C22260">
        <f>HYPERLINK("C:\Users\franc\OneDrive\Documentos\MALENTIN KARIME\BANCO CREDITO\FER LORCA en ROSITA (Rosita)\ANA LUISA TODO\VARIOS\PAGARE A PLAZO.doc", "Abrir Documento")</f>
        <v>0</v>
      </c>
      <c r="D22260" t="s">
        <v>23500</v>
      </c>
      <c r="E22260" t="s">
        <v>44696</v>
      </c>
    </row>
    <row r="22261" spans="1:5">
      <c r="A22261" t="s">
        <v>6</v>
      </c>
      <c r="B22261" t="s">
        <v>22266</v>
      </c>
      <c r="C22261">
        <f>HYPERLINK("C:\Users\franc\OneDrive\Documentos\MALENTIN KARIME\BANCO CREDITO\FER LORCA en ROSITA (Rosita)\ANA LUISA TODO\VARIOS\PAGARE A LA VISTA.doc", "Abrir Documento")</f>
        <v>0</v>
      </c>
      <c r="D22261" t="s">
        <v>23500</v>
      </c>
      <c r="E22261" t="s">
        <v>44697</v>
      </c>
    </row>
    <row r="22262" spans="1:5">
      <c r="A22262" t="s">
        <v>6</v>
      </c>
      <c r="B22262" t="s">
        <v>22267</v>
      </c>
      <c r="C22262">
        <f>HYPERLINK("C:\Users\franc\OneDrive\Documentos\MALENTIN KARIME\BANCO CREDITO\FER LORCA en ROSITA (Rosita)\ANA LUISA TODO\VARIOS\notificacion.doc", "Abrir Documento")</f>
        <v>0</v>
      </c>
      <c r="D22262" t="s">
        <v>23500</v>
      </c>
      <c r="E22262" t="s">
        <v>44698</v>
      </c>
    </row>
    <row r="22263" spans="1:5">
      <c r="A22263" t="s">
        <v>6</v>
      </c>
      <c r="B22263" t="s">
        <v>22268</v>
      </c>
      <c r="C22263">
        <f>HYPERLINK("C:\Users\franc\OneDrive\Documentos\MALENTIN KARIME\BANCO CREDITO\FER LORCA en ROSITA (Rosita)\ANA LUISA TODO\VARIOS\notificacion LOGROS.doc", "Abrir Documento")</f>
        <v>0</v>
      </c>
      <c r="D22263" t="s">
        <v>23500</v>
      </c>
      <c r="E22263" t="s">
        <v>44699</v>
      </c>
    </row>
    <row r="22264" spans="1:5">
      <c r="A22264" t="s">
        <v>6</v>
      </c>
      <c r="B22264" t="s">
        <v>22269</v>
      </c>
      <c r="C22264">
        <f>HYPERLINK("C:\Users\franc\OneDrive\Documentos\MALENTIN KARIME\BANCO CREDITO\FER LORCA en ROSITA (Rosita)\ANA LUISA TODO\VARIOS\notificacion 2.doc", "Abrir Documento")</f>
        <v>0</v>
      </c>
      <c r="D22264" t="s">
        <v>23500</v>
      </c>
      <c r="E22264" t="s">
        <v>44700</v>
      </c>
    </row>
    <row r="22265" spans="1:5">
      <c r="A22265" t="s">
        <v>6</v>
      </c>
      <c r="B22265" t="s">
        <v>22270</v>
      </c>
      <c r="C22265">
        <f>HYPERLINK("C:\Users\franc\OneDrive\Documentos\MALENTIN KARIME\BANCO CREDITO\FER LORCA en ROSITA (Rosita)\ANA LUISA TODO\VARIOS\nota al margen.doc", "Abrir Documento")</f>
        <v>0</v>
      </c>
      <c r="D22265" t="s">
        <v>23500</v>
      </c>
      <c r="E22265" t="s">
        <v>44701</v>
      </c>
    </row>
    <row r="22266" spans="1:5">
      <c r="A22266" t="s">
        <v>6</v>
      </c>
      <c r="B22266" t="s">
        <v>22271</v>
      </c>
      <c r="C22266">
        <f>HYPERLINK("C:\Users\franc\OneDrive\Documentos\MALENTIN KARIME\BANCO CREDITO\FER LORCA en ROSITA (Rosita)\ANA LUISA TODO\VARIOS\nota al margen RATIFICACION.doc", "Abrir Documento")</f>
        <v>0</v>
      </c>
      <c r="D22266" t="s">
        <v>23500</v>
      </c>
      <c r="E22266" t="s">
        <v>44702</v>
      </c>
    </row>
    <row r="22267" spans="1:5">
      <c r="A22267" t="s">
        <v>6</v>
      </c>
      <c r="B22267" t="s">
        <v>22272</v>
      </c>
      <c r="C22267">
        <f>HYPERLINK("C:\Users\franc\OneDrive\Documentos\MALENTIN KARIME\BANCO CREDITO\FER LORCA en ROSITA (Rosita)\ANA LUISA TODO\VARIOS\nota al margen 1.doc", "Abrir Documento")</f>
        <v>0</v>
      </c>
      <c r="D22267" t="s">
        <v>23500</v>
      </c>
      <c r="E22267" t="s">
        <v>44703</v>
      </c>
    </row>
    <row r="22268" spans="1:5">
      <c r="A22268" t="s">
        <v>6</v>
      </c>
      <c r="B22268" t="s">
        <v>22273</v>
      </c>
      <c r="C22268">
        <f>HYPERLINK("C:\Users\franc\OneDrive\Documentos\MALENTIN KARIME\BANCO CREDITO\FER LORCA en ROSITA (Rosita)\ANA LUISA TODO\VARIOS\nota al margen impuesto vehiculo.doc", "Abrir Documento")</f>
        <v>0</v>
      </c>
      <c r="D22268" t="s">
        <v>23500</v>
      </c>
      <c r="E22268" t="s">
        <v>44703</v>
      </c>
    </row>
    <row r="22269" spans="1:5">
      <c r="A22269" t="s">
        <v>6</v>
      </c>
      <c r="B22269" t="s">
        <v>22274</v>
      </c>
      <c r="C22269">
        <f>HYPERLINK("C:\Users\franc\OneDrive\Documentos\MALENTIN KARIME\BANCO CREDITO\FER LORCA en ROSITA (Rosita)\ANA LUISA TODO\VARIOS\MODELO  FORMULARIO 24 MUTUO A LA VISTA.doc", "Abrir Documento")</f>
        <v>0</v>
      </c>
      <c r="D22269" t="s">
        <v>23500</v>
      </c>
      <c r="E22269" t="s">
        <v>44704</v>
      </c>
    </row>
    <row r="22270" spans="1:5">
      <c r="A22270" t="s">
        <v>6</v>
      </c>
      <c r="B22270" t="s">
        <v>22275</v>
      </c>
      <c r="C22270">
        <f>HYPERLINK("C:\Users\franc\OneDrive\Documentos\MALENTIN KARIME\BANCO CREDITO\FER LORCA en ROSITA (Rosita)\ANA LUISA TODO\VARIOS\MODELO   FORMULARIO  24.doc", "Abrir Documento")</f>
        <v>0</v>
      </c>
      <c r="D22270" t="s">
        <v>23500</v>
      </c>
      <c r="E22270" t="s">
        <v>44705</v>
      </c>
    </row>
    <row r="22271" spans="1:5">
      <c r="A22271" t="s">
        <v>6</v>
      </c>
      <c r="B22271" t="s">
        <v>22276</v>
      </c>
      <c r="C22271">
        <f>HYPERLINK("C:\Users\franc\OneDrive\Documentos\MALENTIN KARIME\BANCO CREDITO\FER LORCA en ROSITA (Rosita)\ANA LUISA TODO\VARIOS\MODELO   FORMULARIO  24 NORA.doc", "Abrir Documento")</f>
        <v>0</v>
      </c>
      <c r="D22271" t="s">
        <v>23500</v>
      </c>
      <c r="E22271" t="s">
        <v>44706</v>
      </c>
    </row>
    <row r="22272" spans="1:5">
      <c r="A22272" t="s">
        <v>6</v>
      </c>
      <c r="B22272" t="s">
        <v>22277</v>
      </c>
      <c r="C22272">
        <f>HYPERLINK("C:\Users\franc\OneDrive\Documentos\MALENTIN KARIME\BANCO CREDITO\FER LORCA en ROSITA (Rosita)\ANA LUISA TODO\VARIOS\MODELO   FORMULARIO  24 MAURICIO.doc", "Abrir Documento")</f>
        <v>0</v>
      </c>
      <c r="D22272" t="s">
        <v>23500</v>
      </c>
      <c r="E22272" t="s">
        <v>44707</v>
      </c>
    </row>
    <row r="22273" spans="1:5">
      <c r="A22273" t="s">
        <v>6</v>
      </c>
      <c r="B22273" t="s">
        <v>22278</v>
      </c>
      <c r="C22273">
        <f>HYPERLINK("C:\Users\franc\OneDrive\Documentos\MALENTIN KARIME\BANCO CREDITO\FER LORCA en ROSITA (Rosita)\ANA LUISA TODO\VARIOS\MODELO   FORMULARIO  24  TRES.doc", "Abrir Documento")</f>
        <v>0</v>
      </c>
      <c r="D22273" t="s">
        <v>23500</v>
      </c>
      <c r="E22273" t="s">
        <v>44708</v>
      </c>
    </row>
    <row r="22274" spans="1:5">
      <c r="A22274" t="s">
        <v>6</v>
      </c>
      <c r="B22274" t="s">
        <v>22279</v>
      </c>
      <c r="C22274">
        <f>HYPERLINK("C:\Users\franc\OneDrive\Documentos\MALENTIN KARIME\BANCO CREDITO\FER LORCA en ROSITA (Rosita)\ANA LUISA TODO\VARIOS\MODELO   FORMULARIO  24  DOS.doc", "Abrir Documento")</f>
        <v>0</v>
      </c>
      <c r="D22274" t="s">
        <v>23500</v>
      </c>
      <c r="E22274" t="s">
        <v>44709</v>
      </c>
    </row>
    <row r="22275" spans="1:5">
      <c r="A22275" t="s">
        <v>6</v>
      </c>
      <c r="B22275" t="s">
        <v>22280</v>
      </c>
      <c r="C22275">
        <f>HYPERLINK("C:\Users\franc\OneDrive\Documentos\MALENTIN KARIME\BANCO CREDITO\FER LORCA en ROSITA (Rosita)\ANA LUISA TODO\VARIOS\MIRIAM VILLALOBOS (DEC).doc", "Abrir Documento")</f>
        <v>0</v>
      </c>
      <c r="D22275" t="s">
        <v>23500</v>
      </c>
      <c r="E22275" t="s">
        <v>44710</v>
      </c>
    </row>
    <row r="22276" spans="1:5">
      <c r="A22276" t="s">
        <v>6</v>
      </c>
      <c r="B22276" t="s">
        <v>22281</v>
      </c>
      <c r="C22276">
        <f>HYPERLINK("C:\Users\franc\OneDrive\Documentos\MALENTIN KARIME\BANCO CREDITO\FER LORCA en ROSITA (Rosita)\ANA LUISA TODO\VARIOS\Minuta Eliana Gomez Conservador Bienes Raíces.doc", "Abrir Documento")</f>
        <v>0</v>
      </c>
      <c r="D22276" t="s">
        <v>23500</v>
      </c>
      <c r="E22276" t="s">
        <v>44711</v>
      </c>
    </row>
    <row r="22277" spans="1:5">
      <c r="A22277" t="s">
        <v>6</v>
      </c>
      <c r="B22277" t="s">
        <v>22282</v>
      </c>
      <c r="C22277">
        <f>HYPERLINK("C:\Users\franc\OneDrive\Documentos\MALENTIN KARIME\BANCO CREDITO\FER LORCA en ROSITA (Rosita)\ANA LUISA TODO\VARIOS\minuta al conservador.doc", "Abrir Documento")</f>
        <v>0</v>
      </c>
      <c r="D22277" t="s">
        <v>23500</v>
      </c>
      <c r="E22277" t="s">
        <v>44712</v>
      </c>
    </row>
    <row r="22278" spans="1:5">
      <c r="A22278" t="s">
        <v>6</v>
      </c>
      <c r="B22278" t="s">
        <v>22283</v>
      </c>
      <c r="C22278">
        <f>HYPERLINK("C:\Users\franc\OneDrive\Documentos\MALENTIN KARIME\BANCO CREDITO\FER LORCA en ROSITA (Rosita)\ANA LUISA TODO\VARIOS\minuta al conservador PEDRO BARRIOS.doc", "Abrir Documento")</f>
        <v>0</v>
      </c>
      <c r="D22278" t="s">
        <v>23500</v>
      </c>
      <c r="E22278" t="s">
        <v>44713</v>
      </c>
    </row>
    <row r="22279" spans="1:5">
      <c r="A22279" t="s">
        <v>6</v>
      </c>
      <c r="B22279" t="s">
        <v>22284</v>
      </c>
      <c r="C22279">
        <f>HYPERLINK("C:\Users\franc\OneDrive\Documentos\MALENTIN KARIME\BANCO CREDITO\FER LORCA en ROSITA (Rosita)\ANA LUISA TODO\VARIOS\minuta al conservador VERANEO PACIFICO.doc", "Abrir Documento")</f>
        <v>0</v>
      </c>
      <c r="D22279" t="s">
        <v>23500</v>
      </c>
      <c r="E22279" t="s">
        <v>44713</v>
      </c>
    </row>
    <row r="22280" spans="1:5">
      <c r="A22280" t="s">
        <v>6</v>
      </c>
      <c r="B22280" t="s">
        <v>22285</v>
      </c>
      <c r="C22280">
        <f>HYPERLINK("C:\Users\franc\OneDrive\Documentos\MALENTIN KARIME\BANCO CREDITO\FER LORCA en ROSITA (Rosita)\ANA LUISA TODO\VARIOS\minuta al conservador ELDA ORTIZ PARDIÑA.doc", "Abrir Documento")</f>
        <v>0</v>
      </c>
      <c r="D22280" t="s">
        <v>23500</v>
      </c>
      <c r="E22280" t="s">
        <v>44714</v>
      </c>
    </row>
    <row r="22281" spans="1:5">
      <c r="A22281" t="s">
        <v>6</v>
      </c>
      <c r="B22281" t="s">
        <v>22286</v>
      </c>
      <c r="C22281">
        <f>HYPERLINK("C:\Users\franc\OneDrive\Documentos\MALENTIN KARIME\BANCO CREDITO\FER LORCA en ROSITA (Rosita)\ANA LUISA TODO\VARIOS\minuta al conservador AGRICOLA ALIRO PINTO.doc", "Abrir Documento")</f>
        <v>0</v>
      </c>
      <c r="D22281" t="s">
        <v>23500</v>
      </c>
      <c r="E22281" t="s">
        <v>44715</v>
      </c>
    </row>
    <row r="22282" spans="1:5">
      <c r="A22282" t="s">
        <v>6</v>
      </c>
      <c r="B22282" t="s">
        <v>22287</v>
      </c>
      <c r="C22282">
        <f>HYPERLINK("C:\Users\franc\OneDrive\Documentos\MALENTIN KARIME\BANCO CREDITO\FER LORCA en ROSITA (Rosita)\ANA LUISA TODO\VARIOS\MIGUEL TAPIA Y OTROS A JOSE M TELLO (RESCILIACION.doc", "Abrir Documento")</f>
        <v>0</v>
      </c>
      <c r="D22282" t="s">
        <v>23500</v>
      </c>
      <c r="E22282" t="s">
        <v>44716</v>
      </c>
    </row>
    <row r="22283" spans="1:5">
      <c r="A22283" t="s">
        <v>6</v>
      </c>
      <c r="B22283" t="s">
        <v>22288</v>
      </c>
      <c r="C22283">
        <f>HYPERLINK("C:\Users\franc\OneDrive\Documentos\MALENTIN KARIME\BANCO CREDITO\FER LORCA en ROSITA (Rosita)\ANA LUISA TODO\VARIOS\MIGUEL SALINAS A WILSON SALINAS (ARRIENDO MINAS).doc", "Abrir Documento")</f>
        <v>0</v>
      </c>
      <c r="D22283" t="s">
        <v>23500</v>
      </c>
      <c r="E22283" t="s">
        <v>44717</v>
      </c>
    </row>
    <row r="22284" spans="1:5">
      <c r="A22284" t="s">
        <v>6</v>
      </c>
      <c r="B22284" t="s">
        <v>22289</v>
      </c>
      <c r="C22284">
        <f>HYPERLINK("C:\Users\franc\OneDrive\Documentos\MALENTIN KARIME\BANCO CREDITO\FER LORCA en ROSITA (Rosita)\ANA LUISA TODO\VARIOS\MERCEDES PIZARRO A LUIS MUNDACA (CONTROL).doc", "Abrir Documento")</f>
        <v>0</v>
      </c>
      <c r="D22284" t="s">
        <v>23500</v>
      </c>
      <c r="E22284" t="s">
        <v>44718</v>
      </c>
    </row>
    <row r="22285" spans="1:5">
      <c r="A22285" t="s">
        <v>6</v>
      </c>
      <c r="B22285" t="s">
        <v>22290</v>
      </c>
      <c r="C22285">
        <f>HYPERLINK("C:\Users\franc\OneDrive\Documentos\MALENTIN KARIME\BANCO CREDITO\FER LORCA en ROSITA (Rosita)\ANA LUISA TODO\VARIOS\MARLENE PIZARRO A AMIGO.doc", "Abrir Documento")</f>
        <v>0</v>
      </c>
      <c r="D22285" t="s">
        <v>23500</v>
      </c>
      <c r="E22285" t="s">
        <v>44719</v>
      </c>
    </row>
    <row r="22286" spans="1:5">
      <c r="A22286" t="s">
        <v>6</v>
      </c>
      <c r="B22286" t="s">
        <v>22291</v>
      </c>
      <c r="C22286">
        <f>HYPERLINK("C:\Users\franc\OneDrive\Documentos\MALENTIN KARIME\BANCO CREDITO\FER LORCA en ROSITA (Rosita)\ANA LUISA TODO\VARIOS\MARIO RAMIREZ A JUAN CONTRATO OBRA.doc", "Abrir Documento")</f>
        <v>0</v>
      </c>
      <c r="D22286" t="s">
        <v>23500</v>
      </c>
      <c r="E22286" t="s">
        <v>44720</v>
      </c>
    </row>
    <row r="22287" spans="1:5">
      <c r="A22287" t="s">
        <v>6</v>
      </c>
      <c r="B22287" t="s">
        <v>22292</v>
      </c>
      <c r="C22287">
        <f>HYPERLINK("C:\Users\franc\OneDrive\Documentos\MALENTIN KARIME\BANCO CREDITO\FER LORCA en ROSITA (Rosita)\ANA LUISA TODO\VARIOS\MARIO RAMIREZ A JUAN BARRAZA.doc", "Abrir Documento")</f>
        <v>0</v>
      </c>
      <c r="D22287" t="s">
        <v>23500</v>
      </c>
      <c r="E22287" t="s">
        <v>44721</v>
      </c>
    </row>
    <row r="22288" spans="1:5">
      <c r="A22288" t="s">
        <v>6</v>
      </c>
      <c r="B22288" t="s">
        <v>22293</v>
      </c>
      <c r="C22288">
        <f>HYPERLINK("C:\Users\franc\OneDrive\Documentos\MALENTIN KARIME\BANCO CREDITO\FER LORCA en ROSITA (Rosita)\ANA LUISA TODO\VARIOS\maria barraza.doc", "Abrir Documento")</f>
        <v>0</v>
      </c>
      <c r="D22288" t="s">
        <v>23500</v>
      </c>
      <c r="E22288" t="s">
        <v>44722</v>
      </c>
    </row>
    <row r="22289" spans="1:5">
      <c r="A22289" t="s">
        <v>6</v>
      </c>
      <c r="B22289" t="s">
        <v>22294</v>
      </c>
      <c r="C22289">
        <f>HYPERLINK("C:\Users\franc\OneDrive\Documentos\MALENTIN KARIME\BANCO CREDITO\FER LORCA en ROSITA (Rosita)\ANA LUISA TODO\VARIOS\MANUEL POZO.doc", "Abrir Documento")</f>
        <v>0</v>
      </c>
      <c r="D22289" t="s">
        <v>23500</v>
      </c>
      <c r="E22289" t="s">
        <v>44723</v>
      </c>
    </row>
    <row r="22290" spans="1:5">
      <c r="A22290" t="s">
        <v>6</v>
      </c>
      <c r="B22290" t="s">
        <v>22295</v>
      </c>
      <c r="C22290">
        <f>HYPERLINK("C:\Users\franc\OneDrive\Documentos\MALENTIN KARIME\BANCO CREDITO\FER LORCA en ROSITA (Rosita)\ANA LUISA TODO\VARIOS\LUIS ARAYA A JUAN BARRAZA.- NOVIEMBRE 2010.doc", "Abrir Documento")</f>
        <v>0</v>
      </c>
      <c r="D22290" t="s">
        <v>23500</v>
      </c>
      <c r="E22290" t="s">
        <v>44724</v>
      </c>
    </row>
    <row r="22291" spans="1:5">
      <c r="A22291" t="s">
        <v>6</v>
      </c>
      <c r="B22291" t="s">
        <v>22296</v>
      </c>
      <c r="C22291">
        <f>HYPERLINK("C:\Users\franc\OneDrive\Documentos\MALENTIN KARIME\BANCO CREDITO\FER LORCA en ROSITA (Rosita)\ANA LUISA TODO\VARIOS\LEY 19840 BCO ESTADO.doc", "Abrir Documento")</f>
        <v>0</v>
      </c>
      <c r="D22291" t="s">
        <v>23500</v>
      </c>
      <c r="E22291" t="s">
        <v>44725</v>
      </c>
    </row>
    <row r="22292" spans="1:5">
      <c r="A22292" t="s">
        <v>6</v>
      </c>
      <c r="B22292" t="s">
        <v>22297</v>
      </c>
      <c r="C22292">
        <f>HYPERLINK("C:\Users\franc\OneDrive\Documentos\MALENTIN KARIME\BANCO CREDITO\FER LORCA en ROSITA (Rosita)\ANA LUISA TODO\VARIOS\LIMARI TRADING S.A. SII.doc", "Abrir Documento")</f>
        <v>0</v>
      </c>
      <c r="D22292" t="s">
        <v>23500</v>
      </c>
      <c r="E22292" t="s">
        <v>44725</v>
      </c>
    </row>
    <row r="22293" spans="1:5">
      <c r="A22293" t="s">
        <v>6</v>
      </c>
      <c r="B22293" t="s">
        <v>22298</v>
      </c>
      <c r="C22293">
        <f>HYPERLINK("C:\Users\franc\OneDrive\Documentos\MALENTIN KARIME\BANCO CREDITO\FER LORCA en ROSITA (Rosita)\ANA LUISA TODO\VARIOS\JORGE QUIROZ AUT. SII.doc", "Abrir Documento")</f>
        <v>0</v>
      </c>
      <c r="D22293" t="s">
        <v>23500</v>
      </c>
      <c r="E22293" t="s">
        <v>44726</v>
      </c>
    </row>
    <row r="22294" spans="1:5">
      <c r="A22294" t="s">
        <v>6</v>
      </c>
      <c r="B22294" t="s">
        <v>22299</v>
      </c>
      <c r="C22294">
        <f>HYPERLINK("C:\Users\franc\OneDrive\Documentos\MALENTIN KARIME\BANCO CREDITO\FER LORCA en ROSITA (Rosita)\ANA LUISA TODO\VARIOS\JORGE ARACENA.doc", "Abrir Documento")</f>
        <v>0</v>
      </c>
      <c r="D22294" t="s">
        <v>23500</v>
      </c>
      <c r="E22294" t="s">
        <v>44727</v>
      </c>
    </row>
    <row r="22295" spans="1:5">
      <c r="A22295" t="s">
        <v>6</v>
      </c>
      <c r="B22295" t="s">
        <v>22300</v>
      </c>
      <c r="C22295">
        <f>HYPERLINK("C:\Users\franc\OneDrive\Documentos\MALENTIN KARIME\BANCO CREDITO\FER LORCA en ROSITA (Rosita)\ANA LUISA TODO\VARIOS\JORGE ARACENA  A LUIS CORTES (COPPELIA UNO).doc", "Abrir Documento")</f>
        <v>0</v>
      </c>
      <c r="D22295" t="s">
        <v>23500</v>
      </c>
      <c r="E22295" t="s">
        <v>44728</v>
      </c>
    </row>
    <row r="22296" spans="1:5">
      <c r="A22296" t="s">
        <v>6</v>
      </c>
      <c r="B22296" t="s">
        <v>22301</v>
      </c>
      <c r="C22296">
        <f>HYPERLINK("C:\Users\franc\OneDrive\Documentos\MALENTIN KARIME\BANCO CREDITO\FER LORCA en ROSITA (Rosita)\ANA LUISA TODO\VARIOS\ISABEL ALDUNATE.doc", "Abrir Documento")</f>
        <v>0</v>
      </c>
      <c r="D22296" t="s">
        <v>23500</v>
      </c>
      <c r="E22296" t="s">
        <v>44729</v>
      </c>
    </row>
    <row r="22297" spans="1:5">
      <c r="A22297" t="s">
        <v>6</v>
      </c>
      <c r="B22297" t="s">
        <v>22302</v>
      </c>
      <c r="C22297">
        <f>HYPERLINK("C:\Users\franc\OneDrive\Documentos\MALENTIN KARIME\BANCO CREDITO\FER LORCA en ROSITA (Rosita)\ANA LUISA TODO\VARIOS\IMPUESTO VEHICULO FINAL.doc", "Abrir Documento")</f>
        <v>0</v>
      </c>
      <c r="D22297" t="s">
        <v>23500</v>
      </c>
      <c r="E22297" t="s">
        <v>44730</v>
      </c>
    </row>
    <row r="22298" spans="1:5">
      <c r="A22298" t="s">
        <v>6</v>
      </c>
      <c r="B22298" t="s">
        <v>22303</v>
      </c>
      <c r="C22298">
        <f>HYPERLINK("C:\Users\franc\OneDrive\Documentos\MALENTIN KARIME\BANCO CREDITO\FER LORCA en ROSITA (Rosita)\ANA LUISA TODO\VARIOS\HUGO VALDIVIA.doc", "Abrir Documento")</f>
        <v>0</v>
      </c>
      <c r="D22298" t="s">
        <v>23500</v>
      </c>
      <c r="E22298" t="s">
        <v>44731</v>
      </c>
    </row>
    <row r="22299" spans="1:5">
      <c r="A22299" t="s">
        <v>6</v>
      </c>
      <c r="B22299" t="s">
        <v>22304</v>
      </c>
      <c r="C22299">
        <f>HYPERLINK("C:\Users\franc\OneDrive\Documentos\MALENTIN KARIME\BANCO CREDITO\FER LORCA en ROSITA (Rosita)\ANA LUISA TODO\VARIOS\impuesto margen izq.doc", "Abrir Documento")</f>
        <v>0</v>
      </c>
      <c r="D22299" t="s">
        <v>23500</v>
      </c>
      <c r="E22299" t="s">
        <v>44731</v>
      </c>
    </row>
    <row r="22300" spans="1:5">
      <c r="A22300" t="s">
        <v>6</v>
      </c>
      <c r="B22300" t="s">
        <v>22305</v>
      </c>
      <c r="C22300">
        <f>HYPERLINK("C:\Users\franc\OneDrive\Documentos\MALENTIN KARIME\BANCO CREDITO\FER LORCA en ROSITA (Rosita)\ANA LUISA TODO\VARIOS\HOTELERA PLAZA TURISMO -  SII.doc", "Abrir Documento")</f>
        <v>0</v>
      </c>
      <c r="D22300" t="s">
        <v>23500</v>
      </c>
      <c r="E22300" t="s">
        <v>44732</v>
      </c>
    </row>
    <row r="22301" spans="1:5">
      <c r="A22301" t="s">
        <v>6</v>
      </c>
      <c r="B22301" t="s">
        <v>22306</v>
      </c>
      <c r="C22301">
        <f>HYPERLINK("C:\Users\franc\OneDrive\Documentos\MALENTIN KARIME\BANCO CREDITO\FER LORCA en ROSITA (Rosita)\ANA LUISA TODO\VARIOS\HOTELERA AMERICAN  -  SII.doc", "Abrir Documento")</f>
        <v>0</v>
      </c>
      <c r="D22301" t="s">
        <v>23500</v>
      </c>
      <c r="E22301" t="s">
        <v>44733</v>
      </c>
    </row>
    <row r="22302" spans="1:5">
      <c r="A22302" t="s">
        <v>6</v>
      </c>
      <c r="B22302" t="s">
        <v>22307</v>
      </c>
      <c r="C22302">
        <f>HYPERLINK("C:\Users\franc\OneDrive\Documentos\MALENTIN KARIME\BANCO CREDITO\FER LORCA en ROSITA (Rosita)\ANA LUISA TODO\VARIOS\HOJA BANCO CORPBANCA.doc", "Abrir Documento")</f>
        <v>0</v>
      </c>
      <c r="D22302" t="s">
        <v>23500</v>
      </c>
      <c r="E22302" t="s">
        <v>44734</v>
      </c>
    </row>
    <row r="22303" spans="1:5">
      <c r="A22303" t="s">
        <v>6</v>
      </c>
      <c r="B22303" t="s">
        <v>22308</v>
      </c>
      <c r="C22303">
        <f>HYPERLINK("C:\Users\franc\OneDrive\Documentos\MALENTIN KARIME\BANCO CREDITO\FER LORCA en ROSITA (Rosita)\ANA LUISA TODO\VARIOS\HOJA INSCRIPCIONES.doc", "Abrir Documento")</f>
        <v>0</v>
      </c>
      <c r="D22303" t="s">
        <v>23500</v>
      </c>
      <c r="E22303" t="s">
        <v>44734</v>
      </c>
    </row>
    <row r="22304" spans="1:5">
      <c r="A22304" t="s">
        <v>6</v>
      </c>
      <c r="B22304" t="s">
        <v>22309</v>
      </c>
      <c r="C22304">
        <f>HYPERLINK("C:\Users\franc\OneDrive\Documentos\MALENTIN KARIME\BANCO CREDITO\FER LORCA en ROSITA (Rosita)\ANA LUISA TODO\VARIOS\HIPOLITO JOPIA.doc", "Abrir Documento")</f>
        <v>0</v>
      </c>
      <c r="D22304" t="s">
        <v>23500</v>
      </c>
      <c r="E22304" t="s">
        <v>44735</v>
      </c>
    </row>
    <row r="22305" spans="1:5">
      <c r="A22305" t="s">
        <v>6</v>
      </c>
      <c r="B22305" t="s">
        <v>22310</v>
      </c>
      <c r="C22305">
        <f>HYPERLINK("C:\Users\franc\OneDrive\Documentos\MALENTIN KARIME\BANCO CREDITO\FER LORCA en ROSITA (Rosita)\ANA LUISA TODO\VARIOS\GASTOS HERNAN.doc", "Abrir Documento")</f>
        <v>0</v>
      </c>
      <c r="D22305" t="s">
        <v>23500</v>
      </c>
      <c r="E22305" t="s">
        <v>44736</v>
      </c>
    </row>
    <row r="22306" spans="1:5">
      <c r="A22306" t="s">
        <v>6</v>
      </c>
      <c r="B22306" t="s">
        <v>22311</v>
      </c>
      <c r="C22306">
        <f>HYPERLINK("C:\Users\franc\OneDrive\Documentos\MALENTIN KARIME\BANCO CREDITO\FER LORCA en ROSITA (Rosita)\ANA LUISA TODO\VARIOS\GABRIEL MORENO.doc", "Abrir Documento")</f>
        <v>0</v>
      </c>
      <c r="D22306" t="s">
        <v>23500</v>
      </c>
      <c r="E22306" t="s">
        <v>44737</v>
      </c>
    </row>
    <row r="22307" spans="1:5">
      <c r="A22307" t="s">
        <v>6</v>
      </c>
      <c r="B22307" t="s">
        <v>22312</v>
      </c>
      <c r="C22307">
        <f>HYPERLINK("C:\Users\franc\OneDrive\Documentos\MALENTIN KARIME\BANCO CREDITO\FER LORCA en ROSITA (Rosita)\ANA LUISA TODO\VARIOS\fotos.doc", "Abrir Documento")</f>
        <v>0</v>
      </c>
      <c r="D22307" t="s">
        <v>23500</v>
      </c>
      <c r="E22307" t="s">
        <v>44738</v>
      </c>
    </row>
    <row r="22308" spans="1:5">
      <c r="A22308" t="s">
        <v>6</v>
      </c>
      <c r="B22308" t="s">
        <v>22313</v>
      </c>
      <c r="C22308">
        <f>HYPERLINK("C:\Users\franc\OneDrive\Documentos\MALENTIN KARIME\BANCO CREDITO\FER LORCA en ROSITA (Rosita)\ANA LUISA TODO\VARIOS\GABRIEL MORENO DOS.doc", "Abrir Documento")</f>
        <v>0</v>
      </c>
      <c r="D22308" t="s">
        <v>23500</v>
      </c>
      <c r="E22308" t="s">
        <v>44738</v>
      </c>
    </row>
    <row r="22309" spans="1:5">
      <c r="A22309" t="s">
        <v>6</v>
      </c>
      <c r="B22309" t="s">
        <v>22314</v>
      </c>
      <c r="C22309">
        <f>HYPERLINK("C:\Users\franc\OneDrive\Documentos\MALENTIN KARIME\BANCO CREDITO\FER LORCA en ROSITA (Rosita)\ANA LUISA TODO\VARIOS\FIRMAS RENE MARIN.doc", "Abrir Documento")</f>
        <v>0</v>
      </c>
      <c r="D22309" t="s">
        <v>23500</v>
      </c>
      <c r="E22309" t="s">
        <v>44739</v>
      </c>
    </row>
    <row r="22310" spans="1:5">
      <c r="A22310" t="s">
        <v>6</v>
      </c>
      <c r="B22310" t="s">
        <v>22315</v>
      </c>
      <c r="C22310">
        <f>HYPERLINK("C:\Users\franc\OneDrive\Documentos\MALENTIN KARIME\BANCO CREDITO\FER LORCA en ROSITA (Rosita)\ANA LUISA TODO\VARIOS\Formulario para Testamentos[1].doc", "Abrir Documento")</f>
        <v>0</v>
      </c>
      <c r="D22310" t="s">
        <v>23500</v>
      </c>
      <c r="E22310" t="s">
        <v>44739</v>
      </c>
    </row>
    <row r="22311" spans="1:5">
      <c r="A22311" t="s">
        <v>6</v>
      </c>
      <c r="B22311" t="s">
        <v>22316</v>
      </c>
      <c r="C22311">
        <f>HYPERLINK("C:\Users\franc\OneDrive\Documentos\MALENTIN KARIME\BANCO CREDITO\FER LORCA en ROSITA (Rosita)\ANA LUISA TODO\VARIOS\FIRMAS MARIA GODOY (MUNI) Y CONTRATISTA.doc", "Abrir Documento")</f>
        <v>0</v>
      </c>
      <c r="D22311" t="s">
        <v>23500</v>
      </c>
      <c r="E22311" t="s">
        <v>44740</v>
      </c>
    </row>
    <row r="22312" spans="1:5">
      <c r="A22312" t="s">
        <v>6</v>
      </c>
      <c r="B22312" t="s">
        <v>22317</v>
      </c>
      <c r="C22312">
        <f>HYPERLINK("C:\Users\franc\OneDrive\Documentos\MALENTIN KARIME\BANCO CREDITO\FER LORCA en ROSITA (Rosita)\ANA LUISA TODO\VARIOS\FIRMAS E IMPUESTO.doc", "Abrir Documento")</f>
        <v>0</v>
      </c>
      <c r="D22312" t="s">
        <v>23500</v>
      </c>
      <c r="E22312" t="s">
        <v>44741</v>
      </c>
    </row>
    <row r="22313" spans="1:5">
      <c r="A22313" t="s">
        <v>6</v>
      </c>
      <c r="B22313" t="s">
        <v>22318</v>
      </c>
      <c r="C22313">
        <f>HYPERLINK("C:\Users\franc\OneDrive\Documentos\MALENTIN KARIME\BANCO CREDITO\FER LORCA en ROSITA (Rosita)\ANA LUISA TODO\VARIOS\FINIQUITO COMPLETO.doc", "Abrir Documento")</f>
        <v>0</v>
      </c>
      <c r="D22313" t="s">
        <v>23500</v>
      </c>
      <c r="E22313" t="s">
        <v>44742</v>
      </c>
    </row>
    <row r="22314" spans="1:5">
      <c r="A22314" t="s">
        <v>6</v>
      </c>
      <c r="B22314" t="s">
        <v>22319</v>
      </c>
      <c r="C22314">
        <f>HYPERLINK("C:\Users\franc\OneDrive\Documentos\MALENTIN KARIME\BANCO CREDITO\FER LORCA en ROSITA (Rosita)\ANA LUISA TODO\VARIOS\FCO. SAAVEDRA CARTA.doc", "Abrir Documento")</f>
        <v>0</v>
      </c>
      <c r="D22314" t="s">
        <v>23500</v>
      </c>
      <c r="E22314" t="s">
        <v>44743</v>
      </c>
    </row>
    <row r="22315" spans="1:5">
      <c r="A22315" t="s">
        <v>6</v>
      </c>
      <c r="B22315" t="s">
        <v>22320</v>
      </c>
      <c r="C22315">
        <f>HYPERLINK("C:\Users\franc\OneDrive\Documentos\MALENTIN KARIME\BANCO CREDITO\FER LORCA en ROSITA (Rosita)\ANA LUISA TODO\VARIOS\ESCORIA.doc", "Abrir Documento")</f>
        <v>0</v>
      </c>
      <c r="D22315" t="s">
        <v>23500</v>
      </c>
      <c r="E22315" t="s">
        <v>44744</v>
      </c>
    </row>
    <row r="22316" spans="1:5">
      <c r="A22316" t="s">
        <v>6</v>
      </c>
      <c r="B22316" t="s">
        <v>22321</v>
      </c>
      <c r="C22316">
        <f>HYPERLINK("C:\Users\franc\OneDrive\Documentos\MALENTIN KARIME\BANCO CREDITO\FER LORCA en ROSITA (Rosita)\ANA LUISA TODO\VARIOS\ENTREGA CHEQUES INSTRUCCIONES.doc", "Abrir Documento")</f>
        <v>0</v>
      </c>
      <c r="D22316" t="s">
        <v>23500</v>
      </c>
      <c r="E22316" t="s">
        <v>44745</v>
      </c>
    </row>
    <row r="22317" spans="1:5">
      <c r="A22317" t="s">
        <v>6</v>
      </c>
      <c r="B22317" t="s">
        <v>22322</v>
      </c>
      <c r="C22317">
        <f>HYPERLINK("C:\Users\franc\OneDrive\Documentos\MALENTIN KARIME\BANCO CREDITO\FER LORCA en ROSITA (Rosita)\ANA LUISA TODO\VARIOS\ENAMI.doc", "Abrir Documento")</f>
        <v>0</v>
      </c>
      <c r="D22317" t="s">
        <v>23500</v>
      </c>
      <c r="E22317" t="s">
        <v>44746</v>
      </c>
    </row>
    <row r="22318" spans="1:5">
      <c r="A22318" t="s">
        <v>6</v>
      </c>
      <c r="B22318" t="s">
        <v>22323</v>
      </c>
      <c r="C22318">
        <f>HYPERLINK("C:\Users\franc\OneDrive\Documentos\MALENTIN KARIME\BANCO CREDITO\FER LORCA en ROSITA (Rosita)\ANA LUISA TODO\VARIOS\El Notario que suscribe.doc", "Abrir Documento")</f>
        <v>0</v>
      </c>
      <c r="D22318" t="s">
        <v>23500</v>
      </c>
      <c r="E22318" t="s">
        <v>44747</v>
      </c>
    </row>
    <row r="22319" spans="1:5">
      <c r="A22319" t="s">
        <v>6</v>
      </c>
      <c r="B22319" t="s">
        <v>22324</v>
      </c>
      <c r="C22319">
        <f>HYPERLINK("C:\Users\franc\OneDrive\Documentos\MALENTIN KARIME\BANCO CREDITO\FER LORCA en ROSITA (Rosita)\ANA LUISA TODO\VARIOS\EDGARDO SAUD SII.doc", "Abrir Documento")</f>
        <v>0</v>
      </c>
      <c r="D22319" t="s">
        <v>23500</v>
      </c>
      <c r="E22319" t="s">
        <v>44748</v>
      </c>
    </row>
    <row r="22320" spans="1:5">
      <c r="A22320" t="s">
        <v>6</v>
      </c>
      <c r="B22320" t="s">
        <v>22325</v>
      </c>
      <c r="C22320">
        <f>HYPERLINK("C:\Users\franc\OneDrive\Documentos\MALENTIN KARIME\BANCO CREDITO\FER LORCA en ROSITA (Rosita)\ANA LUISA TODO\VARIOS\DORA VILLAR A SOC. XENIT NOV. 2007.doc", "Abrir Documento")</f>
        <v>0</v>
      </c>
      <c r="D22320" t="s">
        <v>23500</v>
      </c>
      <c r="E22320" t="s">
        <v>44749</v>
      </c>
    </row>
    <row r="22321" spans="1:5">
      <c r="A22321" t="s">
        <v>6</v>
      </c>
      <c r="B22321" t="s">
        <v>22326</v>
      </c>
      <c r="C22321">
        <f>HYPERLINK("C:\Users\franc\OneDrive\Documentos\MALENTIN KARIME\BANCO CREDITO\FER LORCA en ROSITA (Rosita)\ANA LUISA TODO\VARIOS\DORA VILLAR.doc", "Abrir Documento")</f>
        <v>0</v>
      </c>
      <c r="D22321" t="s">
        <v>23500</v>
      </c>
      <c r="E22321" t="s">
        <v>44749</v>
      </c>
    </row>
    <row r="22322" spans="1:5">
      <c r="A22322" t="s">
        <v>6</v>
      </c>
      <c r="B22322" t="s">
        <v>22327</v>
      </c>
      <c r="C22322">
        <f>HYPERLINK("C:\Users\franc\OneDrive\Documentos\MALENTIN KARIME\BANCO CREDITO\FER LORCA en ROSITA (Rosita)\ANA LUISA TODO\VARIOS\DORA VILLAR A PEDRO FIGUEROA.doc", "Abrir Documento")</f>
        <v>0</v>
      </c>
      <c r="D22322" t="s">
        <v>23500</v>
      </c>
      <c r="E22322" t="s">
        <v>44750</v>
      </c>
    </row>
    <row r="22323" spans="1:5">
      <c r="A22323" t="s">
        <v>6</v>
      </c>
      <c r="B22323" t="s">
        <v>22328</v>
      </c>
      <c r="C22323">
        <f>HYPERLINK("C:\Users\franc\OneDrive\Documentos\MALENTIN KARIME\BANCO CREDITO\FER LORCA en ROSITA (Rosita)\ANA LUISA TODO\VARIOS\DORA VILLAR A ARNOLDO GONZALEZ.doc", "Abrir Documento")</f>
        <v>0</v>
      </c>
      <c r="D22323" t="s">
        <v>23500</v>
      </c>
      <c r="E22323" t="s">
        <v>44751</v>
      </c>
    </row>
    <row r="22324" spans="1:5">
      <c r="A22324" t="s">
        <v>6</v>
      </c>
      <c r="B22324" t="s">
        <v>22329</v>
      </c>
      <c r="C22324">
        <f>HYPERLINK("C:\Users\franc\OneDrive\Documentos\MALENTIN KARIME\BANCO CREDITO\FER LORCA en ROSITA (Rosita)\ANA LUISA TODO\VARIOS\DORA VILLA A XENIT.doc", "Abrir Documento")</f>
        <v>0</v>
      </c>
      <c r="D22324" t="s">
        <v>23500</v>
      </c>
      <c r="E22324" t="s">
        <v>44752</v>
      </c>
    </row>
    <row r="22325" spans="1:5">
      <c r="A22325" t="s">
        <v>6</v>
      </c>
      <c r="B22325" t="s">
        <v>22330</v>
      </c>
      <c r="C22325">
        <f>HYPERLINK("C:\Users\franc\OneDrive\Documentos\MALENTIN KARIME\BANCO CREDITO\FER LORCA en ROSITA (Rosita)\ANA LUISA TODO\VARIOS\Doc1.doc", "Abrir Documento")</f>
        <v>0</v>
      </c>
      <c r="D22325" t="s">
        <v>23500</v>
      </c>
      <c r="E22325" t="s">
        <v>44753</v>
      </c>
    </row>
    <row r="22326" spans="1:5">
      <c r="A22326" t="s">
        <v>6</v>
      </c>
      <c r="B22326" t="s">
        <v>22331</v>
      </c>
      <c r="C22326">
        <f>HYPERLINK("C:\Users\franc\OneDrive\Documentos\MALENTIN KARIME\BANCO CREDITO\FER LORCA en ROSITA (Rosita)\ANA LUISA TODO\VARIOS\DECLARACION NO PARENTESCO.doc", "Abrir Documento")</f>
        <v>0</v>
      </c>
      <c r="D22326" t="s">
        <v>23500</v>
      </c>
      <c r="E22326" t="s">
        <v>44754</v>
      </c>
    </row>
    <row r="22327" spans="1:5">
      <c r="A22327" t="s">
        <v>6</v>
      </c>
      <c r="B22327" t="s">
        <v>22332</v>
      </c>
      <c r="C22327">
        <f>HYPERLINK("C:\Users\franc\OneDrive\Documentos\MALENTIN KARIME\BANCO CREDITO\FER LORCA en ROSITA (Rosita)\ANA LUISA TODO\VARIOS\DECLARACION DE REPUDIO.doc", "Abrir Documento")</f>
        <v>0</v>
      </c>
      <c r="D22327" t="s">
        <v>23500</v>
      </c>
      <c r="E22327" t="s">
        <v>44755</v>
      </c>
    </row>
    <row r="22328" spans="1:5">
      <c r="A22328" t="s">
        <v>6</v>
      </c>
      <c r="B22328" t="s">
        <v>22333</v>
      </c>
      <c r="C22328">
        <f>HYPERLINK("C:\Users\franc\OneDrive\Documentos\MALENTIN KARIME\BANCO CREDITO\FER LORCA en ROSITA (Rosita)\ANA LUISA TODO\VARIOS\DECLARACION art. 260.doc", "Abrir Documento")</f>
        <v>0</v>
      </c>
      <c r="D22328" t="s">
        <v>23500</v>
      </c>
      <c r="E22328" t="s">
        <v>44756</v>
      </c>
    </row>
    <row r="22329" spans="1:5">
      <c r="A22329" t="s">
        <v>6</v>
      </c>
      <c r="B22329" t="s">
        <v>22334</v>
      </c>
      <c r="C22329">
        <f>HYPERLINK("C:\Users\franc\OneDrive\Documentos\MALENTIN KARIME\BANCO CREDITO\FER LORCA en ROSITA (Rosita)\ANA LUISA TODO\VARIOS\DECLARA SERVIU.doc", "Abrir Documento")</f>
        <v>0</v>
      </c>
      <c r="D22329" t="s">
        <v>23500</v>
      </c>
      <c r="E22329" t="s">
        <v>44757</v>
      </c>
    </row>
    <row r="22330" spans="1:5">
      <c r="A22330" t="s">
        <v>6</v>
      </c>
      <c r="B22330" t="s">
        <v>22335</v>
      </c>
      <c r="C22330">
        <f>HYPERLINK("C:\Users\franc\OneDrive\Documentos\MALENTIN KARIME\BANCO CREDITO\FER LORCA en ROSITA (Rosita)\ANA LUISA TODO\VARIOS\DECLARA PRIVADA.doc", "Abrir Documento")</f>
        <v>0</v>
      </c>
      <c r="D22330" t="s">
        <v>23500</v>
      </c>
      <c r="E22330" t="s">
        <v>44758</v>
      </c>
    </row>
    <row r="22331" spans="1:5">
      <c r="A22331" t="s">
        <v>6</v>
      </c>
      <c r="B22331" t="s">
        <v>22336</v>
      </c>
      <c r="C22331">
        <f>HYPERLINK("C:\Users\franc\OneDrive\Documentos\MALENTIN KARIME\BANCO CREDITO\FER LORCA en ROSITA (Rosita)\ANA LUISA TODO\VARIOS\DECLARA JUAN CARLOS COMUNIDAD ALCONES.doc", "Abrir Documento")</f>
        <v>0</v>
      </c>
      <c r="D22331" t="s">
        <v>23500</v>
      </c>
      <c r="E22331" t="s">
        <v>44759</v>
      </c>
    </row>
    <row r="22332" spans="1:5">
      <c r="A22332" t="s">
        <v>6</v>
      </c>
      <c r="B22332" t="s">
        <v>22337</v>
      </c>
      <c r="C22332">
        <f>HYPERLINK("C:\Users\franc\OneDrive\Documentos\MALENTIN KARIME\BANCO CREDITO\FER LORCA en ROSITA (Rosita)\ANA LUISA TODO\VARIOS\DECLARA IVAN (MARIA).doc", "Abrir Documento")</f>
        <v>0</v>
      </c>
      <c r="D22332" t="s">
        <v>23500</v>
      </c>
      <c r="E22332" t="s">
        <v>44760</v>
      </c>
    </row>
    <row r="22333" spans="1:5">
      <c r="A22333" t="s">
        <v>6</v>
      </c>
      <c r="B22333" t="s">
        <v>22338</v>
      </c>
      <c r="C22333">
        <f>HYPERLINK("C:\Users\franc\OneDrive\Documentos\MALENTIN KARIME\BANCO CREDITO\FER LORCA en ROSITA (Rosita)\ANA LUISA TODO\VARIOS\DECLARA JUAN  (JAVIERA).doc", "Abrir Documento")</f>
        <v>0</v>
      </c>
      <c r="D22333" t="s">
        <v>23500</v>
      </c>
      <c r="E22333" t="s">
        <v>44760</v>
      </c>
    </row>
    <row r="22334" spans="1:5">
      <c r="A22334" t="s">
        <v>6</v>
      </c>
      <c r="B22334" t="s">
        <v>22339</v>
      </c>
      <c r="C22334">
        <f>HYPERLINK("C:\Users\franc\OneDrive\Documentos\MALENTIN KARIME\BANCO CREDITO\FER LORCA en ROSITA (Rosita)\ANA LUISA TODO\VARIOS\DECLARA 4.doc", "Abrir Documento")</f>
        <v>0</v>
      </c>
      <c r="D22334" t="s">
        <v>23500</v>
      </c>
      <c r="E22334" t="s">
        <v>44761</v>
      </c>
    </row>
    <row r="22335" spans="1:5">
      <c r="A22335" t="s">
        <v>6</v>
      </c>
      <c r="B22335" t="s">
        <v>22340</v>
      </c>
      <c r="C22335">
        <f>HYPERLINK("C:\Users\franc\OneDrive\Documentos\MALENTIN KARIME\BANCO CREDITO\FER LORCA en ROSITA (Rosita)\ANA LUISA TODO\VARIOS\DEC SERVIU.doc", "Abrir Documento")</f>
        <v>0</v>
      </c>
      <c r="D22335" t="s">
        <v>23500</v>
      </c>
      <c r="E22335" t="s">
        <v>44762</v>
      </c>
    </row>
    <row r="22336" spans="1:5">
      <c r="A22336" t="s">
        <v>6</v>
      </c>
      <c r="B22336" t="s">
        <v>22341</v>
      </c>
      <c r="C22336">
        <f>HYPERLINK("C:\Users\franc\OneDrive\Documentos\MALENTIN KARIME\BANCO CREDITO\FER LORCA en ROSITA (Rosita)\ANA LUISA TODO\VARIOS\DEC SERVIU  MAURICIO MARIN.doc", "Abrir Documento")</f>
        <v>0</v>
      </c>
      <c r="D22336" t="s">
        <v>23500</v>
      </c>
      <c r="E22336" t="s">
        <v>44763</v>
      </c>
    </row>
    <row r="22337" spans="1:5">
      <c r="A22337" t="s">
        <v>6</v>
      </c>
      <c r="B22337" t="s">
        <v>22342</v>
      </c>
      <c r="C22337">
        <f>HYPERLINK("C:\Users\franc\OneDrive\Documentos\MALENTIN KARIME\BANCO CREDITO\FER LORCA en ROSITA (Rosita)\ANA LUISA TODO\VARIOS\CURRI.doc", "Abrir Documento")</f>
        <v>0</v>
      </c>
      <c r="D22337" t="s">
        <v>23500</v>
      </c>
      <c r="E22337" t="s">
        <v>44764</v>
      </c>
    </row>
    <row r="22338" spans="1:5">
      <c r="A22338" t="s">
        <v>6</v>
      </c>
      <c r="B22338" t="s">
        <v>22343</v>
      </c>
      <c r="C22338">
        <f>HYPERLINK("C:\Users\franc\OneDrive\Documentos\MALENTIN KARIME\BANCO CREDITO\FER LORCA en ROSITA (Rosita)\ANA LUISA TODO\VARIOS\CURRI mio.doc", "Abrir Documento")</f>
        <v>0</v>
      </c>
      <c r="D22338" t="s">
        <v>23500</v>
      </c>
      <c r="E22338" t="s">
        <v>44765</v>
      </c>
    </row>
    <row r="22339" spans="1:5">
      <c r="A22339" t="s">
        <v>6</v>
      </c>
      <c r="B22339" t="s">
        <v>22344</v>
      </c>
      <c r="C22339">
        <f>HYPERLINK("C:\Users\franc\OneDrive\Documentos\MALENTIN KARIME\BANCO CREDITO\FER LORCA en ROSITA (Rosita)\ANA LUISA TODO\VARIOS\CURRI mario.doc", "Abrir Documento")</f>
        <v>0</v>
      </c>
      <c r="D22339" t="s">
        <v>23500</v>
      </c>
      <c r="E22339" t="s">
        <v>44766</v>
      </c>
    </row>
    <row r="22340" spans="1:5">
      <c r="A22340" t="s">
        <v>6</v>
      </c>
      <c r="B22340" t="s">
        <v>22345</v>
      </c>
      <c r="C22340">
        <f>HYPERLINK("C:\Users\franc\OneDrive\Documentos\MALENTIN KARIME\BANCO CREDITO\FER LORCA en ROSITA (Rosita)\ANA LUISA TODO\VARIOS\CURRI JUAN.doc", "Abrir Documento")</f>
        <v>0</v>
      </c>
      <c r="D22340" t="s">
        <v>23500</v>
      </c>
      <c r="E22340" t="s">
        <v>44767</v>
      </c>
    </row>
    <row r="22341" spans="1:5">
      <c r="A22341" t="s">
        <v>6</v>
      </c>
      <c r="B22341" t="s">
        <v>22346</v>
      </c>
      <c r="C22341">
        <f>HYPERLINK("C:\Users\franc\OneDrive\Documentos\MALENTIN KARIME\BANCO CREDITO\FER LORCA en ROSITA (Rosita)\ANA LUISA TODO\VARIOS\CURRI ELLY.doc", "Abrir Documento")</f>
        <v>0</v>
      </c>
      <c r="D22341" t="s">
        <v>23500</v>
      </c>
      <c r="E22341" t="s">
        <v>44768</v>
      </c>
    </row>
    <row r="22342" spans="1:5">
      <c r="A22342" t="s">
        <v>6</v>
      </c>
      <c r="B22342" t="s">
        <v>22347</v>
      </c>
      <c r="C22342">
        <f>HYPERLINK("C:\Users\franc\OneDrive\Documentos\MALENTIN KARIME\BANCO CREDITO\FER LORCA en ROSITA (Rosita)\ANA LUISA TODO\VARIOS\CURRI CAROLA.doc", "Abrir Documento")</f>
        <v>0</v>
      </c>
      <c r="D22342" t="s">
        <v>23500</v>
      </c>
      <c r="E22342" t="s">
        <v>44769</v>
      </c>
    </row>
    <row r="22343" spans="1:5">
      <c r="A22343" t="s">
        <v>6</v>
      </c>
      <c r="B22343" t="s">
        <v>22348</v>
      </c>
      <c r="C22343">
        <f>HYPERLINK("C:\Users\franc\OneDrive\Documentos\MALENTIN KARIME\BANCO CREDITO\FER LORCA en ROSITA (Rosita)\ANA LUISA TODO\VARIOS\CURRI ALEJANDRO.doc", "Abrir Documento")</f>
        <v>0</v>
      </c>
      <c r="D22343" t="s">
        <v>23500</v>
      </c>
      <c r="E22343" t="s">
        <v>44770</v>
      </c>
    </row>
    <row r="22344" spans="1:5">
      <c r="A22344" t="s">
        <v>6</v>
      </c>
      <c r="B22344" t="s">
        <v>22349</v>
      </c>
      <c r="C22344">
        <f>HYPERLINK("C:\Users\franc\OneDrive\Documentos\MALENTIN KARIME\BANCO CREDITO\FER LORCA en ROSITA (Rosita)\ANA LUISA TODO\VARIOS\CUENTA CONSTRUCTORA ARKON LTDA.doc", "Abrir Documento")</f>
        <v>0</v>
      </c>
      <c r="D22344" t="s">
        <v>23500</v>
      </c>
      <c r="E22344" t="s">
        <v>44771</v>
      </c>
    </row>
    <row r="22345" spans="1:5">
      <c r="A22345" t="s">
        <v>6</v>
      </c>
      <c r="B22345" t="s">
        <v>22350</v>
      </c>
      <c r="C22345">
        <f>HYPERLINK("C:\Users\franc\OneDrive\Documentos\MALENTIN KARIME\BANCO CREDITO\FER LORCA en ROSITA (Rosita)\ANA LUISA TODO\VARIOS\COMPRAVENTA SOMBRA.doc", "Abrir Documento")</f>
        <v>0</v>
      </c>
      <c r="D22345" t="s">
        <v>23500</v>
      </c>
      <c r="E22345" t="s">
        <v>44772</v>
      </c>
    </row>
    <row r="22346" spans="1:5">
      <c r="A22346" t="s">
        <v>6</v>
      </c>
      <c r="B22346" t="s">
        <v>22351</v>
      </c>
      <c r="C22346">
        <f>HYPERLINK("C:\Users\franc\OneDrive\Documentos\MALENTIN KARIME\BANCO CREDITO\FER LORCA en ROSITA (Rosita)\ANA LUISA TODO\VARIOS\COMODATO SOTAQUI.doc", "Abrir Documento")</f>
        <v>0</v>
      </c>
      <c r="D22346" t="s">
        <v>23500</v>
      </c>
      <c r="E22346" t="s">
        <v>44773</v>
      </c>
    </row>
    <row r="22347" spans="1:5">
      <c r="A22347" t="s">
        <v>6</v>
      </c>
      <c r="B22347" t="s">
        <v>22352</v>
      </c>
      <c r="C22347">
        <f>HYPERLINK("C:\Users\franc\OneDrive\Documentos\MALENTIN KARIME\BANCO CREDITO\FER LORCA en ROSITA (Rosita)\ANA LUISA TODO\VARIOS\COMODATO FUNDINA.doc", "Abrir Documento")</f>
        <v>0</v>
      </c>
      <c r="D22347" t="s">
        <v>23500</v>
      </c>
      <c r="E22347" t="s">
        <v>44774</v>
      </c>
    </row>
    <row r="22348" spans="1:5">
      <c r="A22348" t="s">
        <v>6</v>
      </c>
      <c r="B22348" t="s">
        <v>22353</v>
      </c>
      <c r="C22348">
        <f>HYPERLINK("C:\Users\franc\OneDrive\Documentos\MALENTIN KARIME\BANCO CREDITO\FER LORCA en ROSITA (Rosita)\ANA LUISA TODO\VARIOS\COMITE CAMPO LINDO.doc", "Abrir Documento")</f>
        <v>0</v>
      </c>
      <c r="D22348" t="s">
        <v>23500</v>
      </c>
      <c r="E22348" t="s">
        <v>44775</v>
      </c>
    </row>
    <row r="22349" spans="1:5">
      <c r="A22349" t="s">
        <v>6</v>
      </c>
      <c r="B22349" t="s">
        <v>22354</v>
      </c>
      <c r="C22349">
        <f>HYPERLINK("C:\Users\franc\OneDrive\Documentos\MALENTIN KARIME\BANCO CREDITO\FER LORCA en ROSITA (Rosita)\ANA LUISA TODO\VARIOS\Colocó ante mí su impresión.doc", "Abrir Documento")</f>
        <v>0</v>
      </c>
      <c r="D22349" t="s">
        <v>23500</v>
      </c>
      <c r="E22349" t="s">
        <v>44776</v>
      </c>
    </row>
    <row r="22350" spans="1:5">
      <c r="A22350" t="s">
        <v>6</v>
      </c>
      <c r="B22350" t="s">
        <v>22355</v>
      </c>
      <c r="C22350">
        <f>HYPERLINK("C:\Users\franc\OneDrive\Documentos\MALENTIN KARIME\BANCO CREDITO\FER LORCA en ROSITA (Rosita)\ANA LUISA TODO\VARIOS\CITACION.doc", "Abrir Documento")</f>
        <v>0</v>
      </c>
      <c r="D22350" t="s">
        <v>23500</v>
      </c>
      <c r="E22350" t="s">
        <v>44777</v>
      </c>
    </row>
    <row r="22351" spans="1:5">
      <c r="A22351" t="s">
        <v>6</v>
      </c>
      <c r="B22351" t="s">
        <v>22356</v>
      </c>
      <c r="C22351">
        <f>HYPERLINK("C:\Users\franc\OneDrive\Documentos\MALENTIN KARIME\BANCO CREDITO\FER LORCA en ROSITA (Rosita)\ANA LUISA TODO\VARIOS\CERTIFICADO PRE ROLES.doc", "Abrir Documento")</f>
        <v>0</v>
      </c>
      <c r="D22351" t="s">
        <v>23500</v>
      </c>
      <c r="E22351" t="s">
        <v>44778</v>
      </c>
    </row>
    <row r="22352" spans="1:5">
      <c r="A22352" t="s">
        <v>6</v>
      </c>
      <c r="B22352" t="s">
        <v>22357</v>
      </c>
      <c r="C22352">
        <f>HYPERLINK("C:\Users\franc\OneDrive\Documentos\MALENTIN KARIME\BANCO CREDITO\FER LORCA en ROSITA (Rosita)\ANA LUISA TODO\VARIOS\CERTIFICADO JUAN CARLOS COMUNIDAD ALCONES.doc", "Abrir Documento")</f>
        <v>0</v>
      </c>
      <c r="D22352" t="s">
        <v>23500</v>
      </c>
      <c r="E22352" t="s">
        <v>44779</v>
      </c>
    </row>
    <row r="22353" spans="1:5">
      <c r="A22353" t="s">
        <v>6</v>
      </c>
      <c r="B22353" t="s">
        <v>22358</v>
      </c>
      <c r="C22353">
        <f>HYPERLINK("C:\Users\franc\OneDrive\Documentos\MALENTIN KARIME\BANCO CREDITO\FER LORCA en ROSITA (Rosita)\ANA LUISA TODO\VARIOS\CERTIFICADO MATRIMONIO.doc", "Abrir Documento")</f>
        <v>0</v>
      </c>
      <c r="D22353" t="s">
        <v>23500</v>
      </c>
      <c r="E22353" t="s">
        <v>44779</v>
      </c>
    </row>
    <row r="22354" spans="1:5">
      <c r="A22354" t="s">
        <v>6</v>
      </c>
      <c r="B22354" t="s">
        <v>22359</v>
      </c>
      <c r="C22354">
        <f>HYPERLINK("C:\Users\franc\OneDrive\Documentos\MALENTIN KARIME\BANCO CREDITO\FER LORCA en ROSITA (Rosita)\ANA LUISA TODO\VARIOS\CERTIFICADO COMUNERO (COM. ALCONES.doc", "Abrir Documento")</f>
        <v>0</v>
      </c>
      <c r="D22354" t="s">
        <v>23500</v>
      </c>
      <c r="E22354" t="s">
        <v>44780</v>
      </c>
    </row>
    <row r="22355" spans="1:5">
      <c r="A22355" t="s">
        <v>6</v>
      </c>
      <c r="B22355" t="s">
        <v>22360</v>
      </c>
      <c r="C22355">
        <f>HYPERLINK("C:\Users\franc\OneDrive\Documentos\MALENTIN KARIME\BANCO CREDITO\FER LORCA en ROSITA (Rosita)\ANA LUISA TODO\VARIOS\CERTIFICADO INDAP.doc", "Abrir Documento")</f>
        <v>0</v>
      </c>
      <c r="D22355" t="s">
        <v>23500</v>
      </c>
      <c r="E22355" t="s">
        <v>44780</v>
      </c>
    </row>
    <row r="22356" spans="1:5">
      <c r="A22356" t="s">
        <v>6</v>
      </c>
      <c r="B22356" t="s">
        <v>22361</v>
      </c>
      <c r="C22356">
        <f>HYPERLINK("C:\Users\franc\OneDrive\Documentos\MALENTIN KARIME\BANCO CREDITO\FER LORCA en ROSITA (Rosita)\ANA LUISA TODO\VARIOS\CERTIFICA ACTAS COVALSA.doc", "Abrir Documento")</f>
        <v>0</v>
      </c>
      <c r="D22356" t="s">
        <v>23500</v>
      </c>
      <c r="E22356" t="s">
        <v>44781</v>
      </c>
    </row>
    <row r="22357" spans="1:5">
      <c r="A22357" t="s">
        <v>6</v>
      </c>
      <c r="B22357" t="s">
        <v>22362</v>
      </c>
      <c r="C22357">
        <f>HYPERLINK("C:\Users\franc\OneDrive\Documentos\MALENTIN KARIME\BANCO CREDITO\FER LORCA en ROSITA (Rosita)\ANA LUISA TODO\VARIOS\CERTIFI. PROVISORIO.doc", "Abrir Documento")</f>
        <v>0</v>
      </c>
      <c r="D22357" t="s">
        <v>23500</v>
      </c>
      <c r="E22357" t="s">
        <v>44782</v>
      </c>
    </row>
    <row r="22358" spans="1:5">
      <c r="A22358" t="s">
        <v>6</v>
      </c>
      <c r="B22358" t="s">
        <v>22363</v>
      </c>
      <c r="C22358">
        <f>HYPERLINK("C:\Users\franc\OneDrive\Documentos\MALENTIN KARIME\BANCO CREDITO\FER LORCA en ROSITA (Rosita)\ANA LUISA TODO\VARIOS\CERTIFI NO REGISTRA DEUDA.doc", "Abrir Documento")</f>
        <v>0</v>
      </c>
      <c r="D22358" t="s">
        <v>23500</v>
      </c>
      <c r="E22358" t="s">
        <v>44783</v>
      </c>
    </row>
    <row r="22359" spans="1:5">
      <c r="A22359" t="s">
        <v>6</v>
      </c>
      <c r="B22359" t="s">
        <v>22364</v>
      </c>
      <c r="C22359">
        <f>HYPERLINK("C:\Users\franc\OneDrive\Documentos\MALENTIN KARIME\BANCO CREDITO\FER LORCA en ROSITA (Rosita)\ANA LUISA TODO\VARIOS\CERTIFI. AVALUO (INTERNET).doc", "Abrir Documento")</f>
        <v>0</v>
      </c>
      <c r="D22359" t="s">
        <v>23500</v>
      </c>
      <c r="E22359" t="s">
        <v>44783</v>
      </c>
    </row>
    <row r="22360" spans="1:5">
      <c r="A22360" t="s">
        <v>6</v>
      </c>
      <c r="B22360" t="s">
        <v>22365</v>
      </c>
      <c r="C22360">
        <f>HYPERLINK("C:\Users\franc\OneDrive\Documentos\MALENTIN KARIME\BANCO CREDITO\FER LORCA en ROSITA (Rosita)\ANA LUISA TODO\VARIOS\CERTIFI DEUDA.doc", "Abrir Documento")</f>
        <v>0</v>
      </c>
      <c r="D22360" t="s">
        <v>23500</v>
      </c>
      <c r="E22360" t="s">
        <v>44784</v>
      </c>
    </row>
    <row r="22361" spans="1:5">
      <c r="A22361" t="s">
        <v>6</v>
      </c>
      <c r="B22361" t="s">
        <v>22366</v>
      </c>
      <c r="C22361">
        <f>HYPERLINK("C:\Users\franc\OneDrive\Documentos\MALENTIN KARIME\BANCO CREDITO\FER LORCA en ROSITA (Rosita)\ANA LUISA TODO\VARIOS\certifc. ACTAS COVALSA.doc", "Abrir Documento")</f>
        <v>0</v>
      </c>
      <c r="D22361" t="s">
        <v>23500</v>
      </c>
      <c r="E22361" t="s">
        <v>44785</v>
      </c>
    </row>
    <row r="22362" spans="1:5">
      <c r="A22362" t="s">
        <v>6</v>
      </c>
      <c r="B22362" t="s">
        <v>22367</v>
      </c>
      <c r="C22362">
        <f>HYPERLINK("C:\Users\franc\OneDrive\Documentos\MALENTIN KARIME\BANCO CREDITO\FER LORCA en ROSITA (Rosita)\ANA LUISA TODO\VARIOS\CARTA VERONICA VELIZ.doc", "Abrir Documento")</f>
        <v>0</v>
      </c>
      <c r="D22362" t="s">
        <v>23500</v>
      </c>
      <c r="E22362" t="s">
        <v>44786</v>
      </c>
    </row>
    <row r="22363" spans="1:5">
      <c r="A22363" t="s">
        <v>6</v>
      </c>
      <c r="B22363" t="s">
        <v>22368</v>
      </c>
      <c r="C22363">
        <f>HYPERLINK("C:\Users\franc\OneDrive\Documentos\MALENTIN KARIME\BANCO CREDITO\FER LORCA en ROSITA (Rosita)\ANA LUISA TODO\VARIOS\CARTA TRIBUNAL.doc", "Abrir Documento")</f>
        <v>0</v>
      </c>
      <c r="D22363" t="s">
        <v>23500</v>
      </c>
      <c r="E22363" t="s">
        <v>44787</v>
      </c>
    </row>
    <row r="22364" spans="1:5">
      <c r="A22364" t="s">
        <v>6</v>
      </c>
      <c r="B22364" t="s">
        <v>22369</v>
      </c>
      <c r="C22364">
        <f>HYPERLINK("C:\Users\franc\OneDrive\Documentos\MALENTIN KARIME\BANCO CREDITO\FER LORCA en ROSITA (Rosita)\ANA LUISA TODO\VARIOS\CARTA SOLOMON.doc", "Abrir Documento")</f>
        <v>0</v>
      </c>
      <c r="D22364" t="s">
        <v>23500</v>
      </c>
      <c r="E22364" t="s">
        <v>44788</v>
      </c>
    </row>
    <row r="22365" spans="1:5">
      <c r="A22365" t="s">
        <v>6</v>
      </c>
      <c r="B22365" t="s">
        <v>22370</v>
      </c>
      <c r="C22365">
        <f>HYPERLINK("C:\Users\franc\OneDrive\Documentos\MALENTIN KARIME\BANCO CREDITO\FER LORCA en ROSITA (Rosita)\ANA LUISA TODO\VARIOS\CARTA TESTAMENTOS.doc", "Abrir Documento")</f>
        <v>0</v>
      </c>
      <c r="D22365" t="s">
        <v>23500</v>
      </c>
      <c r="E22365" t="s">
        <v>44788</v>
      </c>
    </row>
    <row r="22366" spans="1:5">
      <c r="A22366" t="s">
        <v>6</v>
      </c>
      <c r="B22366" t="s">
        <v>22371</v>
      </c>
      <c r="C22366">
        <f>HYPERLINK("C:\Users\franc\OneDrive\Documentos\MALENTIN KARIME\BANCO CREDITO\FER LORCA en ROSITA (Rosita)\ANA LUISA TODO\VARIOS\CARTA PODER.doc", "Abrir Documento")</f>
        <v>0</v>
      </c>
      <c r="D22366" t="s">
        <v>23500</v>
      </c>
      <c r="E22366" t="s">
        <v>44789</v>
      </c>
    </row>
    <row r="22367" spans="1:5">
      <c r="A22367" t="s">
        <v>6</v>
      </c>
      <c r="B22367" t="s">
        <v>22372</v>
      </c>
      <c r="C22367">
        <f>HYPERLINK("C:\Users\franc\OneDrive\Documentos\MALENTIN KARIME\BANCO CREDITO\FER LORCA en ROSITA (Rosita)\ANA LUISA TODO\VARIOS\CARTA SIMPLE.doc", "Abrir Documento")</f>
        <v>0</v>
      </c>
      <c r="D22367" t="s">
        <v>23500</v>
      </c>
      <c r="E22367" t="s">
        <v>44789</v>
      </c>
    </row>
    <row r="22368" spans="1:5">
      <c r="A22368" t="s">
        <v>6</v>
      </c>
      <c r="B22368" t="s">
        <v>22373</v>
      </c>
      <c r="C22368">
        <f>HYPERLINK("C:\Users\franc\OneDrive\Documentos\MALENTIN KARIME\BANCO CREDITO\FER LORCA en ROSITA (Rosita)\ANA LUISA TODO\VARIOS\CARTA MARUBENI.doc", "Abrir Documento")</f>
        <v>0</v>
      </c>
      <c r="D22368" t="s">
        <v>23500</v>
      </c>
      <c r="E22368" t="s">
        <v>44790</v>
      </c>
    </row>
    <row r="22369" spans="1:5">
      <c r="A22369" t="s">
        <v>6</v>
      </c>
      <c r="B22369" t="s">
        <v>22374</v>
      </c>
      <c r="C22369">
        <f>HYPERLINK("C:\Users\franc\OneDrive\Documentos\MALENTIN KARIME\BANCO CREDITO\FER LORCA en ROSITA (Rosita)\ANA LUISA TODO\VARIOS\CARTA JORGE ARACENA.doc", "Abrir Documento")</f>
        <v>0</v>
      </c>
      <c r="D22369" t="s">
        <v>23500</v>
      </c>
      <c r="E22369" t="s">
        <v>44791</v>
      </c>
    </row>
    <row r="22370" spans="1:5">
      <c r="A22370" t="s">
        <v>6</v>
      </c>
      <c r="B22370" t="s">
        <v>22375</v>
      </c>
      <c r="C22370">
        <f>HYPERLINK("C:\Users\franc\OneDrive\Documentos\MALENTIN KARIME\BANCO CREDITO\FER LORCA en ROSITA (Rosita)\ANA LUISA TODO\VARIOS\CARTA JUZGADO.doc", "Abrir Documento")</f>
        <v>0</v>
      </c>
      <c r="D22370" t="s">
        <v>23500</v>
      </c>
      <c r="E22370" t="s">
        <v>44791</v>
      </c>
    </row>
    <row r="22371" spans="1:5">
      <c r="A22371" t="s">
        <v>6</v>
      </c>
      <c r="B22371" t="s">
        <v>22376</v>
      </c>
      <c r="C22371">
        <f>HYPERLINK("C:\Users\franc\OneDrive\Documentos\MALENTIN KARIME\BANCO CREDITO\FER LORCA en ROSITA (Rosita)\ANA LUISA TODO\VARIOS\CARTA HERNAN.doc", "Abrir Documento")</f>
        <v>0</v>
      </c>
      <c r="D22371" t="s">
        <v>23500</v>
      </c>
      <c r="E22371" t="s">
        <v>44792</v>
      </c>
    </row>
    <row r="22372" spans="1:5">
      <c r="A22372" t="s">
        <v>6</v>
      </c>
      <c r="B22372" t="s">
        <v>22377</v>
      </c>
      <c r="C22372">
        <f>HYPERLINK("C:\Users\franc\OneDrive\Documentos\MALENTIN KARIME\BANCO CREDITO\FER LORCA en ROSITA (Rosita)\ANA LUISA TODO\VARIOS\CARTA FRANCISCO SAAVEDRA.doc", "Abrir Documento")</f>
        <v>0</v>
      </c>
      <c r="D22372" t="s">
        <v>23500</v>
      </c>
      <c r="E22372" t="s">
        <v>44793</v>
      </c>
    </row>
    <row r="22373" spans="1:5">
      <c r="A22373" t="s">
        <v>6</v>
      </c>
      <c r="B22373" t="s">
        <v>22378</v>
      </c>
      <c r="C22373">
        <f>HYPERLINK("C:\Users\franc\OneDrive\Documentos\MALENTIN KARIME\BANCO CREDITO\FER LORCA en ROSITA (Rosita)\ANA LUISA TODO\VARIOS\CARTA DE PRENDA SIN DESPLAZAMINETO 1.doc", "Abrir Documento")</f>
        <v>0</v>
      </c>
      <c r="D22373" t="s">
        <v>23500</v>
      </c>
      <c r="E22373" t="s">
        <v>44794</v>
      </c>
    </row>
    <row r="22374" spans="1:5">
      <c r="A22374" t="s">
        <v>6</v>
      </c>
      <c r="B22374" t="s">
        <v>22379</v>
      </c>
      <c r="C22374">
        <f>HYPERLINK("C:\Users\franc\OneDrive\Documentos\MALENTIN KARIME\BANCO CREDITO\FER LORCA en ROSITA (Rosita)\ANA LUISA TODO\VARIOS\CARTA DIARIO.doc", "Abrir Documento")</f>
        <v>0</v>
      </c>
      <c r="D22374" t="s">
        <v>23500</v>
      </c>
      <c r="E22374" t="s">
        <v>44794</v>
      </c>
    </row>
    <row r="22375" spans="1:5">
      <c r="A22375" t="s">
        <v>6</v>
      </c>
      <c r="B22375" t="s">
        <v>22380</v>
      </c>
      <c r="C22375">
        <f>HYPERLINK("C:\Users\franc\OneDrive\Documentos\MALENTIN KARIME\BANCO CREDITO\FER LORCA en ROSITA (Rosita)\ANA LUISA TODO\VARIOS\CARTA CORTE APELACIONES.doc", "Abrir Documento")</f>
        <v>0</v>
      </c>
      <c r="D22375" t="s">
        <v>23500</v>
      </c>
      <c r="E22375" t="s">
        <v>44795</v>
      </c>
    </row>
    <row r="22376" spans="1:5">
      <c r="A22376" t="s">
        <v>6</v>
      </c>
      <c r="B22376" t="s">
        <v>22381</v>
      </c>
      <c r="C22376">
        <f>HYPERLINK("C:\Users\franc\OneDrive\Documentos\MALENTIN KARIME\BANCO CREDITO\FER LORCA en ROSITA (Rosita)\ANA LUISA TODO\VARIOS\CARTA ARCHIVERO JUDICIAL.doc", "Abrir Documento")</f>
        <v>0</v>
      </c>
      <c r="D22376" t="s">
        <v>23500</v>
      </c>
      <c r="E22376" t="s">
        <v>44796</v>
      </c>
    </row>
    <row r="22377" spans="1:5">
      <c r="A22377" t="s">
        <v>6</v>
      </c>
      <c r="B22377" t="s">
        <v>22382</v>
      </c>
      <c r="C22377">
        <f>HYPERLINK("C:\Users\franc\OneDrive\Documentos\MALENTIN KARIME\BANCO CREDITO\FER LORCA en ROSITA (Rosita)\ANA LUISA TODO\VARIOS\CARTA 2.doc", "Abrir Documento")</f>
        <v>0</v>
      </c>
      <c r="D22377" t="s">
        <v>23500</v>
      </c>
      <c r="E22377" t="s">
        <v>44797</v>
      </c>
    </row>
    <row r="22378" spans="1:5">
      <c r="A22378" t="s">
        <v>6</v>
      </c>
      <c r="B22378" t="s">
        <v>22383</v>
      </c>
      <c r="C22378">
        <f>HYPERLINK("C:\Users\franc\OneDrive\Documentos\MALENTIN KARIME\BANCO CREDITO\FER LORCA en ROSITA (Rosita)\ANA LUISA TODO\VARIOS\CARMEN PINTO AUTORIZACION SII.doc", "Abrir Documento")</f>
        <v>0</v>
      </c>
      <c r="D22378" t="s">
        <v>23500</v>
      </c>
      <c r="E22378" t="s">
        <v>44798</v>
      </c>
    </row>
    <row r="22379" spans="1:5">
      <c r="A22379" t="s">
        <v>6</v>
      </c>
      <c r="B22379" t="s">
        <v>22384</v>
      </c>
      <c r="C22379">
        <f>HYPERLINK("C:\Users\franc\OneDrive\Documentos\MALENTIN KARIME\BANCO CREDITO\FER LORCA en ROSITA (Rosita)\ANA LUISA TODO\VARIOS\CARMENCITA BUGUEÑO.doc", "Abrir Documento")</f>
        <v>0</v>
      </c>
      <c r="D22379" t="s">
        <v>23500</v>
      </c>
      <c r="E22379" t="s">
        <v>44798</v>
      </c>
    </row>
    <row r="22380" spans="1:5">
      <c r="A22380" t="s">
        <v>6</v>
      </c>
      <c r="B22380" t="s">
        <v>22385</v>
      </c>
      <c r="C22380">
        <f>HYPERLINK("C:\Users\franc\OneDrive\Documentos\MALENTIN KARIME\BANCO CREDITO\FER LORCA en ROSITA (Rosita)\ANA LUISA TODO\VARIOS\CALENDARIO DE VACACIONES 2008.doc", "Abrir Documento")</f>
        <v>0</v>
      </c>
      <c r="D22380" t="s">
        <v>23500</v>
      </c>
      <c r="E22380" t="s">
        <v>44799</v>
      </c>
    </row>
    <row r="22381" spans="1:5">
      <c r="A22381" t="s">
        <v>6</v>
      </c>
      <c r="B22381" t="s">
        <v>22386</v>
      </c>
      <c r="C22381">
        <f>HYPERLINK("C:\Users\franc\OneDrive\Documentos\MALENTIN KARIME\BANCO CREDITO\FER LORCA en ROSITA (Rosita)\ANA LUISA TODO\VARIOS\CARMEN PINTO A PATRICIO PINTO ARRIENDO.doc", "Abrir Documento")</f>
        <v>0</v>
      </c>
      <c r="D22381" t="s">
        <v>23500</v>
      </c>
      <c r="E22381" t="s">
        <v>44799</v>
      </c>
    </row>
    <row r="22382" spans="1:5">
      <c r="A22382" t="s">
        <v>6</v>
      </c>
      <c r="B22382" t="s">
        <v>22387</v>
      </c>
      <c r="C22382">
        <f>HYPERLINK("C:\Users\franc\OneDrive\Documentos\MALENTIN KARIME\BANCO CREDITO\FER LORCA en ROSITA (Rosita)\ANA LUISA TODO\VARIOS\BOLETAS PENDIENTES PAGO.doc", "Abrir Documento")</f>
        <v>0</v>
      </c>
      <c r="D22382" t="s">
        <v>23500</v>
      </c>
      <c r="E22382" t="s">
        <v>44800</v>
      </c>
    </row>
    <row r="22383" spans="1:5">
      <c r="A22383" t="s">
        <v>6</v>
      </c>
      <c r="B22383" t="s">
        <v>22388</v>
      </c>
      <c r="C22383">
        <f>HYPERLINK("C:\Users\franc\OneDrive\Documentos\MALENTIN KARIME\BANCO CREDITO\FER LORCA en ROSITA (Rosita)\ANA LUISA TODO\VARIOS\AVISO PROMESA.doc", "Abrir Documento")</f>
        <v>0</v>
      </c>
      <c r="D22383" t="s">
        <v>23500</v>
      </c>
      <c r="E22383" t="s">
        <v>44801</v>
      </c>
    </row>
    <row r="22384" spans="1:5">
      <c r="A22384" t="s">
        <v>6</v>
      </c>
      <c r="B22384" t="s">
        <v>22389</v>
      </c>
      <c r="C22384">
        <f>HYPERLINK("C:\Users\franc\OneDrive\Documentos\MALENTIN KARIME\BANCO CREDITO\FER LORCA en ROSITA (Rosita)\ANA LUISA TODO\VARIOS\AVISO PROMESA II.doc", "Abrir Documento")</f>
        <v>0</v>
      </c>
      <c r="D22384" t="s">
        <v>23500</v>
      </c>
      <c r="E22384" t="s">
        <v>44802</v>
      </c>
    </row>
    <row r="22385" spans="1:5">
      <c r="A22385" t="s">
        <v>6</v>
      </c>
      <c r="B22385" t="s">
        <v>22390</v>
      </c>
      <c r="C22385">
        <f>HYPERLINK("C:\Users\franc\OneDrive\Documentos\MALENTIN KARIME\BANCO CREDITO\FER LORCA en ROSITA (Rosita)\ANA LUISA TODO\VARIOS\Autorizo la firma de don JOSE IVAN JUAREZ ECHEVERRIA.doc", "Abrir Documento")</f>
        <v>0</v>
      </c>
      <c r="D22385" t="s">
        <v>23500</v>
      </c>
      <c r="E22385" t="s">
        <v>44803</v>
      </c>
    </row>
    <row r="22386" spans="1:5">
      <c r="A22386" t="s">
        <v>6</v>
      </c>
      <c r="B22386" t="s">
        <v>22391</v>
      </c>
      <c r="C22386">
        <f>HYPERLINK("C:\Users\franc\OneDrive\Documentos\MALENTIN KARIME\BANCO CREDITO\FER LORCA en ROSITA (Rosita)\ANA LUISA TODO\VARIOS\AUTORIZACION.doc", "Abrir Documento")</f>
        <v>0</v>
      </c>
      <c r="D22386" t="s">
        <v>23500</v>
      </c>
      <c r="E22386" t="s">
        <v>44804</v>
      </c>
    </row>
    <row r="22387" spans="1:5">
      <c r="A22387" t="s">
        <v>6</v>
      </c>
      <c r="B22387" t="s">
        <v>22392</v>
      </c>
      <c r="C22387">
        <f>HYPERLINK("C:\Users\franc\OneDrive\Documentos\MALENTIN KARIME\BANCO CREDITO\FER LORCA en ROSITA (Rosita)\ANA LUISA TODO\VARIOS\AUTORIZO FIRMA BCI.doc", "Abrir Documento")</f>
        <v>0</v>
      </c>
      <c r="D22387" t="s">
        <v>23500</v>
      </c>
      <c r="E22387" t="s">
        <v>44804</v>
      </c>
    </row>
    <row r="22388" spans="1:5">
      <c r="A22388" t="s">
        <v>6</v>
      </c>
      <c r="B22388" t="s">
        <v>22393</v>
      </c>
      <c r="C22388">
        <f>HYPERLINK("C:\Users\franc\OneDrive\Documentos\MALENTIN KARIME\BANCO CREDITO\FER LORCA en ROSITA (Rosita)\ANA LUISA TODO\VARIOS\AUTORIZACION propiedad minera.doc", "Abrir Documento")</f>
        <v>0</v>
      </c>
      <c r="D22388" t="s">
        <v>23500</v>
      </c>
      <c r="E22388" t="s">
        <v>44805</v>
      </c>
    </row>
    <row r="22389" spans="1:5">
      <c r="A22389" t="s">
        <v>6</v>
      </c>
      <c r="B22389" t="s">
        <v>22394</v>
      </c>
      <c r="C22389">
        <f>HYPERLINK("C:\Users\franc\OneDrive\Documentos\MALENTIN KARIME\BANCO CREDITO\FER LORCA en ROSITA (Rosita)\ANA LUISA TODO\VARIOS\AUTORIZACION HANALI BARRANTES.doc", "Abrir Documento")</f>
        <v>0</v>
      </c>
      <c r="D22389" t="s">
        <v>23500</v>
      </c>
      <c r="E22389" t="s">
        <v>44806</v>
      </c>
    </row>
    <row r="22390" spans="1:5">
      <c r="A22390" t="s">
        <v>6</v>
      </c>
      <c r="B22390" t="s">
        <v>22395</v>
      </c>
      <c r="C22390">
        <f>HYPERLINK("C:\Users\franc\OneDrive\Documentos\MALENTIN KARIME\BANCO CREDITO\FER LORCA en ROSITA (Rosita)\ANA LUISA TODO\VARIOS\AUTORIZACION FIRMA MARIA GODOY.doc", "Abrir Documento")</f>
        <v>0</v>
      </c>
      <c r="D22390" t="s">
        <v>23500</v>
      </c>
      <c r="E22390" t="s">
        <v>44807</v>
      </c>
    </row>
    <row r="22391" spans="1:5">
      <c r="A22391" t="s">
        <v>6</v>
      </c>
      <c r="B22391" t="s">
        <v>22396</v>
      </c>
      <c r="C22391">
        <f>HYPERLINK("C:\Users\franc\OneDrive\Documentos\MALENTIN KARIME\BANCO CREDITO\FER LORCA en ROSITA (Rosita)\ANA LUISA TODO\VARIOS\AUTORIZACION firmas.doc", "Abrir Documento")</f>
        <v>0</v>
      </c>
      <c r="D22391" t="s">
        <v>23500</v>
      </c>
      <c r="E22391" t="s">
        <v>44807</v>
      </c>
    </row>
    <row r="22392" spans="1:5">
      <c r="A22392" t="s">
        <v>6</v>
      </c>
      <c r="B22392" t="s">
        <v>22397</v>
      </c>
      <c r="C22392">
        <f>HYPERLINK("C:\Users\franc\OneDrive\Documentos\MALENTIN KARIME\BANCO CREDITO\FER LORCA en ROSITA (Rosita)\ANA LUISA TODO\VARIOS\AUTORIZACION FIRMA LIDIA ZAPATA MUNI.doc", "Abrir Documento")</f>
        <v>0</v>
      </c>
      <c r="D22392" t="s">
        <v>23500</v>
      </c>
      <c r="E22392" t="s">
        <v>44808</v>
      </c>
    </row>
    <row r="22393" spans="1:5">
      <c r="A22393" t="s">
        <v>6</v>
      </c>
      <c r="B22393" t="s">
        <v>22398</v>
      </c>
      <c r="C22393">
        <f>HYPERLINK("C:\Users\franc\OneDrive\Documentos\MALENTIN KARIME\BANCO CREDITO\FER LORCA en ROSITA (Rosita)\ANA LUISA TODO\VARIOS\AUTORIZACION FIRMA ELIAS ALAMO SOC..doc", "Abrir Documento")</f>
        <v>0</v>
      </c>
      <c r="D22393" t="s">
        <v>23500</v>
      </c>
      <c r="E22393" t="s">
        <v>44809</v>
      </c>
    </row>
    <row r="22394" spans="1:5">
      <c r="A22394" t="s">
        <v>6</v>
      </c>
      <c r="B22394" t="s">
        <v>22399</v>
      </c>
      <c r="C22394">
        <f>HYPERLINK("C:\Users\franc\OneDrive\Documentos\MALENTIN KARIME\BANCO CREDITO\FER LORCA en ROSITA (Rosita)\ANA LUISA TODO\VARIOS\AUTORIZACION firma  PATRICIO PINTO - AGRICOLA ALIRO PINTO.doc", "Abrir Documento")</f>
        <v>0</v>
      </c>
      <c r="D22394" t="s">
        <v>23500</v>
      </c>
      <c r="E22394" t="s">
        <v>44810</v>
      </c>
    </row>
    <row r="22395" spans="1:5">
      <c r="A22395" t="s">
        <v>6</v>
      </c>
      <c r="B22395" t="s">
        <v>22400</v>
      </c>
      <c r="C22395">
        <f>HYPERLINK("C:\Users\franc\OneDrive\Documentos\MALENTIN KARIME\BANCO CREDITO\FER LORCA en ROSITA (Rosita)\ANA LUISA TODO\VARIOS\AUTORIZACION FINIQUITOS.doc", "Abrir Documento")</f>
        <v>0</v>
      </c>
      <c r="D22395" t="s">
        <v>23500</v>
      </c>
      <c r="E22395" t="s">
        <v>44811</v>
      </c>
    </row>
    <row r="22396" spans="1:5">
      <c r="A22396" t="s">
        <v>6</v>
      </c>
      <c r="B22396" t="s">
        <v>22401</v>
      </c>
      <c r="C22396">
        <f>HYPERLINK("C:\Users\franc\OneDrive\Documentos\MALENTIN KARIME\BANCO CREDITO\FER LORCA en ROSITA (Rosita)\ANA LUISA TODO\VARIOS\AUTORIZACION ESCRITRUAS CON VIGENCIA.doc", "Abrir Documento")</f>
        <v>0</v>
      </c>
      <c r="D22396" t="s">
        <v>23500</v>
      </c>
      <c r="E22396" t="s">
        <v>44812</v>
      </c>
    </row>
    <row r="22397" spans="1:5">
      <c r="A22397" t="s">
        <v>6</v>
      </c>
      <c r="B22397" t="s">
        <v>22402</v>
      </c>
      <c r="C22397">
        <f>HYPERLINK("C:\Users\franc\OneDrive\Documentos\MALENTIN KARIME\BANCO CREDITO\FER LORCA en ROSITA (Rosita)\ANA LUISA TODO\VARIOS\AUTORIZACION ESCRITRUAS.doc", "Abrir Documento")</f>
        <v>0</v>
      </c>
      <c r="D22397" t="s">
        <v>23500</v>
      </c>
      <c r="E22397" t="s">
        <v>44812</v>
      </c>
    </row>
    <row r="22398" spans="1:5">
      <c r="A22398" t="s">
        <v>6</v>
      </c>
      <c r="B22398" t="s">
        <v>22403</v>
      </c>
      <c r="C22398">
        <f>HYPERLINK("C:\Users\franc\OneDrive\Documentos\MALENTIN KARIME\BANCO CREDITO\FER LORCA en ROSITA (Rosita)\ANA LUISA TODO\VARIOS\AUTORIZACION DIARIO.doc", "Abrir Documento")</f>
        <v>0</v>
      </c>
      <c r="D22398" t="s">
        <v>23500</v>
      </c>
      <c r="E22398" t="s">
        <v>44813</v>
      </c>
    </row>
    <row r="22399" spans="1:5">
      <c r="A22399" t="s">
        <v>6</v>
      </c>
      <c r="B22399" t="s">
        <v>22404</v>
      </c>
      <c r="C22399">
        <f>HYPERLINK("C:\Users\franc\OneDrive\Documentos\MALENTIN KARIME\BANCO CREDITO\FER LORCA en ROSITA (Rosita)\ANA LUISA TODO\VARIOS\AUTORIZACION DIARIO digital.doc", "Abrir Documento")</f>
        <v>0</v>
      </c>
      <c r="D22399" t="s">
        <v>23500</v>
      </c>
      <c r="E22399" t="s">
        <v>44814</v>
      </c>
    </row>
    <row r="22400" spans="1:5">
      <c r="A22400" t="s">
        <v>6</v>
      </c>
      <c r="B22400" t="s">
        <v>22405</v>
      </c>
      <c r="C22400">
        <f>HYPERLINK("C:\Users\franc\OneDrive\Documentos\MALENTIN KARIME\BANCO CREDITO\FER LORCA en ROSITA (Rosita)\ANA LUISA TODO\VARIOS\AUTORIZACION DESCUBRIMIENTO.doc", "Abrir Documento")</f>
        <v>0</v>
      </c>
      <c r="D22400" t="s">
        <v>23500</v>
      </c>
      <c r="E22400" t="s">
        <v>44815</v>
      </c>
    </row>
    <row r="22401" spans="1:5">
      <c r="A22401" t="s">
        <v>6</v>
      </c>
      <c r="B22401" t="s">
        <v>22406</v>
      </c>
      <c r="C22401">
        <f>HYPERLINK("C:\Users\franc\OneDrive\Documentos\MALENTIN KARIME\BANCO CREDITO\FER LORCA en ROSITA (Rosita)\ANA LUISA TODO\VARIOS\AUTORIZACION DERECHO REAL DE USO (BS. NAC).doc", "Abrir Documento")</f>
        <v>0</v>
      </c>
      <c r="D22401" t="s">
        <v>23500</v>
      </c>
      <c r="E22401" t="s">
        <v>44816</v>
      </c>
    </row>
    <row r="22402" spans="1:5">
      <c r="A22402" t="s">
        <v>6</v>
      </c>
      <c r="B22402" t="s">
        <v>22407</v>
      </c>
      <c r="C22402">
        <f>HYPERLINK("C:\Users\franc\OneDrive\Documentos\MALENTIN KARIME\BANCO CREDITO\FER LORCA en ROSITA (Rosita)\ANA LUISA TODO\VARIOS\AUTORIZACION  - DECLARACION.doc", "Abrir Documento")</f>
        <v>0</v>
      </c>
      <c r="D22402" t="s">
        <v>23500</v>
      </c>
      <c r="E22402" t="s">
        <v>44817</v>
      </c>
    </row>
    <row r="22403" spans="1:5">
      <c r="A22403" t="s">
        <v>6</v>
      </c>
      <c r="B22403" t="s">
        <v>22408</v>
      </c>
      <c r="C22403">
        <f>HYPERLINK("C:\Users\franc\OneDrive\Documentos\MALENTIN KARIME\BANCO CREDITO\FER LORCA en ROSITA (Rosita)\ANA LUISA TODO\VARIOS\AUTORIZACION COMUNERO (COM. ALCONES.doc", "Abrir Documento")</f>
        <v>0</v>
      </c>
      <c r="D22403" t="s">
        <v>23500</v>
      </c>
      <c r="E22403" t="s">
        <v>44817</v>
      </c>
    </row>
    <row r="22404" spans="1:5">
      <c r="A22404" t="s">
        <v>6</v>
      </c>
      <c r="B22404" t="s">
        <v>22409</v>
      </c>
      <c r="C22404">
        <f>HYPERLINK("C:\Users\franc\OneDrive\Documentos\MALENTIN KARIME\BANCO CREDITO\FER LORCA en ROSITA (Rosita)\ANA LUISA TODO\VARIOS\AUTORIZ. FIRMAS BDD.doc", "Abrir Documento")</f>
        <v>0</v>
      </c>
      <c r="D22404" t="s">
        <v>23500</v>
      </c>
      <c r="E22404" t="s">
        <v>44818</v>
      </c>
    </row>
    <row r="22405" spans="1:5">
      <c r="A22405" t="s">
        <v>6</v>
      </c>
      <c r="B22405" t="s">
        <v>22410</v>
      </c>
      <c r="C22405">
        <f>HYPERLINK("C:\Users\franc\OneDrive\Documentos\MALENTIN KARIME\BANCO CREDITO\FER LORCA en ROSITA (Rosita)\ANA LUISA TODO\VARIOS\AUTORIZ. FIRMA PABLO MUÑOZ.doc", "Abrir Documento")</f>
        <v>0</v>
      </c>
      <c r="D22405" t="s">
        <v>23500</v>
      </c>
      <c r="E22405" t="s">
        <v>44819</v>
      </c>
    </row>
    <row r="22406" spans="1:5">
      <c r="A22406" t="s">
        <v>6</v>
      </c>
      <c r="B22406" t="s">
        <v>22411</v>
      </c>
      <c r="C22406">
        <f>HYPERLINK("C:\Users\franc\OneDrive\Documentos\MALENTIN KARIME\BANCO CREDITO\FER LORCA en ROSITA (Rosita)\ANA LUISA TODO\VARIOS\AUTORIZ. FIRMA BASILIO AGUIRRE.doc", "Abrir Documento")</f>
        <v>0</v>
      </c>
      <c r="D22406" t="s">
        <v>23500</v>
      </c>
      <c r="E22406" t="s">
        <v>44820</v>
      </c>
    </row>
    <row r="22407" spans="1:5">
      <c r="A22407" t="s">
        <v>6</v>
      </c>
      <c r="B22407" t="s">
        <v>22412</v>
      </c>
      <c r="C22407">
        <f>HYPERLINK("C:\Users\franc\OneDrive\Documentos\MALENTIN KARIME\BANCO CREDITO\FER LORCA en ROSITA (Rosita)\ANA LUISA TODO\VARIOS\AUTORIZ JULIO MONTERO.doc", "Abrir Documento")</f>
        <v>0</v>
      </c>
      <c r="D22407" t="s">
        <v>23500</v>
      </c>
      <c r="E22407" t="s">
        <v>44821</v>
      </c>
    </row>
    <row r="22408" spans="1:5">
      <c r="A22408" t="s">
        <v>6</v>
      </c>
      <c r="B22408" t="s">
        <v>22413</v>
      </c>
      <c r="C22408">
        <f>HYPERLINK("C:\Users\franc\OneDrive\Documentos\MALENTIN KARIME\BANCO CREDITO\FER LORCA en ROSITA (Rosita)\ANA LUISA TODO\VARIOS\AUTORIZ FIRMA PROHENS.doc", "Abrir Documento")</f>
        <v>0</v>
      </c>
      <c r="D22408" t="s">
        <v>23500</v>
      </c>
      <c r="E22408" t="s">
        <v>44822</v>
      </c>
    </row>
    <row r="22409" spans="1:5">
      <c r="A22409" t="s">
        <v>6</v>
      </c>
      <c r="B22409" t="s">
        <v>22414</v>
      </c>
      <c r="C22409">
        <f>HYPERLINK("C:\Users\franc\OneDrive\Documentos\MALENTIN KARIME\BANCO CREDITO\FER LORCA en ROSITA (Rosita)\ANA LUISA TODO\VARIOS\AUTORIZ FIRMA ALEXIS.doc", "Abrir Documento")</f>
        <v>0</v>
      </c>
      <c r="D22409" t="s">
        <v>23500</v>
      </c>
      <c r="E22409" t="s">
        <v>44823</v>
      </c>
    </row>
    <row r="22410" spans="1:5">
      <c r="A22410" t="s">
        <v>6</v>
      </c>
      <c r="B22410" t="s">
        <v>22415</v>
      </c>
      <c r="C22410">
        <f>HYPERLINK("C:\Users\franc\OneDrive\Documentos\MALENTIN KARIME\BANCO CREDITO\FER LORCA en ROSITA (Rosita)\ANA LUISA TODO\VARIOS\AUTORIZ 2.doc", "Abrir Documento")</f>
        <v>0</v>
      </c>
      <c r="D22410" t="s">
        <v>23500</v>
      </c>
      <c r="E22410" t="s">
        <v>44824</v>
      </c>
    </row>
    <row r="22411" spans="1:5">
      <c r="A22411" t="s">
        <v>6</v>
      </c>
      <c r="B22411" t="s">
        <v>22416</v>
      </c>
      <c r="C22411">
        <f>HYPERLINK("C:\Users\franc\OneDrive\Documentos\MALENTIN KARIME\BANCO CREDITO\FER LORCA en ROSITA (Rosita)\ANA LUISA TODO\VARIOS\AUTORIZ DESCUB MARGEN.doc", "Abrir Documento")</f>
        <v>0</v>
      </c>
      <c r="D22411" t="s">
        <v>23500</v>
      </c>
      <c r="E22411" t="s">
        <v>44824</v>
      </c>
    </row>
    <row r="22412" spans="1:5">
      <c r="A22412" t="s">
        <v>6</v>
      </c>
      <c r="B22412" t="s">
        <v>22417</v>
      </c>
      <c r="C22412">
        <f>HYPERLINK("C:\Users\franc\OneDrive\Documentos\MALENTIN KARIME\BANCO CREDITO\FER LORCA en ROSITA (Rosita)\ANA LUISA TODO\VARIOS\AUDALO SOTO A ELIAS IBACACHE.doc", "Abrir Documento")</f>
        <v>0</v>
      </c>
      <c r="D22412" t="s">
        <v>23500</v>
      </c>
      <c r="E22412" t="s">
        <v>44825</v>
      </c>
    </row>
    <row r="22413" spans="1:5">
      <c r="A22413" t="s">
        <v>6</v>
      </c>
      <c r="B22413" t="s">
        <v>22418</v>
      </c>
      <c r="C22413">
        <f>HYPERLINK("C:\Users\franc\OneDrive\Documentos\MALENTIN KARIME\BANCO CREDITO\FER LORCA en ROSITA (Rosita)\ANA LUISA TODO\VARIOS\ARRIENDO PATRICIO PINTO.doc", "Abrir Documento")</f>
        <v>0</v>
      </c>
      <c r="D22413" t="s">
        <v>23500</v>
      </c>
      <c r="E22413" t="s">
        <v>44826</v>
      </c>
    </row>
    <row r="22414" spans="1:5">
      <c r="A22414" t="s">
        <v>6</v>
      </c>
      <c r="B22414" t="s">
        <v>22419</v>
      </c>
      <c r="C22414">
        <f>HYPERLINK("C:\Users\franc\OneDrive\Documentos\MALENTIN KARIME\BANCO CREDITO\FER LORCA en ROSITA (Rosita)\ANA LUISA TODO\VARIOS\ARRIENDO MINERO MIGUEL TAPIA.doc", "Abrir Documento")</f>
        <v>0</v>
      </c>
      <c r="D22414" t="s">
        <v>23500</v>
      </c>
      <c r="E22414" t="s">
        <v>44827</v>
      </c>
    </row>
    <row r="22415" spans="1:5">
      <c r="A22415" t="s">
        <v>6</v>
      </c>
      <c r="B22415" t="s">
        <v>22420</v>
      </c>
      <c r="C22415">
        <f>HYPERLINK("C:\Users\franc\OneDrive\Documentos\MALENTIN KARIME\BANCO CREDITO\FER LORCA en ROSITA (Rosita)\ANA LUISA TODO\VARIOS\ARRIENDO MINERO MIGUEL TAPIA SAN MIGUEL 1-20.doc", "Abrir Documento")</f>
        <v>0</v>
      </c>
      <c r="D22415" t="s">
        <v>23500</v>
      </c>
      <c r="E22415" t="s">
        <v>44828</v>
      </c>
    </row>
    <row r="22416" spans="1:5">
      <c r="A22416" t="s">
        <v>6</v>
      </c>
      <c r="B22416" t="s">
        <v>22421</v>
      </c>
      <c r="C22416">
        <f>HYPERLINK("C:\Users\franc\OneDrive\Documentos\MALENTIN KARIME\BANCO CREDITO\FER LORCA en ROSITA (Rosita)\ANA LUISA TODO\VARIOS\ARRIENDO MINERO BACHITO 1 AL 10.doc", "Abrir Documento")</f>
        <v>0</v>
      </c>
      <c r="D22416" t="s">
        <v>23500</v>
      </c>
      <c r="E22416" t="s">
        <v>44829</v>
      </c>
    </row>
    <row r="22417" spans="1:5">
      <c r="A22417" t="s">
        <v>6</v>
      </c>
      <c r="B22417" t="s">
        <v>22422</v>
      </c>
      <c r="C22417">
        <f>HYPERLINK("C:\Users\franc\OneDrive\Documentos\MALENTIN KARIME\BANCO CREDITO\FER LORCA en ROSITA (Rosita)\ANA LUISA TODO\VARIOS\ARRIENDO MINERO BACHITO 1 AL 10 a PABLO DA COSTA MORALES.doc", "Abrir Documento")</f>
        <v>0</v>
      </c>
      <c r="D22417" t="s">
        <v>23500</v>
      </c>
      <c r="E22417" t="s">
        <v>44830</v>
      </c>
    </row>
    <row r="22418" spans="1:5">
      <c r="A22418" t="s">
        <v>6</v>
      </c>
      <c r="B22418" t="s">
        <v>22423</v>
      </c>
      <c r="C22418">
        <f>HYPERLINK("C:\Users\franc\OneDrive\Documentos\MALENTIN KARIME\BANCO CREDITO\FER LORCA en ROSITA (Rosita)\ANA LUISA TODO\VARIOS\ARR. CASA COMPLETO NORITA.doc", "Abrir Documento")</f>
        <v>0</v>
      </c>
      <c r="D22418" t="s">
        <v>23500</v>
      </c>
      <c r="E22418" t="s">
        <v>44831</v>
      </c>
    </row>
    <row r="22419" spans="1:5">
      <c r="A22419" t="s">
        <v>6</v>
      </c>
      <c r="B22419" t="s">
        <v>22424</v>
      </c>
      <c r="C22419">
        <f>HYPERLINK("C:\Users\franc\OneDrive\Documentos\MALENTIN KARIME\BANCO CREDITO\FER LORCA en ROSITA (Rosita)\ANA LUISA TODO\VARIOS\ARR. CASA COMPLETO JANI.doc", "Abrir Documento")</f>
        <v>0</v>
      </c>
      <c r="D22419" t="s">
        <v>23500</v>
      </c>
      <c r="E22419" t="s">
        <v>44832</v>
      </c>
    </row>
    <row r="22420" spans="1:5">
      <c r="A22420" t="s">
        <v>6</v>
      </c>
      <c r="B22420" t="s">
        <v>22425</v>
      </c>
      <c r="C22420">
        <f>HYPERLINK("C:\Users\franc\OneDrive\Documentos\MALENTIN KARIME\BANCO CREDITO\FER LORCA en ROSITA (Rosita)\ANA LUISA TODO\VARIOS\ARR. CASA COMPLETO ANDRES.doc", "Abrir Documento")</f>
        <v>0</v>
      </c>
      <c r="D22420" t="s">
        <v>23500</v>
      </c>
      <c r="E22420" t="s">
        <v>44833</v>
      </c>
    </row>
    <row r="22421" spans="1:5">
      <c r="A22421" t="s">
        <v>6</v>
      </c>
      <c r="B22421" t="s">
        <v>22426</v>
      </c>
      <c r="C22421">
        <f>HYPERLINK("C:\Users\franc\OneDrive\Documentos\MALENTIN KARIME\BANCO CREDITO\FER LORCA en ROSITA (Rosita)\ANA LUISA TODO\VARIOS\ALEXIS DIAZ (SII).doc", "Abrir Documento")</f>
        <v>0</v>
      </c>
      <c r="D22421" t="s">
        <v>23500</v>
      </c>
      <c r="E22421" t="s">
        <v>44834</v>
      </c>
    </row>
    <row r="22422" spans="1:5">
      <c r="A22422" t="s">
        <v>6</v>
      </c>
      <c r="B22422" t="s">
        <v>22427</v>
      </c>
      <c r="C22422">
        <f>HYPERLINK("C:\Users\franc\OneDrive\Documentos\MALENTIN KARIME\BANCO CREDITO\FER LORCA en ROSITA (Rosita)\ANA LUISA TODO\VARIOS\ANEXO  JUAN.doc", "Abrir Documento")</f>
        <v>0</v>
      </c>
      <c r="D22422" t="s">
        <v>23500</v>
      </c>
      <c r="E22422" t="s">
        <v>44834</v>
      </c>
    </row>
    <row r="22423" spans="1:5">
      <c r="A22423" t="s">
        <v>6</v>
      </c>
      <c r="B22423" t="s">
        <v>22428</v>
      </c>
      <c r="C22423">
        <f>HYPERLINK("C:\Users\franc\OneDrive\Documentos\MALENTIN KARIME\BANCO CREDITO\FER LORCA en ROSITA (Rosita)\ANA LUISA TODO\VARIOS\AGRICOLA LOS LEONES SII.doc", "Abrir Documento")</f>
        <v>0</v>
      </c>
      <c r="D22423" t="s">
        <v>23500</v>
      </c>
      <c r="E22423" t="s">
        <v>44835</v>
      </c>
    </row>
    <row r="22424" spans="1:5">
      <c r="A22424" t="s">
        <v>6</v>
      </c>
      <c r="B22424" t="s">
        <v>22429</v>
      </c>
      <c r="C22424">
        <f>HYPERLINK("C:\Users\franc\OneDrive\Documentos\MALENTIN KARIME\BANCO CREDITO\FER LORCA en ROSITA (Rosita)\ANA LUISA TODO\VARIOS\AGREGA YASNA.doc", "Abrir Documento")</f>
        <v>0</v>
      </c>
      <c r="D22424" t="s">
        <v>23500</v>
      </c>
      <c r="E22424" t="s">
        <v>44836</v>
      </c>
    </row>
    <row r="22425" spans="1:5">
      <c r="A22425" t="s">
        <v>6</v>
      </c>
      <c r="B22425" t="s">
        <v>22430</v>
      </c>
      <c r="C22425">
        <f>HYPERLINK("C:\Users\franc\OneDrive\Documentos\MALENTIN KARIME\BANCO CREDITO\FER LORCA en ROSITA (Rosita)\ANA LUISA TODO\VARIOS\AGREGA PATENTE MITSUI.doc", "Abrir Documento")</f>
        <v>0</v>
      </c>
      <c r="D22425" t="s">
        <v>23500</v>
      </c>
      <c r="E22425" t="s">
        <v>44837</v>
      </c>
    </row>
    <row r="22426" spans="1:5">
      <c r="A22426" t="s">
        <v>6</v>
      </c>
      <c r="B22426" t="s">
        <v>22431</v>
      </c>
      <c r="C22426">
        <f>HYPERLINK("C:\Users\franc\OneDrive\Documentos\MALENTIN KARIME\BANCO CREDITO\FER LORCA en ROSITA (Rosita)\ANA LUISA TODO\VARIOS\AGREGA IMPUESTO.doc", "Abrir Documento")</f>
        <v>0</v>
      </c>
      <c r="D22426" t="s">
        <v>23500</v>
      </c>
      <c r="E22426" t="s">
        <v>44838</v>
      </c>
    </row>
    <row r="22427" spans="1:5">
      <c r="A22427" t="s">
        <v>6</v>
      </c>
      <c r="B22427" t="s">
        <v>22432</v>
      </c>
      <c r="C22427">
        <f>HYPERLINK("C:\Users\franc\OneDrive\Documentos\MALENTIN KARIME\BANCO CREDITO\FER LORCA en ROSITA (Rosita)\ANA LUISA TODO\VARIOS\AGREGA IMPUESTO VEHICULO.doc", "Abrir Documento")</f>
        <v>0</v>
      </c>
      <c r="D22427" t="s">
        <v>23500</v>
      </c>
      <c r="E22427" t="s">
        <v>44839</v>
      </c>
    </row>
    <row r="22428" spans="1:5">
      <c r="A22428" t="s">
        <v>6</v>
      </c>
      <c r="B22428" t="s">
        <v>22433</v>
      </c>
      <c r="C22428">
        <f>HYPERLINK("C:\Users\franc\OneDrive\Documentos\MALENTIN KARIME\BANCO CREDITO\FER LORCA en ROSITA (Rosita)\ANA LUISA TODO\VARIOS\AGREGA IMPUESTO MUTUO.doc", "Abrir Documento")</f>
        <v>0</v>
      </c>
      <c r="D22428" t="s">
        <v>23500</v>
      </c>
      <c r="E22428" t="s">
        <v>44840</v>
      </c>
    </row>
    <row r="22429" spans="1:5">
      <c r="A22429" t="s">
        <v>6</v>
      </c>
      <c r="B22429" t="s">
        <v>22434</v>
      </c>
      <c r="C22429">
        <f>HYPERLINK("C:\Users\franc\OneDrive\Documentos\MALENTIN KARIME\BANCO CREDITO\FER LORCA en ROSITA (Rosita)\ANA LUISA TODO\VARIOS\AGREGA IMPUESTO PAGARE.doc", "Abrir Documento")</f>
        <v>0</v>
      </c>
      <c r="D22429" t="s">
        <v>23500</v>
      </c>
      <c r="E22429" t="s">
        <v>44840</v>
      </c>
    </row>
    <row r="22430" spans="1:5">
      <c r="A22430" t="s">
        <v>6</v>
      </c>
      <c r="B22430" t="s">
        <v>22435</v>
      </c>
      <c r="C22430">
        <f>HYPERLINK("C:\Users\franc\OneDrive\Documentos\MALENTIN KARIME\BANCO CREDITO\FER LORCA en ROSITA (Rosita)\ANA LUISA TODO\VARIOS\AGREGA IMPUESTO MARUBENI.doc", "Abrir Documento")</f>
        <v>0</v>
      </c>
      <c r="D22430" t="s">
        <v>23500</v>
      </c>
      <c r="E22430" t="s">
        <v>44841</v>
      </c>
    </row>
    <row r="22431" spans="1:5">
      <c r="A22431" t="s">
        <v>6</v>
      </c>
      <c r="B22431" t="s">
        <v>22436</v>
      </c>
      <c r="C22431">
        <f>HYPERLINK("C:\Users\franc\OneDrive\Documentos\MALENTIN KARIME\BANCO CREDITO\FER LORCA en ROSITA (Rosita)\ANA LUISA TODO\VARIOS\AGREGA IMPUESTO MARUBENI FINAL.doc", "Abrir Documento")</f>
        <v>0</v>
      </c>
      <c r="D22431" t="s">
        <v>23500</v>
      </c>
      <c r="E22431" t="s">
        <v>44842</v>
      </c>
    </row>
    <row r="22432" spans="1:5">
      <c r="A22432" t="s">
        <v>6</v>
      </c>
      <c r="B22432" t="s">
        <v>22437</v>
      </c>
      <c r="C22432">
        <f>HYPERLINK("C:\Users\franc\OneDrive\Documentos\MALENTIN KARIME\BANCO CREDITO\FER LORCA en ROSITA (Rosita)\ANA LUISA TODO\VARIOS\AGREGA IMPUESTO enmendado.doc", "Abrir Documento")</f>
        <v>0</v>
      </c>
      <c r="D22432" t="s">
        <v>23500</v>
      </c>
      <c r="E22432" t="s">
        <v>44843</v>
      </c>
    </row>
    <row r="22433" spans="1:5">
      <c r="A22433" t="s">
        <v>6</v>
      </c>
      <c r="B22433" t="s">
        <v>22438</v>
      </c>
      <c r="C22433">
        <f>HYPERLINK("C:\Users\franc\OneDrive\Documentos\MALENTIN KARIME\BANCO CREDITO\FER LORCA en ROSITA (Rosita)\ANA LUISA TODO\VARIOS\agrega dos.doc", "Abrir Documento")</f>
        <v>0</v>
      </c>
      <c r="D22433" t="s">
        <v>23500</v>
      </c>
      <c r="E22433" t="s">
        <v>44844</v>
      </c>
    </row>
    <row r="22434" spans="1:5">
      <c r="A22434" t="s">
        <v>6</v>
      </c>
      <c r="B22434" t="s">
        <v>22439</v>
      </c>
      <c r="C22434">
        <f>HYPERLINK("C:\Users\franc\OneDrive\Documentos\MALENTIN KARIME\BANCO CREDITO\FER LORCA en ROSITA (Rosita)\ANA LUISA TODO\VARIOS\AGREGA IMPUESTO AL MARGEN.doc", "Abrir Documento")</f>
        <v>0</v>
      </c>
      <c r="D22434" t="s">
        <v>23500</v>
      </c>
      <c r="E22434" t="s">
        <v>44844</v>
      </c>
    </row>
    <row r="22435" spans="1:5">
      <c r="A22435" t="s">
        <v>6</v>
      </c>
      <c r="B22435" t="s">
        <v>22440</v>
      </c>
      <c r="C22435">
        <f>HYPERLINK("C:\Users\franc\OneDrive\Documentos\MALENTIN KARIME\BANCO CREDITO\FER LORCA en ROSITA (Rosita)\ANA LUISA TODO\VARIOS\AGREGA CERTIFICADOS ULTIMOS.doc", "Abrir Documento")</f>
        <v>0</v>
      </c>
      <c r="D22435" t="s">
        <v>23500</v>
      </c>
      <c r="E22435" t="s">
        <v>44845</v>
      </c>
    </row>
    <row r="22436" spans="1:5">
      <c r="A22436" t="s">
        <v>6</v>
      </c>
      <c r="B22436" t="s">
        <v>22441</v>
      </c>
      <c r="C22436">
        <f>HYPERLINK("C:\Users\franc\OneDrive\Documentos\MALENTIN KARIME\BANCO CREDITO\FER LORCA en ROSITA (Rosita)\ANA LUISA TODO\VARIOS\AGREGA CERTIFICADO.doc", "Abrir Documento")</f>
        <v>0</v>
      </c>
      <c r="D22436" t="s">
        <v>23500</v>
      </c>
      <c r="E22436" t="s">
        <v>44846</v>
      </c>
    </row>
    <row r="22437" spans="1:5">
      <c r="A22437" t="s">
        <v>6</v>
      </c>
      <c r="B22437" t="s">
        <v>22442</v>
      </c>
      <c r="C22437">
        <f>HYPERLINK("C:\Users\franc\OneDrive\Documentos\MALENTIN KARIME\BANCO CREDITO\FER LORCA en ROSITA (Rosita)\ANA LUISA TODO\VARIOS\AGREGA CERTIFICADO matrimonio normal.doc", "Abrir Documento")</f>
        <v>0</v>
      </c>
      <c r="D22437" t="s">
        <v>23500</v>
      </c>
      <c r="E22437" t="s">
        <v>44847</v>
      </c>
    </row>
    <row r="22438" spans="1:5">
      <c r="A22438" t="s">
        <v>6</v>
      </c>
      <c r="B22438" t="s">
        <v>22443</v>
      </c>
      <c r="C22438">
        <f>HYPERLINK("C:\Users\franc\OneDrive\Documentos\MALENTIN KARIME\BANCO CREDITO\FER LORCA en ROSITA (Rosita)\ANA LUISA TODO\VARIOS\AGREGA CERTIFICADO PAGO CONTRIB..doc", "Abrir Documento")</f>
        <v>0</v>
      </c>
      <c r="D22438" t="s">
        <v>23500</v>
      </c>
      <c r="E22438" t="s">
        <v>44847</v>
      </c>
    </row>
    <row r="22439" spans="1:5">
      <c r="A22439" t="s">
        <v>6</v>
      </c>
      <c r="B22439" t="s">
        <v>22444</v>
      </c>
      <c r="C22439">
        <f>HYPERLINK("C:\Users\franc\OneDrive\Documentos\MALENTIN KARIME\BANCO CREDITO\FER LORCA en ROSITA (Rosita)\ANA LUISA TODO\VARIOS\AGREGA CERTIFICADO matrimonio internet.doc", "Abrir Documento")</f>
        <v>0</v>
      </c>
      <c r="D22439" t="s">
        <v>23500</v>
      </c>
      <c r="E22439" t="s">
        <v>44848</v>
      </c>
    </row>
    <row r="22440" spans="1:5">
      <c r="A22440" t="s">
        <v>6</v>
      </c>
      <c r="B22440" t="s">
        <v>22445</v>
      </c>
      <c r="C22440">
        <f>HYPERLINK("C:\Users\franc\OneDrive\Documentos\MALENTIN KARIME\BANCO CREDITO\FER LORCA en ROSITA (Rosita)\ANA LUISA TODO\VARIOS\AGREGA CERTIFICADO 20130 BCO. SANTANDER.doc", "Abrir Documento")</f>
        <v>0</v>
      </c>
      <c r="D22440" t="s">
        <v>23500</v>
      </c>
      <c r="E22440" t="s">
        <v>44849</v>
      </c>
    </row>
    <row r="22441" spans="1:5">
      <c r="A22441" t="s">
        <v>6</v>
      </c>
      <c r="B22441" t="s">
        <v>22446</v>
      </c>
      <c r="C22441">
        <f>HYPERLINK("C:\Users\franc\OneDrive\Documentos\MALENTIN KARIME\BANCO CREDITO\FER LORCA en ROSITA (Rosita)\ANA LUISA TODO\VARIOS\AGREGA CERTIFICADO  aguas ASOC. CANALISTAD.doc", "Abrir Documento")</f>
        <v>0</v>
      </c>
      <c r="D22441" t="s">
        <v>23500</v>
      </c>
      <c r="E22441" t="s">
        <v>44850</v>
      </c>
    </row>
    <row r="22442" spans="1:5">
      <c r="A22442" t="s">
        <v>6</v>
      </c>
      <c r="B22442" t="s">
        <v>22447</v>
      </c>
      <c r="C22442">
        <f>HYPERLINK("C:\Users\franc\OneDrive\Documentos\MALENTIN KARIME\BANCO CREDITO\FER LORCA en ROSITA (Rosita)\ANA LUISA TODO\VARIOS\AGREGA certific.doc", "Abrir Documento")</f>
        <v>0</v>
      </c>
      <c r="D22442" t="s">
        <v>23500</v>
      </c>
      <c r="E22442" t="s">
        <v>44851</v>
      </c>
    </row>
    <row r="22443" spans="1:5">
      <c r="A22443" t="s">
        <v>6</v>
      </c>
      <c r="B22443" t="s">
        <v>22448</v>
      </c>
      <c r="C22443">
        <f>HYPERLINK("C:\Users\franc\OneDrive\Documentos\MALENTIN KARIME\BANCO CREDITO\FER LORCA en ROSITA (Rosita)\ANA LUISA TODO\VARIOS\AGREGA CERTI. VEHICULO.doc", "Abrir Documento")</f>
        <v>0</v>
      </c>
      <c r="D22443" t="s">
        <v>23500</v>
      </c>
      <c r="E22443" t="s">
        <v>44852</v>
      </c>
    </row>
    <row r="22444" spans="1:5">
      <c r="A22444" t="s">
        <v>6</v>
      </c>
      <c r="B22444" t="s">
        <v>22449</v>
      </c>
      <c r="C22444">
        <f>HYPERLINK("C:\Users\franc\OneDrive\Documentos\MALENTIN KARIME\BANCO CREDITO\FER LORCA en ROSITA (Rosita)\ANA LUISA TODO\VARIOS\AGREGA CERT. FORMULAIRO 30.doc", "Abrir Documento")</f>
        <v>0</v>
      </c>
      <c r="D22444" t="s">
        <v>23500</v>
      </c>
      <c r="E22444" t="s">
        <v>44853</v>
      </c>
    </row>
    <row r="22445" spans="1:5">
      <c r="A22445" t="s">
        <v>6</v>
      </c>
      <c r="B22445" t="s">
        <v>22450</v>
      </c>
      <c r="C22445">
        <f>HYPERLINK("C:\Users\franc\OneDrive\Documentos\MALENTIN KARIME\BANCO CREDITO\FER LORCA en ROSITA (Rosita)\ANA LUISA TODO\VARIOS\ACUERDO REPARATORIO.doc", "Abrir Documento")</f>
        <v>0</v>
      </c>
      <c r="D22445" t="s">
        <v>23500</v>
      </c>
      <c r="E22445" t="s">
        <v>44854</v>
      </c>
    </row>
    <row r="22446" spans="1:5">
      <c r="A22446" t="s">
        <v>6</v>
      </c>
      <c r="B22446" t="s">
        <v>22451</v>
      </c>
      <c r="C22446">
        <f>HYPERLINK("C:\Users\franc\OneDrive\Documentos\MALENTIN KARIME\BANCO CREDITO\FER LORCA en ROSITA (Rosita)\ANA LUISA TODO\VARIOS\ACTA VISITA.doc", "Abrir Documento")</f>
        <v>0</v>
      </c>
      <c r="D22446" t="s">
        <v>23500</v>
      </c>
      <c r="E22446" t="s">
        <v>44855</v>
      </c>
    </row>
    <row r="22447" spans="1:5">
      <c r="A22447" t="s">
        <v>6</v>
      </c>
      <c r="B22447" t="s">
        <v>22452</v>
      </c>
      <c r="C22447">
        <f>HYPERLINK("C:\Users\franc\OneDrive\Documentos\MALENTIN KARIME\BANCO CREDITO\FER LORCA en ROSITA (Rosita)\ANA LUISA TODO\VARIOS\ACTA VISITA ANUAL.doc", "Abrir Documento")</f>
        <v>0</v>
      </c>
      <c r="D22447" t="s">
        <v>23500</v>
      </c>
      <c r="E22447" t="s">
        <v>44856</v>
      </c>
    </row>
    <row r="22448" spans="1:5">
      <c r="A22448" t="s">
        <v>6</v>
      </c>
      <c r="B22448" t="s">
        <v>22453</v>
      </c>
      <c r="C22448">
        <f>HYPERLINK("C:\Users\franc\OneDrive\Documentos\MALENTIN KARIME\BANCO CREDITO\FER LORCA en ROSITA (Rosita)\ANA LUISA TODO\VALLECITO\MARIA ALUCEMA Y OTROS A ANDRES MORALES.doc", "Abrir Documento")</f>
        <v>0</v>
      </c>
      <c r="D22448" t="s">
        <v>23500</v>
      </c>
      <c r="E22448" t="s">
        <v>44857</v>
      </c>
    </row>
    <row r="22449" spans="1:5">
      <c r="A22449" t="s">
        <v>6</v>
      </c>
      <c r="B22449" t="s">
        <v>22454</v>
      </c>
      <c r="C22449">
        <f>HYPERLINK("C:\Users\franc\OneDrive\Documentos\MALENTIN KARIME\BANCO CREDITO\FER LORCA en ROSITA (Rosita)\ANA LUISA TODO\VALLECITO\Instruc notario Fundo Vallecito.doc", "Abrir Documento")</f>
        <v>0</v>
      </c>
      <c r="D22449" t="s">
        <v>23500</v>
      </c>
      <c r="E22449" t="s">
        <v>44858</v>
      </c>
    </row>
    <row r="22450" spans="1:5">
      <c r="A22450" t="s">
        <v>6</v>
      </c>
      <c r="B22450" t="s">
        <v>22455</v>
      </c>
      <c r="C22450">
        <f>HYPERLINK("C:\Users\franc\OneDrive\Documentos\MALENTIN KARIME\BANCO CREDITO\FER LORCA en ROSITA (Rosita)\ANA LUISA TODO\USUFRUCTO\HUGO VALDIVIA A SUS PADRES.doc", "Abrir Documento")</f>
        <v>0</v>
      </c>
      <c r="D22450" t="s">
        <v>23500</v>
      </c>
      <c r="E22450" t="s">
        <v>44859</v>
      </c>
    </row>
    <row r="22451" spans="1:5">
      <c r="A22451" t="s">
        <v>6</v>
      </c>
      <c r="B22451" t="s">
        <v>22456</v>
      </c>
      <c r="C22451">
        <f>HYPERLINK("C:\Users\franc\OneDrive\Documentos\MALENTIN KARIME\BANCO CREDITO\FER LORCA en ROSITA (Rosita)\ANA LUISA TODO\USUFRUCTO\LUIS PIZARRO ROJAS A VALENTINO.doc", "Abrir Documento")</f>
        <v>0</v>
      </c>
      <c r="D22451" t="s">
        <v>23500</v>
      </c>
      <c r="E22451" t="s">
        <v>44859</v>
      </c>
    </row>
    <row r="22452" spans="1:5">
      <c r="A22452" t="s">
        <v>6</v>
      </c>
      <c r="B22452" t="s">
        <v>22457</v>
      </c>
      <c r="C22452">
        <f>HYPERLINK("C:\Users\franc\OneDrive\Documentos\MALENTIN KARIME\BANCO CREDITO\FER LORCA en ROSITA (Rosita)\ANA LUISA TODO\USUFRUCTO\CRISTIAN ESQUIVEL.doc", "Abrir Documento")</f>
        <v>0</v>
      </c>
      <c r="D22452" t="s">
        <v>23500</v>
      </c>
      <c r="E22452" t="s">
        <v>44860</v>
      </c>
    </row>
    <row r="22453" spans="1:5">
      <c r="A22453" t="s">
        <v>6</v>
      </c>
      <c r="B22453" t="s">
        <v>22458</v>
      </c>
      <c r="C22453">
        <f>HYPERLINK("C:\Users\franc\OneDrive\Documentos\MALENTIN KARIME\BANCO CREDITO\FER LORCA en ROSITA (Rosita)\ANA LUISA TODO\UNIFRUTTI\UNI AGRI SANTA ROSA JULIO 2009.doc", "Abrir Documento")</f>
        <v>0</v>
      </c>
      <c r="D22453" t="s">
        <v>23500</v>
      </c>
      <c r="E22453" t="s">
        <v>44861</v>
      </c>
    </row>
    <row r="22454" spans="1:5">
      <c r="A22454" t="s">
        <v>6</v>
      </c>
      <c r="B22454" t="s">
        <v>22459</v>
      </c>
      <c r="C22454">
        <f>HYPERLINK("C:\Users\franc\OneDrive\Documentos\MALENTIN KARIME\BANCO CREDITO\FER LORCA en ROSITA (Rosita)\ANA LUISA TODO\UNIFRUTTI\UNI AGRI SANTA ROSA JULIO 2008.doc", "Abrir Documento")</f>
        <v>0</v>
      </c>
      <c r="D22454" t="s">
        <v>23500</v>
      </c>
      <c r="E22454" t="s">
        <v>44862</v>
      </c>
    </row>
    <row r="22455" spans="1:5">
      <c r="A22455" t="s">
        <v>6</v>
      </c>
      <c r="B22455" t="s">
        <v>22460</v>
      </c>
      <c r="C22455">
        <f>HYPERLINK("C:\Users\franc\OneDrive\Documentos\MALENTIN KARIME\BANCO CREDITO\FER LORCA en ROSITA (Rosita)\ANA LUISA TODO\UNIFRUTTI\UNI AGRI NUEVA AURORA.doc", "Abrir Documento")</f>
        <v>0</v>
      </c>
      <c r="D22455" t="s">
        <v>23500</v>
      </c>
      <c r="E22455" t="s">
        <v>44863</v>
      </c>
    </row>
    <row r="22456" spans="1:5">
      <c r="A22456" t="s">
        <v>6</v>
      </c>
      <c r="B22456" t="s">
        <v>22461</v>
      </c>
      <c r="C22456">
        <f>HYPERLINK("C:\Users\franc\OneDrive\Documentos\MALENTIN KARIME\BANCO CREDITO\FER LORCA en ROSITA (Rosita)\ANA LUISA TODO\UNIFRUTTI\UNI AGRI LAS REPRESAS.doc", "Abrir Documento")</f>
        <v>0</v>
      </c>
      <c r="D22456" t="s">
        <v>23500</v>
      </c>
      <c r="E22456" t="s">
        <v>44864</v>
      </c>
    </row>
    <row r="22457" spans="1:5">
      <c r="A22457" t="s">
        <v>6</v>
      </c>
      <c r="B22457" t="s">
        <v>22462</v>
      </c>
      <c r="C22457">
        <f>HYPERLINK("C:\Users\franc\OneDrive\Documentos\MALENTIN KARIME\BANCO CREDITO\FER LORCA en ROSITA (Rosita)\ANA LUISA TODO\UNIFRUTTI\UNI AGRI EL TREBOL.doc", "Abrir Documento")</f>
        <v>0</v>
      </c>
      <c r="D22457" t="s">
        <v>23500</v>
      </c>
      <c r="E22457" t="s">
        <v>44865</v>
      </c>
    </row>
    <row r="22458" spans="1:5">
      <c r="A22458" t="s">
        <v>6</v>
      </c>
      <c r="B22458" t="s">
        <v>22463</v>
      </c>
      <c r="C22458">
        <f>HYPERLINK("C:\Users\franc\OneDrive\Documentos\MALENTIN KARIME\BANCO CREDITO\FER LORCA en ROSITA (Rosita)\ANA LUISA TODO\UNIFRUTTI\SIBERIA  ABRIL 2009.doc", "Abrir Documento")</f>
        <v>0</v>
      </c>
      <c r="D22458" t="s">
        <v>23500</v>
      </c>
      <c r="E22458" t="s">
        <v>44866</v>
      </c>
    </row>
    <row r="22459" spans="1:5">
      <c r="A22459" t="s">
        <v>6</v>
      </c>
      <c r="B22459" t="s">
        <v>22464</v>
      </c>
      <c r="C22459">
        <f>HYPERLINK("C:\Users\franc\OneDrive\Documentos\MALENTIN KARIME\BANCO CREDITO\FER LORCA en ROSITA (Rosita)\ANA LUISA TODO\UNIFRUTTI\SUC. ORDENES A UNIFRUTTI.doc", "Abrir Documento")</f>
        <v>0</v>
      </c>
      <c r="D22459" t="s">
        <v>23500</v>
      </c>
      <c r="E22459" t="s">
        <v>44866</v>
      </c>
    </row>
    <row r="22460" spans="1:5">
      <c r="A22460" t="s">
        <v>6</v>
      </c>
      <c r="B22460" t="s">
        <v>22465</v>
      </c>
      <c r="C22460">
        <f>HYPERLINK("C:\Users\franc\OneDrive\Documentos\MALENTIN KARIME\BANCO CREDITO\FER LORCA en ROSITA (Rosita)\ANA LUISA TODO\UNIFRUTTI\NUEVA AURORA ABRIL 2009.doc", "Abrir Documento")</f>
        <v>0</v>
      </c>
      <c r="D22460" t="s">
        <v>23500</v>
      </c>
      <c r="E22460" t="s">
        <v>44867</v>
      </c>
    </row>
    <row r="22461" spans="1:5">
      <c r="A22461" t="s">
        <v>6</v>
      </c>
      <c r="B22461" t="s">
        <v>22466</v>
      </c>
      <c r="C22461">
        <f>HYPERLINK("C:\Users\franc\OneDrive\Documentos\MALENTIN KARIME\BANCO CREDITO\FER LORCA en ROSITA (Rosita)\ANA LUISA TODO\UNIFRUTTI\LISTADO PAGO SUC. ORDENES.doc", "Abrir Documento")</f>
        <v>0</v>
      </c>
      <c r="D22461" t="s">
        <v>23500</v>
      </c>
      <c r="E22461" t="s">
        <v>44868</v>
      </c>
    </row>
    <row r="22462" spans="1:5">
      <c r="A22462" t="s">
        <v>6</v>
      </c>
      <c r="B22462" t="s">
        <v>22467</v>
      </c>
      <c r="C22462">
        <f>HYPERLINK("C:\Users\franc\OneDrive\Documentos\MALENTIN KARIME\BANCO CREDITO\FER LORCA en ROSITA (Rosita)\ANA LUISA TODO\UNIFRUTTI\LAS REPRESAS  ABRIL 2009.doc", "Abrir Documento")</f>
        <v>0</v>
      </c>
      <c r="D22462" t="s">
        <v>23500</v>
      </c>
      <c r="E22462" t="s">
        <v>44869</v>
      </c>
    </row>
    <row r="22463" spans="1:5">
      <c r="A22463" t="s">
        <v>6</v>
      </c>
      <c r="B22463" t="s">
        <v>22468</v>
      </c>
      <c r="C22463">
        <f>HYPERLINK("C:\Users\franc\OneDrive\Documentos\MALENTIN KARIME\BANCO CREDITO\FER LORCA en ROSITA (Rosita)\ANA LUISA TODO\UNIFRUTTI\LA COIPA  ABRIL 2009.doc", "Abrir Documento")</f>
        <v>0</v>
      </c>
      <c r="D22463" t="s">
        <v>23500</v>
      </c>
      <c r="E22463" t="s">
        <v>44870</v>
      </c>
    </row>
    <row r="22464" spans="1:5">
      <c r="A22464" t="s">
        <v>6</v>
      </c>
      <c r="B22464" t="s">
        <v>22469</v>
      </c>
      <c r="C22464">
        <f>HYPERLINK("C:\Users\franc\OneDrive\Documentos\MALENTIN KARIME\BANCO CREDITO\FER LORCA en ROSITA (Rosita)\ANA LUISA TODO\UNIFRUTTI\JOSE ARACENA A UNIAGRI (AGUAS).doc", "Abrir Documento")</f>
        <v>0</v>
      </c>
      <c r="D22464" t="s">
        <v>23500</v>
      </c>
      <c r="E22464" t="s">
        <v>44871</v>
      </c>
    </row>
    <row r="22465" spans="1:5">
      <c r="A22465" t="s">
        <v>6</v>
      </c>
      <c r="B22465" t="s">
        <v>22470</v>
      </c>
      <c r="C22465">
        <f>HYPERLINK("C:\Users\franc\OneDrive\Documentos\MALENTIN KARIME\BANCO CREDITO\FER LORCA en ROSITA (Rosita)\ANA LUISA TODO\UNIFRUTTI\INSTRUC. GLORIA CORTES.doc", "Abrir Documento")</f>
        <v>0</v>
      </c>
      <c r="D22465" t="s">
        <v>23500</v>
      </c>
      <c r="E22465" t="s">
        <v>44872</v>
      </c>
    </row>
    <row r="22466" spans="1:5">
      <c r="A22466" t="s">
        <v>6</v>
      </c>
      <c r="B22466" t="s">
        <v>22471</v>
      </c>
      <c r="C22466">
        <f>HYPERLINK("C:\Users\franc\OneDrive\Documentos\MALENTIN KARIME\BANCO CREDITO\FER LORCA en ROSITA (Rosita)\ANA LUISA TODO\UNIFRUTTI\GLORIA CORTES A UNIAGRI (AGUAS).doc", "Abrir Documento")</f>
        <v>0</v>
      </c>
      <c r="D22466" t="s">
        <v>23500</v>
      </c>
      <c r="E22466" t="s">
        <v>44873</v>
      </c>
    </row>
    <row r="22467" spans="1:5">
      <c r="A22467" t="s">
        <v>6</v>
      </c>
      <c r="B22467" t="s">
        <v>22472</v>
      </c>
      <c r="C22467">
        <f>HYPERLINK("C:\Users\franc\OneDrive\Documentos\MALENTIN KARIME\BANCO CREDITO\FER LORCA en ROSITA (Rosita)\ANA LUISA TODO\UNIFRUTTI\FUNDO SANTA ROSA ABRIL 2009.doc", "Abrir Documento")</f>
        <v>0</v>
      </c>
      <c r="D22467" t="s">
        <v>23500</v>
      </c>
      <c r="E22467" t="s">
        <v>44874</v>
      </c>
    </row>
    <row r="22468" spans="1:5">
      <c r="A22468" t="s">
        <v>6</v>
      </c>
      <c r="B22468" t="s">
        <v>22473</v>
      </c>
      <c r="C22468">
        <f>HYPERLINK("C:\Users\franc\OneDrive\Documentos\MALENTIN KARIME\BANCO CREDITO\FER LORCA en ROSITA (Rosita)\ANA LUISA TODO\UNIFRUTTI\FUNDO CHACARILLAS ABRIL 2009 (2).doc", "Abrir Documento")</f>
        <v>0</v>
      </c>
      <c r="D22468" t="s">
        <v>23500</v>
      </c>
      <c r="E22468" t="s">
        <v>44875</v>
      </c>
    </row>
    <row r="22469" spans="1:5">
      <c r="A22469" t="s">
        <v>6</v>
      </c>
      <c r="B22469" t="s">
        <v>22474</v>
      </c>
      <c r="C22469">
        <f>HYPERLINK("C:\Users\franc\OneDrive\Documentos\MALENTIN KARIME\BANCO CREDITO\FER LORCA en ROSITA (Rosita)\ANA LUISA TODO\UNIFRUTTI\fotos.doc", "Abrir Documento")</f>
        <v>0</v>
      </c>
      <c r="D22469" t="s">
        <v>23500</v>
      </c>
      <c r="E22469" t="s">
        <v>44876</v>
      </c>
    </row>
    <row r="22470" spans="1:5">
      <c r="A22470" t="s">
        <v>6</v>
      </c>
      <c r="B22470" t="s">
        <v>22475</v>
      </c>
      <c r="C22470">
        <f>HYPERLINK("C:\Users\franc\OneDrive\Documentos\MALENTIN KARIME\BANCO CREDITO\FER LORCA en ROSITA (Rosita)\ANA LUISA TODO\UNIFRUTTI\foto (1).doc", "Abrir Documento")</f>
        <v>0</v>
      </c>
      <c r="D22470" t="s">
        <v>23500</v>
      </c>
      <c r="E22470" t="s">
        <v>44877</v>
      </c>
    </row>
    <row r="22471" spans="1:5">
      <c r="A22471" t="s">
        <v>6</v>
      </c>
      <c r="B22471" t="s">
        <v>22476</v>
      </c>
      <c r="C22471">
        <f>HYPERLINK("C:\Users\franc\OneDrive\Documentos\MALENTIN KARIME\BANCO CREDITO\FER LORCA en ROSITA (Rosita)\ANA LUISA TODO\UNIFRUTTI\CHAÑARAL ALTO ABRIL 2009.doc", "Abrir Documento")</f>
        <v>0</v>
      </c>
      <c r="D22471" t="s">
        <v>23500</v>
      </c>
      <c r="E22471" t="s">
        <v>44878</v>
      </c>
    </row>
    <row r="22472" spans="1:5">
      <c r="A22472" t="s">
        <v>6</v>
      </c>
      <c r="B22472" t="s">
        <v>22477</v>
      </c>
      <c r="C22472">
        <f>HYPERLINK("C:\Users\franc\OneDrive\Documentos\MALENTIN KARIME\BANCO CREDITO\FER LORCA en ROSITA (Rosita)\ANA LUISA TODO\UNIFRUTTI\CHACARILLAS JULIO 2009.doc", "Abrir Documento")</f>
        <v>0</v>
      </c>
      <c r="D22472" t="s">
        <v>23500</v>
      </c>
      <c r="E22472" t="s">
        <v>44879</v>
      </c>
    </row>
    <row r="22473" spans="1:5">
      <c r="A22473" t="s">
        <v>6</v>
      </c>
      <c r="B22473" t="s">
        <v>22478</v>
      </c>
      <c r="C22473">
        <f>HYPERLINK("C:\Users\franc\OneDrive\Documentos\MALENTIN KARIME\BANCO CREDITO\FER LORCA en ROSITA (Rosita)\ANA LUISA TODO\UNIFRUTTI\CHACARILLAS ABRIL 2009.doc", "Abrir Documento")</f>
        <v>0</v>
      </c>
      <c r="D22473" t="s">
        <v>23500</v>
      </c>
      <c r="E22473" t="s">
        <v>44880</v>
      </c>
    </row>
    <row r="22474" spans="1:5">
      <c r="A22474" t="s">
        <v>6</v>
      </c>
      <c r="B22474" t="s">
        <v>22479</v>
      </c>
      <c r="C22474">
        <f>HYPERLINK("C:\Users\franc\OneDrive\Documentos\MALENTIN KARIME\BANCO CREDITO\FER LORCA en ROSITA (Rosita)\ANA LUISA TODO\UNIFRUTTI\Carta-Instrucción-Compra-Aguas-OrdenesOK.doc", "Abrir Documento")</f>
        <v>0</v>
      </c>
      <c r="D22474" t="s">
        <v>23500</v>
      </c>
      <c r="E22474" t="s">
        <v>44881</v>
      </c>
    </row>
    <row r="22475" spans="1:5">
      <c r="A22475" t="s">
        <v>6</v>
      </c>
      <c r="B22475" t="s">
        <v>22480</v>
      </c>
      <c r="C22475">
        <f>HYPERLINK("C:\Users\franc\OneDrive\Documentos\MALENTIN KARIME\BANCO CREDITO\FER LORCA en ROSITA (Rosita)\ANA LUISA TODO\UNIFRUTTI\Carta-Instrucción-Compra-Aguas-Corral.doc", "Abrir Documento")</f>
        <v>0</v>
      </c>
      <c r="D22475" t="s">
        <v>23500</v>
      </c>
      <c r="E22475" t="s">
        <v>44882</v>
      </c>
    </row>
    <row r="22476" spans="1:5">
      <c r="A22476" t="s">
        <v>6</v>
      </c>
      <c r="B22476" t="s">
        <v>22481</v>
      </c>
      <c r="C22476">
        <f>HYPERLINK("C:\Users\franc\OneDrive\Documentos\MALENTIN KARIME\BANCO CREDITO\FER LORCA en ROSITA (Rosita)\ANA LUISA TODO\UNIFRUTTI\Carta-Instrucción-Compra-Aguas-Aracena.doc", "Abrir Documento")</f>
        <v>0</v>
      </c>
      <c r="D22476" t="s">
        <v>23500</v>
      </c>
      <c r="E22476" t="s">
        <v>44883</v>
      </c>
    </row>
    <row r="22477" spans="1:5">
      <c r="A22477" t="s">
        <v>6</v>
      </c>
      <c r="B22477" t="s">
        <v>22482</v>
      </c>
      <c r="C22477">
        <f>HYPERLINK("C:\Users\franc\OneDrive\Documentos\MALENTIN KARIME\BANCO CREDITO\FER LORCA en ROSITA (Rosita)\ANA LUISA TODO\UNIFRUTTI\ANTONIO CORRAL MOREY (AGUAS).doc", "Abrir Documento")</f>
        <v>0</v>
      </c>
      <c r="D22477" t="s">
        <v>23500</v>
      </c>
      <c r="E22477" t="s">
        <v>44884</v>
      </c>
    </row>
    <row r="22478" spans="1:5">
      <c r="A22478" t="s">
        <v>6</v>
      </c>
      <c r="B22478" t="s">
        <v>22483</v>
      </c>
      <c r="C22478">
        <f>HYPERLINK("C:\Users\franc\OneDrive\Documentos\MALENTIN KARIME\BANCO CREDITO\FER LORCA en ROSITA (Rosita)\ANA LUISA TODO\UNIFRUTTI\ACTAS UNIAGRI- CAMARICO.doc", "Abrir Documento")</f>
        <v>0</v>
      </c>
      <c r="D22478" t="s">
        <v>23500</v>
      </c>
      <c r="E22478" t="s">
        <v>44885</v>
      </c>
    </row>
    <row r="22479" spans="1:5">
      <c r="A22479" t="s">
        <v>6</v>
      </c>
      <c r="B22479" t="s">
        <v>22484</v>
      </c>
      <c r="C22479">
        <f>HYPERLINK("C:\Users\franc\OneDrive\Documentos\MALENTIN KARIME\BANCO CREDITO\FER LORCA en ROSITA (Rosita)\ANA LUISA TODO\UNIFRUTTI\ACTAS UNI-AGRI NUEVA AURORA (2 CUARTELES).doc", "Abrir Documento")</f>
        <v>0</v>
      </c>
      <c r="D22479" t="s">
        <v>23500</v>
      </c>
      <c r="E22479" t="s">
        <v>44886</v>
      </c>
    </row>
    <row r="22480" spans="1:5">
      <c r="A22480" t="s">
        <v>6</v>
      </c>
      <c r="B22480" t="s">
        <v>22485</v>
      </c>
      <c r="C22480">
        <f>HYPERLINK("C:\Users\franc\OneDrive\Documentos\MALENTIN KARIME\BANCO CREDITO\FER LORCA en ROSITA (Rosita)\ANA LUISA TODO\UNIFRUTTI\ACTAS UNI-AGRI.doc", "Abrir Documento")</f>
        <v>0</v>
      </c>
      <c r="D22480" t="s">
        <v>23500</v>
      </c>
      <c r="E22480" t="s">
        <v>44886</v>
      </c>
    </row>
    <row r="22481" spans="1:5">
      <c r="A22481" t="s">
        <v>6</v>
      </c>
      <c r="B22481" t="s">
        <v>22486</v>
      </c>
      <c r="C22481">
        <f>HYPERLINK("C:\Users\franc\OneDrive\Documentos\MALENTIN KARIME\BANCO CREDITO\FER LORCA en ROSITA (Rosita)\ANA LUISA TODO\UNIFRUTTI\ACTAS UNI-AGRI LA ISLA.doc", "Abrir Documento")</f>
        <v>0</v>
      </c>
      <c r="D22481" t="s">
        <v>23500</v>
      </c>
      <c r="E22481" t="s">
        <v>44887</v>
      </c>
    </row>
    <row r="22482" spans="1:5">
      <c r="A22482" t="s">
        <v>6</v>
      </c>
      <c r="B22482" t="s">
        <v>22487</v>
      </c>
      <c r="C22482">
        <f>HYPERLINK("C:\Users\franc\OneDrive\Documentos\MALENTIN KARIME\BANCO CREDITO\FER LORCA en ROSITA (Rosita)\ANA LUISA TODO\UNIFRUTTI\ACTAS UNI-AGRI LA CHACARILLA.doc", "Abrir Documento")</f>
        <v>0</v>
      </c>
      <c r="D22482" t="s">
        <v>23500</v>
      </c>
      <c r="E22482" t="s">
        <v>44888</v>
      </c>
    </row>
    <row r="22483" spans="1:5">
      <c r="A22483" t="s">
        <v>6</v>
      </c>
      <c r="B22483" t="s">
        <v>22488</v>
      </c>
      <c r="C22483">
        <f>HYPERLINK("C:\Users\franc\OneDrive\Documentos\MALENTIN KARIME\BANCO CREDITO\FER LORCA en ROSITA (Rosita)\ANA LUISA TODO\UNIFRUTTI\ACTAS UNI-AGRI HUANILLA  MAYO 2008.doc", "Abrir Documento")</f>
        <v>0</v>
      </c>
      <c r="D22483" t="s">
        <v>23500</v>
      </c>
      <c r="E22483" t="s">
        <v>44889</v>
      </c>
    </row>
    <row r="22484" spans="1:5">
      <c r="A22484" t="s">
        <v>6</v>
      </c>
      <c r="B22484" t="s">
        <v>22489</v>
      </c>
      <c r="C22484">
        <f>HYPERLINK("C:\Users\franc\OneDrive\Documentos\MALENTIN KARIME\BANCO CREDITO\FER LORCA en ROSITA (Rosita)\ANA LUISA TODO\UNIFRUTTI\ACTAS UNI-AGRI CHACARILLAS  MAYO 2008.doc", "Abrir Documento")</f>
        <v>0</v>
      </c>
      <c r="D22484" t="s">
        <v>23500</v>
      </c>
      <c r="E22484" t="s">
        <v>44890</v>
      </c>
    </row>
    <row r="22485" spans="1:5">
      <c r="A22485" t="s">
        <v>6</v>
      </c>
      <c r="B22485" t="s">
        <v>22490</v>
      </c>
      <c r="C22485">
        <f>HYPERLINK("C:\Users\franc\OneDrive\Documentos\MALENTIN KARIME\BANCO CREDITO\FER LORCA en ROSITA (Rosita)\ANA LUISA TODO\UNIFRUTTI\ACTAS UNI-AGRI 3.doc", "Abrir Documento")</f>
        <v>0</v>
      </c>
      <c r="D22485" t="s">
        <v>23500</v>
      </c>
      <c r="E22485" t="s">
        <v>44891</v>
      </c>
    </row>
    <row r="22486" spans="1:5">
      <c r="A22486" t="s">
        <v>6</v>
      </c>
      <c r="B22486" t="s">
        <v>22491</v>
      </c>
      <c r="C22486">
        <f>HYPERLINK("C:\Users\franc\OneDrive\Documentos\MALENTIN KARIME\BANCO CREDITO\FER LORCA en ROSITA (Rosita)\ANA LUISA TODO\UNIFRUTTI\ACTAS UNI-AGRI 09 05 2008.doc", "Abrir Documento")</f>
        <v>0</v>
      </c>
      <c r="D22486" t="s">
        <v>23500</v>
      </c>
      <c r="E22486" t="s">
        <v>44892</v>
      </c>
    </row>
    <row r="22487" spans="1:5">
      <c r="A22487" t="s">
        <v>6</v>
      </c>
      <c r="B22487" t="s">
        <v>22492</v>
      </c>
      <c r="C22487">
        <f>HYPERLINK("C:\Users\franc\OneDrive\Documentos\MALENTIN KARIME\BANCO CREDITO\FER LORCA en ROSITA (Rosita)\ANA LUISA TODO\UNIFRUTTI\ACTAS UNI-AGRI 2.doc", "Abrir Documento")</f>
        <v>0</v>
      </c>
      <c r="D22487" t="s">
        <v>23500</v>
      </c>
      <c r="E22487" t="s">
        <v>44892</v>
      </c>
    </row>
    <row r="22488" spans="1:5">
      <c r="A22488" t="s">
        <v>6</v>
      </c>
      <c r="B22488" t="s">
        <v>22493</v>
      </c>
      <c r="C22488">
        <f>HYPERLINK("C:\Users\franc\OneDrive\Documentos\MALENTIN KARIME\BANCO CREDITO\FER LORCA en ROSITA (Rosita)\ANA LUISA TODO\UNIFRUTTI\ACTAS UNI-AGRI  LA COIPA.doc", "Abrir Documento")</f>
        <v>0</v>
      </c>
      <c r="D22488" t="s">
        <v>23500</v>
      </c>
      <c r="E22488" t="s">
        <v>44893</v>
      </c>
    </row>
    <row r="22489" spans="1:5">
      <c r="A22489" t="s">
        <v>6</v>
      </c>
      <c r="B22489" t="s">
        <v>22494</v>
      </c>
      <c r="C22489">
        <f>HYPERLINK("C:\Users\franc\OneDrive\Documentos\MALENTIN KARIME\BANCO CREDITO\FER LORCA en ROSITA (Rosita)\ANA LUISA TODO\UNIFRUTTI\ACTAS UNI-AGRI  6.doc", "Abrir Documento")</f>
        <v>0</v>
      </c>
      <c r="D22489" t="s">
        <v>23500</v>
      </c>
      <c r="E22489" t="s">
        <v>44894</v>
      </c>
    </row>
    <row r="22490" spans="1:5">
      <c r="A22490" t="s">
        <v>6</v>
      </c>
      <c r="B22490" t="s">
        <v>22495</v>
      </c>
      <c r="C22490">
        <f>HYPERLINK("C:\Users\franc\OneDrive\Documentos\MALENTIN KARIME\BANCO CREDITO\FER LORCA en ROSITA (Rosita)\ANA LUISA TODO\UNIFRUTTI\ACTAS UNI-AGRI  5.doc", "Abrir Documento")</f>
        <v>0</v>
      </c>
      <c r="D22490" t="s">
        <v>23500</v>
      </c>
      <c r="E22490" t="s">
        <v>44895</v>
      </c>
    </row>
    <row r="22491" spans="1:5">
      <c r="A22491" t="s">
        <v>6</v>
      </c>
      <c r="B22491" t="s">
        <v>22496</v>
      </c>
      <c r="C22491">
        <f>HYPERLINK("C:\Users\franc\OneDrive\Documentos\MALENTIN KARIME\BANCO CREDITO\FER LORCA en ROSITA (Rosita)\ANA LUISA TODO\UNIFRUTTI\ACTA PREDIO SANTA ROAS.doc", "Abrir Documento")</f>
        <v>0</v>
      </c>
      <c r="D22491" t="s">
        <v>23500</v>
      </c>
      <c r="E22491" t="s">
        <v>44896</v>
      </c>
    </row>
    <row r="22492" spans="1:5">
      <c r="A22492" t="s">
        <v>6</v>
      </c>
      <c r="B22492" t="s">
        <v>22497</v>
      </c>
      <c r="C22492">
        <f>HYPERLINK("C:\Users\franc\OneDrive\Documentos\MALENTIN KARIME\BANCO CREDITO\FER LORCA en ROSITA (Rosita)\ANA LUISA TODO\UNIFRUTTI\ACTAS UNI-AGRI  4.doc", "Abrir Documento")</f>
        <v>0</v>
      </c>
      <c r="D22492" t="s">
        <v>23500</v>
      </c>
      <c r="E22492" t="s">
        <v>44896</v>
      </c>
    </row>
    <row r="22493" spans="1:5">
      <c r="A22493" t="s">
        <v>6</v>
      </c>
      <c r="B22493" t="s">
        <v>22498</v>
      </c>
      <c r="C22493">
        <f>HYPERLINK("C:\Users\franc\OneDrive\Documentos\MALENTIN KARIME\BANCO CREDITO\FER LORCA en ROSITA (Rosita)\ANA LUISA TODO\UNIFRUTTI\ACTA PREDIO LAS REPRESAS.doc", "Abrir Documento")</f>
        <v>0</v>
      </c>
      <c r="D22493" t="s">
        <v>23500</v>
      </c>
      <c r="E22493" t="s">
        <v>44897</v>
      </c>
    </row>
    <row r="22494" spans="1:5">
      <c r="A22494" t="s">
        <v>6</v>
      </c>
      <c r="B22494" t="s">
        <v>22499</v>
      </c>
      <c r="C22494">
        <f>HYPERLINK("C:\Users\franc\OneDrive\Documentos\MALENTIN KARIME\BANCO CREDITO\FER LORCA en ROSITA (Rosita)\ANA LUISA TODO\UNIFRUTTI\ACTA PREDIO LAS REPRESAS JULIO 2009.doc", "Abrir Documento")</f>
        <v>0</v>
      </c>
      <c r="D22494" t="s">
        <v>23500</v>
      </c>
      <c r="E22494" t="s">
        <v>44898</v>
      </c>
    </row>
    <row r="22495" spans="1:5">
      <c r="A22495" t="s">
        <v>6</v>
      </c>
      <c r="B22495" t="s">
        <v>22500</v>
      </c>
      <c r="C22495">
        <f>HYPERLINK("C:\Users\franc\OneDrive\Documentos\MALENTIN KARIME\BANCO CREDITO\FER LORCA en ROSITA (Rosita)\ANA LUISA TODO\UNIFRUTTI\ACTA PREDIO CHACARILLAS.doc", "Abrir Documento")</f>
        <v>0</v>
      </c>
      <c r="D22495" t="s">
        <v>23500</v>
      </c>
      <c r="E22495" t="s">
        <v>44899</v>
      </c>
    </row>
    <row r="22496" spans="1:5">
      <c r="A22496" t="s">
        <v>6</v>
      </c>
      <c r="B22496" t="s">
        <v>22501</v>
      </c>
      <c r="C22496">
        <f>HYPERLINK("C:\Users\franc\OneDrive\Documentos\MALENTIN KARIME\BANCO CREDITO\FER LORCA en ROSITA (Rosita)\ANA LUISA TODO\UNIFRUTTI\ACTA LA COIPA SECTORES 11, 12 Y 13.doc", "Abrir Documento")</f>
        <v>0</v>
      </c>
      <c r="D22496" t="s">
        <v>23500</v>
      </c>
      <c r="E22496" t="s">
        <v>44900</v>
      </c>
    </row>
    <row r="22497" spans="1:5">
      <c r="A22497" t="s">
        <v>6</v>
      </c>
      <c r="B22497" t="s">
        <v>22502</v>
      </c>
      <c r="C22497">
        <f>HYPERLINK("C:\Users\franc\OneDrive\Documentos\MALENTIN KARIME\BANCO CREDITO\FER LORCA en ROSITA (Rosita)\ANA LUISA TODO\UNIFRUTTI\ACTA HUANILLA CUARTELES 21,23, 24 Y 25.doc", "Abrir Documento")</f>
        <v>0</v>
      </c>
      <c r="D22497" t="s">
        <v>23500</v>
      </c>
      <c r="E22497" t="s">
        <v>44901</v>
      </c>
    </row>
    <row r="22498" spans="1:5">
      <c r="A22498" t="s">
        <v>6</v>
      </c>
      <c r="B22498" t="s">
        <v>22503</v>
      </c>
      <c r="C22498">
        <f>HYPERLINK("C:\Users\franc\OneDrive\Documentos\MALENTIN KARIME\BANCO CREDITO\FER LORCA en ROSITA (Rosita)\ANA LUISA TODO\UNIFRUTTI\ACTA FUNDO PREDIO TUQUI  NOVIEMBRE 2008.doc", "Abrir Documento")</f>
        <v>0</v>
      </c>
      <c r="D22498" t="s">
        <v>23500</v>
      </c>
      <c r="E22498" t="s">
        <v>44902</v>
      </c>
    </row>
    <row r="22499" spans="1:5">
      <c r="A22499" t="s">
        <v>6</v>
      </c>
      <c r="B22499" t="s">
        <v>22504</v>
      </c>
      <c r="C22499">
        <f>HYPERLINK("C:\Users\franc\OneDrive\Documentos\MALENTIN KARIME\BANCO CREDITO\FER LORCA en ROSITA (Rosita)\ANA LUISA TODO\UNIFRUTTI\ACTA FUNDO NUEVA AURORA (AGOSTO 2008).doc", "Abrir Documento")</f>
        <v>0</v>
      </c>
      <c r="D22499" t="s">
        <v>23500</v>
      </c>
      <c r="E22499" t="s">
        <v>44903</v>
      </c>
    </row>
    <row r="22500" spans="1:5">
      <c r="A22500" t="s">
        <v>6</v>
      </c>
      <c r="B22500" t="s">
        <v>22505</v>
      </c>
      <c r="C22500">
        <f>HYPERLINK("C:\Users\franc\OneDrive\Documentos\MALENTIN KARIME\BANCO CREDITO\FER LORCA en ROSITA (Rosita)\ANA LUISA TODO\UNIFRUTTI\ACTA EL TREBOL.doc", "Abrir Documento")</f>
        <v>0</v>
      </c>
      <c r="D22500" t="s">
        <v>23500</v>
      </c>
      <c r="E22500" t="s">
        <v>44904</v>
      </c>
    </row>
    <row r="22501" spans="1:5">
      <c r="A22501" t="s">
        <v>6</v>
      </c>
      <c r="B22501" t="s">
        <v>22506</v>
      </c>
      <c r="C22501">
        <f>HYPERLINK("C:\Users\franc\OneDrive\Documentos\MALENTIN KARIME\BANCO CREDITO\FER LORCA en ROSITA (Rosita)\ANA LUISA TODO\UNIFRUTTI\ACTA CITRICOS  CLEMENTINAS.doc", "Abrir Documento")</f>
        <v>0</v>
      </c>
      <c r="D22501" t="s">
        <v>23500</v>
      </c>
      <c r="E22501" t="s">
        <v>44905</v>
      </c>
    </row>
    <row r="22502" spans="1:5">
      <c r="A22502" t="s">
        <v>6</v>
      </c>
      <c r="B22502" t="s">
        <v>22507</v>
      </c>
      <c r="C22502">
        <f>HYPERLINK("C:\Users\franc\OneDrive\Documentos\MALENTIN KARIME\BANCO CREDITO\FER LORCA en ROSITA (Rosita)\ANA LUISA TODO\UNIFRUTTI\ACTA CITRICOS  CLEMENTINAS (7,8,9,10.doc", "Abrir Documento")</f>
        <v>0</v>
      </c>
      <c r="D22502" t="s">
        <v>23500</v>
      </c>
      <c r="E22502" t="s">
        <v>44906</v>
      </c>
    </row>
    <row r="22503" spans="1:5">
      <c r="A22503" t="s">
        <v>6</v>
      </c>
      <c r="B22503" t="s">
        <v>22508</v>
      </c>
      <c r="C22503">
        <f>HYPERLINK("C:\Users\franc\OneDrive\Documentos\MALENTIN KARIME\BANCO CREDITO\FER LORCA en ROSITA (Rosita)\ANA LUISA TODO\UNIFRUTTI\ACTA CAMARICO.doc", "Abrir Documento")</f>
        <v>0</v>
      </c>
      <c r="D22503" t="s">
        <v>23500</v>
      </c>
      <c r="E22503" t="s">
        <v>44907</v>
      </c>
    </row>
    <row r="22504" spans="1:5">
      <c r="A22504" t="s">
        <v>6</v>
      </c>
      <c r="B22504" t="s">
        <v>22509</v>
      </c>
      <c r="C22504">
        <f>HYPERLINK("C:\Users\franc\OneDrive\Documentos\MALENTIN KARIME\BANCO CREDITO\FER LORCA en ROSITA (Rosita)\ANA LUISA TODO\UNIFRUTTI\ACTA 2.doc", "Abrir Documento")</f>
        <v>0</v>
      </c>
      <c r="D22504" t="s">
        <v>23500</v>
      </c>
      <c r="E22504" t="s">
        <v>44908</v>
      </c>
    </row>
    <row r="22505" spans="1:5">
      <c r="A22505" t="s">
        <v>6</v>
      </c>
      <c r="B22505" t="s">
        <v>22510</v>
      </c>
      <c r="C22505">
        <f>HYPERLINK("C:\Users\franc\OneDrive\Documentos\MALENTIN KARIME\BANCO CREDITO\FER LORCA en ROSITA (Rosita)\ANA LUISA TODO\TRANSACCION\TOMAS CERDA A MARNIE DINAMARCA.doc", "Abrir Documento")</f>
        <v>0</v>
      </c>
      <c r="D22505" t="s">
        <v>23500</v>
      </c>
      <c r="E22505" t="s">
        <v>44909</v>
      </c>
    </row>
    <row r="22506" spans="1:5">
      <c r="A22506" t="s">
        <v>6</v>
      </c>
      <c r="B22506" t="s">
        <v>22511</v>
      </c>
      <c r="C22506">
        <f>HYPERLINK("C:\Users\franc\OneDrive\Documentos\MALENTIN KARIME\BANCO CREDITO\FER LORCA en ROSITA (Rosita)\ANA LUISA TODO\TRANSACCION\MODELO TRANSACCION.doc", "Abrir Documento")</f>
        <v>0</v>
      </c>
      <c r="D22506" t="s">
        <v>23500</v>
      </c>
      <c r="E22506" t="s">
        <v>44910</v>
      </c>
    </row>
    <row r="22507" spans="1:5">
      <c r="A22507" t="s">
        <v>6</v>
      </c>
      <c r="B22507" t="s">
        <v>22512</v>
      </c>
      <c r="C22507">
        <f>HYPERLINK("C:\Users\franc\OneDrive\Documentos\MALENTIN KARIME\BANCO CREDITO\FER LORCA en ROSITA (Rosita)\ANA LUISA TODO\TRANSACCION\PEDRO OLIVARES BCO.doc", "Abrir Documento")</f>
        <v>0</v>
      </c>
      <c r="D22507" t="s">
        <v>23500</v>
      </c>
      <c r="E22507" t="s">
        <v>44910</v>
      </c>
    </row>
    <row r="22508" spans="1:5">
      <c r="A22508" t="s">
        <v>6</v>
      </c>
      <c r="B22508" t="s">
        <v>22513</v>
      </c>
      <c r="C22508">
        <f>HYPERLINK("C:\Users\franc\OneDrive\Documentos\MALENTIN KARIME\BANCO CREDITO\FER LORCA en ROSITA (Rosita)\ANA LUISA TODO\TRANSACCION\CONSUELO CALDERON A PABLO DANKE.doc", "Abrir Documento")</f>
        <v>0</v>
      </c>
      <c r="D22508" t="s">
        <v>23500</v>
      </c>
      <c r="E22508" t="s">
        <v>44911</v>
      </c>
    </row>
    <row r="22509" spans="1:5">
      <c r="A22509" t="s">
        <v>6</v>
      </c>
      <c r="B22509" t="s">
        <v>22514</v>
      </c>
      <c r="C22509">
        <f>HYPERLINK("C:\Users\franc\OneDrive\Documentos\MALENTIN KARIME\BANCO CREDITO\FER LORCA en ROSITA (Rosita)\ANA LUISA TODO\TESTAMENTOS\SATURNINO CAQUEO TRONCOSO.doc", "Abrir Documento")</f>
        <v>0</v>
      </c>
      <c r="D22509" t="s">
        <v>23500</v>
      </c>
      <c r="E22509" t="s">
        <v>44912</v>
      </c>
    </row>
    <row r="22510" spans="1:5">
      <c r="A22510" t="s">
        <v>6</v>
      </c>
      <c r="B22510" t="s">
        <v>22515</v>
      </c>
      <c r="C22510">
        <f>HYPERLINK("C:\Users\franc\OneDrive\Documentos\MALENTIN KARIME\BANCO CREDITO\FER LORCA en ROSITA (Rosita)\ANA LUISA TODO\TESTAMENTOS\MODELO.doc", "Abrir Documento")</f>
        <v>0</v>
      </c>
      <c r="D22510" t="s">
        <v>23500</v>
      </c>
      <c r="E22510" t="s">
        <v>44913</v>
      </c>
    </row>
    <row r="22511" spans="1:5">
      <c r="A22511" t="s">
        <v>6</v>
      </c>
      <c r="B22511" t="s">
        <v>22516</v>
      </c>
      <c r="C22511">
        <f>HYPERLINK("C:\Users\franc\OneDrive\Documentos\MALENTIN KARIME\BANCO CREDITO\FER LORCA en ROSITA (Rosita)\ANA LUISA TODO\TESTAMENTOS\MODELO TESTAMENTO.doc", "Abrir Documento")</f>
        <v>0</v>
      </c>
      <c r="D22511" t="s">
        <v>23500</v>
      </c>
      <c r="E22511" t="s">
        <v>44914</v>
      </c>
    </row>
    <row r="22512" spans="1:5">
      <c r="A22512" t="s">
        <v>6</v>
      </c>
      <c r="B22512" t="s">
        <v>22517</v>
      </c>
      <c r="C22512">
        <f>HYPERLINK("C:\Users\franc\OneDrive\Documentos\MALENTIN KARIME\BANCO CREDITO\FER LORCA en ROSITA (Rosita)\ANA LUISA TODO\TESTAMENTOS\LUISA SEGURA.doc", "Abrir Documento")</f>
        <v>0</v>
      </c>
      <c r="D22512" t="s">
        <v>23500</v>
      </c>
      <c r="E22512" t="s">
        <v>44915</v>
      </c>
    </row>
    <row r="22513" spans="1:5">
      <c r="A22513" t="s">
        <v>6</v>
      </c>
      <c r="B22513" t="s">
        <v>22518</v>
      </c>
      <c r="C22513">
        <f>HYPERLINK("C:\Users\franc\OneDrive\Documentos\MALENTIN KARIME\BANCO CREDITO\FER LORCA en ROSITA (Rosita)\ANA LUISA TODO\TESTAMENTOS\ELENA OGALDE ARAYA.doc", "Abrir Documento")</f>
        <v>0</v>
      </c>
      <c r="D22513" t="s">
        <v>23500</v>
      </c>
      <c r="E22513" t="s">
        <v>44916</v>
      </c>
    </row>
    <row r="22514" spans="1:5">
      <c r="A22514" t="s">
        <v>6</v>
      </c>
      <c r="B22514" t="s">
        <v>22519</v>
      </c>
      <c r="C22514">
        <f>HYPERLINK("C:\Users\franc\OneDrive\Documentos\MALENTIN KARIME\BANCO CREDITO\FER LORCA en ROSITA (Rosita)\ANA LUISA TODO\TESTAMENTOS\BELLA GARCIA.doc", "Abrir Documento")</f>
        <v>0</v>
      </c>
      <c r="D22514" t="s">
        <v>23500</v>
      </c>
      <c r="E22514" t="s">
        <v>44917</v>
      </c>
    </row>
    <row r="22515" spans="1:5">
      <c r="A22515" t="s">
        <v>6</v>
      </c>
      <c r="B22515" t="s">
        <v>22520</v>
      </c>
      <c r="C22515">
        <f>HYPERLINK("C:\Users\franc\OneDrive\Documentos\MALENTIN KARIME\BANCO CREDITO\FER LORCA en ROSITA (Rosita)\ANA LUISA TODO\TESTAMENTOS\ANA RUTH ROJAS  JIMENEZ.doc", "Abrir Documento")</f>
        <v>0</v>
      </c>
      <c r="D22515" t="s">
        <v>23500</v>
      </c>
      <c r="E22515" t="s">
        <v>44918</v>
      </c>
    </row>
    <row r="22516" spans="1:5">
      <c r="A22516" t="s">
        <v>6</v>
      </c>
      <c r="B22516" t="s">
        <v>22521</v>
      </c>
      <c r="C22516">
        <f>HYPERLINK("C:\Users\franc\OneDrive\Documentos\MALENTIN KARIME\BANCO CREDITO\FER LORCA en ROSITA (Rosita)\ANA LUISA TODO\SUMINISTRO AGUA\INMOBILIAIRA RENACER A JOSE MIGUEL ZEPEDA.doc", "Abrir Documento")</f>
        <v>0</v>
      </c>
      <c r="D22516" t="s">
        <v>23500</v>
      </c>
      <c r="E22516" t="s">
        <v>44919</v>
      </c>
    </row>
    <row r="22517" spans="1:5">
      <c r="A22517" t="s">
        <v>6</v>
      </c>
      <c r="B22517" t="s">
        <v>22522</v>
      </c>
      <c r="C22517">
        <f>HYPERLINK("C:\Users\franc\OneDrive\Documentos\MALENTIN KARIME\BANCO CREDITO\FER LORCA en ROSITA (Rosita)\ANA LUISA TODO\SOCIEDAD DE HECHO\FUAD ALAMO.doc", "Abrir Documento")</f>
        <v>0</v>
      </c>
      <c r="D22517" t="s">
        <v>23500</v>
      </c>
      <c r="E22517" t="s">
        <v>44920</v>
      </c>
    </row>
    <row r="22518" spans="1:5">
      <c r="A22518" t="s">
        <v>6</v>
      </c>
      <c r="B22518" t="s">
        <v>22523</v>
      </c>
      <c r="C22518">
        <f>HYPERLINK("C:\Users\franc\OneDrive\Documentos\MALENTIN KARIME\BANCO CREDITO\FER LORCA en ROSITA (Rosita)\ANA LUISA TODO\SOCIEDAD\SOCIEDAD OVALLE.doc", "Abrir Documento")</f>
        <v>0</v>
      </c>
      <c r="D22518" t="s">
        <v>23500</v>
      </c>
      <c r="E22518" t="s">
        <v>44921</v>
      </c>
    </row>
    <row r="22519" spans="1:5">
      <c r="A22519" t="s">
        <v>6</v>
      </c>
      <c r="B22519" t="s">
        <v>22524</v>
      </c>
      <c r="C22519">
        <f>HYPERLINK("C:\Users\franc\OneDrive\Documentos\MALENTIN KARIME\BANCO CREDITO\FER LORCA en ROSITA (Rosita)\ANA LUISA TODO\SOCIEDAD\SOLEDAD FARR TAPIA Y OTRA.doc", "Abrir Documento")</f>
        <v>0</v>
      </c>
      <c r="D22519" t="s">
        <v>23500</v>
      </c>
      <c r="E22519" t="s">
        <v>44921</v>
      </c>
    </row>
    <row r="22520" spans="1:5">
      <c r="A22520" t="s">
        <v>6</v>
      </c>
      <c r="B22520" t="s">
        <v>22525</v>
      </c>
      <c r="C22520">
        <f>HYPERLINK("C:\Users\franc\OneDrive\Documentos\MALENTIN KARIME\BANCO CREDITO\FER LORCA en ROSITA (Rosita)\ANA LUISA TODO\SOCIEDAD\SOCIEDAD ORTIZ Y DIAZ LTDA. EXTRACTO.doc", "Abrir Documento")</f>
        <v>0</v>
      </c>
      <c r="D22520" t="s">
        <v>23500</v>
      </c>
      <c r="E22520" t="s">
        <v>44922</v>
      </c>
    </row>
    <row r="22521" spans="1:5">
      <c r="A22521" t="s">
        <v>6</v>
      </c>
      <c r="B22521" t="s">
        <v>22526</v>
      </c>
      <c r="C22521">
        <f>HYPERLINK("C:\Users\franc\OneDrive\Documentos\MALENTIN KARIME\BANCO CREDITO\FER LORCA en ROSITA (Rosita)\ANA LUISA TODO\SOCIEDAD\SOC. VILLA AMANECER.doc", "Abrir Documento")</f>
        <v>0</v>
      </c>
      <c r="D22521" t="s">
        <v>23500</v>
      </c>
      <c r="E22521" t="s">
        <v>44923</v>
      </c>
    </row>
    <row r="22522" spans="1:5">
      <c r="A22522" t="s">
        <v>6</v>
      </c>
      <c r="B22522" t="s">
        <v>22527</v>
      </c>
      <c r="C22522">
        <f>HYPERLINK("C:\Users\franc\OneDrive\Documentos\MALENTIN KARIME\BANCO CREDITO\FER LORCA en ROSITA (Rosita)\ANA LUISA TODO\SOCIEDAD\SOC. OVASER (NIÑOS BANCO).doc", "Abrir Documento")</f>
        <v>0</v>
      </c>
      <c r="D22522" t="s">
        <v>23500</v>
      </c>
      <c r="E22522" t="s">
        <v>44924</v>
      </c>
    </row>
    <row r="22523" spans="1:5">
      <c r="A22523" t="s">
        <v>6</v>
      </c>
      <c r="B22523" t="s">
        <v>22528</v>
      </c>
      <c r="C22523">
        <f>HYPERLINK("C:\Users\franc\OneDrive\Documentos\MALENTIN KARIME\BANCO CREDITO\FER LORCA en ROSITA (Rosita)\ANA LUISA TODO\SOCIEDAD\SOC. DESARROLLO Y CAPAC. LABORAL (JOSE HERNANDEZ).doc", "Abrir Documento")</f>
        <v>0</v>
      </c>
      <c r="D22523" t="s">
        <v>23500</v>
      </c>
      <c r="E22523" t="s">
        <v>44925</v>
      </c>
    </row>
    <row r="22524" spans="1:5">
      <c r="A22524" t="s">
        <v>6</v>
      </c>
      <c r="B22524" t="s">
        <v>22529</v>
      </c>
      <c r="C22524">
        <f>HYPERLINK("C:\Users\franc\OneDrive\Documentos\MALENTIN KARIME\BANCO CREDITO\FER LORCA en ROSITA (Rosita)\ANA LUISA TODO\SOCIEDAD\SOC. HNOS MILLAHUALA.doc", "Abrir Documento")</f>
        <v>0</v>
      </c>
      <c r="D22524" t="s">
        <v>23500</v>
      </c>
      <c r="E22524" t="s">
        <v>44925</v>
      </c>
    </row>
    <row r="22525" spans="1:5">
      <c r="A22525" t="s">
        <v>6</v>
      </c>
      <c r="B22525" t="s">
        <v>22530</v>
      </c>
      <c r="C22525">
        <f>HYPERLINK("C:\Users\franc\OneDrive\Documentos\MALENTIN KARIME\BANCO CREDITO\FER LORCA en ROSITA (Rosita)\ANA LUISA TODO\SOCIEDAD\SOC. DESARROLLO Y CAP. LABORAL EXTRACTO.doc", "Abrir Documento")</f>
        <v>0</v>
      </c>
      <c r="D22525" t="s">
        <v>23500</v>
      </c>
      <c r="E22525" t="s">
        <v>44926</v>
      </c>
    </row>
    <row r="22526" spans="1:5">
      <c r="A22526" t="s">
        <v>6</v>
      </c>
      <c r="B22526" t="s">
        <v>22531</v>
      </c>
      <c r="C22526">
        <f>HYPERLINK("C:\Users\franc\OneDrive\Documentos\MALENTIN KARIME\BANCO CREDITO\FER LORCA en ROSITA (Rosita)\ANA LUISA TODO\SOCIEDAD\RODRIGO BRAVO Y CIA. LTDA..doc", "Abrir Documento")</f>
        <v>0</v>
      </c>
      <c r="D22526" t="s">
        <v>23500</v>
      </c>
      <c r="E22526" t="s">
        <v>44927</v>
      </c>
    </row>
    <row r="22527" spans="1:5">
      <c r="A22527" t="s">
        <v>6</v>
      </c>
      <c r="B22527" t="s">
        <v>22532</v>
      </c>
      <c r="C22527">
        <f>HYPERLINK("C:\Users\franc\OneDrive\Documentos\MALENTIN KARIME\BANCO CREDITO\FER LORCA en ROSITA (Rosita)\ANA LUISA TODO\SOCIEDAD\RODRIGO BRAVO EXTRACTO.doc", "Abrir Documento")</f>
        <v>0</v>
      </c>
      <c r="D22527" t="s">
        <v>23500</v>
      </c>
      <c r="E22527" t="s">
        <v>44928</v>
      </c>
    </row>
    <row r="22528" spans="1:5">
      <c r="A22528" t="s">
        <v>6</v>
      </c>
      <c r="B22528" t="s">
        <v>22533</v>
      </c>
      <c r="C22528">
        <f>HYPERLINK("C:\Users\franc\OneDrive\Documentos\MALENTIN KARIME\BANCO CREDITO\FER LORCA en ROSITA (Rosita)\ANA LUISA TODO\SOCIEDAD\PICHASCA EXTRACTO.doc", "Abrir Documento")</f>
        <v>0</v>
      </c>
      <c r="D22528" t="s">
        <v>23500</v>
      </c>
      <c r="E22528" t="s">
        <v>44929</v>
      </c>
    </row>
    <row r="22529" spans="1:5">
      <c r="A22529" t="s">
        <v>6</v>
      </c>
      <c r="B22529" t="s">
        <v>22534</v>
      </c>
      <c r="C22529">
        <f>HYPERLINK("C:\Users\franc\OneDrive\Documentos\MALENTIN KARIME\BANCO CREDITO\FER LORCA en ROSITA (Rosita)\ANA LUISA TODO\SOCIEDAD\OVATRUZ COMERCIAL.doc", "Abrir Documento")</f>
        <v>0</v>
      </c>
      <c r="D22529" t="s">
        <v>23500</v>
      </c>
      <c r="E22529" t="s">
        <v>44930</v>
      </c>
    </row>
    <row r="22530" spans="1:5">
      <c r="A22530" t="s">
        <v>6</v>
      </c>
      <c r="B22530" t="s">
        <v>22535</v>
      </c>
      <c r="C22530">
        <f>HYPERLINK("C:\Users\franc\OneDrive\Documentos\MALENTIN KARIME\BANCO CREDITO\FER LORCA en ROSITA (Rosita)\ANA LUISA TODO\SOCIEDAD\MONICA GALLARDO E HIJOS (ROMELIO GAJARDO).doc", "Abrir Documento")</f>
        <v>0</v>
      </c>
      <c r="D22530" t="s">
        <v>23500</v>
      </c>
      <c r="E22530" t="s">
        <v>44931</v>
      </c>
    </row>
    <row r="22531" spans="1:5">
      <c r="A22531" t="s">
        <v>6</v>
      </c>
      <c r="B22531" t="s">
        <v>22536</v>
      </c>
      <c r="C22531">
        <f>HYPERLINK("C:\Users\franc\OneDrive\Documentos\MALENTIN KARIME\BANCO CREDITO\FER LORCA en ROSITA (Rosita)\ANA LUISA TODO\SOCIEDAD\MODELO SOCIEDAD.doc", "Abrir Documento")</f>
        <v>0</v>
      </c>
      <c r="D22531" t="s">
        <v>23500</v>
      </c>
      <c r="E22531" t="s">
        <v>44932</v>
      </c>
    </row>
    <row r="22532" spans="1:5">
      <c r="A22532" t="s">
        <v>6</v>
      </c>
      <c r="B22532" t="s">
        <v>22537</v>
      </c>
      <c r="C22532">
        <f>HYPERLINK("C:\Users\franc\OneDrive\Documentos\MALENTIN KARIME\BANCO CREDITO\FER LORCA en ROSITA (Rosita)\ANA LUISA TODO\SOCIEDAD\MODELO SOC. CONTRACTUAL MINERA.doc", "Abrir Documento")</f>
        <v>0</v>
      </c>
      <c r="D22532" t="s">
        <v>23500</v>
      </c>
      <c r="E22532" t="s">
        <v>44933</v>
      </c>
    </row>
    <row r="22533" spans="1:5">
      <c r="A22533" t="s">
        <v>6</v>
      </c>
      <c r="B22533" t="s">
        <v>22538</v>
      </c>
      <c r="C22533">
        <f>HYPERLINK("C:\Users\franc\OneDrive\Documentos\MALENTIN KARIME\BANCO CREDITO\FER LORCA en ROSITA (Rosita)\ANA LUISA TODO\SOCIEDAD\MODELO SOC-.doc", "Abrir Documento")</f>
        <v>0</v>
      </c>
      <c r="D22533" t="s">
        <v>23500</v>
      </c>
      <c r="E22533" t="s">
        <v>44934</v>
      </c>
    </row>
    <row r="22534" spans="1:5">
      <c r="A22534" t="s">
        <v>6</v>
      </c>
      <c r="B22534" t="s">
        <v>22539</v>
      </c>
      <c r="C22534">
        <f>HYPERLINK("C:\Users\franc\OneDrive\Documentos\MALENTIN KARIME\BANCO CREDITO\FER LORCA en ROSITA (Rosita)\ANA LUISA TODO\SOCIEDAD\MODELO EXTRACTO E.I.R.L.doc", "Abrir Documento")</f>
        <v>0</v>
      </c>
      <c r="D22534" t="s">
        <v>23500</v>
      </c>
      <c r="E22534" t="s">
        <v>44935</v>
      </c>
    </row>
    <row r="22535" spans="1:5">
      <c r="A22535" t="s">
        <v>6</v>
      </c>
      <c r="B22535" t="s">
        <v>22540</v>
      </c>
      <c r="C22535">
        <f>HYPERLINK("C:\Users\franc\OneDrive\Documentos\MALENTIN KARIME\BANCO CREDITO\FER LORCA en ROSITA (Rosita)\ANA LUISA TODO\SOCIEDAD\LUIS CASTRO FRANCO E.I.R.L. (AB. AGUSTO CABRERA.doc", "Abrir Documento")</f>
        <v>0</v>
      </c>
      <c r="D22535" t="s">
        <v>23500</v>
      </c>
      <c r="E22535" t="s">
        <v>44936</v>
      </c>
    </row>
    <row r="22536" spans="1:5">
      <c r="A22536" t="s">
        <v>6</v>
      </c>
      <c r="B22536" t="s">
        <v>22541</v>
      </c>
      <c r="C22536">
        <f>HYPERLINK("C:\Users\franc\OneDrive\Documentos\MALENTIN KARIME\BANCO CREDITO\FER LORCA en ROSITA (Rosita)\ANA LUISA TODO\SOCIEDAD\LUIS CASTRO FRANCO (RESCILIACION).doc", "Abrir Documento")</f>
        <v>0</v>
      </c>
      <c r="D22536" t="s">
        <v>23500</v>
      </c>
      <c r="E22536" t="s">
        <v>44937</v>
      </c>
    </row>
    <row r="22537" spans="1:5">
      <c r="A22537" t="s">
        <v>6</v>
      </c>
      <c r="B22537" t="s">
        <v>22542</v>
      </c>
      <c r="C22537">
        <f>HYPERLINK("C:\Users\franc\OneDrive\Documentos\MALENTIN KARIME\BANCO CREDITO\FER LORCA en ROSITA (Rosita)\ANA LUISA TODO\SOCIEDAD\LIS CASTRO FRANCO - EXTRACTO.doc", "Abrir Documento")</f>
        <v>0</v>
      </c>
      <c r="D22537" t="s">
        <v>23500</v>
      </c>
      <c r="E22537" t="s">
        <v>44938</v>
      </c>
    </row>
    <row r="22538" spans="1:5">
      <c r="A22538" t="s">
        <v>6</v>
      </c>
      <c r="B22538" t="s">
        <v>22543</v>
      </c>
      <c r="C22538">
        <f>HYPERLINK("C:\Users\franc\OneDrive\Documentos\MALENTIN KARIME\BANCO CREDITO\FER LORCA en ROSITA (Rosita)\ANA LUISA TODO\SOCIEDAD\JULIA CORTES.doc", "Abrir Documento")</f>
        <v>0</v>
      </c>
      <c r="D22538" t="s">
        <v>23500</v>
      </c>
      <c r="E22538" t="s">
        <v>44939</v>
      </c>
    </row>
    <row r="22539" spans="1:5">
      <c r="A22539" t="s">
        <v>6</v>
      </c>
      <c r="B22539" t="s">
        <v>22544</v>
      </c>
      <c r="C22539">
        <f>HYPERLINK("C:\Users\franc\OneDrive\Documentos\MALENTIN KARIME\BANCO CREDITO\FER LORCA en ROSITA (Rosita)\ANA LUISA TODO\SOCIEDAD\JULIA CORTES EXTRACTO.doc", "Abrir Documento")</f>
        <v>0</v>
      </c>
      <c r="D22539" t="s">
        <v>23500</v>
      </c>
      <c r="E22539" t="s">
        <v>44940</v>
      </c>
    </row>
    <row r="22540" spans="1:5">
      <c r="A22540" t="s">
        <v>6</v>
      </c>
      <c r="B22540" t="s">
        <v>22545</v>
      </c>
      <c r="C22540">
        <f>HYPERLINK("C:\Users\franc\OneDrive\Documentos\MALENTIN KARIME\BANCO CREDITO\FER LORCA en ROSITA (Rosita)\ANA LUISA TODO\SOCIEDAD\JULIA CORTES 2.doc", "Abrir Documento")</f>
        <v>0</v>
      </c>
      <c r="D22540" t="s">
        <v>23500</v>
      </c>
      <c r="E22540" t="s">
        <v>44941</v>
      </c>
    </row>
    <row r="22541" spans="1:5">
      <c r="A22541" t="s">
        <v>6</v>
      </c>
      <c r="B22541" t="s">
        <v>22546</v>
      </c>
      <c r="C22541">
        <f>HYPERLINK("C:\Users\franc\OneDrive\Documentos\MALENTIN KARIME\BANCO CREDITO\FER LORCA en ROSITA (Rosita)\ANA LUISA TODO\SOCIEDAD\GERMAN GUZMAN.doc", "Abrir Documento")</f>
        <v>0</v>
      </c>
      <c r="D22541" t="s">
        <v>23500</v>
      </c>
      <c r="E22541" t="s">
        <v>44942</v>
      </c>
    </row>
    <row r="22542" spans="1:5">
      <c r="A22542" t="s">
        <v>6</v>
      </c>
      <c r="B22542" t="s">
        <v>22547</v>
      </c>
      <c r="C22542">
        <f>HYPERLINK("C:\Users\franc\OneDrive\Documentos\MALENTIN KARIME\BANCO CREDITO\FER LORCA en ROSITA (Rosita)\ANA LUISA TODO\SOCIEDAD\GERMAN GUZMAN  EXTRACTO.doc", "Abrir Documento")</f>
        <v>0</v>
      </c>
      <c r="D22542" t="s">
        <v>23500</v>
      </c>
      <c r="E22542" t="s">
        <v>44943</v>
      </c>
    </row>
    <row r="22543" spans="1:5">
      <c r="A22543" t="s">
        <v>6</v>
      </c>
      <c r="B22543" t="s">
        <v>22548</v>
      </c>
      <c r="C22543">
        <f>HYPERLINK("C:\Users\franc\OneDrive\Documentos\MALENTIN KARIME\BANCO CREDITO\FER LORCA en ROSITA (Rosita)\ANA LUISA TODO\SOCIEDAD\FORMA INVERSIONES.doc", "Abrir Documento")</f>
        <v>0</v>
      </c>
      <c r="D22543" t="s">
        <v>23500</v>
      </c>
      <c r="E22543" t="s">
        <v>44944</v>
      </c>
    </row>
    <row r="22544" spans="1:5">
      <c r="A22544" t="s">
        <v>6</v>
      </c>
      <c r="B22544" t="s">
        <v>22549</v>
      </c>
      <c r="C22544">
        <f>HYPERLINK("C:\Users\franc\OneDrive\Documentos\MALENTIN KARIME\BANCO CREDITO\FER LORCA en ROSITA (Rosita)\ANA LUISA TODO\SOCIEDAD\EXTRACTOsociedad VILLA AMANECERok.doc", "Abrir Documento")</f>
        <v>0</v>
      </c>
      <c r="D22544" t="s">
        <v>23500</v>
      </c>
      <c r="E22544" t="s">
        <v>44945</v>
      </c>
    </row>
    <row r="22545" spans="1:5">
      <c r="A22545" t="s">
        <v>6</v>
      </c>
      <c r="B22545" t="s">
        <v>22550</v>
      </c>
      <c r="C22545">
        <f>HYPERLINK("C:\Users\franc\OneDrive\Documentos\MALENTIN KARIME\BANCO CREDITO\FER LORCA en ROSITA (Rosita)\ANA LUISA TODO\SOCIEDAD\EXTRACTO SOCIEDAD ANCESTRAL DISEÑO LIMITADA.doc", "Abrir Documento")</f>
        <v>0</v>
      </c>
      <c r="D22545" t="s">
        <v>23500</v>
      </c>
      <c r="E22545" t="s">
        <v>44946</v>
      </c>
    </row>
    <row r="22546" spans="1:5">
      <c r="A22546" t="s">
        <v>6</v>
      </c>
      <c r="B22546" t="s">
        <v>22551</v>
      </c>
      <c r="C22546">
        <f>HYPERLINK("C:\Users\franc\OneDrive\Documentos\MALENTIN KARIME\BANCO CREDITO\FER LORCA en ROSITA (Rosita)\ANA LUISA TODO\SOCIEDAD\EXTRACTO ROMELIO GAJARDO[1].doc", "Abrir Documento")</f>
        <v>0</v>
      </c>
      <c r="D22546" t="s">
        <v>23500</v>
      </c>
      <c r="E22546" t="s">
        <v>44947</v>
      </c>
    </row>
    <row r="22547" spans="1:5">
      <c r="A22547" t="s">
        <v>6</v>
      </c>
      <c r="B22547" t="s">
        <v>22552</v>
      </c>
      <c r="C22547">
        <f>HYPERLINK("C:\Users\franc\OneDrive\Documentos\MALENTIN KARIME\BANCO CREDITO\FER LORCA en ROSITA (Rosita)\ANA LUISA TODO\SOCIEDAD\EXTRACTO niños banco.doc", "Abrir Documento")</f>
        <v>0</v>
      </c>
      <c r="D22547" t="s">
        <v>23500</v>
      </c>
      <c r="E22547" t="s">
        <v>44948</v>
      </c>
    </row>
    <row r="22548" spans="1:5">
      <c r="A22548" t="s">
        <v>6</v>
      </c>
      <c r="B22548" t="s">
        <v>22553</v>
      </c>
      <c r="C22548">
        <f>HYPERLINK("C:\Users\franc\OneDrive\Documentos\MALENTIN KARIME\BANCO CREDITO\FER LORCA en ROSITA (Rosita)\ANA LUISA TODO\SOCIEDAD\EXTRACTO FORMA2.doc", "Abrir Documento")</f>
        <v>0</v>
      </c>
      <c r="D22548" t="s">
        <v>23500</v>
      </c>
      <c r="E22548" t="s">
        <v>44949</v>
      </c>
    </row>
    <row r="22549" spans="1:5">
      <c r="A22549" t="s">
        <v>6</v>
      </c>
      <c r="B22549" t="s">
        <v>22554</v>
      </c>
      <c r="C22549">
        <f>HYPERLINK("C:\Users\franc\OneDrive\Documentos\MALENTIN KARIME\BANCO CREDITO\FER LORCA en ROSITA (Rosita)\ANA LUISA TODO\SOCIEDAD\extracto de espaciotrans limitada.doc", "Abrir Documento")</f>
        <v>0</v>
      </c>
      <c r="D22549" t="s">
        <v>23500</v>
      </c>
      <c r="E22549" t="s">
        <v>44950</v>
      </c>
    </row>
    <row r="22550" spans="1:5">
      <c r="A22550" t="s">
        <v>6</v>
      </c>
      <c r="B22550" t="s">
        <v>22555</v>
      </c>
      <c r="C22550">
        <f>HYPERLINK("C:\Users\franc\OneDrive\Documentos\MALENTIN KARIME\BANCO CREDITO\FER LORCA en ROSITA (Rosita)\ANA LUISA TODO\SOCIEDAD\EXTRACTO CORNELIO PORTILLA.doc", "Abrir Documento")</f>
        <v>0</v>
      </c>
      <c r="D22550" t="s">
        <v>23500</v>
      </c>
      <c r="E22550" t="s">
        <v>44951</v>
      </c>
    </row>
    <row r="22551" spans="1:5">
      <c r="A22551" t="s">
        <v>6</v>
      </c>
      <c r="B22551" t="s">
        <v>22556</v>
      </c>
      <c r="C22551">
        <f>HYPERLINK("C:\Users\franc\OneDrive\Documentos\MALENTIN KARIME\BANCO CREDITO\FER LORCA en ROSITA (Rosita)\ANA LUISA TODO\SOCIEDAD\ESPACIO TRANS  (BORIS MONARDEZ).doc", "Abrir Documento")</f>
        <v>0</v>
      </c>
      <c r="D22551" t="s">
        <v>23500</v>
      </c>
      <c r="E22551" t="s">
        <v>44952</v>
      </c>
    </row>
    <row r="22552" spans="1:5">
      <c r="A22552" t="s">
        <v>6</v>
      </c>
      <c r="B22552" t="s">
        <v>22557</v>
      </c>
      <c r="C22552">
        <f>HYPERLINK("C:\Users\franc\OneDrive\Documentos\MALENTIN KARIME\BANCO CREDITO\FER LORCA en ROSITA (Rosita)\ANA LUISA TODO\SOCIEDAD\CORNELIO PORTILLA E.I.R.L..doc", "Abrir Documento")</f>
        <v>0</v>
      </c>
      <c r="D22552" t="s">
        <v>23500</v>
      </c>
      <c r="E22552" t="s">
        <v>44953</v>
      </c>
    </row>
    <row r="22553" spans="1:5">
      <c r="A22553" t="s">
        <v>6</v>
      </c>
      <c r="B22553" t="s">
        <v>22558</v>
      </c>
      <c r="C22553">
        <f>HYPERLINK("C:\Users\franc\OneDrive\Documentos\MALENTIN KARIME\BANCO CREDITO\FER LORCA en ROSITA (Rosita)\ANA LUISA TODO\SOCIEDAD\COMERCIAL LAS TINAJAS EXTRACTO (MODIFICAC).doc", "Abrir Documento")</f>
        <v>0</v>
      </c>
      <c r="D22553" t="s">
        <v>23500</v>
      </c>
      <c r="E22553" t="s">
        <v>44954</v>
      </c>
    </row>
    <row r="22554" spans="1:5">
      <c r="A22554" t="s">
        <v>6</v>
      </c>
      <c r="B22554" t="s">
        <v>22559</v>
      </c>
      <c r="C22554">
        <f>HYPERLINK("C:\Users\franc\OneDrive\Documentos\MALENTIN KARIME\BANCO CREDITO\FER LORCA en ROSITA (Rosita)\ANA LUISA TODO\SOCIEDAD\COMERCIAL LAS TINAJAS (MODIF. SOC).doc", "Abrir Documento")</f>
        <v>0</v>
      </c>
      <c r="D22554" t="s">
        <v>23500</v>
      </c>
      <c r="E22554" t="s">
        <v>44955</v>
      </c>
    </row>
    <row r="22555" spans="1:5">
      <c r="A22555" t="s">
        <v>6</v>
      </c>
      <c r="B22555" t="s">
        <v>22560</v>
      </c>
      <c r="C22555">
        <f>HYPERLINK("C:\Users\franc\OneDrive\Documentos\MALENTIN KARIME\BANCO CREDITO\FER LORCA en ROSITA (Rosita)\ANA LUISA TODO\SOCIEDAD\BOSS CONSULTORES CIA LTDA  (BCO. PARIS.doc", "Abrir Documento")</f>
        <v>0</v>
      </c>
      <c r="D22555" t="s">
        <v>23500</v>
      </c>
      <c r="E22555" t="s">
        <v>44956</v>
      </c>
    </row>
    <row r="22556" spans="1:5">
      <c r="A22556" t="s">
        <v>6</v>
      </c>
      <c r="B22556" t="s">
        <v>22561</v>
      </c>
      <c r="C22556">
        <f>HYPERLINK("C:\Users\franc\OneDrive\Documentos\MALENTIN KARIME\BANCO CREDITO\FER LORCA en ROSITA (Rosita)\ANA LUISA TODO\SOCIEDAD\ASESORIAS GEOMINERAS.doc", "Abrir Documento")</f>
        <v>0</v>
      </c>
      <c r="D22556" t="s">
        <v>23500</v>
      </c>
      <c r="E22556" t="s">
        <v>44957</v>
      </c>
    </row>
    <row r="22557" spans="1:5">
      <c r="A22557" t="s">
        <v>6</v>
      </c>
      <c r="B22557" t="s">
        <v>22562</v>
      </c>
      <c r="C22557">
        <f>HYPERLINK("C:\Users\franc\OneDrive\Documentos\MALENTIN KARIME\BANCO CREDITO\FER LORCA en ROSITA (Rosita)\ANA LUISA TODO\SOCIEDAD\ANCESTRAL LTDA.doc", "Abrir Documento")</f>
        <v>0</v>
      </c>
      <c r="D22557" t="s">
        <v>23500</v>
      </c>
      <c r="E22557" t="s">
        <v>44958</v>
      </c>
    </row>
    <row r="22558" spans="1:5">
      <c r="A22558" t="s">
        <v>6</v>
      </c>
      <c r="B22558" t="s">
        <v>22563</v>
      </c>
      <c r="C22558">
        <f>HYPERLINK("C:\Users\franc\OneDrive\Documentos\MALENTIN KARIME\BANCO CREDITO\FER LORCA en ROSITA (Rosita)\ANA LUISA TODO\SOCIEDAD\AGRICOLA SANTA MARTA EXTRACTO.doc", "Abrir Documento")</f>
        <v>0</v>
      </c>
      <c r="D22558" t="s">
        <v>23500</v>
      </c>
      <c r="E22558" t="s">
        <v>44959</v>
      </c>
    </row>
    <row r="22559" spans="1:5">
      <c r="A22559" t="s">
        <v>6</v>
      </c>
      <c r="B22559" t="s">
        <v>22564</v>
      </c>
      <c r="C22559">
        <f>HYPERLINK("C:\Users\franc\OneDrive\Documentos\MALENTIN KARIME\BANCO CREDITO\FER LORCA en ROSITA (Rosita)\ANA LUISA TODO\SOC. VERANEO PACIFICO\RODRIGO CORTES OYANADEL.doc", "Abrir Documento")</f>
        <v>0</v>
      </c>
      <c r="D22559" t="s">
        <v>23500</v>
      </c>
      <c r="E22559" t="s">
        <v>44960</v>
      </c>
    </row>
    <row r="22560" spans="1:5">
      <c r="A22560" t="s">
        <v>6</v>
      </c>
      <c r="B22560" t="s">
        <v>22565</v>
      </c>
      <c r="C22560">
        <f>HYPERLINK("C:\Users\franc\OneDrive\Documentos\MALENTIN KARIME\BANCO CREDITO\FER LORCA en ROSITA (Rosita)\ANA LUISA TODO\SOC. VERANEO PACIFICO\INES PIERATTINI A LUIS DONOSO.doc", "Abrir Documento")</f>
        <v>0</v>
      </c>
      <c r="D22560" t="s">
        <v>23500</v>
      </c>
      <c r="E22560" t="s">
        <v>44961</v>
      </c>
    </row>
    <row r="22561" spans="1:5">
      <c r="A22561" t="s">
        <v>6</v>
      </c>
      <c r="B22561" t="s">
        <v>22566</v>
      </c>
      <c r="C22561">
        <f>HYPERLINK("C:\Users\franc\OneDrive\Documentos\MALENTIN KARIME\BANCO CREDITO\FER LORCA en ROSITA (Rosita)\ANA LUISA TODO\SOC. VERANEO PACIFICO\HUMBERTO DONOSO A JUAN TORRES E IRIS VEGA.doc", "Abrir Documento")</f>
        <v>0</v>
      </c>
      <c r="D22561" t="s">
        <v>23500</v>
      </c>
      <c r="E22561" t="s">
        <v>44962</v>
      </c>
    </row>
    <row r="22562" spans="1:5">
      <c r="A22562" t="s">
        <v>6</v>
      </c>
      <c r="B22562" t="s">
        <v>22567</v>
      </c>
      <c r="C22562">
        <f>HYPERLINK("C:\Users\franc\OneDrive\Documentos\MALENTIN KARIME\BANCO CREDITO\FER LORCA en ROSITA (Rosita)\ANA LUISA TODO\SOC. VERANEO PACIFICO\HERMANOS ALVARADO PROMESA.doc", "Abrir Documento")</f>
        <v>0</v>
      </c>
      <c r="D22562" t="s">
        <v>23500</v>
      </c>
      <c r="E22562" t="s">
        <v>44963</v>
      </c>
    </row>
    <row r="22563" spans="1:5">
      <c r="A22563" t="s">
        <v>6</v>
      </c>
      <c r="B22563" t="s">
        <v>22568</v>
      </c>
      <c r="C22563">
        <f>HYPERLINK("C:\Users\franc\OneDrive\Documentos\MALENTIN KARIME\BANCO CREDITO\FER LORCA en ROSITA (Rosita)\ANA LUISA TODO\SOC. VERANEO PACIFICO\HERMANOS ALVARADO COMPRAVENTA.doc", "Abrir Documento")</f>
        <v>0</v>
      </c>
      <c r="D22563" t="s">
        <v>23500</v>
      </c>
      <c r="E22563" t="s">
        <v>44964</v>
      </c>
    </row>
    <row r="22564" spans="1:5">
      <c r="A22564" t="s">
        <v>6</v>
      </c>
      <c r="B22564" t="s">
        <v>22569</v>
      </c>
      <c r="C22564">
        <f>HYPERLINK("C:\Users\franc\OneDrive\Documentos\MALENTIN KARIME\BANCO CREDITO\FER LORCA en ROSITA (Rosita)\ANA LUISA TODO\SOC. VERANEO PACIFICO\HANALI BARRANTES (AGUAS) 2.doc", "Abrir Documento")</f>
        <v>0</v>
      </c>
      <c r="D22564" t="s">
        <v>23500</v>
      </c>
      <c r="E22564" t="s">
        <v>44965</v>
      </c>
    </row>
    <row r="22565" spans="1:5">
      <c r="A22565" t="s">
        <v>6</v>
      </c>
      <c r="B22565" t="s">
        <v>22570</v>
      </c>
      <c r="C22565">
        <f>HYPERLINK("C:\Users\franc\OneDrive\Documentos\MALENTIN KARIME\BANCO CREDITO\FER LORCA en ROSITA (Rosita)\ANA LUISA TODO\SOC. VERANEO PACIFICO\HANALI BARRANTES (AGUAS) 1.doc", "Abrir Documento")</f>
        <v>0</v>
      </c>
      <c r="D22565" t="s">
        <v>23500</v>
      </c>
      <c r="E22565" t="s">
        <v>44966</v>
      </c>
    </row>
    <row r="22566" spans="1:5">
      <c r="A22566" t="s">
        <v>6</v>
      </c>
      <c r="B22566" t="s">
        <v>22571</v>
      </c>
      <c r="C22566">
        <f>HYPERLINK("C:\Users\franc\OneDrive\Documentos\MALENTIN KARIME\BANCO CREDITO\FER LORCA en ROSITA (Rosita)\ANA LUISA TODO\SOC. VERANEO PACIFICO\FELIX SANTANDER.doc", "Abrir Documento")</f>
        <v>0</v>
      </c>
      <c r="D22566" t="s">
        <v>23500</v>
      </c>
      <c r="E22566" t="s">
        <v>44967</v>
      </c>
    </row>
    <row r="22567" spans="1:5">
      <c r="A22567" t="s">
        <v>6</v>
      </c>
      <c r="B22567" t="s">
        <v>22572</v>
      </c>
      <c r="C22567">
        <f>HYPERLINK("C:\Users\franc\OneDrive\Documentos\MALENTIN KARIME\BANCO CREDITO\FER LORCA en ROSITA (Rosita)\ANA LUISA TODO\SOC. VERANEO PACIFICO\CARMEN DONOSO TELLO.doc", "Abrir Documento")</f>
        <v>0</v>
      </c>
      <c r="D22567" t="s">
        <v>23500</v>
      </c>
      <c r="E22567" t="s">
        <v>44968</v>
      </c>
    </row>
    <row r="22568" spans="1:5">
      <c r="A22568" t="s">
        <v>6</v>
      </c>
      <c r="B22568" t="s">
        <v>22573</v>
      </c>
      <c r="C22568">
        <f>HYPERLINK("C:\Users\franc\OneDrive\Documentos\MALENTIN KARIME\BANCO CREDITO\FER LORCA en ROSITA (Rosita)\ANA LUISA TODO\SOC. VERANEO PACIFICO\CARLOS BARRA SOTO.doc", "Abrir Documento")</f>
        <v>0</v>
      </c>
      <c r="D22568" t="s">
        <v>23500</v>
      </c>
      <c r="E22568" t="s">
        <v>44969</v>
      </c>
    </row>
    <row r="22569" spans="1:5">
      <c r="A22569" t="s">
        <v>6</v>
      </c>
      <c r="B22569" t="s">
        <v>22574</v>
      </c>
      <c r="C22569">
        <f>HYPERLINK("C:\Users\franc\OneDrive\Documentos\MALENTIN KARIME\BANCO CREDITO\FER LORCA en ROSITA (Rosita)\ANA LUISA TODO\SERGIO PERALTA\VISION ESTRATEGICA LTDA. (SOCIEDAD JULIO MONTERO).doc", "Abrir Documento")</f>
        <v>0</v>
      </c>
      <c r="D22569" t="s">
        <v>23500</v>
      </c>
      <c r="E22569" t="s">
        <v>44970</v>
      </c>
    </row>
    <row r="22570" spans="1:5">
      <c r="A22570" t="s">
        <v>6</v>
      </c>
      <c r="B22570" t="s">
        <v>22575</v>
      </c>
      <c r="C22570">
        <f>HYPERLINK("C:\Users\franc\OneDrive\Documentos\MALENTIN KARIME\BANCO CREDITO\FER LORCA en ROSITA (Rosita)\ANA LUISA TODO\SERGIO PERALTA\RATIFICACION CLAUDIO FERNANDEZ}.doc", "Abrir Documento")</f>
        <v>0</v>
      </c>
      <c r="D22570" t="s">
        <v>23500</v>
      </c>
      <c r="E22570" t="s">
        <v>44971</v>
      </c>
    </row>
    <row r="22571" spans="1:5">
      <c r="A22571" t="s">
        <v>6</v>
      </c>
      <c r="B22571" t="s">
        <v>22576</v>
      </c>
      <c r="C22571">
        <f>HYPERLINK("C:\Users\franc\OneDrive\Documentos\MALENTIN KARIME\BANCO CREDITO\FER LORCA en ROSITA (Rosita)\ANA LUISA TODO\SERGIO PERALTA\extractoMONTERO 2 ORGANISMO TEC 26-08-09[mejorado][1]UV-2[1].doc", "Abrir Documento")</f>
        <v>0</v>
      </c>
      <c r="D22571" t="s">
        <v>23500</v>
      </c>
      <c r="E22571" t="s">
        <v>44972</v>
      </c>
    </row>
    <row r="22572" spans="1:5">
      <c r="A22572" t="s">
        <v>6</v>
      </c>
      <c r="B22572" t="s">
        <v>22577</v>
      </c>
      <c r="C22572">
        <f>HYPERLINK("C:\Users\franc\OneDrive\Documentos\MALENTIN KARIME\BANCO CREDITO\FER LORCA en ROSITA (Rosita)\ANA LUISA TODO\SERGIO PERALTA\extracto MONTERO UNO 28-08-09[mejorado][1]uv-2[1].doc", "Abrir Documento")</f>
        <v>0</v>
      </c>
      <c r="D22572" t="s">
        <v>23500</v>
      </c>
      <c r="E22572" t="s">
        <v>44973</v>
      </c>
    </row>
    <row r="22573" spans="1:5">
      <c r="A22573" t="s">
        <v>6</v>
      </c>
      <c r="B22573" t="s">
        <v>22578</v>
      </c>
      <c r="C22573">
        <f>HYPERLINK("C:\Users\franc\OneDrive\Documentos\MALENTIN KARIME\BANCO CREDITO\FER LORCA en ROSITA (Rosita)\ANA LUISA TODO\SERGIO PERALTA\EMPRENDIMIENTO LIMITADA (SOCIEDAD JULIO MONTERO).doc", "Abrir Documento")</f>
        <v>0</v>
      </c>
      <c r="D22573" t="s">
        <v>23500</v>
      </c>
      <c r="E22573" t="s">
        <v>44974</v>
      </c>
    </row>
    <row r="22574" spans="1:5">
      <c r="A22574" t="s">
        <v>6</v>
      </c>
      <c r="B22574" t="s">
        <v>22579</v>
      </c>
      <c r="C22574">
        <f>HYPERLINK("C:\Users\franc\OneDrive\Documentos\MALENTIN KARIME\BANCO CREDITO\FER LORCA en ROSITA (Rosita)\ANA LUISA TODO\SERGIO PERALTA\CLAUDIA HENRIQUEZ A ARKON (CTTO. CONSTRUC).doc", "Abrir Documento")</f>
        <v>0</v>
      </c>
      <c r="D22574" t="s">
        <v>23500</v>
      </c>
      <c r="E22574" t="s">
        <v>44975</v>
      </c>
    </row>
    <row r="22575" spans="1:5">
      <c r="A22575" t="s">
        <v>6</v>
      </c>
      <c r="B22575" t="s">
        <v>22580</v>
      </c>
      <c r="C22575">
        <f>HYPERLINK("C:\Users\franc\OneDrive\Documentos\MALENTIN KARIME\BANCO CREDITO\FER LORCA en ROSITA (Rosita)\ANA LUISA TODO\SERGIO PERALTA\EGLANTINA MUNDACA (CESION DERECHOS).doc", "Abrir Documento")</f>
        <v>0</v>
      </c>
      <c r="D22575" t="s">
        <v>23500</v>
      </c>
      <c r="E22575" t="s">
        <v>44975</v>
      </c>
    </row>
    <row r="22576" spans="1:5">
      <c r="A22576" t="s">
        <v>6</v>
      </c>
      <c r="B22576" t="s">
        <v>22581</v>
      </c>
      <c r="C22576">
        <f>HYPERLINK("C:\Users\franc\OneDrive\Documentos\MALENTIN KARIME\BANCO CREDITO\FER LORCA en ROSITA (Rosita)\ANA LUISA TODO\SERGIO PERALTA\CAROLINA CARVAJAL A SERGIO PERALTA (MANDATO JUDICIAL).doc", "Abrir Documento")</f>
        <v>0</v>
      </c>
      <c r="D22576" t="s">
        <v>23500</v>
      </c>
      <c r="E22576" t="s">
        <v>44976</v>
      </c>
    </row>
    <row r="22577" spans="1:5">
      <c r="A22577" t="s">
        <v>6</v>
      </c>
      <c r="B22577" t="s">
        <v>22582</v>
      </c>
      <c r="C22577">
        <f>HYPERLINK("C:\Users\franc\OneDrive\Documentos\MALENTIN KARIME\BANCO CREDITO\FER LORCA en ROSITA (Rosita)\ANA LUISA TODO\SERGIO PERALTA\AMIGO DE DON RODRIGO.doc", "Abrir Documento")</f>
        <v>0</v>
      </c>
      <c r="D22577" t="s">
        <v>23500</v>
      </c>
      <c r="E22577" t="s">
        <v>44977</v>
      </c>
    </row>
    <row r="22578" spans="1:5">
      <c r="A22578" t="s">
        <v>6</v>
      </c>
      <c r="B22578" t="s">
        <v>22583</v>
      </c>
      <c r="C22578">
        <f>HYPERLINK("C:\Users\franc\OneDrive\Documentos\MALENTIN KARIME\BANCO CREDITO\FER LORCA en ROSITA (Rosita)\ANA LUISA TODO\SERGIO GALLEGUILLOS\USUFRUCTO CARMENCITA BLANCO.doc", "Abrir Documento")</f>
        <v>0</v>
      </c>
      <c r="D22578" t="s">
        <v>23500</v>
      </c>
      <c r="E22578" t="s">
        <v>44978</v>
      </c>
    </row>
    <row r="22579" spans="1:5">
      <c r="A22579" t="s">
        <v>6</v>
      </c>
      <c r="B22579" t="s">
        <v>22584</v>
      </c>
      <c r="C22579">
        <f>HYPERLINK("C:\Users\franc\OneDrive\Documentos\MALENTIN KARIME\BANCO CREDITO\FER LORCA en ROSITA (Rosita)\ANA LUISA TODO\SERGIO GALLEGUILLOS\BENERANDA MONARDEZ A ANA PINILLA (LULU).doc", "Abrir Documento")</f>
        <v>0</v>
      </c>
      <c r="D22579" t="s">
        <v>23500</v>
      </c>
      <c r="E22579" t="s">
        <v>44979</v>
      </c>
    </row>
    <row r="22580" spans="1:5">
      <c r="A22580" t="s">
        <v>6</v>
      </c>
      <c r="B22580" t="s">
        <v>22585</v>
      </c>
      <c r="C22580">
        <f>HYPERLINK("C:\Users\franc\OneDrive\Documentos\MALENTIN KARIME\BANCO CREDITO\FER LORCA en ROSITA (Rosita)\ANA LUISA TODO\SEPARACION DE BIENES\RODOLFO ARAYA Y ELLY CORTES.doc", "Abrir Documento")</f>
        <v>0</v>
      </c>
      <c r="D22580" t="s">
        <v>23500</v>
      </c>
      <c r="E22580" t="s">
        <v>44980</v>
      </c>
    </row>
    <row r="22581" spans="1:5">
      <c r="A22581" t="s">
        <v>6</v>
      </c>
      <c r="B22581" t="s">
        <v>22586</v>
      </c>
      <c r="C22581">
        <f>HYPERLINK("C:\Users\franc\OneDrive\Documentos\MALENTIN KARIME\BANCO CREDITO\FER LORCA en ROSITA (Rosita)\ANA LUISA TODO\SEPARACION DE BIENES\MIGUEL FARIAS Y JANET ARAYA.doc", "Abrir Documento")</f>
        <v>0</v>
      </c>
      <c r="D22581" t="s">
        <v>23500</v>
      </c>
      <c r="E22581" t="s">
        <v>44981</v>
      </c>
    </row>
    <row r="22582" spans="1:5">
      <c r="A22582" t="s">
        <v>6</v>
      </c>
      <c r="B22582" t="s">
        <v>22587</v>
      </c>
      <c r="C22582">
        <f>HYPERLINK("C:\Users\franc\OneDrive\Documentos\MALENTIN KARIME\BANCO CREDITO\FER LORCA en ROSITA (Rosita)\ANA LUISA TODO\SEPARACION DE BIENES\EDGARDO SAUD Y ROSA CORTES.doc", "Abrir Documento")</f>
        <v>0</v>
      </c>
      <c r="D22582" t="s">
        <v>23500</v>
      </c>
      <c r="E22582" t="s">
        <v>44982</v>
      </c>
    </row>
    <row r="22583" spans="1:5">
      <c r="A22583" t="s">
        <v>6</v>
      </c>
      <c r="B22583" t="s">
        <v>22588</v>
      </c>
      <c r="C22583">
        <f>HYPERLINK("C:\Users\franc\OneDrive\Documentos\MALENTIN KARIME\BANCO CREDITO\FER LORCA en ROSITA (Rosita)\ANA LUISA TODO\SAMUEL ROJO\HIPOTECA SAMUEL ROJO A ESSO.doc", "Abrir Documento")</f>
        <v>0</v>
      </c>
      <c r="D22583" t="s">
        <v>23500</v>
      </c>
      <c r="E22583" t="s">
        <v>44983</v>
      </c>
    </row>
    <row r="22584" spans="1:5">
      <c r="A22584" t="s">
        <v>6</v>
      </c>
      <c r="B22584" t="s">
        <v>22589</v>
      </c>
      <c r="C22584">
        <f>HYPERLINK("C:\Users\franc\OneDrive\Documentos\MALENTIN KARIME\BANCO CREDITO\FER LORCA en ROSITA (Rosita)\ANA LUISA TODO\ROSITA DIAZ\WILMA BARRAZA  (JULIO).doc", "Abrir Documento")</f>
        <v>0</v>
      </c>
      <c r="D22584" t="s">
        <v>23500</v>
      </c>
      <c r="E22584" t="s">
        <v>44984</v>
      </c>
    </row>
    <row r="22585" spans="1:5">
      <c r="A22585" t="s">
        <v>6</v>
      </c>
      <c r="B22585" t="s">
        <v>22590</v>
      </c>
      <c r="C22585">
        <f>HYPERLINK("C:\Users\franc\OneDrive\Documentos\MALENTIN KARIME\BANCO CREDITO\FER LORCA en ROSITA (Rosita)\ANA LUISA TODO\ROSITA DIAZ\VIOLETA MENA (JULIO).doc", "Abrir Documento")</f>
        <v>0</v>
      </c>
      <c r="D22585" t="s">
        <v>23500</v>
      </c>
      <c r="E22585" t="s">
        <v>44985</v>
      </c>
    </row>
    <row r="22586" spans="1:5">
      <c r="A22586" t="s">
        <v>6</v>
      </c>
      <c r="B22586" t="s">
        <v>22591</v>
      </c>
      <c r="C22586">
        <f>HYPERLINK("C:\Users\franc\OneDrive\Documentos\MALENTIN KARIME\BANCO CREDITO\FER LORCA en ROSITA (Rosita)\ANA LUISA TODO\ROSITA DIAZ\ULISES ROJAS  (JULIO).doc", "Abrir Documento")</f>
        <v>0</v>
      </c>
      <c r="D22586" t="s">
        <v>23500</v>
      </c>
      <c r="E22586" t="s">
        <v>44986</v>
      </c>
    </row>
    <row r="22587" spans="1:5">
      <c r="A22587" t="s">
        <v>6</v>
      </c>
      <c r="B22587" t="s">
        <v>22592</v>
      </c>
      <c r="C22587">
        <f>HYPERLINK("C:\Users\franc\OneDrive\Documentos\MALENTIN KARIME\BANCO CREDITO\FER LORCA en ROSITA (Rosita)\ANA LUISA TODO\ROSITA DIAZ\VICTOR CORTES  (JULIO).doc", "Abrir Documento")</f>
        <v>0</v>
      </c>
      <c r="D22587" t="s">
        <v>23500</v>
      </c>
      <c r="E22587" t="s">
        <v>44986</v>
      </c>
    </row>
    <row r="22588" spans="1:5">
      <c r="A22588" t="s">
        <v>6</v>
      </c>
      <c r="B22588" t="s">
        <v>22593</v>
      </c>
      <c r="C22588">
        <f>HYPERLINK("C:\Users\franc\OneDrive\Documentos\MALENTIN KARIME\BANCO CREDITO\FER LORCA en ROSITA (Rosita)\ANA LUISA TODO\ROSITA DIAZ\SUSANA LEMUS.doc", "Abrir Documento")</f>
        <v>0</v>
      </c>
      <c r="D22588" t="s">
        <v>23500</v>
      </c>
      <c r="E22588" t="s">
        <v>44987</v>
      </c>
    </row>
    <row r="22589" spans="1:5">
      <c r="A22589" t="s">
        <v>6</v>
      </c>
      <c r="B22589" t="s">
        <v>22594</v>
      </c>
      <c r="C22589">
        <f>HYPERLINK("C:\Users\franc\OneDrive\Documentos\MALENTIN KARIME\BANCO CREDITO\FER LORCA en ROSITA (Rosita)\ANA LUISA TODO\ROSITA DIAZ\SILVERIO CONTRERAS (JULIO).doc", "Abrir Documento")</f>
        <v>0</v>
      </c>
      <c r="D22589" t="s">
        <v>23500</v>
      </c>
      <c r="E22589" t="s">
        <v>44988</v>
      </c>
    </row>
    <row r="22590" spans="1:5">
      <c r="A22590" t="s">
        <v>6</v>
      </c>
      <c r="B22590" t="s">
        <v>22595</v>
      </c>
      <c r="C22590">
        <f>HYPERLINK("C:\Users\franc\OneDrive\Documentos\MALENTIN KARIME\BANCO CREDITO\FER LORCA en ROSITA (Rosita)\ANA LUISA TODO\ROSITA DIAZ\SERGIO CARVAJAL PONCE  (JULIO).doc", "Abrir Documento")</f>
        <v>0</v>
      </c>
      <c r="D22590" t="s">
        <v>23500</v>
      </c>
      <c r="E22590" t="s">
        <v>44989</v>
      </c>
    </row>
    <row r="22591" spans="1:5">
      <c r="A22591" t="s">
        <v>6</v>
      </c>
      <c r="B22591" t="s">
        <v>22596</v>
      </c>
      <c r="C22591">
        <f>HYPERLINK("C:\Users\franc\OneDrive\Documentos\MALENTIN KARIME\BANCO CREDITO\FER LORCA en ROSITA (Rosita)\ANA LUISA TODO\ROSITA DIAZ\SERGIO CORREA.doc", "Abrir Documento")</f>
        <v>0</v>
      </c>
      <c r="D22591" t="s">
        <v>23500</v>
      </c>
      <c r="E22591" t="s">
        <v>44989</v>
      </c>
    </row>
    <row r="22592" spans="1:5">
      <c r="A22592" t="s">
        <v>6</v>
      </c>
      <c r="B22592" t="s">
        <v>22597</v>
      </c>
      <c r="C22592">
        <f>HYPERLINK("C:\Users\franc\OneDrive\Documentos\MALENTIN KARIME\BANCO CREDITO\FER LORCA en ROSITA (Rosita)\ANA LUISA TODO\ROSITA DIAZ\SANDRA TAPIA.doc", "Abrir Documento")</f>
        <v>0</v>
      </c>
      <c r="D22592" t="s">
        <v>23500</v>
      </c>
      <c r="E22592" t="s">
        <v>44990</v>
      </c>
    </row>
    <row r="22593" spans="1:5">
      <c r="A22593" t="s">
        <v>6</v>
      </c>
      <c r="B22593" t="s">
        <v>22598</v>
      </c>
      <c r="C22593">
        <f>HYPERLINK("C:\Users\franc\OneDrive\Documentos\MALENTIN KARIME\BANCO CREDITO\FER LORCA en ROSITA (Rosita)\ANA LUISA TODO\ROSITA DIAZ\ROBERTO ALEGRE.doc", "Abrir Documento")</f>
        <v>0</v>
      </c>
      <c r="D22593" t="s">
        <v>23500</v>
      </c>
      <c r="E22593" t="s">
        <v>44991</v>
      </c>
    </row>
    <row r="22594" spans="1:5">
      <c r="A22594" t="s">
        <v>6</v>
      </c>
      <c r="B22594" t="s">
        <v>22599</v>
      </c>
      <c r="C22594">
        <f>HYPERLINK("C:\Users\franc\OneDrive\Documentos\MALENTIN KARIME\BANCO CREDITO\FER LORCA en ROSITA (Rosita)\ANA LUISA TODO\ROSITA DIAZ\RICARDO COLLAO (JULIO).doc", "Abrir Documento")</f>
        <v>0</v>
      </c>
      <c r="D22594" t="s">
        <v>23500</v>
      </c>
      <c r="E22594" t="s">
        <v>44992</v>
      </c>
    </row>
    <row r="22595" spans="1:5">
      <c r="A22595" t="s">
        <v>6</v>
      </c>
      <c r="B22595" t="s">
        <v>22600</v>
      </c>
      <c r="C22595">
        <f>HYPERLINK("C:\Users\franc\OneDrive\Documentos\MALENTIN KARIME\BANCO CREDITO\FER LORCA en ROSITA (Rosita)\ANA LUISA TODO\ROSITA DIAZ\RICARDO CORTES.doc", "Abrir Documento")</f>
        <v>0</v>
      </c>
      <c r="D22595" t="s">
        <v>23500</v>
      </c>
      <c r="E22595" t="s">
        <v>44992</v>
      </c>
    </row>
    <row r="22596" spans="1:5">
      <c r="A22596" t="s">
        <v>6</v>
      </c>
      <c r="B22596" t="s">
        <v>22601</v>
      </c>
      <c r="C22596">
        <f>HYPERLINK("C:\Users\franc\OneDrive\Documentos\MALENTIN KARIME\BANCO CREDITO\FER LORCA en ROSITA (Rosita)\ANA LUISA TODO\ROSITA DIAZ\RICARDO ALFARO (JULIO).doc", "Abrir Documento")</f>
        <v>0</v>
      </c>
      <c r="D22596" t="s">
        <v>23500</v>
      </c>
      <c r="E22596" t="s">
        <v>44993</v>
      </c>
    </row>
    <row r="22597" spans="1:5">
      <c r="A22597" t="s">
        <v>6</v>
      </c>
      <c r="B22597" t="s">
        <v>22602</v>
      </c>
      <c r="C22597">
        <f>HYPERLINK("C:\Users\franc\OneDrive\Documentos\MALENTIN KARIME\BANCO CREDITO\FER LORCA en ROSITA (Rosita)\ANA LUISA TODO\ROSITA DIAZ\RAUL PIZARRO ARAYA.doc", "Abrir Documento")</f>
        <v>0</v>
      </c>
      <c r="D22597" t="s">
        <v>23500</v>
      </c>
      <c r="E22597" t="s">
        <v>44994</v>
      </c>
    </row>
    <row r="22598" spans="1:5">
      <c r="A22598" t="s">
        <v>6</v>
      </c>
      <c r="B22598" t="s">
        <v>22603</v>
      </c>
      <c r="C22598">
        <f>HYPERLINK("C:\Users\franc\OneDrive\Documentos\MALENTIN KARIME\BANCO CREDITO\FER LORCA en ROSITA (Rosita)\ANA LUISA TODO\ROSITA DIAZ\RAUL CORTES (JULIO).doc", "Abrir Documento")</f>
        <v>0</v>
      </c>
      <c r="D22598" t="s">
        <v>23500</v>
      </c>
      <c r="E22598" t="s">
        <v>44995</v>
      </c>
    </row>
    <row r="22599" spans="1:5">
      <c r="A22599" t="s">
        <v>6</v>
      </c>
      <c r="B22599" t="s">
        <v>22604</v>
      </c>
      <c r="C22599">
        <f>HYPERLINK("C:\Users\franc\OneDrive\Documentos\MALENTIN KARIME\BANCO CREDITO\FER LORCA en ROSITA (Rosita)\ANA LUISA TODO\ROSITA DIAZ\RAIMUNDO ROJAS  (JULIO).doc", "Abrir Documento")</f>
        <v>0</v>
      </c>
      <c r="D22599" t="s">
        <v>23500</v>
      </c>
      <c r="E22599" t="s">
        <v>44996</v>
      </c>
    </row>
    <row r="22600" spans="1:5">
      <c r="A22600" t="s">
        <v>6</v>
      </c>
      <c r="B22600" t="s">
        <v>22605</v>
      </c>
      <c r="C22600">
        <f>HYPERLINK("C:\Users\franc\OneDrive\Documentos\MALENTIN KARIME\BANCO CREDITO\FER LORCA en ROSITA (Rosita)\ANA LUISA TODO\ROSITA DIAZ\PEDRO ADONIS SIERRA.doc", "Abrir Documento")</f>
        <v>0</v>
      </c>
      <c r="D22600" t="s">
        <v>23500</v>
      </c>
      <c r="E22600" t="s">
        <v>44997</v>
      </c>
    </row>
    <row r="22601" spans="1:5">
      <c r="A22601" t="s">
        <v>6</v>
      </c>
      <c r="B22601" t="s">
        <v>22606</v>
      </c>
      <c r="C22601">
        <f>HYPERLINK("C:\Users\franc\OneDrive\Documentos\MALENTIN KARIME\BANCO CREDITO\FER LORCA en ROSITA (Rosita)\ANA LUISA TODO\ROSITA DIAZ\PAULINA CASANOVA (JULIO).doc", "Abrir Documento")</f>
        <v>0</v>
      </c>
      <c r="D22601" t="s">
        <v>23500</v>
      </c>
      <c r="E22601" t="s">
        <v>44998</v>
      </c>
    </row>
    <row r="22602" spans="1:5">
      <c r="A22602" t="s">
        <v>6</v>
      </c>
      <c r="B22602" t="s">
        <v>22607</v>
      </c>
      <c r="C22602">
        <f>HYPERLINK("C:\Users\franc\OneDrive\Documentos\MALENTIN KARIME\BANCO CREDITO\FER LORCA en ROSITA (Rosita)\ANA LUISA TODO\ROSITA DIAZ\PATRICIO VELIZ (JULIO).doc", "Abrir Documento")</f>
        <v>0</v>
      </c>
      <c r="D22602" t="s">
        <v>23500</v>
      </c>
      <c r="E22602" t="s">
        <v>44999</v>
      </c>
    </row>
    <row r="22603" spans="1:5">
      <c r="A22603" t="s">
        <v>6</v>
      </c>
      <c r="B22603" t="s">
        <v>22608</v>
      </c>
      <c r="C22603">
        <f>HYPERLINK("C:\Users\franc\OneDrive\Documentos\MALENTIN KARIME\BANCO CREDITO\FER LORCA en ROSITA (Rosita)\ANA LUISA TODO\ROSITA DIAZ\PATRICIO CARVAJAL (JULIO).doc", "Abrir Documento")</f>
        <v>0</v>
      </c>
      <c r="D22603" t="s">
        <v>23500</v>
      </c>
      <c r="E22603" t="s">
        <v>45000</v>
      </c>
    </row>
    <row r="22604" spans="1:5">
      <c r="A22604" t="s">
        <v>6</v>
      </c>
      <c r="B22604" t="s">
        <v>22609</v>
      </c>
      <c r="C22604">
        <f>HYPERLINK("C:\Users\franc\OneDrive\Documentos\MALENTIN KARIME\BANCO CREDITO\FER LORCA en ROSITA (Rosita)\ANA LUISA TODO\ROSITA DIAZ\PAOLA PEREZ (JULIO).doc", "Abrir Documento")</f>
        <v>0</v>
      </c>
      <c r="D22604" t="s">
        <v>23500</v>
      </c>
      <c r="E22604" t="s">
        <v>45001</v>
      </c>
    </row>
    <row r="22605" spans="1:5">
      <c r="A22605" t="s">
        <v>6</v>
      </c>
      <c r="B22605" t="s">
        <v>22610</v>
      </c>
      <c r="C22605">
        <f>HYPERLINK("C:\Users\franc\OneDrive\Documentos\MALENTIN KARIME\BANCO CREDITO\FER LORCA en ROSITA (Rosita)\ANA LUISA TODO\ROSITA DIAZ\PATRICIA PONCE.doc", "Abrir Documento")</f>
        <v>0</v>
      </c>
      <c r="D22605" t="s">
        <v>23500</v>
      </c>
      <c r="E22605" t="s">
        <v>45001</v>
      </c>
    </row>
    <row r="22606" spans="1:5">
      <c r="A22606" t="s">
        <v>6</v>
      </c>
      <c r="B22606" t="s">
        <v>22611</v>
      </c>
      <c r="C22606">
        <f>HYPERLINK("C:\Users\franc\OneDrive\Documentos\MALENTIN KARIME\BANCO CREDITO\FER LORCA en ROSITA (Rosita)\ANA LUISA TODO\ROSITA DIAZ\OSCAR ROJAS.doc", "Abrir Documento")</f>
        <v>0</v>
      </c>
      <c r="D22606" t="s">
        <v>23500</v>
      </c>
      <c r="E22606" t="s">
        <v>45002</v>
      </c>
    </row>
    <row r="22607" spans="1:5">
      <c r="A22607" t="s">
        <v>6</v>
      </c>
      <c r="B22607" t="s">
        <v>22612</v>
      </c>
      <c r="C22607">
        <f>HYPERLINK("C:\Users\franc\OneDrive\Documentos\MALENTIN KARIME\BANCO CREDITO\FER LORCA en ROSITA (Rosita)\ANA LUISA TODO\ROSITA DIAZ\OSCAR PIÑONES.doc", "Abrir Documento")</f>
        <v>0</v>
      </c>
      <c r="D22607" t="s">
        <v>23500</v>
      </c>
      <c r="E22607" t="s">
        <v>45003</v>
      </c>
    </row>
    <row r="22608" spans="1:5">
      <c r="A22608" t="s">
        <v>6</v>
      </c>
      <c r="B22608" t="s">
        <v>22613</v>
      </c>
      <c r="C22608">
        <f>HYPERLINK("C:\Users\franc\OneDrive\Documentos\MALENTIN KARIME\BANCO CREDITO\FER LORCA en ROSITA (Rosita)\ANA LUISA TODO\ROSITA DIAZ\OSCAR ROJAS (JULIO).doc", "Abrir Documento")</f>
        <v>0</v>
      </c>
      <c r="D22608" t="s">
        <v>23500</v>
      </c>
      <c r="E22608" t="s">
        <v>45003</v>
      </c>
    </row>
    <row r="22609" spans="1:5">
      <c r="A22609" t="s">
        <v>6</v>
      </c>
      <c r="B22609" t="s">
        <v>22614</v>
      </c>
      <c r="C22609">
        <f>HYPERLINK("C:\Users\franc\OneDrive\Documentos\MALENTIN KARIME\BANCO CREDITO\FER LORCA en ROSITA (Rosita)\ANA LUISA TODO\ROSITA DIAZ\OSCAR CORTES CORTES.doc", "Abrir Documento")</f>
        <v>0</v>
      </c>
      <c r="D22609" t="s">
        <v>23500</v>
      </c>
      <c r="E22609" t="s">
        <v>45004</v>
      </c>
    </row>
    <row r="22610" spans="1:5">
      <c r="A22610" t="s">
        <v>6</v>
      </c>
      <c r="B22610" t="s">
        <v>22615</v>
      </c>
      <c r="C22610">
        <f>HYPERLINK("C:\Users\franc\OneDrive\Documentos\MALENTIN KARIME\BANCO CREDITO\FER LORCA en ROSITA (Rosita)\ANA LUISA TODO\ROSITA DIAZ\ORIETA CHACANA  (JULIO).doc", "Abrir Documento")</f>
        <v>0</v>
      </c>
      <c r="D22610" t="s">
        <v>23500</v>
      </c>
      <c r="E22610" t="s">
        <v>45005</v>
      </c>
    </row>
    <row r="22611" spans="1:5">
      <c r="A22611" t="s">
        <v>6</v>
      </c>
      <c r="B22611" t="s">
        <v>22616</v>
      </c>
      <c r="C22611">
        <f>HYPERLINK("C:\Users\franc\OneDrive\Documentos\MALENTIN KARIME\BANCO CREDITO\FER LORCA en ROSITA (Rosita)\ANA LUISA TODO\ROSITA DIAZ\OSCAR CORTES (JULIO).doc", "Abrir Documento")</f>
        <v>0</v>
      </c>
      <c r="D22611" t="s">
        <v>23500</v>
      </c>
      <c r="E22611" t="s">
        <v>45005</v>
      </c>
    </row>
    <row r="22612" spans="1:5">
      <c r="A22612" t="s">
        <v>6</v>
      </c>
      <c r="B22612" t="s">
        <v>22617</v>
      </c>
      <c r="C22612">
        <f>HYPERLINK("C:\Users\franc\OneDrive\Documentos\MALENTIN KARIME\BANCO CREDITO\FER LORCA en ROSITA (Rosita)\ANA LUISA TODO\ROSITA DIAZ\OMAR CAMPOS (JULIO).doc", "Abrir Documento")</f>
        <v>0</v>
      </c>
      <c r="D22612" t="s">
        <v>23500</v>
      </c>
      <c r="E22612" t="s">
        <v>45006</v>
      </c>
    </row>
    <row r="22613" spans="1:5">
      <c r="A22613" t="s">
        <v>6</v>
      </c>
      <c r="B22613" t="s">
        <v>22618</v>
      </c>
      <c r="C22613">
        <f>HYPERLINK("C:\Users\franc\OneDrive\Documentos\MALENTIN KARIME\BANCO CREDITO\FER LORCA en ROSITA (Rosita)\ANA LUISA TODO\ROSITA DIAZ\NELSON SANDOVAL ROJAS.doc", "Abrir Documento")</f>
        <v>0</v>
      </c>
      <c r="D22613" t="s">
        <v>23500</v>
      </c>
      <c r="E22613" t="s">
        <v>45007</v>
      </c>
    </row>
    <row r="22614" spans="1:5">
      <c r="A22614" t="s">
        <v>6</v>
      </c>
      <c r="B22614" t="s">
        <v>22619</v>
      </c>
      <c r="C22614">
        <f>HYPERLINK("C:\Users\franc\OneDrive\Documentos\MALENTIN KARIME\BANCO CREDITO\FER LORCA en ROSITA (Rosita)\ANA LUISA TODO\ROSITA DIAZ\NILO SANTIBAÑEZ ZAPATA.doc", "Abrir Documento")</f>
        <v>0</v>
      </c>
      <c r="D22614" t="s">
        <v>23500</v>
      </c>
      <c r="E22614" t="s">
        <v>45007</v>
      </c>
    </row>
    <row r="22615" spans="1:5">
      <c r="A22615" t="s">
        <v>6</v>
      </c>
      <c r="B22615" t="s">
        <v>22620</v>
      </c>
      <c r="C22615">
        <f>HYPERLINK("C:\Users\franc\OneDrive\Documentos\MALENTIN KARIME\BANCO CREDITO\FER LORCA en ROSITA (Rosita)\ANA LUISA TODO\ROSITA DIAZ\MISAEL TAPIA.doc", "Abrir Documento")</f>
        <v>0</v>
      </c>
      <c r="D22615" t="s">
        <v>23500</v>
      </c>
      <c r="E22615" t="s">
        <v>45008</v>
      </c>
    </row>
    <row r="22616" spans="1:5">
      <c r="A22616" t="s">
        <v>6</v>
      </c>
      <c r="B22616" t="s">
        <v>22621</v>
      </c>
      <c r="C22616">
        <f>HYPERLINK("C:\Users\franc\OneDrive\Documentos\MALENTIN KARIME\BANCO CREDITO\FER LORCA en ROSITA (Rosita)\ANA LUISA TODO\ROSITA DIAZ\MIGUEL ARAYA  (JULIO).doc", "Abrir Documento")</f>
        <v>0</v>
      </c>
      <c r="D22616" t="s">
        <v>23500</v>
      </c>
      <c r="E22616" t="s">
        <v>45009</v>
      </c>
    </row>
    <row r="22617" spans="1:5">
      <c r="A22617" t="s">
        <v>6</v>
      </c>
      <c r="B22617" t="s">
        <v>22622</v>
      </c>
      <c r="C22617">
        <f>HYPERLINK("C:\Users\franc\OneDrive\Documentos\MALENTIN KARIME\BANCO CREDITO\FER LORCA en ROSITA (Rosita)\ANA LUISA TODO\ROSITA DIAZ\MISAEL TAPIA  (JULIO).doc", "Abrir Documento")</f>
        <v>0</v>
      </c>
      <c r="D22617" t="s">
        <v>23500</v>
      </c>
      <c r="E22617" t="s">
        <v>45009</v>
      </c>
    </row>
    <row r="22618" spans="1:5">
      <c r="A22618" t="s">
        <v>6</v>
      </c>
      <c r="B22618" t="s">
        <v>22623</v>
      </c>
      <c r="C22618">
        <f>HYPERLINK("C:\Users\franc\OneDrive\Documentos\MALENTIN KARIME\BANCO CREDITO\FER LORCA en ROSITA (Rosita)\ANA LUISA TODO\ROSITA DIAZ\MERCEDES ZEPEDA (JULIO).doc", "Abrir Documento")</f>
        <v>0</v>
      </c>
      <c r="D22618" t="s">
        <v>23500</v>
      </c>
      <c r="E22618" t="s">
        <v>45010</v>
      </c>
    </row>
    <row r="22619" spans="1:5">
      <c r="A22619" t="s">
        <v>6</v>
      </c>
      <c r="B22619" t="s">
        <v>22624</v>
      </c>
      <c r="C22619">
        <f>HYPERLINK("C:\Users\franc\OneDrive\Documentos\MALENTIN KARIME\BANCO CREDITO\FER LORCA en ROSITA (Rosita)\ANA LUISA TODO\ROSITA DIAZ\MAURICIO ZEPEDA  (JULIO).doc", "Abrir Documento")</f>
        <v>0</v>
      </c>
      <c r="D22619" t="s">
        <v>23500</v>
      </c>
      <c r="E22619" t="s">
        <v>45011</v>
      </c>
    </row>
    <row r="22620" spans="1:5">
      <c r="A22620" t="s">
        <v>6</v>
      </c>
      <c r="B22620" t="s">
        <v>22625</v>
      </c>
      <c r="C22620">
        <f>HYPERLINK("C:\Users\franc\OneDrive\Documentos\MALENTIN KARIME\BANCO CREDITO\FER LORCA en ROSITA (Rosita)\ANA LUISA TODO\ROSITA DIAZ\MELISA RODRIGUEZ   (JULIO).doc", "Abrir Documento")</f>
        <v>0</v>
      </c>
      <c r="D22620" t="s">
        <v>23500</v>
      </c>
      <c r="E22620" t="s">
        <v>45011</v>
      </c>
    </row>
    <row r="22621" spans="1:5">
      <c r="A22621" t="s">
        <v>6</v>
      </c>
      <c r="B22621" t="s">
        <v>22626</v>
      </c>
      <c r="C22621">
        <f>HYPERLINK("C:\Users\franc\OneDrive\Documentos\MALENTIN KARIME\BANCO CREDITO\FER LORCA en ROSITA (Rosita)\ANA LUISA TODO\ROSITA DIAZ\MARTIN ORDENES (JULIO).doc", "Abrir Documento")</f>
        <v>0</v>
      </c>
      <c r="D22621" t="s">
        <v>23500</v>
      </c>
      <c r="E22621" t="s">
        <v>45012</v>
      </c>
    </row>
    <row r="22622" spans="1:5">
      <c r="A22622" t="s">
        <v>6</v>
      </c>
      <c r="B22622" t="s">
        <v>22627</v>
      </c>
      <c r="C22622">
        <f>HYPERLINK("C:\Users\franc\OneDrive\Documentos\MALENTIN KARIME\BANCO CREDITO\FER LORCA en ROSITA (Rosita)\ANA LUISA TODO\ROSITA DIAZ\MARIO MUTARELLO (JULIO).doc", "Abrir Documento")</f>
        <v>0</v>
      </c>
      <c r="D22622" t="s">
        <v>23500</v>
      </c>
      <c r="E22622" t="s">
        <v>45013</v>
      </c>
    </row>
    <row r="22623" spans="1:5">
      <c r="A22623" t="s">
        <v>6</v>
      </c>
      <c r="B22623" t="s">
        <v>22628</v>
      </c>
      <c r="C22623">
        <f>HYPERLINK("C:\Users\franc\OneDrive\Documentos\MALENTIN KARIME\BANCO CREDITO\FER LORCA en ROSITA (Rosita)\ANA LUISA TODO\ROSITA DIAZ\MARIO ECHEVERRIA TAPIA.doc", "Abrir Documento")</f>
        <v>0</v>
      </c>
      <c r="D22623" t="s">
        <v>23500</v>
      </c>
      <c r="E22623" t="s">
        <v>45014</v>
      </c>
    </row>
    <row r="22624" spans="1:5">
      <c r="A22624" t="s">
        <v>6</v>
      </c>
      <c r="B22624" t="s">
        <v>22629</v>
      </c>
      <c r="C22624">
        <f>HYPERLINK("C:\Users\franc\OneDrive\Documentos\MALENTIN KARIME\BANCO CREDITO\FER LORCA en ROSITA (Rosita)\ANA LUISA TODO\ROSITA DIAZ\MARIA VELIZ ROJAS.doc", "Abrir Documento")</f>
        <v>0</v>
      </c>
      <c r="D22624" t="s">
        <v>23500</v>
      </c>
      <c r="E22624" t="s">
        <v>45015</v>
      </c>
    </row>
    <row r="22625" spans="1:5">
      <c r="A22625" t="s">
        <v>6</v>
      </c>
      <c r="B22625" t="s">
        <v>22630</v>
      </c>
      <c r="C22625">
        <f>HYPERLINK("C:\Users\franc\OneDrive\Documentos\MALENTIN KARIME\BANCO CREDITO\FER LORCA en ROSITA (Rosita)\ANA LUISA TODO\ROSITA DIAZ\MARIA CONTRERAS VEAS  (JULIO).doc", "Abrir Documento")</f>
        <v>0</v>
      </c>
      <c r="D22625" t="s">
        <v>23500</v>
      </c>
      <c r="E22625" t="s">
        <v>45016</v>
      </c>
    </row>
    <row r="22626" spans="1:5">
      <c r="A22626" t="s">
        <v>6</v>
      </c>
      <c r="B22626" t="s">
        <v>22631</v>
      </c>
      <c r="C22626">
        <f>HYPERLINK("C:\Users\franc\OneDrive\Documentos\MALENTIN KARIME\BANCO CREDITO\FER LORCA en ROSITA (Rosita)\ANA LUISA TODO\ROSITA DIAZ\MARIA AVILA AVILA.doc", "Abrir Documento")</f>
        <v>0</v>
      </c>
      <c r="D22626" t="s">
        <v>23500</v>
      </c>
      <c r="E22626" t="s">
        <v>45017</v>
      </c>
    </row>
    <row r="22627" spans="1:5">
      <c r="A22627" t="s">
        <v>6</v>
      </c>
      <c r="B22627" t="s">
        <v>22632</v>
      </c>
      <c r="C22627">
        <f>HYPERLINK("C:\Users\franc\OneDrive\Documentos\MALENTIN KARIME\BANCO CREDITO\FER LORCA en ROSITA (Rosita)\ANA LUISA TODO\ROSITA DIAZ\MARGARITA SILVA (JULIO).doc", "Abrir Documento")</f>
        <v>0</v>
      </c>
      <c r="D22627" t="s">
        <v>23500</v>
      </c>
      <c r="E22627" t="s">
        <v>45018</v>
      </c>
    </row>
    <row r="22628" spans="1:5">
      <c r="A22628" t="s">
        <v>6</v>
      </c>
      <c r="B22628" t="s">
        <v>22633</v>
      </c>
      <c r="C22628">
        <f>HYPERLINK("C:\Users\franc\OneDrive\Documentos\MALENTIN KARIME\BANCO CREDITO\FER LORCA en ROSITA (Rosita)\ANA LUISA TODO\ROSITA DIAZ\MARCELO JIMENEZ (JULIO).doc", "Abrir Documento")</f>
        <v>0</v>
      </c>
      <c r="D22628" t="s">
        <v>23500</v>
      </c>
      <c r="E22628" t="s">
        <v>45019</v>
      </c>
    </row>
    <row r="22629" spans="1:5">
      <c r="A22629" t="s">
        <v>6</v>
      </c>
      <c r="B22629" t="s">
        <v>22634</v>
      </c>
      <c r="C22629">
        <f>HYPERLINK("C:\Users\franc\OneDrive\Documentos\MALENTIN KARIME\BANCO CREDITO\FER LORCA en ROSITA (Rosita)\ANA LUISA TODO\ROSITA DIAZ\MARCELA MUÑOZ MOLINA.doc", "Abrir Documento")</f>
        <v>0</v>
      </c>
      <c r="D22629" t="s">
        <v>23500</v>
      </c>
      <c r="E22629" t="s">
        <v>45020</v>
      </c>
    </row>
    <row r="22630" spans="1:5">
      <c r="A22630" t="s">
        <v>6</v>
      </c>
      <c r="B22630" t="s">
        <v>22635</v>
      </c>
      <c r="C22630">
        <f>HYPERLINK("C:\Users\franc\OneDrive\Documentos\MALENTIN KARIME\BANCO CREDITO\FER LORCA en ROSITA (Rosita)\ANA LUISA TODO\ROSITA DIAZ\LUIS PEREZ.doc", "Abrir Documento")</f>
        <v>0</v>
      </c>
      <c r="D22630" t="s">
        <v>23500</v>
      </c>
      <c r="E22630" t="s">
        <v>45021</v>
      </c>
    </row>
    <row r="22631" spans="1:5">
      <c r="A22631" t="s">
        <v>6</v>
      </c>
      <c r="B22631" t="s">
        <v>22636</v>
      </c>
      <c r="C22631">
        <f>HYPERLINK("C:\Users\franc\OneDrive\Documentos\MALENTIN KARIME\BANCO CREDITO\FER LORCA en ROSITA (Rosita)\ANA LUISA TODO\ROSITA DIAZ\LUIS PEREZ CONTRERS.doc", "Abrir Documento")</f>
        <v>0</v>
      </c>
      <c r="D22631" t="s">
        <v>23500</v>
      </c>
      <c r="E22631" t="s">
        <v>45022</v>
      </c>
    </row>
    <row r="22632" spans="1:5">
      <c r="A22632" t="s">
        <v>6</v>
      </c>
      <c r="B22632" t="s">
        <v>22637</v>
      </c>
      <c r="C22632">
        <f>HYPERLINK("C:\Users\franc\OneDrive\Documentos\MALENTIN KARIME\BANCO CREDITO\FER LORCA en ROSITA (Rosita)\ANA LUISA TODO\ROSITA DIAZ\LORENA CORTES  (JULIO).doc", "Abrir Documento")</f>
        <v>0</v>
      </c>
      <c r="D22632" t="s">
        <v>23500</v>
      </c>
      <c r="E22632" t="s">
        <v>45023</v>
      </c>
    </row>
    <row r="22633" spans="1:5">
      <c r="A22633" t="s">
        <v>6</v>
      </c>
      <c r="B22633" t="s">
        <v>22638</v>
      </c>
      <c r="C22633">
        <f>HYPERLINK("C:\Users\franc\OneDrive\Documentos\MALENTIN KARIME\BANCO CREDITO\FER LORCA en ROSITA (Rosita)\ANA LUISA TODO\ROSITA DIAZ\LEONEL ALFARO.doc", "Abrir Documento")</f>
        <v>0</v>
      </c>
      <c r="D22633" t="s">
        <v>23500</v>
      </c>
      <c r="E22633" t="s">
        <v>45024</v>
      </c>
    </row>
    <row r="22634" spans="1:5">
      <c r="A22634" t="s">
        <v>6</v>
      </c>
      <c r="B22634" t="s">
        <v>22639</v>
      </c>
      <c r="C22634">
        <f>HYPERLINK("C:\Users\franc\OneDrive\Documentos\MALENTIN KARIME\BANCO CREDITO\FER LORCA en ROSITA (Rosita)\ANA LUISA TODO\ROSITA DIAZ\JULIO RAMOS.doc", "Abrir Documento")</f>
        <v>0</v>
      </c>
      <c r="D22634" t="s">
        <v>23500</v>
      </c>
      <c r="E22634" t="s">
        <v>45025</v>
      </c>
    </row>
    <row r="22635" spans="1:5">
      <c r="A22635" t="s">
        <v>6</v>
      </c>
      <c r="B22635" t="s">
        <v>22640</v>
      </c>
      <c r="C22635">
        <f>HYPERLINK("C:\Users\franc\OneDrive\Documentos\MALENTIN KARIME\BANCO CREDITO\FER LORCA en ROSITA (Rosita)\ANA LUISA TODO\ROSITA DIAZ\JUAN VEGA MONDACA.doc", "Abrir Documento")</f>
        <v>0</v>
      </c>
      <c r="D22635" t="s">
        <v>23500</v>
      </c>
      <c r="E22635" t="s">
        <v>45026</v>
      </c>
    </row>
    <row r="22636" spans="1:5">
      <c r="A22636" t="s">
        <v>6</v>
      </c>
      <c r="B22636" t="s">
        <v>22641</v>
      </c>
      <c r="C22636">
        <f>HYPERLINK("C:\Users\franc\OneDrive\Documentos\MALENTIN KARIME\BANCO CREDITO\FER LORCA en ROSITA (Rosita)\ANA LUISA TODO\ROSITA DIAZ\JUAN TAPIA BARRERA (JULIO).doc", "Abrir Documento")</f>
        <v>0</v>
      </c>
      <c r="D22636" t="s">
        <v>23500</v>
      </c>
      <c r="E22636" t="s">
        <v>45027</v>
      </c>
    </row>
    <row r="22637" spans="1:5">
      <c r="A22637" t="s">
        <v>6</v>
      </c>
      <c r="B22637" t="s">
        <v>22642</v>
      </c>
      <c r="C22637">
        <f>HYPERLINK("C:\Users\franc\OneDrive\Documentos\MALENTIN KARIME\BANCO CREDITO\FER LORCA en ROSITA (Rosita)\ANA LUISA TODO\ROSITA DIAZ\JOSE TAPIA (JULIO).doc", "Abrir Documento")</f>
        <v>0</v>
      </c>
      <c r="D22637" t="s">
        <v>23500</v>
      </c>
      <c r="E22637" t="s">
        <v>45028</v>
      </c>
    </row>
    <row r="22638" spans="1:5">
      <c r="A22638" t="s">
        <v>6</v>
      </c>
      <c r="B22638" t="s">
        <v>22643</v>
      </c>
      <c r="C22638">
        <f>HYPERLINK("C:\Users\franc\OneDrive\Documentos\MALENTIN KARIME\BANCO CREDITO\FER LORCA en ROSITA (Rosita)\ANA LUISA TODO\ROSITA DIAZ\JOSE BARRAZA ARAYA.doc", "Abrir Documento")</f>
        <v>0</v>
      </c>
      <c r="D22638" t="s">
        <v>23500</v>
      </c>
      <c r="E22638" t="s">
        <v>45029</v>
      </c>
    </row>
    <row r="22639" spans="1:5">
      <c r="A22639" t="s">
        <v>6</v>
      </c>
      <c r="B22639" t="s">
        <v>22644</v>
      </c>
      <c r="C22639">
        <f>HYPERLINK("C:\Users\franc\OneDrive\Documentos\MALENTIN KARIME\BANCO CREDITO\FER LORCA en ROSITA (Rosita)\ANA LUISA TODO\ROSITA DIAZ\JOSE AGUILERA (JULIO).doc", "Abrir Documento")</f>
        <v>0</v>
      </c>
      <c r="D22639" t="s">
        <v>23500</v>
      </c>
      <c r="E22639" t="s">
        <v>45030</v>
      </c>
    </row>
    <row r="22640" spans="1:5">
      <c r="A22640" t="s">
        <v>6</v>
      </c>
      <c r="B22640" t="s">
        <v>22645</v>
      </c>
      <c r="C22640">
        <f>HYPERLINK("C:\Users\franc\OneDrive\Documentos\MALENTIN KARIME\BANCO CREDITO\FER LORCA en ROSITA (Rosita)\ANA LUISA TODO\ROSITA DIAZ\JIMENA ARAYA (JULIO).doc", "Abrir Documento")</f>
        <v>0</v>
      </c>
      <c r="D22640" t="s">
        <v>23500</v>
      </c>
      <c r="E22640" t="s">
        <v>45031</v>
      </c>
    </row>
    <row r="22641" spans="1:5">
      <c r="A22641" t="s">
        <v>6</v>
      </c>
      <c r="B22641" t="s">
        <v>22646</v>
      </c>
      <c r="C22641">
        <f>HYPERLINK("C:\Users\franc\OneDrive\Documentos\MALENTIN KARIME\BANCO CREDITO\FER LORCA en ROSITA (Rosita)\ANA LUISA TODO\ROSITA DIAZ\JIMENA ARAYA  (JULIO).doc", "Abrir Documento")</f>
        <v>0</v>
      </c>
      <c r="D22641" t="s">
        <v>23500</v>
      </c>
      <c r="E22641" t="s">
        <v>45032</v>
      </c>
    </row>
    <row r="22642" spans="1:5">
      <c r="A22642" t="s">
        <v>6</v>
      </c>
      <c r="B22642" t="s">
        <v>22647</v>
      </c>
      <c r="C22642">
        <f>HYPERLINK("C:\Users\franc\OneDrive\Documentos\MALENTIN KARIME\BANCO CREDITO\FER LORCA en ROSITA (Rosita)\ANA LUISA TODO\ROSITA DIAZ\JESSICA ARAYA (JULIO).doc", "Abrir Documento")</f>
        <v>0</v>
      </c>
      <c r="D22642" t="s">
        <v>23500</v>
      </c>
      <c r="E22642" t="s">
        <v>45033</v>
      </c>
    </row>
    <row r="22643" spans="1:5">
      <c r="A22643" t="s">
        <v>6</v>
      </c>
      <c r="B22643" t="s">
        <v>22648</v>
      </c>
      <c r="C22643">
        <f>HYPERLINK("C:\Users\franc\OneDrive\Documentos\MALENTIN KARIME\BANCO CREDITO\FER LORCA en ROSITA (Rosita)\ANA LUISA TODO\ROSITA DIAZ\JEISY GALLARDO OSSANDON.doc", "Abrir Documento")</f>
        <v>0</v>
      </c>
      <c r="D22643" t="s">
        <v>23500</v>
      </c>
      <c r="E22643" t="s">
        <v>45034</v>
      </c>
    </row>
    <row r="22644" spans="1:5">
      <c r="A22644" t="s">
        <v>6</v>
      </c>
      <c r="B22644" t="s">
        <v>22649</v>
      </c>
      <c r="C22644">
        <f>HYPERLINK("C:\Users\franc\OneDrive\Documentos\MALENTIN KARIME\BANCO CREDITO\FER LORCA en ROSITA (Rosita)\ANA LUISA TODO\ROSITA DIAZ\IRENE ARACENA.doc", "Abrir Documento")</f>
        <v>0</v>
      </c>
      <c r="D22644" t="s">
        <v>23500</v>
      </c>
      <c r="E22644" t="s">
        <v>45035</v>
      </c>
    </row>
    <row r="22645" spans="1:5">
      <c r="A22645" t="s">
        <v>6</v>
      </c>
      <c r="B22645" t="s">
        <v>22650</v>
      </c>
      <c r="C22645">
        <f>HYPERLINK("C:\Users\franc\OneDrive\Documentos\MALENTIN KARIME\BANCO CREDITO\FER LORCA en ROSITA (Rosita)\ANA LUISA TODO\ROSITA DIAZ\IVAN VEGA (JULIO).doc", "Abrir Documento")</f>
        <v>0</v>
      </c>
      <c r="D22645" t="s">
        <v>23500</v>
      </c>
      <c r="E22645" t="s">
        <v>45035</v>
      </c>
    </row>
    <row r="22646" spans="1:5">
      <c r="A22646" t="s">
        <v>6</v>
      </c>
      <c r="B22646" t="s">
        <v>22651</v>
      </c>
      <c r="C22646">
        <f>HYPERLINK("C:\Users\franc\OneDrive\Documentos\MALENTIN KARIME\BANCO CREDITO\FER LORCA en ROSITA (Rosita)\ANA LUISA TODO\ROSITA DIAZ\INGRID CASTILLO (JULIO).doc", "Abrir Documento")</f>
        <v>0</v>
      </c>
      <c r="D22646" t="s">
        <v>23500</v>
      </c>
      <c r="E22646" t="s">
        <v>45036</v>
      </c>
    </row>
    <row r="22647" spans="1:5">
      <c r="A22647" t="s">
        <v>6</v>
      </c>
      <c r="B22647" t="s">
        <v>22652</v>
      </c>
      <c r="C22647">
        <f>HYPERLINK("C:\Users\franc\OneDrive\Documentos\MALENTIN KARIME\BANCO CREDITO\FER LORCA en ROSITA (Rosita)\ANA LUISA TODO\ROSITA DIAZ\HUMBERTO RODRIGUEZ (JULIO).doc", "Abrir Documento")</f>
        <v>0</v>
      </c>
      <c r="D22647" t="s">
        <v>23500</v>
      </c>
      <c r="E22647" t="s">
        <v>45037</v>
      </c>
    </row>
    <row r="22648" spans="1:5">
      <c r="A22648" t="s">
        <v>6</v>
      </c>
      <c r="B22648" t="s">
        <v>22653</v>
      </c>
      <c r="C22648">
        <f>HYPERLINK("C:\Users\franc\OneDrive\Documentos\MALENTIN KARIME\BANCO CREDITO\FER LORCA en ROSITA (Rosita)\ANA LUISA TODO\ROSITA DIAZ\HUGO CORDOVA GALLARDO.doc", "Abrir Documento")</f>
        <v>0</v>
      </c>
      <c r="D22648" t="s">
        <v>23500</v>
      </c>
      <c r="E22648" t="s">
        <v>45038</v>
      </c>
    </row>
    <row r="22649" spans="1:5">
      <c r="A22649" t="s">
        <v>6</v>
      </c>
      <c r="B22649" t="s">
        <v>22654</v>
      </c>
      <c r="C22649">
        <f>HYPERLINK("C:\Users\franc\OneDrive\Documentos\MALENTIN KARIME\BANCO CREDITO\FER LORCA en ROSITA (Rosita)\ANA LUISA TODO\ROSITA DIAZ\GUILLERMO VIDAURRE (JULIO).doc", "Abrir Documento")</f>
        <v>0</v>
      </c>
      <c r="D22649" t="s">
        <v>23500</v>
      </c>
      <c r="E22649" t="s">
        <v>45039</v>
      </c>
    </row>
    <row r="22650" spans="1:5">
      <c r="A22650" t="s">
        <v>6</v>
      </c>
      <c r="B22650" t="s">
        <v>22655</v>
      </c>
      <c r="C22650">
        <f>HYPERLINK("C:\Users\franc\OneDrive\Documentos\MALENTIN KARIME\BANCO CREDITO\FER LORCA en ROSITA (Rosita)\ANA LUISA TODO\ROSITA DIAZ\GREGORIO PEREZ.doc", "Abrir Documento")</f>
        <v>0</v>
      </c>
      <c r="D22650" t="s">
        <v>23500</v>
      </c>
      <c r="E22650" t="s">
        <v>45040</v>
      </c>
    </row>
    <row r="22651" spans="1:5">
      <c r="A22651" t="s">
        <v>6</v>
      </c>
      <c r="B22651" t="s">
        <v>22656</v>
      </c>
      <c r="C22651">
        <f>HYPERLINK("C:\Users\franc\OneDrive\Documentos\MALENTIN KARIME\BANCO CREDITO\FER LORCA en ROSITA (Rosita)\ANA LUISA TODO\ROSITA DIAZ\GREGORIO PEREZ (JULIO).doc", "Abrir Documento")</f>
        <v>0</v>
      </c>
      <c r="D22651" t="s">
        <v>23500</v>
      </c>
      <c r="E22651" t="s">
        <v>45041</v>
      </c>
    </row>
    <row r="22652" spans="1:5">
      <c r="A22652" t="s">
        <v>6</v>
      </c>
      <c r="B22652" t="s">
        <v>22657</v>
      </c>
      <c r="C22652">
        <f>HYPERLINK("C:\Users\franc\OneDrive\Documentos\MALENTIN KARIME\BANCO CREDITO\FER LORCA en ROSITA (Rosita)\ANA LUISA TODO\ROSITA DIAZ\GARY CARVAJAL   (JULIO).doc", "Abrir Documento")</f>
        <v>0</v>
      </c>
      <c r="D22652" t="s">
        <v>23500</v>
      </c>
      <c r="E22652" t="s">
        <v>45042</v>
      </c>
    </row>
    <row r="22653" spans="1:5">
      <c r="A22653" t="s">
        <v>6</v>
      </c>
      <c r="B22653" t="s">
        <v>22658</v>
      </c>
      <c r="C22653">
        <f>HYPERLINK("C:\Users\franc\OneDrive\Documentos\MALENTIN KARIME\BANCO CREDITO\FER LORCA en ROSITA (Rosita)\ANA LUISA TODO\ROSITA DIAZ\GABRIEL SARMIENTO.doc", "Abrir Documento")</f>
        <v>0</v>
      </c>
      <c r="D22653" t="s">
        <v>23500</v>
      </c>
      <c r="E22653" t="s">
        <v>45043</v>
      </c>
    </row>
    <row r="22654" spans="1:5">
      <c r="A22654" t="s">
        <v>6</v>
      </c>
      <c r="B22654" t="s">
        <v>22659</v>
      </c>
      <c r="C22654">
        <f>HYPERLINK("C:\Users\franc\OneDrive\Documentos\MALENTIN KARIME\BANCO CREDITO\FER LORCA en ROSITA (Rosita)\ANA LUISA TODO\ROSITA DIAZ\FRESIA BECERRA.doc", "Abrir Documento")</f>
        <v>0</v>
      </c>
      <c r="D22654" t="s">
        <v>23500</v>
      </c>
      <c r="E22654" t="s">
        <v>45044</v>
      </c>
    </row>
    <row r="22655" spans="1:5">
      <c r="A22655" t="s">
        <v>6</v>
      </c>
      <c r="B22655" t="s">
        <v>22660</v>
      </c>
      <c r="C22655">
        <f>HYPERLINK("C:\Users\franc\OneDrive\Documentos\MALENTIN KARIME\BANCO CREDITO\FER LORCA en ROSITA (Rosita)\ANA LUISA TODO\ROSITA DIAZ\FIDEL LEYTON (JULIO).doc", "Abrir Documento")</f>
        <v>0</v>
      </c>
      <c r="D22655" t="s">
        <v>23500</v>
      </c>
      <c r="E22655" t="s">
        <v>45045</v>
      </c>
    </row>
    <row r="22656" spans="1:5">
      <c r="A22656" t="s">
        <v>6</v>
      </c>
      <c r="B22656" t="s">
        <v>22661</v>
      </c>
      <c r="C22656">
        <f>HYPERLINK("C:\Users\franc\OneDrive\Documentos\MALENTIN KARIME\BANCO CREDITO\FER LORCA en ROSITA (Rosita)\ANA LUISA TODO\ROSITA DIAZ\FABIOLA CISTERNAS.doc", "Abrir Documento")</f>
        <v>0</v>
      </c>
      <c r="D22656" t="s">
        <v>23500</v>
      </c>
      <c r="E22656" t="s">
        <v>45046</v>
      </c>
    </row>
    <row r="22657" spans="1:5">
      <c r="A22657" t="s">
        <v>6</v>
      </c>
      <c r="B22657" t="s">
        <v>22662</v>
      </c>
      <c r="C22657">
        <f>HYPERLINK("C:\Users\franc\OneDrive\Documentos\MALENTIN KARIME\BANCO CREDITO\FER LORCA en ROSITA (Rosita)\ANA LUISA TODO\ROSITA DIAZ\ETHEL BRAVO.doc", "Abrir Documento")</f>
        <v>0</v>
      </c>
      <c r="D22657" t="s">
        <v>23500</v>
      </c>
      <c r="E22657" t="s">
        <v>45047</v>
      </c>
    </row>
    <row r="22658" spans="1:5">
      <c r="A22658" t="s">
        <v>6</v>
      </c>
      <c r="B22658" t="s">
        <v>22663</v>
      </c>
      <c r="C22658">
        <f>HYPERLINK("C:\Users\franc\OneDrive\Documentos\MALENTIN KARIME\BANCO CREDITO\FER LORCA en ROSITA (Rosita)\ANA LUISA TODO\ROSITA DIAZ\ESCRITURA REFINANCIAMIENTO PET.doc", "Abrir Documento")</f>
        <v>0</v>
      </c>
      <c r="D22658" t="s">
        <v>23500</v>
      </c>
      <c r="E22658" t="s">
        <v>45048</v>
      </c>
    </row>
    <row r="22659" spans="1:5">
      <c r="A22659" t="s">
        <v>6</v>
      </c>
      <c r="B22659" t="s">
        <v>22664</v>
      </c>
      <c r="C22659">
        <f>HYPERLINK("C:\Users\franc\OneDrive\Documentos\MALENTIN KARIME\BANCO CREDITO\FER LORCA en ROSITA (Rosita)\ANA LUISA TODO\ROSITA DIAZ\ELIZABETH CONTRERAS  (JULIO).doc", "Abrir Documento")</f>
        <v>0</v>
      </c>
      <c r="D22659" t="s">
        <v>23500</v>
      </c>
      <c r="E22659" t="s">
        <v>45049</v>
      </c>
    </row>
    <row r="22660" spans="1:5">
      <c r="A22660" t="s">
        <v>6</v>
      </c>
      <c r="B22660" t="s">
        <v>22665</v>
      </c>
      <c r="C22660">
        <f>HYPERLINK("C:\Users\franc\OneDrive\Documentos\MALENTIN KARIME\BANCO CREDITO\FER LORCA en ROSITA (Rosita)\ANA LUISA TODO\ROSITA DIAZ\EDUARDO OLIVARES (JULIO).doc", "Abrir Documento")</f>
        <v>0</v>
      </c>
      <c r="D22660" t="s">
        <v>23500</v>
      </c>
      <c r="E22660" t="s">
        <v>45050</v>
      </c>
    </row>
    <row r="22661" spans="1:5">
      <c r="A22661" t="s">
        <v>6</v>
      </c>
      <c r="B22661" t="s">
        <v>22666</v>
      </c>
      <c r="C22661">
        <f>HYPERLINK("C:\Users\franc\OneDrive\Documentos\MALENTIN KARIME\BANCO CREDITO\FER LORCA en ROSITA (Rosita)\ANA LUISA TODO\ROSITA DIAZ\EDUARDO CORTES (JULIO).doc", "Abrir Documento")</f>
        <v>0</v>
      </c>
      <c r="D22661" t="s">
        <v>23500</v>
      </c>
      <c r="E22661" t="s">
        <v>45051</v>
      </c>
    </row>
    <row r="22662" spans="1:5">
      <c r="A22662" t="s">
        <v>6</v>
      </c>
      <c r="B22662" t="s">
        <v>22667</v>
      </c>
      <c r="C22662">
        <f>HYPERLINK("C:\Users\franc\OneDrive\Documentos\MALENTIN KARIME\BANCO CREDITO\FER LORCA en ROSITA (Rosita)\ANA LUISA TODO\ROSITA DIAZ\EDITH BONILLA (JULIO).doc", "Abrir Documento")</f>
        <v>0</v>
      </c>
      <c r="D22662" t="s">
        <v>23500</v>
      </c>
      <c r="E22662" t="s">
        <v>45052</v>
      </c>
    </row>
    <row r="22663" spans="1:5">
      <c r="A22663" t="s">
        <v>6</v>
      </c>
      <c r="B22663" t="s">
        <v>22668</v>
      </c>
      <c r="C22663">
        <f>HYPERLINK("C:\Users\franc\OneDrive\Documentos\MALENTIN KARIME\BANCO CREDITO\FER LORCA en ROSITA (Rosita)\ANA LUISA TODO\ROSITA DIAZ\DOMITILA DIAZ.doc", "Abrir Documento")</f>
        <v>0</v>
      </c>
      <c r="D22663" t="s">
        <v>23500</v>
      </c>
      <c r="E22663" t="s">
        <v>45053</v>
      </c>
    </row>
    <row r="22664" spans="1:5">
      <c r="A22664" t="s">
        <v>6</v>
      </c>
      <c r="B22664" t="s">
        <v>22669</v>
      </c>
      <c r="C22664">
        <f>HYPERLINK("C:\Users\franc\OneDrive\Documentos\MALENTIN KARIME\BANCO CREDITO\FER LORCA en ROSITA (Rosita)\ANA LUISA TODO\ROSITA DIAZ\DOMITILA DIAZ  (JULIO).doc", "Abrir Documento")</f>
        <v>0</v>
      </c>
      <c r="D22664" t="s">
        <v>23500</v>
      </c>
      <c r="E22664" t="s">
        <v>45054</v>
      </c>
    </row>
    <row r="22665" spans="1:5">
      <c r="A22665" t="s">
        <v>6</v>
      </c>
      <c r="B22665" t="s">
        <v>22670</v>
      </c>
      <c r="C22665">
        <f>HYPERLINK("C:\Users\franc\OneDrive\Documentos\MALENTIN KARIME\BANCO CREDITO\FER LORCA en ROSITA (Rosita)\ANA LUISA TODO\ROSITA DIAZ\DIGNA JIMENEZ EGAÑA.doc", "Abrir Documento")</f>
        <v>0</v>
      </c>
      <c r="D22665" t="s">
        <v>23500</v>
      </c>
      <c r="E22665" t="s">
        <v>45055</v>
      </c>
    </row>
    <row r="22666" spans="1:5">
      <c r="A22666" t="s">
        <v>6</v>
      </c>
      <c r="B22666" t="s">
        <v>22671</v>
      </c>
      <c r="C22666">
        <f>HYPERLINK("C:\Users\franc\OneDrive\Documentos\MALENTIN KARIME\BANCO CREDITO\FER LORCA en ROSITA (Rosita)\ANA LUISA TODO\ROSITA DIAZ\DEYCE CASTILLO  (JULIO).doc", "Abrir Documento")</f>
        <v>0</v>
      </c>
      <c r="D22666" t="s">
        <v>23500</v>
      </c>
      <c r="E22666" t="s">
        <v>45056</v>
      </c>
    </row>
    <row r="22667" spans="1:5">
      <c r="A22667" t="s">
        <v>6</v>
      </c>
      <c r="B22667" t="s">
        <v>22672</v>
      </c>
      <c r="C22667">
        <f>HYPERLINK("C:\Users\franc\OneDrive\Documentos\MALENTIN KARIME\BANCO CREDITO\FER LORCA en ROSITA (Rosita)\ANA LUISA TODO\ROSITA DIAZ\DAVID MARIN (JULIO)+.doc", "Abrir Documento")</f>
        <v>0</v>
      </c>
      <c r="D22667" t="s">
        <v>23500</v>
      </c>
      <c r="E22667" t="s">
        <v>45057</v>
      </c>
    </row>
    <row r="22668" spans="1:5">
      <c r="A22668" t="s">
        <v>6</v>
      </c>
      <c r="B22668" t="s">
        <v>22673</v>
      </c>
      <c r="C22668">
        <f>HYPERLINK("C:\Users\franc\OneDrive\Documentos\MALENTIN KARIME\BANCO CREDITO\FER LORCA en ROSITA (Rosita)\ANA LUISA TODO\ROSITA DIAZ\DAVID JIMENEZ  (JULIO).doc", "Abrir Documento")</f>
        <v>0</v>
      </c>
      <c r="D22668" t="s">
        <v>23500</v>
      </c>
      <c r="E22668" t="s">
        <v>45058</v>
      </c>
    </row>
    <row r="22669" spans="1:5">
      <c r="A22669" t="s">
        <v>6</v>
      </c>
      <c r="B22669" t="s">
        <v>22674</v>
      </c>
      <c r="C22669">
        <f>HYPERLINK("C:\Users\franc\OneDrive\Documentos\MALENTIN KARIME\BANCO CREDITO\FER LORCA en ROSITA (Rosita)\ANA LUISA TODO\ROSITA DIAZ\DARWIN RIVERA.doc", "Abrir Documento")</f>
        <v>0</v>
      </c>
      <c r="D22669" t="s">
        <v>23500</v>
      </c>
      <c r="E22669" t="s">
        <v>45059</v>
      </c>
    </row>
    <row r="22670" spans="1:5">
      <c r="A22670" t="s">
        <v>6</v>
      </c>
      <c r="B22670" t="s">
        <v>22675</v>
      </c>
      <c r="C22670">
        <f>HYPERLINK("C:\Users\franc\OneDrive\Documentos\MALENTIN KARIME\BANCO CREDITO\FER LORCA en ROSITA (Rosita)\ANA LUISA TODO\ROSITA DIAZ\DARWIN MALEBRAN.doc", "Abrir Documento")</f>
        <v>0</v>
      </c>
      <c r="D22670" t="s">
        <v>23500</v>
      </c>
      <c r="E22670" t="s">
        <v>45060</v>
      </c>
    </row>
    <row r="22671" spans="1:5">
      <c r="A22671" t="s">
        <v>6</v>
      </c>
      <c r="B22671" t="s">
        <v>22676</v>
      </c>
      <c r="C22671">
        <f>HYPERLINK("C:\Users\franc\OneDrive\Documentos\MALENTIN KARIME\BANCO CREDITO\FER LORCA en ROSITA (Rosita)\ANA LUISA TODO\ROSITA DIAZ\DANIEL TORRES (JULIO).doc", "Abrir Documento")</f>
        <v>0</v>
      </c>
      <c r="D22671" t="s">
        <v>23500</v>
      </c>
      <c r="E22671" t="s">
        <v>45061</v>
      </c>
    </row>
    <row r="22672" spans="1:5">
      <c r="A22672" t="s">
        <v>6</v>
      </c>
      <c r="B22672" t="s">
        <v>22677</v>
      </c>
      <c r="C22672">
        <f>HYPERLINK("C:\Users\franc\OneDrive\Documentos\MALENTIN KARIME\BANCO CREDITO\FER LORCA en ROSITA (Rosita)\ANA LUISA TODO\ROSITA DIAZ\CRISTIAN JARA.doc", "Abrir Documento")</f>
        <v>0</v>
      </c>
      <c r="D22672" t="s">
        <v>23500</v>
      </c>
      <c r="E22672" t="s">
        <v>45062</v>
      </c>
    </row>
    <row r="22673" spans="1:5">
      <c r="A22673" t="s">
        <v>6</v>
      </c>
      <c r="B22673" t="s">
        <v>22678</v>
      </c>
      <c r="C22673">
        <f>HYPERLINK("C:\Users\franc\OneDrive\Documentos\MALENTIN KARIME\BANCO CREDITO\FER LORCA en ROSITA (Rosita)\ANA LUISA TODO\ROSITA DIAZ\CLAUDIA NUÑEZ  (JULIO).doc", "Abrir Documento")</f>
        <v>0</v>
      </c>
      <c r="D22673" t="s">
        <v>23500</v>
      </c>
      <c r="E22673" t="s">
        <v>45063</v>
      </c>
    </row>
    <row r="22674" spans="1:5">
      <c r="A22674" t="s">
        <v>6</v>
      </c>
      <c r="B22674" t="s">
        <v>22679</v>
      </c>
      <c r="C22674">
        <f>HYPERLINK("C:\Users\franc\OneDrive\Documentos\MALENTIN KARIME\BANCO CREDITO\FER LORCA en ROSITA (Rosita)\ANA LUISA TODO\ROSITA DIAZ\CESAR DIAZ  (JULIO).doc", "Abrir Documento")</f>
        <v>0</v>
      </c>
      <c r="D22674" t="s">
        <v>23500</v>
      </c>
      <c r="E22674" t="s">
        <v>45064</v>
      </c>
    </row>
    <row r="22675" spans="1:5">
      <c r="A22675" t="s">
        <v>6</v>
      </c>
      <c r="B22675" t="s">
        <v>22680</v>
      </c>
      <c r="C22675">
        <f>HYPERLINK("C:\Users\franc\OneDrive\Documentos\MALENTIN KARIME\BANCO CREDITO\FER LORCA en ROSITA (Rosita)\ANA LUISA TODO\ROSITA DIAZ\CLAUDIA IBAÑEZ (JULIO).doc", "Abrir Documento")</f>
        <v>0</v>
      </c>
      <c r="D22675" t="s">
        <v>23500</v>
      </c>
      <c r="E22675" t="s">
        <v>45064</v>
      </c>
    </row>
    <row r="22676" spans="1:5">
      <c r="A22676" t="s">
        <v>6</v>
      </c>
      <c r="B22676" t="s">
        <v>22681</v>
      </c>
      <c r="C22676">
        <f>HYPERLINK("C:\Users\franc\OneDrive\Documentos\MALENTIN KARIME\BANCO CREDITO\FER LORCA en ROSITA (Rosita)\ANA LUISA TODO\ROSITA DIAZ\CAROLINA MALDONADOL (JULIO).doc", "Abrir Documento")</f>
        <v>0</v>
      </c>
      <c r="D22676" t="s">
        <v>23500</v>
      </c>
      <c r="E22676" t="s">
        <v>45065</v>
      </c>
    </row>
    <row r="22677" spans="1:5">
      <c r="A22677" t="s">
        <v>6</v>
      </c>
      <c r="B22677" t="s">
        <v>22682</v>
      </c>
      <c r="C22677">
        <f>HYPERLINK("C:\Users\franc\OneDrive\Documentos\MALENTIN KARIME\BANCO CREDITO\FER LORCA en ROSITA (Rosita)\ANA LUISA TODO\ROSITA DIAZ\CARMEN FAJARDO  (JULIO).doc", "Abrir Documento")</f>
        <v>0</v>
      </c>
      <c r="D22677" t="s">
        <v>23500</v>
      </c>
      <c r="E22677" t="s">
        <v>45066</v>
      </c>
    </row>
    <row r="22678" spans="1:5">
      <c r="A22678" t="s">
        <v>6</v>
      </c>
      <c r="B22678" t="s">
        <v>22683</v>
      </c>
      <c r="C22678">
        <f>HYPERLINK("C:\Users\franc\OneDrive\Documentos\MALENTIN KARIME\BANCO CREDITO\FER LORCA en ROSITA (Rosita)\ANA LUISA TODO\ROSITA DIAZ\CARMEN CASTILLO  (JULIO).doc", "Abrir Documento")</f>
        <v>0</v>
      </c>
      <c r="D22678" t="s">
        <v>23500</v>
      </c>
      <c r="E22678" t="s">
        <v>45067</v>
      </c>
    </row>
    <row r="22679" spans="1:5">
      <c r="A22679" t="s">
        <v>6</v>
      </c>
      <c r="B22679" t="s">
        <v>22684</v>
      </c>
      <c r="C22679">
        <f>HYPERLINK("C:\Users\franc\OneDrive\Documentos\MALENTIN KARIME\BANCO CREDITO\FER LORCA en ROSITA (Rosita)\ANA LUISA TODO\ROSITA DIAZ\CARLOS LEON (JULIO ).doc", "Abrir Documento")</f>
        <v>0</v>
      </c>
      <c r="D22679" t="s">
        <v>23500</v>
      </c>
      <c r="E22679" t="s">
        <v>45068</v>
      </c>
    </row>
    <row r="22680" spans="1:5">
      <c r="A22680" t="s">
        <v>6</v>
      </c>
      <c r="B22680" t="s">
        <v>22685</v>
      </c>
      <c r="C22680">
        <f>HYPERLINK("C:\Users\franc\OneDrive\Documentos\MALENTIN KARIME\BANCO CREDITO\FER LORCA en ROSITA (Rosita)\ANA LUISA TODO\ROSITA DIAZ\CARLOS TELLO  (JULIO).doc", "Abrir Documento")</f>
        <v>0</v>
      </c>
      <c r="D22680" t="s">
        <v>23500</v>
      </c>
      <c r="E22680" t="s">
        <v>45068</v>
      </c>
    </row>
    <row r="22681" spans="1:5">
      <c r="A22681" t="s">
        <v>6</v>
      </c>
      <c r="B22681" t="s">
        <v>22686</v>
      </c>
      <c r="C22681">
        <f>HYPERLINK("C:\Users\franc\OneDrive\Documentos\MALENTIN KARIME\BANCO CREDITO\FER LORCA en ROSITA (Rosita)\ANA LUISA TODO\ROSITA DIAZ\BERNARDA GALLEGUILLOS (JULIO).doc", "Abrir Documento")</f>
        <v>0</v>
      </c>
      <c r="D22681" t="s">
        <v>23500</v>
      </c>
      <c r="E22681" t="s">
        <v>45069</v>
      </c>
    </row>
    <row r="22682" spans="1:5">
      <c r="A22682" t="s">
        <v>6</v>
      </c>
      <c r="B22682" t="s">
        <v>22687</v>
      </c>
      <c r="C22682">
        <f>HYPERLINK("C:\Users\franc\OneDrive\Documentos\MALENTIN KARIME\BANCO CREDITO\FER LORCA en ROSITA (Rosita)\ANA LUISA TODO\ROSITA DIAZ\AURELIA CARVAJAL  (JULIO).doc", "Abrir Documento")</f>
        <v>0</v>
      </c>
      <c r="D22682" t="s">
        <v>23500</v>
      </c>
      <c r="E22682" t="s">
        <v>45070</v>
      </c>
    </row>
    <row r="22683" spans="1:5">
      <c r="A22683" t="s">
        <v>6</v>
      </c>
      <c r="B22683" t="s">
        <v>22688</v>
      </c>
      <c r="C22683">
        <f>HYPERLINK("C:\Users\franc\OneDrive\Documentos\MALENTIN KARIME\BANCO CREDITO\FER LORCA en ROSITA (Rosita)\ANA LUISA TODO\ROSITA DIAZ\BENITO ALFARO  (JULIO).doc", "Abrir Documento")</f>
        <v>0</v>
      </c>
      <c r="D22683" t="s">
        <v>23500</v>
      </c>
      <c r="E22683" t="s">
        <v>45070</v>
      </c>
    </row>
    <row r="22684" spans="1:5">
      <c r="A22684" t="s">
        <v>6</v>
      </c>
      <c r="B22684" t="s">
        <v>22689</v>
      </c>
      <c r="C22684">
        <f>HYPERLINK("C:\Users\franc\OneDrive\Documentos\MALENTIN KARIME\BANCO CREDITO\FER LORCA en ROSITA (Rosita)\ANA LUISA TODO\ROSITA DIAZ\ARNOLDO CORTES  (JULIO).doc", "Abrir Documento")</f>
        <v>0</v>
      </c>
      <c r="D22684" t="s">
        <v>23500</v>
      </c>
      <c r="E22684" t="s">
        <v>45071</v>
      </c>
    </row>
    <row r="22685" spans="1:5">
      <c r="A22685" t="s">
        <v>6</v>
      </c>
      <c r="B22685" t="s">
        <v>22690</v>
      </c>
      <c r="C22685">
        <f>HYPERLINK("C:\Users\franc\OneDrive\Documentos\MALENTIN KARIME\BANCO CREDITO\FER LORCA en ROSITA (Rosita)\ANA LUISA TODO\ROSITA DIAZ\ANA TELLO (JULIO).doc", "Abrir Documento")</f>
        <v>0</v>
      </c>
      <c r="D22685" t="s">
        <v>23500</v>
      </c>
      <c r="E22685" t="s">
        <v>45072</v>
      </c>
    </row>
    <row r="22686" spans="1:5">
      <c r="A22686" t="s">
        <v>6</v>
      </c>
      <c r="B22686" t="s">
        <v>22691</v>
      </c>
      <c r="C22686">
        <f>HYPERLINK("C:\Users\franc\OneDrive\Documentos\MALENTIN KARIME\BANCO CREDITO\FER LORCA en ROSITA (Rosita)\ANA LUISA TODO\ROSITA DIAZ\ANA ARAYA PERINES.doc", "Abrir Documento")</f>
        <v>0</v>
      </c>
      <c r="D22686" t="s">
        <v>23500</v>
      </c>
      <c r="E22686" t="s">
        <v>45073</v>
      </c>
    </row>
    <row r="22687" spans="1:5">
      <c r="A22687" t="s">
        <v>6</v>
      </c>
      <c r="B22687" t="s">
        <v>22692</v>
      </c>
      <c r="C22687">
        <f>HYPERLINK("C:\Users\franc\OneDrive\Documentos\MALENTIN KARIME\BANCO CREDITO\FER LORCA en ROSITA (Rosita)\ANA LUISA TODO\ROSITA DIAZ\ALEXANDRA ARAYA (JULIO).doc", "Abrir Documento")</f>
        <v>0</v>
      </c>
      <c r="D22687" t="s">
        <v>23500</v>
      </c>
      <c r="E22687" t="s">
        <v>45074</v>
      </c>
    </row>
    <row r="22688" spans="1:5">
      <c r="A22688" t="s">
        <v>6</v>
      </c>
      <c r="B22688" t="s">
        <v>22693</v>
      </c>
      <c r="C22688">
        <f>HYPERLINK("C:\Users\franc\OneDrive\Documentos\MALENTIN KARIME\BANCO CREDITO\FER LORCA en ROSITA (Rosita)\ANA LUISA TODO\ROSITA DIAZ\ALEX ROJAS MIRANDA.doc", "Abrir Documento")</f>
        <v>0</v>
      </c>
      <c r="D22688" t="s">
        <v>23500</v>
      </c>
      <c r="E22688" t="s">
        <v>45075</v>
      </c>
    </row>
    <row r="22689" spans="1:5">
      <c r="A22689" t="s">
        <v>6</v>
      </c>
      <c r="B22689" t="s">
        <v>22694</v>
      </c>
      <c r="C22689">
        <f>HYPERLINK("C:\Users\franc\OneDrive\Documentos\MALENTIN KARIME\BANCO CREDITO\FER LORCA en ROSITA (Rosita)\ANA LUISA TODO\ROSITA DIAZ\ALEX LOPEZ (JULIO).doc", "Abrir Documento")</f>
        <v>0</v>
      </c>
      <c r="D22689" t="s">
        <v>23500</v>
      </c>
      <c r="E22689" t="s">
        <v>45076</v>
      </c>
    </row>
    <row r="22690" spans="1:5">
      <c r="A22690" t="s">
        <v>6</v>
      </c>
      <c r="B22690" t="s">
        <v>22695</v>
      </c>
      <c r="C22690">
        <f>HYPERLINK("C:\Users\franc\OneDrive\Documentos\MALENTIN KARIME\BANCO CREDITO\FER LORCA en ROSITA (Rosita)\ANA LUISA TODO\ROSITA DIAZ\ADELINA SALAZAR  (JULIO).doc", "Abrir Documento")</f>
        <v>0</v>
      </c>
      <c r="D22690" t="s">
        <v>23500</v>
      </c>
      <c r="E22690" t="s">
        <v>45077</v>
      </c>
    </row>
    <row r="22691" spans="1:5">
      <c r="A22691" t="s">
        <v>6</v>
      </c>
      <c r="B22691" t="s">
        <v>22696</v>
      </c>
      <c r="C22691">
        <f>HYPERLINK("C:\Users\franc\OneDrive\Documentos\MALENTIN KARIME\BANCO CREDITO\FER LORCA en ROSITA (Rosita)\ANA LUISA TODO\ROSITA DIAZ\ABRAHAM MALEBRAN  (JULIO).doc", "Abrir Documento")</f>
        <v>0</v>
      </c>
      <c r="D22691" t="s">
        <v>23500</v>
      </c>
      <c r="E22691" t="s">
        <v>45078</v>
      </c>
    </row>
    <row r="22692" spans="1:5">
      <c r="A22692" t="s">
        <v>6</v>
      </c>
      <c r="B22692" t="s">
        <v>22697</v>
      </c>
      <c r="C22692">
        <f>HYPERLINK("C:\Users\franc\OneDrive\Documentos\MALENTIN KARIME\BANCO CREDITO\FER LORCA en ROSITA (Rosita)\ANA LUISA TODO\ROSITA DIAZ\ABELARDO LOPEZ   (JULIO).doc", "Abrir Documento")</f>
        <v>0</v>
      </c>
      <c r="D22692" t="s">
        <v>23500</v>
      </c>
      <c r="E22692" t="s">
        <v>45079</v>
      </c>
    </row>
    <row r="22693" spans="1:5">
      <c r="A22693" t="s">
        <v>6</v>
      </c>
      <c r="B22693" t="s">
        <v>22698</v>
      </c>
      <c r="C22693">
        <f>HYPERLINK("C:\Users\franc\OneDrive\Documentos\MALENTIN KARIME\BANCO CREDITO\FER LORCA en ROSITA (Rosita)\ANA LUISA TODO\ROMUALDO HERNANDEZ ABOGADO\GABRIELA JOPIA A SUS HIJOS CV CON USUFRUCTO.doc", "Abrir Documento")</f>
        <v>0</v>
      </c>
      <c r="D22693" t="s">
        <v>23500</v>
      </c>
      <c r="E22693" t="s">
        <v>45080</v>
      </c>
    </row>
    <row r="22694" spans="1:5">
      <c r="A22694" t="s">
        <v>6</v>
      </c>
      <c r="B22694" t="s">
        <v>22699</v>
      </c>
      <c r="C22694">
        <f>HYPERLINK("C:\Users\franc\OneDrive\Documentos\MALENTIN KARIME\BANCO CREDITO\FER LORCA en ROSITA (Rosita)\ANA LUISA TODO\ROMUALDO HERNANDEZ ABOGADO\GABRIELA JOPIA  - CESION.doc", "Abrir Documento")</f>
        <v>0</v>
      </c>
      <c r="D22694" t="s">
        <v>23500</v>
      </c>
      <c r="E22694" t="s">
        <v>45081</v>
      </c>
    </row>
    <row r="22695" spans="1:5">
      <c r="A22695" t="s">
        <v>6</v>
      </c>
      <c r="B22695" t="s">
        <v>22700</v>
      </c>
      <c r="C22695">
        <f>HYPERLINK("C:\Users\franc\OneDrive\Documentos\MALENTIN KARIME\BANCO CREDITO\FER LORCA en ROSITA (Rosita)\ANA LUISA TODO\RODRIGO ORTIZ\MARISOL CASTRO ACUERDO.doc", "Abrir Documento")</f>
        <v>0</v>
      </c>
      <c r="D22695" t="s">
        <v>23500</v>
      </c>
      <c r="E22695" t="s">
        <v>45082</v>
      </c>
    </row>
    <row r="22696" spans="1:5">
      <c r="A22696" t="s">
        <v>6</v>
      </c>
      <c r="B22696" t="s">
        <v>22701</v>
      </c>
      <c r="C22696">
        <f>HYPERLINK("C:\Users\franc\OneDrive\Documentos\MALENTIN KARIME\BANCO CREDITO\FER LORCA en ROSITA (Rosita)\ANA LUISA TODO\RODRIGO ORTIZ\MARISOL CASTRO (MANDATO).doc", "Abrir Documento")</f>
        <v>0</v>
      </c>
      <c r="D22696" t="s">
        <v>23500</v>
      </c>
      <c r="E22696" t="s">
        <v>45083</v>
      </c>
    </row>
    <row r="22697" spans="1:5">
      <c r="A22697" t="s">
        <v>6</v>
      </c>
      <c r="B22697" t="s">
        <v>22702</v>
      </c>
      <c r="C22697">
        <f>HYPERLINK("C:\Users\franc\OneDrive\Documentos\MALENTIN KARIME\BANCO CREDITO\FER LORCA en ROSITA (Rosita)\ANA LUISA TODO\ROBERTO VEGA\TRANSPORTES OVALLE A ROBERTO VEGA C..doc", "Abrir Documento")</f>
        <v>0</v>
      </c>
      <c r="D22697" t="s">
        <v>23500</v>
      </c>
      <c r="E22697" t="s">
        <v>45084</v>
      </c>
    </row>
    <row r="22698" spans="1:5">
      <c r="A22698" t="s">
        <v>6</v>
      </c>
      <c r="B22698" t="s">
        <v>22703</v>
      </c>
      <c r="C22698">
        <f>HYPERLINK("C:\Users\franc\OneDrive\Documentos\MALENTIN KARIME\BANCO CREDITO\FER LORCA en ROSITA (Rosita)\ANA LUISA TODO\ROBERTO VEGA\SOCIEDAD VALLE NORTE (LUIS SORUCO).doc", "Abrir Documento")</f>
        <v>0</v>
      </c>
      <c r="D22698" t="s">
        <v>23500</v>
      </c>
      <c r="E22698" t="s">
        <v>45085</v>
      </c>
    </row>
    <row r="22699" spans="1:5">
      <c r="A22699" t="s">
        <v>6</v>
      </c>
      <c r="B22699" t="s">
        <v>22704</v>
      </c>
      <c r="C22699">
        <f>HYPERLINK("C:\Users\franc\OneDrive\Documentos\MALENTIN KARIME\BANCO CREDITO\FER LORCA en ROSITA (Rosita)\ANA LUISA TODO\ROBERTO VEGA\SOC. VALLE DEL NORTE  EXTRACTO.doc", "Abrir Documento")</f>
        <v>0</v>
      </c>
      <c r="D22699" t="s">
        <v>23500</v>
      </c>
      <c r="E22699" t="s">
        <v>45086</v>
      </c>
    </row>
    <row r="22700" spans="1:5">
      <c r="A22700" t="s">
        <v>6</v>
      </c>
      <c r="B22700" t="s">
        <v>22705</v>
      </c>
      <c r="C22700">
        <f>HYPERLINK("C:\Users\franc\OneDrive\Documentos\MALENTIN KARIME\BANCO CREDITO\FER LORCA en ROSITA (Rosita)\ANA LUISA TODO\ROBERTO VEGA\SOC. SANTA JULIA A ROBERTO CORTES.doc", "Abrir Documento")</f>
        <v>0</v>
      </c>
      <c r="D22700" t="s">
        <v>23500</v>
      </c>
      <c r="E22700" t="s">
        <v>45087</v>
      </c>
    </row>
    <row r="22701" spans="1:5">
      <c r="A22701" t="s">
        <v>6</v>
      </c>
      <c r="B22701" t="s">
        <v>22706</v>
      </c>
      <c r="C22701">
        <f>HYPERLINK("C:\Users\franc\OneDrive\Documentos\MALENTIN KARIME\BANCO CREDITO\FER LORCA en ROSITA (Rosita)\ANA LUISA TODO\ROBERTO VEGA\SOC. MITIMAE A SOC. ALFALFARES.doc", "Abrir Documento")</f>
        <v>0</v>
      </c>
      <c r="D22701" t="s">
        <v>23500</v>
      </c>
      <c r="E22701" t="s">
        <v>45088</v>
      </c>
    </row>
    <row r="22702" spans="1:5">
      <c r="A22702" t="s">
        <v>6</v>
      </c>
      <c r="B22702" t="s">
        <v>22707</v>
      </c>
      <c r="C22702">
        <f>HYPERLINK("C:\Users\franc\OneDrive\Documentos\MALENTIN KARIME\BANCO CREDITO\FER LORCA en ROSITA (Rosita)\ANA LUISA TODO\ROBERTO VEGA\SOC. MITIMAE A SOC. ALFALAFARES (INSTRUCCIONES) nuevas.doc", "Abrir Documento")</f>
        <v>0</v>
      </c>
      <c r="D22702" t="s">
        <v>23500</v>
      </c>
      <c r="E22702" t="s">
        <v>45089</v>
      </c>
    </row>
    <row r="22703" spans="1:5">
      <c r="A22703" t="s">
        <v>6</v>
      </c>
      <c r="B22703" t="s">
        <v>22708</v>
      </c>
      <c r="C22703">
        <f>HYPERLINK("C:\Users\franc\OneDrive\Documentos\MALENTIN KARIME\BANCO CREDITO\FER LORCA en ROSITA (Rosita)\ANA LUISA TODO\ROBERTO VEGA\SOC. MITIMAE A SOC. ALFALAFARES (INSTRUCCIONES).doc", "Abrir Documento")</f>
        <v>0</v>
      </c>
      <c r="D22703" t="s">
        <v>23500</v>
      </c>
      <c r="E22703" t="s">
        <v>45089</v>
      </c>
    </row>
    <row r="22704" spans="1:5">
      <c r="A22704" t="s">
        <v>6</v>
      </c>
      <c r="B22704" t="s">
        <v>22709</v>
      </c>
      <c r="C22704">
        <f>HYPERLINK("C:\Users\franc\OneDrive\Documentos\MALENTIN KARIME\BANCO CREDITO\FER LORCA en ROSITA (Rosita)\ANA LUISA TODO\ROBERTO VEGA\SOC. INCOVEG  A ROBERTO VEGA  (MANDATO JUDICIAL).doc", "Abrir Documento")</f>
        <v>0</v>
      </c>
      <c r="D22704" t="s">
        <v>23500</v>
      </c>
      <c r="E22704" t="s">
        <v>45090</v>
      </c>
    </row>
    <row r="22705" spans="1:5">
      <c r="A22705" t="s">
        <v>6</v>
      </c>
      <c r="B22705" t="s">
        <v>22710</v>
      </c>
      <c r="C22705">
        <f>HYPERLINK("C:\Users\franc\OneDrive\Documentos\MALENTIN KARIME\BANCO CREDITO\FER LORCA en ROSITA (Rosita)\ANA LUISA TODO\ROBERTO VEGA\SOC. ALFALFARES A ROBERTO VEGA  (MANDATO JUDICIAL).doc", "Abrir Documento")</f>
        <v>0</v>
      </c>
      <c r="D22705" t="s">
        <v>23500</v>
      </c>
      <c r="E22705" t="s">
        <v>45091</v>
      </c>
    </row>
    <row r="22706" spans="1:5">
      <c r="A22706" t="s">
        <v>6</v>
      </c>
      <c r="B22706" t="s">
        <v>22711</v>
      </c>
      <c r="C22706">
        <f>HYPERLINK("C:\Users\franc\OneDrive\Documentos\MALENTIN KARIME\BANCO CREDITO\FER LORCA en ROSITA (Rosita)\ANA LUISA TODO\ROBERTO VEGA\SOC. AGRIVET LTDA (FELIPE CORTES DIAZ Y HNO).doc", "Abrir Documento")</f>
        <v>0</v>
      </c>
      <c r="D22706" t="s">
        <v>23500</v>
      </c>
      <c r="E22706" t="s">
        <v>45092</v>
      </c>
    </row>
    <row r="22707" spans="1:5">
      <c r="A22707" t="s">
        <v>6</v>
      </c>
      <c r="B22707" t="s">
        <v>22712</v>
      </c>
      <c r="C22707">
        <f>HYPERLINK("C:\Users\franc\OneDrive\Documentos\MALENTIN KARIME\BANCO CREDITO\FER LORCA en ROSITA (Rosita)\ANA LUISA TODO\ROBERTO VEGA\ROBERTO VEGA ALCAYAGA A ROBERTO VEGA C. (MANDATO JUDICIAL).doc", "Abrir Documento")</f>
        <v>0</v>
      </c>
      <c r="D22707" t="s">
        <v>23500</v>
      </c>
      <c r="E22707" t="s">
        <v>45093</v>
      </c>
    </row>
    <row r="22708" spans="1:5">
      <c r="A22708" t="s">
        <v>6</v>
      </c>
      <c r="B22708" t="s">
        <v>22713</v>
      </c>
      <c r="C22708">
        <f>HYPERLINK("C:\Users\franc\OneDrive\Documentos\MALENTIN KARIME\BANCO CREDITO\FER LORCA en ROSITA (Rosita)\ANA LUISA TODO\ROBERTO VEGA\ROBERTO VEGA A SELEM DAIRE (ACLARACION).doc", "Abrir Documento")</f>
        <v>0</v>
      </c>
      <c r="D22708" t="s">
        <v>23500</v>
      </c>
      <c r="E22708" t="s">
        <v>45094</v>
      </c>
    </row>
    <row r="22709" spans="1:5">
      <c r="A22709" t="s">
        <v>6</v>
      </c>
      <c r="B22709" t="s">
        <v>22714</v>
      </c>
      <c r="C22709">
        <f>HYPERLINK("C:\Users\franc\OneDrive\Documentos\MALENTIN KARIME\BANCO CREDITO\FER LORCA en ROSITA (Rosita)\ANA LUISA TODO\ROBERTO VEGA\ROBERTO VEGA A ALFALFARES A ROBERTO VEGA.doc", "Abrir Documento")</f>
        <v>0</v>
      </c>
      <c r="D22709" t="s">
        <v>23500</v>
      </c>
      <c r="E22709" t="s">
        <v>45095</v>
      </c>
    </row>
    <row r="22710" spans="1:5">
      <c r="A22710" t="s">
        <v>6</v>
      </c>
      <c r="B22710" t="s">
        <v>22715</v>
      </c>
      <c r="C22710">
        <f>HYPERLINK("C:\Users\franc\OneDrive\Documentos\MALENTIN KARIME\BANCO CREDITO\FER LORCA en ROSITA (Rosita)\ANA LUISA TODO\ROBERTO VEGA\RICARDO TELLO TAPIA A RICARDO TELLO VEGA (CV).doc", "Abrir Documento")</f>
        <v>0</v>
      </c>
      <c r="D22710" t="s">
        <v>23500</v>
      </c>
      <c r="E22710" t="s">
        <v>45096</v>
      </c>
    </row>
    <row r="22711" spans="1:5">
      <c r="A22711" t="s">
        <v>6</v>
      </c>
      <c r="B22711" t="s">
        <v>22716</v>
      </c>
      <c r="C22711">
        <f>HYPERLINK("C:\Users\franc\OneDrive\Documentos\MALENTIN KARIME\BANCO CREDITO\FER LORCA en ROSITA (Rosita)\ANA LUISA TODO\ROBERTO VEGA\RENA MIRANDA Y OTR. A ROBERTO VEGA.doc", "Abrir Documento")</f>
        <v>0</v>
      </c>
      <c r="D22711" t="s">
        <v>23500</v>
      </c>
      <c r="E22711" t="s">
        <v>45097</v>
      </c>
    </row>
    <row r="22712" spans="1:5">
      <c r="A22712" t="s">
        <v>6</v>
      </c>
      <c r="B22712" t="s">
        <v>22717</v>
      </c>
      <c r="C22712">
        <f>HYPERLINK("C:\Users\franc\OneDrive\Documentos\MALENTIN KARIME\BANCO CREDITO\FER LORCA en ROSITA (Rosita)\ANA LUISA TODO\ROBERTO VEGA\RAUL SAUVAGEOT Y SYLVIA DIAZ (LIQ. SOC. CONYUGALdefinitiva junio 2009.doc", "Abrir Documento")</f>
        <v>0</v>
      </c>
      <c r="D22712" t="s">
        <v>23500</v>
      </c>
      <c r="E22712" t="s">
        <v>45098</v>
      </c>
    </row>
    <row r="22713" spans="1:5">
      <c r="A22713" t="s">
        <v>6</v>
      </c>
      <c r="B22713" t="s">
        <v>22718</v>
      </c>
      <c r="C22713">
        <f>HYPERLINK("C:\Users\franc\OneDrive\Documentos\MALENTIN KARIME\BANCO CREDITO\FER LORCA en ROSITA (Rosita)\ANA LUISA TODO\ROBERTO VEGA\RAUL SAUVAGEOT Y SYLVIA DIAZ (LIQ. SOC. CONYUGAL).doc", "Abrir Documento")</f>
        <v>0</v>
      </c>
      <c r="D22713" t="s">
        <v>23500</v>
      </c>
      <c r="E22713" t="s">
        <v>45099</v>
      </c>
    </row>
    <row r="22714" spans="1:5">
      <c r="A22714" t="s">
        <v>6</v>
      </c>
      <c r="B22714" t="s">
        <v>22719</v>
      </c>
      <c r="C22714">
        <f>HYPERLINK("C:\Users\franc\OneDrive\Documentos\MALENTIN KARIME\BANCO CREDITO\FER LORCA en ROSITA (Rosita)\ANA LUISA TODO\ROBERTO VEGA\RAUL SAUVAGEOT Y SYLVIA DIAZ (LIQ. SOC. CONYUGAL finasl.doc", "Abrir Documento")</f>
        <v>0</v>
      </c>
      <c r="D22714" t="s">
        <v>23500</v>
      </c>
      <c r="E22714" t="s">
        <v>45100</v>
      </c>
    </row>
    <row r="22715" spans="1:5">
      <c r="A22715" t="s">
        <v>6</v>
      </c>
      <c r="B22715" t="s">
        <v>22720</v>
      </c>
      <c r="C22715">
        <f>HYPERLINK("C:\Users\franc\OneDrive\Documentos\MALENTIN KARIME\BANCO CREDITO\FER LORCA en ROSITA (Rosita)\ANA LUISA TODO\ROBERTO VEGA\RAUL SAUVAGEOT DIAZ (LIQUIDACION SOC. CONYUGAL).doc", "Abrir Documento")</f>
        <v>0</v>
      </c>
      <c r="D22715" t="s">
        <v>23500</v>
      </c>
      <c r="E22715" t="s">
        <v>45101</v>
      </c>
    </row>
    <row r="22716" spans="1:5">
      <c r="A22716" t="s">
        <v>6</v>
      </c>
      <c r="B22716" t="s">
        <v>22721</v>
      </c>
      <c r="C22716">
        <f>HYPERLINK("C:\Users\franc\OneDrive\Documentos\MALENTIN KARIME\BANCO CREDITO\FER LORCA en ROSITA (Rosita)\ANA LUISA TODO\ROBERTO VEGA\PODER SII.doc", "Abrir Documento")</f>
        <v>0</v>
      </c>
      <c r="D22716" t="s">
        <v>23500</v>
      </c>
      <c r="E22716" t="s">
        <v>45102</v>
      </c>
    </row>
    <row r="22717" spans="1:5">
      <c r="A22717" t="s">
        <v>6</v>
      </c>
      <c r="B22717" t="s">
        <v>22722</v>
      </c>
      <c r="C22717">
        <f>HYPERLINK("C:\Users\franc\OneDrive\Documentos\MALENTIN KARIME\BANCO CREDITO\FER LORCA en ROSITA (Rosita)\ANA LUISA TODO\ROBERTO VEGA\PRUDELIA PIZARRO (RENUNCIA HERENCIA).doc", "Abrir Documento")</f>
        <v>0</v>
      </c>
      <c r="D22717" t="s">
        <v>23500</v>
      </c>
      <c r="E22717" t="s">
        <v>45102</v>
      </c>
    </row>
    <row r="22718" spans="1:5">
      <c r="A22718" t="s">
        <v>6</v>
      </c>
      <c r="B22718" t="s">
        <v>22723</v>
      </c>
      <c r="C22718">
        <f>HYPERLINK("C:\Users\franc\OneDrive\Documentos\MALENTIN KARIME\BANCO CREDITO\FER LORCA en ROSITA (Rosita)\ANA LUISA TODO\ROBERTO VEGA\PAULINA GALVEZ ACLARATORIA.doc", "Abrir Documento")</f>
        <v>0</v>
      </c>
      <c r="D22718" t="s">
        <v>23500</v>
      </c>
      <c r="E22718" t="s">
        <v>45103</v>
      </c>
    </row>
    <row r="22719" spans="1:5">
      <c r="A22719" t="s">
        <v>6</v>
      </c>
      <c r="B22719" t="s">
        <v>22724</v>
      </c>
      <c r="C22719">
        <f>HYPERLINK("C:\Users\franc\OneDrive\Documentos\MALENTIN KARIME\BANCO CREDITO\FER LORCA en ROSITA (Rosita)\ANA LUISA TODO\ROBERTO VEGA\MARIO RAMIREZ Y OTROS A ROBERTO VEGA ALCAYAGA.doc", "Abrir Documento")</f>
        <v>0</v>
      </c>
      <c r="D22719" t="s">
        <v>23500</v>
      </c>
      <c r="E22719" t="s">
        <v>45104</v>
      </c>
    </row>
    <row r="22720" spans="1:5">
      <c r="A22720" t="s">
        <v>6</v>
      </c>
      <c r="B22720" t="s">
        <v>22725</v>
      </c>
      <c r="C22720">
        <f>HYPERLINK("C:\Users\franc\OneDrive\Documentos\MALENTIN KARIME\BANCO CREDITO\FER LORCA en ROSITA (Rosita)\ANA LUISA TODO\ROBERTO VEGA\PAULINA GALVEZ - HUGO GALVEZ.doc", "Abrir Documento")</f>
        <v>0</v>
      </c>
      <c r="D22720" t="s">
        <v>23500</v>
      </c>
      <c r="E22720" t="s">
        <v>45104</v>
      </c>
    </row>
    <row r="22721" spans="1:5">
      <c r="A22721" t="s">
        <v>6</v>
      </c>
      <c r="B22721" t="s">
        <v>22726</v>
      </c>
      <c r="C22721">
        <f>HYPERLINK("C:\Users\franc\OneDrive\Documentos\MALENTIN KARIME\BANCO CREDITO\FER LORCA en ROSITA (Rosita)\ANA LUISA TODO\ROBERTO VEGA\MANDATO JUDICIAL CORTES JILES.doc", "Abrir Documento")</f>
        <v>0</v>
      </c>
      <c r="D22721" t="s">
        <v>23500</v>
      </c>
      <c r="E22721" t="s">
        <v>45105</v>
      </c>
    </row>
    <row r="22722" spans="1:5">
      <c r="A22722" t="s">
        <v>6</v>
      </c>
      <c r="B22722" t="s">
        <v>22727</v>
      </c>
      <c r="C22722">
        <f>HYPERLINK("C:\Users\franc\OneDrive\Documentos\MALENTIN KARIME\BANCO CREDITO\FER LORCA en ROSITA (Rosita)\ANA LUISA TODO\ROBERTO VEGA\MANDATO ALFALFARES.doc", "Abrir Documento")</f>
        <v>0</v>
      </c>
      <c r="D22722" t="s">
        <v>23500</v>
      </c>
      <c r="E22722" t="s">
        <v>45106</v>
      </c>
    </row>
    <row r="22723" spans="1:5">
      <c r="A22723" t="s">
        <v>6</v>
      </c>
      <c r="B22723" t="s">
        <v>22728</v>
      </c>
      <c r="C22723">
        <f>HYPERLINK("C:\Users\franc\OneDrive\Documentos\MALENTIN KARIME\BANCO CREDITO\FER LORCA en ROSITA (Rosita)\ANA LUISA TODO\ROBERTO VEGA\JOSE SORUCO (RECTIFICACION).doc", "Abrir Documento")</f>
        <v>0</v>
      </c>
      <c r="D22723" t="s">
        <v>23500</v>
      </c>
      <c r="E22723" t="s">
        <v>45107</v>
      </c>
    </row>
    <row r="22724" spans="1:5">
      <c r="A22724" t="s">
        <v>6</v>
      </c>
      <c r="B22724" t="s">
        <v>22729</v>
      </c>
      <c r="C22724">
        <f>HYPERLINK("C:\Users\franc\OneDrive\Documentos\MALENTIN KARIME\BANCO CREDITO\FER LORCA en ROSITA (Rosita)\ANA LUISA TODO\ROBERTO VEGA\INMOBILIARIA CHACON A ROBERTO VEGA (AGUAS).doc", "Abrir Documento")</f>
        <v>0</v>
      </c>
      <c r="D22724" t="s">
        <v>23500</v>
      </c>
      <c r="E22724" t="s">
        <v>45108</v>
      </c>
    </row>
    <row r="22725" spans="1:5">
      <c r="A22725" t="s">
        <v>6</v>
      </c>
      <c r="B22725" t="s">
        <v>22730</v>
      </c>
      <c r="C22725">
        <f>HYPERLINK("C:\Users\franc\OneDrive\Documentos\MALENTIN KARIME\BANCO CREDITO\FER LORCA en ROSITA (Rosita)\ANA LUISA TODO\ROBERTO VEGA\HUGO GALVEZ ( RECTIFICATORIA).doc", "Abrir Documento")</f>
        <v>0</v>
      </c>
      <c r="D22725" t="s">
        <v>23500</v>
      </c>
      <c r="E22725" t="s">
        <v>45109</v>
      </c>
    </row>
    <row r="22726" spans="1:5">
      <c r="A22726" t="s">
        <v>6</v>
      </c>
      <c r="B22726" t="s">
        <v>22731</v>
      </c>
      <c r="C22726">
        <f>HYPERLINK("C:\Users\franc\OneDrive\Documentos\MALENTIN KARIME\BANCO CREDITO\FER LORCA en ROSITA (Rosita)\ANA LUISA TODO\ROBERTO VEGA\HUGO GALVEZ A CRISTIAN GALVEZ.doc", "Abrir Documento")</f>
        <v>0</v>
      </c>
      <c r="D22726" t="s">
        <v>23500</v>
      </c>
      <c r="E22726" t="s">
        <v>45109</v>
      </c>
    </row>
    <row r="22727" spans="1:5">
      <c r="A22727" t="s">
        <v>6</v>
      </c>
      <c r="B22727" t="s">
        <v>22732</v>
      </c>
      <c r="C22727">
        <f>HYPERLINK("C:\Users\franc\OneDrive\Documentos\MALENTIN KARIME\BANCO CREDITO\FER LORCA en ROSITA (Rosita)\ANA LUISA TODO\ROBERTO VEGA\FRANCISCO JIMENEZ (MANDATO JUDICIAL).doc", "Abrir Documento")</f>
        <v>0</v>
      </c>
      <c r="D22727" t="s">
        <v>23500</v>
      </c>
      <c r="E22727" t="s">
        <v>45110</v>
      </c>
    </row>
    <row r="22728" spans="1:5">
      <c r="A22728" t="s">
        <v>6</v>
      </c>
      <c r="B22728" t="s">
        <v>22733</v>
      </c>
      <c r="C22728">
        <f>HYPERLINK("C:\Users\franc\OneDrive\Documentos\MALENTIN KARIME\BANCO CREDITO\FER LORCA en ROSITA (Rosita)\ANA LUISA TODO\ROBERTO VEGA\HECTOR GUZMAN A ROBERTO VEGA.doc", "Abrir Documento")</f>
        <v>0</v>
      </c>
      <c r="D22728" t="s">
        <v>23500</v>
      </c>
      <c r="E22728" t="s">
        <v>45110</v>
      </c>
    </row>
    <row r="22729" spans="1:5">
      <c r="A22729" t="s">
        <v>6</v>
      </c>
      <c r="B22729" t="s">
        <v>22734</v>
      </c>
      <c r="C22729">
        <f>HYPERLINK("C:\Users\franc\OneDrive\Documentos\MALENTIN KARIME\BANCO CREDITO\FER LORCA en ROSITA (Rosita)\ANA LUISA TODO\ROBERTO VEGA\EXTRACTO.doc", "Abrir Documento")</f>
        <v>0</v>
      </c>
      <c r="D22729" t="s">
        <v>23500</v>
      </c>
      <c r="E22729" t="s">
        <v>45111</v>
      </c>
    </row>
    <row r="22730" spans="1:5">
      <c r="A22730" t="s">
        <v>6</v>
      </c>
      <c r="B22730" t="s">
        <v>22735</v>
      </c>
      <c r="C22730">
        <f>HYPERLINK("C:\Users\franc\OneDrive\Documentos\MALENTIN KARIME\BANCO CREDITO\FER LORCA en ROSITA (Rosita)\ANA LUISA TODO\ROBERTO VEGA\ELSA BUGUEÑO TESTAMENTO.doc", "Abrir Documento")</f>
        <v>0</v>
      </c>
      <c r="D22730" t="s">
        <v>23500</v>
      </c>
      <c r="E22730" t="s">
        <v>45112</v>
      </c>
    </row>
    <row r="22731" spans="1:5">
      <c r="A22731" t="s">
        <v>6</v>
      </c>
      <c r="B22731" t="s">
        <v>22736</v>
      </c>
      <c r="C22731">
        <f>HYPERLINK("C:\Users\franc\OneDrive\Documentos\MALENTIN KARIME\BANCO CREDITO\FER LORCA en ROSITA (Rosita)\ANA LUISA TODO\ROBERTO VEGA\COMPRAVENTA mod.doc", "Abrir Documento")</f>
        <v>0</v>
      </c>
      <c r="D22731" t="s">
        <v>23500</v>
      </c>
      <c r="E22731" t="s">
        <v>45113</v>
      </c>
    </row>
    <row r="22732" spans="1:5">
      <c r="A22732" t="s">
        <v>6</v>
      </c>
      <c r="B22732" t="s">
        <v>22737</v>
      </c>
      <c r="C22732">
        <f>HYPERLINK("C:\Users\franc\OneDrive\Documentos\MALENTIN KARIME\BANCO CREDITO\FER LORCA en ROSITA (Rosita)\ANA LUISA TODO\ROBERTO VEGA\CESION DERECHOS GONZALEZ CALLEJAS.doc", "Abrir Documento")</f>
        <v>0</v>
      </c>
      <c r="D22732" t="s">
        <v>23500</v>
      </c>
      <c r="E22732" t="s">
        <v>45114</v>
      </c>
    </row>
    <row r="22733" spans="1:5">
      <c r="A22733" t="s">
        <v>6</v>
      </c>
      <c r="B22733" t="s">
        <v>22738</v>
      </c>
      <c r="C22733">
        <f>HYPERLINK("C:\Users\franc\OneDrive\Documentos\MALENTIN KARIME\BANCO CREDITO\FER LORCA en ROSITA (Rosita)\ANA LUISA TODO\ROBERTO VEGA\CECILIA VERGARA - MANDATO JUDICIAL.doc", "Abrir Documento")</f>
        <v>0</v>
      </c>
      <c r="D22733" t="s">
        <v>23500</v>
      </c>
      <c r="E22733" t="s">
        <v>45115</v>
      </c>
    </row>
    <row r="22734" spans="1:5">
      <c r="A22734" t="s">
        <v>6</v>
      </c>
      <c r="B22734" t="s">
        <v>22739</v>
      </c>
      <c r="C22734">
        <f>HYPERLINK("C:\Users\franc\OneDrive\Documentos\MALENTIN KARIME\BANCO CREDITO\FER LORCA en ROSITA (Rosita)\ANA LUISA TODO\ROBERTO VEGA\CARMEN VILLALON A SOC. ALFALFARES.doc", "Abrir Documento")</f>
        <v>0</v>
      </c>
      <c r="D22734" t="s">
        <v>23500</v>
      </c>
      <c r="E22734" t="s">
        <v>45116</v>
      </c>
    </row>
    <row r="22735" spans="1:5">
      <c r="A22735" t="s">
        <v>6</v>
      </c>
      <c r="B22735" t="s">
        <v>22740</v>
      </c>
      <c r="C22735">
        <f>HYPERLINK("C:\Users\franc\OneDrive\Documentos\MALENTIN KARIME\BANCO CREDITO\FER LORCA en ROSITA (Rosita)\ANA LUISA TODO\ROBERTO VEGA\ASOC. DUEÑOS DE CAMIONES A SOC. TRANSP. OVALLE (ACLARA).doc", "Abrir Documento")</f>
        <v>0</v>
      </c>
      <c r="D22735" t="s">
        <v>23500</v>
      </c>
      <c r="E22735" t="s">
        <v>45117</v>
      </c>
    </row>
    <row r="22736" spans="1:5">
      <c r="A22736" t="s">
        <v>6</v>
      </c>
      <c r="B22736" t="s">
        <v>22741</v>
      </c>
      <c r="C22736">
        <f>HYPERLINK("C:\Users\franc\OneDrive\Documentos\MALENTIN KARIME\BANCO CREDITO\FER LORCA en ROSITA (Rosita)\ANA LUISA TODO\ROBERTO VEGA\ARRIENDO AGUAS ROBERTO VEGA A ALFALFARES.doc", "Abrir Documento")</f>
        <v>0</v>
      </c>
      <c r="D22736" t="s">
        <v>23500</v>
      </c>
      <c r="E22736" t="s">
        <v>45118</v>
      </c>
    </row>
    <row r="22737" spans="1:5">
      <c r="A22737" t="s">
        <v>6</v>
      </c>
      <c r="B22737" t="s">
        <v>22742</v>
      </c>
      <c r="C22737">
        <f>HYPERLINK("C:\Users\franc\OneDrive\Documentos\MALENTIN KARIME\BANCO CREDITO\FER LORCA en ROSITA (Rosita)\ANA LUISA TODO\ROBERTO VEGA\ACTA TRANSP. OVALLE.doc", "Abrir Documento")</f>
        <v>0</v>
      </c>
      <c r="D22737" t="s">
        <v>23500</v>
      </c>
      <c r="E22737" t="s">
        <v>45119</v>
      </c>
    </row>
    <row r="22738" spans="1:5">
      <c r="A22738" t="s">
        <v>6</v>
      </c>
      <c r="B22738" t="s">
        <v>22743</v>
      </c>
      <c r="C22738">
        <f>HYPERLINK("C:\Users\franc\OneDrive\Documentos\MALENTIN KARIME\BANCO CREDITO\FER LORCA en ROSITA (Rosita)\ANA LUISA TODO\ROBERTO VEGA\ACLARATORIA ADRIANA ALUCEMA A CESAR MUÑOZ.doc", "Abrir Documento")</f>
        <v>0</v>
      </c>
      <c r="D22738" t="s">
        <v>23500</v>
      </c>
      <c r="E22738" t="s">
        <v>45120</v>
      </c>
    </row>
    <row r="22739" spans="1:5">
      <c r="A22739" t="s">
        <v>6</v>
      </c>
      <c r="B22739" t="s">
        <v>22744</v>
      </c>
      <c r="C22739">
        <f>HYPERLINK("C:\Users\franc\OneDrive\Documentos\MALENTIN KARIME\BANCO CREDITO\FER LORCA en ROSITA (Rosita)\ANA LUISA TODO\ROBERTO VEGA\(DACION EN PAGO).doc", "Abrir Documento")</f>
        <v>0</v>
      </c>
      <c r="D22739" t="s">
        <v>23500</v>
      </c>
      <c r="E22739" t="s">
        <v>45121</v>
      </c>
    </row>
    <row r="22740" spans="1:5">
      <c r="A22740" t="s">
        <v>6</v>
      </c>
      <c r="B22740" t="s">
        <v>22745</v>
      </c>
      <c r="C22740">
        <f>HYPERLINK("C:\Users\franc\OneDrive\Documentos\MALENTIN KARIME\BANCO CREDITO\FER LORCA en ROSITA (Rosita)\ANA LUISA TODO\RIO BLANCO\OSCAR ANDRADES.doc", "Abrir Documento")</f>
        <v>0</v>
      </c>
      <c r="D22740" t="s">
        <v>23500</v>
      </c>
      <c r="E22740" t="s">
        <v>45122</v>
      </c>
    </row>
    <row r="22741" spans="1:5">
      <c r="A22741" t="s">
        <v>6</v>
      </c>
      <c r="B22741" t="s">
        <v>22746</v>
      </c>
      <c r="C22741">
        <f>HYPERLINK("C:\Users\franc\OneDrive\Documentos\MALENTIN KARIME\BANCO CREDITO\FER LORCA en ROSITA (Rosita)\ANA LUISA TODO\RIO BLANCO\OSCAR ANDRADE.doc", "Abrir Documento")</f>
        <v>0</v>
      </c>
      <c r="D22741" t="s">
        <v>23500</v>
      </c>
      <c r="E22741" t="s">
        <v>45123</v>
      </c>
    </row>
    <row r="22742" spans="1:5">
      <c r="A22742" t="s">
        <v>6</v>
      </c>
      <c r="B22742" t="s">
        <v>22747</v>
      </c>
      <c r="C22742">
        <f>HYPERLINK("C:\Users\franc\OneDrive\Documentos\MALENTIN KARIME\BANCO CREDITO\FER LORCA en ROSITA (Rosita)\ANA LUISA TODO\REVOCACION\PATRICIA VALDERRAMA (TESTAMENTO).doc", "Abrir Documento")</f>
        <v>0</v>
      </c>
      <c r="D22742" t="s">
        <v>23500</v>
      </c>
      <c r="E22742" t="s">
        <v>45124</v>
      </c>
    </row>
    <row r="22743" spans="1:5">
      <c r="A22743" t="s">
        <v>6</v>
      </c>
      <c r="B22743" t="s">
        <v>22748</v>
      </c>
      <c r="C22743">
        <f>HYPERLINK("C:\Users\franc\OneDrive\Documentos\MALENTIN KARIME\BANCO CREDITO\FER LORCA en ROSITA (Rosita)\ANA LUISA TODO\REVOCACION\LILIANA ALFARO A CLAUDIO ARDILES.doc", "Abrir Documento")</f>
        <v>0</v>
      </c>
      <c r="D22743" t="s">
        <v>23500</v>
      </c>
      <c r="E22743" t="s">
        <v>45125</v>
      </c>
    </row>
    <row r="22744" spans="1:5">
      <c r="A22744" t="s">
        <v>6</v>
      </c>
      <c r="B22744" t="s">
        <v>22749</v>
      </c>
      <c r="C22744">
        <f>HYPERLINK("C:\Users\franc\OneDrive\Documentos\MALENTIN KARIME\BANCO CREDITO\FER LORCA en ROSITA (Rosita)\ANA LUISA TODO\REVOCACION\MARIA RODRIGUEZ A JULIO POLANCO.doc", "Abrir Documento")</f>
        <v>0</v>
      </c>
      <c r="D22744" t="s">
        <v>23500</v>
      </c>
      <c r="E22744" t="s">
        <v>45125</v>
      </c>
    </row>
    <row r="22745" spans="1:5">
      <c r="A22745" t="s">
        <v>6</v>
      </c>
      <c r="B22745" t="s">
        <v>22750</v>
      </c>
      <c r="C22745">
        <f>HYPERLINK("C:\Users\franc\OneDrive\Documentos\MALENTIN KARIME\BANCO CREDITO\FER LORCA en ROSITA (Rosita)\ANA LUISA TODO\REVOCACION\LEONARDO VELIZ A INGRID MARIN.doc", "Abrir Documento")</f>
        <v>0</v>
      </c>
      <c r="D22745" t="s">
        <v>23500</v>
      </c>
      <c r="E22745" t="s">
        <v>45126</v>
      </c>
    </row>
    <row r="22746" spans="1:5">
      <c r="A22746" t="s">
        <v>6</v>
      </c>
      <c r="B22746" t="s">
        <v>22751</v>
      </c>
      <c r="C22746">
        <f>HYPERLINK("C:\Users\franc\OneDrive\Documentos\MALENTIN KARIME\BANCO CREDITO\FER LORCA en ROSITA (Rosita)\ANA LUISA TODO\REVOCACION\FLORIDA RAMOS BARRAZA.doc", "Abrir Documento")</f>
        <v>0</v>
      </c>
      <c r="D22746" t="s">
        <v>23500</v>
      </c>
      <c r="E22746" t="s">
        <v>45127</v>
      </c>
    </row>
    <row r="22747" spans="1:5">
      <c r="A22747" t="s">
        <v>6</v>
      </c>
      <c r="B22747" t="s">
        <v>22752</v>
      </c>
      <c r="C22747">
        <f>HYPERLINK("C:\Users\franc\OneDrive\Documentos\MALENTIN KARIME\BANCO CREDITO\FER LORCA en ROSITA (Rosita)\ANA LUISA TODO\REVOCACION\EDOMILIA ALFARO (TESTAMENTO).doc", "Abrir Documento")</f>
        <v>0</v>
      </c>
      <c r="D22747" t="s">
        <v>23500</v>
      </c>
      <c r="E22747" t="s">
        <v>45128</v>
      </c>
    </row>
    <row r="22748" spans="1:5">
      <c r="A22748" t="s">
        <v>6</v>
      </c>
      <c r="B22748" t="s">
        <v>22753</v>
      </c>
      <c r="C22748">
        <f>HYPERLINK("C:\Users\franc\OneDrive\Documentos\MALENTIN KARIME\BANCO CREDITO\FER LORCA en ROSITA (Rosita)\ANA LUISA TODO\RESCILIACION\SOC. AGRICOLA MITIMAE A ALFALFARES.doc", "Abrir Documento")</f>
        <v>0</v>
      </c>
      <c r="D22748" t="s">
        <v>23500</v>
      </c>
      <c r="E22748" t="s">
        <v>45129</v>
      </c>
    </row>
    <row r="22749" spans="1:5">
      <c r="A22749" t="s">
        <v>6</v>
      </c>
      <c r="B22749" t="s">
        <v>22754</v>
      </c>
      <c r="C22749">
        <f>HYPERLINK("C:\Users\franc\OneDrive\Documentos\MALENTIN KARIME\BANCO CREDITO\FER LORCA en ROSITA (Rosita)\ANA LUISA TODO\REVOCACION\AGRICOLA AGUSTIN ARAYA A CLAUDIO ARDILES.doc", "Abrir Documento")</f>
        <v>0</v>
      </c>
      <c r="D22749" t="s">
        <v>23500</v>
      </c>
      <c r="E22749" t="s">
        <v>45129</v>
      </c>
    </row>
    <row r="22750" spans="1:5">
      <c r="A22750" t="s">
        <v>6</v>
      </c>
      <c r="B22750" t="s">
        <v>22755</v>
      </c>
      <c r="C22750">
        <f>HYPERLINK("C:\Users\franc\OneDrive\Documentos\MALENTIN KARIME\BANCO CREDITO\FER LORCA en ROSITA (Rosita)\ANA LUISA TODO\RESCILIACION\OSVALDO PARRA A FCO. GONZALEZ (HALCON 1-10).doc", "Abrir Documento")</f>
        <v>0</v>
      </c>
      <c r="D22750" t="s">
        <v>23500</v>
      </c>
      <c r="E22750" t="s">
        <v>45130</v>
      </c>
    </row>
    <row r="22751" spans="1:5">
      <c r="A22751" t="s">
        <v>6</v>
      </c>
      <c r="B22751" t="s">
        <v>22756</v>
      </c>
      <c r="C22751">
        <f>HYPERLINK("C:\Users\franc\OneDrive\Documentos\MALENTIN KARIME\BANCO CREDITO\FER LORCA en ROSITA (Rosita)\ANA LUISA TODO\RESCILIACION\MIGUEL TAPIA Y OTRO A JORGE CUELLO (ARRIENDO).doc", "Abrir Documento")</f>
        <v>0</v>
      </c>
      <c r="D22751" t="s">
        <v>23500</v>
      </c>
      <c r="E22751" t="s">
        <v>45131</v>
      </c>
    </row>
    <row r="22752" spans="1:5">
      <c r="A22752" t="s">
        <v>6</v>
      </c>
      <c r="B22752" t="s">
        <v>22757</v>
      </c>
      <c r="C22752">
        <f>HYPERLINK("C:\Users\franc\OneDrive\Documentos\MALENTIN KARIME\BANCO CREDITO\FER LORCA en ROSITA (Rosita)\ANA LUISA TODO\RESCILIACION\MATILDE CORTES A JESSICA LOPEZ (DERECHO EN COMUNIDAD).doc", "Abrir Documento")</f>
        <v>0</v>
      </c>
      <c r="D22752" t="s">
        <v>23500</v>
      </c>
      <c r="E22752" t="s">
        <v>45132</v>
      </c>
    </row>
    <row r="22753" spans="1:5">
      <c r="A22753" t="s">
        <v>6</v>
      </c>
      <c r="B22753" t="s">
        <v>22758</v>
      </c>
      <c r="C22753">
        <f>HYPERLINK("C:\Users\franc\OneDrive\Documentos\MALENTIN KARIME\BANCO CREDITO\FER LORCA en ROSITA (Rosita)\ANA LUISA TODO\RESCILIACION\MARIA TELLO A RODRIGO GUZMAN (PROMESA).doc", "Abrir Documento")</f>
        <v>0</v>
      </c>
      <c r="D22753" t="s">
        <v>23500</v>
      </c>
      <c r="E22753" t="s">
        <v>45133</v>
      </c>
    </row>
    <row r="22754" spans="1:5">
      <c r="A22754" t="s">
        <v>6</v>
      </c>
      <c r="B22754" t="s">
        <v>22759</v>
      </c>
      <c r="C22754">
        <f>HYPERLINK("C:\Users\franc\OneDrive\Documentos\MALENTIN KARIME\BANCO CREDITO\FER LORCA en ROSITA (Rosita)\ANA LUISA TODO\RESCILIACION\JUAN ADAOS Y OTROS A  WILLIAM (COMPRAVENTA SIN INSCIRP).doc", "Abrir Documento")</f>
        <v>0</v>
      </c>
      <c r="D22754" t="s">
        <v>23500</v>
      </c>
      <c r="E22754" t="s">
        <v>45134</v>
      </c>
    </row>
    <row r="22755" spans="1:5">
      <c r="A22755" t="s">
        <v>6</v>
      </c>
      <c r="B22755" t="s">
        <v>22760</v>
      </c>
      <c r="C22755">
        <f>HYPERLINK("C:\Users\franc\OneDrive\Documentos\MALENTIN KARIME\BANCO CREDITO\FER LORCA en ROSITA (Rosita)\ANA LUISA TODO\RESCILIACION\MANUEL BRAVO A SOC. DON CARLOS (SALEM).doc", "Abrir Documento")</f>
        <v>0</v>
      </c>
      <c r="D22755" t="s">
        <v>23500</v>
      </c>
      <c r="E22755" t="s">
        <v>45134</v>
      </c>
    </row>
    <row r="22756" spans="1:5">
      <c r="A22756" t="s">
        <v>6</v>
      </c>
      <c r="B22756" t="s">
        <v>22761</v>
      </c>
      <c r="C22756">
        <f>HYPERLINK("C:\Users\franc\OneDrive\Documentos\MALENTIN KARIME\BANCO CREDITO\FER LORCA en ROSITA (Rosita)\ANA LUISA TODO\RESCILIACION\JORGE ARACENA A JORGE CUELLO (ARRIENDO) PRIVADO.doc", "Abrir Documento")</f>
        <v>0</v>
      </c>
      <c r="D22756" t="s">
        <v>23500</v>
      </c>
      <c r="E22756" t="s">
        <v>45135</v>
      </c>
    </row>
    <row r="22757" spans="1:5">
      <c r="A22757" t="s">
        <v>6</v>
      </c>
      <c r="B22757" t="s">
        <v>22762</v>
      </c>
      <c r="C22757">
        <f>HYPERLINK("C:\Users\franc\OneDrive\Documentos\MALENTIN KARIME\BANCO CREDITO\FER LORCA en ROSITA (Rosita)\ANA LUISA TODO\RESCILIACION\GABRIEL A GALINDO VELIZ (COMPRAVENTA SIN INSCIRP).doc", "Abrir Documento")</f>
        <v>0</v>
      </c>
      <c r="D22757" t="s">
        <v>23500</v>
      </c>
      <c r="E22757" t="s">
        <v>45136</v>
      </c>
    </row>
    <row r="22758" spans="1:5">
      <c r="A22758" t="s">
        <v>6</v>
      </c>
      <c r="B22758" t="s">
        <v>22763</v>
      </c>
      <c r="C22758">
        <f>HYPERLINK("C:\Users\franc\OneDrive\Documentos\MALENTIN KARIME\BANCO CREDITO\FER LORCA en ROSITA (Rosita)\ANA LUISA TODO\RESCILIACION\INVERSIONES MORALES.doc", "Abrir Documento")</f>
        <v>0</v>
      </c>
      <c r="D22758" t="s">
        <v>23500</v>
      </c>
      <c r="E22758" t="s">
        <v>45136</v>
      </c>
    </row>
    <row r="22759" spans="1:5">
      <c r="A22759" t="s">
        <v>6</v>
      </c>
      <c r="B22759" t="s">
        <v>22764</v>
      </c>
      <c r="C22759">
        <f>HYPERLINK("C:\Users\franc\OneDrive\Documentos\MALENTIN KARIME\BANCO CREDITO\FER LORCA en ROSITA (Rosita)\ANA LUISA TODO\RESCILIACION\EUGENIO DARRIGRANDE A JUAN GUTIERREZ.doc", "Abrir Documento")</f>
        <v>0</v>
      </c>
      <c r="D22759" t="s">
        <v>23500</v>
      </c>
      <c r="E22759" t="s">
        <v>45137</v>
      </c>
    </row>
    <row r="22760" spans="1:5">
      <c r="A22760" t="s">
        <v>6</v>
      </c>
      <c r="B22760" t="s">
        <v>22765</v>
      </c>
      <c r="C22760">
        <f>HYPERLINK("C:\Users\franc\OneDrive\Documentos\MALENTIN KARIME\BANCO CREDITO\FER LORCA en ROSITA (Rosita)\ANA LUISA TODO\RESCILIACION\ALICIDES LISBOA A SOC. MINERA DON CARLOS (ARRIENDO).doc", "Abrir Documento")</f>
        <v>0</v>
      </c>
      <c r="D22760" t="s">
        <v>23500</v>
      </c>
      <c r="E22760" t="s">
        <v>45138</v>
      </c>
    </row>
    <row r="22761" spans="1:5">
      <c r="A22761" t="s">
        <v>6</v>
      </c>
      <c r="B22761" t="s">
        <v>22766</v>
      </c>
      <c r="C22761">
        <f>HYPERLINK("C:\Users\franc\OneDrive\Documentos\MALENTIN KARIME\BANCO CREDITO\FER LORCA en ROSITA (Rosita)\ANA LUISA TODO\REPUDIO\PABLO MELO.doc", "Abrir Documento")</f>
        <v>0</v>
      </c>
      <c r="D22761" t="s">
        <v>23500</v>
      </c>
      <c r="E22761" t="s">
        <v>45139</v>
      </c>
    </row>
    <row r="22762" spans="1:5">
      <c r="A22762" t="s">
        <v>6</v>
      </c>
      <c r="B22762" t="s">
        <v>22767</v>
      </c>
      <c r="C22762">
        <f>HYPERLINK("C:\Users\franc\OneDrive\Documentos\MALENTIN KARIME\BANCO CREDITO\FER LORCA en ROSITA (Rosita)\ANA LUISA TODO\REPUDIO\ANGEL SEGOVIA.doc", "Abrir Documento")</f>
        <v>0</v>
      </c>
      <c r="D22762" t="s">
        <v>23500</v>
      </c>
      <c r="E22762" t="s">
        <v>45140</v>
      </c>
    </row>
    <row r="22763" spans="1:5">
      <c r="A22763" t="s">
        <v>6</v>
      </c>
      <c r="B22763" t="s">
        <v>22768</v>
      </c>
      <c r="C22763">
        <f>HYPERLINK("C:\Users\franc\OneDrive\Documentos\MALENTIN KARIME\BANCO CREDITO\FER LORCA en ROSITA (Rosita)\ANA LUISA TODO\RENUNCIA GANANCIALES\CLAUDIO CASTILLO.doc", "Abrir Documento")</f>
        <v>0</v>
      </c>
      <c r="D22763" t="s">
        <v>23500</v>
      </c>
      <c r="E22763" t="s">
        <v>45141</v>
      </c>
    </row>
    <row r="22764" spans="1:5">
      <c r="A22764" t="s">
        <v>6</v>
      </c>
      <c r="B22764" t="s">
        <v>22769</v>
      </c>
      <c r="C22764">
        <f>HYPERLINK("C:\Users\franc\OneDrive\Documentos\MALENTIN KARIME\BANCO CREDITO\FER LORCA en ROSITA (Rosita)\ANA LUISA TODO\RENUNCIA GANANCIALES\MA LORETO CAMPOS.doc", "Abrir Documento")</f>
        <v>0</v>
      </c>
      <c r="D22764" t="s">
        <v>23500</v>
      </c>
      <c r="E22764" t="s">
        <v>45141</v>
      </c>
    </row>
    <row r="22765" spans="1:5">
      <c r="A22765" t="s">
        <v>6</v>
      </c>
      <c r="B22765" t="s">
        <v>22770</v>
      </c>
      <c r="C22765">
        <f>HYPERLINK("C:\Users\franc\OneDrive\Documentos\MALENTIN KARIME\BANCO CREDITO\FER LORCA en ROSITA (Rosita)\ANA LUISA TODO\RENDICION\LUIS ROJAS A MINERA MARUJA.doc", "Abrir Documento")</f>
        <v>0</v>
      </c>
      <c r="D22765" t="s">
        <v>23500</v>
      </c>
      <c r="E22765" t="s">
        <v>45142</v>
      </c>
    </row>
    <row r="22766" spans="1:5">
      <c r="A22766" t="s">
        <v>6</v>
      </c>
      <c r="B22766" t="s">
        <v>22771</v>
      </c>
      <c r="C22766">
        <f>HYPERLINK("C:\Users\franc\OneDrive\Documentos\MALENTIN KARIME\BANCO CREDITO\FER LORCA en ROSITA (Rosita)\ANA LUISA TODO\REMATES\MINAS.doc", "Abrir Documento")</f>
        <v>0</v>
      </c>
      <c r="D22766" t="s">
        <v>23500</v>
      </c>
      <c r="E22766" t="s">
        <v>45143</v>
      </c>
    </row>
    <row r="22767" spans="1:5">
      <c r="A22767" t="s">
        <v>6</v>
      </c>
      <c r="B22767" t="s">
        <v>22772</v>
      </c>
      <c r="C22767">
        <f>HYPERLINK("C:\Users\franc\OneDrive\Documentos\MALENTIN KARIME\BANCO CREDITO\FER LORCA en ROSITA (Rosita)\ANA LUISA TODO\REMATES\REMATE EL CHAVO UNA.doc", "Abrir Documento")</f>
        <v>0</v>
      </c>
      <c r="D22767" t="s">
        <v>23500</v>
      </c>
      <c r="E22767" t="s">
        <v>45143</v>
      </c>
    </row>
    <row r="22768" spans="1:5">
      <c r="A22768" t="s">
        <v>6</v>
      </c>
      <c r="B22768" t="s">
        <v>22773</v>
      </c>
      <c r="C22768">
        <f>HYPERLINK("C:\Users\franc\OneDrive\Documentos\MALENTIN KARIME\BANCO CREDITO\FER LORCA en ROSITA (Rosita)\ANA LUISA TODO\REMATES\CUEVAS.doc", "Abrir Documento")</f>
        <v>0</v>
      </c>
      <c r="D22768" t="s">
        <v>23500</v>
      </c>
      <c r="E22768" t="s">
        <v>45144</v>
      </c>
    </row>
    <row r="22769" spans="1:5">
      <c r="A22769" t="s">
        <v>6</v>
      </c>
      <c r="B22769" t="s">
        <v>22774</v>
      </c>
      <c r="C22769">
        <f>HYPERLINK("C:\Users\franc\OneDrive\Documentos\MALENTIN KARIME\BANCO CREDITO\FER LORCA en ROSITA (Rosita)\ANA LUISA TODO\REGLAMENTO CO-PROPIEDAD\REGLAMENTO Loteo Alto La Chimba.doc", "Abrir Documento")</f>
        <v>0</v>
      </c>
      <c r="D22769" t="s">
        <v>23500</v>
      </c>
      <c r="E22769" t="s">
        <v>45145</v>
      </c>
    </row>
    <row r="22770" spans="1:5">
      <c r="A22770" t="s">
        <v>6</v>
      </c>
      <c r="B22770" t="s">
        <v>22775</v>
      </c>
      <c r="C22770">
        <f>HYPERLINK("C:\Users\franc\OneDrive\Documentos\MALENTIN KARIME\BANCO CREDITO\FER LORCA en ROSITA (Rosita)\ANA LUISA TODO\REDUCCION\VALLE_LIMARI_AUMENTO_K[1].doc", "Abrir Documento")</f>
        <v>0</v>
      </c>
      <c r="D22770" t="s">
        <v>23500</v>
      </c>
      <c r="E22770" t="s">
        <v>45146</v>
      </c>
    </row>
    <row r="22771" spans="1:5">
      <c r="A22771" t="s">
        <v>6</v>
      </c>
      <c r="B22771" t="s">
        <v>22776</v>
      </c>
      <c r="C22771">
        <f>HYPERLINK("C:\Users\franc\OneDrive\Documentos\MALENTIN KARIME\BANCO CREDITO\FER LORCA en ROSITA (Rosita)\ANA LUISA TODO\REDUCCION\ROSITA DE PUNITAQUI.doc", "Abrir Documento")</f>
        <v>0</v>
      </c>
      <c r="D22771" t="s">
        <v>23500</v>
      </c>
      <c r="E22771" t="s">
        <v>45147</v>
      </c>
    </row>
    <row r="22772" spans="1:5">
      <c r="A22772" t="s">
        <v>6</v>
      </c>
      <c r="B22772" t="s">
        <v>22777</v>
      </c>
      <c r="C22772">
        <f>HYPERLINK("C:\Users\franc\OneDrive\Documentos\MALENTIN KARIME\BANCO CREDITO\FER LORCA en ROSITA (Rosita)\ANA LUISA TODO\REDUCCION\PICKERT ARQUITECTOS S.A..doc", "Abrir Documento")</f>
        <v>0</v>
      </c>
      <c r="D22772" t="s">
        <v>23500</v>
      </c>
      <c r="E22772" t="s">
        <v>45148</v>
      </c>
    </row>
    <row r="22773" spans="1:5">
      <c r="A22773" t="s">
        <v>6</v>
      </c>
      <c r="B22773" t="s">
        <v>22778</v>
      </c>
      <c r="C22773">
        <f>HYPERLINK("C:\Users\franc\OneDrive\Documentos\MALENTIN KARIME\BANCO CREDITO\FER LORCA en ROSITA (Rosita)\ANA LUISA TODO\REDUCCION\RESOLUCION MODIFICACION (COLOMBRES).doc", "Abrir Documento")</f>
        <v>0</v>
      </c>
      <c r="D22773" t="s">
        <v>23500</v>
      </c>
      <c r="E22773" t="s">
        <v>45148</v>
      </c>
    </row>
    <row r="22774" spans="1:5">
      <c r="A22774" t="s">
        <v>6</v>
      </c>
      <c r="B22774" t="s">
        <v>22779</v>
      </c>
      <c r="C22774">
        <f>HYPERLINK("C:\Users\franc\OneDrive\Documentos\MALENTIN KARIME\BANCO CREDITO\FER LORCA en ROSITA (Rosita)\ANA LUISA TODO\REDUCCION\PICKERT ARQUITECTOS S.A. FINAL.doc", "Abrir Documento")</f>
        <v>0</v>
      </c>
      <c r="D22774" t="s">
        <v>23500</v>
      </c>
      <c r="E22774" t="s">
        <v>45149</v>
      </c>
    </row>
    <row r="22775" spans="1:5">
      <c r="A22775" t="s">
        <v>6</v>
      </c>
      <c r="B22775" t="s">
        <v>22780</v>
      </c>
      <c r="C22775">
        <f>HYPERLINK("C:\Users\franc\OneDrive\Documentos\MALENTIN KARIME\BANCO CREDITO\FER LORCA en ROSITA (Rosita)\ANA LUISA TODO\REDUCCION\PERMISO EDIFICACION  PROY. INMOBILIARIOS.doc", "Abrir Documento")</f>
        <v>0</v>
      </c>
      <c r="D22775" t="s">
        <v>23500</v>
      </c>
      <c r="E22775" t="s">
        <v>45150</v>
      </c>
    </row>
    <row r="22776" spans="1:5">
      <c r="A22776" t="s">
        <v>6</v>
      </c>
      <c r="B22776" t="s">
        <v>22781</v>
      </c>
      <c r="C22776">
        <f>HYPERLINK("C:\Users\franc\OneDrive\Documentos\MALENTIN KARIME\BANCO CREDITO\FER LORCA en ROSITA (Rosita)\ANA LUISA TODO\REDUCCION\PERMISO EDIFICACION.doc", "Abrir Documento")</f>
        <v>0</v>
      </c>
      <c r="D22776" t="s">
        <v>23500</v>
      </c>
      <c r="E22776" t="s">
        <v>45150</v>
      </c>
    </row>
    <row r="22777" spans="1:5">
      <c r="A22777" t="s">
        <v>6</v>
      </c>
      <c r="B22777" t="s">
        <v>22782</v>
      </c>
      <c r="C22777">
        <f>HYPERLINK("C:\Users\franc\OneDrive\Documentos\MALENTIN KARIME\BANCO CREDITO\FER LORCA en ROSITA (Rosita)\ANA LUISA TODO\REDUCCION\OCHOTIERRAS (RONALD CUELLAR).doc", "Abrir Documento")</f>
        <v>0</v>
      </c>
      <c r="D22777" t="s">
        <v>23500</v>
      </c>
      <c r="E22777" t="s">
        <v>45151</v>
      </c>
    </row>
    <row r="22778" spans="1:5">
      <c r="A22778" t="s">
        <v>6</v>
      </c>
      <c r="B22778" t="s">
        <v>22783</v>
      </c>
      <c r="C22778">
        <f>HYPERLINK("C:\Users\franc\OneDrive\Documentos\MALENTIN KARIME\BANCO CREDITO\FER LORCA en ROSITA (Rosita)\ANA LUISA TODO\REDUCCION\DECRETO 239 FUNDO CHAÑARAL BAJO SUR.doc", "Abrir Documento")</f>
        <v>0</v>
      </c>
      <c r="D22778" t="s">
        <v>23500</v>
      </c>
      <c r="E22778" t="s">
        <v>45152</v>
      </c>
    </row>
    <row r="22779" spans="1:5">
      <c r="A22779" t="s">
        <v>6</v>
      </c>
      <c r="B22779" t="s">
        <v>22784</v>
      </c>
      <c r="C22779">
        <f>HYPERLINK("C:\Users\franc\OneDrive\Documentos\MALENTIN KARIME\BANCO CREDITO\FER LORCA en ROSITA (Rosita)\ANA LUISA TODO\REDUCCION\JUNTA VIGILANCIA RIO HUATULAME.doc", "Abrir Documento")</f>
        <v>0</v>
      </c>
      <c r="D22779" t="s">
        <v>23500</v>
      </c>
      <c r="E22779" t="s">
        <v>45152</v>
      </c>
    </row>
    <row r="22780" spans="1:5">
      <c r="A22780" t="s">
        <v>6</v>
      </c>
      <c r="B22780" t="s">
        <v>22785</v>
      </c>
      <c r="C22780">
        <f>HYPERLINK("C:\Users\franc\OneDrive\Documentos\MALENTIN KARIME\BANCO CREDITO\FER LORCA en ROSITA (Rosita)\ANA LUISA TODO\REDUCCION\CLUB DEPORTIVO MAGALLANES (SOTAQUI) - CHILE DEPORTES.doc", "Abrir Documento")</f>
        <v>0</v>
      </c>
      <c r="D22780" t="s">
        <v>23500</v>
      </c>
      <c r="E22780" t="s">
        <v>45153</v>
      </c>
    </row>
    <row r="22781" spans="1:5">
      <c r="A22781" t="s">
        <v>6</v>
      </c>
      <c r="B22781" t="s">
        <v>22786</v>
      </c>
      <c r="C22781">
        <f>HYPERLINK("C:\Users\franc\OneDrive\Documentos\MALENTIN KARIME\BANCO CREDITO\FER LORCA en ROSITA (Rosita)\ANA LUISA TODO\REDUCCION\CERTIFICADO AUTORIZ MUNICI (EUGENIO CORTES CAROCA).doc", "Abrir Documento")</f>
        <v>0</v>
      </c>
      <c r="D22781" t="s">
        <v>23500</v>
      </c>
      <c r="E22781" t="s">
        <v>45154</v>
      </c>
    </row>
    <row r="22782" spans="1:5">
      <c r="A22782" t="s">
        <v>6</v>
      </c>
      <c r="B22782" t="s">
        <v>22787</v>
      </c>
      <c r="C22782">
        <f>HYPERLINK("C:\Users\franc\OneDrive\Documentos\MALENTIN KARIME\BANCO CREDITO\FER LORCA en ROSITA (Rosita)\ANA LUISA TODO\REDUCCION\ACTA MATRIZ TALQUILLA.doc", "Abrir Documento")</f>
        <v>0</v>
      </c>
      <c r="D22782" t="s">
        <v>23500</v>
      </c>
      <c r="E22782" t="s">
        <v>45155</v>
      </c>
    </row>
    <row r="22783" spans="1:5">
      <c r="A22783" t="s">
        <v>6</v>
      </c>
      <c r="B22783" t="s">
        <v>22788</v>
      </c>
      <c r="C22783">
        <f>HYPERLINK("C:\Users\franc\OneDrive\Documentos\MALENTIN KARIME\BANCO CREDITO\FER LORCA en ROSITA (Rosita)\ANA LUISA TODO\REDUCCION\BOMBEROS OVALLE.doc", "Abrir Documento")</f>
        <v>0</v>
      </c>
      <c r="D22783" t="s">
        <v>23500</v>
      </c>
      <c r="E22783" t="s">
        <v>45155</v>
      </c>
    </row>
    <row r="22784" spans="1:5">
      <c r="A22784" t="s">
        <v>6</v>
      </c>
      <c r="B22784" t="s">
        <v>22789</v>
      </c>
      <c r="C22784">
        <f>HYPERLINK("C:\Users\franc\OneDrive\Documentos\MALENTIN KARIME\BANCO CREDITO\FER LORCA en ROSITA (Rosita)\ANA LUISA TODO\REDUCCION\ACTA JUNTA ASOC. CANAL EMBALSE COGOTI.doc", "Abrir Documento")</f>
        <v>0</v>
      </c>
      <c r="D22784" t="s">
        <v>23500</v>
      </c>
      <c r="E22784" t="s">
        <v>45156</v>
      </c>
    </row>
    <row r="22785" spans="1:5">
      <c r="A22785" t="s">
        <v>6</v>
      </c>
      <c r="B22785" t="s">
        <v>22790</v>
      </c>
      <c r="C22785">
        <f>HYPERLINK("C:\Users\franc\OneDrive\Documentos\MALENTIN KARIME\BANCO CREDITO\FER LORCA en ROSITA (Rosita)\ANA LUISA TODO\REDUCCION\ACTA INVERSIONES TALQUILLA.doc", "Abrir Documento")</f>
        <v>0</v>
      </c>
      <c r="D22785" t="s">
        <v>23500</v>
      </c>
      <c r="E22785" t="s">
        <v>45157</v>
      </c>
    </row>
    <row r="22786" spans="1:5">
      <c r="A22786" t="s">
        <v>6</v>
      </c>
      <c r="B22786" t="s">
        <v>22791</v>
      </c>
      <c r="C22786">
        <f>HYPERLINK("C:\Users\franc\OneDrive\Documentos\MALENTIN KARIME\BANCO CREDITO\FER LORCA en ROSITA (Rosita)\ANA LUISA TODO\REDUCCION\ACTA JUNTA ASOC. CANAL EMBALSE COGOTI  LIBRO.doc", "Abrir Documento")</f>
        <v>0</v>
      </c>
      <c r="D22786" t="s">
        <v>23500</v>
      </c>
      <c r="E22786" t="s">
        <v>45157</v>
      </c>
    </row>
    <row r="22787" spans="1:5">
      <c r="A22787" t="s">
        <v>6</v>
      </c>
      <c r="B22787" t="s">
        <v>22792</v>
      </c>
      <c r="C22787">
        <f>HYPERLINK("C:\Users\franc\OneDrive\Documentos\MALENTIN KARIME\BANCO CREDITO\FER LORCA en ROSITA (Rosita)\ANA LUISA TODO\REDUCCION\ACTA EXPORTADORA VALLE LIMARI.doc", "Abrir Documento")</f>
        <v>0</v>
      </c>
      <c r="D22787" t="s">
        <v>23500</v>
      </c>
      <c r="E22787" t="s">
        <v>45158</v>
      </c>
    </row>
    <row r="22788" spans="1:5">
      <c r="A22788" t="s">
        <v>6</v>
      </c>
      <c r="B22788" t="s">
        <v>22793</v>
      </c>
      <c r="C22788">
        <f>HYPERLINK("C:\Users\franc\OneDrive\Documentos\MALENTIN KARIME\BANCO CREDITO\FER LORCA en ROSITA (Rosita)\ANA LUISA TODO\RECTIFICACION\VERONICA MELLA.doc", "Abrir Documento")</f>
        <v>0</v>
      </c>
      <c r="D22788" t="s">
        <v>23500</v>
      </c>
      <c r="E22788" t="s">
        <v>45159</v>
      </c>
    </row>
    <row r="22789" spans="1:5">
      <c r="A22789" t="s">
        <v>6</v>
      </c>
      <c r="B22789" t="s">
        <v>22794</v>
      </c>
      <c r="C22789">
        <f>HYPERLINK("C:\Users\franc\OneDrive\Documentos\MALENTIN KARIME\BANCO CREDITO\FER LORCA en ROSITA (Rosita)\ANA LUISA TODO\REDUCCION\ACTA DOÑA ADRIANA (ARTIGUES)Ç.doc", "Abrir Documento")</f>
        <v>0</v>
      </c>
      <c r="D22789" t="s">
        <v>23500</v>
      </c>
      <c r="E22789" t="s">
        <v>45159</v>
      </c>
    </row>
    <row r="22790" spans="1:5">
      <c r="A22790" t="s">
        <v>6</v>
      </c>
      <c r="B22790" t="s">
        <v>22795</v>
      </c>
      <c r="C22790">
        <f>HYPERLINK("C:\Users\franc\OneDrive\Documentos\MALENTIN KARIME\BANCO CREDITO\FER LORCA en ROSITA (Rosita)\ANA LUISA TODO\RECTIFICACION\SERGIO CORTES.doc", "Abrir Documento")</f>
        <v>0</v>
      </c>
      <c r="D22790" t="s">
        <v>23500</v>
      </c>
      <c r="E22790" t="s">
        <v>45160</v>
      </c>
    </row>
    <row r="22791" spans="1:5">
      <c r="A22791" t="s">
        <v>6</v>
      </c>
      <c r="B22791" t="s">
        <v>22796</v>
      </c>
      <c r="C22791">
        <f>HYPERLINK("C:\Users\franc\OneDrive\Documentos\MALENTIN KARIME\BANCO CREDITO\FER LORCA en ROSITA (Rosita)\ANA LUISA TODO\RECTIFICACION\SOCIEDAD VERANEO PACIVICO.doc", "Abrir Documento")</f>
        <v>0</v>
      </c>
      <c r="D22791" t="s">
        <v>23500</v>
      </c>
      <c r="E22791" t="s">
        <v>45160</v>
      </c>
    </row>
    <row r="22792" spans="1:5">
      <c r="A22792" t="s">
        <v>6</v>
      </c>
      <c r="B22792" t="s">
        <v>22797</v>
      </c>
      <c r="C22792">
        <f>HYPERLINK("C:\Users\franc\OneDrive\Documentos\MALENTIN KARIME\BANCO CREDITO\FER LORCA en ROSITA (Rosita)\ANA LUISA TODO\RECTIFICACION\Rodrigo Mundaca Munda.doc", "Abrir Documento")</f>
        <v>0</v>
      </c>
      <c r="D22792" t="s">
        <v>23500</v>
      </c>
      <c r="E22792" t="s">
        <v>45161</v>
      </c>
    </row>
    <row r="22793" spans="1:5">
      <c r="A22793" t="s">
        <v>6</v>
      </c>
      <c r="B22793" t="s">
        <v>22798</v>
      </c>
      <c r="C22793">
        <f>HYPERLINK("C:\Users\franc\OneDrive\Documentos\MALENTIN KARIME\BANCO CREDITO\FER LORCA en ROSITA (Rosita)\ANA LUISA TODO\RECTIFICACION\RIGOBERTO GUTIERREZ (OSSANDON).doc", "Abrir Documento")</f>
        <v>0</v>
      </c>
      <c r="D22793" t="s">
        <v>23500</v>
      </c>
      <c r="E22793" t="s">
        <v>45162</v>
      </c>
    </row>
    <row r="22794" spans="1:5">
      <c r="A22794" t="s">
        <v>6</v>
      </c>
      <c r="B22794" t="s">
        <v>22799</v>
      </c>
      <c r="C22794">
        <f>HYPERLINK("C:\Users\franc\OneDrive\Documentos\MALENTIN KARIME\BANCO CREDITO\FER LORCA en ROSITA (Rosita)\ANA LUISA TODO\RECTIFICACION\RECTIFICACION COMPRAVENTA TIA SUSANA.doc", "Abrir Documento")</f>
        <v>0</v>
      </c>
      <c r="D22794" t="s">
        <v>23500</v>
      </c>
      <c r="E22794" t="s">
        <v>45163</v>
      </c>
    </row>
    <row r="22795" spans="1:5">
      <c r="A22795" t="s">
        <v>6</v>
      </c>
      <c r="B22795" t="s">
        <v>22800</v>
      </c>
      <c r="C22795">
        <f>HYPERLINK("C:\Users\franc\OneDrive\Documentos\MALENTIN KARIME\BANCO CREDITO\FER LORCA en ROSITA (Rosita)\ANA LUISA TODO\RECTIFICACION\RICARDO JARA A ELIZABETH PIZARRO.doc", "Abrir Documento")</f>
        <v>0</v>
      </c>
      <c r="D22795" t="s">
        <v>23500</v>
      </c>
      <c r="E22795" t="s">
        <v>45163</v>
      </c>
    </row>
    <row r="22796" spans="1:5">
      <c r="A22796" t="s">
        <v>6</v>
      </c>
      <c r="B22796" t="s">
        <v>22801</v>
      </c>
      <c r="C22796">
        <f>HYPERLINK("C:\Users\franc\OneDrive\Documentos\MALENTIN KARIME\BANCO CREDITO\FER LORCA en ROSITA (Rosita)\ANA LUISA TODO\RECTIFICACION\PEDRO MANZANO JAIME.doc", "Abrir Documento")</f>
        <v>0</v>
      </c>
      <c r="D22796" t="s">
        <v>23500</v>
      </c>
      <c r="E22796" t="s">
        <v>45164</v>
      </c>
    </row>
    <row r="22797" spans="1:5">
      <c r="A22797" t="s">
        <v>6</v>
      </c>
      <c r="B22797" t="s">
        <v>22802</v>
      </c>
      <c r="C22797">
        <f>HYPERLINK("C:\Users\franc\OneDrive\Documentos\MALENTIN KARIME\BANCO CREDITO\FER LORCA en ROSITA (Rosita)\ANA LUISA TODO\RECTIFICACION\RECT. ESCRITURA CONSULTORA.doc", "Abrir Documento")</f>
        <v>0</v>
      </c>
      <c r="D22797" t="s">
        <v>23500</v>
      </c>
      <c r="E22797" t="s">
        <v>45164</v>
      </c>
    </row>
    <row r="22798" spans="1:5">
      <c r="A22798" t="s">
        <v>6</v>
      </c>
      <c r="B22798" t="s">
        <v>22803</v>
      </c>
      <c r="C22798">
        <f>HYPERLINK("C:\Users\franc\OneDrive\Documentos\MALENTIN KARIME\BANCO CREDITO\FER LORCA en ROSITA (Rosita)\ANA LUISA TODO\RECTIFICACION\MISAEL RODRIGUEZ.doc", "Abrir Documento")</f>
        <v>0</v>
      </c>
      <c r="D22798" t="s">
        <v>23500</v>
      </c>
      <c r="E22798" t="s">
        <v>45165</v>
      </c>
    </row>
    <row r="22799" spans="1:5">
      <c r="A22799" t="s">
        <v>6</v>
      </c>
      <c r="B22799" t="s">
        <v>22804</v>
      </c>
      <c r="C22799">
        <f>HYPERLINK("C:\Users\franc\OneDrive\Documentos\MALENTIN KARIME\BANCO CREDITO\FER LORCA en ROSITA (Rosita)\ANA LUISA TODO\RECTIFICACION\PATRICIA ALFARO.doc", "Abrir Documento")</f>
        <v>0</v>
      </c>
      <c r="D22799" t="s">
        <v>23500</v>
      </c>
      <c r="E22799" t="s">
        <v>45165</v>
      </c>
    </row>
    <row r="22800" spans="1:5">
      <c r="A22800" t="s">
        <v>6</v>
      </c>
      <c r="B22800" t="s">
        <v>22805</v>
      </c>
      <c r="C22800">
        <f>HYPERLINK("C:\Users\franc\OneDrive\Documentos\MALENTIN KARIME\BANCO CREDITO\FER LORCA en ROSITA (Rosita)\ANA LUISA TODO\RECTIFICACION\MIGUEL GODOY (ESTADO CIVIL).doc", "Abrir Documento")</f>
        <v>0</v>
      </c>
      <c r="D22800" t="s">
        <v>23500</v>
      </c>
      <c r="E22800" t="s">
        <v>45166</v>
      </c>
    </row>
    <row r="22801" spans="1:5">
      <c r="A22801" t="s">
        <v>6</v>
      </c>
      <c r="B22801" t="s">
        <v>22806</v>
      </c>
      <c r="C22801">
        <f>HYPERLINK("C:\Users\franc\OneDrive\Documentos\MALENTIN KARIME\BANCO CREDITO\FER LORCA en ROSITA (Rosita)\ANA LUISA TODO\RECTIFICACION\I N F O R M E   DE   T I T U L O S.doc", "Abrir Documento")</f>
        <v>0</v>
      </c>
      <c r="D22801" t="s">
        <v>23500</v>
      </c>
      <c r="E22801" t="s">
        <v>45167</v>
      </c>
    </row>
    <row r="22802" spans="1:5">
      <c r="A22802" t="s">
        <v>6</v>
      </c>
      <c r="B22802" t="s">
        <v>22807</v>
      </c>
      <c r="C22802">
        <f>HYPERLINK("C:\Users\franc\OneDrive\Documentos\MALENTIN KARIME\BANCO CREDITO\FER LORCA en ROSITA (Rosita)\ANA LUISA TODO\RECTIFICACION\JORGE VERGARA (DERECHO REAL).doc", "Abrir Documento")</f>
        <v>0</v>
      </c>
      <c r="D22802" t="s">
        <v>23500</v>
      </c>
      <c r="E22802" t="s">
        <v>45167</v>
      </c>
    </row>
    <row r="22803" spans="1:5">
      <c r="A22803" t="s">
        <v>6</v>
      </c>
      <c r="B22803" t="s">
        <v>22808</v>
      </c>
      <c r="C22803">
        <f>HYPERLINK("C:\Users\franc\OneDrive\Documentos\MALENTIN KARIME\BANCO CREDITO\FER LORCA en ROSITA (Rosita)\ANA LUISA TODO\RECTIFICACION\FORTUNATO GONZALEZ A JOSE VEGA (DOMINIO).doc", "Abrir Documento")</f>
        <v>0</v>
      </c>
      <c r="D22803" t="s">
        <v>23500</v>
      </c>
      <c r="E22803" t="s">
        <v>45168</v>
      </c>
    </row>
    <row r="22804" spans="1:5">
      <c r="A22804" t="s">
        <v>6</v>
      </c>
      <c r="B22804" t="s">
        <v>22809</v>
      </c>
      <c r="C22804">
        <f>HYPERLINK("C:\Users\franc\OneDrive\Documentos\MALENTIN KARIME\BANCO CREDITO\FER LORCA en ROSITA (Rosita)\ANA LUISA TODO\RECTIFICACION\EMA JARAMILLO A CLAUDIA ALVAREZ Y OTRA.doc", "Abrir Documento")</f>
        <v>0</v>
      </c>
      <c r="D22804" t="s">
        <v>23500</v>
      </c>
      <c r="E22804" t="s">
        <v>45169</v>
      </c>
    </row>
    <row r="22805" spans="1:5">
      <c r="A22805" t="s">
        <v>6</v>
      </c>
      <c r="B22805" t="s">
        <v>22810</v>
      </c>
      <c r="C22805">
        <f>HYPERLINK("C:\Users\franc\OneDrive\Documentos\MALENTIN KARIME\BANCO CREDITO\FER LORCA en ROSITA (Rosita)\ANA LUISA TODO\RECTIFICACION\Ema Jaramillo y Claudia ALvarez.DOC", "Abrir Documento")</f>
        <v>0</v>
      </c>
      <c r="D22805" t="s">
        <v>23500</v>
      </c>
      <c r="E22805" t="s">
        <v>45169</v>
      </c>
    </row>
    <row r="22806" spans="1:5">
      <c r="A22806" t="s">
        <v>6</v>
      </c>
      <c r="B22806" t="s">
        <v>22811</v>
      </c>
      <c r="C22806">
        <f>HYPERLINK("C:\Users\franc\OneDrive\Documentos\MALENTIN KARIME\BANCO CREDITO\FER LORCA en ROSITA (Rosita)\ANA LUISA TODO\RECTIFICACION\ANA LEMUS (REC DESLIDNES).doc", "Abrir Documento")</f>
        <v>0</v>
      </c>
      <c r="D22806" t="s">
        <v>23500</v>
      </c>
      <c r="E22806" t="s">
        <v>45170</v>
      </c>
    </row>
    <row r="22807" spans="1:5">
      <c r="A22807" t="s">
        <v>6</v>
      </c>
      <c r="B22807" t="s">
        <v>22812</v>
      </c>
      <c r="C22807">
        <f>HYPERLINK("C:\Users\franc\OneDrive\Documentos\MALENTIN KARIME\BANCO CREDITO\FER LORCA en ROSITA (Rosita)\ANA LUISA TODO\RECTIFICACION\ANA MARIA MONDACA BOU A INMOB, LOS LAGOS.doc", "Abrir Documento")</f>
        <v>0</v>
      </c>
      <c r="D22807" t="s">
        <v>23500</v>
      </c>
      <c r="E22807" t="s">
        <v>45170</v>
      </c>
    </row>
    <row r="22808" spans="1:5">
      <c r="A22808" t="s">
        <v>6</v>
      </c>
      <c r="B22808" t="s">
        <v>22813</v>
      </c>
      <c r="C22808">
        <f>HYPERLINK("C:\Users\franc\OneDrive\Documentos\MALENTIN KARIME\BANCO CREDITO\FER LORCA en ROSITA (Rosita)\ANA LUISA TODO\RECTIFICACION\ALDO CARVAJAL.doc", "Abrir Documento")</f>
        <v>0</v>
      </c>
      <c r="D22808" t="s">
        <v>23500</v>
      </c>
      <c r="E22808" t="s">
        <v>45171</v>
      </c>
    </row>
    <row r="22809" spans="1:5">
      <c r="A22809" t="s">
        <v>6</v>
      </c>
      <c r="B22809" t="s">
        <v>22814</v>
      </c>
      <c r="C22809">
        <f>HYPERLINK("C:\Users\franc\OneDrive\Documentos\MALENTIN KARIME\BANCO CREDITO\FER LORCA en ROSITA (Rosita)\ANA LUISA TODO\RECTIFICACION\ADELINA PIZARRO Y OTR. NELSON PIZARRO ARAYA.doc", "Abrir Documento")</f>
        <v>0</v>
      </c>
      <c r="D22809" t="s">
        <v>23500</v>
      </c>
      <c r="E22809" t="s">
        <v>45172</v>
      </c>
    </row>
    <row r="22810" spans="1:5">
      <c r="A22810" t="s">
        <v>6</v>
      </c>
      <c r="B22810" t="s">
        <v>22815</v>
      </c>
      <c r="C22810">
        <f>HYPERLINK("C:\Users\franc\OneDrive\Documentos\MALENTIN KARIME\BANCO CREDITO\FER LORCA en ROSITA (Rosita)\ANA LUISA TODO\RECTIFICACION\ADELINA PIZARRO Y OTR. JORGE PIZARRO.doc", "Abrir Documento")</f>
        <v>0</v>
      </c>
      <c r="D22810" t="s">
        <v>23500</v>
      </c>
      <c r="E22810" t="s">
        <v>45173</v>
      </c>
    </row>
    <row r="22811" spans="1:5">
      <c r="A22811" t="s">
        <v>6</v>
      </c>
      <c r="B22811" t="s">
        <v>22816</v>
      </c>
      <c r="C22811">
        <f>HYPERLINK("C:\Users\franc\OneDrive\Documentos\MALENTIN KARIME\BANCO CREDITO\FER LORCA en ROSITA (Rosita)\ANA LUISA TODO\RECTIFICACION\ADELINA PIZARRO Y OTR. ADELINA PIZARRO.doc", "Abrir Documento")</f>
        <v>0</v>
      </c>
      <c r="D22811" t="s">
        <v>23500</v>
      </c>
      <c r="E22811" t="s">
        <v>45174</v>
      </c>
    </row>
    <row r="22812" spans="1:5">
      <c r="A22812" t="s">
        <v>6</v>
      </c>
      <c r="B22812" t="s">
        <v>22817</v>
      </c>
      <c r="C22812">
        <f>HYPERLINK("C:\Users\franc\OneDrive\Documentos\MALENTIN KARIME\BANCO CREDITO\FER LORCA en ROSITA (Rosita)\ANA LUISA TODO\RECONOCIMIENTO DEUDA\LUIS ULLOA.doc", "Abrir Documento")</f>
        <v>0</v>
      </c>
      <c r="D22812" t="s">
        <v>23500</v>
      </c>
      <c r="E22812" t="s">
        <v>45175</v>
      </c>
    </row>
    <row r="22813" spans="1:5">
      <c r="A22813" t="s">
        <v>6</v>
      </c>
      <c r="B22813" t="s">
        <v>22818</v>
      </c>
      <c r="C22813">
        <f>HYPERLINK("C:\Users\franc\OneDrive\Documentos\MALENTIN KARIME\BANCO CREDITO\FER LORCA en ROSITA (Rosita)\ANA LUISA TODO\RECONOCIMIENTO DEUDA\MARIO ARACENA CARVAJAL.doc", "Abrir Documento")</f>
        <v>0</v>
      </c>
      <c r="D22813" t="s">
        <v>23500</v>
      </c>
      <c r="E22813" t="s">
        <v>45175</v>
      </c>
    </row>
    <row r="22814" spans="1:5">
      <c r="A22814" t="s">
        <v>6</v>
      </c>
      <c r="B22814" t="s">
        <v>22819</v>
      </c>
      <c r="C22814">
        <f>HYPERLINK("C:\Users\franc\OneDrive\Documentos\MALENTIN KARIME\BANCO CREDITO\FER LORCA en ROSITA (Rosita)\ANA LUISA TODO\RAUL SALAMANCA\SOC. LAS MERCEDEES A ENAMI.doc", "Abrir Documento")</f>
        <v>0</v>
      </c>
      <c r="D22814" t="s">
        <v>23500</v>
      </c>
      <c r="E22814" t="s">
        <v>45176</v>
      </c>
    </row>
    <row r="22815" spans="1:5">
      <c r="A22815" t="s">
        <v>6</v>
      </c>
      <c r="B22815" t="s">
        <v>22820</v>
      </c>
      <c r="C22815">
        <f>HYPERLINK("C:\Users\franc\OneDrive\Documentos\MALENTIN KARIME\BANCO CREDITO\FER LORCA en ROSITA (Rosita)\ANA LUISA TODO\RAUL SALAMANCA\SOC. FELIXAN LTDA..doc", "Abrir Documento")</f>
        <v>0</v>
      </c>
      <c r="D22815" t="s">
        <v>23500</v>
      </c>
      <c r="E22815" t="s">
        <v>45177</v>
      </c>
    </row>
    <row r="22816" spans="1:5">
      <c r="A22816" t="s">
        <v>6</v>
      </c>
      <c r="B22816" t="s">
        <v>22821</v>
      </c>
      <c r="C22816">
        <f>HYPERLINK("C:\Users\franc\OneDrive\Documentos\MALENTIN KARIME\BANCO CREDITO\FER LORCA en ROSITA (Rosita)\ANA LUISA TODO\RAUL SALAMANCA\SOC. GLOCESA LTDA..doc", "Abrir Documento")</f>
        <v>0</v>
      </c>
      <c r="D22816" t="s">
        <v>23500</v>
      </c>
      <c r="E22816" t="s">
        <v>45177</v>
      </c>
    </row>
    <row r="22817" spans="1:5">
      <c r="A22817" t="s">
        <v>6</v>
      </c>
      <c r="B22817" t="s">
        <v>22822</v>
      </c>
      <c r="C22817">
        <f>HYPERLINK("C:\Users\franc\OneDrive\Documentos\MALENTIN KARIME\BANCO CREDITO\FER LORCA en ROSITA (Rosita)\ANA LUISA TODO\RAUL SALAMANCA\SOC. CERRILLOS A RODRIGO HERRERA (SERVIDUM).doc", "Abrir Documento")</f>
        <v>0</v>
      </c>
      <c r="D22817" t="s">
        <v>23500</v>
      </c>
      <c r="E22817" t="s">
        <v>45178</v>
      </c>
    </row>
    <row r="22818" spans="1:5">
      <c r="A22818" t="s">
        <v>6</v>
      </c>
      <c r="B22818" t="s">
        <v>22823</v>
      </c>
      <c r="C22818">
        <f>HYPERLINK("C:\Users\franc\OneDrive\Documentos\MALENTIN KARIME\BANCO CREDITO\FER LORCA en ROSITA (Rosita)\ANA LUISA TODO\RAUL SALAMANCA\soc fELIXAN LTDa. FINAL.doc", "Abrir Documento")</f>
        <v>0</v>
      </c>
      <c r="D22818" t="s">
        <v>23500</v>
      </c>
      <c r="E22818" t="s">
        <v>45179</v>
      </c>
    </row>
    <row r="22819" spans="1:5">
      <c r="A22819" t="s">
        <v>6</v>
      </c>
      <c r="B22819" t="s">
        <v>22824</v>
      </c>
      <c r="C22819">
        <f>HYPERLINK("C:\Users\franc\OneDrive\Documentos\MALENTIN KARIME\BANCO CREDITO\FER LORCA en ROSITA (Rosita)\ANA LUISA TODO\RAUL SALAMANCA\SOC. CANTA RANA S.A. A MARCELA DIEZ (TRANSCCION EXTRAJDICIAL.doc", "Abrir Documento")</f>
        <v>0</v>
      </c>
      <c r="D22819" t="s">
        <v>23500</v>
      </c>
      <c r="E22819" t="s">
        <v>45179</v>
      </c>
    </row>
    <row r="22820" spans="1:5">
      <c r="A22820" t="s">
        <v>6</v>
      </c>
      <c r="B22820" t="s">
        <v>22825</v>
      </c>
      <c r="C22820">
        <f>HYPERLINK("C:\Users\franc\OneDrive\Documentos\MALENTIN KARIME\BANCO CREDITO\FER LORCA en ROSITA (Rosita)\ANA LUISA TODO\RAUL SALAMANCA\ORIEL CISTERNAS A SOC. RENOV. DE INVERS. (ROCIO).doc", "Abrir Documento")</f>
        <v>0</v>
      </c>
      <c r="D22820" t="s">
        <v>23500</v>
      </c>
      <c r="E22820" t="s">
        <v>45180</v>
      </c>
    </row>
    <row r="22821" spans="1:5">
      <c r="A22821" t="s">
        <v>6</v>
      </c>
      <c r="B22821" t="s">
        <v>22826</v>
      </c>
      <c r="C22821">
        <f>HYPERLINK("C:\Users\franc\OneDrive\Documentos\MALENTIN KARIME\BANCO CREDITO\FER LORCA en ROSITA (Rosita)\ANA LUISA TODO\RAUL SALAMANCA\ORIEL CISTERNAS A SOC. RENOVADA DE INVERS (HERRADURA).doc", "Abrir Documento")</f>
        <v>0</v>
      </c>
      <c r="D22821" t="s">
        <v>23500</v>
      </c>
      <c r="E22821" t="s">
        <v>45180</v>
      </c>
    </row>
    <row r="22822" spans="1:5">
      <c r="A22822" t="s">
        <v>6</v>
      </c>
      <c r="B22822" t="s">
        <v>22827</v>
      </c>
      <c r="C22822">
        <f>HYPERLINK("C:\Users\franc\OneDrive\Documentos\MALENTIN KARIME\BANCO CREDITO\FER LORCA en ROSITA (Rosita)\ANA LUISA TODO\RAUL SALAMANCA\ORIEL CISTERNAS A SOC. RENOV. DE INVERS. (ESPERANZA).doc", "Abrir Documento")</f>
        <v>0</v>
      </c>
      <c r="D22822" t="s">
        <v>23500</v>
      </c>
      <c r="E22822" t="s">
        <v>45181</v>
      </c>
    </row>
    <row r="22823" spans="1:5">
      <c r="A22823" t="s">
        <v>6</v>
      </c>
      <c r="B22823" t="s">
        <v>22828</v>
      </c>
      <c r="C22823">
        <f>HYPERLINK("C:\Users\franc\OneDrive\Documentos\MALENTIN KARIME\BANCO CREDITO\FER LORCA en ROSITA (Rosita)\ANA LUISA TODO\RAUL SALAMANCA\ORIEL CISTERNAS A SOC. RENOV. DE INVERS. (DANY).doc", "Abrir Documento")</f>
        <v>0</v>
      </c>
      <c r="D22823" t="s">
        <v>23500</v>
      </c>
      <c r="E22823" t="s">
        <v>45182</v>
      </c>
    </row>
    <row r="22824" spans="1:5">
      <c r="A22824" t="s">
        <v>6</v>
      </c>
      <c r="B22824" t="s">
        <v>22829</v>
      </c>
      <c r="C22824">
        <f>HYPERLINK("C:\Users\franc\OneDrive\Documentos\MALENTIN KARIME\BANCO CREDITO\FER LORCA en ROSITA (Rosita)\ANA LUISA TODO\RAUL SALAMANCA\MINERA RUMAY LTDA.Ç.doc", "Abrir Documento")</f>
        <v>0</v>
      </c>
      <c r="D22824" t="s">
        <v>23500</v>
      </c>
      <c r="E22824" t="s">
        <v>45183</v>
      </c>
    </row>
    <row r="22825" spans="1:5">
      <c r="A22825" t="s">
        <v>6</v>
      </c>
      <c r="B22825" t="s">
        <v>22830</v>
      </c>
      <c r="C22825">
        <f>HYPERLINK("C:\Users\franc\OneDrive\Documentos\MALENTIN KARIME\BANCO CREDITO\FER LORCA en ROSITA (Rosita)\ANA LUISA TODO\RAUL SALAMANCA\ORIEL CISTERNAS A SOC. RENOV. DE INVERS. (ARRIENDO MINERO).doc", "Abrir Documento")</f>
        <v>0</v>
      </c>
      <c r="D22825" t="s">
        <v>23500</v>
      </c>
      <c r="E22825" t="s">
        <v>45183</v>
      </c>
    </row>
    <row r="22826" spans="1:5">
      <c r="A22826" t="s">
        <v>6</v>
      </c>
      <c r="B22826" t="s">
        <v>22831</v>
      </c>
      <c r="C22826">
        <f>HYPERLINK("C:\Users\franc\OneDrive\Documentos\MALENTIN KARIME\BANCO CREDITO\FER LORCA en ROSITA (Rosita)\ANA LUISA TODO\RAUL SALAMANCA\MINERA RUMAY EXTRACTO.doc", "Abrir Documento")</f>
        <v>0</v>
      </c>
      <c r="D22826" t="s">
        <v>23500</v>
      </c>
      <c r="E22826" t="s">
        <v>45184</v>
      </c>
    </row>
    <row r="22827" spans="1:5">
      <c r="A22827" t="s">
        <v>6</v>
      </c>
      <c r="B22827" t="s">
        <v>22832</v>
      </c>
      <c r="C22827">
        <f>HYPERLINK("C:\Users\franc\OneDrive\Documentos\MALENTIN KARIME\BANCO CREDITO\FER LORCA en ROSITA (Rosita)\ANA LUISA TODO\RAUL SALAMANCA\MARIA INES FIGARI A ALCIDES NIN DE CARDONA.doc", "Abrir Documento")</f>
        <v>0</v>
      </c>
      <c r="D22827" t="s">
        <v>23500</v>
      </c>
      <c r="E22827" t="s">
        <v>45185</v>
      </c>
    </row>
    <row r="22828" spans="1:5">
      <c r="A22828" t="s">
        <v>6</v>
      </c>
      <c r="B22828" t="s">
        <v>22833</v>
      </c>
      <c r="C22828">
        <f>HYPERLINK("C:\Users\franc\OneDrive\Documentos\MALENTIN KARIME\BANCO CREDITO\FER LORCA en ROSITA (Rosita)\ANA LUISA TODO\RAUL SALAMANCA\MANDATO poder quiebra dos.doc", "Abrir Documento")</f>
        <v>0</v>
      </c>
      <c r="D22828" t="s">
        <v>23500</v>
      </c>
      <c r="E22828" t="s">
        <v>45186</v>
      </c>
    </row>
    <row r="22829" spans="1:5">
      <c r="A22829" t="s">
        <v>6</v>
      </c>
      <c r="B22829" t="s">
        <v>22834</v>
      </c>
      <c r="C22829">
        <f>HYPERLINK("C:\Users\franc\OneDrive\Documentos\MALENTIN KARIME\BANCO CREDITO\FER LORCA en ROSITA (Rosita)\ANA LUISA TODO\RAUL SALAMANCA\FELIX CORTES Y AUTOM. Y MINERA REM.doc", "Abrir Documento")</f>
        <v>0</v>
      </c>
      <c r="D22829" t="s">
        <v>23500</v>
      </c>
      <c r="E22829" t="s">
        <v>45187</v>
      </c>
    </row>
    <row r="22830" spans="1:5">
      <c r="A22830" t="s">
        <v>6</v>
      </c>
      <c r="B22830" t="s">
        <v>22835</v>
      </c>
      <c r="C22830">
        <f>HYPERLINK("C:\Users\franc\OneDrive\Documentos\MALENTIN KARIME\BANCO CREDITO\FER LORCA en ROSITA (Rosita)\ANA LUISA TODO\RAUL SALAMANCA\AUGUSTO MUÑOZ A RAMON MUÑOZ (SIN INSCRIP).doc", "Abrir Documento")</f>
        <v>0</v>
      </c>
      <c r="D22830" t="s">
        <v>23500</v>
      </c>
      <c r="E22830" t="s">
        <v>45188</v>
      </c>
    </row>
    <row r="22831" spans="1:5">
      <c r="A22831" t="s">
        <v>6</v>
      </c>
      <c r="B22831" t="s">
        <v>22836</v>
      </c>
      <c r="C22831">
        <f>HYPERLINK("C:\Users\franc\OneDrive\Documentos\MALENTIN KARIME\BANCO CREDITO\FER LORCA en ROSITA (Rosita)\ANA LUISA TODO\RAUL SALAMANCA\EXTRACTO hermanos cisternas.doc", "Abrir Documento")</f>
        <v>0</v>
      </c>
      <c r="D22831" t="s">
        <v>23500</v>
      </c>
      <c r="E22831" t="s">
        <v>45188</v>
      </c>
    </row>
    <row r="22832" spans="1:5">
      <c r="A22832" t="s">
        <v>6</v>
      </c>
      <c r="B22832" t="s">
        <v>22837</v>
      </c>
      <c r="C22832">
        <f>HYPERLINK("C:\Users\franc\OneDrive\Documentos\MALENTIN KARIME\BANCO CREDITO\FER LORCA en ROSITA (Rosita)\ANA LUISA TODO\RATIFICACION\SOC. CERRO CAMPANARIO (MANUEL CORTES).doc", "Abrir Documento")</f>
        <v>0</v>
      </c>
      <c r="D22832" t="s">
        <v>23500</v>
      </c>
      <c r="E22832" t="s">
        <v>45189</v>
      </c>
    </row>
    <row r="22833" spans="1:5">
      <c r="A22833" t="s">
        <v>6</v>
      </c>
      <c r="B22833" t="s">
        <v>22838</v>
      </c>
      <c r="C22833">
        <f>HYPERLINK("C:\Users\franc\OneDrive\Documentos\MALENTIN KARIME\BANCO CREDITO\FER LORCA en ROSITA (Rosita)\ANA LUISA TODO\RAUL CORTES OSSANDON\SOCIEDAD ECORED.doc", "Abrir Documento")</f>
        <v>0</v>
      </c>
      <c r="D22833" t="s">
        <v>23500</v>
      </c>
      <c r="E22833" t="s">
        <v>45189</v>
      </c>
    </row>
    <row r="22834" spans="1:5">
      <c r="A22834" t="s">
        <v>6</v>
      </c>
      <c r="B22834" t="s">
        <v>22839</v>
      </c>
      <c r="C22834">
        <f>HYPERLINK("C:\Users\franc\OneDrive\Documentos\MALENTIN KARIME\BANCO CREDITO\FER LORCA en ROSITA (Rosita)\ANA LUISA TODO\RATIFICACION\MIGUEL VELIZ Y OTRO A SUS CONYUGES.doc", "Abrir Documento")</f>
        <v>0</v>
      </c>
      <c r="D22834" t="s">
        <v>23500</v>
      </c>
      <c r="E22834" t="s">
        <v>45190</v>
      </c>
    </row>
    <row r="22835" spans="1:5">
      <c r="A22835" t="s">
        <v>6</v>
      </c>
      <c r="B22835" t="s">
        <v>22840</v>
      </c>
      <c r="C22835">
        <f>HYPERLINK("C:\Users\franc\OneDrive\Documentos\MALENTIN KARIME\BANCO CREDITO\FER LORCA en ROSITA (Rosita)\ANA LUISA TODO\RATIFICACION\NEFTALI GONZALEZ.doc", "Abrir Documento")</f>
        <v>0</v>
      </c>
      <c r="D22835" t="s">
        <v>23500</v>
      </c>
      <c r="E22835" t="s">
        <v>45190</v>
      </c>
    </row>
    <row r="22836" spans="1:5">
      <c r="A22836" t="s">
        <v>6</v>
      </c>
      <c r="B22836" t="s">
        <v>22841</v>
      </c>
      <c r="C22836">
        <f>HYPERLINK("C:\Users\franc\OneDrive\Documentos\MALENTIN KARIME\BANCO CREDITO\FER LORCA en ROSITA (Rosita)\ANA LUISA TODO\RATIFICACION\ELIANA ARAYA.doc", "Abrir Documento")</f>
        <v>0</v>
      </c>
      <c r="D22836" t="s">
        <v>23500</v>
      </c>
      <c r="E22836" t="s">
        <v>45191</v>
      </c>
    </row>
    <row r="22837" spans="1:5">
      <c r="A22837" t="s">
        <v>6</v>
      </c>
      <c r="B22837" t="s">
        <v>22842</v>
      </c>
      <c r="C22837">
        <f>HYPERLINK("C:\Users\franc\OneDrive\Documentos\MALENTIN KARIME\BANCO CREDITO\FER LORCA en ROSITA (Rosita)\ANA LUISA TODO\RATIFICACION\ADELINA HUENCHUÑIR (CONYUGE) RATIFICACION.doc", "Abrir Documento")</f>
        <v>0</v>
      </c>
      <c r="D22837" t="s">
        <v>23500</v>
      </c>
      <c r="E22837" t="s">
        <v>45192</v>
      </c>
    </row>
    <row r="22838" spans="1:5">
      <c r="A22838" t="s">
        <v>6</v>
      </c>
      <c r="B22838" t="s">
        <v>22843</v>
      </c>
      <c r="C22838">
        <f>HYPERLINK("C:\Users\franc\OneDrive\Documentos\MALENTIN KARIME\BANCO CREDITO\FER LORCA en ROSITA (Rosita)\ANA LUISA TODO\RATIFICACION\DARWING ROJAS A SANDRA MILLA.doc", "Abrir Documento")</f>
        <v>0</v>
      </c>
      <c r="D22838" t="s">
        <v>23500</v>
      </c>
      <c r="E22838" t="s">
        <v>45192</v>
      </c>
    </row>
    <row r="22839" spans="1:5">
      <c r="A22839" t="s">
        <v>6</v>
      </c>
      <c r="B22839" t="s">
        <v>22844</v>
      </c>
      <c r="C22839">
        <f>HYPERLINK("C:\Users\franc\OneDrive\Documentos\MALENTIN KARIME\BANCO CREDITO\FER LORCA en ROSITA (Rosita)\ANA LUISA TODO\RAMON LUIS\instr cvta casa libertad.doc", "Abrir Documento")</f>
        <v>0</v>
      </c>
      <c r="D22839" t="s">
        <v>23500</v>
      </c>
      <c r="E22839" t="s">
        <v>45193</v>
      </c>
    </row>
    <row r="22840" spans="1:5">
      <c r="A22840" t="s">
        <v>6</v>
      </c>
      <c r="B22840" t="s">
        <v>22845</v>
      </c>
      <c r="C22840">
        <f>HYPERLINK("C:\Users\franc\OneDrive\Documentos\MALENTIN KARIME\BANCO CREDITO\FER LORCA en ROSITA (Rosita)\ANA LUISA TODO\RAMON LUIS\EDUARDO CORTES A PEDRO SEGUNDO MUÑOZ.doc", "Abrir Documento")</f>
        <v>0</v>
      </c>
      <c r="D22840" t="s">
        <v>23500</v>
      </c>
      <c r="E22840" t="s">
        <v>45194</v>
      </c>
    </row>
    <row r="22841" spans="1:5">
      <c r="A22841" t="s">
        <v>6</v>
      </c>
      <c r="B22841" t="s">
        <v>22846</v>
      </c>
      <c r="C22841">
        <f>HYPERLINK("C:\Users\franc\OneDrive\Documentos\MALENTIN KARIME\BANCO CREDITO\FER LORCA en ROSITA (Rosita)\ANA LUISA TODO\RAMON LUIS\COMITE TAMAYA.doc", "Abrir Documento")</f>
        <v>0</v>
      </c>
      <c r="D22841" t="s">
        <v>23500</v>
      </c>
      <c r="E22841" t="s">
        <v>45195</v>
      </c>
    </row>
    <row r="22842" spans="1:5">
      <c r="A22842" t="s">
        <v>6</v>
      </c>
      <c r="B22842" t="s">
        <v>22847</v>
      </c>
      <c r="C22842">
        <f>HYPERLINK("C:\Users\franc\OneDrive\Documentos\MALENTIN KARIME\BANCO CREDITO\FER LORCA en ROSITA (Rosita)\ANA LUISA TODO\PROTOCOLIZA\INDAP\EDMUNDO ARAYA (INDAP).doc", "Abrir Documento")</f>
        <v>0</v>
      </c>
      <c r="D22842" t="s">
        <v>23500</v>
      </c>
      <c r="E22842" t="s">
        <v>45196</v>
      </c>
    </row>
    <row r="22843" spans="1:5">
      <c r="A22843" t="s">
        <v>6</v>
      </c>
      <c r="B22843" t="s">
        <v>22848</v>
      </c>
      <c r="C22843">
        <f>HYPERLINK("C:\Users\franc\OneDrive\Documentos\MALENTIN KARIME\BANCO CREDITO\FER LORCA en ROSITA (Rosita)\ANA LUISA TODO\PROTOCOLIZA\INDAP\LILI CALDERON.doc", "Abrir Documento")</f>
        <v>0</v>
      </c>
      <c r="D22843" t="s">
        <v>23500</v>
      </c>
      <c r="E22843" t="s">
        <v>45196</v>
      </c>
    </row>
    <row r="22844" spans="1:5">
      <c r="A22844" t="s">
        <v>6</v>
      </c>
      <c r="B22844" t="s">
        <v>22849</v>
      </c>
      <c r="C22844">
        <f>HYPERLINK("C:\Users\franc\OneDrive\Documentos\MALENTIN KARIME\BANCO CREDITO\FER LORCA en ROSITA (Rosita)\ANA LUISA TODO\PROTOCOLIZA\declaracion droga\PAULINA PLAZA SANTIBAÑEZ.doc", "Abrir Documento")</f>
        <v>0</v>
      </c>
      <c r="D22844" t="s">
        <v>23500</v>
      </c>
      <c r="E22844" t="s">
        <v>45197</v>
      </c>
    </row>
    <row r="22845" spans="1:5">
      <c r="A22845" t="s">
        <v>6</v>
      </c>
      <c r="B22845" t="s">
        <v>22850</v>
      </c>
      <c r="C22845">
        <f>HYPERLINK("C:\Users\franc\OneDrive\Documentos\MALENTIN KARIME\BANCO CREDITO\FER LORCA en ROSITA (Rosita)\ANA LUISA TODO\PROTOCOLIZA\BOMBEROS\Tercera Compañia FS 67.doc", "Abrir Documento")</f>
        <v>0</v>
      </c>
      <c r="D22845" t="s">
        <v>23500</v>
      </c>
      <c r="E22845" t="s">
        <v>45198</v>
      </c>
    </row>
    <row r="22846" spans="1:5">
      <c r="A22846" t="s">
        <v>6</v>
      </c>
      <c r="B22846" t="s">
        <v>22851</v>
      </c>
      <c r="C22846">
        <f>HYPERLINK("C:\Users\franc\OneDrive\Documentos\MALENTIN KARIME\BANCO CREDITO\FER LORCA en ROSITA (Rosita)\ANA LUISA TODO\PROTOCOLIZA\declaracion droga\Paola Carvajal Valenzuela.doc", "Abrir Documento")</f>
        <v>0</v>
      </c>
      <c r="D22846" t="s">
        <v>23500</v>
      </c>
      <c r="E22846" t="s">
        <v>45198</v>
      </c>
    </row>
    <row r="22847" spans="1:5">
      <c r="A22847" t="s">
        <v>6</v>
      </c>
      <c r="B22847" t="s">
        <v>22852</v>
      </c>
      <c r="C22847">
        <f>HYPERLINK("C:\Users\franc\OneDrive\Documentos\MALENTIN KARIME\BANCO CREDITO\FER LORCA en ROSITA (Rosita)\ANA LUISA TODO\PROTOCOLIZA\BOMBEROS\Cuerpo de Bomberos Ovalle SUPERINTENDENCIA.doc", "Abrir Documento")</f>
        <v>0</v>
      </c>
      <c r="D22847" t="s">
        <v>23500</v>
      </c>
      <c r="E22847" t="s">
        <v>45199</v>
      </c>
    </row>
    <row r="22848" spans="1:5">
      <c r="A22848" t="s">
        <v>6</v>
      </c>
      <c r="B22848" t="s">
        <v>22853</v>
      </c>
      <c r="C22848">
        <f>HYPERLINK("C:\Users\franc\OneDrive\Documentos\MALENTIN KARIME\BANCO CREDITO\FER LORCA en ROSITA (Rosita)\ANA LUISA TODO\PROTOCOLIZA\BOMBEROS\CUERPO DE BOMBEROS DE OVALLE.doc", "Abrir Documento")</f>
        <v>0</v>
      </c>
      <c r="D22848" t="s">
        <v>23500</v>
      </c>
      <c r="E22848" t="s">
        <v>45200</v>
      </c>
    </row>
    <row r="22849" spans="1:5">
      <c r="A22849" t="s">
        <v>6</v>
      </c>
      <c r="B22849" t="s">
        <v>22854</v>
      </c>
      <c r="C22849">
        <f>HYPERLINK("C:\Users\franc\OneDrive\Documentos\MALENTIN KARIME\BANCO CREDITO\FER LORCA en ROSITA (Rosita)\ANA LUISA TODO\PROTOCOLIZA\BOMBEROS\Cuerpo de Bomberos Ovalle SUPERINTENDENCIA FS 56.doc", "Abrir Documento")</f>
        <v>0</v>
      </c>
      <c r="D22849" t="s">
        <v>23500</v>
      </c>
      <c r="E22849" t="s">
        <v>45200</v>
      </c>
    </row>
    <row r="22850" spans="1:5">
      <c r="A22850" t="s">
        <v>6</v>
      </c>
      <c r="B22850" t="s">
        <v>22855</v>
      </c>
      <c r="C22850">
        <f>HYPERLINK("C:\Users\franc\OneDrive\Documentos\MALENTIN KARIME\BANCO CREDITO\FER LORCA en ROSITA (Rosita)\ANA LUISA TODO\PROTOCOLIZA\BOMBEROS\CUERPO DE BOMBEROS DE OVA........doc", "Abrir Documento")</f>
        <v>0</v>
      </c>
      <c r="D22850" t="s">
        <v>23500</v>
      </c>
      <c r="E22850" t="s">
        <v>45201</v>
      </c>
    </row>
    <row r="22851" spans="1:5">
      <c r="A22851" t="s">
        <v>6</v>
      </c>
      <c r="B22851" t="s">
        <v>22856</v>
      </c>
      <c r="C22851">
        <f>HYPERLINK("C:\Users\franc\OneDrive\Documentos\MALENTIN KARIME\BANCO CREDITO\FER LORCA en ROSITA (Rosita)\ANA LUISA TODO\PROTOCOLIZA\BOMBEROS\CUERPO DE BOMBEROS DE OVA.doc", "Abrir Documento")</f>
        <v>0</v>
      </c>
      <c r="D22851" t="s">
        <v>23500</v>
      </c>
      <c r="E22851" t="s">
        <v>45201</v>
      </c>
    </row>
    <row r="22852" spans="1:5">
      <c r="A22852" t="s">
        <v>6</v>
      </c>
      <c r="B22852" t="s">
        <v>22857</v>
      </c>
      <c r="C22852">
        <f>HYPERLINK("C:\Users\franc\OneDrive\Documentos\MALENTIN KARIME\BANCO CREDITO\FER LORCA en ROSITA (Rosita)\ANA LUISA TODO\PROTOCOLIZA\BOMBEROS\CERT.COPIAS.doc", "Abrir Documento")</f>
        <v>0</v>
      </c>
      <c r="D22852" t="s">
        <v>23500</v>
      </c>
      <c r="E22852" t="s">
        <v>45202</v>
      </c>
    </row>
    <row r="22853" spans="1:5">
      <c r="A22853" t="s">
        <v>6</v>
      </c>
      <c r="B22853" t="s">
        <v>22858</v>
      </c>
      <c r="C22853">
        <f>HYPERLINK("C:\Users\franc\OneDrive\Documentos\MALENTIN KARIME\BANCO CREDITO\FER LORCA en ROSITA (Rosita)\ANA LUISA TODO\PROTOCOLIZA\BOMBEROS\CERT.COPIAS BOM 8 CIA.doc", "Abrir Documento")</f>
        <v>0</v>
      </c>
      <c r="D22853" t="s">
        <v>23500</v>
      </c>
      <c r="E22853" t="s">
        <v>45203</v>
      </c>
    </row>
    <row r="22854" spans="1:5">
      <c r="A22854" t="s">
        <v>6</v>
      </c>
      <c r="B22854" t="s">
        <v>22859</v>
      </c>
      <c r="C22854">
        <f>HYPERLINK("C:\Users\franc\OneDrive\Documentos\MALENTIN KARIME\BANCO CREDITO\FER LORCA en ROSITA (Rosita)\ANA LUISA TODO\PROTOCOLIZA\BOMBEROS\CERT COPIA SUPERINTENDENCIA.doc", "Abrir Documento")</f>
        <v>0</v>
      </c>
      <c r="D22854" t="s">
        <v>23500</v>
      </c>
      <c r="E22854" t="s">
        <v>45204</v>
      </c>
    </row>
    <row r="22855" spans="1:5">
      <c r="A22855" t="s">
        <v>6</v>
      </c>
      <c r="B22855" t="s">
        <v>22860</v>
      </c>
      <c r="C22855">
        <f>HYPERLINK("C:\Users\franc\OneDrive\Documentos\MALENTIN KARIME\BANCO CREDITO\FER LORCA en ROSITA (Rosita)\ANA LUISA TODO\PROTOCOLIZA\BOMBEROS\CERT COPIA BOMBEROS agrega.doc", "Abrir Documento")</f>
        <v>0</v>
      </c>
      <c r="D22855" t="s">
        <v>23500</v>
      </c>
      <c r="E22855" t="s">
        <v>45205</v>
      </c>
    </row>
    <row r="22856" spans="1:5">
      <c r="A22856" t="s">
        <v>6</v>
      </c>
      <c r="B22856" t="s">
        <v>22861</v>
      </c>
      <c r="C22856">
        <f>HYPERLINK("C:\Users\franc\OneDrive\Documentos\MALENTIN KARIME\BANCO CREDITO\FER LORCA en ROSITA (Rosita)\ANA LUISA TODO\PROTOCOLIZA\BOMBEROS\BOMBEROS FS 63 5 cia.doc", "Abrir Documento")</f>
        <v>0</v>
      </c>
      <c r="D22856" t="s">
        <v>23500</v>
      </c>
      <c r="E22856" t="s">
        <v>45206</v>
      </c>
    </row>
    <row r="22857" spans="1:5">
      <c r="A22857" t="s">
        <v>6</v>
      </c>
      <c r="B22857" t="s">
        <v>22862</v>
      </c>
      <c r="C22857">
        <f>HYPERLINK("C:\Users\franc\OneDrive\Documentos\MALENTIN KARIME\BANCO CREDITO\FER LORCA en ROSITA (Rosita)\ANA LUISA TODO\PROTOCOLIZA\BOMBEROS\BOMBEROS FS 44.doc", "Abrir Documento")</f>
        <v>0</v>
      </c>
      <c r="D22857" t="s">
        <v>23500</v>
      </c>
      <c r="E22857" t="s">
        <v>45207</v>
      </c>
    </row>
    <row r="22858" spans="1:5">
      <c r="A22858" t="s">
        <v>6</v>
      </c>
      <c r="B22858" t="s">
        <v>22863</v>
      </c>
      <c r="C22858">
        <f>HYPERLINK("C:\Users\franc\OneDrive\Documentos\MALENTIN KARIME\BANCO CREDITO\FER LORCA en ROSITA (Rosita)\ANA LUISA TODO\PROTOCOLIZA\BOMBEROS\BOMBEROS FS 29 8 cia.doc", "Abrir Documento")</f>
        <v>0</v>
      </c>
      <c r="D22858" t="s">
        <v>23500</v>
      </c>
      <c r="E22858" t="s">
        <v>45208</v>
      </c>
    </row>
    <row r="22859" spans="1:5">
      <c r="A22859" t="s">
        <v>6</v>
      </c>
      <c r="B22859" t="s">
        <v>22864</v>
      </c>
      <c r="C22859">
        <f>HYPERLINK("C:\Users\franc\OneDrive\Documentos\MALENTIN KARIME\BANCO CREDITO\FER LORCA en ROSITA (Rosita)\ANA LUISA TODO\PROTOCOLIZA\BOMBEROS\BOMBEROS FS 09 8 cia.doc", "Abrir Documento")</f>
        <v>0</v>
      </c>
      <c r="D22859" t="s">
        <v>23500</v>
      </c>
      <c r="E22859" t="s">
        <v>45209</v>
      </c>
    </row>
    <row r="22860" spans="1:5">
      <c r="A22860" t="s">
        <v>6</v>
      </c>
      <c r="B22860" t="s">
        <v>22865</v>
      </c>
      <c r="C22860">
        <f>HYPERLINK("C:\Users\franc\OneDrive\Documentos\MALENTIN KARIME\BANCO CREDITO\FER LORCA en ROSITA (Rosita)\ANA LUISA TODO\PROTOCOLIZA\2009\SINDICATO TRABAJADORES FERIA LIBRE.doc", "Abrir Documento")</f>
        <v>0</v>
      </c>
      <c r="D22860" t="s">
        <v>23500</v>
      </c>
      <c r="E22860" t="s">
        <v>45210</v>
      </c>
    </row>
    <row r="22861" spans="1:5">
      <c r="A22861" t="s">
        <v>6</v>
      </c>
      <c r="B22861" t="s">
        <v>22866</v>
      </c>
      <c r="C22861">
        <f>HYPERLINK("C:\Users\franc\OneDrive\Documentos\MALENTIN KARIME\BANCO CREDITO\FER LORCA en ROSITA (Rosita)\ANA LUISA TODO\PROTOCOLIZA\2009\SORTEO AGRO SERVICIOS.doc", "Abrir Documento")</f>
        <v>0</v>
      </c>
      <c r="D22861" t="s">
        <v>23500</v>
      </c>
      <c r="E22861" t="s">
        <v>45210</v>
      </c>
    </row>
    <row r="22862" spans="1:5">
      <c r="A22862" t="s">
        <v>6</v>
      </c>
      <c r="B22862" t="s">
        <v>22867</v>
      </c>
      <c r="C22862">
        <f>HYPERLINK("C:\Users\franc\OneDrive\Documentos\MALENTIN KARIME\BANCO CREDITO\FER LORCA en ROSITA (Rosita)\ANA LUISA TODO\PROTOCOLIZA\2009\REUNION EXTRAORDINARIA (COMODATO) (JUAN CARLOS).doc", "Abrir Documento")</f>
        <v>0</v>
      </c>
      <c r="D22862" t="s">
        <v>23500</v>
      </c>
      <c r="E22862" t="s">
        <v>45211</v>
      </c>
    </row>
    <row r="22863" spans="1:5">
      <c r="A22863" t="s">
        <v>6</v>
      </c>
      <c r="B22863" t="s">
        <v>22868</v>
      </c>
      <c r="C22863">
        <f>HYPERLINK("C:\Users\franc\OneDrive\Documentos\MALENTIN KARIME\BANCO CREDITO\FER LORCA en ROSITA (Rosita)\ANA LUISA TODO\PROTOCOLIZA\2009\PROT. ALZAMIENTO CAPEL ELBA.doc", "Abrir Documento")</f>
        <v>0</v>
      </c>
      <c r="D22863" t="s">
        <v>23500</v>
      </c>
      <c r="E22863" t="s">
        <v>45212</v>
      </c>
    </row>
    <row r="22864" spans="1:5">
      <c r="A22864" t="s">
        <v>6</v>
      </c>
      <c r="B22864" t="s">
        <v>22869</v>
      </c>
      <c r="C22864">
        <f>HYPERLINK("C:\Users\franc\OneDrive\Documentos\MALENTIN KARIME\BANCO CREDITO\FER LORCA en ROSITA (Rosita)\ANA LUISA TODO\PROTOCOLIZA\2009\PROT. ALZAMIENTO Y CANCELACION elba.doc", "Abrir Documento")</f>
        <v>0</v>
      </c>
      <c r="D22864" t="s">
        <v>23500</v>
      </c>
      <c r="E22864" t="s">
        <v>45212</v>
      </c>
    </row>
    <row r="22865" spans="1:5">
      <c r="A22865" t="s">
        <v>6</v>
      </c>
      <c r="B22865" t="s">
        <v>22870</v>
      </c>
      <c r="C22865">
        <f>HYPERLINK("C:\Users\franc\OneDrive\Documentos\MALENTIN KARIME\BANCO CREDITO\FER LORCA en ROSITA (Rosita)\ANA LUISA TODO\PROTOCOLIZA\2009\PROT. ACTA SOC. LA RECOLETA (ELBA).doc", "Abrir Documento")</f>
        <v>0</v>
      </c>
      <c r="D22865" t="s">
        <v>23500</v>
      </c>
      <c r="E22865" t="s">
        <v>45213</v>
      </c>
    </row>
    <row r="22866" spans="1:5">
      <c r="A22866" t="s">
        <v>6</v>
      </c>
      <c r="B22866" t="s">
        <v>22871</v>
      </c>
      <c r="C22866">
        <f>HYPERLINK("C:\Users\franc\OneDrive\Documentos\MALENTIN KARIME\BANCO CREDITO\FER LORCA en ROSITA (Rosita)\ANA LUISA TODO\PROTOCOLIZA\2009\INV. DAVID RIVERA (DON GONZALO).doc", "Abrir Documento")</f>
        <v>0</v>
      </c>
      <c r="D22866" t="s">
        <v>23500</v>
      </c>
      <c r="E22866" t="s">
        <v>45214</v>
      </c>
    </row>
    <row r="22867" spans="1:5">
      <c r="A22867" t="s">
        <v>6</v>
      </c>
      <c r="B22867" t="s">
        <v>22872</v>
      </c>
      <c r="C22867">
        <f>HYPERLINK("C:\Users\franc\OneDrive\Documentos\MALENTIN KARIME\BANCO CREDITO\FER LORCA en ROSITA (Rosita)\ANA LUISA TODO\PROTOCOLIZA\2009\COMITE PRO CASA VILLA FLOR DEL NORTE.doc", "Abrir Documento")</f>
        <v>0</v>
      </c>
      <c r="D22867" t="s">
        <v>23500</v>
      </c>
      <c r="E22867" t="s">
        <v>45215</v>
      </c>
    </row>
    <row r="22868" spans="1:5">
      <c r="A22868" t="s">
        <v>6</v>
      </c>
      <c r="B22868" t="s">
        <v>22873</v>
      </c>
      <c r="C22868">
        <f>HYPERLINK("C:\Users\franc\OneDrive\Documentos\MALENTIN KARIME\BANCO CREDITO\FER LORCA en ROSITA (Rosita)\ANA LUISA TODO\PROTOCOLIZA\2009\COMITE PRO CASA VILLA FLOR DEL NORTE 2.doc", "Abrir Documento")</f>
        <v>0</v>
      </c>
      <c r="D22868" t="s">
        <v>23500</v>
      </c>
      <c r="E22868" t="s">
        <v>45216</v>
      </c>
    </row>
    <row r="22869" spans="1:5">
      <c r="A22869" t="s">
        <v>6</v>
      </c>
      <c r="B22869" t="s">
        <v>22874</v>
      </c>
      <c r="C22869">
        <f>HYPERLINK("C:\Users\franc\OneDrive\Documentos\MALENTIN KARIME\BANCO CREDITO\FER LORCA en ROSITA (Rosita)\ANA LUISA TODO\PROTOCOLIZA\2009\BASILIO AGUIRRE (MEJORAMIENTOS SISTEMA AGUAS.doc", "Abrir Documento")</f>
        <v>0</v>
      </c>
      <c r="D22869" t="s">
        <v>23500</v>
      </c>
      <c r="E22869" t="s">
        <v>45217</v>
      </c>
    </row>
    <row r="22870" spans="1:5">
      <c r="A22870" t="s">
        <v>6</v>
      </c>
      <c r="B22870" t="s">
        <v>22875</v>
      </c>
      <c r="C22870">
        <f>HYPERLINK("C:\Users\franc\OneDrive\Documentos\MALENTIN KARIME\BANCO CREDITO\FER LORCA en ROSITA (Rosita)\ANA LUISA TODO\PROTOCOLIZA\2009\CARLOS BUGUEÑO (INDAP).doc", "Abrir Documento")</f>
        <v>0</v>
      </c>
      <c r="D22870" t="s">
        <v>23500</v>
      </c>
      <c r="E22870" t="s">
        <v>45217</v>
      </c>
    </row>
    <row r="22871" spans="1:5">
      <c r="A22871" t="s">
        <v>6</v>
      </c>
      <c r="B22871" t="s">
        <v>22876</v>
      </c>
      <c r="C22871">
        <f>HYPERLINK("C:\Users\franc\OneDrive\Documentos\MALENTIN KARIME\BANCO CREDITO\FER LORCA en ROSITA (Rosita)\ANA LUISA TODO\PROTOCOLIZA\2009\BASILIO AGUIRRE (MEJORAMIENTOS SISTEMA AGUAS EL SAUCE NOV, 2009.doc", "Abrir Documento")</f>
        <v>0</v>
      </c>
      <c r="D22871" t="s">
        <v>23500</v>
      </c>
      <c r="E22871" t="s">
        <v>45218</v>
      </c>
    </row>
    <row r="22872" spans="1:5">
      <c r="A22872" t="s">
        <v>6</v>
      </c>
      <c r="B22872" t="s">
        <v>22877</v>
      </c>
      <c r="C22872">
        <f>HYPERLINK("C:\Users\franc\OneDrive\Documentos\MALENTIN KARIME\BANCO CREDITO\FER LORCA en ROSITA (Rosita)\ANA LUISA TODO\PROTOCOLIZA\2009\BASILIO AGUIRRE (MEJORAMIENTOS SISTEMA AGUAS andacollo).doc", "Abrir Documento")</f>
        <v>0</v>
      </c>
      <c r="D22872" t="s">
        <v>23500</v>
      </c>
      <c r="E22872" t="s">
        <v>45219</v>
      </c>
    </row>
    <row r="22873" spans="1:5">
      <c r="A22873" t="s">
        <v>6</v>
      </c>
      <c r="B22873" t="s">
        <v>22878</v>
      </c>
      <c r="C22873">
        <f>HYPERLINK("C:\Users\franc\OneDrive\Documentos\MALENTIN KARIME\BANCO CREDITO\FER LORCA en ROSITA (Rosita)\ANA LUISA TODO\PROTOCOLIZA\2009\BASILIO AGUIRRE (MEJORAMIENTOS SISTEMA AGUAS COLLIGUAY.- 18 NOV, 2009.doc", "Abrir Documento")</f>
        <v>0</v>
      </c>
      <c r="D22873" t="s">
        <v>23500</v>
      </c>
      <c r="E22873" t="s">
        <v>45219</v>
      </c>
    </row>
    <row r="22874" spans="1:5">
      <c r="A22874" t="s">
        <v>6</v>
      </c>
      <c r="B22874" t="s">
        <v>22879</v>
      </c>
      <c r="C22874">
        <f>HYPERLINK("C:\Users\franc\OneDrive\Documentos\MALENTIN KARIME\BANCO CREDITO\FER LORCA en ROSITA (Rosita)\ANA LUISA TODO\PROTOCOLIZA\2009\BASILIO AGUIRRE (MEJORAMIENTOS SISTEMA AGUAS  RURAL DE PICHASCA, HORCON, DIC.- 2009.doc", "Abrir Documento")</f>
        <v>0</v>
      </c>
      <c r="D22874" t="s">
        <v>23500</v>
      </c>
      <c r="E22874" t="s">
        <v>45220</v>
      </c>
    </row>
    <row r="22875" spans="1:5">
      <c r="A22875" t="s">
        <v>6</v>
      </c>
      <c r="B22875" t="s">
        <v>22880</v>
      </c>
      <c r="C22875">
        <f>HYPERLINK("C:\Users\franc\OneDrive\Documentos\MALENTIN KARIME\BANCO CREDITO\FER LORCA en ROSITA (Rosita)\ANA LUISA TODO\PROTOCOLIZA\2009\BASILIO AGUIRRE (LIQUIDACION FINAL).doc", "Abrir Documento")</f>
        <v>0</v>
      </c>
      <c r="D22875" t="s">
        <v>23500</v>
      </c>
      <c r="E22875" t="s">
        <v>45221</v>
      </c>
    </row>
    <row r="22876" spans="1:5">
      <c r="A22876" t="s">
        <v>6</v>
      </c>
      <c r="B22876" t="s">
        <v>22881</v>
      </c>
      <c r="C22876">
        <f>HYPERLINK("C:\Users\franc\OneDrive\Documentos\MALENTIN KARIME\BANCO CREDITO\FER LORCA en ROSITA (Rosita)\ANA LUISA TODO\PROTOCOLIZA\2009\BASILIO AGUIRRE (LIQUIDACION FINAL)  2.doc", "Abrir Documento")</f>
        <v>0</v>
      </c>
      <c r="D22876" t="s">
        <v>23500</v>
      </c>
      <c r="E22876" t="s">
        <v>45222</v>
      </c>
    </row>
    <row r="22877" spans="1:5">
      <c r="A22877" t="s">
        <v>6</v>
      </c>
      <c r="B22877" t="s">
        <v>22882</v>
      </c>
      <c r="C22877">
        <f>HYPERLINK("C:\Users\franc\OneDrive\Documentos\MALENTIN KARIME\BANCO CREDITO\FER LORCA en ROSITA (Rosita)\ANA LUISA TODO\PROTOCOLIZA\2009\BASILIO AGUIRRE (LIQUIDACION FINAL) 3.doc", "Abrir Documento")</f>
        <v>0</v>
      </c>
      <c r="D22877" t="s">
        <v>23500</v>
      </c>
      <c r="E22877" t="s">
        <v>45222</v>
      </c>
    </row>
    <row r="22878" spans="1:5">
      <c r="A22878" t="s">
        <v>6</v>
      </c>
      <c r="B22878" t="s">
        <v>22883</v>
      </c>
      <c r="C22878">
        <f>HYPERLINK("C:\Users\franc\OneDrive\Documentos\MALENTIN KARIME\BANCO CREDITO\FER LORCA en ROSITA (Rosita)\ANA LUISA TODO\PROTOCOLIZA\2009\BASILIO AGUIRRE (construccion noria viñita alta.doc", "Abrir Documento")</f>
        <v>0</v>
      </c>
      <c r="D22878" t="s">
        <v>23500</v>
      </c>
      <c r="E22878" t="s">
        <v>45223</v>
      </c>
    </row>
    <row r="22879" spans="1:5">
      <c r="A22879" t="s">
        <v>6</v>
      </c>
      <c r="B22879" t="s">
        <v>22884</v>
      </c>
      <c r="C22879">
        <f>HYPERLINK("C:\Users\franc\OneDrive\Documentos\MALENTIN KARIME\BANCO CREDITO\FER LORCA en ROSITA (Rosita)\ANA LUISA TODO\PROTOCOLIZA\2009\ACTA ENTREGA GOCE SINGULAR SRA. MARGARITA (JUAN CARLOS).doc", "Abrir Documento")</f>
        <v>0</v>
      </c>
      <c r="D22879" t="s">
        <v>23500</v>
      </c>
      <c r="E22879" t="s">
        <v>45224</v>
      </c>
    </row>
    <row r="22880" spans="1:5">
      <c r="A22880" t="s">
        <v>6</v>
      </c>
      <c r="B22880" t="s">
        <v>22885</v>
      </c>
      <c r="C22880">
        <f>HYPERLINK("C:\Users\franc\OneDrive\Documentos\MALENTIN KARIME\BANCO CREDITO\FER LORCA en ROSITA (Rosita)\ANA LUISA TODO\PROTOCOLIZA\2009\ACTA CENTRO PADRES JARDIN LOS CHICHARRITAS.doc", "Abrir Documento")</f>
        <v>0</v>
      </c>
      <c r="D22880" t="s">
        <v>23500</v>
      </c>
      <c r="E22880" t="s">
        <v>45225</v>
      </c>
    </row>
    <row r="22881" spans="1:5">
      <c r="A22881" t="s">
        <v>6</v>
      </c>
      <c r="B22881" t="s">
        <v>22886</v>
      </c>
      <c r="C22881">
        <f>HYPERLINK("C:\Users\franc\OneDrive\Documentos\MALENTIN KARIME\BANCO CREDITO\FER LORCA en ROSITA (Rosita)\ANA LUISA TODO\PROTOCOLIZA\2008\FONDO SOLIDARIO\MARIA VALLEJOS A CLAUDIO OLIVARES.doc", "Abrir Documento")</f>
        <v>0</v>
      </c>
      <c r="D22881" t="s">
        <v>23500</v>
      </c>
      <c r="E22881" t="s">
        <v>45226</v>
      </c>
    </row>
    <row r="22882" spans="1:5">
      <c r="A22882" t="s">
        <v>6</v>
      </c>
      <c r="B22882" t="s">
        <v>22887</v>
      </c>
      <c r="C22882">
        <f>HYPERLINK("C:\Users\franc\OneDrive\Documentos\MALENTIN KARIME\BANCO CREDITO\FER LORCA en ROSITA (Rosita)\ANA LUISA TODO\PROTOCOLIZA\2008\FONDO SOLIDARIO\LUIS JAIME A SANDRA ANDRADE.doc", "Abrir Documento")</f>
        <v>0</v>
      </c>
      <c r="D22882" t="s">
        <v>23500</v>
      </c>
      <c r="E22882" t="s">
        <v>45227</v>
      </c>
    </row>
    <row r="22883" spans="1:5">
      <c r="A22883" t="s">
        <v>6</v>
      </c>
      <c r="B22883" t="s">
        <v>22888</v>
      </c>
      <c r="C22883">
        <f>HYPERLINK("C:\Users\franc\OneDrive\Documentos\MALENTIN KARIME\BANCO CREDITO\FER LORCA en ROSITA (Rosita)\ANA LUISA TODO\PROTOCOLIZA\2008\FONDO SOLIDARIO\JULIA CASTRO A LUCY CONTRERAS.doc", "Abrir Documento")</f>
        <v>0</v>
      </c>
      <c r="D22883" t="s">
        <v>23500</v>
      </c>
      <c r="E22883" t="s">
        <v>45228</v>
      </c>
    </row>
    <row r="22884" spans="1:5">
      <c r="A22884" t="s">
        <v>6</v>
      </c>
      <c r="B22884" t="s">
        <v>22889</v>
      </c>
      <c r="C22884">
        <f>HYPERLINK("C:\Users\franc\OneDrive\Documentos\MALENTIN KARIME\BANCO CREDITO\FER LORCA en ROSITA (Rosita)\ANA LUISA TODO\PROTOCOLIZA\2008\FONDO SOLIDARIO\firma 2.doc", "Abrir Documento")</f>
        <v>0</v>
      </c>
      <c r="D22884" t="s">
        <v>23500</v>
      </c>
      <c r="E22884" t="s">
        <v>45229</v>
      </c>
    </row>
    <row r="22885" spans="1:5">
      <c r="A22885" t="s">
        <v>6</v>
      </c>
      <c r="B22885" t="s">
        <v>22890</v>
      </c>
      <c r="C22885">
        <f>HYPERLINK("C:\Users\franc\OneDrive\Documentos\MALENTIN KARIME\BANCO CREDITO\FER LORCA en ROSITA (Rosita)\ANA LUISA TODO\PROTOCOLIZA\2008\SOLANGE MALDONADO.doc", "Abrir Documento")</f>
        <v>0</v>
      </c>
      <c r="D22885" t="s">
        <v>23500</v>
      </c>
      <c r="E22885" t="s">
        <v>45230</v>
      </c>
    </row>
    <row r="22886" spans="1:5">
      <c r="A22886" t="s">
        <v>6</v>
      </c>
      <c r="B22886" t="s">
        <v>22891</v>
      </c>
      <c r="C22886">
        <f>HYPERLINK("C:\Users\franc\OneDrive\Documentos\MALENTIN KARIME\BANCO CREDITO\FER LORCA en ROSITA (Rosita)\ANA LUISA TODO\PROTOCOLIZA\2008\SOC. VERANEO PACIFICO.doc", "Abrir Documento")</f>
        <v>0</v>
      </c>
      <c r="D22886" t="s">
        <v>23500</v>
      </c>
      <c r="E22886" t="s">
        <v>45231</v>
      </c>
    </row>
    <row r="22887" spans="1:5">
      <c r="A22887" t="s">
        <v>6</v>
      </c>
      <c r="B22887" t="s">
        <v>22892</v>
      </c>
      <c r="C22887">
        <f>HYPERLINK("C:\Users\franc\OneDrive\Documentos\MALENTIN KARIME\BANCO CREDITO\FER LORCA en ROSITA (Rosita)\ANA LUISA TODO\PROTOCOLIZA\2008\SOC. TECNOCITRUS (CARLOS BUGUEÑO).doc", "Abrir Documento")</f>
        <v>0</v>
      </c>
      <c r="D22887" t="s">
        <v>23500</v>
      </c>
      <c r="E22887" t="s">
        <v>45232</v>
      </c>
    </row>
    <row r="22888" spans="1:5">
      <c r="A22888" t="s">
        <v>6</v>
      </c>
      <c r="B22888" t="s">
        <v>22893</v>
      </c>
      <c r="C22888">
        <f>HYPERLINK("C:\Users\franc\OneDrive\Documentos\MALENTIN KARIME\BANCO CREDITO\FER LORCA en ROSITA (Rosita)\ANA LUISA TODO\PROTOCOLIZA\2008\SOC. CARRIZAL (LINO HERNANDEZ).doc", "Abrir Documento")</f>
        <v>0</v>
      </c>
      <c r="D22888" t="s">
        <v>23500</v>
      </c>
      <c r="E22888" t="s">
        <v>45233</v>
      </c>
    </row>
    <row r="22889" spans="1:5">
      <c r="A22889" t="s">
        <v>6</v>
      </c>
      <c r="B22889" t="s">
        <v>22894</v>
      </c>
      <c r="C22889">
        <f>HYPERLINK("C:\Users\franc\OneDrive\Documentos\MALENTIN KARIME\BANCO CREDITO\FER LORCA en ROSITA (Rosita)\ANA LUISA TODO\PROTOCOLIZA\2008\SOC. CARACHILLA.doc", "Abrir Documento")</f>
        <v>0</v>
      </c>
      <c r="D22889" t="s">
        <v>23500</v>
      </c>
      <c r="E22889" t="s">
        <v>45234</v>
      </c>
    </row>
    <row r="22890" spans="1:5">
      <c r="A22890" t="s">
        <v>6</v>
      </c>
      <c r="B22890" t="s">
        <v>22895</v>
      </c>
      <c r="C22890">
        <f>HYPERLINK("C:\Users\franc\OneDrive\Documentos\MALENTIN KARIME\BANCO CREDITO\FER LORCA en ROSITA (Rosita)\ANA LUISA TODO\PROTOCOLIZA\2008\MAURICIO MARIN (RESOLUCION).doc", "Abrir Documento")</f>
        <v>0</v>
      </c>
      <c r="D22890" t="s">
        <v>23500</v>
      </c>
      <c r="E22890" t="s">
        <v>45235</v>
      </c>
    </row>
    <row r="22891" spans="1:5">
      <c r="A22891" t="s">
        <v>6</v>
      </c>
      <c r="B22891" t="s">
        <v>22896</v>
      </c>
      <c r="C22891">
        <f>HYPERLINK("C:\Users\franc\OneDrive\Documentos\MALENTIN KARIME\BANCO CREDITO\FER LORCA en ROSITA (Rosita)\ANA LUISA TODO\PROTOCOLIZA\2008\INVERSIONES LAS PALOMAS LIMTADA.doc", "Abrir Documento")</f>
        <v>0</v>
      </c>
      <c r="D22891" t="s">
        <v>23500</v>
      </c>
      <c r="E22891" t="s">
        <v>45236</v>
      </c>
    </row>
    <row r="22892" spans="1:5">
      <c r="A22892" t="s">
        <v>6</v>
      </c>
      <c r="B22892" t="s">
        <v>22897</v>
      </c>
      <c r="C22892">
        <f>HYPERLINK("C:\Users\franc\OneDrive\Documentos\MALENTIN KARIME\BANCO CREDITO\FER LORCA en ROSITA (Rosita)\ANA LUISA TODO\PROTOCOLIZA\2008\INPROCOL - I MUNICIPALIDAD OVALLE.doc", "Abrir Documento")</f>
        <v>0</v>
      </c>
      <c r="D22892" t="s">
        <v>23500</v>
      </c>
      <c r="E22892" t="s">
        <v>45237</v>
      </c>
    </row>
    <row r="22893" spans="1:5">
      <c r="A22893" t="s">
        <v>6</v>
      </c>
      <c r="B22893" t="s">
        <v>22898</v>
      </c>
      <c r="C22893">
        <f>HYPERLINK("C:\Users\franc\OneDrive\Documentos\MALENTIN KARIME\BANCO CREDITO\FER LORCA en ROSITA (Rosita)\ANA LUISA TODO\PROTOCOLIZA\2008\INMOBILIARIA JOFRE S.A..doc", "Abrir Documento")</f>
        <v>0</v>
      </c>
      <c r="D22893" t="s">
        <v>23500</v>
      </c>
      <c r="E22893" t="s">
        <v>45238</v>
      </c>
    </row>
    <row r="22894" spans="1:5">
      <c r="A22894" t="s">
        <v>6</v>
      </c>
      <c r="B22894" t="s">
        <v>22899</v>
      </c>
      <c r="C22894">
        <f>HYPERLINK("C:\Users\franc\OneDrive\Documentos\MALENTIN KARIME\BANCO CREDITO\FER LORCA en ROSITA (Rosita)\ANA LUISA TODO\PROTOCOLIZA\2008\CLUB DIABETICOS DON PANCHITO.doc", "Abrir Documento")</f>
        <v>0</v>
      </c>
      <c r="D22894" t="s">
        <v>23500</v>
      </c>
      <c r="E22894" t="s">
        <v>45239</v>
      </c>
    </row>
    <row r="22895" spans="1:5">
      <c r="A22895" t="s">
        <v>6</v>
      </c>
      <c r="B22895" t="s">
        <v>22900</v>
      </c>
      <c r="C22895">
        <f>HYPERLINK("C:\Users\franc\OneDrive\Documentos\MALENTIN KARIME\BANCO CREDITO\FER LORCA en ROSITA (Rosita)\ANA LUISA TODO\PROTOCOLIZA\2008\AUTORIZ. FIRMAS CVI 174 (PATRICIA).doc", "Abrir Documento")</f>
        <v>0</v>
      </c>
      <c r="D22895" t="s">
        <v>23500</v>
      </c>
      <c r="E22895" t="s">
        <v>45240</v>
      </c>
    </row>
    <row r="22896" spans="1:5">
      <c r="A22896" t="s">
        <v>6</v>
      </c>
      <c r="B22896" t="s">
        <v>22901</v>
      </c>
      <c r="C22896">
        <f>HYPERLINK("C:\Users\franc\OneDrive\Documentos\MALENTIN KARIME\BANCO CREDITO\FER LORCA en ROSITA (Rosita)\ANA LUISA TODO\PROTOCOLIZA\2008\AUTORIZ. FIRMAS CVI 174 (PATRICIA) 2.doc", "Abrir Documento")</f>
        <v>0</v>
      </c>
      <c r="D22896" t="s">
        <v>23500</v>
      </c>
      <c r="E22896" t="s">
        <v>45241</v>
      </c>
    </row>
    <row r="22897" spans="1:5">
      <c r="A22897" t="s">
        <v>6</v>
      </c>
      <c r="B22897" t="s">
        <v>22902</v>
      </c>
      <c r="C22897">
        <f>HYPERLINK("C:\Users\franc\OneDrive\Documentos\MALENTIN KARIME\BANCO CREDITO\FER LORCA en ROSITA (Rosita)\ANA LUISA TODO\PROTOCOLIZA\2008\ARRENDAMIENTO ERASMO CORTES A MARIO RIVERA.doc", "Abrir Documento")</f>
        <v>0</v>
      </c>
      <c r="D22897" t="s">
        <v>23500</v>
      </c>
      <c r="E22897" t="s">
        <v>45242</v>
      </c>
    </row>
    <row r="22898" spans="1:5">
      <c r="A22898" t="s">
        <v>6</v>
      </c>
      <c r="B22898" t="s">
        <v>22903</v>
      </c>
      <c r="C22898">
        <f>HYPERLINK("C:\Users\franc\OneDrive\Documentos\MALENTIN KARIME\BANCO CREDITO\FER LORCA en ROSITA (Rosita)\ANA LUISA TODO\PROTOCOLIZA\2008\ALCONES JUNTA GENERAL COMUNEROS.doc", "Abrir Documento")</f>
        <v>0</v>
      </c>
      <c r="D22898" t="s">
        <v>23500</v>
      </c>
      <c r="E22898" t="s">
        <v>45243</v>
      </c>
    </row>
    <row r="22899" spans="1:5">
      <c r="A22899" t="s">
        <v>6</v>
      </c>
      <c r="B22899" t="s">
        <v>22904</v>
      </c>
      <c r="C22899">
        <f>HYPERLINK("C:\Users\franc\OneDrive\Documentos\MALENTIN KARIME\BANCO CREDITO\FER LORCA en ROSITA (Rosita)\ANA LUISA TODO\PROTOCOLIZA\2008\ALCONES ELECCION DIRECTIVA.doc", "Abrir Documento")</f>
        <v>0</v>
      </c>
      <c r="D22899" t="s">
        <v>23500</v>
      </c>
      <c r="E22899" t="s">
        <v>45244</v>
      </c>
    </row>
    <row r="22900" spans="1:5">
      <c r="A22900" t="s">
        <v>6</v>
      </c>
      <c r="B22900" t="s">
        <v>22905</v>
      </c>
      <c r="C22900">
        <f>HYPERLINK("C:\Users\franc\OneDrive\Documentos\MALENTIN KARIME\BANCO CREDITO\FER LORCA en ROSITA (Rosita)\ANA LUISA TODO\PROTOCOLIZA\2007\TOMAS ROMAN ARAYA A COSME MORALES (Vehiculo).doc", "Abrir Documento")</f>
        <v>0</v>
      </c>
      <c r="D22900" t="s">
        <v>23500</v>
      </c>
      <c r="E22900" t="s">
        <v>45245</v>
      </c>
    </row>
    <row r="22901" spans="1:5">
      <c r="A22901" t="s">
        <v>6</v>
      </c>
      <c r="B22901" t="s">
        <v>22906</v>
      </c>
      <c r="C22901">
        <f>HYPERLINK("C:\Users\franc\OneDrive\Documentos\MALENTIN KARIME\BANCO CREDITO\FER LORCA en ROSITA (Rosita)\ANA LUISA TODO\PROTOCOLIZA\2007\ROSA GONZALEZ INVENTARIO.doc", "Abrir Documento")</f>
        <v>0</v>
      </c>
      <c r="D22901" t="s">
        <v>23500</v>
      </c>
      <c r="E22901" t="s">
        <v>45246</v>
      </c>
    </row>
    <row r="22902" spans="1:5">
      <c r="A22902" t="s">
        <v>6</v>
      </c>
      <c r="B22902" t="s">
        <v>22907</v>
      </c>
      <c r="C22902">
        <f>HYPERLINK("C:\Users\franc\OneDrive\Documentos\MALENTIN KARIME\BANCO CREDITO\FER LORCA en ROSITA (Rosita)\ANA LUISA TODO\PROTOCOLIZA\2007\E.I.R.L SERVICIOS AGRICOLA MARCOS ARANDA.doc", "Abrir Documento")</f>
        <v>0</v>
      </c>
      <c r="D22902" t="s">
        <v>23500</v>
      </c>
      <c r="E22902" t="s">
        <v>45247</v>
      </c>
    </row>
    <row r="22903" spans="1:5">
      <c r="A22903" t="s">
        <v>6</v>
      </c>
      <c r="B22903" t="s">
        <v>22908</v>
      </c>
      <c r="C22903">
        <f>HYPERLINK("C:\Users\franc\OneDrive\Documentos\MALENTIN KARIME\BANCO CREDITO\FER LORCA en ROSITA (Rosita)\ANA LUISA TODO\PROTOCOLIZA\2007\COMITE MI FUTURA CASITA.doc", "Abrir Documento")</f>
        <v>0</v>
      </c>
      <c r="D22903" t="s">
        <v>23500</v>
      </c>
      <c r="E22903" t="s">
        <v>45248</v>
      </c>
    </row>
    <row r="22904" spans="1:5">
      <c r="A22904" t="s">
        <v>6</v>
      </c>
      <c r="B22904" t="s">
        <v>22909</v>
      </c>
      <c r="C22904">
        <f>HYPERLINK("C:\Users\franc\OneDrive\Documentos\MALENTIN KARIME\BANCO CREDITO\FER LORCA en ROSITA (Rosita)\ANA LUISA TODO\PROTOCOLIZA\2007\Club DE SUBOFICIALES.doc", "Abrir Documento")</f>
        <v>0</v>
      </c>
      <c r="D22904" t="s">
        <v>23500</v>
      </c>
      <c r="E22904" t="s">
        <v>45249</v>
      </c>
    </row>
    <row r="22905" spans="1:5">
      <c r="A22905" t="s">
        <v>6</v>
      </c>
      <c r="B22905" t="s">
        <v>22910</v>
      </c>
      <c r="C22905">
        <f>HYPERLINK("C:\Users\franc\OneDrive\Documentos\MALENTIN KARIME\BANCO CREDITO\FER LORCA en ROSITA (Rosita)\ANA LUISA TODO\PROTOCOLIZA\2007\CIRCULO DE SUBOFICIALES.doc", "Abrir Documento")</f>
        <v>0</v>
      </c>
      <c r="D22905" t="s">
        <v>23500</v>
      </c>
      <c r="E22905" t="s">
        <v>45250</v>
      </c>
    </row>
    <row r="22906" spans="1:5">
      <c r="A22906" t="s">
        <v>6</v>
      </c>
      <c r="B22906" t="s">
        <v>22911</v>
      </c>
      <c r="C22906">
        <f>HYPERLINK("C:\Users\franc\OneDrive\Documentos\MALENTIN KARIME\BANCO CREDITO\FER LORCA en ROSITA (Rosita)\ANA LUISA TODO\PROTOCOLIZA\2007\AGRICOLA CHAÑARAL BAJO NORTE.doc", "Abrir Documento")</f>
        <v>0</v>
      </c>
      <c r="D22906" t="s">
        <v>23500</v>
      </c>
      <c r="E22906" t="s">
        <v>45251</v>
      </c>
    </row>
    <row r="22907" spans="1:5">
      <c r="A22907" t="s">
        <v>6</v>
      </c>
      <c r="B22907" t="s">
        <v>22912</v>
      </c>
      <c r="C22907">
        <f>HYPERLINK("C:\Users\franc\OneDrive\Documentos\MALENTIN KARIME\BANCO CREDITO\FER LORCA en ROSITA (Rosita)\ANA LUISA TODO\PROTOCOLIZA\2007\ANTONIO SABIONCELLO (PODER ESPECIAL).doc", "Abrir Documento")</f>
        <v>0</v>
      </c>
      <c r="D22907" t="s">
        <v>23500</v>
      </c>
      <c r="E22907" t="s">
        <v>45251</v>
      </c>
    </row>
    <row r="22908" spans="1:5">
      <c r="A22908" t="s">
        <v>6</v>
      </c>
      <c r="B22908" t="s">
        <v>22913</v>
      </c>
      <c r="C22908">
        <f>HYPERLINK("C:\Users\franc\OneDrive\Documentos\MALENTIN KARIME\BANCO CREDITO\FER LORCA en ROSITA (Rosita)\ANA LUISA TODO\PROTOCOLIZA\YACONI ACTA.doc", "Abrir Documento")</f>
        <v>0</v>
      </c>
      <c r="D22908" t="s">
        <v>23500</v>
      </c>
      <c r="E22908" t="s">
        <v>45252</v>
      </c>
    </row>
    <row r="22909" spans="1:5">
      <c r="A22909" t="s">
        <v>6</v>
      </c>
      <c r="B22909" t="s">
        <v>22914</v>
      </c>
      <c r="C22909">
        <f>HYPERLINK("C:\Users\franc\OneDrive\Documentos\MALENTIN KARIME\BANCO CREDITO\FER LORCA en ROSITA (Rosita)\ANA LUISA TODO\PROTOCOLIZA\WILLIGIS STEGMEIER  (MARCELO).doc", "Abrir Documento")</f>
        <v>0</v>
      </c>
      <c r="D22909" t="s">
        <v>23500</v>
      </c>
      <c r="E22909" t="s">
        <v>45253</v>
      </c>
    </row>
    <row r="22910" spans="1:5">
      <c r="A22910" t="s">
        <v>6</v>
      </c>
      <c r="B22910" t="s">
        <v>22915</v>
      </c>
      <c r="C22910">
        <f>HYPERLINK("C:\Users\franc\OneDrive\Documentos\MALENTIN KARIME\BANCO CREDITO\FER LORCA en ROSITA (Rosita)\ANA LUISA TODO\PROTOCOLIZA\SOCIEDAD VERANEO PACIFICO.doc", "Abrir Documento")</f>
        <v>0</v>
      </c>
      <c r="D22910" t="s">
        <v>23500</v>
      </c>
      <c r="E22910" t="s">
        <v>45254</v>
      </c>
    </row>
    <row r="22911" spans="1:5">
      <c r="A22911" t="s">
        <v>6</v>
      </c>
      <c r="B22911" t="s">
        <v>22916</v>
      </c>
      <c r="C22911">
        <f>HYPERLINK("C:\Users\franc\OneDrive\Documentos\MALENTIN KARIME\BANCO CREDITO\FER LORCA en ROSITA (Rosita)\ANA LUISA TODO\PROTOCOLIZA\SOC. SIGLO XXI (Juan Robles 20-07-2007.doc", "Abrir Documento")</f>
        <v>0</v>
      </c>
      <c r="D22911" t="s">
        <v>23500</v>
      </c>
      <c r="E22911" t="s">
        <v>45255</v>
      </c>
    </row>
    <row r="22912" spans="1:5">
      <c r="A22912" t="s">
        <v>6</v>
      </c>
      <c r="B22912" t="s">
        <v>22917</v>
      </c>
      <c r="C22912">
        <f>HYPERLINK("C:\Users\franc\OneDrive\Documentos\MALENTIN KARIME\BANCO CREDITO\FER LORCA en ROSITA (Rosita)\ANA LUISA TODO\PROTOCOLIZA\SATURNINO OSSANDON (INV. ).doc", "Abrir Documento")</f>
        <v>0</v>
      </c>
      <c r="D22912" t="s">
        <v>23500</v>
      </c>
      <c r="E22912" t="s">
        <v>45256</v>
      </c>
    </row>
    <row r="22913" spans="1:5">
      <c r="A22913" t="s">
        <v>6</v>
      </c>
      <c r="B22913" t="s">
        <v>22918</v>
      </c>
      <c r="C22913">
        <f>HYPERLINK("C:\Users\franc\OneDrive\Documentos\MALENTIN KARIME\BANCO CREDITO\FER LORCA en ROSITA (Rosita)\ANA LUISA TODO\PROTOCOLIZA\PROTOCO. CLAUDIO ARDILES NOTARIO SUPLENTE.doc", "Abrir Documento")</f>
        <v>0</v>
      </c>
      <c r="D22913" t="s">
        <v>23500</v>
      </c>
      <c r="E22913" t="s">
        <v>45257</v>
      </c>
    </row>
    <row r="22914" spans="1:5">
      <c r="A22914" t="s">
        <v>6</v>
      </c>
      <c r="B22914" t="s">
        <v>22919</v>
      </c>
      <c r="C22914">
        <f>HYPERLINK("C:\Users\franc\OneDrive\Documentos\MALENTIN KARIME\BANCO CREDITO\FER LORCA en ROSITA (Rosita)\ANA LUISA TODO\PROTOCOLIZA\PROTOC. NOMBRAMIENTO ADOLFO LAY.doc", "Abrir Documento")</f>
        <v>0</v>
      </c>
      <c r="D22914" t="s">
        <v>23500</v>
      </c>
      <c r="E22914" t="s">
        <v>45258</v>
      </c>
    </row>
    <row r="22915" spans="1:5">
      <c r="A22915" t="s">
        <v>6</v>
      </c>
      <c r="B22915" t="s">
        <v>22920</v>
      </c>
      <c r="C22915">
        <f>HYPERLINK("C:\Users\franc\OneDrive\Documentos\MALENTIN KARIME\BANCO CREDITO\FER LORCA en ROSITA (Rosita)\ANA LUISA TODO\PROTOCOLIZA\PROTO. NOMB. NOTARIO MARIA MEDINA 1.doc", "Abrir Documento")</f>
        <v>0</v>
      </c>
      <c r="D22915" t="s">
        <v>23500</v>
      </c>
      <c r="E22915" t="s">
        <v>45259</v>
      </c>
    </row>
    <row r="22916" spans="1:5">
      <c r="A22916" t="s">
        <v>6</v>
      </c>
      <c r="B22916" t="s">
        <v>22921</v>
      </c>
      <c r="C22916">
        <f>HYPERLINK("C:\Users\franc\OneDrive\Documentos\MALENTIN KARIME\BANCO CREDITO\FER LORCA en ROSITA (Rosita)\ANA LUISA TODO\PROTOCOLIZA\PROTO. NOMB. NOTARIO MALIO METTIFOGO.doc", "Abrir Documento")</f>
        <v>0</v>
      </c>
      <c r="D22916" t="s">
        <v>23500</v>
      </c>
      <c r="E22916" t="s">
        <v>45260</v>
      </c>
    </row>
    <row r="22917" spans="1:5">
      <c r="A22917" t="s">
        <v>6</v>
      </c>
      <c r="B22917" t="s">
        <v>22922</v>
      </c>
      <c r="C22917">
        <f>HYPERLINK("C:\Users\franc\OneDrive\Documentos\MALENTIN KARIME\BANCO CREDITO\FER LORCA en ROSITA (Rosita)\ANA LUISA TODO\PROTOCOLIZA\PROTO. NOMB. NOTARIO GIOVANNA DOSSI.doc", "Abrir Documento")</f>
        <v>0</v>
      </c>
      <c r="D22917" t="s">
        <v>23500</v>
      </c>
      <c r="E22917" t="s">
        <v>45261</v>
      </c>
    </row>
    <row r="22918" spans="1:5">
      <c r="A22918" t="s">
        <v>6</v>
      </c>
      <c r="B22918" t="s">
        <v>22923</v>
      </c>
      <c r="C22918">
        <f>HYPERLINK("C:\Users\franc\OneDrive\Documentos\MALENTIN KARIME\BANCO CREDITO\FER LORCA en ROSITA (Rosita)\ANA LUISA TODO\PROTOCOLIZA\PROTO. NOMB. NOTARIO GIOVANNA DOSSI 3.doc", "Abrir Documento")</f>
        <v>0</v>
      </c>
      <c r="D22918" t="s">
        <v>23500</v>
      </c>
      <c r="E22918" t="s">
        <v>45262</v>
      </c>
    </row>
    <row r="22919" spans="1:5">
      <c r="A22919" t="s">
        <v>6</v>
      </c>
      <c r="B22919" t="s">
        <v>22924</v>
      </c>
      <c r="C22919">
        <f>HYPERLINK("C:\Users\franc\OneDrive\Documentos\MALENTIN KARIME\BANCO CREDITO\FER LORCA en ROSITA (Rosita)\ANA LUISA TODO\PROTOCOLIZA\PROTO. NOMB. NOTARIO GIOVANNA DOSSI 2.doc", "Abrir Documento")</f>
        <v>0</v>
      </c>
      <c r="D22919" t="s">
        <v>23500</v>
      </c>
      <c r="E22919" t="s">
        <v>45263</v>
      </c>
    </row>
    <row r="22920" spans="1:5">
      <c r="A22920" t="s">
        <v>6</v>
      </c>
      <c r="B22920" t="s">
        <v>22925</v>
      </c>
      <c r="C22920">
        <f>HYPERLINK("C:\Users\franc\OneDrive\Documentos\MALENTIN KARIME\BANCO CREDITO\FER LORCA en ROSITA (Rosita)\ANA LUISA TODO\PROTOCOLIZA\prohibicion serviu formulario.doc", "Abrir Documento")</f>
        <v>0</v>
      </c>
      <c r="D22920" t="s">
        <v>23500</v>
      </c>
      <c r="E22920" t="s">
        <v>45264</v>
      </c>
    </row>
    <row r="22921" spans="1:5">
      <c r="A22921" t="s">
        <v>6</v>
      </c>
      <c r="B22921" t="s">
        <v>22926</v>
      </c>
      <c r="C22921">
        <f>HYPERLINK("C:\Users\franc\OneDrive\Documentos\MALENTIN KARIME\BANCO CREDITO\FER LORCA en ROSITA (Rosita)\ANA LUISA TODO\PROTOCOLIZA\PATRICIO JORQUERA.doc", "Abrir Documento")</f>
        <v>0</v>
      </c>
      <c r="D22921" t="s">
        <v>23500</v>
      </c>
      <c r="E22921" t="s">
        <v>45265</v>
      </c>
    </row>
    <row r="22922" spans="1:5">
      <c r="A22922" t="s">
        <v>6</v>
      </c>
      <c r="B22922" t="s">
        <v>22927</v>
      </c>
      <c r="C22922">
        <f>HYPERLINK("C:\Users\franc\OneDrive\Documentos\MALENTIN KARIME\BANCO CREDITO\FER LORCA en ROSITA (Rosita)\ANA LUISA TODO\PROTOCOLIZA\PATRICIA ROJAS (INVENTARIO).doc", "Abrir Documento")</f>
        <v>0</v>
      </c>
      <c r="D22922" t="s">
        <v>23500</v>
      </c>
      <c r="E22922" t="s">
        <v>45266</v>
      </c>
    </row>
    <row r="22923" spans="1:5">
      <c r="A22923" t="s">
        <v>6</v>
      </c>
      <c r="B22923" t="s">
        <v>22928</v>
      </c>
      <c r="C22923">
        <f>HYPERLINK("C:\Users\franc\OneDrive\Documentos\MALENTIN KARIME\BANCO CREDITO\FER LORCA en ROSITA (Rosita)\ANA LUISA TODO\PROTOCOLIZA\PASCUALA ARANCIBIA (RECTIFICACION INVENT).doc", "Abrir Documento")</f>
        <v>0</v>
      </c>
      <c r="D22923" t="s">
        <v>23500</v>
      </c>
      <c r="E22923" t="s">
        <v>45267</v>
      </c>
    </row>
    <row r="22924" spans="1:5">
      <c r="A22924" t="s">
        <v>6</v>
      </c>
      <c r="B22924" t="s">
        <v>22929</v>
      </c>
      <c r="C22924">
        <f>HYPERLINK("C:\Users\franc\OneDrive\Documentos\MALENTIN KARIME\BANCO CREDITO\FER LORCA en ROSITA (Rosita)\ANA LUISA TODO\PROTOCOLIZA\MIGUEL TAPIA.doc", "Abrir Documento")</f>
        <v>0</v>
      </c>
      <c r="D22924" t="s">
        <v>23500</v>
      </c>
      <c r="E22924" t="s">
        <v>45268</v>
      </c>
    </row>
    <row r="22925" spans="1:5">
      <c r="A22925" t="s">
        <v>6</v>
      </c>
      <c r="B22925" t="s">
        <v>22930</v>
      </c>
      <c r="C22925">
        <f>HYPERLINK("C:\Users\franc\OneDrive\Documentos\MALENTIN KARIME\BANCO CREDITO\FER LORCA en ROSITA (Rosita)\ANA LUISA TODO\PROTOCOLIZA\LIMARI TRADING S..A.doc", "Abrir Documento")</f>
        <v>0</v>
      </c>
      <c r="D22925" t="s">
        <v>23500</v>
      </c>
      <c r="E22925" t="s">
        <v>45269</v>
      </c>
    </row>
    <row r="22926" spans="1:5">
      <c r="A22926" t="s">
        <v>6</v>
      </c>
      <c r="B22926" t="s">
        <v>22931</v>
      </c>
      <c r="C22926">
        <f>HYPERLINK("C:\Users\franc\OneDrive\Documentos\MALENTIN KARIME\BANCO CREDITO\FER LORCA en ROSITA (Rosita)\ANA LUISA TODO\PROTOCOLIZA\JUVENAL GALINDO     2 (INDAP).doc", "Abrir Documento")</f>
        <v>0</v>
      </c>
      <c r="D22926" t="s">
        <v>23500</v>
      </c>
      <c r="E22926" t="s">
        <v>45270</v>
      </c>
    </row>
    <row r="22927" spans="1:5">
      <c r="A22927" t="s">
        <v>6</v>
      </c>
      <c r="B22927" t="s">
        <v>22932</v>
      </c>
      <c r="C22927">
        <f>HYPERLINK("C:\Users\franc\OneDrive\Documentos\MALENTIN KARIME\BANCO CREDITO\FER LORCA en ROSITA (Rosita)\ANA LUISA TODO\PROTOCOLIZA\JUVENAL GALINDO (INDAP).doc", "Abrir Documento")</f>
        <v>0</v>
      </c>
      <c r="D22927" t="s">
        <v>23500</v>
      </c>
      <c r="E22927" t="s">
        <v>45270</v>
      </c>
    </row>
    <row r="22928" spans="1:5">
      <c r="A22928" t="s">
        <v>6</v>
      </c>
      <c r="B22928" t="s">
        <v>22933</v>
      </c>
      <c r="C22928">
        <f>HYPERLINK("C:\Users\franc\OneDrive\Documentos\MALENTIN KARIME\BANCO CREDITO\FER LORCA en ROSITA (Rosita)\ANA LUISA TODO\PROTOCOLIZA\JOSE JIMENEZ (INVENTARIO).doc", "Abrir Documento")</f>
        <v>0</v>
      </c>
      <c r="D22928" t="s">
        <v>23500</v>
      </c>
      <c r="E22928" t="s">
        <v>45271</v>
      </c>
    </row>
    <row r="22929" spans="1:5">
      <c r="A22929" t="s">
        <v>6</v>
      </c>
      <c r="B22929" t="s">
        <v>22934</v>
      </c>
      <c r="C22929">
        <f>HYPERLINK("C:\Users\franc\OneDrive\Documentos\MALENTIN KARIME\BANCO CREDITO\FER LORCA en ROSITA (Rosita)\ANA LUISA TODO\PROTOCOLIZA\JUAN CARLOS.doc", "Abrir Documento")</f>
        <v>0</v>
      </c>
      <c r="D22929" t="s">
        <v>23500</v>
      </c>
      <c r="E22929" t="s">
        <v>45271</v>
      </c>
    </row>
    <row r="22930" spans="1:5">
      <c r="A22930" t="s">
        <v>6</v>
      </c>
      <c r="B22930" t="s">
        <v>22935</v>
      </c>
      <c r="C22930">
        <f>HYPERLINK("C:\Users\franc\OneDrive\Documentos\MALENTIN KARIME\BANCO CREDITO\FER LORCA en ROSITA (Rosita)\ANA LUISA TODO\PROTOCOLIZA\JOSE JIMENEZ ( SEGUNDO INVENTARIO).doc", "Abrir Documento")</f>
        <v>0</v>
      </c>
      <c r="D22930" t="s">
        <v>23500</v>
      </c>
      <c r="E22930" t="s">
        <v>45272</v>
      </c>
    </row>
    <row r="22931" spans="1:5">
      <c r="A22931" t="s">
        <v>6</v>
      </c>
      <c r="B22931" t="s">
        <v>22936</v>
      </c>
      <c r="C22931">
        <f>HYPERLINK("C:\Users\franc\OneDrive\Documentos\MALENTIN KARIME\BANCO CREDITO\FER LORCA en ROSITA (Rosita)\ANA LUISA TODO\PROTOCOLIZA\inventario Miguel Toledo Diaz.doc", "Abrir Documento")</f>
        <v>0</v>
      </c>
      <c r="D22931" t="s">
        <v>23500</v>
      </c>
      <c r="E22931" t="s">
        <v>45273</v>
      </c>
    </row>
    <row r="22932" spans="1:5">
      <c r="A22932" t="s">
        <v>6</v>
      </c>
      <c r="B22932" t="s">
        <v>22937</v>
      </c>
      <c r="C22932">
        <f>HYPERLINK("C:\Users\franc\OneDrive\Documentos\MALENTIN KARIME\BANCO CREDITO\FER LORCA en ROSITA (Rosita)\ANA LUISA TODO\PROTOCOLIZA\INVENTARIO PIZARRO ZEBALLOS.doc", "Abrir Documento")</f>
        <v>0</v>
      </c>
      <c r="D22932" t="s">
        <v>23500</v>
      </c>
      <c r="E22932" t="s">
        <v>45273</v>
      </c>
    </row>
    <row r="22933" spans="1:5">
      <c r="A22933" t="s">
        <v>6</v>
      </c>
      <c r="B22933" t="s">
        <v>22938</v>
      </c>
      <c r="C22933">
        <f>HYPERLINK("C:\Users\franc\OneDrive\Documentos\MALENTIN KARIME\BANCO CREDITO\FER LORCA en ROSITA (Rosita)\ANA LUISA TODO\PROTOCOLIZA\INVENT. MARIA PIZARRO (CORPORACION).doc", "Abrir Documento")</f>
        <v>0</v>
      </c>
      <c r="D22933" t="s">
        <v>23500</v>
      </c>
      <c r="E22933" t="s">
        <v>45274</v>
      </c>
    </row>
    <row r="22934" spans="1:5">
      <c r="A22934" t="s">
        <v>6</v>
      </c>
      <c r="B22934" t="s">
        <v>22939</v>
      </c>
      <c r="C22934">
        <f>HYPERLINK("C:\Users\franc\OneDrive\Documentos\MALENTIN KARIME\BANCO CREDITO\FER LORCA en ROSITA (Rosita)\ANA LUISA TODO\PROTOCOLIZA\Inventario Marcia Pizarro.doc", "Abrir Documento")</f>
        <v>0</v>
      </c>
      <c r="D22934" t="s">
        <v>23500</v>
      </c>
      <c r="E22934" t="s">
        <v>45274</v>
      </c>
    </row>
    <row r="22935" spans="1:5">
      <c r="A22935" t="s">
        <v>6</v>
      </c>
      <c r="B22935" t="s">
        <v>22940</v>
      </c>
      <c r="C22935">
        <f>HYPERLINK("C:\Users\franc\OneDrive\Documentos\MALENTIN KARIME\BANCO CREDITO\FER LORCA en ROSITA (Rosita)\ANA LUISA TODO\PROTOCOLIZA\INVENT. CONCEPCION MARTINEZ (DON GONZALO).doc", "Abrir Documento")</f>
        <v>0</v>
      </c>
      <c r="D22935" t="s">
        <v>23500</v>
      </c>
      <c r="E22935" t="s">
        <v>45275</v>
      </c>
    </row>
    <row r="22936" spans="1:5">
      <c r="A22936" t="s">
        <v>6</v>
      </c>
      <c r="B22936" t="s">
        <v>22941</v>
      </c>
      <c r="C22936">
        <f>HYPERLINK("C:\Users\franc\OneDrive\Documentos\MALENTIN KARIME\BANCO CREDITO\FER LORCA en ROSITA (Rosita)\ANA LUISA TODO\PROTOCOLIZA\INVEGON PROT. SOC.doc", "Abrir Documento")</f>
        <v>0</v>
      </c>
      <c r="D22936" t="s">
        <v>23500</v>
      </c>
      <c r="E22936" t="s">
        <v>45276</v>
      </c>
    </row>
    <row r="22937" spans="1:5">
      <c r="A22937" t="s">
        <v>6</v>
      </c>
      <c r="B22937" t="s">
        <v>22942</v>
      </c>
      <c r="C22937">
        <f>HYPERLINK("C:\Users\franc\OneDrive\Documentos\MALENTIN KARIME\BANCO CREDITO\FER LORCA en ROSITA (Rosita)\ANA LUISA TODO\PROTOCOLIZA\IMARI.doc", "Abrir Documento")</f>
        <v>0</v>
      </c>
      <c r="D22937" t="s">
        <v>23500</v>
      </c>
      <c r="E22937" t="s">
        <v>45277</v>
      </c>
    </row>
    <row r="22938" spans="1:5">
      <c r="A22938" t="s">
        <v>6</v>
      </c>
      <c r="B22938" t="s">
        <v>22943</v>
      </c>
      <c r="C22938">
        <f>HYPERLINK("C:\Users\franc\OneDrive\Documentos\MALENTIN KARIME\BANCO CREDITO\FER LORCA en ROSITA (Rosita)\ANA LUISA TODO\PROTOCOLIZA\HOJA ANEXA.doc", "Abrir Documento")</f>
        <v>0</v>
      </c>
      <c r="D22938" t="s">
        <v>23500</v>
      </c>
      <c r="E22938" t="s">
        <v>45278</v>
      </c>
    </row>
    <row r="22939" spans="1:5">
      <c r="A22939" t="s">
        <v>6</v>
      </c>
      <c r="B22939" t="s">
        <v>22944</v>
      </c>
      <c r="C22939">
        <f>HYPERLINK("C:\Users\franc\OneDrive\Documentos\MALENTIN KARIME\BANCO CREDITO\FER LORCA en ROSITA (Rosita)\ANA LUISA TODO\PROTOCOLIZA\HUGO DE LA RIVERA.doc", "Abrir Documento")</f>
        <v>0</v>
      </c>
      <c r="D22939" t="s">
        <v>23500</v>
      </c>
      <c r="E22939" t="s">
        <v>45278</v>
      </c>
    </row>
    <row r="22940" spans="1:5">
      <c r="A22940" t="s">
        <v>6</v>
      </c>
      <c r="B22940" t="s">
        <v>22945</v>
      </c>
      <c r="C22940">
        <f>HYPERLINK("C:\Users\franc\OneDrive\Documentos\MALENTIN KARIME\BANCO CREDITO\FER LORCA en ROSITA (Rosita)\ANA LUISA TODO\PROTOCOLIZA\GOTA DE LECHE.doc", "Abrir Documento")</f>
        <v>0</v>
      </c>
      <c r="D22940" t="s">
        <v>23500</v>
      </c>
      <c r="E22940" t="s">
        <v>45279</v>
      </c>
    </row>
    <row r="22941" spans="1:5">
      <c r="A22941" t="s">
        <v>6</v>
      </c>
      <c r="B22941" t="s">
        <v>22946</v>
      </c>
      <c r="C22941">
        <f>HYPERLINK("C:\Users\franc\OneDrive\Documentos\MALENTIN KARIME\BANCO CREDITO\FER LORCA en ROSITA (Rosita)\ANA LUISA TODO\PROTOCOLIZA\GONART LIMITADA.doc", "Abrir Documento")</f>
        <v>0</v>
      </c>
      <c r="D22941" t="s">
        <v>23500</v>
      </c>
      <c r="E22941" t="s">
        <v>45280</v>
      </c>
    </row>
    <row r="22942" spans="1:5">
      <c r="A22942" t="s">
        <v>6</v>
      </c>
      <c r="B22942" t="s">
        <v>22947</v>
      </c>
      <c r="C22942">
        <f>HYPERLINK("C:\Users\franc\OneDrive\Documentos\MALENTIN KARIME\BANCO CREDITO\FER LORCA en ROSITA (Rosita)\ANA LUISA TODO\PROTOCOLIZA\FIN PROTOCOLIZADO.doc", "Abrir Documento")</f>
        <v>0</v>
      </c>
      <c r="D22942" t="s">
        <v>23500</v>
      </c>
      <c r="E22942" t="s">
        <v>45281</v>
      </c>
    </row>
    <row r="22943" spans="1:5">
      <c r="A22943" t="s">
        <v>6</v>
      </c>
      <c r="B22943" t="s">
        <v>22948</v>
      </c>
      <c r="C22943">
        <f>HYPERLINK("C:\Users\franc\OneDrive\Documentos\MALENTIN KARIME\BANCO CREDITO\FER LORCA en ROSITA (Rosita)\ANA LUISA TODO\PROTOCOLIZA\GONAGRO PROT SOC.doc", "Abrir Documento")</f>
        <v>0</v>
      </c>
      <c r="D22943" t="s">
        <v>23500</v>
      </c>
      <c r="E22943" t="s">
        <v>45281</v>
      </c>
    </row>
    <row r="22944" spans="1:5">
      <c r="A22944" t="s">
        <v>6</v>
      </c>
      <c r="B22944" t="s">
        <v>22949</v>
      </c>
      <c r="C22944">
        <f>HYPERLINK("C:\Users\franc\OneDrive\Documentos\MALENTIN KARIME\BANCO CREDITO\FER LORCA en ROSITA (Rosita)\ANA LUISA TODO\PROTOCOLIZA\FERNANDO PEÑAFIEL  DECLARACION PATRIMONIO.doc", "Abrir Documento")</f>
        <v>0</v>
      </c>
      <c r="D22944" t="s">
        <v>23500</v>
      </c>
      <c r="E22944" t="s">
        <v>45282</v>
      </c>
    </row>
    <row r="22945" spans="1:5">
      <c r="A22945" t="s">
        <v>6</v>
      </c>
      <c r="B22945" t="s">
        <v>22950</v>
      </c>
      <c r="C22945">
        <f>HYPERLINK("C:\Users\franc\OneDrive\Documentos\MALENTIN KARIME\BANCO CREDITO\FER LORCA en ROSITA (Rosita)\ANA LUISA TODO\PROTOCOLIZA\EDMUNDO ARAYA (INDAP).doc", "Abrir Documento")</f>
        <v>0</v>
      </c>
      <c r="D22945" t="s">
        <v>23500</v>
      </c>
      <c r="E22945" t="s">
        <v>45283</v>
      </c>
    </row>
    <row r="22946" spans="1:5">
      <c r="A22946" t="s">
        <v>6</v>
      </c>
      <c r="B22946" t="s">
        <v>22951</v>
      </c>
      <c r="C22946">
        <f>HYPERLINK("C:\Users\franc\OneDrive\Documentos\MALENTIN KARIME\BANCO CREDITO\FER LORCA en ROSITA (Rosita)\ANA LUISA TODO\PROTOCOLIZA\FALLECIMIENTO JOSE JIMENEZ HEREDIA.doc", "Abrir Documento")</f>
        <v>0</v>
      </c>
      <c r="D22946" t="s">
        <v>23500</v>
      </c>
      <c r="E22946" t="s">
        <v>45283</v>
      </c>
    </row>
    <row r="22947" spans="1:5">
      <c r="A22947" t="s">
        <v>6</v>
      </c>
      <c r="B22947" t="s">
        <v>22952</v>
      </c>
      <c r="C22947">
        <f>HYPERLINK("C:\Users\franc\OneDrive\Documentos\MALENTIN KARIME\BANCO CREDITO\FER LORCA en ROSITA (Rosita)\ANA LUISA TODO\PROTOCOLIZA\DECLARACION MARCELO BUSTOS.doc", "Abrir Documento")</f>
        <v>0</v>
      </c>
      <c r="D22947" t="s">
        <v>23500</v>
      </c>
      <c r="E22947" t="s">
        <v>45284</v>
      </c>
    </row>
    <row r="22948" spans="1:5">
      <c r="A22948" t="s">
        <v>6</v>
      </c>
      <c r="B22948" t="s">
        <v>22953</v>
      </c>
      <c r="C22948">
        <f>HYPERLINK("C:\Users\franc\OneDrive\Documentos\MALENTIN KARIME\BANCO CREDITO\FER LORCA en ROSITA (Rosita)\ANA LUISA TODO\PROTOCOLIZA\CUARTEL GENERAL BOMBEROS.doc", "Abrir Documento")</f>
        <v>0</v>
      </c>
      <c r="D22948" t="s">
        <v>23500</v>
      </c>
      <c r="E22948" t="s">
        <v>45285</v>
      </c>
    </row>
    <row r="22949" spans="1:5">
      <c r="A22949" t="s">
        <v>6</v>
      </c>
      <c r="B22949" t="s">
        <v>22954</v>
      </c>
      <c r="C22949">
        <f>HYPERLINK("C:\Users\franc\OneDrive\Documentos\MALENTIN KARIME\BANCO CREDITO\FER LORCA en ROSITA (Rosita)\ANA LUISA TODO\PROTOCOLIZA\DAVID AMABLE NAVEA (AMPLIACION INVENT).doc", "Abrir Documento")</f>
        <v>0</v>
      </c>
      <c r="D22949" t="s">
        <v>23500</v>
      </c>
      <c r="E22949" t="s">
        <v>45285</v>
      </c>
    </row>
    <row r="22950" spans="1:5">
      <c r="A22950" t="s">
        <v>6</v>
      </c>
      <c r="B22950" t="s">
        <v>22955</v>
      </c>
      <c r="C22950">
        <f>HYPERLINK("C:\Users\franc\OneDrive\Documentos\MALENTIN KARIME\BANCO CREDITO\FER LORCA en ROSITA (Rosita)\ANA LUISA TODO\PROTOCOLIZA\CRUZ COLORADA.doc", "Abrir Documento")</f>
        <v>0</v>
      </c>
      <c r="D22950" t="s">
        <v>23500</v>
      </c>
      <c r="E22950" t="s">
        <v>45286</v>
      </c>
    </row>
    <row r="22951" spans="1:5">
      <c r="A22951" t="s">
        <v>6</v>
      </c>
      <c r="B22951" t="s">
        <v>22956</v>
      </c>
      <c r="C22951">
        <f>HYPERLINK("C:\Users\franc\OneDrive\Documentos\MALENTIN KARIME\BANCO CREDITO\FER LORCA en ROSITA (Rosita)\ANA LUISA TODO\PROTOCOLIZA\copia prot.doc", "Abrir Documento")</f>
        <v>0</v>
      </c>
      <c r="D22951" t="s">
        <v>23500</v>
      </c>
      <c r="E22951" t="s">
        <v>45287</v>
      </c>
    </row>
    <row r="22952" spans="1:5">
      <c r="A22952" t="s">
        <v>6</v>
      </c>
      <c r="B22952" t="s">
        <v>22957</v>
      </c>
      <c r="C22952">
        <f>HYPERLINK("C:\Users\franc\OneDrive\Documentos\MALENTIN KARIME\BANCO CREDITO\FER LORCA en ROSITA (Rosita)\ANA LUISA TODO\PROTOCOLIZA\COMUNIDAD LOS TRIGOS (ELECCION DIRECTIVA).doc", "Abrir Documento")</f>
        <v>0</v>
      </c>
      <c r="D22952" t="s">
        <v>23500</v>
      </c>
      <c r="E22952" t="s">
        <v>45288</v>
      </c>
    </row>
    <row r="22953" spans="1:5">
      <c r="A22953" t="s">
        <v>6</v>
      </c>
      <c r="B22953" t="s">
        <v>22958</v>
      </c>
      <c r="C22953">
        <f>HYPERLINK("C:\Users\franc\OneDrive\Documentos\MALENTIN KARIME\BANCO CREDITO\FER LORCA en ROSITA (Rosita)\ANA LUISA TODO\PROTOCOLIZA\COMUNIDAD LOS MAITENES.doc", "Abrir Documento")</f>
        <v>0</v>
      </c>
      <c r="D22953" t="s">
        <v>23500</v>
      </c>
      <c r="E22953" t="s">
        <v>45289</v>
      </c>
    </row>
    <row r="22954" spans="1:5">
      <c r="A22954" t="s">
        <v>6</v>
      </c>
      <c r="B22954" t="s">
        <v>22959</v>
      </c>
      <c r="C22954">
        <f>HYPERLINK("C:\Users\franc\OneDrive\Documentos\MALENTIN KARIME\BANCO CREDITO\FER LORCA en ROSITA (Rosita)\ANA LUISA TODO\PROTOCOLIZA\COMUNIDAD INGA PICHASCA.doc", "Abrir Documento")</f>
        <v>0</v>
      </c>
      <c r="D22954" t="s">
        <v>23500</v>
      </c>
      <c r="E22954" t="s">
        <v>45290</v>
      </c>
    </row>
    <row r="22955" spans="1:5">
      <c r="A22955" t="s">
        <v>6</v>
      </c>
      <c r="B22955" t="s">
        <v>22960</v>
      </c>
      <c r="C22955">
        <f>HYPERLINK("C:\Users\franc\OneDrive\Documentos\MALENTIN KARIME\BANCO CREDITO\FER LORCA en ROSITA (Rosita)\ANA LUISA TODO\PROTOCOLIZA\COMUNIDAD INCA PICHASCA FINAL.doc", "Abrir Documento")</f>
        <v>0</v>
      </c>
      <c r="D22955" t="s">
        <v>23500</v>
      </c>
      <c r="E22955" t="s">
        <v>45291</v>
      </c>
    </row>
    <row r="22956" spans="1:5">
      <c r="A22956" t="s">
        <v>6</v>
      </c>
      <c r="B22956" t="s">
        <v>22961</v>
      </c>
      <c r="C22956">
        <f>HYPERLINK("C:\Users\franc\OneDrive\Documentos\MALENTIN KARIME\BANCO CREDITO\FER LORCA en ROSITA (Rosita)\ANA LUISA TODO\PROTOCOLIZA\COMUNIDAD CERRO BLANCO (DIRECTIVA).doc", "Abrir Documento")</f>
        <v>0</v>
      </c>
      <c r="D22956" t="s">
        <v>23500</v>
      </c>
      <c r="E22956" t="s">
        <v>45292</v>
      </c>
    </row>
    <row r="22957" spans="1:5">
      <c r="A22957" t="s">
        <v>6</v>
      </c>
      <c r="B22957" t="s">
        <v>22962</v>
      </c>
      <c r="C22957">
        <f>HYPERLINK("C:\Users\franc\OneDrive\Documentos\MALENTIN KARIME\BANCO CREDITO\FER LORCA en ROSITA (Rosita)\ANA LUISA TODO\PROTOCOLIZA\COMUNIDAD AGUAS CANAL ROMERAL.doc", "Abrir Documento")</f>
        <v>0</v>
      </c>
      <c r="D22957" t="s">
        <v>23500</v>
      </c>
      <c r="E22957" t="s">
        <v>45293</v>
      </c>
    </row>
    <row r="22958" spans="1:5">
      <c r="A22958" t="s">
        <v>6</v>
      </c>
      <c r="B22958" t="s">
        <v>22963</v>
      </c>
      <c r="C22958">
        <f>HYPERLINK("C:\Users\franc\OneDrive\Documentos\MALENTIN KARIME\BANCO CREDITO\FER LORCA en ROSITA (Rosita)\ANA LUISA TODO\PROTOCOLIZA\COMUNIDAD AGUAS CANAL MANZANO.doc", "Abrir Documento")</f>
        <v>0</v>
      </c>
      <c r="D22958" t="s">
        <v>23500</v>
      </c>
      <c r="E22958" t="s">
        <v>45294</v>
      </c>
    </row>
    <row r="22959" spans="1:5">
      <c r="A22959" t="s">
        <v>6</v>
      </c>
      <c r="B22959" t="s">
        <v>22964</v>
      </c>
      <c r="C22959">
        <f>HYPERLINK("C:\Users\franc\OneDrive\Documentos\MALENTIN KARIME\BANCO CREDITO\FER LORCA en ROSITA (Rosita)\ANA LUISA TODO\PROTOCOLIZA\COMUNIDAD AGUAS CANAL MANZANO 2.doc", "Abrir Documento")</f>
        <v>0</v>
      </c>
      <c r="D22959" t="s">
        <v>23500</v>
      </c>
      <c r="E22959" t="s">
        <v>45295</v>
      </c>
    </row>
    <row r="22960" spans="1:5">
      <c r="A22960" t="s">
        <v>6</v>
      </c>
      <c r="B22960" t="s">
        <v>22965</v>
      </c>
      <c r="C22960">
        <f>HYPERLINK("C:\Users\franc\OneDrive\Documentos\MALENTIN KARIME\BANCO CREDITO\FER LORCA en ROSITA (Rosita)\ANA LUISA TODO\PROTOCOLIZA\COMUN. AGUAS CANAL POBLACION MIALQUI (C. BUGUEÑO).doc", "Abrir Documento")</f>
        <v>0</v>
      </c>
      <c r="D22960" t="s">
        <v>23500</v>
      </c>
      <c r="E22960" t="s">
        <v>45296</v>
      </c>
    </row>
    <row r="22961" spans="1:5">
      <c r="A22961" t="s">
        <v>6</v>
      </c>
      <c r="B22961" t="s">
        <v>22966</v>
      </c>
      <c r="C22961">
        <f>HYPERLINK("C:\Users\franc\OneDrive\Documentos\MALENTIN KARIME\BANCO CREDITO\FER LORCA en ROSITA (Rosita)\ANA LUISA TODO\PROTOCOLIZA\CMTE DE ADELANTO San Antonio.doc", "Abrir Documento")</f>
        <v>0</v>
      </c>
      <c r="D22961" t="s">
        <v>23500</v>
      </c>
      <c r="E22961" t="s">
        <v>45297</v>
      </c>
    </row>
    <row r="22962" spans="1:5">
      <c r="A22962" t="s">
        <v>6</v>
      </c>
      <c r="B22962" t="s">
        <v>22967</v>
      </c>
      <c r="C22962">
        <f>HYPERLINK("C:\Users\franc\OneDrive\Documentos\MALENTIN KARIME\BANCO CREDITO\FER LORCA en ROSITA (Rosita)\ANA LUISA TODO\PROTOCOLIZA\BOMBEROS.doc", "Abrir Documento")</f>
        <v>0</v>
      </c>
      <c r="D22962" t="s">
        <v>23500</v>
      </c>
      <c r="E22962" t="s">
        <v>45298</v>
      </c>
    </row>
    <row r="22963" spans="1:5">
      <c r="A22963" t="s">
        <v>6</v>
      </c>
      <c r="B22963" t="s">
        <v>22968</v>
      </c>
      <c r="C22963">
        <f>HYPERLINK("C:\Users\franc\OneDrive\Documentos\MALENTIN KARIME\BANCO CREDITO\FER LORCA en ROSITA (Rosita)\ANA LUISA TODO\PROTOCOLIZA\AUTORIZA PROTOCOLO.doc", "Abrir Documento")</f>
        <v>0</v>
      </c>
      <c r="D22963" t="s">
        <v>23500</v>
      </c>
      <c r="E22963" t="s">
        <v>45299</v>
      </c>
    </row>
    <row r="22964" spans="1:5">
      <c r="A22964" t="s">
        <v>6</v>
      </c>
      <c r="B22964" t="s">
        <v>22969</v>
      </c>
      <c r="C22964">
        <f>HYPERLINK("C:\Users\franc\OneDrive\Documentos\MALENTIN KARIME\BANCO CREDITO\FER LORCA en ROSITA (Rosita)\ANA LUISA TODO\PROTOCOLIZA\AUTORIZA LIBRO.doc", "Abrir Documento")</f>
        <v>0</v>
      </c>
      <c r="D22964" t="s">
        <v>23500</v>
      </c>
      <c r="E22964" t="s">
        <v>45300</v>
      </c>
    </row>
    <row r="22965" spans="1:5">
      <c r="A22965" t="s">
        <v>6</v>
      </c>
      <c r="B22965" t="s">
        <v>22970</v>
      </c>
      <c r="C22965">
        <f>HYPERLINK("C:\Users\franc\OneDrive\Documentos\MALENTIN KARIME\BANCO CREDITO\FER LORCA en ROSITA (Rosita)\ANA LUISA TODO\PROTOCOLIZA\AMPLIACION INVENTARIO.doc", "Abrir Documento")</f>
        <v>0</v>
      </c>
      <c r="D22965" t="s">
        <v>23500</v>
      </c>
      <c r="E22965" t="s">
        <v>45301</v>
      </c>
    </row>
    <row r="22966" spans="1:5">
      <c r="A22966" t="s">
        <v>6</v>
      </c>
      <c r="B22966" t="s">
        <v>22971</v>
      </c>
      <c r="C22966">
        <f>HYPERLINK("C:\Users\franc\OneDrive\Documentos\MALENTIN KARIME\BANCO CREDITO\FER LORCA en ROSITA (Rosita)\ANA LUISA TODO\PROTOCOLIZA\ALZAMIENTO INDAP.doc", "Abrir Documento")</f>
        <v>0</v>
      </c>
      <c r="D22966" t="s">
        <v>23500</v>
      </c>
      <c r="E22966" t="s">
        <v>45302</v>
      </c>
    </row>
    <row r="22967" spans="1:5">
      <c r="A22967" t="s">
        <v>6</v>
      </c>
      <c r="B22967" t="s">
        <v>22972</v>
      </c>
      <c r="C22967">
        <f>HYPERLINK("C:\Users\franc\OneDrive\Documentos\MALENTIN KARIME\BANCO CREDITO\FER LORCA en ROSITA (Rosita)\ANA LUISA TODO\PROTOCOLIZA\ALCONES REUNION EXTRAOR (COMODATO).doc", "Abrir Documento")</f>
        <v>0</v>
      </c>
      <c r="D22967" t="s">
        <v>23500</v>
      </c>
      <c r="E22967" t="s">
        <v>45303</v>
      </c>
    </row>
    <row r="22968" spans="1:5">
      <c r="A22968" t="s">
        <v>6</v>
      </c>
      <c r="B22968" t="s">
        <v>22973</v>
      </c>
      <c r="C22968">
        <f>HYPERLINK("C:\Users\franc\OneDrive\Documentos\MALENTIN KARIME\BANCO CREDITO\FER LORCA en ROSITA (Rosita)\ANA LUISA TODO\PROTOCOLIZA\ALCONES REUNION DIRECTORIO.doc", "Abrir Documento")</f>
        <v>0</v>
      </c>
      <c r="D22968" t="s">
        <v>23500</v>
      </c>
      <c r="E22968" t="s">
        <v>45304</v>
      </c>
    </row>
    <row r="22969" spans="1:5">
      <c r="A22969" t="s">
        <v>6</v>
      </c>
      <c r="B22969" t="s">
        <v>22974</v>
      </c>
      <c r="C22969">
        <f>HYPERLINK("C:\Users\franc\OneDrive\Documentos\MALENTIN KARIME\BANCO CREDITO\FER LORCA en ROSITA (Rosita)\ANA LUISA TODO\PROTOCOLIZA\ALCONES JUNTA GENERAL (JULIO 2006).doc", "Abrir Documento")</f>
        <v>0</v>
      </c>
      <c r="D22969" t="s">
        <v>23500</v>
      </c>
      <c r="E22969" t="s">
        <v>45305</v>
      </c>
    </row>
    <row r="22970" spans="1:5">
      <c r="A22970" t="s">
        <v>6</v>
      </c>
      <c r="B22970" t="s">
        <v>22975</v>
      </c>
      <c r="C22970">
        <f>HYPERLINK("C:\Users\franc\OneDrive\Documentos\MALENTIN KARIME\BANCO CREDITO\FER LORCA en ROSITA (Rosita)\ANA LUISA TODO\PROTOCOLIZA\ALCONES AUTORIZA.doc", "Abrir Documento")</f>
        <v>0</v>
      </c>
      <c r="D22970" t="s">
        <v>23500</v>
      </c>
      <c r="E22970" t="s">
        <v>45306</v>
      </c>
    </row>
    <row r="22971" spans="1:5">
      <c r="A22971" t="s">
        <v>6</v>
      </c>
      <c r="B22971" t="s">
        <v>22976</v>
      </c>
      <c r="C22971">
        <f>HYPERLINK("C:\Users\franc\OneDrive\Documentos\MALENTIN KARIME\BANCO CREDITO\FER LORCA en ROSITA (Rosita)\ANA LUISA TODO\PROTOCOLIZA\ALCONES ACTA ACUERDO.doc", "Abrir Documento")</f>
        <v>0</v>
      </c>
      <c r="D22971" t="s">
        <v>23500</v>
      </c>
      <c r="E22971" t="s">
        <v>45307</v>
      </c>
    </row>
    <row r="22972" spans="1:5">
      <c r="A22972" t="s">
        <v>6</v>
      </c>
      <c r="B22972" t="s">
        <v>22977</v>
      </c>
      <c r="C22972">
        <f>HYPERLINK("C:\Users\franc\OneDrive\Documentos\MALENTIN KARIME\BANCO CREDITO\FER LORCA en ROSITA (Rosita)\ANA LUISA TODO\PROTOCOLIZA\ALCONES ACTA 28 nov..doc", "Abrir Documento")</f>
        <v>0</v>
      </c>
      <c r="D22972" t="s">
        <v>23500</v>
      </c>
      <c r="E22972" t="s">
        <v>45308</v>
      </c>
    </row>
    <row r="22973" spans="1:5">
      <c r="A22973" t="s">
        <v>6</v>
      </c>
      <c r="B22973" t="s">
        <v>22978</v>
      </c>
      <c r="C22973">
        <f>HYPERLINK("C:\Users\franc\OneDrive\Documentos\MALENTIN KARIME\BANCO CREDITO\FER LORCA en ROSITA (Rosita)\ANA LUISA TODO\PROTOCOLIZA\ALCONES ACTA 22 DE NOV. 2006.doc", "Abrir Documento")</f>
        <v>0</v>
      </c>
      <c r="D22973" t="s">
        <v>23500</v>
      </c>
      <c r="E22973" t="s">
        <v>45309</v>
      </c>
    </row>
    <row r="22974" spans="1:5">
      <c r="A22974" t="s">
        <v>6</v>
      </c>
      <c r="B22974" t="s">
        <v>22979</v>
      </c>
      <c r="C22974">
        <f>HYPERLINK("C:\Users\franc\OneDrive\Documentos\MALENTIN KARIME\BANCO CREDITO\FER LORCA en ROSITA (Rosita)\ANA LUISA TODO\PROTOCOLIZA\ALCONES 24 ABRIL 2006 AUT. BANCO.doc", "Abrir Documento")</f>
        <v>0</v>
      </c>
      <c r="D22974" t="s">
        <v>23500</v>
      </c>
      <c r="E22974" t="s">
        <v>45310</v>
      </c>
    </row>
    <row r="22975" spans="1:5">
      <c r="A22975" t="s">
        <v>6</v>
      </c>
      <c r="B22975" t="s">
        <v>22980</v>
      </c>
      <c r="C22975">
        <f>HYPERLINK("C:\Users\franc\OneDrive\Documentos\MALENTIN KARIME\BANCO CREDITO\FER LORCA en ROSITA (Rosita)\ANA LUISA TODO\PROTOCOLIZA\ALCONES 21 abril 2006.doc", "Abrir Documento")</f>
        <v>0</v>
      </c>
      <c r="D22975" t="s">
        <v>23500</v>
      </c>
      <c r="E22975" t="s">
        <v>45311</v>
      </c>
    </row>
    <row r="22976" spans="1:5">
      <c r="A22976" t="s">
        <v>6</v>
      </c>
      <c r="B22976" t="s">
        <v>22981</v>
      </c>
      <c r="C22976">
        <f>HYPERLINK("C:\Users\franc\OneDrive\Documentos\MALENTIN KARIME\BANCO CREDITO\FER LORCA en ROSITA (Rosita)\ANA LUISA TODO\PROTOCOLIZA\ALCONES 20 MARZO 2006.doc", "Abrir Documento")</f>
        <v>0</v>
      </c>
      <c r="D22976" t="s">
        <v>23500</v>
      </c>
      <c r="E22976" t="s">
        <v>45312</v>
      </c>
    </row>
    <row r="22977" spans="1:5">
      <c r="A22977" t="s">
        <v>6</v>
      </c>
      <c r="B22977" t="s">
        <v>22982</v>
      </c>
      <c r="C22977">
        <f>HYPERLINK("C:\Users\franc\OneDrive\Documentos\MALENTIN KARIME\BANCO CREDITO\FER LORCA en ROSITA (Rosita)\ANA LUISA TODO\PROTOCOLIZA\ALCONES (JUAN CARLOS).doc", "Abrir Documento")</f>
        <v>0</v>
      </c>
      <c r="D22977" t="s">
        <v>23500</v>
      </c>
      <c r="E22977" t="s">
        <v>45313</v>
      </c>
    </row>
    <row r="22978" spans="1:5">
      <c r="A22978" t="s">
        <v>6</v>
      </c>
      <c r="B22978" t="s">
        <v>22983</v>
      </c>
      <c r="C22978">
        <f>HYPERLINK("C:\Users\franc\OneDrive\Documentos\MALENTIN KARIME\BANCO CREDITO\FER LORCA en ROSITA (Rosita)\ANA LUISA TODO\PROTOCOLIZA\ALCONES  poder energia.doc", "Abrir Documento")</f>
        <v>0</v>
      </c>
      <c r="D22978" t="s">
        <v>23500</v>
      </c>
      <c r="E22978" t="s">
        <v>45314</v>
      </c>
    </row>
    <row r="22979" spans="1:5">
      <c r="A22979" t="s">
        <v>6</v>
      </c>
      <c r="B22979" t="s">
        <v>22984</v>
      </c>
      <c r="C22979">
        <f>HYPERLINK("C:\Users\franc\OneDrive\Documentos\MALENTIN KARIME\BANCO CREDITO\FER LORCA en ROSITA (Rosita)\ANA LUISA TODO\PROTOCOLIZA\ACTA AUTORIZ. 31.07.2006.doc", "Abrir Documento")</f>
        <v>0</v>
      </c>
      <c r="D22979" t="s">
        <v>23500</v>
      </c>
      <c r="E22979" t="s">
        <v>45315</v>
      </c>
    </row>
    <row r="22980" spans="1:5">
      <c r="A22980" t="s">
        <v>6</v>
      </c>
      <c r="B22980" t="s">
        <v>22985</v>
      </c>
      <c r="C22980">
        <f>HYPERLINK("C:\Users\franc\OneDrive\Documentos\MALENTIN KARIME\BANCO CREDITO\FER LORCA en ROSITA (Rosita)\ANA LUISA TODO\PROTOCOLIZA\ACTA ACUERDO ARRIENDO ASAMBLEA.doc", "Abrir Documento")</f>
        <v>0</v>
      </c>
      <c r="D22980" t="s">
        <v>23500</v>
      </c>
      <c r="E22980" t="s">
        <v>45316</v>
      </c>
    </row>
    <row r="22981" spans="1:5">
      <c r="A22981" t="s">
        <v>6</v>
      </c>
      <c r="B22981" t="s">
        <v>22986</v>
      </c>
      <c r="C22981">
        <f>HYPERLINK("C:\Users\franc\OneDrive\Documentos\MALENTIN KARIME\BANCO CREDITO\FER LORCA en ROSITA (Rosita)\ANA LUISA TODO\PROTOCOLIZA\ACTA AUTORIZ.  dos   31.07.2006.doc", "Abrir Documento")</f>
        <v>0</v>
      </c>
      <c r="D22981" t="s">
        <v>23500</v>
      </c>
      <c r="E22981" t="s">
        <v>45316</v>
      </c>
    </row>
    <row r="22982" spans="1:5">
      <c r="A22982" t="s">
        <v>6</v>
      </c>
      <c r="B22982" t="s">
        <v>22987</v>
      </c>
      <c r="C22982">
        <f>HYPERLINK("C:\Users\franc\OneDrive\Documentos\MALENTIN KARIME\BANCO CREDITO\FER LORCA en ROSITA (Rosita)\ANA LUISA TODO\PROTOCOLIZA\ACTA ....... BERNARDO ESCALANTE.doc", "Abrir Documento")</f>
        <v>0</v>
      </c>
      <c r="D22982" t="s">
        <v>23500</v>
      </c>
      <c r="E22982" t="s">
        <v>45317</v>
      </c>
    </row>
    <row r="22983" spans="1:5">
      <c r="A22983" t="s">
        <v>6</v>
      </c>
      <c r="B22983" t="s">
        <v>22988</v>
      </c>
      <c r="C22983">
        <f>HYPERLINK("C:\Users\franc\OneDrive\Documentos\MALENTIN KARIME\BANCO CREDITO\FER LORCA en ROSITA (Rosita)\ANA LUISA TODO\PROMESAS\WILSON SALINAS A SU HIJO (VEHICULO).doc", "Abrir Documento")</f>
        <v>0</v>
      </c>
      <c r="D22983" t="s">
        <v>23500</v>
      </c>
      <c r="E22983" t="s">
        <v>45318</v>
      </c>
    </row>
    <row r="22984" spans="1:5">
      <c r="A22984" t="s">
        <v>6</v>
      </c>
      <c r="B22984" t="s">
        <v>22989</v>
      </c>
      <c r="C22984">
        <f>HYPERLINK("C:\Users\franc\OneDrive\Documentos\MALENTIN KARIME\BANCO CREDITO\FER LORCA en ROSITA (Rosita)\ANA LUISA TODO\PROMESAS\VICTOR RAVANAL Y OTR. A OSCAR ANGEL.doc", "Abrir Documento")</f>
        <v>0</v>
      </c>
      <c r="D22984" t="s">
        <v>23500</v>
      </c>
      <c r="E22984" t="s">
        <v>45319</v>
      </c>
    </row>
    <row r="22985" spans="1:5">
      <c r="A22985" t="s">
        <v>6</v>
      </c>
      <c r="B22985" t="s">
        <v>22990</v>
      </c>
      <c r="C22985">
        <f>HYPERLINK("C:\Users\franc\OneDrive\Documentos\MALENTIN KARIME\BANCO CREDITO\FER LORCA en ROSITA (Rosita)\ANA LUISA TODO\PROMESAS\VICTOR PIZARRO A WALDO CARMONA (VEHICULO).doc", "Abrir Documento")</f>
        <v>0</v>
      </c>
      <c r="D22985" t="s">
        <v>23500</v>
      </c>
      <c r="E22985" t="s">
        <v>45320</v>
      </c>
    </row>
    <row r="22986" spans="1:5">
      <c r="A22986" t="s">
        <v>6</v>
      </c>
      <c r="B22986" t="s">
        <v>22991</v>
      </c>
      <c r="C22986">
        <f>HYPERLINK("C:\Users\franc\OneDrive\Documentos\MALENTIN KARIME\BANCO CREDITO\FER LORCA en ROSITA (Rosita)\ANA LUISA TODO\PROMESAS\VICTOR MONARDES A ANYELA CISTERNAS  (VEHICULO).doc", "Abrir Documento")</f>
        <v>0</v>
      </c>
      <c r="D22986" t="s">
        <v>23500</v>
      </c>
      <c r="E22986" t="s">
        <v>45321</v>
      </c>
    </row>
    <row r="22987" spans="1:5">
      <c r="A22987" t="s">
        <v>6</v>
      </c>
      <c r="B22987" t="s">
        <v>22992</v>
      </c>
      <c r="C22987">
        <f>HYPERLINK("C:\Users\franc\OneDrive\Documentos\MALENTIN KARIME\BANCO CREDITO\FER LORCA en ROSITA (Rosita)\ANA LUISA TODO\PROMESAS\VERONICA CORTES A MARIA BARRAZA (ABO. ANGELICA MARIN).doc", "Abrir Documento")</f>
        <v>0</v>
      </c>
      <c r="D22987" t="s">
        <v>23500</v>
      </c>
      <c r="E22987" t="s">
        <v>45322</v>
      </c>
    </row>
    <row r="22988" spans="1:5">
      <c r="A22988" t="s">
        <v>6</v>
      </c>
      <c r="B22988" t="s">
        <v>22993</v>
      </c>
      <c r="C22988">
        <f>HYPERLINK("C:\Users\franc\OneDrive\Documentos\MALENTIN KARIME\BANCO CREDITO\FER LORCA en ROSITA (Rosita)\ANA LUISA TODO\PROMESAS\TULIO ALFARO A JAIME TAPIA (CASA).doc", "Abrir Documento")</f>
        <v>0</v>
      </c>
      <c r="D22988" t="s">
        <v>23500</v>
      </c>
      <c r="E22988" t="s">
        <v>45323</v>
      </c>
    </row>
    <row r="22989" spans="1:5">
      <c r="A22989" t="s">
        <v>6</v>
      </c>
      <c r="B22989" t="s">
        <v>22994</v>
      </c>
      <c r="C22989">
        <f>HYPERLINK("C:\Users\franc\OneDrive\Documentos\MALENTIN KARIME\BANCO CREDITO\FER LORCA en ROSITA (Rosita)\ANA LUISA TODO\PROMESAS\SUC. ARDILES VALLEJOS A ANA DIAZ.doc", "Abrir Documento")</f>
        <v>0</v>
      </c>
      <c r="D22989" t="s">
        <v>23500</v>
      </c>
      <c r="E22989" t="s">
        <v>45324</v>
      </c>
    </row>
    <row r="22990" spans="1:5">
      <c r="A22990" t="s">
        <v>6</v>
      </c>
      <c r="B22990" t="s">
        <v>22995</v>
      </c>
      <c r="C22990">
        <f>HYPERLINK("C:\Users\franc\OneDrive\Documentos\MALENTIN KARIME\BANCO CREDITO\FER LORCA en ROSITA (Rosita)\ANA LUISA TODO\PROMESAS\SUC. SANTANDER A JORGE GOMILA Y OTROS.doc", "Abrir Documento")</f>
        <v>0</v>
      </c>
      <c r="D22990" t="s">
        <v>23500</v>
      </c>
      <c r="E22990" t="s">
        <v>45324</v>
      </c>
    </row>
    <row r="22991" spans="1:5">
      <c r="A22991" t="s">
        <v>6</v>
      </c>
      <c r="B22991" t="s">
        <v>22996</v>
      </c>
      <c r="C22991">
        <f>HYPERLINK("C:\Users\franc\OneDrive\Documentos\MALENTIN KARIME\BANCO CREDITO\FER LORCA en ROSITA (Rosita)\ANA LUISA TODO\PROMESAS\SOC. MOV. DE TIERRAS A MARIO ARAYA B..doc", "Abrir Documento")</f>
        <v>0</v>
      </c>
      <c r="D22991" t="s">
        <v>23500</v>
      </c>
      <c r="E22991" t="s">
        <v>45325</v>
      </c>
    </row>
    <row r="22992" spans="1:5">
      <c r="A22992" t="s">
        <v>6</v>
      </c>
      <c r="B22992" t="s">
        <v>22997</v>
      </c>
      <c r="C22992">
        <f>HYPERLINK("C:\Users\franc\OneDrive\Documentos\MALENTIN KARIME\BANCO CREDITO\FER LORCA en ROSITA (Rosita)\ANA LUISA TODO\PROMESAS\SILVIO JERALDO A RAUL VEGA (CASA CON PAGARE).doc", "Abrir Documento")</f>
        <v>0</v>
      </c>
      <c r="D22992" t="s">
        <v>23500</v>
      </c>
      <c r="E22992" t="s">
        <v>45326</v>
      </c>
    </row>
    <row r="22993" spans="1:5">
      <c r="A22993" t="s">
        <v>6</v>
      </c>
      <c r="B22993" t="s">
        <v>22998</v>
      </c>
      <c r="C22993">
        <f>HYPERLINK("C:\Users\franc\OneDrive\Documentos\MALENTIN KARIME\BANCO CREDITO\FER LORCA en ROSITA (Rosita)\ANA LUISA TODO\PROMESAS\PROMESA PRIVADO Edgardo Pizarro Burrows a  MERCEDES GUERRERO OLIVARES.doc", "Abrir Documento")</f>
        <v>0</v>
      </c>
      <c r="D22993" t="s">
        <v>23500</v>
      </c>
      <c r="E22993" t="s">
        <v>45327</v>
      </c>
    </row>
    <row r="22994" spans="1:5">
      <c r="A22994" t="s">
        <v>6</v>
      </c>
      <c r="B22994" t="s">
        <v>22999</v>
      </c>
      <c r="C22994">
        <f>HYPERLINK("C:\Users\franc\OneDrive\Documentos\MALENTIN KARIME\BANCO CREDITO\FER LORCA en ROSITA (Rosita)\ANA LUISA TODO\PROMESAS\PROMESA CV MARIO DIAZ SANDRA DIAZ.doc", "Abrir Documento")</f>
        <v>0</v>
      </c>
      <c r="D22994" t="s">
        <v>23500</v>
      </c>
      <c r="E22994" t="s">
        <v>45328</v>
      </c>
    </row>
    <row r="22995" spans="1:5">
      <c r="A22995" t="s">
        <v>6</v>
      </c>
      <c r="B22995" t="s">
        <v>23000</v>
      </c>
      <c r="C22995">
        <f>HYPERLINK("C:\Users\franc\OneDrive\Documentos\MALENTIN KARIME\BANCO CREDITO\FER LORCA en ROSITA (Rosita)\ANA LUISA TODO\PROMESAS\PROMESA COMPRAVENTA RUTH 19-03-06.doc", "Abrir Documento")</f>
        <v>0</v>
      </c>
      <c r="D22995" t="s">
        <v>23500</v>
      </c>
      <c r="E22995" t="s">
        <v>45329</v>
      </c>
    </row>
    <row r="22996" spans="1:5">
      <c r="A22996" t="s">
        <v>6</v>
      </c>
      <c r="B22996" t="s">
        <v>23001</v>
      </c>
      <c r="C22996">
        <f>HYPERLINK("C:\Users\franc\OneDrive\Documentos\MALENTIN KARIME\BANCO CREDITO\FER LORCA en ROSITA (Rosita)\ANA LUISA TODO\PROMESAS\PEDRO BARRERA A ORIEL PERINES EIRL.doc", "Abrir Documento")</f>
        <v>0</v>
      </c>
      <c r="D22996" t="s">
        <v>23500</v>
      </c>
      <c r="E22996" t="s">
        <v>45330</v>
      </c>
    </row>
    <row r="22997" spans="1:5">
      <c r="A22997" t="s">
        <v>6</v>
      </c>
      <c r="B22997" t="s">
        <v>23002</v>
      </c>
      <c r="C22997">
        <f>HYPERLINK("C:\Users\franc\OneDrive\Documentos\MALENTIN KARIME\BANCO CREDITO\FER LORCA en ROSITA (Rosita)\ANA LUISA TODO\PROMESAS\PATRICIO GONZALEZ A GUILLERMO ROJAS.doc", "Abrir Documento")</f>
        <v>0</v>
      </c>
      <c r="D22997" t="s">
        <v>23500</v>
      </c>
      <c r="E22997" t="s">
        <v>45331</v>
      </c>
    </row>
    <row r="22998" spans="1:5">
      <c r="A22998" t="s">
        <v>6</v>
      </c>
      <c r="B22998" t="s">
        <v>23003</v>
      </c>
      <c r="C22998">
        <f>HYPERLINK("C:\Users\franc\OneDrive\Documentos\MALENTIN KARIME\BANCO CREDITO\FER LORCA en ROSITA (Rosita)\ANA LUISA TODO\PROMESAS\PATRICIA GIMENEZ A ELDA OLIVARES.doc", "Abrir Documento")</f>
        <v>0</v>
      </c>
      <c r="D22998" t="s">
        <v>23500</v>
      </c>
      <c r="E22998" t="s">
        <v>45332</v>
      </c>
    </row>
    <row r="22999" spans="1:5">
      <c r="A22999" t="s">
        <v>6</v>
      </c>
      <c r="B22999" t="s">
        <v>23004</v>
      </c>
      <c r="C22999">
        <f>HYPERLINK("C:\Users\franc\OneDrive\Documentos\MALENTIN KARIME\BANCO CREDITO\FER LORCA en ROSITA (Rosita)\ANA LUISA TODO\PROMESAS\OSCAR ORTIZ A NELLY GALLARDO.doc", "Abrir Documento")</f>
        <v>0</v>
      </c>
      <c r="D22999" t="s">
        <v>23500</v>
      </c>
      <c r="E22999" t="s">
        <v>45333</v>
      </c>
    </row>
    <row r="23000" spans="1:5">
      <c r="A23000" t="s">
        <v>6</v>
      </c>
      <c r="B23000" t="s">
        <v>23005</v>
      </c>
      <c r="C23000">
        <f>HYPERLINK("C:\Users\franc\OneDrive\Documentos\MALENTIN KARIME\BANCO CREDITO\FER LORCA en ROSITA (Rosita)\ANA LUISA TODO\PROMESAS\OMAR VELIZ A JUAN CARVAJAL (VEHICULO).doc", "Abrir Documento")</f>
        <v>0</v>
      </c>
      <c r="D23000" t="s">
        <v>23500</v>
      </c>
      <c r="E23000" t="s">
        <v>45334</v>
      </c>
    </row>
    <row r="23001" spans="1:5">
      <c r="A23001" t="s">
        <v>6</v>
      </c>
      <c r="B23001" t="s">
        <v>23006</v>
      </c>
      <c r="C23001">
        <f>HYPERLINK("C:\Users\franc\OneDrive\Documentos\MALENTIN KARIME\BANCO CREDITO\FER LORCA en ROSITA (Rosita)\ANA LUISA TODO\PROMESAS\ORFELINA RODRIGUEZ Y OTROS A CARLOS DIAZ.doc", "Abrir Documento")</f>
        <v>0</v>
      </c>
      <c r="D23001" t="s">
        <v>23500</v>
      </c>
      <c r="E23001" t="s">
        <v>45334</v>
      </c>
    </row>
    <row r="23002" spans="1:5">
      <c r="A23002" t="s">
        <v>6</v>
      </c>
      <c r="B23002" t="s">
        <v>23007</v>
      </c>
      <c r="C23002">
        <f>HYPERLINK("C:\Users\franc\OneDrive\Documentos\MALENTIN KARIME\BANCO CREDITO\FER LORCA en ROSITA (Rosita)\ANA LUISA TODO\PROMESAS\OLIMPIA CORTES A RAUL TORRES.doc", "Abrir Documento")</f>
        <v>0</v>
      </c>
      <c r="D23002" t="s">
        <v>23500</v>
      </c>
      <c r="E23002" t="s">
        <v>45335</v>
      </c>
    </row>
    <row r="23003" spans="1:5">
      <c r="A23003" t="s">
        <v>6</v>
      </c>
      <c r="B23003" t="s">
        <v>23008</v>
      </c>
      <c r="C23003">
        <f>HYPERLINK("C:\Users\franc\OneDrive\Documentos\MALENTIN KARIME\BANCO CREDITO\FER LORCA en ROSITA (Rosita)\ANA LUISA TODO\PROMESAS\MONICA TELLO A JOSE LOPEZ  (VEHICULO).doc", "Abrir Documento")</f>
        <v>0</v>
      </c>
      <c r="D23003" t="s">
        <v>23500</v>
      </c>
      <c r="E23003" t="s">
        <v>45336</v>
      </c>
    </row>
    <row r="23004" spans="1:5">
      <c r="A23004" t="s">
        <v>6</v>
      </c>
      <c r="B23004" t="s">
        <v>23009</v>
      </c>
      <c r="C23004">
        <f>HYPERLINK("C:\Users\franc\OneDrive\Documentos\MALENTIN KARIME\BANCO CREDITO\FER LORCA en ROSITA (Rosita)\ANA LUISA TODO\PROMESAS\MODELO MAURICIO.doc", "Abrir Documento")</f>
        <v>0</v>
      </c>
      <c r="D23004" t="s">
        <v>23500</v>
      </c>
      <c r="E23004" t="s">
        <v>45337</v>
      </c>
    </row>
    <row r="23005" spans="1:5">
      <c r="A23005" t="s">
        <v>6</v>
      </c>
      <c r="B23005" t="s">
        <v>23010</v>
      </c>
      <c r="C23005">
        <f>HYPERLINK("C:\Users\franc\OneDrive\Documentos\MALENTIN KARIME\BANCO CREDITO\FER LORCA en ROSITA (Rosita)\ANA LUISA TODO\PROMESAS\MIRTHA ADAROS A CARLOS SCHNETTLER.doc", "Abrir Documento")</f>
        <v>0</v>
      </c>
      <c r="D23005" t="s">
        <v>23500</v>
      </c>
      <c r="E23005" t="s">
        <v>45338</v>
      </c>
    </row>
    <row r="23006" spans="1:5">
      <c r="A23006" t="s">
        <v>6</v>
      </c>
      <c r="B23006" t="s">
        <v>23011</v>
      </c>
      <c r="C23006">
        <f>HYPERLINK("C:\Users\franc\OneDrive\Documentos\MALENTIN KARIME\BANCO CREDITO\FER LORCA en ROSITA (Rosita)\ANA LUISA TODO\PROMESAS\MARINA MONTERO A JAIME PROHENS  (AGUAS).doc", "Abrir Documento")</f>
        <v>0</v>
      </c>
      <c r="D23006" t="s">
        <v>23500</v>
      </c>
      <c r="E23006" t="s">
        <v>45339</v>
      </c>
    </row>
    <row r="23007" spans="1:5">
      <c r="A23007" t="s">
        <v>6</v>
      </c>
      <c r="B23007" t="s">
        <v>23012</v>
      </c>
      <c r="C23007">
        <f>HYPERLINK("C:\Users\franc\OneDrive\Documentos\MALENTIN KARIME\BANCO CREDITO\FER LORCA en ROSITA (Rosita)\ANA LUISA TODO\PROMESAS\Maria Tello Acuña a RODRIGO GUZMAN.doc", "Abrir Documento")</f>
        <v>0</v>
      </c>
      <c r="D23007" t="s">
        <v>23500</v>
      </c>
      <c r="E23007" t="s">
        <v>45340</v>
      </c>
    </row>
    <row r="23008" spans="1:5">
      <c r="A23008" t="s">
        <v>6</v>
      </c>
      <c r="B23008" t="s">
        <v>23013</v>
      </c>
      <c r="C23008">
        <f>HYPERLINK("C:\Users\franc\OneDrive\Documentos\MALENTIN KARIME\BANCO CREDITO\FER LORCA en ROSITA (Rosita)\ANA LUISA TODO\PROMESAS\MARIA HENRIQUEZ Y OTRAS A AGRICOLA LA FLORIDA.doc", "Abrir Documento")</f>
        <v>0</v>
      </c>
      <c r="D23008" t="s">
        <v>23500</v>
      </c>
      <c r="E23008" t="s">
        <v>45341</v>
      </c>
    </row>
    <row r="23009" spans="1:5">
      <c r="A23009" t="s">
        <v>6</v>
      </c>
      <c r="B23009" t="s">
        <v>23014</v>
      </c>
      <c r="C23009">
        <f>HYPERLINK("C:\Users\franc\OneDrive\Documentos\MALENTIN KARIME\BANCO CREDITO\FER LORCA en ROSITA (Rosita)\ANA LUISA TODO\PROMESAS\MARIA FARFAN A ...........doc", "Abrir Documento")</f>
        <v>0</v>
      </c>
      <c r="D23009" t="s">
        <v>23500</v>
      </c>
      <c r="E23009" t="s">
        <v>45342</v>
      </c>
    </row>
    <row r="23010" spans="1:5">
      <c r="A23010" t="s">
        <v>6</v>
      </c>
      <c r="B23010" t="s">
        <v>23015</v>
      </c>
      <c r="C23010">
        <f>HYPERLINK("C:\Users\franc\OneDrive\Documentos\MALENTIN KARIME\BANCO CREDITO\FER LORCA en ROSITA (Rosita)\ANA LUISA TODO\PROMESAS\MARIA EGAÑA A JAIME ARDILES.doc", "Abrir Documento")</f>
        <v>0</v>
      </c>
      <c r="D23010" t="s">
        <v>23500</v>
      </c>
      <c r="E23010" t="s">
        <v>45343</v>
      </c>
    </row>
    <row r="23011" spans="1:5">
      <c r="A23011" t="s">
        <v>6</v>
      </c>
      <c r="B23011" t="s">
        <v>23016</v>
      </c>
      <c r="C23011">
        <f>HYPERLINK("C:\Users\franc\OneDrive\Documentos\MALENTIN KARIME\BANCO CREDITO\FER LORCA en ROSITA (Rosita)\ANA LUISA TODO\PROMESAS\MARIA CASTRO A SERGIO RIVERA.doc", "Abrir Documento")</f>
        <v>0</v>
      </c>
      <c r="D23011" t="s">
        <v>23500</v>
      </c>
      <c r="E23011" t="s">
        <v>45344</v>
      </c>
    </row>
    <row r="23012" spans="1:5">
      <c r="A23012" t="s">
        <v>6</v>
      </c>
      <c r="B23012" t="s">
        <v>23017</v>
      </c>
      <c r="C23012">
        <f>HYPERLINK("C:\Users\franc\OneDrive\Documentos\MALENTIN KARIME\BANCO CREDITO\FER LORCA en ROSITA (Rosita)\ANA LUISA TODO\PROMESAS\MARIA ARAYA A VIVIANA ORTIZ.doc", "Abrir Documento")</f>
        <v>0</v>
      </c>
      <c r="D23012" t="s">
        <v>23500</v>
      </c>
      <c r="E23012" t="s">
        <v>45345</v>
      </c>
    </row>
    <row r="23013" spans="1:5">
      <c r="A23013" t="s">
        <v>6</v>
      </c>
      <c r="B23013" t="s">
        <v>23018</v>
      </c>
      <c r="C23013">
        <f>HYPERLINK("C:\Users\franc\OneDrive\Documentos\MALENTIN KARIME\BANCO CREDITO\FER LORCA en ROSITA (Rosita)\ANA LUISA TODO\PROMESAS\MANUEL CISTERNAS A ROSA PASTEN (CASA) ART 150.doc", "Abrir Documento")</f>
        <v>0</v>
      </c>
      <c r="D23013" t="s">
        <v>23500</v>
      </c>
      <c r="E23013" t="s">
        <v>45346</v>
      </c>
    </row>
    <row r="23014" spans="1:5">
      <c r="A23014" t="s">
        <v>6</v>
      </c>
      <c r="B23014" t="s">
        <v>23019</v>
      </c>
      <c r="C23014">
        <f>HYPERLINK("C:\Users\franc\OneDrive\Documentos\MALENTIN KARIME\BANCO CREDITO\FER LORCA en ROSITA (Rosita)\ANA LUISA TODO\PROMESAS\LUIS ARAYA A RAMIRO TELLO.doc", "Abrir Documento")</f>
        <v>0</v>
      </c>
      <c r="D23014" t="s">
        <v>23500</v>
      </c>
      <c r="E23014" t="s">
        <v>45347</v>
      </c>
    </row>
    <row r="23015" spans="1:5">
      <c r="A23015" t="s">
        <v>6</v>
      </c>
      <c r="B23015" t="s">
        <v>23020</v>
      </c>
      <c r="C23015">
        <f>HYPERLINK("C:\Users\franc\OneDrive\Documentos\MALENTIN KARIME\BANCO CREDITO\FER LORCA en ROSITA (Rosita)\ANA LUISA TODO\PROMESAS\LEONOR MUÑOZ A MAGALI GALLARDO.doc", "Abrir Documento")</f>
        <v>0</v>
      </c>
      <c r="D23015" t="s">
        <v>23500</v>
      </c>
      <c r="E23015" t="s">
        <v>45348</v>
      </c>
    </row>
    <row r="23016" spans="1:5">
      <c r="A23016" t="s">
        <v>6</v>
      </c>
      <c r="B23016" t="s">
        <v>23021</v>
      </c>
      <c r="C23016">
        <f>HYPERLINK("C:\Users\franc\OneDrive\Documentos\MALENTIN KARIME\BANCO CREDITO\FER LORCA en ROSITA (Rosita)\ANA LUISA TODO\PROMESAS\JUAN SELEME A CESAR JUAREZ  (VEHICULO).doc", "Abrir Documento")</f>
        <v>0</v>
      </c>
      <c r="D23016" t="s">
        <v>23500</v>
      </c>
      <c r="E23016" t="s">
        <v>45349</v>
      </c>
    </row>
    <row r="23017" spans="1:5">
      <c r="A23017" t="s">
        <v>6</v>
      </c>
      <c r="B23017" t="s">
        <v>23022</v>
      </c>
      <c r="C23017">
        <f>HYPERLINK("C:\Users\franc\OneDrive\Documentos\MALENTIN KARIME\BANCO CREDITO\FER LORCA en ROSITA (Rosita)\ANA LUISA TODO\PROMESAS\JUAN GARCIA A JULIO VELASQUEZ.doc", "Abrir Documento")</f>
        <v>0</v>
      </c>
      <c r="D23017" t="s">
        <v>23500</v>
      </c>
      <c r="E23017" t="s">
        <v>45350</v>
      </c>
    </row>
    <row r="23018" spans="1:5">
      <c r="A23018" t="s">
        <v>6</v>
      </c>
      <c r="B23018" t="s">
        <v>23023</v>
      </c>
      <c r="C23018">
        <f>HYPERLINK("C:\Users\franc\OneDrive\Documentos\MALENTIN KARIME\BANCO CREDITO\FER LORCA en ROSITA (Rosita)\ANA LUISA TODO\PROMESAS\JUAN DIAZ A RENE PALAVECINOS.doc", "Abrir Documento")</f>
        <v>0</v>
      </c>
      <c r="D23018" t="s">
        <v>23500</v>
      </c>
      <c r="E23018" t="s">
        <v>45351</v>
      </c>
    </row>
    <row r="23019" spans="1:5">
      <c r="A23019" t="s">
        <v>6</v>
      </c>
      <c r="B23019" t="s">
        <v>23024</v>
      </c>
      <c r="C23019">
        <f>HYPERLINK("C:\Users\franc\OneDrive\Documentos\MALENTIN KARIME\BANCO CREDITO\FER LORCA en ROSITA (Rosita)\ANA LUISA TODO\PROMESAS\JUAN DIAZ A DAVID ROJAS.doc", "Abrir Documento")</f>
        <v>0</v>
      </c>
      <c r="D23019" t="s">
        <v>23500</v>
      </c>
      <c r="E23019" t="s">
        <v>45352</v>
      </c>
    </row>
    <row r="23020" spans="1:5">
      <c r="A23020" t="s">
        <v>6</v>
      </c>
      <c r="B23020" t="s">
        <v>23025</v>
      </c>
      <c r="C23020">
        <f>HYPERLINK("C:\Users\franc\OneDrive\Documentos\MALENTIN KARIME\BANCO CREDITO\FER LORCA en ROSITA (Rosita)\ANA LUISA TODO\PROMESAS\JOSE JOPIA A SERV. TELEMARKETING LTDA.doc", "Abrir Documento")</f>
        <v>0</v>
      </c>
      <c r="D23020" t="s">
        <v>23500</v>
      </c>
      <c r="E23020" t="s">
        <v>45353</v>
      </c>
    </row>
    <row r="23021" spans="1:5">
      <c r="A23021" t="s">
        <v>6</v>
      </c>
      <c r="B23021" t="s">
        <v>23026</v>
      </c>
      <c r="C23021">
        <f>HYPERLINK("C:\Users\franc\OneDrive\Documentos\MALENTIN KARIME\BANCO CREDITO\FER LORCA en ROSITA (Rosita)\ANA LUISA TODO\PROMESAS\JUAN CORTES A ANA CASTILLO  (VEHICULO).doc", "Abrir Documento")</f>
        <v>0</v>
      </c>
      <c r="D23021" t="s">
        <v>23500</v>
      </c>
      <c r="E23021" t="s">
        <v>45353</v>
      </c>
    </row>
    <row r="23022" spans="1:5">
      <c r="A23022" t="s">
        <v>6</v>
      </c>
      <c r="B23022" t="s">
        <v>23027</v>
      </c>
      <c r="C23022">
        <f>HYPERLINK("C:\Users\franc\OneDrive\Documentos\MALENTIN KARIME\BANCO CREDITO\FER LORCA en ROSITA (Rosita)\ANA LUISA TODO\PROMESAS\JAIME VILLALOBOS A EMELINA PALAVECINOS.doc", "Abrir Documento")</f>
        <v>0</v>
      </c>
      <c r="D23022" t="s">
        <v>23500</v>
      </c>
      <c r="E23022" t="s">
        <v>45354</v>
      </c>
    </row>
    <row r="23023" spans="1:5">
      <c r="A23023" t="s">
        <v>6</v>
      </c>
      <c r="B23023" t="s">
        <v>23028</v>
      </c>
      <c r="C23023">
        <f>HYPERLINK("C:\Users\franc\OneDrive\Documentos\MALENTIN KARIME\BANCO CREDITO\FER LORCA en ROSITA (Rosita)\ANA LUISA TODO\PROMESAS\HERNAN ARRIAZA A GMO. ARRIAZA  (VEHICULO).doc", "Abrir Documento")</f>
        <v>0</v>
      </c>
      <c r="D23023" t="s">
        <v>23500</v>
      </c>
      <c r="E23023" t="s">
        <v>45355</v>
      </c>
    </row>
    <row r="23024" spans="1:5">
      <c r="A23024" t="s">
        <v>6</v>
      </c>
      <c r="B23024" t="s">
        <v>23029</v>
      </c>
      <c r="C23024">
        <f>HYPERLINK("C:\Users\franc\OneDrive\Documentos\MALENTIN KARIME\BANCO CREDITO\FER LORCA en ROSITA (Rosita)\ANA LUISA TODO\PROMESAS\GONZALO GUERRERO (MINAS).doc", "Abrir Documento")</f>
        <v>0</v>
      </c>
      <c r="D23024" t="s">
        <v>23500</v>
      </c>
      <c r="E23024" t="s">
        <v>45356</v>
      </c>
    </row>
    <row r="23025" spans="1:5">
      <c r="A23025" t="s">
        <v>6</v>
      </c>
      <c r="B23025" t="s">
        <v>23030</v>
      </c>
      <c r="C23025">
        <f>HYPERLINK("C:\Users\franc\OneDrive\Documentos\MALENTIN KARIME\BANCO CREDITO\FER LORCA en ROSITA (Rosita)\ANA LUISA TODO\PROMESAS\FRANCISCO NIÑO A TRANS. YCY CIA. LTADA..doc", "Abrir Documento")</f>
        <v>0</v>
      </c>
      <c r="D23025" t="s">
        <v>23500</v>
      </c>
      <c r="E23025" t="s">
        <v>45357</v>
      </c>
    </row>
    <row r="23026" spans="1:5">
      <c r="A23026" t="s">
        <v>6</v>
      </c>
      <c r="B23026" t="s">
        <v>23031</v>
      </c>
      <c r="C23026">
        <f>HYPERLINK("C:\Users\franc\OneDrive\Documentos\MALENTIN KARIME\BANCO CREDITO\FER LORCA en ROSITA (Rosita)\ANA LUISA TODO\PROMESAS\FANNY MOROSO A ELEAZAR CARVAJAL (VEHICULO).doc", "Abrir Documento")</f>
        <v>0</v>
      </c>
      <c r="D23026" t="s">
        <v>23500</v>
      </c>
      <c r="E23026" t="s">
        <v>45358</v>
      </c>
    </row>
    <row r="23027" spans="1:5">
      <c r="A23027" t="s">
        <v>6</v>
      </c>
      <c r="B23027" t="s">
        <v>23032</v>
      </c>
      <c r="C23027">
        <f>HYPERLINK("C:\Users\franc\OneDrive\Documentos\MALENTIN KARIME\BANCO CREDITO\FER LORCA en ROSITA (Rosita)\ANA LUISA TODO\PROMESAS\ESTEBAN ESPEJO A SILVIA PIZARRO  (VEHICULO) PRIVADO.doc", "Abrir Documento")</f>
        <v>0</v>
      </c>
      <c r="D23027" t="s">
        <v>23500</v>
      </c>
      <c r="E23027" t="s">
        <v>45359</v>
      </c>
    </row>
    <row r="23028" spans="1:5">
      <c r="A23028" t="s">
        <v>6</v>
      </c>
      <c r="B23028" t="s">
        <v>23033</v>
      </c>
      <c r="C23028">
        <f>HYPERLINK("C:\Users\franc\OneDrive\Documentos\MALENTIN KARIME\BANCO CREDITO\FER LORCA en ROSITA (Rosita)\ANA LUISA TODO\PROMESAS\ERNESTO MUÑOZ A NORA TABILO  (VEHICULO) ABRIL 2009.doc", "Abrir Documento")</f>
        <v>0</v>
      </c>
      <c r="D23028" t="s">
        <v>23500</v>
      </c>
      <c r="E23028" t="s">
        <v>45360</v>
      </c>
    </row>
    <row r="23029" spans="1:5">
      <c r="A23029" t="s">
        <v>6</v>
      </c>
      <c r="B23029" t="s">
        <v>23034</v>
      </c>
      <c r="C23029">
        <f>HYPERLINK("C:\Users\franc\OneDrive\Documentos\MALENTIN KARIME\BANCO CREDITO\FER LORCA en ROSITA (Rosita)\ANA LUISA TODO\PROMESAS\ENRIQUE BEZMALINOVIC A LUIS LOYOLA (VEHICULO).doc", "Abrir Documento")</f>
        <v>0</v>
      </c>
      <c r="D23029" t="s">
        <v>23500</v>
      </c>
      <c r="E23029" t="s">
        <v>45361</v>
      </c>
    </row>
    <row r="23030" spans="1:5">
      <c r="A23030" t="s">
        <v>6</v>
      </c>
      <c r="B23030" t="s">
        <v>23035</v>
      </c>
      <c r="C23030">
        <f>HYPERLINK("C:\Users\franc\OneDrive\Documentos\MALENTIN KARIME\BANCO CREDITO\FER LORCA en ROSITA (Rosita)\ANA LUISA TODO\PROMESAS\ELIZABETH DURAN A GRACIELA ESPINOSA  (VEHICULO).doc", "Abrir Documento")</f>
        <v>0</v>
      </c>
      <c r="D23030" t="s">
        <v>23500</v>
      </c>
      <c r="E23030" t="s">
        <v>45362</v>
      </c>
    </row>
    <row r="23031" spans="1:5">
      <c r="A23031" t="s">
        <v>6</v>
      </c>
      <c r="B23031" t="s">
        <v>23036</v>
      </c>
      <c r="C23031">
        <f>HYPERLINK("C:\Users\franc\OneDrive\Documentos\MALENTIN KARIME\BANCO CREDITO\FER LORCA en ROSITA (Rosita)\ANA LUISA TODO\PROMESAS\ELENA GALLEGUILLOS A FILOMENA CASTILLO.doc", "Abrir Documento")</f>
        <v>0</v>
      </c>
      <c r="D23031" t="s">
        <v>23500</v>
      </c>
      <c r="E23031" t="s">
        <v>45363</v>
      </c>
    </row>
    <row r="23032" spans="1:5">
      <c r="A23032" t="s">
        <v>6</v>
      </c>
      <c r="B23032" t="s">
        <v>23037</v>
      </c>
      <c r="C23032">
        <f>HYPERLINK("C:\Users\franc\OneDrive\Documentos\MALENTIN KARIME\BANCO CREDITO\FER LORCA en ROSITA (Rosita)\ANA LUISA TODO\PROMESAS\ELIANA ARAYA VIDELA A ALCIDES GONZALEZ.doc", "Abrir Documento")</f>
        <v>0</v>
      </c>
      <c r="D23032" t="s">
        <v>23500</v>
      </c>
      <c r="E23032" t="s">
        <v>45363</v>
      </c>
    </row>
    <row r="23033" spans="1:5">
      <c r="A23033" t="s">
        <v>6</v>
      </c>
      <c r="B23033" t="s">
        <v>23038</v>
      </c>
      <c r="C23033">
        <f>HYPERLINK("C:\Users\franc\OneDrive\Documentos\MALENTIN KARIME\BANCO CREDITO\FER LORCA en ROSITA (Rosita)\ANA LUISA TODO\PROMESAS\ELENA GALLEGUILLOS - FILOMENA CASTILLO (P. ALFARO.doc", "Abrir Documento")</f>
        <v>0</v>
      </c>
      <c r="D23033" t="s">
        <v>23500</v>
      </c>
      <c r="E23033" t="s">
        <v>45364</v>
      </c>
    </row>
    <row r="23034" spans="1:5">
      <c r="A23034" t="s">
        <v>6</v>
      </c>
      <c r="B23034" t="s">
        <v>23039</v>
      </c>
      <c r="C23034">
        <f>HYPERLINK("C:\Users\franc\OneDrive\Documentos\MALENTIN KARIME\BANCO CREDITO\FER LORCA en ROSITA (Rosita)\ANA LUISA TODO\PROMESAS\ELDA ORTIZ A JUAN RAMOS (SUBDIVISION).doc", "Abrir Documento")</f>
        <v>0</v>
      </c>
      <c r="D23034" t="s">
        <v>23500</v>
      </c>
      <c r="E23034" t="s">
        <v>45365</v>
      </c>
    </row>
    <row r="23035" spans="1:5">
      <c r="A23035" t="s">
        <v>6</v>
      </c>
      <c r="B23035" t="s">
        <v>23040</v>
      </c>
      <c r="C23035">
        <f>HYPERLINK("C:\Users\franc\OneDrive\Documentos\MALENTIN KARIME\BANCO CREDITO\FER LORCA en ROSITA (Rosita)\ANA LUISA TODO\PROMESAS\EDUARDO CASTILLO A KARINA OLIVARES.doc", "Abrir Documento")</f>
        <v>0</v>
      </c>
      <c r="D23035" t="s">
        <v>23500</v>
      </c>
      <c r="E23035" t="s">
        <v>45366</v>
      </c>
    </row>
    <row r="23036" spans="1:5">
      <c r="A23036" t="s">
        <v>6</v>
      </c>
      <c r="B23036" t="s">
        <v>23041</v>
      </c>
      <c r="C23036">
        <f>HYPERLINK("C:\Users\franc\OneDrive\Documentos\MALENTIN KARIME\BANCO CREDITO\FER LORCA en ROSITA (Rosita)\ANA LUISA TODO\PROMESAS\DANIEL TAPIA A RAUL DORIA.doc", "Abrir Documento")</f>
        <v>0</v>
      </c>
      <c r="D23036" t="s">
        <v>23500</v>
      </c>
      <c r="E23036" t="s">
        <v>45367</v>
      </c>
    </row>
    <row r="23037" spans="1:5">
      <c r="A23037" t="s">
        <v>6</v>
      </c>
      <c r="B23037" t="s">
        <v>23042</v>
      </c>
      <c r="C23037">
        <f>HYPERLINK("C:\Users\franc\OneDrive\Documentos\MALENTIN KARIME\BANCO CREDITO\FER LORCA en ROSITA (Rosita)\ANA LUISA TODO\PROMESAS\DANIEL TAPIA A RAUL DORI.doc", "Abrir Documento")</f>
        <v>0</v>
      </c>
      <c r="D23037" t="s">
        <v>23500</v>
      </c>
      <c r="E23037" t="s">
        <v>45368</v>
      </c>
    </row>
    <row r="23038" spans="1:5">
      <c r="A23038" t="s">
        <v>6</v>
      </c>
      <c r="B23038" t="s">
        <v>23043</v>
      </c>
      <c r="C23038">
        <f>HYPERLINK("C:\Users\franc\OneDrive\Documentos\MALENTIN KARIME\BANCO CREDITO\FER LORCA en ROSITA (Rosita)\ANA LUISA TODO\PROMESAS\CRISTIAN RAMIREZ A RENE ESPINOZA (VEHICULO).doc", "Abrir Documento")</f>
        <v>0</v>
      </c>
      <c r="D23038" t="s">
        <v>23500</v>
      </c>
      <c r="E23038" t="s">
        <v>45369</v>
      </c>
    </row>
    <row r="23039" spans="1:5">
      <c r="A23039" t="s">
        <v>6</v>
      </c>
      <c r="B23039" t="s">
        <v>23044</v>
      </c>
      <c r="C23039">
        <f>HYPERLINK("C:\Users\franc\OneDrive\Documentos\MALENTIN KARIME\BANCO CREDITO\FER LORCA en ROSITA (Rosita)\ANA LUISA TODO\PROMESAS\CRISTIAN GUERRERO A BENEDICTO MUNDACA (VEHICULO).doc", "Abrir Documento")</f>
        <v>0</v>
      </c>
      <c r="D23039" t="s">
        <v>23500</v>
      </c>
      <c r="E23039" t="s">
        <v>45370</v>
      </c>
    </row>
    <row r="23040" spans="1:5">
      <c r="A23040" t="s">
        <v>6</v>
      </c>
      <c r="B23040" t="s">
        <v>23045</v>
      </c>
      <c r="C23040">
        <f>HYPERLINK("C:\Users\franc\OneDrive\Documentos\MALENTIN KARIME\BANCO CREDITO\FER LORCA en ROSITA (Rosita)\ANA LUISA TODO\PROMESAS\CARMEN MONARDES A GULLERMINA VILLALOBOS.doc", "Abrir Documento")</f>
        <v>0</v>
      </c>
      <c r="D23040" t="s">
        <v>23500</v>
      </c>
      <c r="E23040" t="s">
        <v>45371</v>
      </c>
    </row>
    <row r="23041" spans="1:5">
      <c r="A23041" t="s">
        <v>6</v>
      </c>
      <c r="B23041" t="s">
        <v>23046</v>
      </c>
      <c r="C23041">
        <f>HYPERLINK("C:\Users\franc\OneDrive\Documentos\MALENTIN KARIME\BANCO CREDITO\FER LORCA en ROSITA (Rosita)\ANA LUISA TODO\PROMESAS\CARLOS TELLO A JULIO CALDERON (VEHICULO).doc", "Abrir Documento")</f>
        <v>0</v>
      </c>
      <c r="D23041" t="s">
        <v>23500</v>
      </c>
      <c r="E23041" t="s">
        <v>45372</v>
      </c>
    </row>
    <row r="23042" spans="1:5">
      <c r="A23042" t="s">
        <v>6</v>
      </c>
      <c r="B23042" t="s">
        <v>23047</v>
      </c>
      <c r="C23042">
        <f>HYPERLINK("C:\Users\franc\OneDrive\Documentos\MALENTIN KARIME\BANCO CREDITO\FER LORCA en ROSITA (Rosita)\ANA LUISA TODO\PROMESAS\CARLOS HIDALGO A ANA DIAZ  (VEHICULO).doc", "Abrir Documento")</f>
        <v>0</v>
      </c>
      <c r="D23042" t="s">
        <v>23500</v>
      </c>
      <c r="E23042" t="s">
        <v>45373</v>
      </c>
    </row>
    <row r="23043" spans="1:5">
      <c r="A23043" t="s">
        <v>6</v>
      </c>
      <c r="B23043" t="s">
        <v>23048</v>
      </c>
      <c r="C23043">
        <f>HYPERLINK("C:\Users\franc\OneDrive\Documentos\MALENTIN KARIME\BANCO CREDITO\FER LORCA en ROSITA (Rosita)\ANA LUISA TODO\PROMESAS\BERNARDO IBACACHE A PABLO ROBLES.doc", "Abrir Documento")</f>
        <v>0</v>
      </c>
      <c r="D23043" t="s">
        <v>23500</v>
      </c>
      <c r="E23043" t="s">
        <v>45374</v>
      </c>
    </row>
    <row r="23044" spans="1:5">
      <c r="A23044" t="s">
        <v>6</v>
      </c>
      <c r="B23044" t="s">
        <v>23049</v>
      </c>
      <c r="C23044">
        <f>HYPERLINK("C:\Users\franc\OneDrive\Documentos\MALENTIN KARIME\BANCO CREDITO\FER LORCA en ROSITA (Rosita)\ANA LUISA TODO\PROMESAS\BERNARDO IBACACHE A PABLO ROBLES (VEHICULO).doc", "Abrir Documento")</f>
        <v>0</v>
      </c>
      <c r="D23044" t="s">
        <v>23500</v>
      </c>
      <c r="E23044" t="s">
        <v>45375</v>
      </c>
    </row>
    <row r="23045" spans="1:5">
      <c r="A23045" t="s">
        <v>6</v>
      </c>
      <c r="B23045" t="s">
        <v>23050</v>
      </c>
      <c r="C23045">
        <f>HYPERLINK("C:\Users\franc\OneDrive\Documentos\MALENTIN KARIME\BANCO CREDITO\FER LORCA en ROSITA (Rosita)\ANA LUISA TODO\PROMESAS\ARRIENDO ALCONES.doc", "Abrir Documento")</f>
        <v>0</v>
      </c>
      <c r="D23045" t="s">
        <v>23500</v>
      </c>
      <c r="E23045" t="s">
        <v>45376</v>
      </c>
    </row>
    <row r="23046" spans="1:5">
      <c r="A23046" t="s">
        <v>6</v>
      </c>
      <c r="B23046" t="s">
        <v>23051</v>
      </c>
      <c r="C23046">
        <f>HYPERLINK("C:\Users\franc\OneDrive\Documentos\MALENTIN KARIME\BANCO CREDITO\FER LORCA en ROSITA (Rosita)\ANA LUISA TODO\PROMESAS\ARMANDO ZAMBRA A RAUL MARTINEZ.doc", "Abrir Documento")</f>
        <v>0</v>
      </c>
      <c r="D23046" t="s">
        <v>23500</v>
      </c>
      <c r="E23046" t="s">
        <v>45377</v>
      </c>
    </row>
    <row r="23047" spans="1:5">
      <c r="A23047" t="s">
        <v>6</v>
      </c>
      <c r="B23047" t="s">
        <v>23052</v>
      </c>
      <c r="C23047">
        <f>HYPERLINK("C:\Users\franc\OneDrive\Documentos\MALENTIN KARIME\BANCO CREDITO\FER LORCA en ROSITA (Rosita)\ANA LUISA TODO\PROMESAS\ANITA CORTES Y OTROS A ENRIQUE BRAVO Y OTRO.doc", "Abrir Documento")</f>
        <v>0</v>
      </c>
      <c r="D23047" t="s">
        <v>23500</v>
      </c>
      <c r="E23047" t="s">
        <v>45378</v>
      </c>
    </row>
    <row r="23048" spans="1:5">
      <c r="A23048" t="s">
        <v>6</v>
      </c>
      <c r="B23048" t="s">
        <v>23053</v>
      </c>
      <c r="C23048">
        <f>HYPERLINK("C:\Users\franc\OneDrive\Documentos\MALENTIN KARIME\BANCO CREDITO\FER LORCA en ROSITA (Rosita)\ANA LUISA TODO\PROMESAS\ANICETO GUTIERREZ A MOISES VARAS  (VEHICULO).doc", "Abrir Documento")</f>
        <v>0</v>
      </c>
      <c r="D23048" t="s">
        <v>23500</v>
      </c>
      <c r="E23048" t="s">
        <v>45379</v>
      </c>
    </row>
    <row r="23049" spans="1:5">
      <c r="A23049" t="s">
        <v>6</v>
      </c>
      <c r="B23049" t="s">
        <v>23054</v>
      </c>
      <c r="C23049">
        <f>HYPERLINK("C:\Users\franc\OneDrive\Documentos\MALENTIN KARIME\BANCO CREDITO\FER LORCA en ROSITA (Rosita)\ANA LUISA TODO\PROMESAS\ANDRES OLIVARES A BERTA GUERRERO.doc", "Abrir Documento")</f>
        <v>0</v>
      </c>
      <c r="D23049" t="s">
        <v>23500</v>
      </c>
      <c r="E23049" t="s">
        <v>45380</v>
      </c>
    </row>
    <row r="23050" spans="1:5">
      <c r="A23050" t="s">
        <v>6</v>
      </c>
      <c r="B23050" t="s">
        <v>23055</v>
      </c>
      <c r="C23050">
        <f>HYPERLINK("C:\Users\franc\OneDrive\Documentos\MALENTIN KARIME\BANCO CREDITO\FER LORCA en ROSITA (Rosita)\ANA LUISA TODO\PROMESAS\AGRICOLA LAS TINAJAS A GILBERTO CARMONA (VEHICULO).doc", "Abrir Documento")</f>
        <v>0</v>
      </c>
      <c r="D23050" t="s">
        <v>23500</v>
      </c>
      <c r="E23050" t="s">
        <v>45381</v>
      </c>
    </row>
    <row r="23051" spans="1:5">
      <c r="A23051" t="s">
        <v>6</v>
      </c>
      <c r="B23051" t="s">
        <v>23056</v>
      </c>
      <c r="C23051">
        <f>HYPERLINK("C:\Users\franc\OneDrive\Documentos\MALENTIN KARIME\BANCO CREDITO\FER LORCA en ROSITA (Rosita)\ANA LUISA TODO\PROHIBICION\VIVIANA JIMENEZ A SERVIU.doc", "Abrir Documento")</f>
        <v>0</v>
      </c>
      <c r="D23051" t="s">
        <v>23500</v>
      </c>
      <c r="E23051" t="s">
        <v>45382</v>
      </c>
    </row>
    <row r="23052" spans="1:5">
      <c r="A23052" t="s">
        <v>6</v>
      </c>
      <c r="B23052" t="s">
        <v>23057</v>
      </c>
      <c r="C23052">
        <f>HYPERLINK("C:\Users\franc\OneDrive\Documentos\MALENTIN KARIME\BANCO CREDITO\FER LORCA en ROSITA (Rosita)\ANA LUISA TODO\PROHIBICION\TERESA ADONES (SOLA).doc", "Abrir Documento")</f>
        <v>0</v>
      </c>
      <c r="D23052" t="s">
        <v>23500</v>
      </c>
      <c r="E23052" t="s">
        <v>45383</v>
      </c>
    </row>
    <row r="23053" spans="1:5">
      <c r="A23053" t="s">
        <v>6</v>
      </c>
      <c r="B23053" t="s">
        <v>23058</v>
      </c>
      <c r="C23053">
        <f>HYPERLINK("C:\Users\franc\OneDrive\Documentos\MALENTIN KARIME\BANCO CREDITO\FER LORCA en ROSITA (Rosita)\ANA LUISA TODO\PROHIBICION\ROSARIO ANTIQUERA.doc", "Abrir Documento")</f>
        <v>0</v>
      </c>
      <c r="D23053" t="s">
        <v>23500</v>
      </c>
      <c r="E23053" t="s">
        <v>45384</v>
      </c>
    </row>
    <row r="23054" spans="1:5">
      <c r="A23054" t="s">
        <v>6</v>
      </c>
      <c r="B23054" t="s">
        <v>23059</v>
      </c>
      <c r="C23054">
        <f>HYPERLINK("C:\Users\franc\OneDrive\Documentos\MALENTIN KARIME\BANCO CREDITO\FER LORCA en ROSITA (Rosita)\ANA LUISA TODO\PROHIBICION\RITA GOMEZ A SERVIU.doc", "Abrir Documento")</f>
        <v>0</v>
      </c>
      <c r="D23054" t="s">
        <v>23500</v>
      </c>
      <c r="E23054" t="s">
        <v>45385</v>
      </c>
    </row>
    <row r="23055" spans="1:5">
      <c r="A23055" t="s">
        <v>6</v>
      </c>
      <c r="B23055" t="s">
        <v>23060</v>
      </c>
      <c r="C23055">
        <f>HYPERLINK("C:\Users\franc\OneDrive\Documentos\MALENTIN KARIME\BANCO CREDITO\FER LORCA en ROSITA (Rosita)\ANA LUISA TODO\PROHIBICION\PEDRO ARAYA A SERVIU.doc", "Abrir Documento")</f>
        <v>0</v>
      </c>
      <c r="D23055" t="s">
        <v>23500</v>
      </c>
      <c r="E23055" t="s">
        <v>45386</v>
      </c>
    </row>
    <row r="23056" spans="1:5">
      <c r="A23056" t="s">
        <v>6</v>
      </c>
      <c r="B23056" t="s">
        <v>23061</v>
      </c>
      <c r="C23056">
        <f>HYPERLINK("C:\Users\franc\OneDrive\Documentos\MALENTIN KARIME\BANCO CREDITO\FER LORCA en ROSITA (Rosita)\ANA LUISA TODO\PROHIBICION\PROHIBICION.doc", "Abrir Documento")</f>
        <v>0</v>
      </c>
      <c r="D23056" t="s">
        <v>23500</v>
      </c>
      <c r="E23056" t="s">
        <v>45386</v>
      </c>
    </row>
    <row r="23057" spans="1:5">
      <c r="A23057" t="s">
        <v>6</v>
      </c>
      <c r="B23057" t="s">
        <v>23062</v>
      </c>
      <c r="C23057">
        <f>HYPERLINK("C:\Users\franc\OneDrive\Documentos\MALENTIN KARIME\BANCO CREDITO\FER LORCA en ROSITA (Rosita)\ANA LUISA TODO\PROHIBICION\PATRICIA ESCOBAR.doc", "Abrir Documento")</f>
        <v>0</v>
      </c>
      <c r="D23057" t="s">
        <v>23500</v>
      </c>
      <c r="E23057" t="s">
        <v>45387</v>
      </c>
    </row>
    <row r="23058" spans="1:5">
      <c r="A23058" t="s">
        <v>6</v>
      </c>
      <c r="B23058" t="s">
        <v>23063</v>
      </c>
      <c r="C23058">
        <f>HYPERLINK("C:\Users\franc\OneDrive\Documentos\MALENTIN KARIME\BANCO CREDITO\FER LORCA en ROSITA (Rosita)\ANA LUISA TODO\PROHIBICION\MODELO NOTARIO.doc", "Abrir Documento")</f>
        <v>0</v>
      </c>
      <c r="D23058" t="s">
        <v>23500</v>
      </c>
      <c r="E23058" t="s">
        <v>45388</v>
      </c>
    </row>
    <row r="23059" spans="1:5">
      <c r="A23059" t="s">
        <v>6</v>
      </c>
      <c r="B23059" t="s">
        <v>23064</v>
      </c>
      <c r="C23059">
        <f>HYPERLINK("C:\Users\franc\OneDrive\Documentos\MALENTIN KARIME\BANCO CREDITO\FER LORCA en ROSITA (Rosita)\ANA LUISA TODO\PROHIBICION\MERCEDES ALVAREZ.doc", "Abrir Documento")</f>
        <v>0</v>
      </c>
      <c r="D23059" t="s">
        <v>23500</v>
      </c>
      <c r="E23059" t="s">
        <v>45389</v>
      </c>
    </row>
    <row r="23060" spans="1:5">
      <c r="A23060" t="s">
        <v>6</v>
      </c>
      <c r="B23060" t="s">
        <v>23065</v>
      </c>
      <c r="C23060">
        <f>HYPERLINK("C:\Users\franc\OneDrive\Documentos\MALENTIN KARIME\BANCO CREDITO\FER LORCA en ROSITA (Rosita)\ANA LUISA TODO\PROHIBICION\MARCELINO LEON CORTES.doc", "Abrir Documento")</f>
        <v>0</v>
      </c>
      <c r="D23060" t="s">
        <v>23500</v>
      </c>
      <c r="E23060" t="s">
        <v>45390</v>
      </c>
    </row>
    <row r="23061" spans="1:5">
      <c r="A23061" t="s">
        <v>6</v>
      </c>
      <c r="B23061" t="s">
        <v>23066</v>
      </c>
      <c r="C23061">
        <f>HYPERLINK("C:\Users\franc\OneDrive\Documentos\MALENTIN KARIME\BANCO CREDITO\FER LORCA en ROSITA (Rosita)\ANA LUISA TODO\PROHIBICION\LORETO AHUMADA  (SOLA).doc", "Abrir Documento")</f>
        <v>0</v>
      </c>
      <c r="D23061" t="s">
        <v>23500</v>
      </c>
      <c r="E23061" t="s">
        <v>45391</v>
      </c>
    </row>
    <row r="23062" spans="1:5">
      <c r="A23062" t="s">
        <v>6</v>
      </c>
      <c r="B23062" t="s">
        <v>23067</v>
      </c>
      <c r="C23062">
        <f>HYPERLINK("C:\Users\franc\OneDrive\Documentos\MALENTIN KARIME\BANCO CREDITO\FER LORCA en ROSITA (Rosita)\ANA LUISA TODO\PROHIBICION\LUIS PLAZA CUELLO.doc", "Abrir Documento")</f>
        <v>0</v>
      </c>
      <c r="D23062" t="s">
        <v>23500</v>
      </c>
      <c r="E23062" t="s">
        <v>45391</v>
      </c>
    </row>
    <row r="23063" spans="1:5">
      <c r="A23063" t="s">
        <v>6</v>
      </c>
      <c r="B23063" t="s">
        <v>23068</v>
      </c>
      <c r="C23063">
        <f>HYPERLINK("C:\Users\franc\OneDrive\Documentos\MALENTIN KARIME\BANCO CREDITO\FER LORCA en ROSITA (Rosita)\ANA LUISA TODO\PROHIBICION\LEONOR ROBLES.doc", "Abrir Documento")</f>
        <v>0</v>
      </c>
      <c r="D23063" t="s">
        <v>23500</v>
      </c>
      <c r="E23063" t="s">
        <v>45392</v>
      </c>
    </row>
    <row r="23064" spans="1:5">
      <c r="A23064" t="s">
        <v>6</v>
      </c>
      <c r="B23064" t="s">
        <v>23069</v>
      </c>
      <c r="C23064">
        <f>HYPERLINK("C:\Users\franc\OneDrive\Documentos\MALENTIN KARIME\BANCO CREDITO\FER LORCA en ROSITA (Rosita)\ANA LUISA TODO\PROHIBICION\LAURA ROJAS Y CONYUGE JRALDO.doc", "Abrir Documento")</f>
        <v>0</v>
      </c>
      <c r="D23064" t="s">
        <v>23500</v>
      </c>
      <c r="E23064" t="s">
        <v>45393</v>
      </c>
    </row>
    <row r="23065" spans="1:5">
      <c r="A23065" t="s">
        <v>6</v>
      </c>
      <c r="B23065" t="s">
        <v>23070</v>
      </c>
      <c r="C23065">
        <f>HYPERLINK("C:\Users\franc\OneDrive\Documentos\MALENTIN KARIME\BANCO CREDITO\FER LORCA en ROSITA (Rosita)\ANA LUISA TODO\PROHIBICION\JULIO OLIVARES A SERVIU 25-04-2007.doc", "Abrir Documento")</f>
        <v>0</v>
      </c>
      <c r="D23065" t="s">
        <v>23500</v>
      </c>
      <c r="E23065" t="s">
        <v>45394</v>
      </c>
    </row>
    <row r="23066" spans="1:5">
      <c r="A23066" t="s">
        <v>6</v>
      </c>
      <c r="B23066" t="s">
        <v>23071</v>
      </c>
      <c r="C23066">
        <f>HYPERLINK("C:\Users\franc\OneDrive\Documentos\MALENTIN KARIME\BANCO CREDITO\FER LORCA en ROSITA (Rosita)\ANA LUISA TODO\PROHIBICION\JUANA TOLEDO[1].doc", "Abrir Documento")</f>
        <v>0</v>
      </c>
      <c r="D23066" t="s">
        <v>23500</v>
      </c>
      <c r="E23066" t="s">
        <v>45395</v>
      </c>
    </row>
    <row r="23067" spans="1:5">
      <c r="A23067" t="s">
        <v>6</v>
      </c>
      <c r="B23067" t="s">
        <v>23072</v>
      </c>
      <c r="C23067">
        <f>HYPERLINK("C:\Users\franc\OneDrive\Documentos\MALENTIN KARIME\BANCO CREDITO\FER LORCA en ROSITA (Rosita)\ANA LUISA TODO\PROHIBICION\JUAN GAHONA A SERVIU.doc", "Abrir Documento")</f>
        <v>0</v>
      </c>
      <c r="D23067" t="s">
        <v>23500</v>
      </c>
      <c r="E23067" t="s">
        <v>45396</v>
      </c>
    </row>
    <row r="23068" spans="1:5">
      <c r="A23068" t="s">
        <v>6</v>
      </c>
      <c r="B23068" t="s">
        <v>23073</v>
      </c>
      <c r="C23068">
        <f>HYPERLINK("C:\Users\franc\OneDrive\Documentos\MALENTIN KARIME\BANCO CREDITO\FER LORCA en ROSITA (Rosita)\ANA LUISA TODO\PROHIBICION\JORGE ZARATE A SERVIU.doc", "Abrir Documento")</f>
        <v>0</v>
      </c>
      <c r="D23068" t="s">
        <v>23500</v>
      </c>
      <c r="E23068" t="s">
        <v>45397</v>
      </c>
    </row>
    <row r="23069" spans="1:5">
      <c r="A23069" t="s">
        <v>6</v>
      </c>
      <c r="B23069" t="s">
        <v>23074</v>
      </c>
      <c r="C23069">
        <f>HYPERLINK("C:\Users\franc\OneDrive\Documentos\MALENTIN KARIME\BANCO CREDITO\FER LORCA en ROSITA (Rosita)\ANA LUISA TODO\PROHIBICION\JACINTO TORO A SERVIU.doc", "Abrir Documento")</f>
        <v>0</v>
      </c>
      <c r="D23069" t="s">
        <v>23500</v>
      </c>
      <c r="E23069" t="s">
        <v>45398</v>
      </c>
    </row>
    <row r="23070" spans="1:5">
      <c r="A23070" t="s">
        <v>6</v>
      </c>
      <c r="B23070" t="s">
        <v>23075</v>
      </c>
      <c r="C23070">
        <f>HYPERLINK("C:\Users\franc\OneDrive\Documentos\MALENTIN KARIME\BANCO CREDITO\FER LORCA en ROSITA (Rosita)\ANA LUISA TODO\PROHIBICION\IVAN HIDALGO Y CONYUGE.doc", "Abrir Documento")</f>
        <v>0</v>
      </c>
      <c r="D23070" t="s">
        <v>23500</v>
      </c>
      <c r="E23070" t="s">
        <v>45399</v>
      </c>
    </row>
    <row r="23071" spans="1:5">
      <c r="A23071" t="s">
        <v>6</v>
      </c>
      <c r="B23071" t="s">
        <v>23076</v>
      </c>
      <c r="C23071">
        <f>HYPERLINK("C:\Users\franc\OneDrive\Documentos\MALENTIN KARIME\BANCO CREDITO\FER LORCA en ROSITA (Rosita)\ANA LUISA TODO\PROHIBICION\HILDERGARD CUBILLOS.doc", "Abrir Documento")</f>
        <v>0</v>
      </c>
      <c r="D23071" t="s">
        <v>23500</v>
      </c>
      <c r="E23071" t="s">
        <v>45400</v>
      </c>
    </row>
    <row r="23072" spans="1:5">
      <c r="A23072" t="s">
        <v>6</v>
      </c>
      <c r="B23072" t="s">
        <v>23077</v>
      </c>
      <c r="C23072">
        <f>HYPERLINK("C:\Users\franc\OneDrive\Documentos\MALENTIN KARIME\BANCO CREDITO\FER LORCA en ROSITA (Rosita)\ANA LUISA TODO\PROHIBICION\HERNAN GODOY.doc", "Abrir Documento")</f>
        <v>0</v>
      </c>
      <c r="D23072" t="s">
        <v>23500</v>
      </c>
      <c r="E23072" t="s">
        <v>45401</v>
      </c>
    </row>
    <row r="23073" spans="1:5">
      <c r="A23073" t="s">
        <v>6</v>
      </c>
      <c r="B23073" t="s">
        <v>23078</v>
      </c>
      <c r="C23073">
        <f>HYPERLINK("C:\Users\franc\OneDrive\Documentos\MALENTIN KARIME\BANCO CREDITO\FER LORCA en ROSITA (Rosita)\ANA LUISA TODO\PROHIBICION\GUILLERMINA URQUETA (SOLA).doc", "Abrir Documento")</f>
        <v>0</v>
      </c>
      <c r="D23073" t="s">
        <v>23500</v>
      </c>
      <c r="E23073" t="s">
        <v>45402</v>
      </c>
    </row>
    <row r="23074" spans="1:5">
      <c r="A23074" t="s">
        <v>6</v>
      </c>
      <c r="B23074" t="s">
        <v>23079</v>
      </c>
      <c r="C23074">
        <f>HYPERLINK("C:\Users\franc\OneDrive\Documentos\MALENTIN KARIME\BANCO CREDITO\FER LORCA en ROSITA (Rosita)\ANA LUISA TODO\PROHIBICION\FERNANDO LEIVA.doc", "Abrir Documento")</f>
        <v>0</v>
      </c>
      <c r="D23074" t="s">
        <v>23500</v>
      </c>
      <c r="E23074" t="s">
        <v>45403</v>
      </c>
    </row>
    <row r="23075" spans="1:5">
      <c r="A23075" t="s">
        <v>6</v>
      </c>
      <c r="B23075" t="s">
        <v>23080</v>
      </c>
      <c r="C23075">
        <f>HYPERLINK("C:\Users\franc\OneDrive\Documentos\MALENTIN KARIME\BANCO CREDITO\FER LORCA en ROSITA (Rosita)\ANA LUISA TODO\PROHIBICION\GLADYS GALLARDO.doc", "Abrir Documento")</f>
        <v>0</v>
      </c>
      <c r="D23075" t="s">
        <v>23500</v>
      </c>
      <c r="E23075" t="s">
        <v>45403</v>
      </c>
    </row>
    <row r="23076" spans="1:5">
      <c r="A23076" t="s">
        <v>6</v>
      </c>
      <c r="B23076" t="s">
        <v>23081</v>
      </c>
      <c r="C23076">
        <f>HYPERLINK("C:\Users\franc\OneDrive\Documentos\MALENTIN KARIME\BANCO CREDITO\FER LORCA en ROSITA (Rosita)\ANA LUISA TODO\PROHIBICION\DAVID ROJAS.doc", "Abrir Documento")</f>
        <v>0</v>
      </c>
      <c r="D23076" t="s">
        <v>23500</v>
      </c>
      <c r="E23076" t="s">
        <v>45404</v>
      </c>
    </row>
    <row r="23077" spans="1:5">
      <c r="A23077" t="s">
        <v>6</v>
      </c>
      <c r="B23077" t="s">
        <v>23082</v>
      </c>
      <c r="C23077">
        <f>HYPERLINK("C:\Users\franc\OneDrive\Documentos\MALENTIN KARIME\BANCO CREDITO\FER LORCA en ROSITA (Rosita)\ANA LUISA TODO\PROHIBICION\COMITE PRO CASA VILLA ESPERANZA A SERVIU.doc", "Abrir Documento")</f>
        <v>0</v>
      </c>
      <c r="D23077" t="s">
        <v>23500</v>
      </c>
      <c r="E23077" t="s">
        <v>45405</v>
      </c>
    </row>
    <row r="23078" spans="1:5">
      <c r="A23078" t="s">
        <v>6</v>
      </c>
      <c r="B23078" t="s">
        <v>23083</v>
      </c>
      <c r="C23078">
        <f>HYPERLINK("C:\Users\franc\OneDrive\Documentos\MALENTIN KARIME\BANCO CREDITO\FER LORCA en ROSITA (Rosita)\ANA LUISA TODO\PROHIBICION\CLODOMIRO URQUIETA Y CONYUGE.doc", "Abrir Documento")</f>
        <v>0</v>
      </c>
      <c r="D23078" t="s">
        <v>23500</v>
      </c>
      <c r="E23078" t="s">
        <v>45406</v>
      </c>
    </row>
    <row r="23079" spans="1:5">
      <c r="A23079" t="s">
        <v>6</v>
      </c>
      <c r="B23079" t="s">
        <v>23084</v>
      </c>
      <c r="C23079">
        <f>HYPERLINK("C:\Users\franc\OneDrive\Documentos\MALENTIN KARIME\BANCO CREDITO\FER LORCA en ROSITA (Rosita)\ANA LUISA TODO\PROHIBICION\carlos larrondo y graciela julio.doc", "Abrir Documento")</f>
        <v>0</v>
      </c>
      <c r="D23079" t="s">
        <v>23500</v>
      </c>
      <c r="E23079" t="s">
        <v>45407</v>
      </c>
    </row>
    <row r="23080" spans="1:5">
      <c r="A23080" t="s">
        <v>6</v>
      </c>
      <c r="B23080" t="s">
        <v>23085</v>
      </c>
      <c r="C23080">
        <f>HYPERLINK("C:\Users\franc\OneDrive\Documentos\MALENTIN KARIME\BANCO CREDITO\FER LORCA en ROSITA (Rosita)\ANA LUISA TODO\PROHIBICION\ANA ARENAS A SERVIU.doc", "Abrir Documento")</f>
        <v>0</v>
      </c>
      <c r="D23080" t="s">
        <v>23500</v>
      </c>
      <c r="E23080" t="s">
        <v>45408</v>
      </c>
    </row>
    <row r="23081" spans="1:5">
      <c r="A23081" t="s">
        <v>6</v>
      </c>
      <c r="B23081" t="s">
        <v>23086</v>
      </c>
      <c r="C23081">
        <f>HYPERLINK("C:\Users\franc\OneDrive\Documentos\MALENTIN KARIME\BANCO CREDITO\FER LORCA en ROSITA (Rosita)\ANA LUISA TODO\PROHIBICION\ALEJANDRO IBAÑEZ A SERVIU.doc", "Abrir Documento")</f>
        <v>0</v>
      </c>
      <c r="D23081" t="s">
        <v>23500</v>
      </c>
      <c r="E23081" t="s">
        <v>45409</v>
      </c>
    </row>
    <row r="23082" spans="1:5">
      <c r="A23082" t="s">
        <v>6</v>
      </c>
      <c r="B23082" t="s">
        <v>23087</v>
      </c>
      <c r="C23082">
        <f>HYPERLINK("C:\Users\franc\OneDrive\Documentos\MALENTIN KARIME\BANCO CREDITO\FER LORCA en ROSITA (Rosita)\ANA LUISA TODO\PROHENS\RAFAEL PROHENS Y CIA. LTDA. MANDATO ESPECIAL.doc", "Abrir Documento")</f>
        <v>0</v>
      </c>
      <c r="D23082" t="s">
        <v>23500</v>
      </c>
      <c r="E23082" t="s">
        <v>45410</v>
      </c>
    </row>
    <row r="23083" spans="1:5">
      <c r="A23083" t="s">
        <v>6</v>
      </c>
      <c r="B23083" t="s">
        <v>23088</v>
      </c>
      <c r="C23083">
        <f>HYPERLINK("C:\Users\franc\OneDrive\Documentos\MALENTIN KARIME\BANCO CREDITO\FER LORCA en ROSITA (Rosita)\ANA LUISA TODO\PROHENS\MODIFIC. EST. RAFAEL PROHENS Y CIA..doc", "Abrir Documento")</f>
        <v>0</v>
      </c>
      <c r="D23083" t="s">
        <v>23500</v>
      </c>
      <c r="E23083" t="s">
        <v>45411</v>
      </c>
    </row>
    <row r="23084" spans="1:5">
      <c r="A23084" t="s">
        <v>6</v>
      </c>
      <c r="B23084" t="s">
        <v>23089</v>
      </c>
      <c r="C23084">
        <f>HYPERLINK("C:\Users\franc\OneDrive\Documentos\MALENTIN KARIME\BANCO CREDITO\FER LORCA en ROSITA (Rosita)\ANA LUISA TODO\PROHENS\MARIA FIGARI A AGRICOLA PROFI LTDA..doc", "Abrir Documento")</f>
        <v>0</v>
      </c>
      <c r="D23084" t="s">
        <v>23500</v>
      </c>
      <c r="E23084" t="s">
        <v>45412</v>
      </c>
    </row>
    <row r="23085" spans="1:5">
      <c r="A23085" t="s">
        <v>6</v>
      </c>
      <c r="B23085" t="s">
        <v>23090</v>
      </c>
      <c r="C23085">
        <f>HYPERLINK("C:\Users\franc\OneDrive\Documentos\MALENTIN KARIME\BANCO CREDITO\FER LORCA en ROSITA (Rosita)\ANA LUISA TODO\PROHENS\extracto Rafael Prohens.doc", "Abrir Documento")</f>
        <v>0</v>
      </c>
      <c r="D23085" t="s">
        <v>23500</v>
      </c>
      <c r="E23085" t="s">
        <v>45413</v>
      </c>
    </row>
    <row r="23086" spans="1:5">
      <c r="A23086" t="s">
        <v>6</v>
      </c>
      <c r="B23086" t="s">
        <v>23091</v>
      </c>
      <c r="C23086">
        <f>HYPERLINK("C:\Users\franc\OneDrive\Documentos\MALENTIN KARIME\BANCO CREDITO\FER LORCA en ROSITA (Rosita)\ANA LUISA TODO\PRENDAS SIN DESPLAZAMIENTO\LOS LLANOS DE LIMARI A SOC. AGRIC. COM. LTDA..doc", "Abrir Documento")</f>
        <v>0</v>
      </c>
      <c r="D23086" t="s">
        <v>23500</v>
      </c>
      <c r="E23086" t="s">
        <v>45414</v>
      </c>
    </row>
    <row r="23087" spans="1:5">
      <c r="A23087" t="s">
        <v>6</v>
      </c>
      <c r="B23087" t="s">
        <v>23092</v>
      </c>
      <c r="C23087">
        <f>HYPERLINK("C:\Users\franc\OneDrive\Documentos\MALENTIN KARIME\BANCO CREDITO\FER LORCA en ROSITA (Rosita)\ANA LUISA TODO\PRENDA SIN DESPLAZAMIENTO\TOMAS ARDILES A EPYSA LTDA. (PRENDA INDUSTRIAL).doc", "Abrir Documento")</f>
        <v>0</v>
      </c>
      <c r="D23087" t="s">
        <v>23500</v>
      </c>
      <c r="E23087" t="s">
        <v>45415</v>
      </c>
    </row>
    <row r="23088" spans="1:5">
      <c r="A23088" t="s">
        <v>6</v>
      </c>
      <c r="B23088" t="s">
        <v>23093</v>
      </c>
      <c r="C23088">
        <f>HYPERLINK("C:\Users\franc\OneDrive\Documentos\MALENTIN KARIME\BANCO CREDITO\FER LORCA en ROSITA (Rosita)\ANA LUISA TODO\PRENDA SIN DESPLAZAMIENTO\SOC. MINERA BOYENS LTDA..doc", "Abrir Documento")</f>
        <v>0</v>
      </c>
      <c r="D23088" t="s">
        <v>23500</v>
      </c>
      <c r="E23088" t="s">
        <v>45416</v>
      </c>
    </row>
    <row r="23089" spans="1:5">
      <c r="A23089" t="s">
        <v>6</v>
      </c>
      <c r="B23089" t="s">
        <v>23094</v>
      </c>
      <c r="C23089">
        <f>HYPERLINK("C:\Users\franc\OneDrive\Documentos\MALENTIN KARIME\BANCO CREDITO\FER LORCA en ROSITA (Rosita)\ANA LUISA TODO\PRENDA SIN DESPLAZAMIENTO\SOC. MINERA BOYENS LTDA. FINAS.doc", "Abrir Documento")</f>
        <v>0</v>
      </c>
      <c r="D23089" t="s">
        <v>23500</v>
      </c>
      <c r="E23089" t="s">
        <v>45417</v>
      </c>
    </row>
    <row r="23090" spans="1:5">
      <c r="A23090" t="s">
        <v>6</v>
      </c>
      <c r="B23090" t="s">
        <v>23095</v>
      </c>
      <c r="C23090">
        <f>HYPERLINK("C:\Users\franc\OneDrive\Documentos\MALENTIN KARIME\BANCO CREDITO\FER LORCA en ROSITA (Rosita)\ANA LUISA TODO\PRENDA SIN DESPLAZAMIENTO\SOC. BOYENS CON ORIEL PERINES (PARTICULAR).doc", "Abrir Documento")</f>
        <v>0</v>
      </c>
      <c r="D23090" t="s">
        <v>23500</v>
      </c>
      <c r="E23090" t="s">
        <v>45418</v>
      </c>
    </row>
    <row r="23091" spans="1:5">
      <c r="A23091" t="s">
        <v>6</v>
      </c>
      <c r="B23091" t="s">
        <v>23096</v>
      </c>
      <c r="C23091">
        <f>HYPERLINK("C:\Users\franc\OneDrive\Documentos\MALENTIN KARIME\BANCO CREDITO\FER LORCA en ROSITA (Rosita)\ANA LUISA TODO\PRENDA SIN DESPLAZAMIENTO\MARCO ADAOS A AGRICOLA EL TREBOL.doc", "Abrir Documento")</f>
        <v>0</v>
      </c>
      <c r="D23091" t="s">
        <v>23500</v>
      </c>
      <c r="E23091" t="s">
        <v>45419</v>
      </c>
    </row>
    <row r="23092" spans="1:5">
      <c r="A23092" t="s">
        <v>6</v>
      </c>
      <c r="B23092" t="s">
        <v>23097</v>
      </c>
      <c r="C23092">
        <f>HYPERLINK("C:\Users\franc\OneDrive\Documentos\MALENTIN KARIME\BANCO CREDITO\FER LORCA en ROSITA (Rosita)\ANA LUISA TODO\PRENDA SIN DESPLAZAMIENTO\JUAN MARAMBIO A COPEVAL.doc", "Abrir Documento")</f>
        <v>0</v>
      </c>
      <c r="D23092" t="s">
        <v>23500</v>
      </c>
      <c r="E23092" t="s">
        <v>45420</v>
      </c>
    </row>
    <row r="23093" spans="1:5">
      <c r="A23093" t="s">
        <v>6</v>
      </c>
      <c r="B23093" t="s">
        <v>23098</v>
      </c>
      <c r="C23093">
        <f>HYPERLINK("C:\Users\franc\OneDrive\Documentos\MALENTIN KARIME\BANCO CREDITO\FER LORCA en ROSITA (Rosita)\ANA LUISA TODO\PRENDA SIN DESPLAZAMIENTO\MARCO ADAOS A AGRICOLA EL TREBOL (PARTICULAR).doc", "Abrir Documento")</f>
        <v>0</v>
      </c>
      <c r="D23093" t="s">
        <v>23500</v>
      </c>
      <c r="E23093" t="s">
        <v>45420</v>
      </c>
    </row>
    <row r="23094" spans="1:5">
      <c r="A23094" t="s">
        <v>6</v>
      </c>
      <c r="B23094" t="s">
        <v>23099</v>
      </c>
      <c r="C23094">
        <f>HYPERLINK("C:\Users\franc\OneDrive\Documentos\MALENTIN KARIME\BANCO CREDITO\FER LORCA en ROSITA (Rosita)\ANA LUISA TODO\PRENDA SIN DESPLAZAMIENTO\HUGO HENRIQUEZ A AGRICOLA EL TREBOL.doc", "Abrir Documento")</f>
        <v>0</v>
      </c>
      <c r="D23094" t="s">
        <v>23500</v>
      </c>
      <c r="E23094" t="s">
        <v>45421</v>
      </c>
    </row>
    <row r="23095" spans="1:5">
      <c r="A23095" t="s">
        <v>6</v>
      </c>
      <c r="B23095" t="s">
        <v>23100</v>
      </c>
      <c r="C23095">
        <f>HYPERLINK("C:\Users\franc\OneDrive\Documentos\MALENTIN KARIME\BANCO CREDITO\FER LORCA en ROSITA (Rosita)\ANA LUISA TODO\PRENDA SIN DESPLAZAMIENTO\HUGO HENRIQUEZ A AGRICOLA EL TREBOL (PARTICULAR).doc", "Abrir Documento")</f>
        <v>0</v>
      </c>
      <c r="D23095" t="s">
        <v>23500</v>
      </c>
      <c r="E23095" t="s">
        <v>45422</v>
      </c>
    </row>
    <row r="23096" spans="1:5">
      <c r="A23096" t="s">
        <v>6</v>
      </c>
      <c r="B23096" t="s">
        <v>23101</v>
      </c>
      <c r="C23096">
        <f>HYPERLINK("C:\Users\franc\OneDrive\Documentos\MALENTIN KARIME\BANCO CREDITO\FER LORCA en ROSITA (Rosita)\ANA LUISA TODO\PRENDA SIN DESPLAZAMIENTO\EXTRACTO JUAN MARAMBIO A COPEVAL.doc", "Abrir Documento")</f>
        <v>0</v>
      </c>
      <c r="D23096" t="s">
        <v>23500</v>
      </c>
      <c r="E23096" t="s">
        <v>45423</v>
      </c>
    </row>
    <row r="23097" spans="1:5">
      <c r="A23097" t="s">
        <v>6</v>
      </c>
      <c r="B23097" t="s">
        <v>23102</v>
      </c>
      <c r="C23097">
        <f>HYPERLINK("C:\Users\franc\OneDrive\Documentos\MALENTIN KARIME\BANCO CREDITO\FER LORCA en ROSITA (Rosita)\ANA LUISA TODO\PERMUTA\Samuel Rojo a Ricardo ALlende 2.doc", "Abrir Documento")</f>
        <v>0</v>
      </c>
      <c r="D23097" t="s">
        <v>23500</v>
      </c>
      <c r="E23097" t="s">
        <v>45424</v>
      </c>
    </row>
    <row r="23098" spans="1:5">
      <c r="A23098" t="s">
        <v>6</v>
      </c>
      <c r="B23098" t="s">
        <v>23103</v>
      </c>
      <c r="C23098">
        <f>HYPERLINK("C:\Users\franc\OneDrive\Documentos\MALENTIN KARIME\BANCO CREDITO\FER LORCA en ROSITA (Rosita)\ANA LUISA TODO\PERMUTA\Samuel Rojo a Ricardo ALlende.doc", "Abrir Documento")</f>
        <v>0</v>
      </c>
      <c r="D23098" t="s">
        <v>23500</v>
      </c>
      <c r="E23098" t="s">
        <v>45424</v>
      </c>
    </row>
    <row r="23099" spans="1:5">
      <c r="A23099" t="s">
        <v>6</v>
      </c>
      <c r="B23099" t="s">
        <v>23104</v>
      </c>
      <c r="C23099">
        <f>HYPERLINK("C:\Users\franc\OneDrive\Documentos\MALENTIN KARIME\BANCO CREDITO\FER LORCA en ROSITA (Rosita)\ANA LUISA TODO\PATRICIA ALFARO\NICOLASA IRIBARREN Y OT. A HOWAR MUÑOZ.doc", "Abrir Documento")</f>
        <v>0</v>
      </c>
      <c r="D23099" t="s">
        <v>23500</v>
      </c>
      <c r="E23099" t="s">
        <v>45425</v>
      </c>
    </row>
    <row r="23100" spans="1:5">
      <c r="A23100" t="s">
        <v>6</v>
      </c>
      <c r="B23100" t="s">
        <v>23105</v>
      </c>
      <c r="C23100">
        <f>HYPERLINK("C:\Users\franc\OneDrive\Documentos\MALENTIN KARIME\BANCO CREDITO\FER LORCA en ROSITA (Rosita)\ANA LUISA TODO\PATRICIA ALFARO\COMPLEMENTACION MIRNA.doc", "Abrir Documento")</f>
        <v>0</v>
      </c>
      <c r="D23100" t="s">
        <v>23500</v>
      </c>
      <c r="E23100" t="s">
        <v>45426</v>
      </c>
    </row>
    <row r="23101" spans="1:5">
      <c r="A23101" t="s">
        <v>6</v>
      </c>
      <c r="B23101" t="s">
        <v>23106</v>
      </c>
      <c r="C23101">
        <f>HYPERLINK("C:\Users\franc\OneDrive\Documentos\MALENTIN KARIME\BANCO CREDITO\FER LORCA en ROSITA (Rosita)\ANA LUISA TODO\PATRICIA ALFARO\HUGO CORTES Y OTRO (SUBDIVISION).doc", "Abrir Documento")</f>
        <v>0</v>
      </c>
      <c r="D23101" t="s">
        <v>23500</v>
      </c>
      <c r="E23101" t="s">
        <v>45426</v>
      </c>
    </row>
    <row r="23102" spans="1:5">
      <c r="A23102" t="s">
        <v>6</v>
      </c>
      <c r="B23102" t="s">
        <v>23107</v>
      </c>
      <c r="C23102">
        <f>HYPERLINK("C:\Users\franc\OneDrive\Documentos\MALENTIN KARIME\BANCO CREDITO\FER LORCA en ROSITA (Rosita)\ANA LUISA TODO\PATRICIA ALFARO\COMPLEMENTACION HUGO CORTES.doc", "Abrir Documento")</f>
        <v>0</v>
      </c>
      <c r="D23102" t="s">
        <v>23500</v>
      </c>
      <c r="E23102" t="s">
        <v>45427</v>
      </c>
    </row>
    <row r="23103" spans="1:5">
      <c r="A23103" t="s">
        <v>6</v>
      </c>
      <c r="B23103" t="s">
        <v>23108</v>
      </c>
      <c r="C23103">
        <f>HYPERLINK("C:\Users\franc\OneDrive\Documentos\MALENTIN KARIME\BANCO CREDITO\FER LORCA en ROSITA (Rosita)\ANA LUISA TODO\PATRICIA ALFARO\COMODATO COM AGRICOLA POTRERILLO A CLUB DEP. UNION JUVENTUD.doc", "Abrir Documento")</f>
        <v>0</v>
      </c>
      <c r="D23103" t="s">
        <v>23500</v>
      </c>
      <c r="E23103" t="s">
        <v>45428</v>
      </c>
    </row>
    <row r="23104" spans="1:5">
      <c r="A23104" t="s">
        <v>6</v>
      </c>
      <c r="B23104" t="s">
        <v>23109</v>
      </c>
      <c r="C23104">
        <f>HYPERLINK("C:\Users\franc\OneDrive\Documentos\MALENTIN KARIME\BANCO CREDITO\FER LORCA en ROSITA (Rosita)\ANA LUISA TODO\PATRICIA ALFARO\comodato club de rodeo.doc", "Abrir Documento")</f>
        <v>0</v>
      </c>
      <c r="D23104" t="s">
        <v>23500</v>
      </c>
      <c r="E23104" t="s">
        <v>45429</v>
      </c>
    </row>
    <row r="23105" spans="1:5">
      <c r="A23105" t="s">
        <v>6</v>
      </c>
      <c r="B23105" t="s">
        <v>23110</v>
      </c>
      <c r="C23105">
        <f>HYPERLINK("C:\Users\franc\OneDrive\Documentos\MALENTIN KARIME\BANCO CREDITO\FER LORCA en ROSITA (Rosita)\ANA LUISA TODO\MUNICIPALIDAD RIO HURTADO\MODIFICA COMPLEJO HUAMPULLA.doc", "Abrir Documento")</f>
        <v>0</v>
      </c>
      <c r="D23105" t="s">
        <v>23501</v>
      </c>
      <c r="E23105" t="s">
        <v>45430</v>
      </c>
    </row>
    <row r="23106" spans="1:5">
      <c r="A23106" t="s">
        <v>6</v>
      </c>
      <c r="B23106" t="s">
        <v>23111</v>
      </c>
      <c r="C23106">
        <f>HYPERLINK("C:\Users\franc\OneDrive\Documentos\MALENTIN KARIME\BANCO CREDITO\FER LORCA en ROSITA (Rosita)\ANA LUISA TODO\MUNICIPALIDAD RIO HURTADO\COMPLEJO HUAMPULLA (MODIFICA.doc", "Abrir Documento")</f>
        <v>0</v>
      </c>
      <c r="D23106" t="s">
        <v>23501</v>
      </c>
      <c r="E23106" t="s">
        <v>45431</v>
      </c>
    </row>
    <row r="23107" spans="1:5">
      <c r="A23107" t="s">
        <v>6</v>
      </c>
      <c r="B23107" t="s">
        <v>23112</v>
      </c>
      <c r="C23107">
        <f>HYPERLINK("C:\Users\franc\OneDrive\Documentos\MALENTIN KARIME\BANCO CREDITO\FER LORCA en ROSITA (Rosita)\ANA LUISA TODO\MUNICIPALIDAD RIO HURTADO\AUTORIZ FIRMA.doc", "Abrir Documento")</f>
        <v>0</v>
      </c>
      <c r="D23107" t="s">
        <v>23501</v>
      </c>
      <c r="E23107" t="s">
        <v>45432</v>
      </c>
    </row>
    <row r="23108" spans="1:5">
      <c r="A23108" t="s">
        <v>6</v>
      </c>
      <c r="B23108" t="s">
        <v>23113</v>
      </c>
      <c r="C23108">
        <f>HYPERLINK("C:\Users\franc\OneDrive\Documentos\MALENTIN KARIME\BANCO CREDITO\FER LORCA en ROSITA (Rosita)\ANA LUISA TODO\MUNICIPALIDAD DE OVALLE\PROTOCOLIZACION CONTRATO BERNARDO CORTES.doc", "Abrir Documento")</f>
        <v>0</v>
      </c>
      <c r="D23108" t="s">
        <v>23501</v>
      </c>
      <c r="E23108" t="s">
        <v>45433</v>
      </c>
    </row>
    <row r="23109" spans="1:5">
      <c r="A23109" t="s">
        <v>6</v>
      </c>
      <c r="B23109" t="s">
        <v>23114</v>
      </c>
      <c r="C23109">
        <f>HYPERLINK("C:\Users\franc\OneDrive\Documentos\MALENTIN KARIME\BANCO CREDITO\FER LORCA en ROSITA (Rosita)\ANA LUISA TODO\MUNICIPALIDAD DE OVALLE\MUNICIP.  A FABRICIO ROJAS  (MANDATO JUDICIAL).doc", "Abrir Documento")</f>
        <v>0</v>
      </c>
      <c r="D23109" t="s">
        <v>23501</v>
      </c>
      <c r="E23109" t="s">
        <v>45434</v>
      </c>
    </row>
    <row r="23110" spans="1:5">
      <c r="A23110" t="s">
        <v>6</v>
      </c>
      <c r="B23110" t="s">
        <v>23115</v>
      </c>
      <c r="C23110">
        <f>HYPERLINK("C:\Users\franc\OneDrive\Documentos\MALENTIN KARIME\BANCO CREDITO\FER LORCA en ROSITA (Rosita)\ANA LUISA TODO\MUNICIPALIDAD DE OVALLE\MODIF. CONST. SEDE COM. VILLA LA PAZ - SAMUEL VILLARROEL.doc", "Abrir Documento")</f>
        <v>0</v>
      </c>
      <c r="D23110" t="s">
        <v>23501</v>
      </c>
      <c r="E23110" t="s">
        <v>45435</v>
      </c>
    </row>
    <row r="23111" spans="1:5">
      <c r="A23111" t="s">
        <v>6</v>
      </c>
      <c r="B23111" t="s">
        <v>23116</v>
      </c>
      <c r="C23111">
        <f>HYPERLINK("C:\Users\franc\OneDrive\Documentos\MALENTIN KARIME\BANCO CREDITO\FER LORCA en ROSITA (Rosita)\ANA LUISA TODO\MUNICIPALIDAD DE OVALLE\MODIF. CONST. CHARLESBURG - SAMUEL VILLARROEL.doc", "Abrir Documento")</f>
        <v>0</v>
      </c>
      <c r="D23111" t="s">
        <v>23501</v>
      </c>
      <c r="E23111" t="s">
        <v>45436</v>
      </c>
    </row>
    <row r="23112" spans="1:5">
      <c r="A23112" t="s">
        <v>6</v>
      </c>
      <c r="B23112" t="s">
        <v>23117</v>
      </c>
      <c r="C23112">
        <f>HYPERLINK("C:\Users\franc\OneDrive\Documentos\MALENTIN KARIME\BANCO CREDITO\FER LORCA en ROSITA (Rosita)\ANA LUISA TODO\MUNICIPALIDAD DE OVALLE\BERNARDO CORTES (AGOSTO 2007).doc", "Abrir Documento")</f>
        <v>0</v>
      </c>
      <c r="D23112" t="s">
        <v>23501</v>
      </c>
      <c r="E23112" t="s">
        <v>45437</v>
      </c>
    </row>
    <row r="23113" spans="1:5">
      <c r="A23113" t="s">
        <v>6</v>
      </c>
      <c r="B23113" t="s">
        <v>23118</v>
      </c>
      <c r="C23113">
        <f>HYPERLINK("C:\Users\franc\OneDrive\Documentos\MALENTIN KARIME\BANCO CREDITO\FER LORCA en ROSITA (Rosita)\ANA LUISA TODO\MITSUI\VICTOR FUENTES.doc", "Abrir Documento")</f>
        <v>0</v>
      </c>
      <c r="D23113" t="s">
        <v>23501</v>
      </c>
      <c r="E23113" t="s">
        <v>45438</v>
      </c>
    </row>
    <row r="23114" spans="1:5">
      <c r="A23114" t="s">
        <v>6</v>
      </c>
      <c r="B23114" t="s">
        <v>23119</v>
      </c>
      <c r="C23114">
        <f>HYPERLINK("C:\Users\franc\OneDrive\Documentos\MALENTIN KARIME\BANCO CREDITO\FER LORCA en ROSITA (Rosita)\ANA LUISA TODO\MITSUI\ULISES ROJAS ORTIZ.doc", "Abrir Documento")</f>
        <v>0</v>
      </c>
      <c r="D23114" t="s">
        <v>23501</v>
      </c>
      <c r="E23114" t="s">
        <v>45439</v>
      </c>
    </row>
    <row r="23115" spans="1:5">
      <c r="A23115" t="s">
        <v>6</v>
      </c>
      <c r="B23115" t="s">
        <v>23120</v>
      </c>
      <c r="C23115">
        <f>HYPERLINK("C:\Users\franc\OneDrive\Documentos\MALENTIN KARIME\BANCO CREDITO\FER LORCA en ROSITA (Rosita)\ANA LUISA TODO\MITSUI\SEBASTIAN SUAZO LOPZ.doc", "Abrir Documento")</f>
        <v>0</v>
      </c>
      <c r="D23115" t="s">
        <v>23501</v>
      </c>
      <c r="E23115" t="s">
        <v>45440</v>
      </c>
    </row>
    <row r="23116" spans="1:5">
      <c r="A23116" t="s">
        <v>6</v>
      </c>
      <c r="B23116" t="s">
        <v>23121</v>
      </c>
      <c r="C23116">
        <f>HYPERLINK("C:\Users\franc\OneDrive\Documentos\MALENTIN KARIME\BANCO CREDITO\FER LORCA en ROSITA (Rosita)\ANA LUISA TODO\MITSUI\RODOLFO HENRIQUEZ.doc", "Abrir Documento")</f>
        <v>0</v>
      </c>
      <c r="D23116" t="s">
        <v>23501</v>
      </c>
      <c r="E23116" t="s">
        <v>45441</v>
      </c>
    </row>
    <row r="23117" spans="1:5">
      <c r="A23117" t="s">
        <v>6</v>
      </c>
      <c r="B23117" t="s">
        <v>23122</v>
      </c>
      <c r="C23117">
        <f>HYPERLINK("C:\Users\franc\OneDrive\Documentos\MALENTIN KARIME\BANCO CREDITO\FER LORCA en ROSITA (Rosita)\ANA LUISA TODO\MITSUI\RAFAEL CASTELLANOS ARCE.doc", "Abrir Documento")</f>
        <v>0</v>
      </c>
      <c r="D23117" t="s">
        <v>23501</v>
      </c>
      <c r="E23117" t="s">
        <v>45442</v>
      </c>
    </row>
    <row r="23118" spans="1:5">
      <c r="A23118" t="s">
        <v>6</v>
      </c>
      <c r="B23118" t="s">
        <v>23123</v>
      </c>
      <c r="C23118">
        <f>HYPERLINK("C:\Users\franc\OneDrive\Documentos\MALENTIN KARIME\BANCO CREDITO\FER LORCA en ROSITA (Rosita)\ANA LUISA TODO\MITSUI\PEDRO VEGA Y OTRO.doc", "Abrir Documento")</f>
        <v>0</v>
      </c>
      <c r="D23118" t="s">
        <v>23501</v>
      </c>
      <c r="E23118" t="s">
        <v>45443</v>
      </c>
    </row>
    <row r="23119" spans="1:5">
      <c r="A23119" t="s">
        <v>6</v>
      </c>
      <c r="B23119" t="s">
        <v>23124</v>
      </c>
      <c r="C23119">
        <f>HYPERLINK("C:\Users\franc\OneDrive\Documentos\MALENTIN KARIME\BANCO CREDITO\FER LORCA en ROSITA (Rosita)\ANA LUISA TODO\MITSUI\PEDRO ROJAS   (M. METTIFOGO).doc", "Abrir Documento")</f>
        <v>0</v>
      </c>
      <c r="D23119" t="s">
        <v>23501</v>
      </c>
      <c r="E23119" t="s">
        <v>45444</v>
      </c>
    </row>
    <row r="23120" spans="1:5">
      <c r="A23120" t="s">
        <v>6</v>
      </c>
      <c r="B23120" t="s">
        <v>23125</v>
      </c>
      <c r="C23120">
        <f>HYPERLINK("C:\Users\franc\OneDrive\Documentos\MALENTIN KARIME\BANCO CREDITO\FER LORCA en ROSITA (Rosita)\ANA LUISA TODO\MITSUI\PATRICIA ZUMARAN.doc", "Abrir Documento")</f>
        <v>0</v>
      </c>
      <c r="D23120" t="s">
        <v>23501</v>
      </c>
      <c r="E23120" t="s">
        <v>45445</v>
      </c>
    </row>
    <row r="23121" spans="1:5">
      <c r="A23121" t="s">
        <v>6</v>
      </c>
      <c r="B23121" t="s">
        <v>23126</v>
      </c>
      <c r="C23121">
        <f>HYPERLINK("C:\Users\franc\OneDrive\Documentos\MALENTIN KARIME\BANCO CREDITO\FER LORCA en ROSITA (Rosita)\ANA LUISA TODO\MITSUI\PATRICIA ACOSTA.doc", "Abrir Documento")</f>
        <v>0</v>
      </c>
      <c r="D23121" t="s">
        <v>23501</v>
      </c>
      <c r="E23121" t="s">
        <v>45446</v>
      </c>
    </row>
    <row r="23122" spans="1:5">
      <c r="A23122" t="s">
        <v>6</v>
      </c>
      <c r="B23122" t="s">
        <v>23127</v>
      </c>
      <c r="C23122">
        <f>HYPERLINK("C:\Users\franc\OneDrive\Documentos\MALENTIN KARIME\BANCO CREDITO\FER LORCA en ROSITA (Rosita)\ANA LUISA TODO\MITSUI\PAMELA ROJAS CORTES.doc", "Abrir Documento")</f>
        <v>0</v>
      </c>
      <c r="D23122" t="s">
        <v>23501</v>
      </c>
      <c r="E23122" t="s">
        <v>45447</v>
      </c>
    </row>
    <row r="23123" spans="1:5">
      <c r="A23123" t="s">
        <v>6</v>
      </c>
      <c r="B23123" t="s">
        <v>23128</v>
      </c>
      <c r="C23123">
        <f>HYPERLINK("C:\Users\franc\OneDrive\Documentos\MALENTIN KARIME\BANCO CREDITO\FER LORCA en ROSITA (Rosita)\ANA LUISA TODO\MITSUI\NOLVIA JOFRE TAPIA.doc", "Abrir Documento")</f>
        <v>0</v>
      </c>
      <c r="D23123" t="s">
        <v>23501</v>
      </c>
      <c r="E23123" t="s">
        <v>45448</v>
      </c>
    </row>
    <row r="23124" spans="1:5">
      <c r="A23124" t="s">
        <v>6</v>
      </c>
      <c r="B23124" t="s">
        <v>23129</v>
      </c>
      <c r="C23124">
        <f>HYPERLINK("C:\Users\franc\OneDrive\Documentos\MALENTIN KARIME\BANCO CREDITO\FER LORCA en ROSITA (Rosita)\ANA LUISA TODO\MITSUI\MODELO PODER.doc", "Abrir Documento")</f>
        <v>0</v>
      </c>
      <c r="D23124" t="s">
        <v>23501</v>
      </c>
      <c r="E23124" t="s">
        <v>45449</v>
      </c>
    </row>
    <row r="23125" spans="1:5">
      <c r="A23125" t="s">
        <v>6</v>
      </c>
      <c r="B23125" t="s">
        <v>23130</v>
      </c>
      <c r="C23125">
        <f>HYPERLINK("C:\Users\franc\OneDrive\Documentos\MALENTIN KARIME\BANCO CREDITO\FER LORCA en ROSITA (Rosita)\ANA LUISA TODO\MITSUI\MODELO MANDATO PRIVADO.doc", "Abrir Documento")</f>
        <v>0</v>
      </c>
      <c r="D23125" t="s">
        <v>23501</v>
      </c>
      <c r="E23125" t="s">
        <v>45450</v>
      </c>
    </row>
    <row r="23126" spans="1:5">
      <c r="A23126" t="s">
        <v>6</v>
      </c>
      <c r="B23126" t="s">
        <v>23131</v>
      </c>
      <c r="C23126">
        <f>HYPERLINK("C:\Users\franc\OneDrive\Documentos\MALENTIN KARIME\BANCO CREDITO\FER LORCA en ROSITA (Rosita)\ANA LUISA TODO\MITSUI\MARIA MARIN PONCE.doc", "Abrir Documento")</f>
        <v>0</v>
      </c>
      <c r="D23126" t="s">
        <v>23501</v>
      </c>
      <c r="E23126" t="s">
        <v>45451</v>
      </c>
    </row>
    <row r="23127" spans="1:5">
      <c r="A23127" t="s">
        <v>6</v>
      </c>
      <c r="B23127" t="s">
        <v>23132</v>
      </c>
      <c r="C23127">
        <f>HYPERLINK("C:\Users\franc\OneDrive\Documentos\MALENTIN KARIME\BANCO CREDITO\FER LORCA en ROSITA (Rosita)\ANA LUISA TODO\MITSUI\MARGARITA LOPEZ FERREIRA.doc", "Abrir Documento")</f>
        <v>0</v>
      </c>
      <c r="D23127" t="s">
        <v>23501</v>
      </c>
      <c r="E23127" t="s">
        <v>45452</v>
      </c>
    </row>
    <row r="23128" spans="1:5">
      <c r="A23128" t="s">
        <v>6</v>
      </c>
      <c r="B23128" t="s">
        <v>23133</v>
      </c>
      <c r="C23128">
        <f>HYPERLINK("C:\Users\franc\OneDrive\Documentos\MALENTIN KARIME\BANCO CREDITO\FER LORCA en ROSITA (Rosita)\ANA LUISA TODO\MITSUI\JUAN MARAMBIO Y OTRA.doc", "Abrir Documento")</f>
        <v>0</v>
      </c>
      <c r="D23128" t="s">
        <v>23501</v>
      </c>
      <c r="E23128" t="s">
        <v>45453</v>
      </c>
    </row>
    <row r="23129" spans="1:5">
      <c r="A23129" t="s">
        <v>6</v>
      </c>
      <c r="B23129" t="s">
        <v>23134</v>
      </c>
      <c r="C23129">
        <f>HYPERLINK("C:\Users\franc\OneDrive\Documentos\MALENTIN KARIME\BANCO CREDITO\FER LORCA en ROSITA (Rosita)\ANA LUISA TODO\MITSUI\JAVIER VERGARA (SEP. 2008).doc", "Abrir Documento")</f>
        <v>0</v>
      </c>
      <c r="D23129" t="s">
        <v>23501</v>
      </c>
      <c r="E23129" t="s">
        <v>45454</v>
      </c>
    </row>
    <row r="23130" spans="1:5">
      <c r="A23130" t="s">
        <v>6</v>
      </c>
      <c r="B23130" t="s">
        <v>23135</v>
      </c>
      <c r="C23130">
        <f>HYPERLINK("C:\Users\franc\OneDrive\Documentos\MALENTIN KARIME\BANCO CREDITO\FER LORCA en ROSITA (Rosita)\ANA LUISA TODO\MITSUI\GUILLERMO VALDES.doc", "Abrir Documento")</f>
        <v>0</v>
      </c>
      <c r="D23130" t="s">
        <v>23501</v>
      </c>
      <c r="E23130" t="s">
        <v>45455</v>
      </c>
    </row>
    <row r="23131" spans="1:5">
      <c r="A23131" t="s">
        <v>6</v>
      </c>
      <c r="B23131" t="s">
        <v>23136</v>
      </c>
      <c r="C23131">
        <f>HYPERLINK("C:\Users\franc\OneDrive\Documentos\MALENTIN KARIME\BANCO CREDITO\FER LORCA en ROSITA (Rosita)\ANA LUISA TODO\MITSUI\CAROLINA CONTRERAS.doc", "Abrir Documento")</f>
        <v>0</v>
      </c>
      <c r="D23131" t="s">
        <v>23501</v>
      </c>
      <c r="E23131" t="s">
        <v>45456</v>
      </c>
    </row>
    <row r="23132" spans="1:5">
      <c r="A23132" t="s">
        <v>6</v>
      </c>
      <c r="B23132" t="s">
        <v>23137</v>
      </c>
      <c r="C23132">
        <f>HYPERLINK("C:\Users\franc\OneDrive\Documentos\MALENTIN KARIME\BANCO CREDITO\FER LORCA en ROSITA (Rosita)\ANA LUISA TODO\MITSUI\CARLOS RAMOS ALIAGA (M. METTIFOGO).doc", "Abrir Documento")</f>
        <v>0</v>
      </c>
      <c r="D23132" t="s">
        <v>23501</v>
      </c>
      <c r="E23132" t="s">
        <v>45457</v>
      </c>
    </row>
    <row r="23133" spans="1:5">
      <c r="A23133" t="s">
        <v>6</v>
      </c>
      <c r="B23133" t="s">
        <v>23138</v>
      </c>
      <c r="C23133">
        <f>HYPERLINK("C:\Users\franc\OneDrive\Documentos\MALENTIN KARIME\BANCO CREDITO\FER LORCA en ROSITA (Rosita)\ANA LUISA TODO\MITSUI\BENJAMIN ZEPEDA.doc", "Abrir Documento")</f>
        <v>0</v>
      </c>
      <c r="D23133" t="s">
        <v>23501</v>
      </c>
      <c r="E23133" t="s">
        <v>45458</v>
      </c>
    </row>
    <row r="23134" spans="1:5">
      <c r="A23134" t="s">
        <v>6</v>
      </c>
      <c r="B23134" t="s">
        <v>23139</v>
      </c>
      <c r="C23134">
        <f>HYPERLINK("C:\Users\franc\OneDrive\Documentos\MALENTIN KARIME\BANCO CREDITO\FER LORCA en ROSITA (Rosita)\ANA LUISA TODO\MITSUI\BENILDA MUNDACA.doc", "Abrir Documento")</f>
        <v>0</v>
      </c>
      <c r="D23134" t="s">
        <v>23501</v>
      </c>
      <c r="E23134" t="s">
        <v>45459</v>
      </c>
    </row>
    <row r="23135" spans="1:5">
      <c r="A23135" t="s">
        <v>6</v>
      </c>
      <c r="B23135" t="s">
        <v>23140</v>
      </c>
      <c r="C23135">
        <f>HYPERLINK("C:\Users\franc\OneDrive\Documentos\MALENTIN KARIME\BANCO CREDITO\FER LORCA en ROSITA (Rosita)\ANA LUISA TODO\MITSUI\Autorizo la firma.doc", "Abrir Documento")</f>
        <v>0</v>
      </c>
      <c r="D23135" t="s">
        <v>23501</v>
      </c>
      <c r="E23135" t="s">
        <v>45460</v>
      </c>
    </row>
    <row r="23136" spans="1:5">
      <c r="A23136" t="s">
        <v>6</v>
      </c>
      <c r="B23136" t="s">
        <v>23141</v>
      </c>
      <c r="C23136">
        <f>HYPERLINK("C:\Users\franc\OneDrive\Documentos\MALENTIN KARIME\BANCO CREDITO\FER LORCA en ROSITA (Rosita)\ANA LUISA TODO\MITSUI\Autorizo la firma  2.doc", "Abrir Documento")</f>
        <v>0</v>
      </c>
      <c r="D23136" t="s">
        <v>23501</v>
      </c>
      <c r="E23136" t="s">
        <v>45461</v>
      </c>
    </row>
    <row r="23137" spans="1:5">
      <c r="A23137" t="s">
        <v>6</v>
      </c>
      <c r="B23137" t="s">
        <v>23142</v>
      </c>
      <c r="C23137">
        <f>HYPERLINK("C:\Users\franc\OneDrive\Documentos\MALENTIN KARIME\BANCO CREDITO\FER LORCA en ROSITA (Rosita)\ANA LUISA TODO\MITSUI\ALICIA ZEBALLOS ORTIZ.doc", "Abrir Documento")</f>
        <v>0</v>
      </c>
      <c r="D23137" t="s">
        <v>23501</v>
      </c>
      <c r="E23137" t="s">
        <v>45462</v>
      </c>
    </row>
    <row r="23138" spans="1:5">
      <c r="A23138" t="s">
        <v>6</v>
      </c>
      <c r="B23138" t="s">
        <v>23143</v>
      </c>
      <c r="C23138">
        <f>HYPERLINK("C:\Users\franc\OneDrive\Documentos\MALENTIN KARIME\BANCO CREDITO\FER LORCA en ROSITA (Rosita)\ANA LUISA TODO\MITSUI\ALEJANDRO LOPEZ  (SIN INSCRIP).doc", "Abrir Documento")</f>
        <v>0</v>
      </c>
      <c r="D23138" t="s">
        <v>23501</v>
      </c>
      <c r="E23138" t="s">
        <v>45463</v>
      </c>
    </row>
    <row r="23139" spans="1:5">
      <c r="A23139" t="s">
        <v>6</v>
      </c>
      <c r="B23139" t="s">
        <v>23144</v>
      </c>
      <c r="C23139">
        <f>HYPERLINK("C:\Users\franc\OneDrive\Documentos\MALENTIN KARIME\BANCO CREDITO\FER LORCA en ROSITA (Rosita)\ANA LUISA TODO\MITSUI\ALEJANDRO BOU.doc", "Abrir Documento")</f>
        <v>0</v>
      </c>
      <c r="D23139" t="s">
        <v>23501</v>
      </c>
      <c r="E23139" t="s">
        <v>45464</v>
      </c>
    </row>
    <row r="23140" spans="1:5">
      <c r="A23140" t="s">
        <v>6</v>
      </c>
      <c r="B23140" t="s">
        <v>23145</v>
      </c>
      <c r="C23140">
        <f>HYPERLINK("C:\Users\franc\OneDrive\Documentos\MALENTIN KARIME\BANCO CREDITO\FER LORCA en ROSITA (Rosita)\ANA LUISA TODO\MINAS 2007\CERTIFICADOS\VICTORIA  VIII      1-200.doc", "Abrir Documento")</f>
        <v>0</v>
      </c>
      <c r="D23140" t="s">
        <v>23501</v>
      </c>
      <c r="E23140" t="s">
        <v>45465</v>
      </c>
    </row>
    <row r="23141" spans="1:5">
      <c r="A23141" t="s">
        <v>6</v>
      </c>
      <c r="B23141" t="s">
        <v>23146</v>
      </c>
      <c r="C23141">
        <f>HYPERLINK("C:\Users\franc\OneDrive\Documentos\MALENTIN KARIME\BANCO CREDITO\FER LORCA en ROSITA (Rosita)\ANA LUISA TODO\MINAS 2007\CERTIFICADOS\VICTORIA  VII      1-200.doc", "Abrir Documento")</f>
        <v>0</v>
      </c>
      <c r="D23141" t="s">
        <v>23501</v>
      </c>
      <c r="E23141" t="s">
        <v>45466</v>
      </c>
    </row>
    <row r="23142" spans="1:5">
      <c r="A23142" t="s">
        <v>6</v>
      </c>
      <c r="B23142" t="s">
        <v>23147</v>
      </c>
      <c r="C23142">
        <f>HYPERLINK("C:\Users\franc\OneDrive\Documentos\MALENTIN KARIME\BANCO CREDITO\FER LORCA en ROSITA (Rosita)\ANA LUISA TODO\MINAS 2007\CERTIFICADOS\VICTORIA  VI      1-200.doc", "Abrir Documento")</f>
        <v>0</v>
      </c>
      <c r="D23142" t="s">
        <v>23501</v>
      </c>
      <c r="E23142" t="s">
        <v>45467</v>
      </c>
    </row>
    <row r="23143" spans="1:5">
      <c r="A23143" t="s">
        <v>6</v>
      </c>
      <c r="B23143" t="s">
        <v>23148</v>
      </c>
      <c r="C23143">
        <f>HYPERLINK("C:\Users\franc\OneDrive\Documentos\MALENTIN KARIME\BANCO CREDITO\FER LORCA en ROSITA (Rosita)\ANA LUISA TODO\MINAS 2007\CERTIFICADOS\VICTORIA  V      1-300.doc", "Abrir Documento")</f>
        <v>0</v>
      </c>
      <c r="D23143" t="s">
        <v>23501</v>
      </c>
      <c r="E23143" t="s">
        <v>45468</v>
      </c>
    </row>
    <row r="23144" spans="1:5">
      <c r="A23144" t="s">
        <v>6</v>
      </c>
      <c r="B23144" t="s">
        <v>23149</v>
      </c>
      <c r="C23144">
        <f>HYPERLINK("C:\Users\franc\OneDrive\Documentos\MALENTIN KARIME\BANCO CREDITO\FER LORCA en ROSITA (Rosita)\ANA LUISA TODO\MINAS 2007\CERTIFICADOS\VICTORIA  IX      1-100.doc", "Abrir Documento")</f>
        <v>0</v>
      </c>
      <c r="D23144" t="s">
        <v>23501</v>
      </c>
      <c r="E23144" t="s">
        <v>45469</v>
      </c>
    </row>
    <row r="23145" spans="1:5">
      <c r="A23145" t="s">
        <v>6</v>
      </c>
      <c r="B23145" t="s">
        <v>23150</v>
      </c>
      <c r="C23145">
        <f>HYPERLINK("C:\Users\franc\OneDrive\Documentos\MALENTIN KARIME\BANCO CREDITO\FER LORCA en ROSITA (Rosita)\ANA LUISA TODO\MINAS 2007\CERTIFICADOS\NUEVA DALMACIA (MANIFESTCION).doc", "Abrir Documento")</f>
        <v>0</v>
      </c>
      <c r="D23145" t="s">
        <v>23501</v>
      </c>
      <c r="E23145" t="s">
        <v>45470</v>
      </c>
    </row>
    <row r="23146" spans="1:5">
      <c r="A23146" t="s">
        <v>6</v>
      </c>
      <c r="B23146" t="s">
        <v>23151</v>
      </c>
      <c r="C23146">
        <f>HYPERLINK("C:\Users\franc\OneDrive\Documentos\MALENTIN KARIME\BANCO CREDITO\FER LORCA en ROSITA (Rosita)\ANA LUISA TODO\MINAS 2007\CERTIFICADOS\GABRIEL VIII  1-16.doc", "Abrir Documento")</f>
        <v>0</v>
      </c>
      <c r="D23146" t="s">
        <v>23501</v>
      </c>
      <c r="E23146" t="s">
        <v>45471</v>
      </c>
    </row>
    <row r="23147" spans="1:5">
      <c r="A23147" t="s">
        <v>6</v>
      </c>
      <c r="B23147" t="s">
        <v>23152</v>
      </c>
      <c r="C23147">
        <f>HYPERLINK("C:\Users\franc\OneDrive\Documentos\MALENTIN KARIME\BANCO CREDITO\FER LORCA en ROSITA (Rosita)\ANA LUISA TODO\MINAS 2007\CERTIFICADOS\GABRIEL VII 1-32.doc", "Abrir Documento")</f>
        <v>0</v>
      </c>
      <c r="D23147" t="s">
        <v>23501</v>
      </c>
      <c r="E23147" t="s">
        <v>45472</v>
      </c>
    </row>
    <row r="23148" spans="1:5">
      <c r="A23148" t="s">
        <v>6</v>
      </c>
      <c r="B23148" t="s">
        <v>23153</v>
      </c>
      <c r="C23148">
        <f>HYPERLINK("C:\Users\franc\OneDrive\Documentos\MALENTIN KARIME\BANCO CREDITO\FER LORCA en ROSITA (Rosita)\ANA LUISA TODO\MINAS 2007\CERTIFICADOS\GABRIEL III  1-300.doc", "Abrir Documento")</f>
        <v>0</v>
      </c>
      <c r="D23148" t="s">
        <v>23501</v>
      </c>
      <c r="E23148" t="s">
        <v>45473</v>
      </c>
    </row>
    <row r="23149" spans="1:5">
      <c r="A23149" t="s">
        <v>6</v>
      </c>
      <c r="B23149" t="s">
        <v>23154</v>
      </c>
      <c r="C23149">
        <f>HYPERLINK("C:\Users\franc\OneDrive\Documentos\MALENTIN KARIME\BANCO CREDITO\FER LORCA en ROSITA (Rosita)\ANA LUISA TODO\MINAS 2007\CERTIFICADOS\GABRIEL II  1-200.doc", "Abrir Documento")</f>
        <v>0</v>
      </c>
      <c r="D23149" t="s">
        <v>23501</v>
      </c>
      <c r="E23149" t="s">
        <v>45474</v>
      </c>
    </row>
    <row r="23150" spans="1:5">
      <c r="A23150" t="s">
        <v>6</v>
      </c>
      <c r="B23150" t="s">
        <v>23155</v>
      </c>
      <c r="C23150">
        <f>HYPERLINK("C:\Users\franc\OneDrive\Documentos\MALENTIN KARIME\BANCO CREDITO\FER LORCA en ROSITA (Rosita)\ANA LUISA TODO\MINAS 2007\CERTIFICADOS\GABRIEL I 1-200.doc", "Abrir Documento")</f>
        <v>0</v>
      </c>
      <c r="D23150" t="s">
        <v>23501</v>
      </c>
      <c r="E23150" t="s">
        <v>45475</v>
      </c>
    </row>
    <row r="23151" spans="1:5">
      <c r="A23151" t="s">
        <v>6</v>
      </c>
      <c r="B23151" t="s">
        <v>23156</v>
      </c>
      <c r="C23151">
        <f>HYPERLINK("C:\Users\franc\OneDrive\Documentos\MALENTIN KARIME\BANCO CREDITO\FER LORCA en ROSITA (Rosita)\ANA LUISA TODO\MINAS 2007\CERTIFICADOS\DALMACIA III C   1-60.doc", "Abrir Documento")</f>
        <v>0</v>
      </c>
      <c r="D23151" t="s">
        <v>23501</v>
      </c>
      <c r="E23151" t="s">
        <v>45476</v>
      </c>
    </row>
    <row r="23152" spans="1:5">
      <c r="A23152" t="s">
        <v>6</v>
      </c>
      <c r="B23152" t="s">
        <v>23157</v>
      </c>
      <c r="C23152">
        <f>HYPERLINK("C:\Users\franc\OneDrive\Documentos\MALENTIN KARIME\BANCO CREDITO\FER LORCA en ROSITA (Rosita)\ANA LUISA TODO\MINAS 2007\CERTIFICADOS\DALMACIA III B   1-80.doc", "Abrir Documento")</f>
        <v>0</v>
      </c>
      <c r="D23152" t="s">
        <v>23501</v>
      </c>
      <c r="E23152" t="s">
        <v>45477</v>
      </c>
    </row>
    <row r="23153" spans="1:5">
      <c r="A23153" t="s">
        <v>6</v>
      </c>
      <c r="B23153" t="s">
        <v>23158</v>
      </c>
      <c r="C23153">
        <f>HYPERLINK("C:\Users\franc\OneDrive\Documentos\MALENTIN KARIME\BANCO CREDITO\FER LORCA en ROSITA (Rosita)\ANA LUISA TODO\MINAS 2007\CERTIFICADOS\DALMACIA III A   1-60.doc", "Abrir Documento")</f>
        <v>0</v>
      </c>
      <c r="D23153" t="s">
        <v>23501</v>
      </c>
      <c r="E23153" t="s">
        <v>45478</v>
      </c>
    </row>
    <row r="23154" spans="1:5">
      <c r="A23154" t="s">
        <v>6</v>
      </c>
      <c r="B23154" t="s">
        <v>23159</v>
      </c>
      <c r="C23154">
        <f>HYPERLINK("C:\Users\franc\OneDrive\Documentos\MALENTIN KARIME\BANCO CREDITO\FER LORCA en ROSITA (Rosita)\ANA LUISA TODO\MINAS 2007\CERTIFICADOS\DALMACIA II     1-100.doc", "Abrir Documento")</f>
        <v>0</v>
      </c>
      <c r="D23154" t="s">
        <v>23501</v>
      </c>
      <c r="E23154" t="s">
        <v>45479</v>
      </c>
    </row>
    <row r="23155" spans="1:5">
      <c r="A23155" t="s">
        <v>6</v>
      </c>
      <c r="B23155" t="s">
        <v>23160</v>
      </c>
      <c r="C23155">
        <f>HYPERLINK("C:\Users\franc\OneDrive\Documentos\MALENTIN KARIME\BANCO CREDITO\FER LORCA en ROSITA (Rosita)\ANA LUISA TODO\MINAS 2007\CERTIFICADOS\ANA LUISA II  1-300.doc", "Abrir Documento")</f>
        <v>0</v>
      </c>
      <c r="D23155" t="s">
        <v>23501</v>
      </c>
      <c r="E23155" t="s">
        <v>45480</v>
      </c>
    </row>
    <row r="23156" spans="1:5">
      <c r="A23156" t="s">
        <v>6</v>
      </c>
      <c r="B23156" t="s">
        <v>23161</v>
      </c>
      <c r="C23156">
        <f>HYPERLINK("C:\Users\franc\OneDrive\Documentos\MALENTIN KARIME\BANCO CREDITO\FER LORCA en ROSITA (Rosita)\ANA LUISA TODO\MINAS 2007\CERTIFICADOS\ANA LUISA I  1-200.doc", "Abrir Documento")</f>
        <v>0</v>
      </c>
      <c r="D23156" t="s">
        <v>23501</v>
      </c>
      <c r="E23156" t="s">
        <v>45481</v>
      </c>
    </row>
    <row r="23157" spans="1:5">
      <c r="A23157" t="s">
        <v>6</v>
      </c>
      <c r="B23157" t="s">
        <v>23162</v>
      </c>
      <c r="C23157">
        <f>HYPERLINK("C:\Users\franc\OneDrive\Documentos\MALENTIN KARIME\BANCO CREDITO\FER LORCA en ROSITA (Rosita)\ANA LUISA TODO\MINAS 2007\DELTA 9 2DO. JUZGADO - PERITO HUGO GARRIDO.doc", "Abrir Documento")</f>
        <v>0</v>
      </c>
      <c r="D23157" t="s">
        <v>23501</v>
      </c>
      <c r="E23157" t="s">
        <v>45482</v>
      </c>
    </row>
    <row r="23158" spans="1:5">
      <c r="A23158" t="s">
        <v>6</v>
      </c>
      <c r="B23158" t="s">
        <v>23163</v>
      </c>
      <c r="C23158">
        <f>HYPERLINK("C:\Users\franc\OneDrive\Documentos\MALENTIN KARIME\BANCO CREDITO\FER LORCA en ROSITA (Rosita)\ANA LUISA TODO\MINAS 2007\AUTORIZACION COPIAS MINERAS.doc", "Abrir Documento")</f>
        <v>0</v>
      </c>
      <c r="D23158" t="s">
        <v>23501</v>
      </c>
      <c r="E23158" t="s">
        <v>45483</v>
      </c>
    </row>
    <row r="23159" spans="1:5">
      <c r="A23159" t="s">
        <v>6</v>
      </c>
      <c r="B23159" t="s">
        <v>23164</v>
      </c>
      <c r="C23159">
        <f>HYPERLINK("C:\Users\franc\OneDrive\Documentos\MALENTIN KARIME\BANCO CREDITO\FER LORCA en ROSITA (Rosita)\ANA LUISA TODO\MATRICES INSTRUMENTOS PRIVADOS\varios\timbraje.cabrera..doc", "Abrir Documento")</f>
        <v>0</v>
      </c>
      <c r="D23159" t="s">
        <v>23501</v>
      </c>
      <c r="E23159" t="s">
        <v>45484</v>
      </c>
    </row>
    <row r="23160" spans="1:5">
      <c r="A23160" t="s">
        <v>6</v>
      </c>
      <c r="B23160" t="s">
        <v>23165</v>
      </c>
      <c r="C23160">
        <f>HYPERLINK("C:\Users\franc\OneDrive\Documentos\MALENTIN KARIME\BANCO CREDITO\FER LORCA en ROSITA (Rosita)\ANA LUISA TODO\MATRICES INSTRUMENTOS PRIVADOS\varios\REP AUTOS.xls", "Abrir Documento")</f>
        <v>0</v>
      </c>
      <c r="D23160" t="s">
        <v>23500</v>
      </c>
      <c r="E23160" t="s">
        <v>45485</v>
      </c>
    </row>
    <row r="23161" spans="1:5">
      <c r="A23161" t="s">
        <v>6</v>
      </c>
      <c r="B23161" t="s">
        <v>23166</v>
      </c>
      <c r="C23161">
        <f>HYPERLINK("C:\Users\franc\OneDrive\Documentos\MALENTIN KARIME\BANCO CREDITO\FER LORCA en ROSITA (Rosita)\ANA LUISA TODO\MATRICES INSTRUMENTOS PRIVADOS\varios\REGISTRO DE INSTRUMENTOS PUBLICOS.doc", "Abrir Documento")</f>
        <v>0</v>
      </c>
      <c r="D23161" t="s">
        <v>23501</v>
      </c>
      <c r="E23161" t="s">
        <v>45486</v>
      </c>
    </row>
    <row r="23162" spans="1:5">
      <c r="A23162" t="s">
        <v>6</v>
      </c>
      <c r="B23162" t="s">
        <v>23167</v>
      </c>
      <c r="C23162">
        <f>HYPERLINK("C:\Users\franc\OneDrive\Documentos\MALENTIN KARIME\BANCO CREDITO\FER LORCA en ROSITA (Rosita)\ANA LUISA TODO\MATRICES INSTRUMENTOS PRIVADOS\varios\protesto..doc", "Abrir Documento")</f>
        <v>0</v>
      </c>
      <c r="D23162" t="s">
        <v>23501</v>
      </c>
      <c r="E23162" t="s">
        <v>45487</v>
      </c>
    </row>
    <row r="23163" spans="1:5">
      <c r="A23163" t="s">
        <v>6</v>
      </c>
      <c r="B23163" t="s">
        <v>23168</v>
      </c>
      <c r="C23163">
        <f>HYPERLINK("C:\Users\franc\OneDrive\Documentos\MALENTIN KARIME\BANCO CREDITO\FER LORCA en ROSITA (Rosita)\ANA LUISA TODO\MATRICES INSTRUMENTOS PRIVADOS\varios\Postulación.doc", "Abrir Documento")</f>
        <v>0</v>
      </c>
      <c r="D23163" t="s">
        <v>23501</v>
      </c>
      <c r="E23163" t="s">
        <v>45488</v>
      </c>
    </row>
    <row r="23164" spans="1:5">
      <c r="A23164" t="s">
        <v>6</v>
      </c>
      <c r="B23164" t="s">
        <v>23169</v>
      </c>
      <c r="C23164">
        <f>HYPERLINK("C:\Users\franc\OneDrive\Documentos\MALENTIN KARIME\BANCO CREDITO\FER LORCA en ROSITA (Rosita)\ANA LUISA TODO\MATRICES INSTRUMENTOS PRIVADOS\varios\Plantilla.doc", "Abrir Documento")</f>
        <v>0</v>
      </c>
      <c r="D23164" t="s">
        <v>23500</v>
      </c>
      <c r="E23164" t="s">
        <v>45489</v>
      </c>
    </row>
    <row r="23165" spans="1:5">
      <c r="A23165" t="s">
        <v>6</v>
      </c>
      <c r="B23165" t="s">
        <v>23170</v>
      </c>
      <c r="C23165">
        <f>HYPERLINK("C:\Users\franc\OneDrive\Documentos\MALENTIN KARIME\BANCO CREDITO\FER LORCA en ROSITA (Rosita)\ANA LUISA TODO\MATRICES INSTRUMENTOS PRIVADOS\varios\permiso Notario.doc", "Abrir Documento")</f>
        <v>0</v>
      </c>
      <c r="D23165" t="s">
        <v>23501</v>
      </c>
      <c r="E23165" t="s">
        <v>45490</v>
      </c>
    </row>
    <row r="23166" spans="1:5">
      <c r="A23166" t="s">
        <v>6</v>
      </c>
      <c r="B23166" t="s">
        <v>23171</v>
      </c>
      <c r="C23166">
        <f>HYPERLINK("C:\Users\franc\OneDrive\Documentos\MALENTIN KARIME\BANCO CREDITO\FER LORCA en ROSITA (Rosita)\ANA LUISA TODO\MATRICES INSTRUMENTOS PRIVADOS\varios\PERMISO IIL.doc", "Abrir Documento")</f>
        <v>0</v>
      </c>
      <c r="D23166" t="s">
        <v>23501</v>
      </c>
      <c r="E23166" t="s">
        <v>45491</v>
      </c>
    </row>
    <row r="23167" spans="1:5">
      <c r="A23167" t="s">
        <v>6</v>
      </c>
      <c r="B23167" t="s">
        <v>23172</v>
      </c>
      <c r="C23167">
        <f>HYPERLINK("C:\Users\franc\OneDrive\Documentos\MALENTIN KARIME\BANCO CREDITO\FER LORCA en ROSITA (Rosita)\ANA LUISA TODO\MATRICES INSTRUMENTOS PRIVADOS\varios\Notario.AD HOC..doc", "Abrir Documento")</f>
        <v>0</v>
      </c>
      <c r="D23167" t="s">
        <v>23501</v>
      </c>
      <c r="E23167" t="s">
        <v>45492</v>
      </c>
    </row>
    <row r="23168" spans="1:5">
      <c r="A23168" t="s">
        <v>6</v>
      </c>
      <c r="B23168" t="s">
        <v>23173</v>
      </c>
      <c r="C23168">
        <f>HYPERLINK("C:\Users\franc\OneDrive\Documentos\MALENTIN KARIME\BANCO CREDITO\FER LORCA en ROSITA (Rosita)\ANA LUISA TODO\MATRICES INSTRUMENTOS PRIVADOS\varios\Notario Adhoc.doc", "Abrir Documento")</f>
        <v>0</v>
      </c>
      <c r="D23168" t="s">
        <v>23501</v>
      </c>
      <c r="E23168" t="s">
        <v>45493</v>
      </c>
    </row>
    <row r="23169" spans="1:5">
      <c r="A23169" t="s">
        <v>6</v>
      </c>
      <c r="B23169" t="s">
        <v>23174</v>
      </c>
      <c r="C23169">
        <f>HYPERLINK("C:\Users\franc\OneDrive\Documentos\MALENTIN KARIME\BANCO CREDITO\FER LORCA en ROSITA (Rosita)\ANA LUISA TODO\MATRICES INSTRUMENTOS PRIVADOS\varios\lomos..doc", "Abrir Documento")</f>
        <v>0</v>
      </c>
      <c r="D23169" t="s">
        <v>23501</v>
      </c>
      <c r="E23169" t="s">
        <v>45494</v>
      </c>
    </row>
    <row r="23170" spans="1:5">
      <c r="A23170" t="s">
        <v>6</v>
      </c>
      <c r="B23170" t="s">
        <v>23175</v>
      </c>
      <c r="C23170">
        <f>HYPERLINK("C:\Users\franc\OneDrive\Documentos\MALENTIN KARIME\BANCO CREDITO\FER LORCA en ROSITA (Rosita)\ANA LUISA TODO\MATRICES INSTRUMENTOS PRIVADOS\varios\LOMO.doc", "Abrir Documento")</f>
        <v>0</v>
      </c>
      <c r="D23170" t="s">
        <v>23501</v>
      </c>
      <c r="E23170" t="s">
        <v>45495</v>
      </c>
    </row>
    <row r="23171" spans="1:5">
      <c r="A23171" t="s">
        <v>6</v>
      </c>
      <c r="B23171" t="s">
        <v>23176</v>
      </c>
      <c r="C23171">
        <f>HYPERLINK("C:\Users\franc\OneDrive\Documentos\MALENTIN KARIME\BANCO CREDITO\FER LORCA en ROSITA (Rosita)\ANA LUISA TODO\MATRICES INSTRUMENTOS PRIVADOS\varios\lista.notar..doc", "Abrir Documento")</f>
        <v>0</v>
      </c>
      <c r="D23171" t="s">
        <v>23501</v>
      </c>
      <c r="E23171" t="s">
        <v>45496</v>
      </c>
    </row>
    <row r="23172" spans="1:5">
      <c r="A23172" t="s">
        <v>6</v>
      </c>
      <c r="B23172" t="s">
        <v>23177</v>
      </c>
      <c r="C23172">
        <f>HYPERLINK("C:\Users\franc\OneDrive\Documentos\MALENTIN KARIME\BANCO CREDITO\FER LORCA en ROSITA (Rosita)\ANA LUISA TODO\MATRICES INSTRUMENTOS PRIVADOS\varios\LIQUIDACION..xls", "Abrir Documento")</f>
        <v>0</v>
      </c>
      <c r="D23172" t="s">
        <v>23500</v>
      </c>
      <c r="E23172" t="s">
        <v>45497</v>
      </c>
    </row>
    <row r="23173" spans="1:5">
      <c r="A23173" t="s">
        <v>6</v>
      </c>
      <c r="B23173" t="s">
        <v>23178</v>
      </c>
      <c r="C23173">
        <f>HYPERLINK("C:\Users\franc\OneDrive\Documentos\MALENTIN KARIME\BANCO CREDITO\FER LORCA en ROSITA (Rosita)\ANA LUISA TODO\MATRICES INSTRUMENTOS PRIVADOS\varios\LIQUIDA.ROSS..xls", "Abrir Documento")</f>
        <v>0</v>
      </c>
      <c r="D23173" t="s">
        <v>23500</v>
      </c>
      <c r="E23173" t="s">
        <v>45498</v>
      </c>
    </row>
    <row r="23174" spans="1:5">
      <c r="A23174" t="s">
        <v>6</v>
      </c>
      <c r="B23174" t="s">
        <v>23179</v>
      </c>
      <c r="C23174">
        <f>HYPERLINK("C:\Users\franc\OneDrive\Documentos\MALENTIN KARIME\BANCO CREDITO\FER LORCA en ROSITA (Rosita)\ANA LUISA TODO\MATRICES INSTRUMENTOS PRIVADOS\varios\LIBROS.xls", "Abrir Documento")</f>
        <v>0</v>
      </c>
      <c r="D23174" t="s">
        <v>23500</v>
      </c>
      <c r="E23174" t="s">
        <v>45499</v>
      </c>
    </row>
    <row r="23175" spans="1:5">
      <c r="A23175" t="s">
        <v>6</v>
      </c>
      <c r="B23175" t="s">
        <v>23180</v>
      </c>
      <c r="C23175">
        <f>HYPERLINK("C:\Users\franc\OneDrive\Documentos\MALENTIN KARIME\BANCO CREDITO\FER LORCA en ROSITA (Rosita)\ANA LUISA TODO\MATRICES INSTRUMENTOS PRIVADOS\varios\INVENTARIO.xls", "Abrir Documento")</f>
        <v>0</v>
      </c>
      <c r="D23175" t="s">
        <v>23500</v>
      </c>
      <c r="E23175" t="s">
        <v>45500</v>
      </c>
    </row>
    <row r="23176" spans="1:5">
      <c r="A23176" t="s">
        <v>6</v>
      </c>
      <c r="B23176" t="s">
        <v>23181</v>
      </c>
      <c r="C23176">
        <f>HYPERLINK("C:\Users\franc\OneDrive\Documentos\MALENTIN KARIME\BANCO CREDITO\FER LORCA en ROSITA (Rosita)\ANA LUISA TODO\MATRICES INSTRUMENTOS PRIVADOS\varios\INVEN. LIBROS.xls", "Abrir Documento")</f>
        <v>0</v>
      </c>
      <c r="D23176" t="s">
        <v>23500</v>
      </c>
      <c r="E23176" t="s">
        <v>45501</v>
      </c>
    </row>
    <row r="23177" spans="1:5">
      <c r="A23177" t="s">
        <v>6</v>
      </c>
      <c r="B23177" t="s">
        <v>23182</v>
      </c>
      <c r="C23177">
        <f>HYPERLINK("C:\Users\franc\OneDrive\Documentos\MALENTIN KARIME\BANCO CREDITO\FER LORCA en ROSITA (Rosita)\ANA LUISA TODO\MATRICES INSTRUMENTOS PRIVADOS\varios\INDICE.sept.octu.03..xls", "Abrir Documento")</f>
        <v>0</v>
      </c>
      <c r="D23177" t="s">
        <v>23500</v>
      </c>
      <c r="E23177" t="s">
        <v>45502</v>
      </c>
    </row>
    <row r="23178" spans="1:5">
      <c r="A23178" t="s">
        <v>6</v>
      </c>
      <c r="B23178" t="s">
        <v>23183</v>
      </c>
      <c r="C23178">
        <f>HYPERLINK("C:\Users\franc\OneDrive\Documentos\MALENTIN KARIME\BANCO CREDITO\FER LORCA en ROSITA (Rosita)\ANA LUISA TODO\MATRICES INSTRUMENTOS PRIVADOS\varios\INDICE.2004.2..xls", "Abrir Documento")</f>
        <v>0</v>
      </c>
      <c r="D23178" t="s">
        <v>23500</v>
      </c>
      <c r="E23178" t="s">
        <v>45503</v>
      </c>
    </row>
    <row r="23179" spans="1:5">
      <c r="A23179" t="s">
        <v>6</v>
      </c>
      <c r="B23179" t="s">
        <v>23184</v>
      </c>
      <c r="C23179">
        <f>HYPERLINK("C:\Users\franc\OneDrive\Documentos\MALENTIN KARIME\BANCO CREDITO\FER LORCA en ROSITA (Rosita)\ANA LUISA TODO\MATRICES INSTRUMENTOS PRIVADOS\varios\INDICE.2004..xls", "Abrir Documento")</f>
        <v>0</v>
      </c>
      <c r="D23179" t="s">
        <v>23500</v>
      </c>
      <c r="E23179" t="s">
        <v>45504</v>
      </c>
    </row>
    <row r="23180" spans="1:5">
      <c r="A23180" t="s">
        <v>6</v>
      </c>
      <c r="B23180" t="s">
        <v>23185</v>
      </c>
      <c r="C23180">
        <f>HYPERLINK("C:\Users\franc\OneDrive\Documentos\MALENTIN KARIME\BANCO CREDITO\FER LORCA en ROSITA (Rosita)\ANA LUISA TODO\MATRICES INSTRUMENTOS PRIVADOS\varios\FALTA DE FIRMA.doc", "Abrir Documento")</f>
        <v>0</v>
      </c>
      <c r="D23180" t="s">
        <v>23501</v>
      </c>
      <c r="E23180" t="s">
        <v>45505</v>
      </c>
    </row>
    <row r="23181" spans="1:5">
      <c r="A23181" t="s">
        <v>6</v>
      </c>
      <c r="B23181" t="s">
        <v>23186</v>
      </c>
      <c r="C23181">
        <f>HYPERLINK("C:\Users\franc\OneDrive\Documentos\MALENTIN KARIME\BANCO CREDITO\FER LORCA en ROSITA (Rosita)\ANA LUISA TODO\MATRICES INSTRUMENTOS PRIVADOS\varios\FALTA CONTRIBUCION.doc", "Abrir Documento")</f>
        <v>0</v>
      </c>
      <c r="D23181" t="s">
        <v>23500</v>
      </c>
      <c r="E23181" t="s">
        <v>45506</v>
      </c>
    </row>
    <row r="23182" spans="1:5">
      <c r="A23182" t="s">
        <v>6</v>
      </c>
      <c r="B23182" t="s">
        <v>23187</v>
      </c>
      <c r="C23182">
        <f>HYPERLINK("C:\Users\franc\OneDrive\Documentos\MALENTIN KARIME\BANCO CREDITO\FER LORCA en ROSITA (Rosita)\ANA LUISA TODO\MATRICES INSTRUMENTOS PRIVADOS\varios\ELECCION DE CONCEJALES DECL. JURADA.doc", "Abrir Documento")</f>
        <v>0</v>
      </c>
      <c r="D23182" t="s">
        <v>23501</v>
      </c>
      <c r="E23182" t="s">
        <v>45507</v>
      </c>
    </row>
    <row r="23183" spans="1:5">
      <c r="A23183" t="s">
        <v>6</v>
      </c>
      <c r="B23183" t="s">
        <v>23188</v>
      </c>
      <c r="C23183">
        <f>HYPERLINK("C:\Users\franc\OneDrive\Documentos\MALENTIN KARIME\BANCO CREDITO\FER LORCA en ROSITA (Rosita)\ANA LUISA TODO\MATRICES INSTRUMENTOS PRIVADOS\varios\ELECCION DE ALCALDE DECLARACION JURADA.doc", "Abrir Documento")</f>
        <v>0</v>
      </c>
      <c r="D23183" t="s">
        <v>23501</v>
      </c>
      <c r="E23183" t="s">
        <v>45508</v>
      </c>
    </row>
    <row r="23184" spans="1:5">
      <c r="A23184" t="s">
        <v>6</v>
      </c>
      <c r="B23184" t="s">
        <v>23189</v>
      </c>
      <c r="C23184">
        <f>HYPERLINK("C:\Users\franc\OneDrive\Documentos\MALENTIN KARIME\BANCO CREDITO\FER LORCA en ROSITA (Rosita)\ANA LUISA TODO\MATRICES INSTRUMENTOS PRIVADOS\varios\COMPROBANTES.doc", "Abrir Documento")</f>
        <v>0</v>
      </c>
      <c r="D23184" t="s">
        <v>23501</v>
      </c>
      <c r="E23184" t="s">
        <v>45509</v>
      </c>
    </row>
    <row r="23185" spans="1:5">
      <c r="A23185" t="s">
        <v>6</v>
      </c>
      <c r="B23185" t="s">
        <v>23190</v>
      </c>
      <c r="C23185">
        <f>HYPERLINK("C:\Users\franc\OneDrive\Documentos\MALENTIN KARIME\BANCO CREDITO\FER LORCA en ROSITA (Rosita)\ANA LUISA TODO\MATRICES INSTRUMENTOS PRIVADOS\varios\Certificado.9..doc", "Abrir Documento")</f>
        <v>0</v>
      </c>
      <c r="D23185" t="s">
        <v>23501</v>
      </c>
      <c r="E23185" t="s">
        <v>45510</v>
      </c>
    </row>
    <row r="23186" spans="1:5">
      <c r="A23186" t="s">
        <v>6</v>
      </c>
      <c r="B23186" t="s">
        <v>23191</v>
      </c>
      <c r="C23186">
        <f>HYPERLINK("C:\Users\franc\OneDrive\Documentos\MALENTIN KARIME\BANCO CREDITO\FER LORCA en ROSITA (Rosita)\ANA LUISA TODO\MATRICES INSTRUMENTOS PRIVADOS\varios\CERTIFICADO CHOQUE.doc", "Abrir Documento")</f>
        <v>0</v>
      </c>
      <c r="D23186" t="s">
        <v>23501</v>
      </c>
      <c r="E23186" t="s">
        <v>45511</v>
      </c>
    </row>
    <row r="23187" spans="1:5">
      <c r="A23187" t="s">
        <v>6</v>
      </c>
      <c r="B23187" t="s">
        <v>23192</v>
      </c>
      <c r="C23187">
        <f>HYPERLINK("C:\Users\franc\OneDrive\Documentos\MALENTIN KARIME\BANCO CREDITO\FER LORCA en ROSITA (Rosita)\ANA LUISA TODO\MATRICES INSTRUMENTOS PRIVADOS\varios\Certificado 5.doc", "Abrir Documento")</f>
        <v>0</v>
      </c>
      <c r="D23187" t="s">
        <v>23501</v>
      </c>
      <c r="E23187" t="s">
        <v>45512</v>
      </c>
    </row>
    <row r="23188" spans="1:5">
      <c r="A23188" t="s">
        <v>6</v>
      </c>
      <c r="B23188" t="s">
        <v>23193</v>
      </c>
      <c r="C23188">
        <f>HYPERLINK("C:\Users\franc\OneDrive\Documentos\MALENTIN KARIME\BANCO CREDITO\FER LORCA en ROSITA (Rosita)\ANA LUISA TODO\MATRICES INSTRUMENTOS PRIVADOS\varios\CERTIFICACION DE CIERRE.doc", "Abrir Documento")</f>
        <v>0</v>
      </c>
      <c r="D23188" t="s">
        <v>23501</v>
      </c>
      <c r="E23188" t="s">
        <v>45513</v>
      </c>
    </row>
    <row r="23189" spans="1:5">
      <c r="A23189" t="s">
        <v>6</v>
      </c>
      <c r="B23189" t="s">
        <v>23194</v>
      </c>
      <c r="C23189">
        <f>HYPERLINK("C:\Users\franc\OneDrive\Documentos\MALENTIN KARIME\BANCO CREDITO\FER LORCA en ROSITA (Rosita)\ANA LUISA TODO\MATRICES INSTRUMENTOS PRIVADOS\varios\CERTIFICACION DE APERTURA DE REPERTORIO.doc", "Abrir Documento")</f>
        <v>0</v>
      </c>
      <c r="D23189" t="s">
        <v>23501</v>
      </c>
      <c r="E23189" t="s">
        <v>45514</v>
      </c>
    </row>
    <row r="23190" spans="1:5">
      <c r="A23190" t="s">
        <v>6</v>
      </c>
      <c r="B23190" t="s">
        <v>23195</v>
      </c>
      <c r="C23190">
        <f>HYPERLINK("C:\Users\franc\OneDrive\Documentos\MALENTIN KARIME\BANCO CREDITO\FER LORCA en ROSITA (Rosita)\ANA LUISA TODO\MATRICES INSTRUMENTOS PRIVADOS\varios\arancel.xls", "Abrir Documento")</f>
        <v>0</v>
      </c>
      <c r="D23190" t="s">
        <v>23500</v>
      </c>
      <c r="E23190" t="s">
        <v>45515</v>
      </c>
    </row>
    <row r="23191" spans="1:5">
      <c r="A23191" t="s">
        <v>6</v>
      </c>
      <c r="B23191" t="s">
        <v>23196</v>
      </c>
      <c r="C23191">
        <f>HYPERLINK("C:\Users\franc\OneDrive\Documentos\MALENTIN KARIME\BANCO CREDITO\FER LORCA en ROSITA (Rosita)\ANA LUISA TODO\MATRICES INSTRUMENTOS PRIVADOS\varios\abogado.doc", "Abrir Documento")</f>
        <v>0</v>
      </c>
      <c r="D23191" t="s">
        <v>23501</v>
      </c>
      <c r="E23191" t="s">
        <v>45516</v>
      </c>
    </row>
    <row r="23192" spans="1:5">
      <c r="A23192" t="s">
        <v>6</v>
      </c>
      <c r="B23192" t="s">
        <v>23197</v>
      </c>
      <c r="C23192">
        <f>HYPERLINK("C:\Users\franc\OneDrive\Documentos\MALENTIN KARIME\BANCO CREDITO\FER LORCA en ROSITA (Rosita)\ANA LUISA TODO\MATRICES INSTRUMENTOS PRIVADOS\publicas\EXTRACTO DE PRENDA SIN DESPLAZAMIENTO.doc", "Abrir Documento")</f>
        <v>0</v>
      </c>
      <c r="D23192" t="s">
        <v>23501</v>
      </c>
      <c r="E23192" t="s">
        <v>45517</v>
      </c>
    </row>
    <row r="23193" spans="1:5">
      <c r="A23193" t="s">
        <v>6</v>
      </c>
      <c r="B23193" t="s">
        <v>23198</v>
      </c>
      <c r="C23193">
        <f>HYPERLINK("C:\Users\franc\OneDrive\Documentos\MALENTIN KARIME\BANCO CREDITO\FER LORCA en ROSITA (Rosita)\ANA LUISA TODO\MATRICES INSTRUMENTOS PRIVADOS\poderes\Universidad.doc", "Abrir Documento")</f>
        <v>0</v>
      </c>
      <c r="D23193" t="s">
        <v>23501</v>
      </c>
      <c r="E23193" t="s">
        <v>45518</v>
      </c>
    </row>
    <row r="23194" spans="1:5">
      <c r="A23194" t="s">
        <v>6</v>
      </c>
      <c r="B23194" t="s">
        <v>23199</v>
      </c>
      <c r="C23194">
        <f>HYPERLINK("C:\Users\franc\OneDrive\Documentos\MALENTIN KARIME\BANCO CREDITO\FER LORCA en ROSITA (Rosita)\ANA LUISA TODO\MATRICES INSTRUMENTOS PRIVADOS\poderes\TERESA.doc", "Abrir Documento")</f>
        <v>0</v>
      </c>
      <c r="D23194" t="s">
        <v>23501</v>
      </c>
      <c r="E23194" t="s">
        <v>45519</v>
      </c>
    </row>
    <row r="23195" spans="1:5">
      <c r="A23195" t="s">
        <v>6</v>
      </c>
      <c r="B23195" t="s">
        <v>23200</v>
      </c>
      <c r="C23195">
        <f>HYPERLINK("C:\Users\franc\OneDrive\Documentos\MALENTIN KARIME\BANCO CREDITO\FER LORCA en ROSITA (Rosita)\ANA LUISA TODO\MATRICES INSTRUMENTOS PRIVADOS\poderes\TERESA DOS.doc", "Abrir Documento")</f>
        <v>0</v>
      </c>
      <c r="D23195" t="s">
        <v>23501</v>
      </c>
      <c r="E23195" t="s">
        <v>45520</v>
      </c>
    </row>
    <row r="23196" spans="1:5">
      <c r="A23196" t="s">
        <v>6</v>
      </c>
      <c r="B23196" t="s">
        <v>23201</v>
      </c>
      <c r="C23196">
        <f>HYPERLINK("C:\Users\franc\OneDrive\Documentos\MALENTIN KARIME\BANCO CREDITO\FER LORCA en ROSITA (Rosita)\ANA LUISA TODO\MATRICES INSTRUMENTOS PRIVADOS\poderes\poder.domicilio..doc", "Abrir Documento")</f>
        <v>0</v>
      </c>
      <c r="D23196" t="s">
        <v>23501</v>
      </c>
      <c r="E23196" t="s">
        <v>45521</v>
      </c>
    </row>
    <row r="23197" spans="1:5">
      <c r="A23197" t="s">
        <v>6</v>
      </c>
      <c r="B23197" t="s">
        <v>23202</v>
      </c>
      <c r="C23197">
        <f>HYPERLINK("C:\Users\franc\OneDrive\Documentos\MALENTIN KARIME\BANCO CREDITO\FER LORCA en ROSITA (Rosita)\ANA LUISA TODO\MATRICES INSTRUMENTOS PRIVADOS\poderes\poder.cementerio.doc", "Abrir Documento")</f>
        <v>0</v>
      </c>
      <c r="D23197" t="s">
        <v>23501</v>
      </c>
      <c r="E23197" t="s">
        <v>45522</v>
      </c>
    </row>
    <row r="23198" spans="1:5">
      <c r="A23198" t="s">
        <v>6</v>
      </c>
      <c r="B23198" t="s">
        <v>23203</v>
      </c>
      <c r="C23198">
        <f>HYPERLINK("C:\Users\franc\OneDrive\Documentos\MALENTIN KARIME\BANCO CREDITO\FER LORCA en ROSITA (Rosita)\ANA LUISA TODO\MATRICES INSTRUMENTOS PRIVADOS\poderes\Poder Vender auto.doc", "Abrir Documento")</f>
        <v>0</v>
      </c>
      <c r="D23198" t="s">
        <v>23501</v>
      </c>
      <c r="E23198" t="s">
        <v>45523</v>
      </c>
    </row>
    <row r="23199" spans="1:5">
      <c r="A23199" t="s">
        <v>6</v>
      </c>
      <c r="B23199" t="s">
        <v>23204</v>
      </c>
      <c r="C23199">
        <f>HYPERLINK("C:\Users\franc\OneDrive\Documentos\MALENTIN KARIME\BANCO CREDITO\FER LORCA en ROSITA (Rosita)\ANA LUISA TODO\MATRICES INSTRUMENTOS PRIVADOS\poderes\poder universidad.doc", "Abrir Documento")</f>
        <v>0</v>
      </c>
      <c r="D23199" t="s">
        <v>23501</v>
      </c>
      <c r="E23199" t="s">
        <v>45524</v>
      </c>
    </row>
    <row r="23200" spans="1:5">
      <c r="A23200" t="s">
        <v>6</v>
      </c>
      <c r="B23200" t="s">
        <v>23205</v>
      </c>
      <c r="C23200">
        <f>HYPERLINK("C:\Users\franc\OneDrive\Documentos\MALENTIN KARIME\BANCO CREDITO\FER LORCA en ROSITA (Rosita)\ANA LUISA TODO\MATRICES INSTRUMENTOS PRIVADOS\poderes\poder simple.doc", "Abrir Documento")</f>
        <v>0</v>
      </c>
      <c r="D23200" t="s">
        <v>23501</v>
      </c>
      <c r="E23200" t="s">
        <v>45525</v>
      </c>
    </row>
    <row r="23201" spans="1:5">
      <c r="A23201" t="s">
        <v>6</v>
      </c>
      <c r="B23201" t="s">
        <v>23206</v>
      </c>
      <c r="C23201">
        <f>HYPERLINK("C:\Users\franc\OneDrive\Documentos\MALENTIN KARIME\BANCO CREDITO\FER LORCA en ROSITA (Rosita)\ANA LUISA TODO\MATRICES INSTRUMENTOS PRIVADOS\poderes\poder serviu.doc", "Abrir Documento")</f>
        <v>0</v>
      </c>
      <c r="D23201" t="s">
        <v>23501</v>
      </c>
      <c r="E23201" t="s">
        <v>45526</v>
      </c>
    </row>
    <row r="23202" spans="1:5">
      <c r="A23202" t="s">
        <v>6</v>
      </c>
      <c r="B23202" t="s">
        <v>23207</v>
      </c>
      <c r="C23202">
        <f>HYPERLINK("C:\Users\franc\OneDrive\Documentos\MALENTIN KARIME\BANCO CREDITO\FER LORCA en ROSITA (Rosita)\ANA LUISA TODO\MATRICES INSTRUMENTOS PRIVADOS\poderes\poder MARIO RAMIREZ.doc", "Abrir Documento")</f>
        <v>0</v>
      </c>
      <c r="D23202" t="s">
        <v>23501</v>
      </c>
      <c r="E23202" t="s">
        <v>45527</v>
      </c>
    </row>
    <row r="23203" spans="1:5">
      <c r="A23203" t="s">
        <v>6</v>
      </c>
      <c r="B23203" t="s">
        <v>23208</v>
      </c>
      <c r="C23203">
        <f>HYPERLINK("C:\Users\franc\OneDrive\Documentos\MALENTIN KARIME\BANCO CREDITO\FER LORCA en ROSITA (Rosita)\ANA LUISA TODO\MATRICES INSTRUMENTOS PRIVADOS\poderes\Poder instalar negocio.doc", "Abrir Documento")</f>
        <v>0</v>
      </c>
      <c r="D23203" t="s">
        <v>23501</v>
      </c>
      <c r="E23203" t="s">
        <v>45528</v>
      </c>
    </row>
    <row r="23204" spans="1:5">
      <c r="A23204" t="s">
        <v>6</v>
      </c>
      <c r="B23204" t="s">
        <v>23209</v>
      </c>
      <c r="C23204">
        <f>HYPERLINK("C:\Users\franc\OneDrive\Documentos\MALENTIN KARIME\BANCO CREDITO\FER LORCA en ROSITA (Rosita)\ANA LUISA TODO\MATRICES INSTRUMENTOS PRIVADOS\poderes\poder freddy cortes.doc", "Abrir Documento")</f>
        <v>0</v>
      </c>
      <c r="D23204" t="s">
        <v>23501</v>
      </c>
      <c r="E23204" t="s">
        <v>45529</v>
      </c>
    </row>
    <row r="23205" spans="1:5">
      <c r="A23205" t="s">
        <v>6</v>
      </c>
      <c r="B23205" t="s">
        <v>23210</v>
      </c>
      <c r="C23205">
        <f>HYPERLINK("C:\Users\franc\OneDrive\Documentos\MALENTIN KARIME\BANCO CREDITO\FER LORCA en ROSITA (Rosita)\ANA LUISA TODO\MATRICES INSTRUMENTOS PRIVADOS\poderes\Poder Entel.doc", "Abrir Documento")</f>
        <v>0</v>
      </c>
      <c r="D23205" t="s">
        <v>23501</v>
      </c>
      <c r="E23205" t="s">
        <v>45530</v>
      </c>
    </row>
    <row r="23206" spans="1:5">
      <c r="A23206" t="s">
        <v>6</v>
      </c>
      <c r="B23206" t="s">
        <v>23211</v>
      </c>
      <c r="C23206">
        <f>HYPERLINK("C:\Users\franc\OneDrive\Documentos\MALENTIN KARIME\BANCO CREDITO\FER LORCA en ROSITA (Rosita)\ANA LUISA TODO\MATRICES INSTRUMENTOS PRIVADOS\poderes\Poder Cambiar cheques.doc", "Abrir Documento")</f>
        <v>0</v>
      </c>
      <c r="D23206" t="s">
        <v>23501</v>
      </c>
      <c r="E23206" t="s">
        <v>45531</v>
      </c>
    </row>
    <row r="23207" spans="1:5">
      <c r="A23207" t="s">
        <v>6</v>
      </c>
      <c r="B23207" t="s">
        <v>23212</v>
      </c>
      <c r="C23207">
        <f>HYPERLINK("C:\Users\franc\OneDrive\Documentos\MALENTIN KARIME\BANCO CREDITO\FER LORCA en ROSITA (Rosita)\ANA LUISA TODO\MATRICES INSTRUMENTOS PRIVADOS\poderes\Poder Bienes Nac.doc", "Abrir Documento")</f>
        <v>0</v>
      </c>
      <c r="D23207" t="s">
        <v>23501</v>
      </c>
      <c r="E23207" t="s">
        <v>45532</v>
      </c>
    </row>
    <row r="23208" spans="1:5">
      <c r="A23208" t="s">
        <v>6</v>
      </c>
      <c r="B23208" t="s">
        <v>23213</v>
      </c>
      <c r="C23208">
        <f>HYPERLINK("C:\Users\franc\OneDrive\Documentos\MALENTIN KARIME\BANCO CREDITO\FER LORCA en ROSITA (Rosita)\ANA LUISA TODO\MATRICES INSTRUMENTOS PRIVADOS\poderes\Poder Bancario simple.doc", "Abrir Documento")</f>
        <v>0</v>
      </c>
      <c r="D23208" t="s">
        <v>23501</v>
      </c>
      <c r="E23208" t="s">
        <v>45533</v>
      </c>
    </row>
    <row r="23209" spans="1:5">
      <c r="A23209" t="s">
        <v>6</v>
      </c>
      <c r="B23209" t="s">
        <v>23214</v>
      </c>
      <c r="C23209">
        <f>HYPERLINK("C:\Users\franc\OneDrive\Documentos\MALENTIN KARIME\BANCO CREDITO\FER LORCA en ROSITA (Rosita)\ANA LUISA TODO\MATRICES INSTRUMENTOS PRIVADOS\poderes\Poder aumento cupo.doc", "Abrir Documento")</f>
        <v>0</v>
      </c>
      <c r="D23209" t="s">
        <v>23501</v>
      </c>
      <c r="E23209" t="s">
        <v>45534</v>
      </c>
    </row>
    <row r="23210" spans="1:5">
      <c r="A23210" t="s">
        <v>6</v>
      </c>
      <c r="B23210" t="s">
        <v>23215</v>
      </c>
      <c r="C23210">
        <f>HYPERLINK("C:\Users\franc\OneDrive\Documentos\MALENTIN KARIME\BANCO CREDITO\FER LORCA en ROSITA (Rosita)\ANA LUISA TODO\MATRICES INSTRUMENTOS PRIVADOS\poderes\para arrendar.doc", "Abrir Documento")</f>
        <v>0</v>
      </c>
      <c r="D23210" t="s">
        <v>23501</v>
      </c>
      <c r="E23210" t="s">
        <v>45535</v>
      </c>
    </row>
    <row r="23211" spans="1:5">
      <c r="A23211" t="s">
        <v>6</v>
      </c>
      <c r="B23211" t="s">
        <v>23216</v>
      </c>
      <c r="C23211">
        <f>HYPERLINK("C:\Users\franc\OneDrive\Documentos\MALENTIN KARIME\BANCO CREDITO\FER LORCA en ROSITA (Rosita)\ANA LUISA TODO\MATRICES INSTRUMENTOS PRIVADOS\poderes\operar cta cte.doc", "Abrir Documento")</f>
        <v>0</v>
      </c>
      <c r="D23211" t="s">
        <v>23501</v>
      </c>
      <c r="E23211" t="s">
        <v>45536</v>
      </c>
    </row>
    <row r="23212" spans="1:5">
      <c r="A23212" t="s">
        <v>6</v>
      </c>
      <c r="B23212" t="s">
        <v>23217</v>
      </c>
      <c r="C23212">
        <f>HYPERLINK("C:\Users\franc\OneDrive\Documentos\MALENTIN KARIME\BANCO CREDITO\FER LORCA en ROSITA (Rosita)\ANA LUISA TODO\MATRICES INSTRUMENTOS PRIVADOS\poderes\cobro cheques.doc", "Abrir Documento")</f>
        <v>0</v>
      </c>
      <c r="D23212" t="s">
        <v>23501</v>
      </c>
      <c r="E23212" t="s">
        <v>45537</v>
      </c>
    </row>
    <row r="23213" spans="1:5">
      <c r="A23213" t="s">
        <v>6</v>
      </c>
      <c r="B23213" t="s">
        <v>23218</v>
      </c>
      <c r="C23213">
        <f>HYPERLINK("C:\Users\franc\OneDrive\Documentos\MALENTIN KARIME\BANCO CREDITO\FER LORCA en ROSITA (Rosita)\ANA LUISA TODO\MATRICES INSTRUMENTOS PRIVADOS\poderes\cobro cheque girador determinado.doc", "Abrir Documento")</f>
        <v>0</v>
      </c>
      <c r="D23213" t="s">
        <v>23501</v>
      </c>
      <c r="E23213" t="s">
        <v>45538</v>
      </c>
    </row>
    <row r="23214" spans="1:5">
      <c r="A23214" t="s">
        <v>6</v>
      </c>
      <c r="B23214" t="s">
        <v>23219</v>
      </c>
      <c r="C23214">
        <f>HYPERLINK("C:\Users\franc\OneDrive\Documentos\MALENTIN KARIME\BANCO CREDITO\FER LORCA en ROSITA (Rosita)\ANA LUISA TODO\MATRICES INSTRUMENTOS PRIVADOS\poderes\CARTA.barraza..doc", "Abrir Documento")</f>
        <v>0</v>
      </c>
      <c r="D23214" t="s">
        <v>23501</v>
      </c>
      <c r="E23214" t="s">
        <v>45539</v>
      </c>
    </row>
    <row r="23215" spans="1:5">
      <c r="A23215" t="s">
        <v>6</v>
      </c>
      <c r="B23215" t="s">
        <v>23220</v>
      </c>
      <c r="C23215">
        <f>HYPERLINK("C:\Users\franc\OneDrive\Documentos\MALENTIN KARIME\BANCO CREDITO\FER LORCA en ROSITA (Rosita)\ANA LUISA TODO\MATRICES INSTRUMENTOS PRIVADOS\laboral\renuncia voluntaria.doc", "Abrir Documento")</f>
        <v>0</v>
      </c>
      <c r="D23215" t="s">
        <v>23501</v>
      </c>
      <c r="E23215" t="s">
        <v>45540</v>
      </c>
    </row>
    <row r="23216" spans="1:5">
      <c r="A23216" t="s">
        <v>6</v>
      </c>
      <c r="B23216" t="s">
        <v>23221</v>
      </c>
      <c r="C23216">
        <f>HYPERLINK("C:\Users\franc\OneDrive\Documentos\MALENTIN KARIME\BANCO CREDITO\FER LORCA en ROSITA (Rosita)\ANA LUISA TODO\MATRICES INSTRUMENTOS PRIVADOS\INFORMES\TESTAMENTOS.doc", "Abrir Documento")</f>
        <v>0</v>
      </c>
      <c r="D23216" t="s">
        <v>23501</v>
      </c>
      <c r="E23216" t="s">
        <v>45541</v>
      </c>
    </row>
    <row r="23217" spans="1:5">
      <c r="A23217" t="s">
        <v>6</v>
      </c>
      <c r="B23217" t="s">
        <v>23222</v>
      </c>
      <c r="C23217">
        <f>HYPERLINK("C:\Users\franc\OneDrive\Documentos\MALENTIN KARIME\BANCO CREDITO\FER LORCA en ROSITA (Rosita)\ANA LUISA TODO\MATRICES INSTRUMENTOS PRIVADOS\INFORMES\TESTAMENTOS REGISTRO CIVIL.doc", "Abrir Documento")</f>
        <v>0</v>
      </c>
      <c r="D23217" t="s">
        <v>23501</v>
      </c>
      <c r="E23217" t="s">
        <v>45542</v>
      </c>
    </row>
    <row r="23218" spans="1:5">
      <c r="A23218" t="s">
        <v>6</v>
      </c>
      <c r="B23218" t="s">
        <v>23223</v>
      </c>
      <c r="C23218">
        <f>HYPERLINK("C:\Users\franc\OneDrive\Documentos\MALENTIN KARIME\BANCO CREDITO\FER LORCA en ROSITA (Rosita)\ANA LUISA TODO\MATRICES INSTRUMENTOS PRIVADOS\INFORMES\REPÉRTORIO.doc", "Abrir Documento")</f>
        <v>0</v>
      </c>
      <c r="D23218" t="s">
        <v>23501</v>
      </c>
      <c r="E23218" t="s">
        <v>45543</v>
      </c>
    </row>
    <row r="23219" spans="1:5">
      <c r="A23219" t="s">
        <v>6</v>
      </c>
      <c r="B23219" t="s">
        <v>23224</v>
      </c>
      <c r="C23219">
        <f>HYPERLINK("C:\Users\franc\OneDrive\Documentos\MALENTIN KARIME\BANCO CREDITO\FER LORCA en ROSITA (Rosita)\ANA LUISA TODO\MATRICES INSTRUMENTOS PRIVADOS\INFORMES\REGISTRO FIRMA.doc", "Abrir Documento")</f>
        <v>0</v>
      </c>
      <c r="D23219" t="s">
        <v>23501</v>
      </c>
      <c r="E23219" t="s">
        <v>45544</v>
      </c>
    </row>
    <row r="23220" spans="1:5">
      <c r="A23220" t="s">
        <v>6</v>
      </c>
      <c r="B23220" t="s">
        <v>23225</v>
      </c>
      <c r="C23220">
        <f>HYPERLINK("C:\Users\franc\OneDrive\Documentos\MALENTIN KARIME\BANCO CREDITO\FER LORCA en ROSITA (Rosita)\ANA LUISA TODO\MATRICES INSTRUMENTOS PRIVADOS\INFORMES\FINIQUITOS.doc", "Abrir Documento")</f>
        <v>0</v>
      </c>
      <c r="D23220" t="s">
        <v>23501</v>
      </c>
      <c r="E23220" t="s">
        <v>45545</v>
      </c>
    </row>
    <row r="23221" spans="1:5">
      <c r="A23221" t="s">
        <v>6</v>
      </c>
      <c r="B23221" t="s">
        <v>23226</v>
      </c>
      <c r="C23221">
        <f>HYPERLINK("C:\Users\franc\OneDrive\Documentos\MALENTIN KARIME\BANCO CREDITO\FER LORCA en ROSITA (Rosita)\ANA LUISA TODO\MATRICES INSTRUMENTOS PRIVADOS\INFORMES\CORRECCION BOLETIN.doc", "Abrir Documento")</f>
        <v>0</v>
      </c>
      <c r="D23221" t="s">
        <v>23501</v>
      </c>
      <c r="E23221" t="s">
        <v>45546</v>
      </c>
    </row>
    <row r="23222" spans="1:5">
      <c r="A23222" t="s">
        <v>6</v>
      </c>
      <c r="B23222" t="s">
        <v>23227</v>
      </c>
      <c r="C23222">
        <f>HYPERLINK("C:\Users\franc\OneDrive\Documentos\MALENTIN KARIME\BANCO CREDITO\FER LORCA en ROSITA (Rosita)\ANA LUISA TODO\MATRICES INSTRUMENTOS PRIVADOS\INFORMES\BOLETIN.doc", "Abrir Documento")</f>
        <v>0</v>
      </c>
      <c r="D23222" t="s">
        <v>23501</v>
      </c>
      <c r="E23222" t="s">
        <v>45547</v>
      </c>
    </row>
    <row r="23223" spans="1:5">
      <c r="A23223" t="s">
        <v>6</v>
      </c>
      <c r="B23223" t="s">
        <v>23228</v>
      </c>
      <c r="C23223">
        <f>HYPERLINK("C:\Users\franc\OneDrive\Documentos\MALENTIN KARIME\BANCO CREDITO\FER LORCA en ROSITA (Rosita)\ANA LUISA TODO\MATRICES INSTRUMENTOS PRIVADOS\declaracion jurada\SOLTERIA MAURICIO.doc", "Abrir Documento")</f>
        <v>0</v>
      </c>
      <c r="D23223" t="s">
        <v>23501</v>
      </c>
      <c r="E23223" t="s">
        <v>45548</v>
      </c>
    </row>
    <row r="23224" spans="1:5">
      <c r="A23224" t="s">
        <v>6</v>
      </c>
      <c r="B23224" t="s">
        <v>23229</v>
      </c>
      <c r="C23224">
        <f>HYPERLINK("C:\Users\franc\OneDrive\Documentos\MALENTIN KARIME\BANCO CREDITO\FER LORCA en ROSITA (Rosita)\ANA LUISA TODO\MATRICES INSTRUMENTOS PRIVADOS\declaracion jurada\perdida todos documentos.doc", "Abrir Documento")</f>
        <v>0</v>
      </c>
      <c r="D23224" t="s">
        <v>23501</v>
      </c>
      <c r="E23224" t="s">
        <v>45549</v>
      </c>
    </row>
    <row r="23225" spans="1:5">
      <c r="A23225" t="s">
        <v>6</v>
      </c>
      <c r="B23225" t="s">
        <v>23230</v>
      </c>
      <c r="C23225">
        <f>HYPERLINK("C:\Users\franc\OneDrive\Documentos\MALENTIN KARIME\BANCO CREDITO\FER LORCA en ROSITA (Rosita)\ANA LUISA TODO\MATRICES INSTRUMENTOS PRIVADOS\declaracion jurada\perdida permiso circulacion 13-3.doc", "Abrir Documento")</f>
        <v>0</v>
      </c>
      <c r="D23225" t="s">
        <v>23501</v>
      </c>
      <c r="E23225" t="s">
        <v>45550</v>
      </c>
    </row>
    <row r="23226" spans="1:5">
      <c r="A23226" t="s">
        <v>6</v>
      </c>
      <c r="B23226" t="s">
        <v>23231</v>
      </c>
      <c r="C23226">
        <f>HYPERLINK("C:\Users\franc\OneDrive\Documentos\MALENTIN KARIME\BANCO CREDITO\FER LORCA en ROSITA (Rosita)\ANA LUISA TODO\MATRICES INSTRUMENTOS PRIVADOS\declaracion jurada\perdida licencia conducir.doc", "Abrir Documento")</f>
        <v>0</v>
      </c>
      <c r="D23226" t="s">
        <v>23501</v>
      </c>
      <c r="E23226" t="s">
        <v>45551</v>
      </c>
    </row>
    <row r="23227" spans="1:5">
      <c r="A23227" t="s">
        <v>6</v>
      </c>
      <c r="B23227" t="s">
        <v>23232</v>
      </c>
      <c r="C23227">
        <f>HYPERLINK("C:\Users\franc\OneDrive\Documentos\MALENTIN KARIME\BANCO CREDITO\FER LORCA en ROSITA (Rosita)\ANA LUISA TODO\MATRICES INSTRUMENTOS PRIVADOS\declaracion jurada\perdida certif analisis de gases.doc", "Abrir Documento")</f>
        <v>0</v>
      </c>
      <c r="D23227" t="s">
        <v>23501</v>
      </c>
      <c r="E23227" t="s">
        <v>45552</v>
      </c>
    </row>
    <row r="23228" spans="1:5">
      <c r="A23228" t="s">
        <v>6</v>
      </c>
      <c r="B23228" t="s">
        <v>23233</v>
      </c>
      <c r="C23228">
        <f>HYPERLINK("C:\Users\franc\OneDrive\Documentos\MALENTIN KARIME\BANCO CREDITO\FER LORCA en ROSITA (Rosita)\ANA LUISA TODO\MATRICES INSTRUMENTOS PRIVADOS\declaracion jurada\perdida cedula.doc", "Abrir Documento")</f>
        <v>0</v>
      </c>
      <c r="D23228" t="s">
        <v>23501</v>
      </c>
      <c r="E23228" t="s">
        <v>45553</v>
      </c>
    </row>
    <row r="23229" spans="1:5">
      <c r="A23229" t="s">
        <v>6</v>
      </c>
      <c r="B23229" t="s">
        <v>23234</v>
      </c>
      <c r="C23229">
        <f>HYPERLINK("C:\Users\franc\OneDrive\Documentos\MALENTIN KARIME\BANCO CREDITO\FER LORCA en ROSITA (Rosita)\ANA LUISA TODO\MATRICES INSTRUMENTOS PRIVADOS\declaracion jurada\obtencion patente alcoholes.doc", "Abrir Documento")</f>
        <v>0</v>
      </c>
      <c r="D23229" t="s">
        <v>23501</v>
      </c>
      <c r="E23229" t="s">
        <v>45554</v>
      </c>
    </row>
    <row r="23230" spans="1:5">
      <c r="A23230" t="s">
        <v>6</v>
      </c>
      <c r="B23230" t="s">
        <v>23235</v>
      </c>
      <c r="C23230">
        <f>HYPERLINK("C:\Users\franc\OneDrive\Documentos\MALENTIN KARIME\BANCO CREDITO\FER LORCA en ROSITA (Rosita)\ANA LUISA TODO\MATRICES INSTRUMENTOS PRIVADOS\declaracion jurada\no circulacion vehiculo.doc", "Abrir Documento")</f>
        <v>0</v>
      </c>
      <c r="D23230" t="s">
        <v>23501</v>
      </c>
      <c r="E23230" t="s">
        <v>45555</v>
      </c>
    </row>
    <row r="23231" spans="1:5">
      <c r="A23231" t="s">
        <v>6</v>
      </c>
      <c r="B23231" t="s">
        <v>23236</v>
      </c>
      <c r="C23231">
        <f>HYPERLINK("C:\Users\franc\OneDrive\Documentos\MALENTIN KARIME\BANCO CREDITO\FER LORCA en ROSITA (Rosita)\ANA LUISA TODO\MATRICES INSTRUMENTOS PRIVADOS\declaracion jurada\no circulacion vehiculo 11-3.doc", "Abrir Documento")</f>
        <v>0</v>
      </c>
      <c r="D23231" t="s">
        <v>23501</v>
      </c>
      <c r="E23231" t="s">
        <v>45556</v>
      </c>
    </row>
    <row r="23232" spans="1:5">
      <c r="A23232" t="s">
        <v>6</v>
      </c>
      <c r="B23232" t="s">
        <v>23237</v>
      </c>
      <c r="C23232">
        <f>HYPERLINK("C:\Users\franc\OneDrive\Documentos\MALENTIN KARIME\BANCO CREDITO\FER LORCA en ROSITA (Rosita)\ANA LUISA TODO\MATRICES INSTRUMENTOS PRIVADOS\declaracion jurada\Declaración 220km.doc", "Abrir Documento")</f>
        <v>0</v>
      </c>
      <c r="D23232" t="s">
        <v>23501</v>
      </c>
      <c r="E23232" t="s">
        <v>45557</v>
      </c>
    </row>
    <row r="23233" spans="1:5">
      <c r="A23233" t="s">
        <v>6</v>
      </c>
      <c r="B23233" t="s">
        <v>23238</v>
      </c>
      <c r="C23233">
        <f>HYPERLINK("C:\Users\franc\OneDrive\Documentos\MALENTIN KARIME\BANCO CREDITO\FER LORCA en ROSITA (Rosita)\ANA LUISA TODO\MATRICES INSTRUMENTOS PRIVADOS\declaracion jurada\DECLARACION revision tecnica.doc", "Abrir Documento")</f>
        <v>0</v>
      </c>
      <c r="D23233" t="s">
        <v>23501</v>
      </c>
      <c r="E23233" t="s">
        <v>45558</v>
      </c>
    </row>
    <row r="23234" spans="1:5">
      <c r="A23234" t="s">
        <v>6</v>
      </c>
      <c r="B23234" t="s">
        <v>23239</v>
      </c>
      <c r="C23234">
        <f>HYPERLINK("C:\Users\franc\OneDrive\Documentos\MALENTIN KARIME\BANCO CREDITO\FER LORCA en ROSITA (Rosita)\ANA LUISA TODO\MATRICES INSTRUMENTOS PRIVADOS\declaracion jurada\Declaracion renta.doc", "Abrir Documento")</f>
        <v>0</v>
      </c>
      <c r="D23234" t="s">
        <v>23501</v>
      </c>
      <c r="E23234" t="s">
        <v>45559</v>
      </c>
    </row>
    <row r="23235" spans="1:5">
      <c r="A23235" t="s">
        <v>6</v>
      </c>
      <c r="B23235" t="s">
        <v>23240</v>
      </c>
      <c r="C23235">
        <f>HYPERLINK("C:\Users\franc\OneDrive\Documentos\MALENTIN KARIME\BANCO CREDITO\FER LORCA en ROSITA (Rosita)\ANA LUISA TODO\MATRICES INSTRUMENTOS PRIVADOS\declaracion jurada\DECLARACION JURADA SOLTERIA.doc", "Abrir Documento")</f>
        <v>0</v>
      </c>
      <c r="D23235" t="s">
        <v>23501</v>
      </c>
      <c r="E23235" t="s">
        <v>45560</v>
      </c>
    </row>
    <row r="23236" spans="1:5">
      <c r="A23236" t="s">
        <v>6</v>
      </c>
      <c r="B23236" t="s">
        <v>23241</v>
      </c>
      <c r="C23236">
        <f>HYPERLINK("C:\Users\franc\OneDrive\Documentos\MALENTIN KARIME\BANCO CREDITO\FER LORCA en ROSITA (Rosita)\ANA LUISA TODO\MATRICES INSTRUMENTOS PRIVADOS\declaracion jurada\DECLARACION JURADA FIRMO ANTE MI.doc", "Abrir Documento")</f>
        <v>0</v>
      </c>
      <c r="D23236" t="s">
        <v>23501</v>
      </c>
      <c r="E23236" t="s">
        <v>45561</v>
      </c>
    </row>
    <row r="23237" spans="1:5">
      <c r="A23237" t="s">
        <v>6</v>
      </c>
      <c r="B23237" t="s">
        <v>23242</v>
      </c>
      <c r="C23237">
        <f>HYPERLINK("C:\Users\franc\OneDrive\Documentos\MALENTIN KARIME\BANCO CREDITO\FER LORCA en ROSITA (Rosita)\ANA LUISA TODO\MATRICES INSTRUMENTOS PRIVADOS\declaracion jurada\DECLARACION JURADA FIRMA AUTORIZADA.doc", "Abrir Documento")</f>
        <v>0</v>
      </c>
      <c r="D23237" t="s">
        <v>23501</v>
      </c>
      <c r="E23237" t="s">
        <v>45562</v>
      </c>
    </row>
    <row r="23238" spans="1:5">
      <c r="A23238" t="s">
        <v>6</v>
      </c>
      <c r="B23238" t="s">
        <v>23243</v>
      </c>
      <c r="C23238">
        <f>HYPERLINK("C:\Users\franc\OneDrive\Documentos\MALENTIN KARIME\BANCO CREDITO\FER LORCA en ROSITA (Rosita)\ANA LUISA TODO\MATRICES INSTRUMENTOS PRIVADOS\declaracion jurada\DECLARACION JURADA DE TESTIGOS.doc", "Abrir Documento")</f>
        <v>0</v>
      </c>
      <c r="D23238" t="s">
        <v>23501</v>
      </c>
      <c r="E23238" t="s">
        <v>45563</v>
      </c>
    </row>
    <row r="23239" spans="1:5">
      <c r="A23239" t="s">
        <v>6</v>
      </c>
      <c r="B23239" t="s">
        <v>23244</v>
      </c>
      <c r="C23239">
        <f>HYPERLINK("C:\Users\franc\OneDrive\Documentos\MALENTIN KARIME\BANCO CREDITO\FER LORCA en ROSITA (Rosita)\ANA LUISA TODO\MATRICES INSTRUMENTOS PRIVADOS\declaracion jurada\DECLARA. formato.doc", "Abrir Documento")</f>
        <v>0</v>
      </c>
      <c r="D23239" t="s">
        <v>23501</v>
      </c>
      <c r="E23239" t="s">
        <v>45564</v>
      </c>
    </row>
    <row r="23240" spans="1:5">
      <c r="A23240" t="s">
        <v>6</v>
      </c>
      <c r="B23240" t="s">
        <v>23245</v>
      </c>
      <c r="C23240">
        <f>HYPERLINK("C:\Users\franc\OneDrive\Documentos\MALENTIN KARIME\BANCO CREDITO\FER LORCA en ROSITA (Rosita)\ANA LUISA TODO\MATRICES INSTRUMENTOS PRIVADOS\declaracion jurada\DECLAR.Permiso Circ..doc", "Abrir Documento")</f>
        <v>0</v>
      </c>
      <c r="D23240" t="s">
        <v>23501</v>
      </c>
      <c r="E23240" t="s">
        <v>45565</v>
      </c>
    </row>
    <row r="23241" spans="1:5">
      <c r="A23241" t="s">
        <v>6</v>
      </c>
      <c r="B23241" t="s">
        <v>23246</v>
      </c>
      <c r="C23241">
        <f>HYPERLINK("C:\Users\franc\OneDrive\Documentos\MALENTIN KARIME\BANCO CREDITO\FER LORCA en ROSITA (Rosita)\ANA LUISA TODO\MATRICES INSTRUMENTOS PRIVADOS\declaracion jurada\DECLAR.motor..doc", "Abrir Documento")</f>
        <v>0</v>
      </c>
      <c r="D23241" t="s">
        <v>23501</v>
      </c>
      <c r="E23241" t="s">
        <v>45566</v>
      </c>
    </row>
    <row r="23242" spans="1:5">
      <c r="A23242" t="s">
        <v>6</v>
      </c>
      <c r="B23242" t="s">
        <v>23247</v>
      </c>
      <c r="C23242">
        <f>HYPERLINK("C:\Users\franc\OneDrive\Documentos\MALENTIN KARIME\BANCO CREDITO\FER LORCA en ROSITA (Rosita)\ANA LUISA TODO\MATRICES INSTRUMENTOS PRIVADOS\declaracion jurada\DECLAR.cheque..doc", "Abrir Documento")</f>
        <v>0</v>
      </c>
      <c r="D23242" t="s">
        <v>23501</v>
      </c>
      <c r="E23242" t="s">
        <v>45567</v>
      </c>
    </row>
    <row r="23243" spans="1:5">
      <c r="A23243" t="s">
        <v>6</v>
      </c>
      <c r="B23243" t="s">
        <v>23248</v>
      </c>
      <c r="C23243">
        <f>HYPERLINK("C:\Users\franc\OneDrive\Documentos\MALENTIN KARIME\BANCO CREDITO\FER LORCA en ROSITA (Rosita)\ANA LUISA TODO\MATRICES INSTRUMENTOS PRIVADOS\declaracion jurada\DECLAR.carro de arrastre.doc", "Abrir Documento")</f>
        <v>0</v>
      </c>
      <c r="D23243" t="s">
        <v>23501</v>
      </c>
      <c r="E23243" t="s">
        <v>45568</v>
      </c>
    </row>
    <row r="23244" spans="1:5">
      <c r="A23244" t="s">
        <v>6</v>
      </c>
      <c r="B23244" t="s">
        <v>23249</v>
      </c>
      <c r="C23244">
        <f>HYPERLINK("C:\Users\franc\OneDrive\Documentos\MALENTIN KARIME\BANCO CREDITO\FER LORCA en ROSITA (Rosita)\ANA LUISA TODO\MATRICES INSTRUMENTOS PRIVADOS\declaracion jurada\DECLAR. gastos estudios..doc", "Abrir Documento")</f>
        <v>0</v>
      </c>
      <c r="D23244" t="s">
        <v>23501</v>
      </c>
      <c r="E23244" t="s">
        <v>45569</v>
      </c>
    </row>
    <row r="23245" spans="1:5">
      <c r="A23245" t="s">
        <v>6</v>
      </c>
      <c r="B23245" t="s">
        <v>23250</v>
      </c>
      <c r="C23245">
        <f>HYPERLINK("C:\Users\franc\OneDrive\Documentos\MALENTIN KARIME\BANCO CREDITO\FER LORCA en ROSITA (Rosita)\ANA LUISA TODO\MATRICES INSTRUMENTOS PRIVADOS\declaracion jurada\DECLAR. domicilio..doc", "Abrir Documento")</f>
        <v>0</v>
      </c>
      <c r="D23245" t="s">
        <v>23501</v>
      </c>
      <c r="E23245" t="s">
        <v>45570</v>
      </c>
    </row>
    <row r="23246" spans="1:5">
      <c r="A23246" t="s">
        <v>6</v>
      </c>
      <c r="B23246" t="s">
        <v>23251</v>
      </c>
      <c r="C23246">
        <f>HYPERLINK("C:\Users\franc\OneDrive\Documentos\MALENTIN KARIME\BANCO CREDITO\FER LORCA en ROSITA (Rosita)\ANA LUISA TODO\MATRICES INSTRUMENTOS PRIVADOS\declaracion jurada\DECLA.Revisión..doc", "Abrir Documento")</f>
        <v>0</v>
      </c>
      <c r="D23246" t="s">
        <v>23501</v>
      </c>
      <c r="E23246" t="s">
        <v>45571</v>
      </c>
    </row>
    <row r="23247" spans="1:5">
      <c r="A23247" t="s">
        <v>6</v>
      </c>
      <c r="B23247" t="s">
        <v>23252</v>
      </c>
      <c r="C23247">
        <f>HYPERLINK("C:\Users\franc\OneDrive\Documentos\MALENTIN KARIME\BANCO CREDITO\FER LORCA en ROSITA (Rosita)\ANA LUISA TODO\MATRICES INSTRUMENTOS PRIVADOS\declaracion jurada\DECLA.contruccion bote.doc", "Abrir Documento")</f>
        <v>0</v>
      </c>
      <c r="D23247" t="s">
        <v>23501</v>
      </c>
      <c r="E23247" t="s">
        <v>45572</v>
      </c>
    </row>
    <row r="23248" spans="1:5">
      <c r="A23248" t="s">
        <v>6</v>
      </c>
      <c r="B23248" t="s">
        <v>23253</v>
      </c>
      <c r="C23248">
        <f>HYPERLINK("C:\Users\franc\OneDrive\Documentos\MALENTIN KARIME\BANCO CREDITO\FER LORCA en ROSITA (Rosita)\ANA LUISA TODO\MATRICES INSTRUMENTOS PRIVADOS\declaracion jurada\Decla sobre estado familiar.doc", "Abrir Documento")</f>
        <v>0</v>
      </c>
      <c r="D23248" t="s">
        <v>23501</v>
      </c>
      <c r="E23248" t="s">
        <v>45573</v>
      </c>
    </row>
    <row r="23249" spans="1:5">
      <c r="A23249" t="s">
        <v>6</v>
      </c>
      <c r="B23249" t="s">
        <v>23254</v>
      </c>
      <c r="C23249">
        <f>HYPERLINK("C:\Users\franc\OneDrive\Documentos\MALENTIN KARIME\BANCO CREDITO\FER LORCA en ROSITA (Rosita)\ANA LUISA TODO\MATRICES INSTRUMENTOS PRIVADOS\declaracion jurada\Decl. solteria.doc", "Abrir Documento")</f>
        <v>0</v>
      </c>
      <c r="D23249" t="s">
        <v>23501</v>
      </c>
      <c r="E23249" t="s">
        <v>45574</v>
      </c>
    </row>
    <row r="23250" spans="1:5">
      <c r="A23250" t="s">
        <v>6</v>
      </c>
      <c r="B23250" t="s">
        <v>23255</v>
      </c>
      <c r="C23250">
        <f>HYPERLINK("C:\Users\franc\OneDrive\Documentos\MALENTIN KARIME\BANCO CREDITO\FER LORCA en ROSITA (Rosita)\ANA LUISA TODO\MATRICES INSTRUMENTOS PRIVADOS\declaracion jurada\Decl. remuneración traslado.doc", "Abrir Documento")</f>
        <v>0</v>
      </c>
      <c r="D23250" t="s">
        <v>23501</v>
      </c>
      <c r="E23250" t="s">
        <v>45575</v>
      </c>
    </row>
    <row r="23251" spans="1:5">
      <c r="A23251" t="s">
        <v>6</v>
      </c>
      <c r="B23251" t="s">
        <v>23256</v>
      </c>
      <c r="C23251">
        <f>HYPERLINK("C:\Users\franc\OneDrive\Documentos\MALENTIN KARIME\BANCO CREDITO\FER LORCA en ROSITA (Rosita)\ANA LUISA TODO\MATRICES INSTRUMENTOS PRIVADOS\declaracion jurada\Decl. allegada.doc", "Abrir Documento")</f>
        <v>0</v>
      </c>
      <c r="D23251" t="s">
        <v>23501</v>
      </c>
      <c r="E23251" t="s">
        <v>45576</v>
      </c>
    </row>
    <row r="23252" spans="1:5">
      <c r="A23252" t="s">
        <v>6</v>
      </c>
      <c r="B23252" t="s">
        <v>23257</v>
      </c>
      <c r="C23252">
        <f>HYPERLINK("C:\Users\franc\OneDrive\Documentos\MALENTIN KARIME\BANCO CREDITO\FER LORCA en ROSITA (Rosita)\ANA LUISA TODO\MATRICES INSTRUMENTOS PRIVADOS\declaracion jurada\cesantia.doc", "Abrir Documento")</f>
        <v>0</v>
      </c>
      <c r="D23252" t="s">
        <v>23501</v>
      </c>
      <c r="E23252" t="s">
        <v>45577</v>
      </c>
    </row>
    <row r="23253" spans="1:5">
      <c r="A23253" t="s">
        <v>6</v>
      </c>
      <c r="B23253" t="s">
        <v>23258</v>
      </c>
      <c r="C23253">
        <f>HYPERLINK("C:\Users\franc\OneDrive\Documentos\MALENTIN KARIME\BANCO CREDITO\FER LORCA en ROSITA (Rosita)\ANA LUISA TODO\MATRICES INSTRUMENTOS PRIVADOS\declaracion jurada\cede sin coste vivienda.doc", "Abrir Documento")</f>
        <v>0</v>
      </c>
      <c r="D23253" t="s">
        <v>23501</v>
      </c>
      <c r="E23253" t="s">
        <v>45578</v>
      </c>
    </row>
    <row r="23254" spans="1:5">
      <c r="A23254" t="s">
        <v>6</v>
      </c>
      <c r="B23254" t="s">
        <v>23259</v>
      </c>
      <c r="C23254">
        <f>HYPERLINK("C:\Users\franc\OneDrive\Documentos\MALENTIN KARIME\BANCO CREDITO\FER LORCA en ROSITA (Rosita)\ANA LUISA TODO\MATRICES INSTRUMENTOS PRIVADOS\declaracion jurada\carro hechizo.doc", "Abrir Documento")</f>
        <v>0</v>
      </c>
      <c r="D23254" t="s">
        <v>23501</v>
      </c>
      <c r="E23254" t="s">
        <v>45579</v>
      </c>
    </row>
    <row r="23255" spans="1:5">
      <c r="A23255" t="s">
        <v>6</v>
      </c>
      <c r="B23255" t="s">
        <v>23260</v>
      </c>
      <c r="C23255">
        <f>HYPERLINK("C:\Users\franc\OneDrive\Documentos\MALENTIN KARIME\BANCO CREDITO\FER LORCA en ROSITA (Rosita)\ANA LUISA TODO\MATRICES INSTRUMENTOS PRIVADOS\declaracion jurada\asignacion familiar.doc", "Abrir Documento")</f>
        <v>0</v>
      </c>
      <c r="D23255" t="s">
        <v>23501</v>
      </c>
      <c r="E23255" t="s">
        <v>45580</v>
      </c>
    </row>
    <row r="23256" spans="1:5">
      <c r="A23256" t="s">
        <v>6</v>
      </c>
      <c r="B23256" t="s">
        <v>23261</v>
      </c>
      <c r="C23256">
        <f>HYPERLINK("C:\Users\franc\OneDrive\Documentos\MALENTIN KARIME\BANCO CREDITO\FER LORCA en ROSITA (Rosita)\ANA LUISA TODO\MATRICES INSTRUMENTOS PRIVADOS\certificados\ESTADO CIVIL.doc", "Abrir Documento")</f>
        <v>0</v>
      </c>
      <c r="D23256" t="s">
        <v>23501</v>
      </c>
      <c r="E23256" t="s">
        <v>45581</v>
      </c>
    </row>
    <row r="23257" spans="1:5">
      <c r="A23257" t="s">
        <v>6</v>
      </c>
      <c r="B23257" t="s">
        <v>23262</v>
      </c>
      <c r="C23257">
        <f>HYPERLINK("C:\Users\franc\OneDrive\Documentos\MALENTIN KARIME\BANCO CREDITO\FER LORCA en ROSITA (Rosita)\ANA LUISA TODO\MATRICES INSTRUMENTOS PRIVADOS\certificados\CERTIFICADO DE ESTADO CIVIL Y SUPERVIVENCIA.doc", "Abrir Documento")</f>
        <v>0</v>
      </c>
      <c r="D23257" t="s">
        <v>23501</v>
      </c>
      <c r="E23257" t="s">
        <v>45582</v>
      </c>
    </row>
    <row r="23258" spans="1:5">
      <c r="A23258" t="s">
        <v>6</v>
      </c>
      <c r="B23258" t="s">
        <v>23263</v>
      </c>
      <c r="C23258">
        <f>HYPERLINK("C:\Users\franc\OneDrive\Documentos\MALENTIN KARIME\BANCO CREDITO\FER LORCA en ROSITA (Rosita)\ANA LUISA TODO\MATRICES INSTRUMENTOS PRIVADOS\autorizaciones\trabajo menor.doc", "Abrir Documento")</f>
        <v>0</v>
      </c>
      <c r="D23258" t="s">
        <v>23501</v>
      </c>
      <c r="E23258" t="s">
        <v>45583</v>
      </c>
    </row>
    <row r="23259" spans="1:5">
      <c r="A23259" t="s">
        <v>6</v>
      </c>
      <c r="B23259" t="s">
        <v>23264</v>
      </c>
      <c r="C23259">
        <f>HYPERLINK("C:\Users\franc\OneDrive\Documentos\MALENTIN KARIME\BANCO CREDITO\FER LORCA en ROSITA (Rosita)\ANA LUISA TODO\MATRICES INSTRUMENTOS PRIVADOS\autorizaciones\trabajo menor 13-3.doc", "Abrir Documento")</f>
        <v>0</v>
      </c>
      <c r="D23259" t="s">
        <v>23501</v>
      </c>
      <c r="E23259" t="s">
        <v>45584</v>
      </c>
    </row>
    <row r="23260" spans="1:5">
      <c r="A23260" t="s">
        <v>6</v>
      </c>
      <c r="B23260" t="s">
        <v>23265</v>
      </c>
      <c r="C23260">
        <f>HYPERLINK("C:\Users\franc\OneDrive\Documentos\MALENTIN KARIME\BANCO CREDITO\FER LORCA en ROSITA (Rosita)\ANA LUISA TODO\MATRICES INSTRUMENTOS PRIVADOS\autorizaciones\trabajo menor 13-3 02.doc", "Abrir Documento")</f>
        <v>0</v>
      </c>
      <c r="D23260" t="s">
        <v>23501</v>
      </c>
      <c r="E23260" t="s">
        <v>45585</v>
      </c>
    </row>
    <row r="23261" spans="1:5">
      <c r="A23261" t="s">
        <v>6</v>
      </c>
      <c r="B23261" t="s">
        <v>23266</v>
      </c>
      <c r="C23261">
        <f>HYPERLINK("C:\Users\franc\OneDrive\Documentos\MALENTIN KARIME\BANCO CREDITO\FER LORCA en ROSITA (Rosita)\ANA LUISA TODO\MATRICES INSTRUMENTOS PRIVADOS\autorizaciones\salida país.doc", "Abrir Documento")</f>
        <v>0</v>
      </c>
      <c r="D23261" t="s">
        <v>23501</v>
      </c>
      <c r="E23261" t="s">
        <v>45586</v>
      </c>
    </row>
    <row r="23262" spans="1:5">
      <c r="A23262" t="s">
        <v>6</v>
      </c>
      <c r="B23262" t="s">
        <v>23267</v>
      </c>
      <c r="C23262">
        <f>HYPERLINK("C:\Users\franc\OneDrive\Documentos\MALENTIN KARIME\BANCO CREDITO\FER LORCA en ROSITA (Rosita)\ANA LUISA TODO\MATRICES INSTRUMENTOS PRIVADOS\autorizaciones\salida país aut juzgado.doc", "Abrir Documento")</f>
        <v>0</v>
      </c>
      <c r="D23262" t="s">
        <v>23501</v>
      </c>
      <c r="E23262" t="s">
        <v>45587</v>
      </c>
    </row>
    <row r="23263" spans="1:5">
      <c r="A23263" t="s">
        <v>6</v>
      </c>
      <c r="B23263" t="s">
        <v>23268</v>
      </c>
      <c r="C23263">
        <f>HYPERLINK("C:\Users\franc\OneDrive\Documentos\MALENTIN KARIME\BANCO CREDITO\FER LORCA en ROSITA (Rosita)\ANA LUISA TODO\MATRICES INSTRUMENTOS PRIVADOS\autorizaciones\salida país 14-03.doc", "Abrir Documento")</f>
        <v>0</v>
      </c>
      <c r="D23263" t="s">
        <v>23501</v>
      </c>
      <c r="E23263" t="s">
        <v>45588</v>
      </c>
    </row>
    <row r="23264" spans="1:5">
      <c r="A23264" t="s">
        <v>6</v>
      </c>
      <c r="B23264" t="s">
        <v>23269</v>
      </c>
      <c r="C23264">
        <f>HYPERLINK("C:\Users\franc\OneDrive\Documentos\MALENTIN KARIME\BANCO CREDITO\FER LORCA en ROSITA (Rosita)\ANA LUISA TODO\MATRICES INSTRUMENTOS PRIVADOS\autorizaciones\exhumación.doc", "Abrir Documento")</f>
        <v>0</v>
      </c>
      <c r="D23264" t="s">
        <v>23501</v>
      </c>
      <c r="E23264" t="s">
        <v>45589</v>
      </c>
    </row>
    <row r="23265" spans="1:5">
      <c r="A23265" t="s">
        <v>6</v>
      </c>
      <c r="B23265" t="s">
        <v>23270</v>
      </c>
      <c r="C23265">
        <f>HYPERLINK("C:\Users\franc\OneDrive\Documentos\MALENTIN KARIME\BANCO CREDITO\FER LORCA en ROSITA (Rosita)\ANA LUISA TODO\MATRICES INSTRUMENTOS PRIVADOS\autorizaciones\AUTORIZACION TRABAJO MENOR.doc", "Abrir Documento")</f>
        <v>0</v>
      </c>
      <c r="D23265" t="s">
        <v>23501</v>
      </c>
      <c r="E23265" t="s">
        <v>45590</v>
      </c>
    </row>
    <row r="23266" spans="1:5">
      <c r="A23266" t="s">
        <v>6</v>
      </c>
      <c r="B23266" t="s">
        <v>23271</v>
      </c>
      <c r="C23266">
        <f>HYPERLINK("C:\Users\franc\OneDrive\Documentos\MALENTIN KARIME\BANCO CREDITO\FER LORCA en ROSITA (Rosita)\ANA LUISA TODO\MATRICES INSTRUMENTOS PRIVADOS\autorizaciones\autorizacion GALVARINO VIORKLUMDS.doc", "Abrir Documento")</f>
        <v>0</v>
      </c>
      <c r="D23266" t="s">
        <v>23501</v>
      </c>
      <c r="E23266" t="s">
        <v>45591</v>
      </c>
    </row>
    <row r="23267" spans="1:5">
      <c r="A23267" t="s">
        <v>6</v>
      </c>
      <c r="B23267" t="s">
        <v>23272</v>
      </c>
      <c r="C23267">
        <f>HYPERLINK("C:\Users\franc\OneDrive\Documentos\MALENTIN KARIME\BANCO CREDITO\FER LORCA en ROSITA (Rosita)\ANA LUISA TODO\MATRICES INSTRUMENTOS PRIVADOS\autorizaciones\AUTORIZA ESCRITURAS.doc", "Abrir Documento")</f>
        <v>0</v>
      </c>
      <c r="D23267" t="s">
        <v>23501</v>
      </c>
      <c r="E23267" t="s">
        <v>45592</v>
      </c>
    </row>
    <row r="23268" spans="1:5">
      <c r="A23268" t="s">
        <v>6</v>
      </c>
      <c r="B23268" t="s">
        <v>23273</v>
      </c>
      <c r="C23268">
        <f>HYPERLINK("C:\Users\franc\OneDrive\Documentos\MALENTIN KARIME\BANCO CREDITO\FER LORCA en ROSITA (Rosita)\ANA LUISA TODO\MATRICES INSTRUMENTOS PRIVADOS\autorizaciones\AUTOR. automov..doc", "Abrir Documento")</f>
        <v>0</v>
      </c>
      <c r="D23268" t="s">
        <v>23501</v>
      </c>
      <c r="E23268" t="s">
        <v>45593</v>
      </c>
    </row>
    <row r="23269" spans="1:5">
      <c r="A23269" t="s">
        <v>6</v>
      </c>
      <c r="B23269" t="s">
        <v>23274</v>
      </c>
      <c r="C23269">
        <f>HYPERLINK("C:\Users\franc\OneDrive\Documentos\MALENTIN KARIME\BANCO CREDITO\FER LORCA en ROSITA (Rosita)\ANA LUISA TODO\MATRICES INSTRUMENTOS PRIVADOS\autorizaciones\Autor menor.doc", "Abrir Documento")</f>
        <v>0</v>
      </c>
      <c r="D23269" t="s">
        <v>23501</v>
      </c>
      <c r="E23269" t="s">
        <v>45594</v>
      </c>
    </row>
    <row r="23270" spans="1:5">
      <c r="A23270" t="s">
        <v>6</v>
      </c>
      <c r="B23270" t="s">
        <v>23275</v>
      </c>
      <c r="C23270">
        <f>HYPERLINK("C:\Users\franc\OneDrive\Documentos\MALENTIN KARIME\BANCO CREDITO\FER LORCA en ROSITA (Rosita)\ANA LUISA TODO\MATRICES INSTRUMENTOS PRIVADOS\autorizaciones\Autor futbol.doc", "Abrir Documento")</f>
        <v>0</v>
      </c>
      <c r="D23270" t="s">
        <v>23501</v>
      </c>
      <c r="E23270" t="s">
        <v>45595</v>
      </c>
    </row>
    <row r="23271" spans="1:5">
      <c r="A23271" t="s">
        <v>6</v>
      </c>
      <c r="B23271" t="s">
        <v>23276</v>
      </c>
      <c r="C23271">
        <f>HYPERLINK("C:\Users\franc\OneDrive\Documentos\MALENTIN KARIME\BANCO CREDITO\FER LORCA en ROSITA (Rosita)\ANA LUISA TODO\MATRICES INSTRUMENTOS PRIVADOS\autorizaciones\Autor bodega.doc", "Abrir Documento")</f>
        <v>0</v>
      </c>
      <c r="D23271" t="s">
        <v>23501</v>
      </c>
      <c r="E23271" t="s">
        <v>45596</v>
      </c>
    </row>
    <row r="23272" spans="1:5">
      <c r="A23272" t="s">
        <v>6</v>
      </c>
      <c r="B23272" t="s">
        <v>23277</v>
      </c>
      <c r="C23272">
        <f>HYPERLINK("C:\Users\franc\OneDrive\Documentos\MALENTIN KARIME\BANCO CREDITO\FER LORCA en ROSITA (Rosita)\ANA LUISA TODO\MATRICES INSTRUMENTOS PRIVADOS\autorizaciones\Adosarse.doc", "Abrir Documento")</f>
        <v>0</v>
      </c>
      <c r="D23272" t="s">
        <v>23501</v>
      </c>
      <c r="E23272" t="s">
        <v>45597</v>
      </c>
    </row>
    <row r="23273" spans="1:5">
      <c r="A23273" t="s">
        <v>6</v>
      </c>
      <c r="B23273" t="s">
        <v>23278</v>
      </c>
      <c r="C23273">
        <f>HYPERLINK("C:\Users\franc\OneDrive\Documentos\MALENTIN KARIME\BANCO CREDITO\FER LORCA en ROSITA (Rosita)\ANA LUISA TODO\MATRICES INSTRUMENTOS PRIVADOS\autorizaciones\ADOSAMIENTO.doc", "Abrir Documento")</f>
        <v>0</v>
      </c>
      <c r="D23273" t="s">
        <v>23501</v>
      </c>
      <c r="E23273" t="s">
        <v>45598</v>
      </c>
    </row>
    <row r="23274" spans="1:5">
      <c r="A23274" t="s">
        <v>6</v>
      </c>
      <c r="B23274" t="s">
        <v>23279</v>
      </c>
      <c r="C23274">
        <f>HYPERLINK("C:\Users\franc\OneDrive\Documentos\MALENTIN KARIME\BANCO CREDITO\FER LORCA en ROSITA (Rosita)\ANA LUISA TODO\MARUBENI\nota marginal.doc", "Abrir Documento")</f>
        <v>0</v>
      </c>
      <c r="D23274" t="s">
        <v>23501</v>
      </c>
      <c r="E23274" t="s">
        <v>45599</v>
      </c>
    </row>
    <row r="23275" spans="1:5">
      <c r="A23275" t="s">
        <v>6</v>
      </c>
      <c r="B23275" t="s">
        <v>23280</v>
      </c>
      <c r="C23275">
        <f>HYPERLINK("C:\Users\franc\OneDrive\Documentos\MALENTIN KARIME\BANCO CREDITO\FER LORCA en ROSITA (Rosita)\ANA LUISA TODO\MARIA INES NUÑEZ\ROSA ESPINOSA A EUGENIA ARRIAGADA.doc", "Abrir Documento")</f>
        <v>0</v>
      </c>
      <c r="D23275" t="s">
        <v>23500</v>
      </c>
      <c r="E23275" t="s">
        <v>45600</v>
      </c>
    </row>
    <row r="23276" spans="1:5">
      <c r="A23276" t="s">
        <v>6</v>
      </c>
      <c r="B23276" t="s">
        <v>23281</v>
      </c>
      <c r="C23276">
        <f>HYPERLINK("C:\Users\franc\OneDrive\Documentos\MALENTIN KARIME\BANCO CREDITO\FER LORCA en ROSITA (Rosita)\ANA LUISA TODO\MANLIO METTIFOGO\SEBASTIAN LARA Judicial.doc", "Abrir Documento")</f>
        <v>0</v>
      </c>
      <c r="D23276" t="s">
        <v>23501</v>
      </c>
      <c r="E23276" t="s">
        <v>45601</v>
      </c>
    </row>
    <row r="23277" spans="1:5">
      <c r="A23277" t="s">
        <v>6</v>
      </c>
      <c r="B23277" t="s">
        <v>23282</v>
      </c>
      <c r="C23277">
        <f>HYPERLINK("C:\Users\franc\OneDrive\Documentos\MALENTIN KARIME\BANCO CREDITO\FER LORCA en ROSITA (Rosita)\ANA LUISA TODO\MANLIO METTIFOGO\JORGE CORTES GONZALEZ.doc", "Abrir Documento")</f>
        <v>0</v>
      </c>
      <c r="D23277" t="s">
        <v>23501</v>
      </c>
      <c r="E23277" t="s">
        <v>45602</v>
      </c>
    </row>
    <row r="23278" spans="1:5">
      <c r="A23278" t="s">
        <v>6</v>
      </c>
      <c r="B23278" t="s">
        <v>23283</v>
      </c>
      <c r="C23278">
        <f>HYPERLINK("C:\Users\franc\OneDrive\Documentos\MALENTIN KARIME\BANCO CREDITO\FER LORCA en ROSITA (Rosita)\ANA LUISA TODO\MANLIO METTIFOGO\EXTRACTO_E.I.R.L_areyuna[1].doc", "Abrir Documento")</f>
        <v>0</v>
      </c>
      <c r="D23278" t="s">
        <v>23501</v>
      </c>
      <c r="E23278" t="s">
        <v>45603</v>
      </c>
    </row>
    <row r="23279" spans="1:5">
      <c r="A23279" t="s">
        <v>6</v>
      </c>
      <c r="B23279" t="s">
        <v>23284</v>
      </c>
      <c r="C23279">
        <f>HYPERLINK("C:\Users\franc\OneDrive\Documentos\MALENTIN KARIME\BANCO CREDITO\FER LORCA en ROSITA (Rosita)\ANA LUISA TODO\MANDATOS JUDICIALES 2006\2008\2009\ROLANDO SANTANDER A RICARDO SEPULVEDA.doc", "Abrir Documento")</f>
        <v>0</v>
      </c>
      <c r="D23279" t="s">
        <v>23501</v>
      </c>
      <c r="E23279" t="s">
        <v>45604</v>
      </c>
    </row>
    <row r="23280" spans="1:5">
      <c r="A23280" t="s">
        <v>6</v>
      </c>
      <c r="B23280" t="s">
        <v>23285</v>
      </c>
      <c r="C23280">
        <f>HYPERLINK("C:\Users\franc\OneDrive\Documentos\MALENTIN KARIME\BANCO CREDITO\FER LORCA en ROSITA (Rosita)\ANA LUISA TODO\MANDATOS JUDICIALES 2006\2008\2009\LUIS GALLEGUILLOSA CLAUDIO ARDILES.doc", "Abrir Documento")</f>
        <v>0</v>
      </c>
      <c r="D23280" t="s">
        <v>23501</v>
      </c>
      <c r="E23280" t="s">
        <v>45605</v>
      </c>
    </row>
    <row r="23281" spans="1:5">
      <c r="A23281" t="s">
        <v>6</v>
      </c>
      <c r="B23281" t="s">
        <v>23286</v>
      </c>
      <c r="C23281">
        <f>HYPERLINK("C:\Users\franc\OneDrive\Documentos\MALENTIN KARIME\BANCO CREDITO\FER LORCA en ROSITA (Rosita)\ANA LUISA TODO\MANDATOS JUDICIALES 2006\2008\2009\JUAN PORTILLA A IRACEMA RETAMAL.doc", "Abrir Documento")</f>
        <v>0</v>
      </c>
      <c r="D23281" t="s">
        <v>23501</v>
      </c>
      <c r="E23281" t="s">
        <v>45606</v>
      </c>
    </row>
    <row r="23282" spans="1:5">
      <c r="A23282" t="s">
        <v>6</v>
      </c>
      <c r="B23282" t="s">
        <v>23287</v>
      </c>
      <c r="C23282">
        <f>HYPERLINK("C:\Users\franc\OneDrive\Documentos\MALENTIN KARIME\BANCO CREDITO\FER LORCA en ROSITA (Rosita)\ANA LUISA TODO\MANDATOS JUDICIALES 2006\2008\2009\JUAN MUÑOZ A CARLOS FLORES.doc", "Abrir Documento")</f>
        <v>0</v>
      </c>
      <c r="D23282" t="s">
        <v>23501</v>
      </c>
      <c r="E23282" t="s">
        <v>45607</v>
      </c>
    </row>
    <row r="23283" spans="1:5">
      <c r="A23283" t="s">
        <v>6</v>
      </c>
      <c r="B23283" t="s">
        <v>23288</v>
      </c>
      <c r="C23283">
        <f>HYPERLINK("C:\Users\franc\OneDrive\Documentos\MALENTIN KARIME\BANCO CREDITO\FER LORCA en ROSITA (Rosita)\ANA LUISA TODO\MANDATOS JUDICIALES 2006\2008\2009\JUAN MARTINEZ A CLAUDIO ARDILES.doc", "Abrir Documento")</f>
        <v>0</v>
      </c>
      <c r="D23283" t="s">
        <v>23501</v>
      </c>
      <c r="E23283" t="s">
        <v>45608</v>
      </c>
    </row>
    <row r="23284" spans="1:5">
      <c r="A23284" t="s">
        <v>6</v>
      </c>
      <c r="B23284" t="s">
        <v>23289</v>
      </c>
      <c r="C23284">
        <f>HYPERLINK("C:\Users\franc\OneDrive\Documentos\MALENTIN KARIME\BANCO CREDITO\FER LORCA en ROSITA (Rosita)\ANA LUISA TODO\MANDATOS JUDICIALES 2006\2008\2009\HUGO MORALES A RICARDO SEPULVEDA.doc", "Abrir Documento")</f>
        <v>0</v>
      </c>
      <c r="D23284" t="s">
        <v>23501</v>
      </c>
      <c r="E23284" t="s">
        <v>45609</v>
      </c>
    </row>
    <row r="23285" spans="1:5">
      <c r="A23285" t="s">
        <v>6</v>
      </c>
      <c r="B23285" t="s">
        <v>23290</v>
      </c>
      <c r="C23285">
        <f>HYPERLINK("C:\Users\franc\OneDrive\Documentos\MALENTIN KARIME\BANCO CREDITO\FER LORCA en ROSITA (Rosita)\ANA LUISA TODO\MANDATOS JUDICIALES 2006\2008\2009\GUIDO CAMPILLAI A ANA SEGOVIA.doc", "Abrir Documento")</f>
        <v>0</v>
      </c>
      <c r="D23285" t="s">
        <v>23501</v>
      </c>
      <c r="E23285" t="s">
        <v>45610</v>
      </c>
    </row>
    <row r="23286" spans="1:5">
      <c r="A23286" t="s">
        <v>6</v>
      </c>
      <c r="B23286" t="s">
        <v>23291</v>
      </c>
      <c r="C23286">
        <f>HYPERLINK("C:\Users\franc\OneDrive\Documentos\MALENTIN KARIME\BANCO CREDITO\FER LORCA en ROSITA (Rosita)\ANA LUISA TODO\MANDATOS JUDICIALES 2006\2008\2009\CYNTHIA VEGA  A JORGE ALVARADO.doc", "Abrir Documento")</f>
        <v>0</v>
      </c>
      <c r="D23286" t="s">
        <v>23501</v>
      </c>
      <c r="E23286" t="s">
        <v>45611</v>
      </c>
    </row>
    <row r="23287" spans="1:5">
      <c r="A23287" t="s">
        <v>6</v>
      </c>
      <c r="B23287" t="s">
        <v>23292</v>
      </c>
      <c r="C23287">
        <f>HYPERLINK("C:\Users\franc\OneDrive\Documentos\MALENTIN KARIME\BANCO CREDITO\FER LORCA en ROSITA (Rosita)\ANA LUISA TODO\MANDATOS JUDICIALES 2006\2008\2009\CLAUDIO ARAYA Y OTRO  A CLAUDIO ARDILES.doc", "Abrir Documento")</f>
        <v>0</v>
      </c>
      <c r="D23287" t="s">
        <v>23501</v>
      </c>
      <c r="E23287" t="s">
        <v>45612</v>
      </c>
    </row>
    <row r="23288" spans="1:5">
      <c r="A23288" t="s">
        <v>6</v>
      </c>
      <c r="B23288" t="s">
        <v>23293</v>
      </c>
      <c r="C23288">
        <f>HYPERLINK("C:\Users\franc\OneDrive\Documentos\MALENTIN KARIME\BANCO CREDITO\FER LORCA en ROSITA (Rosita)\ANA LUISA TODO\MANDATOS JUDICIALES 2006\2008\2009\BERTA IRISCH Y OTRO A DANIEL SALFATE.doc", "Abrir Documento")</f>
        <v>0</v>
      </c>
      <c r="D23288" t="s">
        <v>23501</v>
      </c>
      <c r="E23288" t="s">
        <v>45613</v>
      </c>
    </row>
    <row r="23289" spans="1:5">
      <c r="A23289" t="s">
        <v>6</v>
      </c>
      <c r="B23289" t="s">
        <v>23294</v>
      </c>
      <c r="C23289">
        <f>HYPERLINK("C:\Users\franc\OneDrive\Documentos\MALENTIN KARIME\BANCO CREDITO\FER LORCA en ROSITA (Rosita)\ANA LUISA TODO\MANDATOS JUDICIALES 2006\2008\2009\ALICIA JIMENEZ  A MARCO JURIN.doc", "Abrir Documento")</f>
        <v>0</v>
      </c>
      <c r="D23289" t="s">
        <v>23501</v>
      </c>
      <c r="E23289" t="s">
        <v>45614</v>
      </c>
    </row>
    <row r="23290" spans="1:5">
      <c r="A23290" t="s">
        <v>6</v>
      </c>
      <c r="B23290" t="s">
        <v>23295</v>
      </c>
      <c r="C23290">
        <f>HYPERLINK("C:\Users\franc\OneDrive\Documentos\MALENTIN KARIME\BANCO CREDITO\FER LORCA en ROSITA (Rosita)\ANA LUISA TODO\MANDATOS JUDICIALES 2006\2008\2009\ALBERTO VELASQUEZ  A JORGE ALVARADO.doc", "Abrir Documento")</f>
        <v>0</v>
      </c>
      <c r="D23290" t="s">
        <v>23501</v>
      </c>
      <c r="E23290" t="s">
        <v>45615</v>
      </c>
    </row>
    <row r="23291" spans="1:5">
      <c r="A23291" t="s">
        <v>6</v>
      </c>
      <c r="B23291" t="s">
        <v>23296</v>
      </c>
      <c r="C23291">
        <f>HYPERLINK("C:\Users\franc\OneDrive\Documentos\MALENTIN KARIME\BANCO CREDITO\FER LORCA en ROSITA (Rosita)\ANA LUISA TODO\MANDATOS JUDICIALES 2006\2008\WLADIMIR VALDIVIA A  IVAN OLAVARRIA.doc", "Abrir Documento")</f>
        <v>0</v>
      </c>
      <c r="D23291" t="s">
        <v>23501</v>
      </c>
      <c r="E23291" t="s">
        <v>45616</v>
      </c>
    </row>
    <row r="23292" spans="1:5">
      <c r="A23292" t="s">
        <v>6</v>
      </c>
      <c r="B23292" t="s">
        <v>23297</v>
      </c>
      <c r="C23292">
        <f>HYPERLINK("C:\Users\franc\OneDrive\Documentos\MALENTIN KARIME\BANCO CREDITO\FER LORCA en ROSITA (Rosita)\ANA LUISA TODO\MANDATOS JUDICIALES 2006\2008\WANDA HEREDIA SALINAS A ROSA PIZARRO DUBO.doc", "Abrir Documento")</f>
        <v>0</v>
      </c>
      <c r="D23292" t="s">
        <v>23501</v>
      </c>
      <c r="E23292" t="s">
        <v>45617</v>
      </c>
    </row>
    <row r="23293" spans="1:5">
      <c r="A23293" t="s">
        <v>6</v>
      </c>
      <c r="B23293" t="s">
        <v>23298</v>
      </c>
      <c r="C23293">
        <f>HYPERLINK("C:\Users\franc\OneDrive\Documentos\MALENTIN KARIME\BANCO CREDITO\FER LORCA en ROSITA (Rosita)\ANA LUISA TODO\MANDATOS JUDICIALES 2006\2008\VIRTUDES ROJAS Y OTRAS A M. METTIFOGO.doc", "Abrir Documento")</f>
        <v>0</v>
      </c>
      <c r="D23293" t="s">
        <v>23501</v>
      </c>
      <c r="E23293" t="s">
        <v>45618</v>
      </c>
    </row>
    <row r="23294" spans="1:5">
      <c r="A23294" t="s">
        <v>6</v>
      </c>
      <c r="B23294" t="s">
        <v>23299</v>
      </c>
      <c r="C23294">
        <f>HYPERLINK("C:\Users\franc\OneDrive\Documentos\MALENTIN KARIME\BANCO CREDITO\FER LORCA en ROSITA (Rosita)\ANA LUISA TODO\MANDATOS JUDICIALES 2006\2008\SAUL ACOSTA A M. METTIFOGO.doc", "Abrir Documento")</f>
        <v>0</v>
      </c>
      <c r="D23294" t="s">
        <v>23501</v>
      </c>
      <c r="E23294" t="s">
        <v>45619</v>
      </c>
    </row>
    <row r="23295" spans="1:5">
      <c r="A23295" t="s">
        <v>6</v>
      </c>
      <c r="B23295" t="s">
        <v>23300</v>
      </c>
      <c r="C23295">
        <f>HYPERLINK("C:\Users\franc\OneDrive\Documentos\MALENTIN KARIME\BANCO CREDITO\FER LORCA en ROSITA (Rosita)\ANA LUISA TODO\MANDATOS JUDICIALES 2006\2008\SALVADOR LEDEZMA A CYNTHIA ESTAY (SUPLENTE).doc", "Abrir Documento")</f>
        <v>0</v>
      </c>
      <c r="D23295" t="s">
        <v>23501</v>
      </c>
      <c r="E23295" t="s">
        <v>45620</v>
      </c>
    </row>
    <row r="23296" spans="1:5">
      <c r="A23296" t="s">
        <v>6</v>
      </c>
      <c r="B23296" t="s">
        <v>23301</v>
      </c>
      <c r="C23296">
        <f>HYPERLINK("C:\Users\franc\OneDrive\Documentos\MALENTIN KARIME\BANCO CREDITO\FER LORCA en ROSITA (Rosita)\ANA LUISA TODO\MANDATOS JUDICIALES 2006\2008\RODRIGO BOLVARAN A CAROLINA ADAOS.doc", "Abrir Documento")</f>
        <v>0</v>
      </c>
      <c r="D23296" t="s">
        <v>23501</v>
      </c>
      <c r="E23296" t="s">
        <v>45621</v>
      </c>
    </row>
    <row r="23297" spans="1:5">
      <c r="A23297" t="s">
        <v>6</v>
      </c>
      <c r="B23297" t="s">
        <v>23302</v>
      </c>
      <c r="C23297">
        <f>HYPERLINK("C:\Users\franc\OneDrive\Documentos\MALENTIN KARIME\BANCO CREDITO\FER LORCA en ROSITA (Rosita)\ANA LUISA TODO\MANDATOS JUDICIALES 2006\2008\RAMON RUBILAR A DIEGO MUJICA  (REVOC).doc", "Abrir Documento")</f>
        <v>0</v>
      </c>
      <c r="D23297" t="s">
        <v>23501</v>
      </c>
      <c r="E23297" t="s">
        <v>45622</v>
      </c>
    </row>
    <row r="23298" spans="1:5">
      <c r="A23298" t="s">
        <v>6</v>
      </c>
      <c r="B23298" t="s">
        <v>23303</v>
      </c>
      <c r="C23298">
        <f>HYPERLINK("C:\Users\franc\OneDrive\Documentos\MALENTIN KARIME\BANCO CREDITO\FER LORCA en ROSITA (Rosita)\ANA LUISA TODO\MANDATOS JUDICIALES 2006\2008\PRISCILLA FLORES  A  IVAN OLAVARRIA.doc", "Abrir Documento")</f>
        <v>0</v>
      </c>
      <c r="D23298" t="s">
        <v>23501</v>
      </c>
      <c r="E23298" t="s">
        <v>45623</v>
      </c>
    </row>
    <row r="23299" spans="1:5">
      <c r="A23299" t="s">
        <v>6</v>
      </c>
      <c r="B23299" t="s">
        <v>23304</v>
      </c>
      <c r="C23299">
        <f>HYPERLINK("C:\Users\franc\OneDrive\Documentos\MALENTIN KARIME\BANCO CREDITO\FER LORCA en ROSITA (Rosita)\ANA LUISA TODO\MANDATOS JUDICIALES 2006\2008\OSMAN CORTES A FCO. OSORIO.doc", "Abrir Documento")</f>
        <v>0</v>
      </c>
      <c r="D23299" t="s">
        <v>23501</v>
      </c>
      <c r="E23299" t="s">
        <v>45624</v>
      </c>
    </row>
    <row r="23300" spans="1:5">
      <c r="A23300" t="s">
        <v>6</v>
      </c>
      <c r="B23300" t="s">
        <v>23305</v>
      </c>
      <c r="C23300">
        <f>HYPERLINK("C:\Users\franc\OneDrive\Documentos\MALENTIN KARIME\BANCO CREDITO\FER LORCA en ROSITA (Rosita)\ANA LUISA TODO\MANDATOS JUDICIALES 2006\2008\OSCAR ROA A MANLIO METTIFOGO.doc", "Abrir Documento")</f>
        <v>0</v>
      </c>
      <c r="D23300" t="s">
        <v>23501</v>
      </c>
      <c r="E23300" t="s">
        <v>45625</v>
      </c>
    </row>
    <row r="23301" spans="1:5">
      <c r="A23301" t="s">
        <v>6</v>
      </c>
      <c r="B23301" t="s">
        <v>23306</v>
      </c>
      <c r="C23301">
        <f>HYPERLINK("C:\Users\franc\OneDrive\Documentos\MALENTIN KARIME\BANCO CREDITO\FER LORCA en ROSITA (Rosita)\ANA LUISA TODO\MANDATOS JUDICIALES 2006\2008\OSCAR ARAYA A ALEJANDRO ROJAS.doc", "Abrir Documento")</f>
        <v>0</v>
      </c>
      <c r="D23301" t="s">
        <v>23501</v>
      </c>
      <c r="E23301" t="s">
        <v>45626</v>
      </c>
    </row>
    <row r="23302" spans="1:5">
      <c r="A23302" t="s">
        <v>6</v>
      </c>
      <c r="B23302" t="s">
        <v>23307</v>
      </c>
      <c r="C23302">
        <f>HYPERLINK("C:\Users\franc\OneDrive\Documentos\MALENTIN KARIME\BANCO CREDITO\FER LORCA en ROSITA (Rosita)\ANA LUISA TODO\MANDATOS JUDICIALES 2006\2008\OMAR MUÑOZ  A CLAUDIO ARDILES.doc", "Abrir Documento")</f>
        <v>0</v>
      </c>
      <c r="D23302" t="s">
        <v>23501</v>
      </c>
      <c r="E23302" t="s">
        <v>45627</v>
      </c>
    </row>
    <row r="23303" spans="1:5">
      <c r="A23303" t="s">
        <v>6</v>
      </c>
      <c r="B23303" t="s">
        <v>23308</v>
      </c>
      <c r="C23303">
        <f>HYPERLINK("C:\Users\franc\OneDrive\Documentos\MALENTIN KARIME\BANCO CREDITO\FER LORCA en ROSITA (Rosita)\ANA LUISA TODO\MANDATOS JUDICIALES 2006\2008\NOLBERTA GOMEZ A ALEX TAPIA.doc", "Abrir Documento")</f>
        <v>0</v>
      </c>
      <c r="D23303" t="s">
        <v>23501</v>
      </c>
      <c r="E23303" t="s">
        <v>45628</v>
      </c>
    </row>
    <row r="23304" spans="1:5">
      <c r="A23304" t="s">
        <v>6</v>
      </c>
      <c r="B23304" t="s">
        <v>23309</v>
      </c>
      <c r="C23304">
        <f>HYPERLINK("C:\Users\franc\OneDrive\Documentos\MALENTIN KARIME\BANCO CREDITO\FER LORCA en ROSITA (Rosita)\ANA LUISA TODO\MANDATOS JUDICIALES 2006\2008\MUNICIPALIDAD DE OVALLE A DANIEL RAPIMAN.doc", "Abrir Documento")</f>
        <v>0</v>
      </c>
      <c r="D23304" t="s">
        <v>23501</v>
      </c>
      <c r="E23304" t="s">
        <v>45629</v>
      </c>
    </row>
    <row r="23305" spans="1:5">
      <c r="A23305" t="s">
        <v>6</v>
      </c>
      <c r="B23305" t="s">
        <v>23310</v>
      </c>
      <c r="C23305">
        <f>HYPERLINK("C:\Users\franc\OneDrive\Documentos\MALENTIN KARIME\BANCO CREDITO\FER LORCA en ROSITA (Rosita)\ANA LUISA TODO\MANDATOS JUDICIALES 2006\2008\MIGUEL CASTILLO  A CLAUDIO ARDILES.doc", "Abrir Documento")</f>
        <v>0</v>
      </c>
      <c r="D23305" t="s">
        <v>23501</v>
      </c>
      <c r="E23305" t="s">
        <v>45630</v>
      </c>
    </row>
    <row r="23306" spans="1:5">
      <c r="A23306" t="s">
        <v>6</v>
      </c>
      <c r="B23306" t="s">
        <v>23311</v>
      </c>
      <c r="C23306">
        <f>HYPERLINK("C:\Users\franc\OneDrive\Documentos\MALENTIN KARIME\BANCO CREDITO\FER LORCA en ROSITA (Rosita)\ANA LUISA TODO\MANDATOS JUDICIALES 2006\2008\MARIA SOLEDAD VICUÑA BAEZA A RAUL SALAMANCA CARVAJAL.doc", "Abrir Documento")</f>
        <v>0</v>
      </c>
      <c r="D23306" t="s">
        <v>23501</v>
      </c>
      <c r="E23306" t="s">
        <v>45631</v>
      </c>
    </row>
    <row r="23307" spans="1:5">
      <c r="A23307" t="s">
        <v>6</v>
      </c>
      <c r="B23307" t="s">
        <v>23312</v>
      </c>
      <c r="C23307">
        <f>HYPERLINK("C:\Users\franc\OneDrive\Documentos\MALENTIN KARIME\BANCO CREDITO\FER LORCA en ROSITA (Rosita)\ANA LUISA TODO\MANDATOS JUDICIALES 2006\2008\MARIA HENRIQUEZ Y OTRAS A RENE ALLENDE SENTIS.doc", "Abrir Documento")</f>
        <v>0</v>
      </c>
      <c r="D23307" t="s">
        <v>23501</v>
      </c>
      <c r="E23307" t="s">
        <v>45632</v>
      </c>
    </row>
    <row r="23308" spans="1:5">
      <c r="A23308" t="s">
        <v>6</v>
      </c>
      <c r="B23308" t="s">
        <v>23313</v>
      </c>
      <c r="C23308">
        <f>HYPERLINK("C:\Users\franc\OneDrive\Documentos\MALENTIN KARIME\BANCO CREDITO\FER LORCA en ROSITA (Rosita)\ANA LUISA TODO\MANDATOS JUDICIALES 2006\2008\MARIA DE LOS ANGELES A SR. HURTADO.doc", "Abrir Documento")</f>
        <v>0</v>
      </c>
      <c r="D23308" t="s">
        <v>23501</v>
      </c>
      <c r="E23308" t="s">
        <v>45633</v>
      </c>
    </row>
    <row r="23309" spans="1:5">
      <c r="A23309" t="s">
        <v>6</v>
      </c>
      <c r="B23309" t="s">
        <v>23314</v>
      </c>
      <c r="C23309">
        <f>HYPERLINK("C:\Users\franc\OneDrive\Documentos\MALENTIN KARIME\BANCO CREDITO\FER LORCA en ROSITA (Rosita)\ANA LUISA TODO\MANDATOS JUDICIALES 2006\2008\MARIA CORDOVA A ALEJANDRO ALVARADO.doc", "Abrir Documento")</f>
        <v>0</v>
      </c>
      <c r="D23309" t="s">
        <v>23501</v>
      </c>
      <c r="E23309" t="s">
        <v>45634</v>
      </c>
    </row>
    <row r="23310" spans="1:5">
      <c r="A23310" t="s">
        <v>6</v>
      </c>
      <c r="B23310" t="s">
        <v>23315</v>
      </c>
      <c r="C23310">
        <f>HYPERLINK("C:\Users\franc\OneDrive\Documentos\MALENTIN KARIME\BANCO CREDITO\FER LORCA en ROSITA (Rosita)\ANA LUISA TODO\MANDATOS JUDICIALES 2006\2008\MARCIAL VEGA NUÑEZ A ROSENDO YAÑEZ.doc", "Abrir Documento")</f>
        <v>0</v>
      </c>
      <c r="D23310" t="s">
        <v>23501</v>
      </c>
      <c r="E23310" t="s">
        <v>45635</v>
      </c>
    </row>
    <row r="23311" spans="1:5">
      <c r="A23311" t="s">
        <v>6</v>
      </c>
      <c r="B23311" t="s">
        <v>23316</v>
      </c>
      <c r="C23311">
        <f>HYPERLINK("C:\Users\franc\OneDrive\Documentos\MALENTIN KARIME\BANCO CREDITO\FER LORCA en ROSITA (Rosita)\ANA LUISA TODO\MANDATOS JUDICIALES 2006\2008\LUIS ROJAS A JUAN PABLO CORRAL.doc", "Abrir Documento")</f>
        <v>0</v>
      </c>
      <c r="D23311" t="s">
        <v>23501</v>
      </c>
      <c r="E23311" t="s">
        <v>45636</v>
      </c>
    </row>
    <row r="23312" spans="1:5">
      <c r="A23312" t="s">
        <v>6</v>
      </c>
      <c r="B23312" t="s">
        <v>23317</v>
      </c>
      <c r="C23312">
        <f>HYPERLINK("C:\Users\franc\OneDrive\Documentos\MALENTIN KARIME\BANCO CREDITO\FER LORCA en ROSITA (Rosita)\ANA LUISA TODO\MANDATOS JUDICIALES 2006\2008\LUIS NORTES A M. METTIFOGO.doc", "Abrir Documento")</f>
        <v>0</v>
      </c>
      <c r="D23312" t="s">
        <v>23501</v>
      </c>
      <c r="E23312" t="s">
        <v>45637</v>
      </c>
    </row>
    <row r="23313" spans="1:5">
      <c r="A23313" t="s">
        <v>6</v>
      </c>
      <c r="B23313" t="s">
        <v>23318</v>
      </c>
      <c r="C23313">
        <f>HYPERLINK("C:\Users\franc\OneDrive\Documentos\MALENTIN KARIME\BANCO CREDITO\FER LORCA en ROSITA (Rosita)\ANA LUISA TODO\MANDATOS JUDICIALES 2006\2008\LUIS CABRERA A CRISTIAN ZEPEDA.doc", "Abrir Documento")</f>
        <v>0</v>
      </c>
      <c r="D23313" t="s">
        <v>23501</v>
      </c>
      <c r="E23313" t="s">
        <v>45638</v>
      </c>
    </row>
    <row r="23314" spans="1:5">
      <c r="A23314" t="s">
        <v>6</v>
      </c>
      <c r="B23314" t="s">
        <v>23319</v>
      </c>
      <c r="C23314">
        <f>HYPERLINK("C:\Users\franc\OneDrive\Documentos\MALENTIN KARIME\BANCO CREDITO\FER LORCA en ROSITA (Rosita)\ANA LUISA TODO\MANDATOS JUDICIALES 2006\2008\JUAN JIMENEZ ARAYA  A CLAUDIO ARDILES.doc", "Abrir Documento")</f>
        <v>0</v>
      </c>
      <c r="D23314" t="s">
        <v>23501</v>
      </c>
      <c r="E23314" t="s">
        <v>45639</v>
      </c>
    </row>
    <row r="23315" spans="1:5">
      <c r="A23315" t="s">
        <v>6</v>
      </c>
      <c r="B23315" t="s">
        <v>23320</v>
      </c>
      <c r="C23315">
        <f>HYPERLINK("C:\Users\franc\OneDrive\Documentos\MALENTIN KARIME\BANCO CREDITO\FER LORCA en ROSITA (Rosita)\ANA LUISA TODO\MANDATOS JUDICIALES 2006\2008\JUAN CASTRO A SR. MERIÑO.doc", "Abrir Documento")</f>
        <v>0</v>
      </c>
      <c r="D23315" t="s">
        <v>23501</v>
      </c>
      <c r="E23315" t="s">
        <v>45640</v>
      </c>
    </row>
    <row r="23316" spans="1:5">
      <c r="A23316" t="s">
        <v>6</v>
      </c>
      <c r="B23316" t="s">
        <v>23321</v>
      </c>
      <c r="C23316">
        <f>HYPERLINK("C:\Users\franc\OneDrive\Documentos\MALENTIN KARIME\BANCO CREDITO\FER LORCA en ROSITA (Rosita)\ANA LUISA TODO\MANDATOS JUDICIALES 2006\2008\JAVIER COLLAO A MARCO YURIN.doc", "Abrir Documento")</f>
        <v>0</v>
      </c>
      <c r="D23316" t="s">
        <v>23501</v>
      </c>
      <c r="E23316" t="s">
        <v>45641</v>
      </c>
    </row>
    <row r="23317" spans="1:5">
      <c r="A23317" t="s">
        <v>6</v>
      </c>
      <c r="B23317" t="s">
        <v>23322</v>
      </c>
      <c r="C23317">
        <f>HYPERLINK("C:\Users\franc\OneDrive\Documentos\MALENTIN KARIME\BANCO CREDITO\FER LORCA en ROSITA (Rosita)\ANA LUISA TODO\MANDATOS JUDICIALES 2006\2008\JAVIER COLLAO A MARCO JURIN.doc", "Abrir Documento")</f>
        <v>0</v>
      </c>
      <c r="D23317" t="s">
        <v>23501</v>
      </c>
      <c r="E23317" t="s">
        <v>45642</v>
      </c>
    </row>
    <row r="23318" spans="1:5">
      <c r="A23318" t="s">
        <v>6</v>
      </c>
      <c r="B23318" t="s">
        <v>23323</v>
      </c>
      <c r="C23318">
        <f>HYPERLINK("C:\Users\franc\OneDrive\Documentos\MALENTIN KARIME\BANCO CREDITO\FER LORCA en ROSITA (Rosita)\ANA LUISA TODO\MANDATOS JUDICIALES 2006\2008\JAIME MONDACA A J. POLANCO.doc", "Abrir Documento")</f>
        <v>0</v>
      </c>
      <c r="D23318" t="s">
        <v>23501</v>
      </c>
      <c r="E23318" t="s">
        <v>45643</v>
      </c>
    </row>
    <row r="23319" spans="1:5">
      <c r="A23319" t="s">
        <v>6</v>
      </c>
      <c r="B23319" t="s">
        <v>23324</v>
      </c>
      <c r="C23319">
        <f>HYPERLINK("C:\Users\franc\OneDrive\Documentos\MALENTIN KARIME\BANCO CREDITO\FER LORCA en ROSITA (Rosita)\ANA LUISA TODO\MANDATOS JUDICIALES 2006\2008\HUGO CORTEZ A MIGUEL SANHUEZA.doc", "Abrir Documento")</f>
        <v>0</v>
      </c>
      <c r="D23319" t="s">
        <v>23501</v>
      </c>
      <c r="E23319" t="s">
        <v>45644</v>
      </c>
    </row>
    <row r="23320" spans="1:5">
      <c r="A23320" t="s">
        <v>6</v>
      </c>
      <c r="B23320" t="s">
        <v>23325</v>
      </c>
      <c r="C23320">
        <f>HYPERLINK("C:\Users\franc\OneDrive\Documentos\MALENTIN KARIME\BANCO CREDITO\FER LORCA en ROSITA (Rosita)\ANA LUISA TODO\MANDATOS JUDICIALES 2006\2008\HERMAN ANDRADES A CARLOS MARIN (ESPECIAL).doc", "Abrir Documento")</f>
        <v>0</v>
      </c>
      <c r="D23320" t="s">
        <v>23501</v>
      </c>
      <c r="E23320" t="s">
        <v>45645</v>
      </c>
    </row>
    <row r="23321" spans="1:5">
      <c r="A23321" t="s">
        <v>6</v>
      </c>
      <c r="B23321" t="s">
        <v>23326</v>
      </c>
      <c r="C23321">
        <f>HYPERLINK("C:\Users\franc\OneDrive\Documentos\MALENTIN KARIME\BANCO CREDITO\FER LORCA en ROSITA (Rosita)\ANA LUISA TODO\MANDATOS JUDICIALES 2006\2008\GABRIEL RAMIREZ A JORGE ALVARADO.doc", "Abrir Documento")</f>
        <v>0</v>
      </c>
      <c r="D23321" t="s">
        <v>23501</v>
      </c>
      <c r="E23321" t="s">
        <v>45646</v>
      </c>
    </row>
    <row r="23322" spans="1:5">
      <c r="A23322" t="s">
        <v>6</v>
      </c>
      <c r="B23322" t="s">
        <v>23327</v>
      </c>
      <c r="C23322">
        <f>HYPERLINK("C:\Users\franc\OneDrive\Documentos\MALENTIN KARIME\BANCO CREDITO\FER LORCA en ROSITA (Rosita)\ANA LUISA TODO\MANDATOS JUDICIALES 2006\2008\FERNANDO SANCHEZ A  IVAN OLAVARRIA.doc", "Abrir Documento")</f>
        <v>0</v>
      </c>
      <c r="D23322" t="s">
        <v>23501</v>
      </c>
      <c r="E23322" t="s">
        <v>45647</v>
      </c>
    </row>
    <row r="23323" spans="1:5">
      <c r="A23323" t="s">
        <v>6</v>
      </c>
      <c r="B23323" t="s">
        <v>23328</v>
      </c>
      <c r="C23323">
        <f>HYPERLINK("C:\Users\franc\OneDrive\Documentos\MALENTIN KARIME\BANCO CREDITO\FER LORCA en ROSITA (Rosita)\ANA LUISA TODO\MANDATOS JUDICIALES 2006\2008\FERNANDO CUEVAS A CLAUDIO ARDILES.doc", "Abrir Documento")</f>
        <v>0</v>
      </c>
      <c r="D23323" t="s">
        <v>23501</v>
      </c>
      <c r="E23323" t="s">
        <v>45648</v>
      </c>
    </row>
    <row r="23324" spans="1:5">
      <c r="A23324" t="s">
        <v>6</v>
      </c>
      <c r="B23324" t="s">
        <v>23329</v>
      </c>
      <c r="C23324">
        <f>HYPERLINK("C:\Users\franc\OneDrive\Documentos\MALENTIN KARIME\BANCO CREDITO\FER LORCA en ROSITA (Rosita)\ANA LUISA TODO\MANDATOS JUDICIALES 2006\2008\EBRIDIQUE JARAMILLO A JORGE ALVARADO.doc", "Abrir Documento")</f>
        <v>0</v>
      </c>
      <c r="D23324" t="s">
        <v>23501</v>
      </c>
      <c r="E23324" t="s">
        <v>45649</v>
      </c>
    </row>
    <row r="23325" spans="1:5">
      <c r="A23325" t="s">
        <v>6</v>
      </c>
      <c r="B23325" t="s">
        <v>23330</v>
      </c>
      <c r="C23325">
        <f>HYPERLINK("C:\Users\franc\OneDrive\Documentos\MALENTIN KARIME\BANCO CREDITO\FER LORCA en ROSITA (Rosita)\ANA LUISA TODO\MANDATOS JUDICIALES 2006\2008\CLAUDIA HENRIQUEZ A JORGE ALVARADO.doc", "Abrir Documento")</f>
        <v>0</v>
      </c>
      <c r="D23325" t="s">
        <v>23501</v>
      </c>
      <c r="E23325" t="s">
        <v>45650</v>
      </c>
    </row>
    <row r="23326" spans="1:5">
      <c r="A23326" t="s">
        <v>6</v>
      </c>
      <c r="B23326" t="s">
        <v>23331</v>
      </c>
      <c r="C23326">
        <f>HYPERLINK("C:\Users\franc\OneDrive\Documentos\MALENTIN KARIME\BANCO CREDITO\FER LORCA en ROSITA (Rosita)\ANA LUISA TODO\MANDATOS JUDICIALES 2006\2008\CIA. MRA. PUNITAQUI A JAIME MUÑOZ.doc", "Abrir Documento")</f>
        <v>0</v>
      </c>
      <c r="D23326" t="s">
        <v>23501</v>
      </c>
      <c r="E23326" t="s">
        <v>45651</v>
      </c>
    </row>
    <row r="23327" spans="1:5">
      <c r="A23327" t="s">
        <v>6</v>
      </c>
      <c r="B23327" t="s">
        <v>23332</v>
      </c>
      <c r="C23327">
        <f>HYPERLINK("C:\Users\franc\OneDrive\Documentos\MALENTIN KARIME\BANCO CREDITO\FER LORCA en ROSITA (Rosita)\ANA LUISA TODO\MANDATOS JUDICIALES 2006\2008\CESAR FLORES A PATRICIA CASTRO (2).doc", "Abrir Documento")</f>
        <v>0</v>
      </c>
      <c r="D23327" t="s">
        <v>23501</v>
      </c>
      <c r="E23327" t="s">
        <v>45652</v>
      </c>
    </row>
    <row r="23328" spans="1:5">
      <c r="A23328" t="s">
        <v>6</v>
      </c>
      <c r="B23328" t="s">
        <v>23333</v>
      </c>
      <c r="C23328">
        <f>HYPERLINK("C:\Users\franc\OneDrive\Documentos\MALENTIN KARIME\BANCO CREDITO\FER LORCA en ROSITA (Rosita)\ANA LUISA TODO\MANDATOS JUDICIALES 2006\2008\CAROLINA CARVAJAL.doc", "Abrir Documento")</f>
        <v>0</v>
      </c>
      <c r="D23328" t="s">
        <v>23501</v>
      </c>
      <c r="E23328" t="s">
        <v>45653</v>
      </c>
    </row>
    <row r="23329" spans="1:5">
      <c r="A23329" t="s">
        <v>6</v>
      </c>
      <c r="B23329" t="s">
        <v>23334</v>
      </c>
      <c r="C23329">
        <f>HYPERLINK("C:\Users\franc\OneDrive\Documentos\MALENTIN KARIME\BANCO CREDITO\FER LORCA en ROSITA (Rosita)\ANA LUISA TODO\MANDATOS JUDICIALES 2006\2008\ANTOLIN ARACENA A S. GALLEGUILLOS.doc", "Abrir Documento")</f>
        <v>0</v>
      </c>
      <c r="D23329" t="s">
        <v>23501</v>
      </c>
      <c r="E23329" t="s">
        <v>45654</v>
      </c>
    </row>
    <row r="23330" spans="1:5">
      <c r="A23330" t="s">
        <v>6</v>
      </c>
      <c r="B23330" t="s">
        <v>23335</v>
      </c>
      <c r="C23330">
        <f>HYPERLINK("C:\Users\franc\OneDrive\Documentos\MALENTIN KARIME\BANCO CREDITO\FER LORCA en ROSITA (Rosita)\ANA LUISA TODO\MANDATOS JUDICIALES 2006\2008\ALFONSO PASTEN.doc", "Abrir Documento")</f>
        <v>0</v>
      </c>
      <c r="D23330" t="s">
        <v>23501</v>
      </c>
      <c r="E23330" t="s">
        <v>45655</v>
      </c>
    </row>
    <row r="23331" spans="1:5">
      <c r="A23331" t="s">
        <v>6</v>
      </c>
      <c r="B23331" t="s">
        <v>23336</v>
      </c>
      <c r="C23331">
        <f>HYPERLINK("C:\Users\franc\OneDrive\Documentos\MALENTIN KARIME\BANCO CREDITO\FER LORCA en ROSITA (Rosita)\ANA LUISA TODO\MANDATOS JUDICIALES 2006\2008\ALFONSO PASTEN A DANIELA CABRERA.doc", "Abrir Documento")</f>
        <v>0</v>
      </c>
      <c r="D23331" t="s">
        <v>23501</v>
      </c>
      <c r="E23331" t="s">
        <v>45656</v>
      </c>
    </row>
    <row r="23332" spans="1:5">
      <c r="A23332" t="s">
        <v>6</v>
      </c>
      <c r="B23332" t="s">
        <v>23337</v>
      </c>
      <c r="C23332">
        <f>HYPERLINK("C:\Users\franc\OneDrive\Documentos\MALENTIN KARIME\BANCO CREDITO\FER LORCA en ROSITA (Rosita)\ANA LUISA TODO\MANDATOS JUDICIALES 2006\2008\ALEJANDRO VEGA A ENRIQUE GARCIA.doc", "Abrir Documento")</f>
        <v>0</v>
      </c>
      <c r="D23332" t="s">
        <v>23501</v>
      </c>
      <c r="E23332" t="s">
        <v>45657</v>
      </c>
    </row>
    <row r="23333" spans="1:5">
      <c r="A23333" t="s">
        <v>6</v>
      </c>
      <c r="B23333" t="s">
        <v>23338</v>
      </c>
      <c r="C23333">
        <f>HYPERLINK("C:\Users\franc\OneDrive\Documentos\MALENTIN KARIME\BANCO CREDITO\FER LORCA en ROSITA (Rosita)\ANA LUISA TODO\MANDATOS JUDICIALES 2006\WLADIMIR VALDIVIA ROJAS A IVAN OLAVARRIA.doc", "Abrir Documento")</f>
        <v>0</v>
      </c>
      <c r="D23333" t="s">
        <v>23501</v>
      </c>
      <c r="E23333" t="s">
        <v>45658</v>
      </c>
    </row>
    <row r="23334" spans="1:5">
      <c r="A23334" t="s">
        <v>6</v>
      </c>
      <c r="B23334" t="s">
        <v>23339</v>
      </c>
      <c r="C23334">
        <f>HYPERLINK("C:\Users\franc\OneDrive\Documentos\MALENTIN KARIME\BANCO CREDITO\FER LORCA en ROSITA (Rosita)\ANA LUISA TODO\MANDATOS JUDICIALES 2006\WILSON GUERRERO A C. ARDILES Y OTRO.doc", "Abrir Documento")</f>
        <v>0</v>
      </c>
      <c r="D23334" t="s">
        <v>23501</v>
      </c>
      <c r="E23334" t="s">
        <v>45659</v>
      </c>
    </row>
    <row r="23335" spans="1:5">
      <c r="A23335" t="s">
        <v>6</v>
      </c>
      <c r="B23335" t="s">
        <v>23340</v>
      </c>
      <c r="C23335">
        <f>HYPERLINK("C:\Users\franc\OneDrive\Documentos\MALENTIN KARIME\BANCO CREDITO\FER LORCA en ROSITA (Rosita)\ANA LUISA TODO\MANDATOS JUDICIALES 2006\WALDO HEREDIA A JULIO POLANCO.doc", "Abrir Documento")</f>
        <v>0</v>
      </c>
      <c r="D23335" t="s">
        <v>23501</v>
      </c>
      <c r="E23335" t="s">
        <v>45660</v>
      </c>
    </row>
    <row r="23336" spans="1:5">
      <c r="A23336" t="s">
        <v>6</v>
      </c>
      <c r="B23336" t="s">
        <v>23341</v>
      </c>
      <c r="C23336">
        <f>HYPERLINK("C:\Users\franc\OneDrive\Documentos\MALENTIN KARIME\BANCO CREDITO\FER LORCA en ROSITA (Rosita)\ANA LUISA TODO\MANDATOS JUDICIALES 2006\VALENTIN CONTRERAS A C. CASTILLO Y OTRO.doc", "Abrir Documento")</f>
        <v>0</v>
      </c>
      <c r="D23336" t="s">
        <v>23501</v>
      </c>
      <c r="E23336" t="s">
        <v>45661</v>
      </c>
    </row>
    <row r="23337" spans="1:5">
      <c r="A23337" t="s">
        <v>6</v>
      </c>
      <c r="B23337" t="s">
        <v>23342</v>
      </c>
      <c r="C23337">
        <f>HYPERLINK("C:\Users\franc\OneDrive\Documentos\MALENTIN KARIME\BANCO CREDITO\FER LORCA en ROSITA (Rosita)\ANA LUISA TODO\MANDATOS JUDICIALES 2006\SILVIA ROMERO A CECILIA TIRADO.doc", "Abrir Documento")</f>
        <v>0</v>
      </c>
      <c r="D23337" t="s">
        <v>23501</v>
      </c>
      <c r="E23337" t="s">
        <v>45662</v>
      </c>
    </row>
    <row r="23338" spans="1:5">
      <c r="A23338" t="s">
        <v>6</v>
      </c>
      <c r="B23338" t="s">
        <v>23343</v>
      </c>
      <c r="C23338">
        <f>HYPERLINK("C:\Users\franc\OneDrive\Documentos\MALENTIN KARIME\BANCO CREDITO\FER LORCA en ROSITA (Rosita)\ANA LUISA TODO\MANDATOS JUDICIALES 2006\ROSA PALACIOS A C. ARDILES Y M. METTIFOGO.doc", "Abrir Documento")</f>
        <v>0</v>
      </c>
      <c r="D23338" t="s">
        <v>23501</v>
      </c>
      <c r="E23338" t="s">
        <v>45663</v>
      </c>
    </row>
    <row r="23339" spans="1:5">
      <c r="A23339" t="s">
        <v>6</v>
      </c>
      <c r="B23339" t="s">
        <v>23344</v>
      </c>
      <c r="C23339">
        <f>HYPERLINK("C:\Users\franc\OneDrive\Documentos\MALENTIN KARIME\BANCO CREDITO\FER LORCA en ROSITA (Rosita)\ANA LUISA TODO\MANDATOS JUDICIALES 2006\RODOLFO FERNANDEZ A MA. INES NUÑEZ.doc", "Abrir Documento")</f>
        <v>0</v>
      </c>
      <c r="D23339" t="s">
        <v>23501</v>
      </c>
      <c r="E23339" t="s">
        <v>45664</v>
      </c>
    </row>
    <row r="23340" spans="1:5">
      <c r="A23340" t="s">
        <v>6</v>
      </c>
      <c r="B23340" t="s">
        <v>23345</v>
      </c>
      <c r="C23340">
        <f>HYPERLINK("C:\Users\franc\OneDrive\Documentos\MALENTIN KARIME\BANCO CREDITO\FER LORCA en ROSITA (Rosita)\ANA LUISA TODO\MANDATOS JUDICIALES 2006\PEDRO ROJAS A MERCEDES RUBINA.doc", "Abrir Documento")</f>
        <v>0</v>
      </c>
      <c r="D23340" t="s">
        <v>23501</v>
      </c>
      <c r="E23340" t="s">
        <v>45665</v>
      </c>
    </row>
    <row r="23341" spans="1:5">
      <c r="A23341" t="s">
        <v>6</v>
      </c>
      <c r="B23341" t="s">
        <v>23346</v>
      </c>
      <c r="C23341">
        <f>HYPERLINK("C:\Users\franc\OneDrive\Documentos\MALENTIN KARIME\BANCO CREDITO\FER LORCA en ROSITA (Rosita)\ANA LUISA TODO\MANDATOS JUDICIALES 2006\PEDRO CANIHUANTE.doc", "Abrir Documento")</f>
        <v>0</v>
      </c>
      <c r="D23341" t="s">
        <v>23501</v>
      </c>
      <c r="E23341" t="s">
        <v>45666</v>
      </c>
    </row>
    <row r="23342" spans="1:5">
      <c r="A23342" t="s">
        <v>6</v>
      </c>
      <c r="B23342" t="s">
        <v>23347</v>
      </c>
      <c r="C23342">
        <f>HYPERLINK("C:\Users\franc\OneDrive\Documentos\MALENTIN KARIME\BANCO CREDITO\FER LORCA en ROSITA (Rosita)\ANA LUISA TODO\MANDATOS JUDICIALES 2006\NANCY CASTRO A CLAUDIO ARDILES.doc", "Abrir Documento")</f>
        <v>0</v>
      </c>
      <c r="D23342" t="s">
        <v>23501</v>
      </c>
      <c r="E23342" t="s">
        <v>45667</v>
      </c>
    </row>
    <row r="23343" spans="1:5">
      <c r="A23343" t="s">
        <v>6</v>
      </c>
      <c r="B23343" t="s">
        <v>23348</v>
      </c>
      <c r="C23343">
        <f>HYPERLINK("C:\Users\franc\OneDrive\Documentos\MALENTIN KARIME\BANCO CREDITO\FER LORCA en ROSITA (Rosita)\ANA LUISA TODO\MANDATOS JUDICIALES 2006\MODELO NOTARIO.doc", "Abrir Documento")</f>
        <v>0</v>
      </c>
      <c r="D23343" t="s">
        <v>23501</v>
      </c>
      <c r="E23343" t="s">
        <v>45668</v>
      </c>
    </row>
    <row r="23344" spans="1:5">
      <c r="A23344" t="s">
        <v>6</v>
      </c>
      <c r="B23344" t="s">
        <v>23349</v>
      </c>
      <c r="C23344">
        <f>HYPERLINK("C:\Users\franc\OneDrive\Documentos\MALENTIN KARIME\BANCO CREDITO\FER LORCA en ROSITA (Rosita)\ANA LUISA TODO\MANDATOS JUDICIALES 2006\MARTA PONCE A C. ARDILES.doc", "Abrir Documento")</f>
        <v>0</v>
      </c>
      <c r="D23344" t="s">
        <v>23501</v>
      </c>
      <c r="E23344" t="s">
        <v>45669</v>
      </c>
    </row>
    <row r="23345" spans="1:5">
      <c r="A23345" t="s">
        <v>6</v>
      </c>
      <c r="B23345" t="s">
        <v>23350</v>
      </c>
      <c r="C23345">
        <f>HYPERLINK("C:\Users\franc\OneDrive\Documentos\MALENTIN KARIME\BANCO CREDITO\FER LORCA en ROSITA (Rosita)\ANA LUISA TODO\MANDATOS JUDICIALES 2006\MARIA FLORES A JUAN GARCIA Y OTRO.doc", "Abrir Documento")</f>
        <v>0</v>
      </c>
      <c r="D23345" t="s">
        <v>23501</v>
      </c>
      <c r="E23345" t="s">
        <v>45670</v>
      </c>
    </row>
    <row r="23346" spans="1:5">
      <c r="A23346" t="s">
        <v>6</v>
      </c>
      <c r="B23346" t="s">
        <v>23351</v>
      </c>
      <c r="C23346">
        <f>HYPERLINK("C:\Users\franc\OneDrive\Documentos\MALENTIN KARIME\BANCO CREDITO\FER LORCA en ROSITA (Rosita)\ANA LUISA TODO\MANDATOS JUDICIALES 2006\MARIA CARVAJAL A CLAUDIO ARDILES.doc", "Abrir Documento")</f>
        <v>0</v>
      </c>
      <c r="D23346" t="s">
        <v>23501</v>
      </c>
      <c r="E23346" t="s">
        <v>45671</v>
      </c>
    </row>
    <row r="23347" spans="1:5">
      <c r="A23347" t="s">
        <v>6</v>
      </c>
      <c r="B23347" t="s">
        <v>23352</v>
      </c>
      <c r="C23347">
        <f>HYPERLINK("C:\Users\franc\OneDrive\Documentos\MALENTIN KARIME\BANCO CREDITO\FER LORCA en ROSITA (Rosita)\ANA LUISA TODO\MANDATOS JUDICIALES 2006\MARCELO CORRAL Y OT. A CLAUDIO ARDILES.doc", "Abrir Documento")</f>
        <v>0</v>
      </c>
      <c r="D23347" t="s">
        <v>23501</v>
      </c>
      <c r="E23347" t="s">
        <v>45672</v>
      </c>
    </row>
    <row r="23348" spans="1:5">
      <c r="A23348" t="s">
        <v>6</v>
      </c>
      <c r="B23348" t="s">
        <v>23353</v>
      </c>
      <c r="C23348">
        <f>HYPERLINK("C:\Users\franc\OneDrive\Documentos\MALENTIN KARIME\BANCO CREDITO\FER LORCA en ROSITA (Rosita)\ANA LUISA TODO\MANDATOS JUDICIALES 2006\manuel alfaro.doc", "Abrir Documento")</f>
        <v>0</v>
      </c>
      <c r="D23348" t="s">
        <v>23501</v>
      </c>
      <c r="E23348" t="s">
        <v>45673</v>
      </c>
    </row>
    <row r="23349" spans="1:5">
      <c r="A23349" t="s">
        <v>6</v>
      </c>
      <c r="B23349" t="s">
        <v>23354</v>
      </c>
      <c r="C23349">
        <f>HYPERLINK("C:\Users\franc\OneDrive\Documentos\MALENTIN KARIME\BANCO CREDITO\FER LORCA en ROSITA (Rosita)\ANA LUISA TODO\MANDATOS JUDICIALES 2006\LUMINALDA ORELLANA A MA. NUÑEZ HERRERZ.doc", "Abrir Documento")</f>
        <v>0</v>
      </c>
      <c r="D23349" t="s">
        <v>23501</v>
      </c>
      <c r="E23349" t="s">
        <v>45674</v>
      </c>
    </row>
    <row r="23350" spans="1:5">
      <c r="A23350" t="s">
        <v>6</v>
      </c>
      <c r="B23350" t="s">
        <v>23355</v>
      </c>
      <c r="C23350">
        <f>HYPERLINK("C:\Users\franc\OneDrive\Documentos\MALENTIN KARIME\BANCO CREDITO\FER LORCA en ROSITA (Rosita)\ANA LUISA TODO\MANDATOS JUDICIALES 2006\LUIS TORREJON  A JUAN P. CORRAL (REVOC).doc", "Abrir Documento")</f>
        <v>0</v>
      </c>
      <c r="D23350" t="s">
        <v>23501</v>
      </c>
      <c r="E23350" t="s">
        <v>45675</v>
      </c>
    </row>
    <row r="23351" spans="1:5">
      <c r="A23351" t="s">
        <v>6</v>
      </c>
      <c r="B23351" t="s">
        <v>23356</v>
      </c>
      <c r="C23351">
        <f>HYPERLINK("C:\Users\franc\OneDrive\Documentos\MALENTIN KARIME\BANCO CREDITO\FER LORCA en ROSITA (Rosita)\ANA LUISA TODO\MANDATOS JUDICIALES 2006\LORENZO VELIZ A FLORENCIO MONTENE Y OTRO.doc", "Abrir Documento")</f>
        <v>0</v>
      </c>
      <c r="D23351" t="s">
        <v>23501</v>
      </c>
      <c r="E23351" t="s">
        <v>45676</v>
      </c>
    </row>
    <row r="23352" spans="1:5">
      <c r="A23352" t="s">
        <v>6</v>
      </c>
      <c r="B23352" t="s">
        <v>23357</v>
      </c>
      <c r="C23352">
        <f>HYPERLINK("C:\Users\franc\OneDrive\Documentos\MALENTIN KARIME\BANCO CREDITO\FER LORCA en ROSITA (Rosita)\ANA LUISA TODO\MANDATOS JUDICIALES 2006\JUAN PIZARRO A C. ARDILES Y OTRO.doc", "Abrir Documento")</f>
        <v>0</v>
      </c>
      <c r="D23352" t="s">
        <v>23501</v>
      </c>
      <c r="E23352" t="s">
        <v>45677</v>
      </c>
    </row>
    <row r="23353" spans="1:5">
      <c r="A23353" t="s">
        <v>6</v>
      </c>
      <c r="B23353" t="s">
        <v>23358</v>
      </c>
      <c r="C23353">
        <f>HYPERLINK("C:\Users\franc\OneDrive\Documentos\MALENTIN KARIME\BANCO CREDITO\FER LORCA en ROSITA (Rosita)\ANA LUISA TODO\MANDATOS JUDICIALES 2006\JOSE GONZALEZ JERIA A M CORTES YCLAUDIO.doc", "Abrir Documento")</f>
        <v>0</v>
      </c>
      <c r="D23353" t="s">
        <v>23501</v>
      </c>
      <c r="E23353" t="s">
        <v>45678</v>
      </c>
    </row>
    <row r="23354" spans="1:5">
      <c r="A23354" t="s">
        <v>6</v>
      </c>
      <c r="B23354" t="s">
        <v>23359</v>
      </c>
      <c r="C23354">
        <f>HYPERLINK("C:\Users\franc\OneDrive\Documentos\MALENTIN KARIME\BANCO CREDITO\FER LORCA en ROSITA (Rosita)\ANA LUISA TODO\MANDATOS JUDICIALES 2006\JORGE CASTILLO A CARLOS TELLO ....doc", "Abrir Documento")</f>
        <v>0</v>
      </c>
      <c r="D23354" t="s">
        <v>23501</v>
      </c>
      <c r="E23354" t="s">
        <v>45679</v>
      </c>
    </row>
    <row r="23355" spans="1:5">
      <c r="A23355" t="s">
        <v>6</v>
      </c>
      <c r="B23355" t="s">
        <v>23360</v>
      </c>
      <c r="C23355">
        <f>HYPERLINK("C:\Users\franc\OneDrive\Documentos\MALENTIN KARIME\BANCO CREDITO\FER LORCA en ROSITA (Rosita)\ANA LUISA TODO\MANDATOS JUDICIALES 2006\JACINTO CARVAJAL A MARCO JURIN.doc", "Abrir Documento")</f>
        <v>0</v>
      </c>
      <c r="D23355" t="s">
        <v>23501</v>
      </c>
      <c r="E23355" t="s">
        <v>45680</v>
      </c>
    </row>
    <row r="23356" spans="1:5">
      <c r="A23356" t="s">
        <v>6</v>
      </c>
      <c r="B23356" t="s">
        <v>23361</v>
      </c>
      <c r="C23356">
        <f>HYPERLINK("C:\Users\franc\OneDrive\Documentos\MALENTIN KARIME\BANCO CREDITO\FER LORCA en ROSITA (Rosita)\ANA LUISA TODO\MANDATOS JUDICIALES 2006\IVAN MARTINAC A CLAUDIO ARDILES.doc", "Abrir Documento")</f>
        <v>0</v>
      </c>
      <c r="D23356" t="s">
        <v>23501</v>
      </c>
      <c r="E23356" t="s">
        <v>45681</v>
      </c>
    </row>
    <row r="23357" spans="1:5">
      <c r="A23357" t="s">
        <v>6</v>
      </c>
      <c r="B23357" t="s">
        <v>23362</v>
      </c>
      <c r="C23357">
        <f>HYPERLINK("C:\Users\franc\OneDrive\Documentos\MALENTIN KARIME\BANCO CREDITO\FER LORCA en ROSITA (Rosita)\ANA LUISA TODO\MANDATOS JUDICIALES 2006\GEORGINA ROSARIO A PATRICIO SEGOVIA.doc", "Abrir Documento")</f>
        <v>0</v>
      </c>
      <c r="D23357" t="s">
        <v>23501</v>
      </c>
      <c r="E23357" t="s">
        <v>45682</v>
      </c>
    </row>
    <row r="23358" spans="1:5">
      <c r="A23358" t="s">
        <v>6</v>
      </c>
      <c r="B23358" t="s">
        <v>23363</v>
      </c>
      <c r="C23358">
        <f>HYPERLINK("C:\Users\franc\OneDrive\Documentos\MALENTIN KARIME\BANCO CREDITO\FER LORCA en ROSITA (Rosita)\ANA LUISA TODO\MANDATOS JUDICIALES 2006\DELFIA VERGARA A JAIME MUÑOZ (REVOCACION.doc", "Abrir Documento")</f>
        <v>0</v>
      </c>
      <c r="D23358" t="s">
        <v>23501</v>
      </c>
      <c r="E23358" t="s">
        <v>45683</v>
      </c>
    </row>
    <row r="23359" spans="1:5">
      <c r="A23359" t="s">
        <v>6</v>
      </c>
      <c r="B23359" t="s">
        <v>23364</v>
      </c>
      <c r="C23359">
        <f>HYPERLINK("C:\Users\franc\OneDrive\Documentos\MALENTIN KARIME\BANCO CREDITO\FER LORCA en ROSITA (Rosita)\ANA LUISA TODO\MANDATOS BANCOS 2009\BERNARDO ARAYA A NOLVIA VILLAR (CTA. CTE.).doc", "Abrir Documento")</f>
        <v>0</v>
      </c>
      <c r="D23359" t="s">
        <v>23501</v>
      </c>
      <c r="E23359" t="s">
        <v>45684</v>
      </c>
    </row>
    <row r="23360" spans="1:5">
      <c r="A23360" t="s">
        <v>6</v>
      </c>
      <c r="B23360" t="s">
        <v>23365</v>
      </c>
      <c r="C23360">
        <f>HYPERLINK("C:\Users\franc\OneDrive\Documentos\MALENTIN KARIME\BANCO CREDITO\FER LORCA en ROSITA (Rosita)\ANA LUISA TODO\MANDATOS BANCO\GUILLERMO ORMEÑO A LORENZO ORMEÑÑO.doc", "Abrir Documento")</f>
        <v>0</v>
      </c>
      <c r="D23360" t="s">
        <v>23501</v>
      </c>
      <c r="E23360" t="s">
        <v>45685</v>
      </c>
    </row>
    <row r="23361" spans="1:5">
      <c r="A23361" t="s">
        <v>6</v>
      </c>
      <c r="B23361" t="s">
        <v>23366</v>
      </c>
      <c r="C23361">
        <f>HYPERLINK("C:\Users\franc\OneDrive\Documentos\MALENTIN KARIME\BANCO CREDITO\FER LORCA en ROSITA (Rosita)\ANA LUISA TODO\MANDATOS BANCO\DORALIZA AGULERA (cta. cte).doc", "Abrir Documento")</f>
        <v>0</v>
      </c>
      <c r="D23361" t="s">
        <v>23501</v>
      </c>
      <c r="E23361" t="s">
        <v>45686</v>
      </c>
    </row>
    <row r="23362" spans="1:5">
      <c r="A23362" t="s">
        <v>6</v>
      </c>
      <c r="B23362" t="s">
        <v>23367</v>
      </c>
      <c r="C23362">
        <f>HYPERLINK("C:\Users\franc\OneDrive\Documentos\MALENTIN KARIME\BANCO CREDITO\FER LORCA en ROSITA (Rosita)\ANA LUISA TODO\MANDATOS 2008\mandatos 2009\SLM DE JUAN SALINAS A SU HNO Panulcillo.doc", "Abrir Documento")</f>
        <v>0</v>
      </c>
      <c r="D23362" t="s">
        <v>23501</v>
      </c>
      <c r="E23362" t="s">
        <v>45687</v>
      </c>
    </row>
    <row r="23363" spans="1:5">
      <c r="A23363" t="s">
        <v>6</v>
      </c>
      <c r="B23363" t="s">
        <v>23368</v>
      </c>
      <c r="C23363">
        <f>HYPERLINK("C:\Users\franc\OneDrive\Documentos\MALENTIN KARIME\BANCO CREDITO\FER LORCA en ROSITA (Rosita)\ANA LUISA TODO\MANDATOS 2008\SONIA CAMPOSANO (ELECCION MUNICIPAL).doc", "Abrir Documento")</f>
        <v>0</v>
      </c>
      <c r="D23363" t="s">
        <v>23501</v>
      </c>
      <c r="E23363" t="s">
        <v>45688</v>
      </c>
    </row>
    <row r="23364" spans="1:5">
      <c r="A23364" t="s">
        <v>6</v>
      </c>
      <c r="B23364" t="s">
        <v>23369</v>
      </c>
      <c r="C23364">
        <f>HYPERLINK("C:\Users\franc\OneDrive\Documentos\MALENTIN KARIME\BANCO CREDITO\FER LORCA en ROSITA (Rosita)\ANA LUISA TODO\MANDATOS 2008\FERNANDO PIZARRO  (ELECCION MUNICIPAL).doc", "Abrir Documento")</f>
        <v>0</v>
      </c>
      <c r="D23364" t="s">
        <v>23501</v>
      </c>
      <c r="E23364" t="s">
        <v>45689</v>
      </c>
    </row>
    <row r="23365" spans="1:5">
      <c r="A23365" t="s">
        <v>6</v>
      </c>
      <c r="B23365" t="s">
        <v>23370</v>
      </c>
      <c r="C23365">
        <f>HYPERLINK("C:\Users\franc\OneDrive\Documentos\MALENTIN KARIME\BANCO CREDITO\FER LORCA en ROSITA (Rosita)\ANA LUISA TODO\MANDATOS 2007\MARTA GARCIA (JUAN ALBURQUENQUE).doc", "Abrir Documento")</f>
        <v>0</v>
      </c>
      <c r="D23365" t="s">
        <v>23501</v>
      </c>
      <c r="E23365" t="s">
        <v>45690</v>
      </c>
    </row>
    <row r="23366" spans="1:5">
      <c r="A23366" t="s">
        <v>6</v>
      </c>
      <c r="B23366" t="s">
        <v>23371</v>
      </c>
      <c r="C23366">
        <f>HYPERLINK("C:\Users\franc\OneDrive\Documentos\MALENTIN KARIME\BANCO CREDITO\FER LORCA en ROSITA (Rosita)\ANA LUISA TODO\MANDATOS 2007\ERIKA GONZALEZ A FRANK GONZALEZ.doc", "Abrir Documento")</f>
        <v>0</v>
      </c>
      <c r="D23366" t="s">
        <v>23501</v>
      </c>
      <c r="E23366" t="s">
        <v>45691</v>
      </c>
    </row>
    <row r="23367" spans="1:5">
      <c r="A23367" t="s">
        <v>6</v>
      </c>
      <c r="B23367" t="s">
        <v>23372</v>
      </c>
      <c r="C23367">
        <f>HYPERLINK("C:\Users\franc\OneDrive\Documentos\MALENTIN KARIME\BANCO CREDITO\FER LORCA en ROSITA (Rosita)\ANA LUISA TODO\MANDATOS 2006\XIMENA POZO A VICTOR JACOB    BCO.doc", "Abrir Documento")</f>
        <v>0</v>
      </c>
      <c r="D23367" t="s">
        <v>23501</v>
      </c>
      <c r="E23367" t="s">
        <v>45692</v>
      </c>
    </row>
    <row r="23368" spans="1:5">
      <c r="A23368" t="s">
        <v>6</v>
      </c>
      <c r="B23368" t="s">
        <v>23373</v>
      </c>
      <c r="C23368">
        <f>HYPERLINK("C:\Users\franc\OneDrive\Documentos\MALENTIN KARIME\BANCO CREDITO\FER LORCA en ROSITA (Rosita)\ANA LUISA TODO\MANDATOS 2006\SAN ISIDRO.doc", "Abrir Documento")</f>
        <v>0</v>
      </c>
      <c r="D23368" t="s">
        <v>23501</v>
      </c>
      <c r="E23368" t="s">
        <v>45693</v>
      </c>
    </row>
    <row r="23369" spans="1:5">
      <c r="A23369" t="s">
        <v>6</v>
      </c>
      <c r="B23369" t="s">
        <v>23374</v>
      </c>
      <c r="C23369">
        <f>HYPERLINK("C:\Users\franc\OneDrive\Documentos\MALENTIN KARIME\BANCO CREDITO\FER LORCA en ROSITA (Rosita)\ANA LUISA TODO\MANDATOS 2006\PATRICIO PINTO A CARMEN GLORIA (CTA. CTE.).doc", "Abrir Documento")</f>
        <v>0</v>
      </c>
      <c r="D23369" t="s">
        <v>23501</v>
      </c>
      <c r="E23369" t="s">
        <v>45694</v>
      </c>
    </row>
    <row r="23370" spans="1:5">
      <c r="A23370" t="s">
        <v>6</v>
      </c>
      <c r="B23370" t="s">
        <v>23375</v>
      </c>
      <c r="C23370">
        <f>HYPERLINK("C:\Users\franc\OneDrive\Documentos\MALENTIN KARIME\BANCO CREDITO\FER LORCA en ROSITA (Rosita)\ANA LUISA TODO\MANDATOS 2006\MARCO LIBANO A JAIME TORRES (CORPORACION).doc", "Abrir Documento")</f>
        <v>0</v>
      </c>
      <c r="D23370" t="s">
        <v>23501</v>
      </c>
      <c r="E23370" t="s">
        <v>45695</v>
      </c>
    </row>
    <row r="23371" spans="1:5">
      <c r="A23371" t="s">
        <v>6</v>
      </c>
      <c r="B23371" t="s">
        <v>23376</v>
      </c>
      <c r="C23371">
        <f>HYPERLINK("C:\Users\franc\OneDrive\Documentos\MALENTIN KARIME\BANCO CREDITO\FER LORCA en ROSITA (Rosita)\ANA LUISA TODO\MANDATOS 2006\jorge segovia cta. cte..doc", "Abrir Documento")</f>
        <v>0</v>
      </c>
      <c r="D23371" t="s">
        <v>23501</v>
      </c>
      <c r="E23371" t="s">
        <v>45696</v>
      </c>
    </row>
    <row r="23372" spans="1:5">
      <c r="A23372" t="s">
        <v>6</v>
      </c>
      <c r="B23372" t="s">
        <v>23377</v>
      </c>
      <c r="C23372">
        <f>HYPERLINK("C:\Users\franc\OneDrive\Documentos\MALENTIN KARIME\BANCO CREDITO\FER LORCA en ROSITA (Rosita)\ANA LUISA TODO\MANDATOS 2006\CRISPULO LOPEZ A ROSA CASTRO (CTA. CTE.).doc", "Abrir Documento")</f>
        <v>0</v>
      </c>
      <c r="D23372" t="s">
        <v>23501</v>
      </c>
      <c r="E23372" t="s">
        <v>45697</v>
      </c>
    </row>
    <row r="23373" spans="1:5">
      <c r="A23373" t="s">
        <v>6</v>
      </c>
      <c r="B23373" t="s">
        <v>23378</v>
      </c>
      <c r="C23373">
        <f>HYPERLINK("C:\Users\franc\OneDrive\Documentos\MALENTIN KARIME\BANCO CREDITO\FER LORCA en ROSITA (Rosita)\ANA LUISA TODO\LUZ TORREJON\OMAR ARRENAS EXTRACTO.doc", "Abrir Documento")</f>
        <v>0</v>
      </c>
      <c r="D23373" t="s">
        <v>23501</v>
      </c>
      <c r="E23373" t="s">
        <v>45698</v>
      </c>
    </row>
    <row r="23374" spans="1:5">
      <c r="A23374" t="s">
        <v>6</v>
      </c>
      <c r="B23374" t="s">
        <v>23379</v>
      </c>
      <c r="C23374">
        <f>HYPERLINK("C:\Users\franc\OneDrive\Documentos\MALENTIN KARIME\BANCO CREDITO\FER LORCA en ROSITA (Rosita)\ANA LUISA TODO\LUIS GALLARDO OSORIO\SERGIO CANIHUANTE EXTRACTO.doc", "Abrir Documento")</f>
        <v>0</v>
      </c>
      <c r="D23374" t="s">
        <v>23501</v>
      </c>
      <c r="E23374" t="s">
        <v>45699</v>
      </c>
    </row>
    <row r="23375" spans="1:5">
      <c r="A23375" t="s">
        <v>6</v>
      </c>
      <c r="B23375" t="s">
        <v>23380</v>
      </c>
      <c r="C23375">
        <f>HYPERLINK("C:\Users\franc\OneDrive\Documentos\MALENTIN KARIME\BANCO CREDITO\FER LORCA en ROSITA (Rosita)\ANA LUISA TODO\LUIS GALLARDO OSORIO\El Notario que suscribe certifica que.doc", "Abrir Documento")</f>
        <v>0</v>
      </c>
      <c r="D23375" t="s">
        <v>23501</v>
      </c>
      <c r="E23375" t="s">
        <v>45700</v>
      </c>
    </row>
    <row r="23376" spans="1:5">
      <c r="A23376" t="s">
        <v>6</v>
      </c>
      <c r="B23376" t="s">
        <v>23381</v>
      </c>
      <c r="C23376">
        <f>HYPERLINK("C:\Users\franc\OneDrive\Documentos\MALENTIN KARIME\BANCO CREDITO\FER LORCA en ROSITA (Rosita)\ANA LUISA TODO\LOGROS\ALZAMIENTOS\Doc1.doc", "Abrir Documento")</f>
        <v>0</v>
      </c>
      <c r="D23376" t="s">
        <v>23500</v>
      </c>
      <c r="E23376" t="s">
        <v>45701</v>
      </c>
    </row>
    <row r="23377" spans="1:5">
      <c r="A23377" t="s">
        <v>6</v>
      </c>
      <c r="B23377" t="s">
        <v>23382</v>
      </c>
      <c r="C23377">
        <f>HYPERLINK("C:\Users\franc\OneDrive\Documentos\MALENTIN KARIME\BANCO CREDITO\FER LORCA en ROSITA (Rosita)\ANA LUISA TODO\LOGROS\MODELO NOTARIO.doc", "Abrir Documento")</f>
        <v>0</v>
      </c>
      <c r="D23377" t="s">
        <v>23501</v>
      </c>
      <c r="E23377" t="s">
        <v>45702</v>
      </c>
    </row>
    <row r="23378" spans="1:5">
      <c r="A23378" t="s">
        <v>6</v>
      </c>
      <c r="B23378" t="s">
        <v>23383</v>
      </c>
      <c r="C23378">
        <f>HYPERLINK("C:\Users\franc\OneDrive\Documentos\MALENTIN KARIME\BANCO CREDITO\FER LORCA en ROSITA (Rosita)\ANA LUISA TODO\LOGROS\Modelo Contrato Factoring Herga Pinto Jure.doc", "Abrir Documento")</f>
        <v>0</v>
      </c>
      <c r="D23378" t="s">
        <v>23500</v>
      </c>
      <c r="E23378" t="s">
        <v>45703</v>
      </c>
    </row>
    <row r="23379" spans="1:5">
      <c r="A23379" t="s">
        <v>6</v>
      </c>
      <c r="B23379" t="s">
        <v>23384</v>
      </c>
      <c r="C23379">
        <f>HYPERLINK("C:\Users\franc\OneDrive\Documentos\MALENTIN KARIME\BANCO CREDITO\FER LORCA en ROSITA (Rosita)\ANA LUISA TODO\LIQUIDACION SOC. Y SEP. BIENES\modelo ii.doc", "Abrir Documento")</f>
        <v>0</v>
      </c>
      <c r="D23379" t="s">
        <v>23500</v>
      </c>
      <c r="E23379" t="s">
        <v>45704</v>
      </c>
    </row>
    <row r="23380" spans="1:5">
      <c r="A23380" t="s">
        <v>6</v>
      </c>
      <c r="B23380" t="s">
        <v>23385</v>
      </c>
      <c r="C23380">
        <f>HYPERLINK("C:\Users\franc\OneDrive\Documentos\MALENTIN KARIME\BANCO CREDITO\FER LORCA en ROSITA (Rosita)\ANA LUISA TODO\HUGO DEL CAMPO\IRELDA CARVAJAL Y OT. A HUGO DEL CAMPO.doc", "Abrir Documento")</f>
        <v>0</v>
      </c>
      <c r="D23380" t="s">
        <v>23501</v>
      </c>
      <c r="E23380" t="s">
        <v>45705</v>
      </c>
    </row>
    <row r="23381" spans="1:5">
      <c r="A23381" t="s">
        <v>6</v>
      </c>
      <c r="B23381" t="s">
        <v>23386</v>
      </c>
      <c r="C23381">
        <f>HYPERLINK("C:\Users\franc\OneDrive\Documentos\MALENTIN KARIME\BANCO CREDITO\FER LORCA en ROSITA (Rosita)\ANA LUISA TODO\FRANCISCO SAAVEDRA\SOBRE.doc", "Abrir Documento")</f>
        <v>0</v>
      </c>
      <c r="D23381" t="s">
        <v>23501</v>
      </c>
      <c r="E23381" t="s">
        <v>45706</v>
      </c>
    </row>
    <row r="23382" spans="1:5">
      <c r="A23382" t="s">
        <v>6</v>
      </c>
      <c r="B23382" t="s">
        <v>23387</v>
      </c>
      <c r="C23382">
        <f>HYPERLINK("C:\Users\franc\OneDrive\Documentos\MALENTIN KARIME\BANCO CREDITO\FER LORCA en ROSITA (Rosita)\ANA LUISA TODO\FACTORONE\Extracto_-_Amilcar_N%C3%BA%C3%B1ez[1].doc", "Abrir Documento")</f>
        <v>0</v>
      </c>
      <c r="D23382" t="s">
        <v>23501</v>
      </c>
      <c r="E23382" t="s">
        <v>45707</v>
      </c>
    </row>
    <row r="23383" spans="1:5">
      <c r="A23383" t="s">
        <v>6</v>
      </c>
      <c r="B23383" t="s">
        <v>23388</v>
      </c>
      <c r="C23383">
        <f>HYPERLINK("C:\Users\franc\OneDrive\Documentos\MALENTIN KARIME\BANCO CREDITO\FER LORCA en ROSITA (Rosita)\ANA LUISA TODO\EVALUACION\Evaluacion desempeño modelo.xls", "Abrir Documento")</f>
        <v>0</v>
      </c>
      <c r="D23383" t="s">
        <v>23500</v>
      </c>
      <c r="E23383" t="s">
        <v>45708</v>
      </c>
    </row>
    <row r="23384" spans="1:5">
      <c r="A23384" t="s">
        <v>6</v>
      </c>
      <c r="B23384" t="s">
        <v>23389</v>
      </c>
      <c r="C23384">
        <f>HYPERLINK("C:\Users\franc\OneDrive\Documentos\MALENTIN KARIME\BANCO CREDITO\FER LORCA en ROSITA (Rosita)\ANA LUISA TODO\ENTEL - SOLOMON\instrucciones_Ovalle[1].doc", "Abrir Documento")</f>
        <v>0</v>
      </c>
      <c r="D23384" t="s">
        <v>23501</v>
      </c>
      <c r="E23384" t="s">
        <v>45709</v>
      </c>
    </row>
    <row r="23385" spans="1:5">
      <c r="A23385" t="s">
        <v>6</v>
      </c>
      <c r="B23385" t="s">
        <v>23390</v>
      </c>
      <c r="C23385">
        <f>HYPERLINK("C:\Users\franc\OneDrive\Documentos\MALENTIN KARIME\BANCO CREDITO\FER LORCA en ROSITA (Rosita)\ANA LUISA TODO\ENTEL - SOLOMON\CARTA INSTRUC COMUNIDAD ORURO.doc", "Abrir Documento")</f>
        <v>0</v>
      </c>
      <c r="D23385" t="s">
        <v>23501</v>
      </c>
      <c r="E23385" t="s">
        <v>45710</v>
      </c>
    </row>
    <row r="23386" spans="1:5">
      <c r="A23386" t="s">
        <v>6</v>
      </c>
      <c r="B23386" t="s">
        <v>23391</v>
      </c>
      <c r="C23386">
        <f>HYPERLINK("C:\Users\franc\OneDrive\Documentos\MALENTIN KARIME\BANCO CREDITO\FER LORCA en ROSITA (Rosita)\ANA LUISA TODO\ENTEL - SOLOMON\Autorizo la firma de don GUIDELFREDO DEL TRANSITO TABILO.doc", "Abrir Documento")</f>
        <v>0</v>
      </c>
      <c r="D23386" t="s">
        <v>23501</v>
      </c>
      <c r="E23386" t="s">
        <v>45711</v>
      </c>
    </row>
    <row r="23387" spans="1:5">
      <c r="A23387" t="s">
        <v>6</v>
      </c>
      <c r="B23387" t="s">
        <v>23392</v>
      </c>
      <c r="C23387">
        <f>HYPERLINK("C:\Users\franc\OneDrive\Documentos\MALENTIN KARIME\BANCO CREDITO\FER LORCA en ROSITA (Rosita)\ANA LUISA TODO\DERECHO REAL DE USO\DECLARA DOS.doc", "Abrir Documento")</f>
        <v>0</v>
      </c>
      <c r="D23387" t="s">
        <v>23501</v>
      </c>
      <c r="E23387" t="s">
        <v>45712</v>
      </c>
    </row>
    <row r="23388" spans="1:5">
      <c r="A23388" t="s">
        <v>6</v>
      </c>
      <c r="B23388" t="s">
        <v>23393</v>
      </c>
      <c r="C23388">
        <f>HYPERLINK("C:\Users\franc\OneDrive\Documentos\MALENTIN KARIME\BANCO CREDITO\FER LORCA en ROSITA (Rosita)\ANA LUISA TODO\DERECHO REAL DE USO\DECLARA 3.doc", "Abrir Documento")</f>
        <v>0</v>
      </c>
      <c r="D23388" t="s">
        <v>23501</v>
      </c>
      <c r="E23388" t="s">
        <v>45713</v>
      </c>
    </row>
    <row r="23389" spans="1:5">
      <c r="A23389" t="s">
        <v>6</v>
      </c>
      <c r="B23389" t="s">
        <v>23394</v>
      </c>
      <c r="C23389">
        <f>HYPERLINK("C:\Users\franc\OneDrive\Documentos\MALENTIN KARIME\BANCO CREDITO\FER LORCA en ROSITA (Rosita)\ANA LUISA TODO\DERECHO REAL DE USO\dec.jurada derecho real de uso.doc", "Abrir Documento")</f>
        <v>0</v>
      </c>
      <c r="D23389" t="s">
        <v>23501</v>
      </c>
      <c r="E23389" t="s">
        <v>45714</v>
      </c>
    </row>
    <row r="23390" spans="1:5">
      <c r="A23390" t="s">
        <v>6</v>
      </c>
      <c r="B23390" t="s">
        <v>23395</v>
      </c>
      <c r="C23390">
        <f>HYPERLINK("C:\Users\franc\OneDrive\Documentos\MALENTIN KARIME\BANCO CREDITO\FER LORCA en ROSITA (Rosita)\ANA LUISA TODO\DERECHO REAL DE USO\COMUNIDAD ALCONES WILLIAM ARIAS.doc", "Abrir Documento")</f>
        <v>0</v>
      </c>
      <c r="D23390" t="s">
        <v>23500</v>
      </c>
      <c r="E23390" t="s">
        <v>45715</v>
      </c>
    </row>
    <row r="23391" spans="1:5">
      <c r="A23391" t="s">
        <v>6</v>
      </c>
      <c r="B23391" t="s">
        <v>23396</v>
      </c>
      <c r="C23391">
        <f>HYPERLINK("C:\Users\franc\OneDrive\Documentos\MALENTIN KARIME\BANCO CREDITO\FER LORCA en ROSITA (Rosita)\ANA LUISA TODO\DERECHO REAL DE USO\CERTIFICADO.doc", "Abrir Documento")</f>
        <v>0</v>
      </c>
      <c r="D23391" t="s">
        <v>23501</v>
      </c>
      <c r="E23391" t="s">
        <v>45716</v>
      </c>
    </row>
    <row r="23392" spans="1:5">
      <c r="A23392" t="s">
        <v>6</v>
      </c>
      <c r="B23392" t="s">
        <v>23397</v>
      </c>
      <c r="C23392">
        <f>HYPERLINK("C:\Users\franc\OneDrive\Documentos\MALENTIN KARIME\BANCO CREDITO\FER LORCA en ROSITA (Rosita)\ANA LUISA TODO\DERECHO REAL DE USO\ANA PEREZ A JUAN LEMUS.doc", "Abrir Documento")</f>
        <v>0</v>
      </c>
      <c r="D23392" t="s">
        <v>23501</v>
      </c>
      <c r="E23392" t="s">
        <v>45717</v>
      </c>
    </row>
    <row r="23393" spans="1:5">
      <c r="A23393" t="s">
        <v>6</v>
      </c>
      <c r="B23393" t="s">
        <v>23398</v>
      </c>
      <c r="C23393">
        <f>HYPERLINK("C:\Users\franc\OneDrive\Documentos\MALENTIN KARIME\BANCO CREDITO\FER LORCA en ROSITA (Rosita)\ANA LUISA TODO\DERECHO REAL DE USO\ANA PEREZ A DORTY PEREZ.doc", "Abrir Documento")</f>
        <v>0</v>
      </c>
      <c r="D23393" t="s">
        <v>23501</v>
      </c>
      <c r="E23393" t="s">
        <v>45718</v>
      </c>
    </row>
    <row r="23394" spans="1:5">
      <c r="A23394" t="s">
        <v>6</v>
      </c>
      <c r="B23394" t="s">
        <v>23399</v>
      </c>
      <c r="C23394">
        <f>HYPERLINK("C:\Users\franc\OneDrive\Documentos\MALENTIN KARIME\BANCO CREDITO\FER LORCA en ROSITA (Rosita)\ANA LUISA TODO\DABED\Doc1.doc", "Abrir Documento")</f>
        <v>0</v>
      </c>
      <c r="D23394" t="s">
        <v>23500</v>
      </c>
      <c r="E23394" t="s">
        <v>45719</v>
      </c>
    </row>
    <row r="23395" spans="1:5">
      <c r="A23395" t="s">
        <v>6</v>
      </c>
      <c r="B23395" t="s">
        <v>23400</v>
      </c>
      <c r="C23395">
        <f>HYPERLINK("C:\Users\franc\OneDrive\Documentos\MALENTIN KARIME\BANCO CREDITO\FER LORCA en ROSITA (Rosita)\ANA LUISA TODO\CRISTIAN VEGA\Doc1.doc", "Abrir Documento")</f>
        <v>0</v>
      </c>
      <c r="D23395" t="s">
        <v>23500</v>
      </c>
      <c r="E23395" t="s">
        <v>45720</v>
      </c>
    </row>
    <row r="23396" spans="1:5">
      <c r="A23396" t="s">
        <v>6</v>
      </c>
      <c r="B23396" t="s">
        <v>23401</v>
      </c>
      <c r="C23396">
        <f>HYPERLINK("C:\Users\franc\OneDrive\Documentos\MALENTIN KARIME\BANCO CREDITO\FER LORCA en ROSITA (Rosita)\ANA LUISA TODO\CORPORACION\TRANCITO ROJAS.doc", "Abrir Documento")</f>
        <v>0</v>
      </c>
      <c r="D23396" t="s">
        <v>23501</v>
      </c>
      <c r="E23396" t="s">
        <v>45721</v>
      </c>
    </row>
    <row r="23397" spans="1:5">
      <c r="A23397" t="s">
        <v>6</v>
      </c>
      <c r="B23397" t="s">
        <v>23402</v>
      </c>
      <c r="C23397">
        <f>HYPERLINK("C:\Users\franc\OneDrive\Documentos\MALENTIN KARIME\BANCO CREDITO\FER LORCA en ROSITA (Rosita)\ANA LUISA TODO\CORPBANCA 2006  M CORTES\PRENDAS\SAN JULIAN EXT.doc", "Abrir Documento")</f>
        <v>0</v>
      </c>
      <c r="D23397" t="s">
        <v>23501</v>
      </c>
      <c r="E23397" t="s">
        <v>45722</v>
      </c>
    </row>
    <row r="23398" spans="1:5">
      <c r="A23398" t="s">
        <v>6</v>
      </c>
      <c r="B23398" t="s">
        <v>23403</v>
      </c>
      <c r="C23398">
        <f>HYPERLINK("C:\Users\franc\OneDrive\Documentos\MALENTIN KARIME\BANCO CREDITO\FER LORCA en ROSITA (Rosita)\ANA LUISA TODO\CORPBANCA 2006  M CORTES\PRENDAS\RENE ALLENDE EXTRACTO.doc", "Abrir Documento")</f>
        <v>0</v>
      </c>
      <c r="D23398" t="s">
        <v>23501</v>
      </c>
      <c r="E23398" t="s">
        <v>45723</v>
      </c>
    </row>
    <row r="23399" spans="1:5">
      <c r="A23399" t="s">
        <v>6</v>
      </c>
      <c r="B23399" t="s">
        <v>23404</v>
      </c>
      <c r="C23399">
        <f>HYPERLINK("C:\Users\franc\OneDrive\Documentos\MALENTIN KARIME\BANCO CREDITO\FER LORCA en ROSITA (Rosita)\ANA LUISA TODO\CORPBANCA 2006  M CORTES\PRENDAS\RENA MUÑOZ EXT.doc", "Abrir Documento")</f>
        <v>0</v>
      </c>
      <c r="D23399" t="s">
        <v>23501</v>
      </c>
      <c r="E23399" t="s">
        <v>45724</v>
      </c>
    </row>
    <row r="23400" spans="1:5">
      <c r="A23400" t="s">
        <v>6</v>
      </c>
      <c r="B23400" t="s">
        <v>23405</v>
      </c>
      <c r="C23400">
        <f>HYPERLINK("C:\Users\franc\OneDrive\Documentos\MALENTIN KARIME\BANCO CREDITO\FER LORCA en ROSITA (Rosita)\ANA LUISA TODO\CORPBANCA 2006  M CORTES\PRENDAS\PROVIDENCIA EXT.doc", "Abrir Documento")</f>
        <v>0</v>
      </c>
      <c r="D23400" t="s">
        <v>23501</v>
      </c>
      <c r="E23400" t="s">
        <v>45725</v>
      </c>
    </row>
    <row r="23401" spans="1:5">
      <c r="A23401" t="s">
        <v>6</v>
      </c>
      <c r="B23401" t="s">
        <v>23406</v>
      </c>
      <c r="C23401">
        <f>HYPERLINK("C:\Users\franc\OneDrive\Documentos\MALENTIN KARIME\BANCO CREDITO\FER LORCA en ROSITA (Rosita)\ANA LUISA TODO\CORPBANCA 2006  M CORTES\PRENDAS\MARIANO DIAZ Y CIA. LTDA. EXTRACTO.doc", "Abrir Documento")</f>
        <v>0</v>
      </c>
      <c r="D23401" t="s">
        <v>23501</v>
      </c>
      <c r="E23401" t="s">
        <v>45726</v>
      </c>
    </row>
    <row r="23402" spans="1:5">
      <c r="A23402" t="s">
        <v>6</v>
      </c>
      <c r="B23402" t="s">
        <v>23407</v>
      </c>
      <c r="C23402">
        <f>HYPERLINK("C:\Users\franc\OneDrive\Documentos\MALENTIN KARIME\BANCO CREDITO\FER LORCA en ROSITA (Rosita)\ANA LUISA TODO\CORPBANCA 2006  M CORTES\PRENDAS\MAITEN EXT.doc", "Abrir Documento")</f>
        <v>0</v>
      </c>
      <c r="D23402" t="s">
        <v>23501</v>
      </c>
      <c r="E23402" t="s">
        <v>45727</v>
      </c>
    </row>
    <row r="23403" spans="1:5">
      <c r="A23403" t="s">
        <v>6</v>
      </c>
      <c r="B23403" t="s">
        <v>23408</v>
      </c>
      <c r="C23403">
        <f>HYPERLINK("C:\Users\franc\OneDrive\Documentos\MALENTIN KARIME\BANCO CREDITO\FER LORCA en ROSITA (Rosita)\ANA LUISA TODO\CORPBANCA 2006  M CORTES\PRENDAS\JORGE CUELLAR ROJAS EXTRACTO.doc", "Abrir Documento")</f>
        <v>0</v>
      </c>
      <c r="D23403" t="s">
        <v>23501</v>
      </c>
      <c r="E23403" t="s">
        <v>45728</v>
      </c>
    </row>
    <row r="23404" spans="1:5">
      <c r="A23404" t="s">
        <v>6</v>
      </c>
      <c r="B23404" t="s">
        <v>23409</v>
      </c>
      <c r="C23404">
        <f>HYPERLINK("C:\Users\franc\OneDrive\Documentos\MALENTIN KARIME\BANCO CREDITO\FER LORCA en ROSITA (Rosita)\ANA LUISA TODO\CORPBANCA 2006  M CORTES\PRENDAS\JORGE CARVAJAL EXTRACTO.doc", "Abrir Documento")</f>
        <v>0</v>
      </c>
      <c r="D23404" t="s">
        <v>23501</v>
      </c>
      <c r="E23404" t="s">
        <v>45729</v>
      </c>
    </row>
    <row r="23405" spans="1:5">
      <c r="A23405" t="s">
        <v>6</v>
      </c>
      <c r="B23405" t="s">
        <v>23410</v>
      </c>
      <c r="C23405">
        <f>HYPERLINK("C:\Users\franc\OneDrive\Documentos\MALENTIN KARIME\BANCO CREDITO\FER LORCA en ROSITA (Rosita)\ANA LUISA TODO\CORPBANCA 2006  M CORTES\PRENDAS\INVERSIONES TALQUILLA EXTRACTO.doc", "Abrir Documento")</f>
        <v>0</v>
      </c>
      <c r="D23405" t="s">
        <v>23501</v>
      </c>
      <c r="E23405" t="s">
        <v>45730</v>
      </c>
    </row>
    <row r="23406" spans="1:5">
      <c r="A23406" t="s">
        <v>6</v>
      </c>
      <c r="B23406" t="s">
        <v>23411</v>
      </c>
      <c r="C23406">
        <f>HYPERLINK("C:\Users\franc\OneDrive\Documentos\MALENTIN KARIME\BANCO CREDITO\FER LORCA en ROSITA (Rosita)\ANA LUISA TODO\CORPBANCA 2006  M CORTES\PRENDAS\GANADERA LOMA LARGA EXTRACTO.doc", "Abrir Documento")</f>
        <v>0</v>
      </c>
      <c r="D23406" t="s">
        <v>23501</v>
      </c>
      <c r="E23406" t="s">
        <v>45731</v>
      </c>
    </row>
    <row r="23407" spans="1:5">
      <c r="A23407" t="s">
        <v>6</v>
      </c>
      <c r="B23407" t="s">
        <v>23412</v>
      </c>
      <c r="C23407">
        <f>HYPERLINK("C:\Users\franc\OneDrive\Documentos\MALENTIN KARIME\BANCO CREDITO\FER LORCA en ROSITA (Rosita)\ANA LUISA TODO\CORPBANCA 2006  M CORTES\PRENDAS\Doc1.doc", "Abrir Documento")</f>
        <v>0</v>
      </c>
      <c r="D23407" t="s">
        <v>23500</v>
      </c>
      <c r="E23407" t="s">
        <v>45732</v>
      </c>
    </row>
    <row r="23408" spans="1:5">
      <c r="A23408" t="s">
        <v>6</v>
      </c>
      <c r="B23408" t="s">
        <v>23413</v>
      </c>
      <c r="C23408">
        <f>HYPERLINK("C:\Users\franc\OneDrive\Documentos\MALENTIN KARIME\BANCO CREDITO\FER LORCA en ROSITA (Rosita)\ANA LUISA TODO\CORPBANCA 2006  M CORTES\PRENDAS\CARTA GASTOS.doc", "Abrir Documento")</f>
        <v>0</v>
      </c>
      <c r="D23408" t="s">
        <v>23501</v>
      </c>
      <c r="E23408" t="s">
        <v>45733</v>
      </c>
    </row>
    <row r="23409" spans="1:5">
      <c r="A23409" t="s">
        <v>6</v>
      </c>
      <c r="B23409" t="s">
        <v>23414</v>
      </c>
      <c r="C23409">
        <f>HYPERLINK("C:\Users\franc\OneDrive\Documentos\MALENTIN KARIME\BANCO CREDITO\FER LORCA en ROSITA (Rosita)\ANA LUISA TODO\CORPBANCA 2006  M CORTES\PRENDAS\AGRICOLA CORDILLERA EXTRACTO.doc", "Abrir Documento")</f>
        <v>0</v>
      </c>
      <c r="D23409" t="s">
        <v>23501</v>
      </c>
      <c r="E23409" t="s">
        <v>45734</v>
      </c>
    </row>
    <row r="23410" spans="1:5">
      <c r="A23410" t="s">
        <v>6</v>
      </c>
      <c r="B23410" t="s">
        <v>23415</v>
      </c>
      <c r="C23410">
        <f>HYPERLINK("C:\Users\franc\OneDrive\Documentos\MALENTIN KARIME\BANCO CREDITO\FER LORCA en ROSITA (Rosita)\ANA LUISA TODO\CORPBANCA 2006  M CORTES\MUTUO E HIPOTECA\JOCELYN RAMIREZ - ENDOSABLE.doc", "Abrir Documento")</f>
        <v>0</v>
      </c>
      <c r="D23410" t="s">
        <v>23500</v>
      </c>
      <c r="E23410" t="s">
        <v>45735</v>
      </c>
    </row>
    <row r="23411" spans="1:5">
      <c r="A23411" t="s">
        <v>6</v>
      </c>
      <c r="B23411" t="s">
        <v>23416</v>
      </c>
      <c r="C23411">
        <f>HYPERLINK("C:\Users\franc\OneDrive\Documentos\MALENTIN KARIME\BANCO CREDITO\FER LORCA en ROSITA (Rosita)\ANA LUISA TODO\CORPBANCA 2006  M CORTES\MANDATOS\Doc3.doc", "Abrir Documento")</f>
        <v>0</v>
      </c>
      <c r="D23411" t="s">
        <v>23500</v>
      </c>
      <c r="E23411" t="s">
        <v>45736</v>
      </c>
    </row>
    <row r="23412" spans="1:5">
      <c r="A23412" t="s">
        <v>6</v>
      </c>
      <c r="B23412" t="s">
        <v>23417</v>
      </c>
      <c r="C23412">
        <f>HYPERLINK("C:\Users\franc\OneDrive\Documentos\MALENTIN KARIME\BANCO CREDITO\FER LORCA en ROSITA (Rosita)\ANA LUISA TODO\CORPBANCA 2006  M CORTES\CV E HIPOTECA\Doc1.doc", "Abrir Documento")</f>
        <v>0</v>
      </c>
      <c r="D23412" t="s">
        <v>23500</v>
      </c>
      <c r="E23412" t="s">
        <v>45737</v>
      </c>
    </row>
    <row r="23413" spans="1:5">
      <c r="A23413" t="s">
        <v>6</v>
      </c>
      <c r="B23413" t="s">
        <v>23418</v>
      </c>
      <c r="C23413">
        <f>HYPERLINK("C:\Users\franc\OneDrive\Documentos\MALENTIN KARIME\BANCO CREDITO\FER LORCA en ROSITA (Rosita)\ANA LUISA TODO\CORPBANCA 2006  M CORTES\SOBRE.doc", "Abrir Documento")</f>
        <v>0</v>
      </c>
      <c r="D23413" t="s">
        <v>23501</v>
      </c>
      <c r="E23413" t="s">
        <v>45738</v>
      </c>
    </row>
    <row r="23414" spans="1:5">
      <c r="A23414" t="s">
        <v>6</v>
      </c>
      <c r="B23414" t="s">
        <v>23419</v>
      </c>
      <c r="C23414">
        <f>HYPERLINK("C:\Users\franc\OneDrive\Documentos\MALENTIN KARIME\BANCO CREDITO\FER LORCA en ROSITA (Rosita)\ANA LUISA TODO\CORPBANCA 2006  M CORTES\MODELO NOTARIO.doc", "Abrir Documento")</f>
        <v>0</v>
      </c>
      <c r="D23414" t="s">
        <v>23501</v>
      </c>
      <c r="E23414" t="s">
        <v>45739</v>
      </c>
    </row>
    <row r="23415" spans="1:5">
      <c r="A23415" t="s">
        <v>6</v>
      </c>
      <c r="B23415" t="s">
        <v>23420</v>
      </c>
      <c r="C23415">
        <f>HYPERLINK("C:\Users\franc\OneDrive\Documentos\MALENTIN KARIME\BANCO CREDITO\FER LORCA en ROSITA (Rosita)\ANA LUISA TODO\CORPBANCA 2006  M CORTES\CARTA STGO.doc", "Abrir Documento")</f>
        <v>0</v>
      </c>
      <c r="D23415" t="s">
        <v>23501</v>
      </c>
      <c r="E23415" t="s">
        <v>45740</v>
      </c>
    </row>
    <row r="23416" spans="1:5">
      <c r="A23416" t="s">
        <v>6</v>
      </c>
      <c r="B23416" t="s">
        <v>23421</v>
      </c>
      <c r="C23416">
        <f>HYPERLINK("C:\Users\franc\OneDrive\Documentos\MALENTIN KARIME\BANCO CREDITO\FER LORCA en ROSITA (Rosita)\ANA LUISA TODO\COMUNIDAD PUNITAQUI\Carta Comunidad Punitaqui.doc", "Abrir Documento")</f>
        <v>0</v>
      </c>
      <c r="D23416" t="s">
        <v>23501</v>
      </c>
      <c r="E23416" t="s">
        <v>45741</v>
      </c>
    </row>
    <row r="23417" spans="1:5">
      <c r="A23417" t="s">
        <v>6</v>
      </c>
      <c r="B23417" t="s">
        <v>23422</v>
      </c>
      <c r="C23417">
        <f>HYPERLINK("C:\Users\franc\OneDrive\Documentos\MALENTIN KARIME\BANCO CREDITO\FER LORCA en ROSITA (Rosita)\ANA LUISA TODO\COMPRAVENTAS INMUEBLES\SUBDIVISION Y COMPRAVENTA\12\2.doc", "Abrir Documento")</f>
        <v>0</v>
      </c>
      <c r="D23417" t="s">
        <v>23501</v>
      </c>
      <c r="E23417" t="s">
        <v>45742</v>
      </c>
    </row>
    <row r="23418" spans="1:5">
      <c r="A23418" t="s">
        <v>6</v>
      </c>
      <c r="B23418" t="s">
        <v>23423</v>
      </c>
      <c r="C23418">
        <f>HYPERLINK("C:\Users\franc\OneDrive\Documentos\MALENTIN KARIME\BANCO CREDITO\FER LORCA en ROSITA (Rosita)\ANA LUISA TODO\COMPRAVENTAS INMUEBLES\SUBDIVISION Y COMPRAVENTA\12\13.doc", "Abrir Documento")</f>
        <v>0</v>
      </c>
      <c r="D23418" t="s">
        <v>23501</v>
      </c>
      <c r="E23418" t="s">
        <v>45743</v>
      </c>
    </row>
    <row r="23419" spans="1:5">
      <c r="A23419" t="s">
        <v>6</v>
      </c>
      <c r="B23419" t="s">
        <v>23424</v>
      </c>
      <c r="C23419">
        <f>HYPERLINK("C:\Users\franc\OneDrive\Documentos\MALENTIN KARIME\BANCO CREDITO\FER LORCA en ROSITA (Rosita)\ANA LUISA TODO\COMPRAVENTAS INMUEBLES\SUBDIVISION Y COMPRAVENTA\12\12.doc", "Abrir Documento")</f>
        <v>0</v>
      </c>
      <c r="D23419" t="s">
        <v>23501</v>
      </c>
      <c r="E23419" t="s">
        <v>45744</v>
      </c>
    </row>
    <row r="23420" spans="1:5">
      <c r="A23420" t="s">
        <v>6</v>
      </c>
      <c r="B23420" t="s">
        <v>23425</v>
      </c>
      <c r="C23420">
        <f>HYPERLINK("C:\Users\franc\OneDrive\Documentos\MALENTIN KARIME\BANCO CREDITO\FER LORCA en ROSITA (Rosita)\ANA LUISA TODO\COMPRAVENTAS INMUEBLES\SUBDIVISION Y COMPRAVENTA\12\10.doc", "Abrir Documento")</f>
        <v>0</v>
      </c>
      <c r="D23420" t="s">
        <v>23501</v>
      </c>
      <c r="E23420" t="s">
        <v>45745</v>
      </c>
    </row>
    <row r="23421" spans="1:5">
      <c r="A23421" t="s">
        <v>6</v>
      </c>
      <c r="B23421" t="s">
        <v>23426</v>
      </c>
      <c r="C23421">
        <f>HYPERLINK("C:\Users\franc\OneDrive\Documentos\MALENTIN KARIME\BANCO CREDITO\FER LORCA en ROSITA (Rosita)\ANA LUISA TODO\COMPRAVENTAS INMUEBLES\SUBDIVISION Y COMPRAVENTA\ELDA ORTIZ A WILSON GONZALEZ AVILA.doc", "Abrir Documento")</f>
        <v>0</v>
      </c>
      <c r="D23421" t="s">
        <v>23500</v>
      </c>
      <c r="E23421" t="s">
        <v>45746</v>
      </c>
    </row>
    <row r="23422" spans="1:5">
      <c r="A23422" t="s">
        <v>6</v>
      </c>
      <c r="B23422" t="s">
        <v>23427</v>
      </c>
      <c r="C23422">
        <f>HYPERLINK("C:\Users\franc\OneDrive\Documentos\MALENTIN KARIME\BANCO CREDITO\FER LORCA en ROSITA (Rosita)\ANA LUISA TODO\COMPRAVENTAS INMUEBLES\SUBDIVISION Y COMPRAVENTA\ELDA ORTIZ A WILSON GONZALEZ (PROMESA).doc", "Abrir Documento")</f>
        <v>0</v>
      </c>
      <c r="D23422" t="s">
        <v>23500</v>
      </c>
      <c r="E23422" t="s">
        <v>45747</v>
      </c>
    </row>
    <row r="23423" spans="1:5">
      <c r="A23423" t="s">
        <v>6</v>
      </c>
      <c r="B23423" t="s">
        <v>23428</v>
      </c>
      <c r="C23423">
        <f>HYPERLINK("C:\Users\franc\OneDrive\Documentos\MALENTIN KARIME\BANCO CREDITO\FER LORCA en ROSITA (Rosita)\ANA LUISA TODO\COMPRAVENTAS INMUEBLES\SUBDIVISION Y COMPRAVENTA\ELDA ORTIZ A WENDY ARAYA GUERRERO.- DIC. 2009.doc", "Abrir Documento")</f>
        <v>0</v>
      </c>
      <c r="D23423" t="s">
        <v>23500</v>
      </c>
      <c r="E23423" t="s">
        <v>45748</v>
      </c>
    </row>
    <row r="23424" spans="1:5">
      <c r="A23424" t="s">
        <v>6</v>
      </c>
      <c r="B23424" t="s">
        <v>23429</v>
      </c>
      <c r="C23424">
        <f>HYPERLINK("C:\Users\franc\OneDrive\Documentos\MALENTIN KARIME\BANCO CREDITO\FER LORCA en ROSITA (Rosita)\ANA LUISA TODO\COMPRAVENTAS INMUEBLES\SUBDIVISION Y COMPRAVENTA\ELDA ORTIZ A SILVIA CORTES.- NOV. 2009.doc", "Abrir Documento")</f>
        <v>0</v>
      </c>
      <c r="D23424" t="s">
        <v>23500</v>
      </c>
      <c r="E23424" t="s">
        <v>45749</v>
      </c>
    </row>
    <row r="23425" spans="1:5">
      <c r="A23425" t="s">
        <v>6</v>
      </c>
      <c r="B23425" t="s">
        <v>23430</v>
      </c>
      <c r="C23425">
        <f>HYPERLINK("C:\Users\franc\OneDrive\Documentos\MALENTIN KARIME\BANCO CREDITO\FER LORCA en ROSITA (Rosita)\ANA LUISA TODO\COMPRAVENTAS INMUEBLES\SUBDIVISION Y COMPRAVENTA\ELDA ORTIZ A ROSA ARAYA VELASQUEZ Y SUS HIJAS.doc", "Abrir Documento")</f>
        <v>0</v>
      </c>
      <c r="D23425" t="s">
        <v>23500</v>
      </c>
      <c r="E23425" t="s">
        <v>45750</v>
      </c>
    </row>
    <row r="23426" spans="1:5">
      <c r="A23426" t="s">
        <v>6</v>
      </c>
      <c r="B23426" t="s">
        <v>23431</v>
      </c>
      <c r="C23426">
        <f>HYPERLINK("C:\Users\franc\OneDrive\Documentos\MALENTIN KARIME\BANCO CREDITO\FER LORCA en ROSITA (Rosita)\ANA LUISA TODO\COMPRAVENTAS INMUEBLES\SUBDIVISION Y COMPRAVENTA\ELDA ORTIZ A RAMON AVILES OCT 2009.doc", "Abrir Documento")</f>
        <v>0</v>
      </c>
      <c r="D23426" t="s">
        <v>23500</v>
      </c>
      <c r="E23426" t="s">
        <v>45751</v>
      </c>
    </row>
    <row r="23427" spans="1:5">
      <c r="A23427" t="s">
        <v>6</v>
      </c>
      <c r="B23427" t="s">
        <v>23432</v>
      </c>
      <c r="C23427">
        <f>HYPERLINK("C:\Users\franc\OneDrive\Documentos\MALENTIN KARIME\BANCO CREDITO\FER LORCA en ROSITA (Rosita)\ANA LUISA TODO\COMPRAVENTAS INMUEBLES\SUBDIVISION Y COMPRAVENTA\ELDA ORTIZ A INVERSIONES TRANSMAQUI LTDA.-.doc", "Abrir Documento")</f>
        <v>0</v>
      </c>
      <c r="D23427" t="s">
        <v>23500</v>
      </c>
      <c r="E23427" t="s">
        <v>45752</v>
      </c>
    </row>
    <row r="23428" spans="1:5">
      <c r="A23428" t="s">
        <v>6</v>
      </c>
      <c r="B23428" t="s">
        <v>23433</v>
      </c>
      <c r="C23428">
        <f>HYPERLINK("C:\Users\franc\OneDrive\Documentos\MALENTIN KARIME\BANCO CREDITO\FER LORCA en ROSITA (Rosita)\ANA LUISA TODO\COMPRAVENTAS INMUEBLES\SUBDIVISION Y COMPRAVENTA\ELDA ORTIZ A INGRID PASTEN OCT 2009.doc", "Abrir Documento")</f>
        <v>0</v>
      </c>
      <c r="D23428" t="s">
        <v>23500</v>
      </c>
      <c r="E23428" t="s">
        <v>45753</v>
      </c>
    </row>
    <row r="23429" spans="1:5">
      <c r="A23429" t="s">
        <v>6</v>
      </c>
      <c r="B23429" t="s">
        <v>23434</v>
      </c>
      <c r="C23429">
        <f>HYPERLINK("C:\Users\franc\OneDrive\Documentos\MALENTIN KARIME\BANCO CREDITO\FER LORCA en ROSITA (Rosita)\ANA LUISA TODO\COMPRAVENTAS INMUEBLES\SUBDIVISION Y COMPRAVENTA\ELDA ORTIZ A CONSTRUCCION RENOVACION.doc", "Abrir Documento")</f>
        <v>0</v>
      </c>
      <c r="D23429" t="s">
        <v>23500</v>
      </c>
      <c r="E23429" t="s">
        <v>45754</v>
      </c>
    </row>
    <row r="23430" spans="1:5">
      <c r="A23430" t="s">
        <v>6</v>
      </c>
      <c r="B23430" t="s">
        <v>23435</v>
      </c>
      <c r="C23430">
        <f>HYPERLINK("C:\Users\franc\OneDrive\Documentos\MALENTIN KARIME\BANCO CREDITO\FER LORCA en ROSITA (Rosita)\ANA LUISA TODO\COMPRAVENTAS INMUEBLES\SUBDIVISION Y COMPRAVENTA\ELDA ORTIZ A CONSTRUCCION RENOVACION.- DIC. 2009.doc", "Abrir Documento")</f>
        <v>0</v>
      </c>
      <c r="D23430" t="s">
        <v>23500</v>
      </c>
      <c r="E23430" t="s">
        <v>45755</v>
      </c>
    </row>
    <row r="23431" spans="1:5">
      <c r="A23431" t="s">
        <v>6</v>
      </c>
      <c r="B23431" t="s">
        <v>23436</v>
      </c>
      <c r="C23431">
        <f>HYPERLINK("C:\Users\franc\OneDrive\Documentos\MALENTIN KARIME\BANCO CREDITO\FER LORCA en ROSITA (Rosita)\ANA LUISA TODO\COMPRAVENTAS INMUEBLES\SUBDIVISION Y COMPRAVENTA\ELDA ORTIZ A CONST. VIVIENDA Y RENOVAC (PROMESA).doc", "Abrir Documento")</f>
        <v>0</v>
      </c>
      <c r="D23431" t="s">
        <v>23500</v>
      </c>
      <c r="E23431" t="s">
        <v>45756</v>
      </c>
    </row>
    <row r="23432" spans="1:5">
      <c r="A23432" t="s">
        <v>6</v>
      </c>
      <c r="B23432" t="s">
        <v>23437</v>
      </c>
      <c r="C23432">
        <f>HYPERLINK("C:\Users\franc\OneDrive\Documentos\MALENTIN KARIME\BANCO CREDITO\FER LORCA en ROSITA (Rosita)\ANA LUISA TODO\COMPRAVENTAS INMUEBLES\SUBDIVISION Y COMPRAVENTA\ELDA ORTIZ A CHRISTIAN ORTIZ.doc", "Abrir Documento")</f>
        <v>0</v>
      </c>
      <c r="D23432" t="s">
        <v>23500</v>
      </c>
      <c r="E23432" t="s">
        <v>45757</v>
      </c>
    </row>
    <row r="23433" spans="1:5">
      <c r="A23433" t="s">
        <v>6</v>
      </c>
      <c r="B23433" t="s">
        <v>23438</v>
      </c>
      <c r="C23433">
        <f>HYPERLINK("C:\Users\franc\OneDrive\Documentos\MALENTIN KARIME\BANCO CREDITO\FER LORCA en ROSITA (Rosita)\ANA LUISA TODO\COMPRAVENTAS INMUEBLES\SUBDIVISION Y COMPRAVENTA\ELDA ORTIZ A ALBERTO OGALDE.doc", "Abrir Documento")</f>
        <v>0</v>
      </c>
      <c r="D23433" t="s">
        <v>23500</v>
      </c>
      <c r="E23433" t="s">
        <v>45758</v>
      </c>
    </row>
    <row r="23434" spans="1:5">
      <c r="A23434" t="s">
        <v>6</v>
      </c>
      <c r="B23434" t="s">
        <v>23439</v>
      </c>
      <c r="C23434">
        <f>HYPERLINK("C:\Users\franc\OneDrive\Documentos\MALENTIN KARIME\BANCO CREDITO\FER LORCA en ROSITA (Rosita)\ANA LUISA TODO\COMPRAVENTAS INMUEBLES\2009\vigia a serravalle.doc", "Abrir Documento")</f>
        <v>0</v>
      </c>
      <c r="D23434" t="s">
        <v>23501</v>
      </c>
      <c r="E23434" t="s">
        <v>45759</v>
      </c>
    </row>
    <row r="23435" spans="1:5">
      <c r="A23435" t="s">
        <v>6</v>
      </c>
      <c r="B23435" t="s">
        <v>23440</v>
      </c>
      <c r="C23435">
        <f>HYPERLINK("C:\Users\franc\OneDrive\Documentos\MALENTIN KARIME\BANCO CREDITO\FER LORCA en ROSITA (Rosita)\ANA LUISA TODO\COMPRAVENTAS INMUEBLES\2009\Doc1.doc", "Abrir Documento")</f>
        <v>0</v>
      </c>
      <c r="D23435" t="s">
        <v>23500</v>
      </c>
      <c r="E23435" t="s">
        <v>45760</v>
      </c>
    </row>
    <row r="23436" spans="1:5">
      <c r="A23436" t="s">
        <v>6</v>
      </c>
      <c r="B23436" t="s">
        <v>23441</v>
      </c>
      <c r="C23436">
        <f>HYPERLINK("C:\Users\franc\OneDrive\Documentos\MALENTIN KARIME\BANCO CREDITO\FER LORCA en ROSITA (Rosita)\ANA LUISA TODO\COMPRAVENTAS INMUEBLES\2009\CV SAMUEL VILLARROEL[1].doc", "Abrir Documento")</f>
        <v>0</v>
      </c>
      <c r="D23436" t="s">
        <v>23500</v>
      </c>
      <c r="E23436" t="s">
        <v>45761</v>
      </c>
    </row>
    <row r="23437" spans="1:5">
      <c r="A23437" t="s">
        <v>6</v>
      </c>
      <c r="B23437" t="s">
        <v>23442</v>
      </c>
      <c r="C23437">
        <f>HYPERLINK("C:\Users\franc\OneDrive\Documentos\MALENTIN KARIME\BANCO CREDITO\FER LORCA en ROSITA (Rosita)\ANA LUISA TODO\COMPRAVENTAS INMUEBLES\2008\ç.doc", "Abrir Documento")</f>
        <v>0</v>
      </c>
      <c r="D23437" t="s">
        <v>23500</v>
      </c>
      <c r="E23437" t="s">
        <v>45762</v>
      </c>
    </row>
    <row r="23438" spans="1:5">
      <c r="A23438" t="s">
        <v>6</v>
      </c>
      <c r="B23438" t="s">
        <v>23443</v>
      </c>
      <c r="C23438">
        <f>HYPERLINK("C:\Users\franc\OneDrive\Documentos\MALENTIN KARIME\BANCO CREDITO\FER LORCA en ROSITA (Rosita)\ANA LUISA TODO\COMPRAVENTAS INMUEBLES\2007\MAXIMILIANO ROJAS A CINTYA ROJAS.doc", "Abrir Documento")</f>
        <v>0</v>
      </c>
      <c r="D23438" t="s">
        <v>23500</v>
      </c>
      <c r="E23438" t="s">
        <v>45763</v>
      </c>
    </row>
    <row r="23439" spans="1:5">
      <c r="A23439" t="s">
        <v>6</v>
      </c>
      <c r="B23439" t="s">
        <v>23444</v>
      </c>
      <c r="C23439">
        <f>HYPERLINK("C:\Users\franc\OneDrive\Documentos\MALENTIN KARIME\BANCO CREDITO\FER LORCA en ROSITA (Rosita)\ANA LUISA TODO\COMPRAVENTAS INMUEBLES\2007\MARITZA ONELL IV-2 Fundina.doc", "Abrir Documento")</f>
        <v>0</v>
      </c>
      <c r="D23439" t="s">
        <v>23500</v>
      </c>
      <c r="E23439" t="s">
        <v>45764</v>
      </c>
    </row>
    <row r="23440" spans="1:5">
      <c r="A23440" t="s">
        <v>6</v>
      </c>
      <c r="B23440" t="s">
        <v>23445</v>
      </c>
      <c r="C23440">
        <f>HYPERLINK("C:\Users\franc\OneDrive\Documentos\MALENTIN KARIME\BANCO CREDITO\FER LORCA en ROSITA (Rosita)\ANA LUISA TODO\COMPRAVENTAS INMUEBLES\2007\MARINO VERGARA Y OTROS.doc", "Abrir Documento")</f>
        <v>0</v>
      </c>
      <c r="D23440" t="s">
        <v>23500</v>
      </c>
      <c r="E23440" t="s">
        <v>45765</v>
      </c>
    </row>
    <row r="23441" spans="1:5">
      <c r="A23441" t="s">
        <v>6</v>
      </c>
      <c r="B23441" t="s">
        <v>23446</v>
      </c>
      <c r="C23441">
        <f>HYPERLINK("C:\Users\franc\OneDrive\Documentos\MALENTIN KARIME\BANCO CREDITO\FER LORCA en ROSITA (Rosita)\ANA LUISA TODO\COMPRAVENTAS INMUEBLES\2007\MARIA COUDRAY Y HNO. JACQUELINE (DERECHOS).doc", "Abrir Documento")</f>
        <v>0</v>
      </c>
      <c r="D23441" t="s">
        <v>23500</v>
      </c>
      <c r="E23441" t="s">
        <v>45766</v>
      </c>
    </row>
    <row r="23442" spans="1:5">
      <c r="A23442" t="s">
        <v>6</v>
      </c>
      <c r="B23442" t="s">
        <v>23447</v>
      </c>
      <c r="C23442">
        <f>HYPERLINK("C:\Users\franc\OneDrive\Documentos\MALENTIN KARIME\BANCO CREDITO\FER LORCA en ROSITA (Rosita)\ANA LUISA TODO\COMPRAVENTAS INMUEBLES\2007\MARIA CASTRO A DILIA CAMPOS.doc", "Abrir Documento")</f>
        <v>0</v>
      </c>
      <c r="D23442" t="s">
        <v>23500</v>
      </c>
      <c r="E23442" t="s">
        <v>45767</v>
      </c>
    </row>
    <row r="23443" spans="1:5">
      <c r="A23443" t="s">
        <v>6</v>
      </c>
      <c r="B23443" t="s">
        <v>23448</v>
      </c>
      <c r="C23443">
        <f>HYPERLINK("C:\Users\franc\OneDrive\Documentos\MALENTIN KARIME\BANCO CREDITO\FER LORCA en ROSITA (Rosita)\ANA LUISA TODO\COMPRAVENTAS INMUEBLES\2007\Doc7.doc", "Abrir Documento")</f>
        <v>0</v>
      </c>
      <c r="D23443" t="s">
        <v>23500</v>
      </c>
      <c r="E23443" t="s">
        <v>45768</v>
      </c>
    </row>
    <row r="23444" spans="1:5">
      <c r="A23444" t="s">
        <v>6</v>
      </c>
      <c r="B23444" t="s">
        <v>23449</v>
      </c>
      <c r="C23444">
        <f>HYPERLINK("C:\Users\franc\OneDrive\Documentos\MALENTIN KARIME\BANCO CREDITO\FER LORCA en ROSITA (Rosita)\ANA LUISA TODO\COMPRAVENTAS INMUEBLES\Doc1.doc", "Abrir Documento")</f>
        <v>0</v>
      </c>
      <c r="D23444" t="s">
        <v>23500</v>
      </c>
      <c r="E23444" t="s">
        <v>45769</v>
      </c>
    </row>
    <row r="23445" spans="1:5">
      <c r="A23445" t="s">
        <v>6</v>
      </c>
      <c r="B23445" t="s">
        <v>23450</v>
      </c>
      <c r="C23445">
        <f>HYPERLINK("C:\Users\franc\OneDrive\Documentos\MALENTIN KARIME\BANCO CREDITO\FER LORCA en ROSITA (Rosita)\ANA LUISA TODO\COMPRAVENTA CON SUBSIDIO DS 174\Firmaron ante  mí.doc", "Abrir Documento")</f>
        <v>0</v>
      </c>
      <c r="D23445" t="s">
        <v>23501</v>
      </c>
      <c r="E23445" t="s">
        <v>45770</v>
      </c>
    </row>
    <row r="23446" spans="1:5">
      <c r="A23446" t="s">
        <v>6</v>
      </c>
      <c r="B23446" t="s">
        <v>23451</v>
      </c>
      <c r="C23446">
        <f>HYPERLINK("C:\Users\franc\OneDrive\Documentos\MALENTIN KARIME\BANCO CREDITO\FER LORCA en ROSITA (Rosita)\ANA LUISA TODO\COMPAÑIA MINERA TAMAYA\RECTIFICACION POTRERILLOS.doc", "Abrir Documento")</f>
        <v>0</v>
      </c>
      <c r="D23446" t="s">
        <v>23501</v>
      </c>
      <c r="E23446" t="s">
        <v>45771</v>
      </c>
    </row>
    <row r="23447" spans="1:5">
      <c r="A23447" t="s">
        <v>6</v>
      </c>
      <c r="B23447" t="s">
        <v>23452</v>
      </c>
      <c r="C23447">
        <f>HYPERLINK("C:\Users\franc\OneDrive\Documentos\MALENTIN KARIME\BANCO CREDITO\FER LORCA en ROSITA (Rosita)\ANA LUISA TODO\COMPAÑIA MINERA PUNITAQUI\SERVIDUMBRE COMUNIDAD POTRERILLO ALTO.doc", "Abrir Documento")</f>
        <v>0</v>
      </c>
      <c r="D23447" t="s">
        <v>23500</v>
      </c>
      <c r="E23447" t="s">
        <v>45772</v>
      </c>
    </row>
    <row r="23448" spans="1:5">
      <c r="A23448" t="s">
        <v>6</v>
      </c>
      <c r="B23448" t="s">
        <v>23453</v>
      </c>
      <c r="C23448">
        <f>HYPERLINK("C:\Users\franc\OneDrive\Documentos\MALENTIN KARIME\BANCO CREDITO\FER LORCA en ROSITA (Rosita)\ANA LUISA TODO\COMPAÑIA MINERA PUNITAQUI\Doc1.doc", "Abrir Documento")</f>
        <v>0</v>
      </c>
      <c r="D23448" t="s">
        <v>23500</v>
      </c>
      <c r="E23448" t="s">
        <v>45773</v>
      </c>
    </row>
    <row r="23449" spans="1:5">
      <c r="A23449" t="s">
        <v>6</v>
      </c>
      <c r="B23449" t="s">
        <v>23454</v>
      </c>
      <c r="C23449">
        <f>HYPERLINK("C:\Users\franc\OneDrive\Documentos\MALENTIN KARIME\BANCO CREDITO\FER LORCA en ROSITA (Rosita)\ANA LUISA TODO\COMPAÑIA MINERA PUNITAQUI\COMUNIDAD POTRERILLOS DIC. 2007.doc", "Abrir Documento")</f>
        <v>0</v>
      </c>
      <c r="D23449" t="s">
        <v>23500</v>
      </c>
      <c r="E23449" t="s">
        <v>45774</v>
      </c>
    </row>
    <row r="23450" spans="1:5">
      <c r="A23450" t="s">
        <v>6</v>
      </c>
      <c r="B23450" t="s">
        <v>23455</v>
      </c>
      <c r="C23450">
        <f>HYPERLINK("C:\Users\franc\OneDrive\Documentos\MALENTIN KARIME\BANCO CREDITO\FER LORCA en ROSITA (Rosita)\ANA LUISA TODO\COMPAÑIA MINERA PUNITAQUI\COMUNIDAD POTRERILLO ALTO (2).doc", "Abrir Documento")</f>
        <v>0</v>
      </c>
      <c r="D23450" t="s">
        <v>23500</v>
      </c>
      <c r="E23450" t="s">
        <v>45775</v>
      </c>
    </row>
    <row r="23451" spans="1:5">
      <c r="A23451" t="s">
        <v>6</v>
      </c>
      <c r="B23451" t="s">
        <v>23456</v>
      </c>
      <c r="C23451">
        <f>HYPERLINK("C:\Users\franc\OneDrive\Documentos\MALENTIN KARIME\BANCO CREDITO\FER LORCA en ROSITA (Rosita)\ANA LUISA TODO\CLAUDIO ARDILES\SERGIO VALDERRAMA A CLAUDIO ARDILES  (Man.  jud).doc", "Abrir Documento")</f>
        <v>0</v>
      </c>
      <c r="D23451" t="s">
        <v>23501</v>
      </c>
      <c r="E23451" t="s">
        <v>45776</v>
      </c>
    </row>
    <row r="23452" spans="1:5">
      <c r="A23452" t="s">
        <v>6</v>
      </c>
      <c r="B23452" t="s">
        <v>23457</v>
      </c>
      <c r="C23452">
        <f>HYPERLINK("C:\Users\franc\OneDrive\Documentos\MALENTIN KARIME\BANCO CREDITO\FER LORCA en ROSITA (Rosita)\ANA LUISA TODO\CLAUDIO ARDILES\RICARDO CORRAL A CLAUDIO ARDILES Y OTRO (MANDATO JUD).doc", "Abrir Documento")</f>
        <v>0</v>
      </c>
      <c r="D23452" t="s">
        <v>23501</v>
      </c>
      <c r="E23452" t="s">
        <v>45777</v>
      </c>
    </row>
    <row r="23453" spans="1:5">
      <c r="A23453" t="s">
        <v>6</v>
      </c>
      <c r="B23453" t="s">
        <v>23458</v>
      </c>
      <c r="C23453">
        <f>HYPERLINK("C:\Users\franc\OneDrive\Documentos\MALENTIN KARIME\BANCO CREDITO\FER LORCA en ROSITA (Rosita)\ANA LUISA TODO\CLAUDIO ARDILES\PROTOCOLIZACION PERMISO NOTARIO.doc", "Abrir Documento")</f>
        <v>0</v>
      </c>
      <c r="D23453" t="s">
        <v>23501</v>
      </c>
      <c r="E23453" t="s">
        <v>45778</v>
      </c>
    </row>
    <row r="23454" spans="1:5">
      <c r="A23454" t="s">
        <v>6</v>
      </c>
      <c r="B23454" t="s">
        <v>23459</v>
      </c>
      <c r="C23454">
        <f>HYPERLINK("C:\Users\franc\OneDrive\Documentos\MALENTIN KARIME\BANCO CREDITO\FER LORCA en ROSITA (Rosita)\ANA LUISA TODO\CLAUDIO ARDILES\MAVIS ALVAREZ (MANDATO JUDICIAL A LUCIANO SARMIENTO).doc", "Abrir Documento")</f>
        <v>0</v>
      </c>
      <c r="D23454" t="s">
        <v>23501</v>
      </c>
      <c r="E23454" t="s">
        <v>45779</v>
      </c>
    </row>
    <row r="23455" spans="1:5">
      <c r="A23455" t="s">
        <v>6</v>
      </c>
      <c r="B23455" t="s">
        <v>23460</v>
      </c>
      <c r="C23455">
        <f>HYPERLINK("C:\Users\franc\OneDrive\Documentos\MALENTIN KARIME\BANCO CREDITO\FER LORCA en ROSITA (Rosita)\ANA LUISA TODO\CLAUDIO ARDILES\MARIO LUNA  (MANDATO JUDICIAL A LUCIANO SARMIENTO).doc", "Abrir Documento")</f>
        <v>0</v>
      </c>
      <c r="D23455" t="s">
        <v>23501</v>
      </c>
      <c r="E23455" t="s">
        <v>45780</v>
      </c>
    </row>
    <row r="23456" spans="1:5">
      <c r="A23456" t="s">
        <v>6</v>
      </c>
      <c r="B23456" t="s">
        <v>23461</v>
      </c>
      <c r="C23456">
        <f>HYPERLINK("C:\Users\franc\OneDrive\Documentos\MALENTIN KARIME\BANCO CREDITO\FER LORCA en ROSITA (Rosita)\ANA LUISA TODO\CLAUDIO ARDILES\MARCELO CORRAL A CLAUDIO ARDILES Y OTR.doc", "Abrir Documento")</f>
        <v>0</v>
      </c>
      <c r="D23456" t="s">
        <v>23501</v>
      </c>
      <c r="E23456" t="s">
        <v>45781</v>
      </c>
    </row>
    <row r="23457" spans="1:5">
      <c r="A23457" t="s">
        <v>6</v>
      </c>
      <c r="B23457" t="s">
        <v>23462</v>
      </c>
      <c r="C23457">
        <f>HYPERLINK("C:\Users\franc\OneDrive\Documentos\MALENTIN KARIME\BANCO CREDITO\FER LORCA en ROSITA (Rosita)\ANA LUISA TODO\CLAUDIO ARDILES\JORGE CUEVAS EXTRACTO.doc", "Abrir Documento")</f>
        <v>0</v>
      </c>
      <c r="D23457" t="s">
        <v>23501</v>
      </c>
      <c r="E23457" t="s">
        <v>45782</v>
      </c>
    </row>
    <row r="23458" spans="1:5">
      <c r="A23458" t="s">
        <v>6</v>
      </c>
      <c r="B23458" t="s">
        <v>23463</v>
      </c>
      <c r="C23458">
        <f>HYPERLINK("C:\Users\franc\OneDrive\Documentos\MALENTIN KARIME\BANCO CREDITO\FER LORCA en ROSITA (Rosita)\ANA LUISA TODO\CLAUDIO ARDILES\GLADYS ALCAINO A CLAUDIO ARDILES (MANDATO JUDICIAL).doc", "Abrir Documento")</f>
        <v>0</v>
      </c>
      <c r="D23458" t="s">
        <v>23501</v>
      </c>
      <c r="E23458" t="s">
        <v>45783</v>
      </c>
    </row>
    <row r="23459" spans="1:5">
      <c r="A23459" t="s">
        <v>6</v>
      </c>
      <c r="B23459" t="s">
        <v>23464</v>
      </c>
      <c r="C23459">
        <f>HYPERLINK("C:\Users\franc\OneDrive\Documentos\MALENTIN KARIME\BANCO CREDITO\FER LORCA en ROSITA (Rosita)\ANA LUISA TODO\CLAUDIO ARDILES\ARNOLDO VALDIVIA A CLAUDIO ARDILES (Man.  jud).doc", "Abrir Documento")</f>
        <v>0</v>
      </c>
      <c r="D23459" t="s">
        <v>23501</v>
      </c>
      <c r="E23459" t="s">
        <v>45784</v>
      </c>
    </row>
    <row r="23460" spans="1:5">
      <c r="A23460" t="s">
        <v>6</v>
      </c>
      <c r="B23460" t="s">
        <v>23465</v>
      </c>
      <c r="C23460">
        <f>HYPERLINK("C:\Users\franc\OneDrive\Documentos\MALENTIN KARIME\BANCO CREDITO\FER LORCA en ROSITA (Rosita)\ANA LUISA TODO\CESION DE DERECHOS HEREDITARIOS\HAYDEE MOLINA Y OTRO A ELBA OGALDE.doc", "Abrir Documento")</f>
        <v>0</v>
      </c>
      <c r="D23460" t="s">
        <v>23500</v>
      </c>
      <c r="E23460" t="s">
        <v>45785</v>
      </c>
    </row>
    <row r="23461" spans="1:5">
      <c r="A23461" t="s">
        <v>6</v>
      </c>
      <c r="B23461" t="s">
        <v>23466</v>
      </c>
      <c r="C23461">
        <f>HYPERLINK("C:\Users\franc\OneDrive\Documentos\MALENTIN KARIME\BANCO CREDITO\FER LORCA en ROSITA (Rosita)\ANA LUISA TODO\CARLOS BUGUEÑÑ\2009\COMPRAVENTA\LAURA CAMPUSANO Y OTROS A GONZALO CAMPUSANO.doc", "Abrir Documento")</f>
        <v>0</v>
      </c>
      <c r="D23461" t="s">
        <v>23500</v>
      </c>
      <c r="E23461" t="s">
        <v>45786</v>
      </c>
    </row>
    <row r="23462" spans="1:5">
      <c r="A23462" t="s">
        <v>6</v>
      </c>
      <c r="B23462" t="s">
        <v>23467</v>
      </c>
      <c r="C23462">
        <f>HYPERLINK("C:\Users\franc\OneDrive\Documentos\MALENTIN KARIME\BANCO CREDITO\FER LORCA en ROSITA (Rosita)\ANA LUISA TODO\CARLOS BUGUEÑÑ\2009\COMPRAVENTA\HECTOR BARRAZA A MARCO ARAYA.doc", "Abrir Documento")</f>
        <v>0</v>
      </c>
      <c r="D23462" t="s">
        <v>23500</v>
      </c>
      <c r="E23462" t="s">
        <v>45787</v>
      </c>
    </row>
    <row r="23463" spans="1:5">
      <c r="A23463" t="s">
        <v>6</v>
      </c>
      <c r="B23463" t="s">
        <v>23468</v>
      </c>
      <c r="C23463">
        <f>HYPERLINK("C:\Users\franc\OneDrive\Documentos\MALENTIN KARIME\BANCO CREDITO\FER LORCA en ROSITA (Rosita)\ANA LUISA TODO\CARLOS BUGUEÑÑ\2007\ACLARACION\Doc1.doc", "Abrir Documento")</f>
        <v>0</v>
      </c>
      <c r="D23463" t="s">
        <v>23500</v>
      </c>
      <c r="E23463" t="s">
        <v>45788</v>
      </c>
    </row>
    <row r="23464" spans="1:5">
      <c r="A23464" t="s">
        <v>6</v>
      </c>
      <c r="B23464" t="s">
        <v>23469</v>
      </c>
      <c r="C23464">
        <f>HYPERLINK("C:\Users\franc\OneDrive\Documentos\MALENTIN KARIME\BANCO CREDITO\FER LORCA en ROSITA (Rosita)\ANA LUISA TODO\CARLOS BUGUEÑÑ\2007\PARTICION FEISSE.doc", "Abrir Documento")</f>
        <v>0</v>
      </c>
      <c r="D23464" t="s">
        <v>23500</v>
      </c>
      <c r="E23464" t="s">
        <v>45789</v>
      </c>
    </row>
    <row r="23465" spans="1:5">
      <c r="A23465" t="s">
        <v>6</v>
      </c>
      <c r="B23465" t="s">
        <v>23470</v>
      </c>
      <c r="C23465">
        <f>HYPERLINK("C:\Users\franc\OneDrive\Documentos\MALENTIN KARIME\BANCO CREDITO\FER LORCA en ROSITA (Rosita)\ANA LUISA TODO\CARLOS BUGUEÑÑ\2007\LUCIA DONOSO A VERONICA JULIA (CESION).doc", "Abrir Documento")</f>
        <v>0</v>
      </c>
      <c r="D23465" t="s">
        <v>23500</v>
      </c>
      <c r="E23465" t="s">
        <v>45790</v>
      </c>
    </row>
    <row r="23466" spans="1:5">
      <c r="A23466" t="s">
        <v>6</v>
      </c>
      <c r="B23466" t="s">
        <v>23471</v>
      </c>
      <c r="C23466">
        <f>HYPERLINK("C:\Users\franc\OneDrive\Documentos\MALENTIN KARIME\BANCO CREDITO\FER LORCA en ROSITA (Rosita)\ANA LUISA TODO\CARLOS BUGUEÑÑ\2007\JUAN FRANCISCO INOSTROZA.doc", "Abrir Documento")</f>
        <v>0</v>
      </c>
      <c r="D23466" t="s">
        <v>23500</v>
      </c>
      <c r="E23466" t="s">
        <v>45791</v>
      </c>
    </row>
    <row r="23467" spans="1:5">
      <c r="A23467" t="s">
        <v>6</v>
      </c>
      <c r="B23467" t="s">
        <v>23472</v>
      </c>
      <c r="C23467">
        <f>HYPERLINK("C:\Users\franc\OneDrive\Documentos\MALENTIN KARIME\BANCO CREDITO\FER LORCA en ROSITA (Rosita)\ANA LUISA TODO\CARLOS BUGUEÑÑ\2007\INV. STA BARBARA Certif. 153.doc", "Abrir Documento")</f>
        <v>0</v>
      </c>
      <c r="D23467" t="s">
        <v>23500</v>
      </c>
      <c r="E23467" t="s">
        <v>45792</v>
      </c>
    </row>
    <row r="23468" spans="1:5">
      <c r="A23468" t="s">
        <v>6</v>
      </c>
      <c r="B23468" t="s">
        <v>23473</v>
      </c>
      <c r="C23468">
        <f>HYPERLINK("C:\Users\franc\OneDrive\Documentos\MALENTIN KARIME\BANCO CREDITO\FER LORCA en ROSITA (Rosita)\ANA LUISA TODO\CARLOS BUGUEÑÑ\INMOBILIARIA CRUZ COLORADA a Verónica Fernandez Arancibia.doc", "Abrir Documento")</f>
        <v>0</v>
      </c>
      <c r="D23468" t="s">
        <v>23500</v>
      </c>
      <c r="E23468" t="s">
        <v>45793</v>
      </c>
    </row>
    <row r="23469" spans="1:5">
      <c r="A23469" t="s">
        <v>6</v>
      </c>
      <c r="B23469" t="s">
        <v>23474</v>
      </c>
      <c r="C23469">
        <f>HYPERLINK("C:\Users\franc\OneDrive\Documentos\MALENTIN KARIME\BANCO CREDITO\FER LORCA en ROSITA (Rosita)\ANA LUISA TODO\CARLOS BUGUEÑÑ\Inmobiliaria Cruz Colorada a ESTEBAN ARAYA.doc", "Abrir Documento")</f>
        <v>0</v>
      </c>
      <c r="D23469" t="s">
        <v>23500</v>
      </c>
      <c r="E23469" t="s">
        <v>45794</v>
      </c>
    </row>
    <row r="23470" spans="1:5">
      <c r="A23470" t="s">
        <v>6</v>
      </c>
      <c r="B23470" t="s">
        <v>23475</v>
      </c>
      <c r="C23470">
        <f>HYPERLINK("C:\Users\franc\OneDrive\Documentos\MALENTIN KARIME\BANCO CREDITO\FER LORCA en ROSITA (Rosita)\ANA LUISA TODO\CANTA RANA\Doc6.doc", "Abrir Documento")</f>
        <v>0</v>
      </c>
      <c r="D23470" t="s">
        <v>23500</v>
      </c>
      <c r="E23470" t="s">
        <v>45795</v>
      </c>
    </row>
    <row r="23471" spans="1:5">
      <c r="A23471" t="s">
        <v>6</v>
      </c>
      <c r="B23471" t="s">
        <v>23476</v>
      </c>
      <c r="C23471">
        <f>HYPERLINK("C:\Users\franc\OneDrive\Documentos\MALENTIN KARIME\BANCO CREDITO\FER LORCA en ROSITA (Rosita)\ANA LUISA TODO\CANTA RANA\Doc5.doc", "Abrir Documento")</f>
        <v>0</v>
      </c>
      <c r="D23471" t="s">
        <v>23500</v>
      </c>
      <c r="E23471" t="s">
        <v>45796</v>
      </c>
    </row>
    <row r="23472" spans="1:5">
      <c r="A23472" t="s">
        <v>6</v>
      </c>
      <c r="B23472" t="s">
        <v>23477</v>
      </c>
      <c r="C23472">
        <f>HYPERLINK("C:\Users\franc\OneDrive\Documentos\MALENTIN KARIME\BANCO CREDITO\FER LORCA en ROSITA (Rosita)\ANA LUISA TODO\CANTA RANA\Doc4.doc", "Abrir Documento")</f>
        <v>0</v>
      </c>
      <c r="D23472" t="s">
        <v>23500</v>
      </c>
      <c r="E23472" t="s">
        <v>45797</v>
      </c>
    </row>
    <row r="23473" spans="1:5">
      <c r="A23473" t="s">
        <v>6</v>
      </c>
      <c r="B23473" t="s">
        <v>23478</v>
      </c>
      <c r="C23473">
        <f>HYPERLINK("C:\Users\franc\OneDrive\Documentos\MALENTIN KARIME\BANCO CREDITO\FER LORCA en ROSITA (Rosita)\ANA LUISA TODO\CANCELACION\ULISES ROBLES A INMB. COLOMBRES (CANCELACION PARCIAL).doc", "Abrir Documento")</f>
        <v>0</v>
      </c>
      <c r="D23473" t="s">
        <v>23500</v>
      </c>
      <c r="E23473" t="s">
        <v>45798</v>
      </c>
    </row>
    <row r="23474" spans="1:5">
      <c r="A23474" t="s">
        <v>6</v>
      </c>
      <c r="B23474" t="s">
        <v>23479</v>
      </c>
      <c r="C23474">
        <f>HYPERLINK("C:\Users\franc\OneDrive\Documentos\MALENTIN KARIME\BANCO CREDITO\FER LORCA en ROSITA (Rosita)\ANA LUISA TODO\BANCO SANTANDER\BANCO ESTADO (CIBERGESTION)\Doc1.doc", "Abrir Documento")</f>
        <v>0</v>
      </c>
      <c r="D23474" t="s">
        <v>23500</v>
      </c>
      <c r="E23474" t="s">
        <v>45799</v>
      </c>
    </row>
    <row r="23475" spans="1:5">
      <c r="A23475" t="s">
        <v>6</v>
      </c>
      <c r="B23475" t="s">
        <v>23480</v>
      </c>
      <c r="C23475">
        <f>HYPERLINK("C:\Users\franc\OneDrive\Documentos\MALENTIN KARIME\BANCO CREDITO\FER LORCA en ROSITA (Rosita)\ANA LUISA TODO\BANCO SANTANDER\Doc1.doc", "Abrir Documento")</f>
        <v>0</v>
      </c>
      <c r="D23475" t="s">
        <v>23500</v>
      </c>
      <c r="E23475" t="s">
        <v>45800</v>
      </c>
    </row>
    <row r="23476" spans="1:5">
      <c r="A23476" t="s">
        <v>6</v>
      </c>
      <c r="B23476" t="s">
        <v>23481</v>
      </c>
      <c r="C23476">
        <f>HYPERLINK("C:\Users\franc\OneDrive\Documentos\MALENTIN KARIME\BANCO CREDITO\FER LORCA en ROSITA (Rosita)\ANA LUISA TODO\BANCO SANTANDER\BOLETAS.xls", "Abrir Documento")</f>
        <v>0</v>
      </c>
      <c r="D23476" t="s">
        <v>23500</v>
      </c>
      <c r="E23476" t="s">
        <v>45801</v>
      </c>
    </row>
    <row r="23477" spans="1:5">
      <c r="A23477" t="s">
        <v>6</v>
      </c>
      <c r="B23477" t="s">
        <v>23482</v>
      </c>
      <c r="C23477">
        <f>HYPERLINK("C:\Users\franc\OneDrive\Documentos\MALENTIN KARIME\BANCO CREDITO\FER LORCA en ROSITA (Rosita)\ANA LUISA TODO\BANCO SANTANDER\BOLETAS BCO BANEFE.xls", "Abrir Documento")</f>
        <v>0</v>
      </c>
      <c r="D23477" t="s">
        <v>23500</v>
      </c>
      <c r="E23477" t="s">
        <v>45802</v>
      </c>
    </row>
    <row r="23478" spans="1:5">
      <c r="A23478" t="s">
        <v>6</v>
      </c>
      <c r="B23478" t="s">
        <v>23483</v>
      </c>
      <c r="C23478">
        <f>HYPERLINK("C:\Users\franc\OneDrive\Documentos\MALENTIN KARIME\BANCO CREDITO\FER LORCA en ROSITA (Rosita)\ANA LUISA TODO\BANCO DEL DESARROLLO\PROTOCOLIZACION ESCRITURAS\LUIS HENRIQUEZ.doc", "Abrir Documento")</f>
        <v>0</v>
      </c>
      <c r="D23478" t="s">
        <v>23500</v>
      </c>
      <c r="E23478" t="s">
        <v>45803</v>
      </c>
    </row>
    <row r="23479" spans="1:5">
      <c r="A23479" t="s">
        <v>6</v>
      </c>
      <c r="B23479" t="s">
        <v>23484</v>
      </c>
      <c r="C23479">
        <f>HYPERLINK("C:\Users\franc\OneDrive\Documentos\MALENTIN KARIME\BANCO CREDITO\FER LORCA en ROSITA (Rosita)\ANA LUISA TODO\BANCO DEL DESARROLLO\prendas\MITSUI\Doc1.doc", "Abrir Documento")</f>
        <v>0</v>
      </c>
      <c r="D23479" t="s">
        <v>23500</v>
      </c>
      <c r="E23479" t="s">
        <v>45804</v>
      </c>
    </row>
    <row r="23480" spans="1:5">
      <c r="A23480" t="s">
        <v>6</v>
      </c>
      <c r="B23480" t="s">
        <v>23485</v>
      </c>
      <c r="C23480">
        <f>HYPERLINK("C:\Users\franc\OneDrive\Documentos\MALENTIN KARIME\BANCO CREDITO\FER LORCA en ROSITA (Rosita)\ANA LUISA TODO\BANCO DEL DESARROLLO\prendas\ISMAEL SEGOVIA - JULIO MEDALLA.doc", "Abrir Documento")</f>
        <v>0</v>
      </c>
      <c r="D23480" t="s">
        <v>23500</v>
      </c>
      <c r="E23480" t="s">
        <v>45805</v>
      </c>
    </row>
    <row r="23481" spans="1:5">
      <c r="A23481" t="s">
        <v>6</v>
      </c>
      <c r="B23481" t="s">
        <v>23486</v>
      </c>
      <c r="C23481">
        <f>HYPERLINK("C:\Users\franc\OneDrive\Documentos\MALENTIN KARIME\BANCO CREDITO\FER LORCA en ROSITA (Rosita)\ANA LUISA TODO\BANCO DEL DESARROLLO\MUTUO E HIPOTECA\PAULA Y CONSUELO LIMITADA.doc", "Abrir Documento")</f>
        <v>0</v>
      </c>
      <c r="D23481" t="s">
        <v>23500</v>
      </c>
      <c r="E23481" t="s">
        <v>45806</v>
      </c>
    </row>
    <row r="23482" spans="1:5">
      <c r="A23482" t="s">
        <v>6</v>
      </c>
      <c r="B23482" t="s">
        <v>23487</v>
      </c>
      <c r="C23482">
        <f>HYPERLINK("C:\Users\franc\OneDrive\Documentos\MALENTIN KARIME\BANCO CREDITO\FER LORCA en ROSITA (Rosita)\ANA LUISA TODO\BANCO DEL DESARROLLO\ALZAMIENTOS\2008\RICARDO GUIÑEZ.doc", "Abrir Documento")</f>
        <v>0</v>
      </c>
      <c r="D23482" t="s">
        <v>23500</v>
      </c>
      <c r="E23482" t="s">
        <v>45807</v>
      </c>
    </row>
    <row r="23483" spans="1:5">
      <c r="A23483" t="s">
        <v>6</v>
      </c>
      <c r="B23483" t="s">
        <v>23488</v>
      </c>
      <c r="C23483">
        <f>HYPERLINK("C:\Users\franc\OneDrive\Documentos\MALENTIN KARIME\BANCO CREDITO\FER LORCA en ROSITA (Rosita)\ANA LUISA TODO\BANCO DEL DESARROLLO\carta banco.doc", "Abrir Documento")</f>
        <v>0</v>
      </c>
      <c r="D23483" t="s">
        <v>23500</v>
      </c>
      <c r="E23483" t="s">
        <v>45808</v>
      </c>
    </row>
    <row r="23484" spans="1:5">
      <c r="A23484" t="s">
        <v>6</v>
      </c>
      <c r="B23484" t="s">
        <v>23489</v>
      </c>
      <c r="C23484">
        <f>HYPERLINK("C:\Users\franc\OneDrive\Documentos\MALENTIN KARIME\BANCO CREDITO\FER LORCA en ROSITA (Rosita)\ANA LUISA TODO\001 MATRICES DE ESCRITURAS PUBLICAS\TIMBRE PRIVILEGIO POBREZA.doc", "Abrir Documento")</f>
        <v>0</v>
      </c>
      <c r="D23484" t="s">
        <v>23500</v>
      </c>
      <c r="E23484" t="s">
        <v>45809</v>
      </c>
    </row>
    <row r="23485" spans="1:5">
      <c r="A23485" t="s">
        <v>6</v>
      </c>
      <c r="B23485" t="s">
        <v>23490</v>
      </c>
      <c r="C23485">
        <f>HYPERLINK("C:\Users\franc\OneDrive\Documentos\MALENTIN KARIME\BANCO CREDITO\FER LORCA en ROSITA (Rosita)\ANA LUISA TODO\001 MATRICES DE ESCRITURAS PUBLICAS\MEMBRETE FACSIMIL.doc", "Abrir Documento")</f>
        <v>0</v>
      </c>
      <c r="D23485" t="s">
        <v>23500</v>
      </c>
      <c r="E23485" t="s">
        <v>45810</v>
      </c>
    </row>
    <row r="23486" spans="1:5">
      <c r="A23486" t="s">
        <v>6</v>
      </c>
      <c r="B23486" t="s">
        <v>23491</v>
      </c>
      <c r="C23486">
        <f>HYPERLINK("C:\Users\franc\OneDrive\Documentos\MALENTIN KARIME\BANCO CREDITO\FER LORCA en ROSITA (Rosita)\ANA LUISA TODO\001 MATRICES DE ESCRITURAS PUBLICAS\AUT HOJA SIGUIENTE.doc", "Abrir Documento")</f>
        <v>0</v>
      </c>
      <c r="D23486" t="s">
        <v>23500</v>
      </c>
      <c r="E23486" t="s">
        <v>45811</v>
      </c>
    </row>
    <row r="23487" spans="1:5">
      <c r="A23487" t="s">
        <v>6</v>
      </c>
      <c r="B23487" t="s">
        <v>23492</v>
      </c>
      <c r="C23487">
        <f>HYPERLINK("C:\Users\franc\OneDrive\Documentos\MALENTIN KARIME\BANCO CREDITO\FER LORCA en ROSITA (Rosita)\fojas.doc", "Abrir Documento")</f>
        <v>0</v>
      </c>
      <c r="D23487" t="s">
        <v>23500</v>
      </c>
      <c r="E23487" t="s">
        <v>45812</v>
      </c>
    </row>
    <row r="23488" spans="1:5">
      <c r="A23488" t="s">
        <v>6</v>
      </c>
      <c r="B23488" t="s">
        <v>23493</v>
      </c>
      <c r="C23488">
        <f>HYPERLINK("C:\Users\franc\OneDrive\Documentos\MALENTIN KARIME\BANCO CREDITO\FER LORCA en ROSITA (Rosita)\fojas.-.doc", "Abrir Documento")</f>
        <v>0</v>
      </c>
      <c r="D23488" t="s">
        <v>23500</v>
      </c>
      <c r="E23488" t="s">
        <v>45813</v>
      </c>
    </row>
    <row r="23489" spans="1:5">
      <c r="A23489" t="s">
        <v>6</v>
      </c>
      <c r="B23489" t="s">
        <v>23494</v>
      </c>
      <c r="C23489">
        <f>HYPERLINK("C:\Users\franc\OneDrive\Documentos\MALENTIN KARIME\BANCO CREDITO\carta resguardo MANUEL RUBINA Y DOBLE M.doc", "Abrir Documento")</f>
        <v>0</v>
      </c>
      <c r="D23489" t="s">
        <v>23500</v>
      </c>
      <c r="E23489" t="s">
        <v>45814</v>
      </c>
    </row>
    <row r="23490" spans="1:5">
      <c r="A23490" t="s">
        <v>6</v>
      </c>
      <c r="B23490" t="s">
        <v>23495</v>
      </c>
      <c r="C23490">
        <f>HYPERLINK("C:\Users\franc\OneDrive\Documentos\MALENTIN KARIME\BANCO CORPBANCA\LEASING\Tabla_de_factores_Los_primos(1).xls", "Abrir Documento")</f>
        <v>0</v>
      </c>
      <c r="D23490" t="s">
        <v>23500</v>
      </c>
      <c r="E23490" t="s">
        <v>45815</v>
      </c>
    </row>
    <row r="23491" spans="1:5">
      <c r="A23491" t="s">
        <v>6</v>
      </c>
      <c r="B23491" t="s">
        <v>23496</v>
      </c>
      <c r="C23491">
        <f>HYPERLINK("C:\Users\franc\OneDrive\Documentos\MALENTIN KARIME\BANCO CORPBANCA\LEASING\Scaner inv. talquilla.doc", "Abrir Documento")</f>
        <v>0</v>
      </c>
      <c r="D23491" t="s">
        <v>23500</v>
      </c>
      <c r="E23491" t="s">
        <v>45816</v>
      </c>
    </row>
    <row r="23492" spans="1:5">
      <c r="A23492" t="s">
        <v>6</v>
      </c>
      <c r="B23492" t="s">
        <v>23497</v>
      </c>
      <c r="C23492">
        <f>HYPERLINK("C:\Users\franc\OneDrive\Documentos\MALENTIN KARIME\2021\UAF 2021.xls", "Abrir Documento")</f>
        <v>0</v>
      </c>
      <c r="D23492" t="s">
        <v>23500</v>
      </c>
      <c r="E23492" t="s">
        <v>45817</v>
      </c>
    </row>
    <row r="23493" spans="1:5">
      <c r="A23493" t="s">
        <v>6</v>
      </c>
      <c r="B23493" t="s">
        <v>23498</v>
      </c>
      <c r="C23493">
        <f>HYPERLINK("C:\Users\franc\OneDrive\Documentos\MALENTIN KARIME\FOJAS.doc", "Abrir Documento")</f>
        <v>0</v>
      </c>
      <c r="D23493" t="s">
        <v>23500</v>
      </c>
      <c r="E23493" t="s">
        <v>45818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Descartados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2026-09-05T03:10:19Z</dcterms:created>
  <dcterms:modified xsi:type="dcterms:W3CDTF">2026-09-05T03:10:19Z</dcterms:modified>
</cp:coreProperties>
</file>